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2"/>
  <workbookPr defaultThemeVersion="124226"/>
  <mc:AlternateContent xmlns:mc="http://schemas.openxmlformats.org/markup-compatibility/2006">
    <mc:Choice Requires="x15">
      <x15ac:absPath xmlns:x15ac="http://schemas.microsoft.com/office/spreadsheetml/2010/11/ac" url="C:\Users\laxma\Downloads\VETALL-18881\"/>
    </mc:Choice>
  </mc:AlternateContent>
  <xr:revisionPtr revIDLastSave="0" documentId="13_ncr:1_{C22C7C31-1C27-4D53-AC19-BC74479CD7AB}"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001" i="1" l="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alcChain>
</file>

<file path=xl/sharedStrings.xml><?xml version="1.0" encoding="utf-8"?>
<sst xmlns="http://schemas.openxmlformats.org/spreadsheetml/2006/main" count="110632" uniqueCount="12532">
  <si>
    <t>CaseID</t>
  </si>
  <si>
    <t>Link to AI report</t>
  </si>
  <si>
    <t>Link to Rad report</t>
  </si>
  <si>
    <t>Findings (original radiologist report)</t>
  </si>
  <si>
    <t>Conclusions (original radiologist report)</t>
  </si>
  <si>
    <t>Recommendations (original radiologist report)</t>
  </si>
  <si>
    <t>Original Radiologist</t>
  </si>
  <si>
    <t>Findings (AI report)</t>
  </si>
  <si>
    <t>Conclusions (AI report)</t>
  </si>
  <si>
    <t>Recommendations (AI report)</t>
  </si>
  <si>
    <t>perihilar_infiltrate</t>
  </si>
  <si>
    <t>pneumonia</t>
  </si>
  <si>
    <t>bronchitis</t>
  </si>
  <si>
    <t>interstitial</t>
  </si>
  <si>
    <t>diseased_lungs</t>
  </si>
  <si>
    <t>hypo_plastic_trachea</t>
  </si>
  <si>
    <t>cardiomegaly</t>
  </si>
  <si>
    <t>pulmonary_nodules</t>
  </si>
  <si>
    <t>pleural_effusion</t>
  </si>
  <si>
    <t>rtm</t>
  </si>
  <si>
    <t>focal_caudodorsal_lung</t>
  </si>
  <si>
    <t>focal_perihilar</t>
  </si>
  <si>
    <t>pulmonary_hypoinflation</t>
  </si>
  <si>
    <t>right_sided_cardiomegaly</t>
  </si>
  <si>
    <t>pericardial_effusion</t>
  </si>
  <si>
    <t>bronchiectasis</t>
  </si>
  <si>
    <t>pulmonary_vessel_enlargement</t>
  </si>
  <si>
    <t>left_sided_cardiomegaly</t>
  </si>
  <si>
    <t>thoracic_lymphadenopathy</t>
  </si>
  <si>
    <t>esophagitis</t>
  </si>
  <si>
    <t>vhs_v2</t>
  </si>
  <si>
    <t>Three orthogonal thoracic radiographs dated 29th September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50% of the dorsoventral diameter of the trachea. The intrathoracic trachea is normal. Within the lung parenchyma there is a mixed bronchointerstitial opacification, predominantly caudal dorsally. The mainstem bronchi taper poorly. There is mild focal interstitial opacification in the left cranial lung lobe adjacent to the rib sections, however some obliquity is present. No associated osteolysis of the ribs is seen._x000D_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some ventral pleural fat accumulation._x000D_
_x000D_
Musculoskeletal findings: No significant abnormalities are detected._x000D_
_x000D_
Included abdomen: No significant abnormalities are detected.</t>
  </si>
  <si>
    <t>1. The dorsal attenuation of the trachea is consistent with redundant trachealis membrane or overlying musculature. This may or may not be contributing towards the coughing._x000D_
2. Diffuse moderate bronchointerstitial pattern: Some consideration should be given to normal ageing/fibrosis from previous disease. Allergic bronchitis, chronic bacterial /viral bronchitis +/- parasitic bronchitis should also be considered. Considering the mixed partial interstitial opacification, fungal disease needs to be excluded. Less likely are hyperardenocorticism, neoplasia (such a lymphoma) or idiopathic pulmonary fibrosis. The more localised left cranial interstitial opacification is most likely positional.</t>
  </si>
  <si>
    <t>Correlate with palpation testing for upper respiratory disease. Respiratory workup including CBC, serum chemistry, urinalysis, fungal testing, Baermann faecal testing, 4DX, +/- respiratory panel as indicated may be considered.  Alternatively, diagnostic /empirical therapy for lower airway disease, empirical deworming, and removal of allergens and environmental irritants (i.e. smoke, dust, perfumes, etc.) can be considered. Consider airway sampling depending on clinical progression.</t>
  </si>
  <si>
    <t>Fred Pauwels</t>
  </si>
  <si>
    <t xml:space="preserve">
1.MILD BRONCHOINTERSTITIAL PULMONARY PATTERN; MILD DYNAMIC AIRWAY DISEASE; ATELECTASIS or less likely, pneumonia.
2.Based on these AI airway/pulmonary findings, the probability of this patient having clinically detectable respiratory signs is MEDIUM (50%)
3.Are respiratory signs present? If YES.
4.Are respiratory signs present? If NO.
5.The evaluation has come up positive for a pulmonary nodular pattern.
6.The cardiac silhouette size is normal.</t>
  </si>
  <si>
    <t xml:space="preserve">Lung disease only:&lt;br&gt;
1. Pulmonary pattern identified (see specifics in the Airway/Pulmonary Findings section below). &lt;br&gt;
2. No cardiomegaly identified. </t>
  </si>
  <si>
    <t xml:space="preserve">
Radiograph submission to a Radiologist for further evaluation._x000D_
Empirical therapy for lung disease based on your clinical assessment._x000D_
Bronchoscopy with bronchoalveolar lavage (BAL) vs. endotracheal lavage and/or Baermann fecal.</t>
  </si>
  <si>
    <t>Abnormal</t>
  </si>
  <si>
    <t>Normal</t>
  </si>
  <si>
    <t>Enlarged</t>
  </si>
  <si>
    <t>Study:_x000D_
Thoracic radiography: three images dated September 29, 2024_x000D_
A right lateral projection of the abdomen is also present in the study._x000D_
_x000D_
Findings:_x000D_
The cardiac silhouette is normal in size and shape. The pulmonary vasculature is normal in size. There is a mild generalized bronchointerstitial pulmonary pattern. No pulmonary nodules or masses are present. On the VD view, there is a thin pleural fissure line between the right cranial and middle lung lobes. There is no intrathoracic lymphadenopathy. There is mild T 12-T 13 spondylosis deformans. There is a small soft tissue opaque nodule in the subcutaneous tissues of the caudodorsal cervical region_x000D_
_x000D_
Comments:_x000D_
 Please the other submission for interpretation of the abdomen.</t>
  </si>
  <si>
    <t>1. There is no radiographic evidence of heart disease. Consider echocardiography for further evaluation of the reported heart murmur._x000D_
2. The mild diffuse bronchointerstitial pulmonary pattern is a nonspecific finding. This may be a benign age-related change or may indicate allergic, inflammatory, infectious, inhaled irritant or parasitic bronchitis. Airway sampling plus/minus heartworm testing and Baermann fecal flotation can be considered to further evaluate for lower airway disease._x000D_
3. The pleural fissure line seen in the right hemithorax on the VD view may indicate incidental tangential visualization or pleural thickening. Trace pleural effusion is considered less likely._x000D_
5. There is no evidence of pulmonary metastatic disease._x000D_
6. Caudodorsal cervical subcutaneous nodule. Rule out benign or malignant neoplasia, cyst or granuloma. Fine needle aspiration and cytology can be considered for further evaluation if clinically relevant.</t>
  </si>
  <si>
    <t>As above.</t>
  </si>
  <si>
    <t>Scott Gregorich</t>
  </si>
  <si>
    <t xml:space="preserve">
1.The cardiac silhouette size is normal._x000D_
2.There is no evidence of INTERSTITIAL or ALVEOLAR PATTERN, BRONCHITIS, PERIHILAR INFILTRATE, DYNAMIC AIRWAY COLLAPSE or BRONCHIECTASIS or PLEURAL EFFUSION.</t>
  </si>
  <si>
    <t xml:space="preserve">No cardiopulmonary abnormalities detected:&lt;br&gt;
1. No abnormal pulmonary pattern detected (see report below for specifics). &lt;br&gt;
2. No cardiomegaly detected. </t>
  </si>
  <si>
    <t>Study:_x000D_
Abdominal radiography: three images dated September 29, 2024_x000D_
_x000D_
Findings:_x000D_
The abdominal serosal detail is normal. The stomach contains a small volume of gas. There is a, likely clinically insignificant, punctate mineral focus in a small intestinal segment in the right mid abdomen The small intestines are otherwise normal in size, course and content. The colon contains gas and a small amount of poorly formed fecal material. The liver and spleen are normal in size and margin. The renal silhouettes are normal in size and shape. The urinary bladder is normal in size and opacity. There is no prostatomegaly. The included thorax is normal. There is moderate bilateral stifle periarticular bone formation.</t>
  </si>
  <si>
    <t>1. Unremarkable abdomen. A cause of the gastrointestinal signs is not evident. There is no radiographic evidence of gastrointestinal foreign material or small intestinal mechanical obstruction. Abdominal sonography can be considered for further evaluation if clinical signs persist or worsen in spite of medical management. _x000D_
2. Moderate bilateral stifle osteoarthrosis.</t>
  </si>
  <si>
    <t xml:space="preserve">
1.Are respiratory signs present? If YES._x000D_
2.Are respiratory signs present? If YES._x000D_
3.AI linked bronchitis disease treatment in dogs and cats: https://platform.v2.vetology.net/doc/bacterial-bronchitis-in-dogs-and-cats_x000D_
4.Are respiratory signs present? If NO._x000D_
5.Are respiratory signs present? If NO._x000D_
6.The cardiac silhouette size is normal._x000D_
7.MODERATE BRONCHIAL PATTERN, MILD DYNAMIC AIRWAY DISEASE, MILD, DIFFUSE INTERSTITIAL PATTERN WITH A SLIGHTLY MORE PRONOUNCED PERIHILAR INFILTRATE._x000D_
8.MODERATE BRONCHOINTERSTITIAL PULMONARY PATTERN; ALVEOLAR INFILTRATE or ATELECTASIS; DYNAMIC AIRWAY DISEASE._x000D_
9.Based on these AI airway/pulmonary findings, the probability of this patient having clinically detectable respiratory signs is HIGH (75%)_x000D_
10.Based on these AI airway/pulmonary findings, the probability of this patient having clinically detectable respiratorysigns is MEDIUM (50%)_x000D_
11.Pleural fissure lines or moderate to severe pleural effusion has been detected. An overlying skin fold or in an obese animal, excessive pericardial fat could artifactually mimic the result of severe pleural effusion.</t>
  </si>
  <si>
    <t>Patient Name : Aria Davis, Date of study: Sep 28, 2024
7 images are provided for review
There are no previous radiographs for comparison.
Pulmonary parenchyma: A minimal to mild diffuse interstitial pattern is present.  The lungs are hypoinflated.
Pulmonary vasculature: The pulmonary vasculature is subjectively normal in size and tapers in the periphery of the lungs.
Cardiac silhouette: The cardiac silhouette is normal in size and shape.
Mediastinum: The cranial mediastinum is symmetrically widened in the ventrodorsal image, without obvious increased soft tissue in the lateral images.
Trachea: The trachea is normal.
Esophagus: The esophagus is not well-identified.
Pleural space: The pleural space is normal.
Liver: The liver is mildly small with cranial displacement of the gastric axis.
Spleen: The spleen is normal in size with smooth margins and homogeneous soft tissue.
Kidneys: The kidneys are partially obscured without obvious enlargement or mineral.
Retroperitoneum: Retroperitoneal detail is adequate.
Urinary bladder/Urethra: The urinary bladder is normal in size, homogeneous soft tissue, and smoothly marginated.
Reproductive:  No obvious uterine horn enlargement or obvious increased soft tissue in the region of the uterine stump.
Peritoneum: Peritoneal detail is adequate.
Gastrointestinal tract: The stomach contains a moderate volume of gas and soft tissue material.   The stomach is within normal limits for size.
The small intestine contains mild gas with a subjectively uniform population for size. 
The colon contains moderate gas and mild soft tissue material. The colon is within normal limits for size.  
Musculoskeletal: Multiple prominent nipples are present and these superimpose over the caudal lung/cranial abdomen in the ventrodorsal image.  A fat opaque, broad-based nodule arises from the mid-ventral abdominal body wall.  Multiple metal staples are in the ventral abdominal body wall adjacent to the fat opaque nodule.   Bilateral stifle osteoarthrosis is present. The remaining included musculoskeletal structures are normal.</t>
  </si>
  <si>
    <t>1. Mild diffuse interstitial pulmonary pattern and hypoinflation.
- Differential diagnoses include artifact from hypoinflation, fibrosis from prior disease, age-related changes, or unlikely infectious/immune-mediated lower airway disease, or inhaled allergen/irritant, or other.
2. Mild widened cranial mediastinum due to fat deposition/breed-related changes, or evolving lymphadenomegaly or unlikely primary mass or other.
3. No obvious pulmonary soft tissue nodules.
4. Mild microhepatia versus individual variation of normal.
- If present, differential diagnoses include portosystemic shunting vessel or unlikely other.
5. Mid-ventral abdominal body wall fat opaque nodule is consistent with reported hernia, versus evolving lipoma.
6. No evidence of stump pyometra in this examination.</t>
  </si>
  <si>
    <t>Consider computed tomography of the neck/thorax/abdomen for further evaluation and pre-surgical planning of reported neck mass excisional/incisional biopsy.  If mammary gland nodules/masses are identified, computed tomography may also be beneficial for pre-surgical planning of mastectomy.  Oncologist consultation depending on results.   Bile acid testing and coagulation testing may be contributory prior to tissue sampling.   Empirical therapy and supportive care for cough in the interim as needed.  Monitoring as directed or sooner if clinical signs acutely change, fail to improve or worsen.</t>
  </si>
  <si>
    <t>Andrew Fox</t>
  </si>
  <si>
    <t xml:space="preserve">
1.The cardiac silhouette size is normal._x000D_
2.A mild bronchointerstitial pulmonary pattern and minimal perihilar infiltrate have been detected.</t>
  </si>
  <si>
    <t>Study:_x000D_
Abdominal radiography: three images dated September 28, 2024_x000D_
_x000D_
Findings:_x000D_
The serosal detail is normal. The stomach contains gas with the pylorus appropriately gas-filled on the left lateral image. Some small intestinal segments contain a small amount of granular soft tissue material. The small intestines are normal in size and course. The colon contains gas and formed fecal material. The cecum is gas filled. The liver and spleen are normal in size and margin. The renal silhouettes are normal in size and shape. The urinary bladder is normal in size and opacity. There is no prostatomegaly. The included thorax is normal. The patient has multiple, breed associated, congenitally anomalous vertebrae. There is mild multifocal thoracic spondylosis deformans.</t>
  </si>
  <si>
    <t>The small amount of granular soft tissue material seen in the small intestines likely indicates ingesta. Foreign material cannot be completely excluded. There is no evidence of small intestinal mechanical obstruction.</t>
  </si>
  <si>
    <t>Abdominal sonography can be considered for further evaluation if clinical signs persist or worsen in spite of medical management.</t>
  </si>
  <si>
    <t xml:space="preserve">
1.The cardiac silhouette size is normal._x000D_
2.There is no evidence of BRONCHITIS, ALVEOLAR PATTERN, PERIHILAR INFILTRATE or DYNAMIC AIRWAY COLLAPSE or BRONCHIECTASIS._x000D_
3.Pleural fissure lines or small volume pleural effusion has been detected. In a mildly overweight animal, excessive pericardial fat can artifactually mimic the result of minimal pleural effusion.</t>
  </si>
  <si>
    <t xml:space="preserve">Minimal lung disease only: &lt;br&gt;
1. A minimal, likely non-clinical or subclinical, pulmonary pattern identified (see specifics in the Airway/Pulmonary Findings section below).&lt;br&gt;
2. No cardiomegaly detected. </t>
  </si>
  <si>
    <t>Study:_x000D_
Thoracic and abdominal radiography: six images dated September 28, 2024_x000D_
_x000D_
Findings:_x000D_
There is mild microcardia and attenuation of the pulmonary vasculature. There is mild narrowing of the caudal vena cava. The pulmonary parenchyma is unremarkable. No nodules or masses are present. The pleural space is normal. There is no intrathoracic lymphadenopathy. The trachea is normal in diameter. There is decreased serosal detail secondary to a moderate to severe amount of peritoneal effusion. The liver is mildly enlarged causing caudal displacement of the gastric axis. On the left lateral projection, the caudal margin of the liver has a rounded appearance on both lateral projections, there is the impression of an indistinct round soft tissue opaque mass in the caudal abdomen just cranial to the urinary bladder. The stomach contains unstructured heterogeneous soft tissue material presumed to be ingesta. The small intestines are normal in size and content. The colon contains gas and poorly formed fecal material. The renal silhouettes are normal in size and contour. The urinary bladder is normal in size and opacity. There is no prostatomegaly. There is mild L1-L2 spondylosis deformans.</t>
  </si>
  <si>
    <t>1. Suspect the caudal abdominal mass. Consider a splenic mass, recurrent intestinal smooth muscle tumor or lymphadenopathy. Recommend abdominal sonography for further evaluation._x000D_
2. The hepatomegaly is nonspecific. Consider vacuolar hepatopathy, hyperplasia, hepatitis or neoplasia. The rounding of the liver margin on the left lateral projection may be more suggestive of a neoplastic etiology. Abdominal sonography is also recommended for further evaluation of this finding._x000D_
3. Moderate to severe nonspecific peritoneal effusion. Recommend abdominocentesis for further evaluation._x000D_
4. The microcardia, attenuation of the pulmonary vasculature and narrowing of the caudal vena cava are suggestive of hypovolemia._x000D_
5. There is no evidence of pulmonary metastatic disease.</t>
  </si>
  <si>
    <t xml:space="preserve">
1.The cardiac silhouette size is normal._x000D_
2.There is no evidence of INTERSTITIAL or ALVEOLAR PATTERN, BRONCHITIS, PERIHILAR INFILTRATE or DYNAMIC AIRWAY COLLAPSE or BRONCHIECTASIS.</t>
  </si>
  <si>
    <t>Patient Name : brynn fair, Date of study: Sep 28, 2024
3 images are provided for review
There are no previous radiographs for comparison.
Bones/Joints:
A dens is present.  There is no evidence of atlantoaxial joint subluxation.  The C2-3 intervertebral disc space is possibly narrow in the lateral images, and ventrodorsal image.
There is no evidence of mineral over the intervertebral foramina.  There is no evidence of intervertebral dorsal articulation osteoarthrosis.
There is no evidence of medullary sclerosis, osteolysis, endosteal scalloping, or periosteal proliferation.
Soft tissues:  The included paraspinal soft tissues are normal.</t>
  </si>
  <si>
    <t>1. Suspicious for C2-3 intervertebral disc disease versus artifact from positioning/technique.
2. No obvious evidence of atlantoaxial subluxation.</t>
  </si>
  <si>
    <t>Consider neurologist consultation and MRI of the neck for further evaluation.  Routine blood work and thoracic/abdominal imaging to screen for occult systemic disease.  Empirical therapy and supportive care for signs of pain in the interim as needed.  Monitoring as directed, or sooner if clinical signs acutely change, fail to improve or worsen.</t>
  </si>
  <si>
    <t xml:space="preserve">
1.The cardiac silhouette size is normal._x000D_
2.There is no evidence of ALVEOLAR PATTERN, PERIHILAR INFILTRATE, DYNAMIC AIRWAY COLLAPSE or BRONCHIECTASIS, PULMONARY NODULES or PLEURAL EFFUSION._x000D_
3.A mild bronchial pattern has been detected.</t>
  </si>
  <si>
    <t>Study:_x000D_
Thoracic/abdominal radiography: five images dated September 28, 2024_x000D_
_x000D_
Findings:_x000D_
The cardiac silhouette is normal in size and shape. The pulmonary vasculature is normal in size. The pulmonary parenchyma is unremarkable. No pulmonary nodules or masses are present. The pleural space is normal. There is no intrathoracic lymphadenopathy. The larynx is normal. The trachea is normal in diameter and course. There is no lobar bronchi narrowing. There is no esophageal dilation. The stomach contains gas and a small amount of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There is no prostatomegaly. The T 13 vertebra is transitional with bilateral hypoplastic ribs. The L7 vertebra also appears transitional on the lateral projections. There is narrowing of the L1-L2 intervertebral disc space with sclerotic endplates and moderate spondylosis deformans. There is mild to moderate bilateral elbow periarticular bone formation. The patient is of overweight body condition.</t>
  </si>
  <si>
    <t>1. Normal thorax. There is no radiographic evidence of pulmonary metastatic disease or cardiopulmonary disease._x000D_
2. Unremarkable abdomen. Abdominal sonography can be considered for further staging pending cytology of the reported right pelvic limb mass._x000D_
3. Chronic L1-L2 intervertebral disc disease._x000D_
4. Mild to moderate bilateral elbow osteoarthrosis.</t>
  </si>
  <si>
    <t xml:space="preserve">
1.The cardiac silhouette size is normal._x000D_
2.No airway or pulmonary abnormalities have been detected. The lung parenchyma appears normal with no interstitial, alveolar, or bronchial pattern identified. No pulmonary nodules or pleural effusion detected.</t>
  </si>
  <si>
    <t>Study:_x000D_
Thoracic radiography: three images dated September 28, 2024_x000D_
_x000D_
Findings:_x000D_
There is severe left ventricular and left atrial enlargement. The pulmonary vasculature is normal in size. There is a mild to moderate multifocal unstructured interstitial in the ventral lung and perihilar/caudodorsal lung fields. A thin pleural fissure line is seen in the left fifth intercostal space on the VD view. A thin pleural fissure line is also seen superimposed with the cardiac silhouette on the lateral projections. There is no intrathoracic lymphadenopathy. The trachea is normal in diameter. The larynx is unremarkable. There is no lobar bronchi narrowing. The included abdomen is normal. Mild periarticular bone formation is present at the caudodistal aspect the humeral head bilaterally.</t>
  </si>
  <si>
    <t>1. Severe left-sided card hepatomegaly, indicative of mitral valve disease, with likely decompensated congestive heart failure/cardiogenic pulmonary edema. Recommend echocardiography for further evaluation. Diuretic therapy with repeat radiography to monitor for response to treatment is recommended in the interim._x000D_
2. The pleural fissure lines may indicate incidental tangential visualization, pleural thickening or trace pleural effusion._x000D_
3. Mild bilateral shoulder osteoarthrosis.</t>
  </si>
  <si>
    <t xml:space="preserve">
1.SEVERE INTERSTITIAL TO ALVEOLAR PATTERN; SEVERE BRONCHIAL PATTERN; SEVERE DYNAMIC AIRWAY DISEASE._x000D_
2.Based on these AI airway/pulmonary findings, the probability of this patient having clinically detectable respiratory signs is VERY HIGH (&gt;75%)_x000D_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</si>
  <si>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STAT Report: &lt;br/&gt;*Cardiomegaly WITH a pulmonary opacity suggestive of heart failure or severe lung pathology has been detected.* If this patient  was NOT under ANESTHESIA or HEAVY SEDATION for these radiographs, further evaluation for heart failure should be considered prior to anesthesia or prior to administering medications contraindicated in heart failure. **Hilar lymphadenopathy or pulmonary hypoinflation in conjunction with cardiomegaly are additional considerations for this AI result.**
&lt;br&gt;&lt;br&gt;
Looking for more information &lt;a href=https://platform.v2.vetology.net/doc/mitral-valve-disease-in-dogs-part-1-of-2  target=_blank rel=noopener noreferrer&gt;about heart disease?&lt;/a&gt;</t>
  </si>
  <si>
    <t xml:space="preserve">
Cardiac ultrasound, ECG and systemic blood pressure evaluation when the pet is stable.</t>
  </si>
  <si>
    <t>Patient Name : Anakin Koontz, Date of study: Sep 28, 2024
7 images are provided for review
There are no previous radiographs for comparison.
Bones/Joints:
Minimal bilateral coxofemroal joint osteoarthrosis is suspected as a rim of osteophytes at the junction of the femoral heads and necks.  There is adequate coverage of the femoral heads by the acetabulums.
The left stifle has no evidence of osteoarthrosis.
The right stifle has no evidence of osteoarthrosis.  
L3-4 and L4-5 spondylosis deformans is present.
L5-6 is slightly narrowed.
There is no evidence of medullary sclerosis, osteolysis, endosteal scalloping, or periosteal proliferation.
Soft tissues:  The included soft tissues are normal.</t>
  </si>
  <si>
    <t>1. Possible L5-6 intervertebral disc space narrowing.
2. Minimal bilateral coxofemoral joint osteoarthrosis.
3. No obvious evidence of mineral over the intervertebral foramina such as from extruded mineralized disc material.</t>
  </si>
  <si>
    <t>Etiology of reported clinical signs are not definitively identified.  Thoracic/abdominal imaging to screen for occult systemic disease.  Consider routine blood work and neurologist consultation with MRI (head for evaluation of seizures and/or spine for evaluation of ataxia), especially if clinical signs fail to improve, change or worsen in the face of empirical therapy and supportive care.</t>
  </si>
  <si>
    <t xml:space="preserve">
1.MODERATE DYNAMIC AIRWAY DISEASE; MILD to MODERATE INTERSTITIAL to ALVEOLAR INFILTRATE._x000D_
2.Based on these AI airway/pulmonary findings, the probability of this patient having clinically detectable respiratory signs is MEDIUM (50%)_x000D_
3.Are respiratory signs present? If YES._x000D_
4.Are respiratory signs present? If NO._x000D_
5.A mild perihilar infiltrate has been detected._x000D_
6.Pleural fissure lines or small volume pleural effusion has been detected. In a mildly overweight animal, excessive pericardial fat can artifactually mimic the result of minimal pleural effusion._x000D_
7.Severe cardiomegaly has been detected but Heart Failure is NOT suspected.</t>
  </si>
  <si>
    <t>Abdomen: There are small granular mineral opacities within the colon as well as portions of the gastrointestinal tract.  There is no evidence of an obstructive process.  The liver and spleen are unremarkable.  There are no abnormalities involving the visible portions of the urinary tract.  Serosal detail is normal.</t>
  </si>
  <si>
    <t>Suspect foreign material (small gravel like structures) progressing through the gastrointestinal tract without evidence of obstruction.</t>
  </si>
  <si>
    <t>Todd Smithenson</t>
  </si>
  <si>
    <t xml:space="preserve">
1.The cardiac silhouette size is normal._x000D_
2.There is no evidence of BRONCHITIS, ALVEOLAR PATTERN, PERIHILAR INFILTRATE, DYNAMIC AIRWAY COLLAPSE or BRONCHIECTASIS or PULMONARY NODULES._x000D_
3.Pleural fissure lines or small volume pleural effusion has been detected. In a mildly overweight animal, excessive pericardial fat can artifactually mimic the result of minimal pleural effusion.</t>
  </si>
  <si>
    <t>Study:_x000D_
Thoracic radiography: orthogonal views (two images) dated September 27, 2024_x000D_
_x000D_
Findings:_x000D_
The cardiac silhouette and pulmonary vasculature are normal in size. The pulmonary parenchyma is unremarkable. The pleural space is normal. There is no intrathoracic lymphadenopathy. The trachea is normal in diameter and course. The included abdomen is normal. The patient has multiple, breed associated, congenitally anomalous thoracic vertebrae.</t>
  </si>
  <si>
    <t>1. Normal thorax. There is no radiographic evidence of cardiopulmonary disease. A cause of coughing is not evident. Consider upper airway disease/brachycephalic airway syndrome. Lack of a definitive bronchial pulmonary pattern does not exclude the possibility of allergic/inflammatory, infectious, irritant or parasitic bronchitis. Infectious respiratory disease PCR testing, sedated laryngeal/oropharyngeal exam, airway sampling plus/minus heartworm testing and Baermann fecal flotation can be considered to further evaluate the reported coughing._x000D_
2. A cause of the gastrointestinal signs is not evident in the included abdomen. There is no radiographic evidence of gastrointestinal foreign material or small intestinal mechanical obstruction. Abdominal sonography can be considered for further evaluation if clinical signs persist or worsen in spite of medical management.</t>
  </si>
  <si>
    <t>Patient Name : Duke Khachadourian, Date of study: Sep 28, 2024
6 images are provided for review
There are no previous radiographs for comparison.
Pulmonary parenchyma: A minimal diffuse bronchial and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and mild fluid.   The stomach is within normal limits for size.
The small intestine contains mild soft tissue material admixed with gas with a subjectively uniform population for size. 
The colon contains mild to moderate well-defined admixed soft tissue material and gas.  The colon is within normal limits for size.  
Musculoskeletal: The included musculoskeletal structures are normal.</t>
  </si>
  <si>
    <t>1. Minimal diffuse bronchial and interstitial pulmonary patterns such as from fibrosis from prior disease, age-related changes, infectious/immune-mediated lower airway disease (mycoplasma spp., bordetella spp., parasitism, or unlikely other), inhaled allergen/irritant, or unlikely other.
2. Non-specific gastric and small intestinal appearance such as from recent meal/variation of normal, or given reported history unlikely enteritis/gastritis.
- There is no current evidence of gastrointestinal mechanical ileus.</t>
  </si>
  <si>
    <t>ETiology of reported seizure activity is not identified, but this does not rule out epilepsy or other.  Consider neurologist consultation and MRI for further evaluation.  Empirical therapy and supportive care in the interim as needed.  Monitoring as directed, or sooner if clinical signs acutely change, fail to improve or worsen.</t>
  </si>
  <si>
    <t>Study:_x000D_
Thoracic radiography: three images dated September 28, 2024_x000D_
_x000D_
Findings:_x000D_
The cardiac silhouette is normal in size and shape. The pulmonary vasculature is normal in size. The pulmonary parenchyma is unremarkable. The pleural space is normal. There is no intrathoracic lymphadenopathy. The trachea is normal in diameter. The stomach contains heterogeneous soft tissue material presumed to be ingesta. There is mild to moderate multifocal spondylosis deformans. Mild periarticular bone formation is present at the caudodistal aspect the humeral head and infraglenoid tubercle of the scapula bilaterally.</t>
  </si>
  <si>
    <t>1. Normal thorax. There is no radiographic evidence of heart disease. Consider echocardiography for further evaluation of widened QRS complexes seen on ECG._x000D_
2. Mild bilateral shoulder osteoarthrosis.</t>
  </si>
  <si>
    <t xml:space="preserve">
1.A minimal perihilar infiltrate has been detected._x000D_
2.The cardiac silhouette size is normal._x000D_
3.There is no evidence of BRONCHITIS, DYNAMIC AIRWAY COLLAPSE or BRONCHIECTASIS or PLEURAL EFFUSION.</t>
  </si>
  <si>
    <t>Study:_x000D_
Spinal radiography (including the thorax and abdomen): orthogonal views dated September 28, 2024_x000D_
_x000D_
Findings:_x000D_
Patient positioning and beam distortion artifact the false impression of narrowing of the cervical intervertebral disc spaces. The thoracolumbar spine is unremarkable with no intervertebral disc space or foraminal narrowing. There is no evidence of discospondylitis. There are no vertebral fractures or luxations. The included appendicular skeletal structures are unremarkable. The cardiac silhouette and pulmonary vasculature are normal in size. The pulmonary parenchyma is unremarkable. The pleural space is normal. There is no intrathoracic lymphadenopathy. The trachea is normal in diameter and course. The stomach contains minimal. The small intestines are normal in size, course and content. The colon contains formed fecal material. The liver and spleen are normal in size and margin. The kidneys are not clearly visualized due to visceral crowding. The urinary bladder is normal in size and opacity.</t>
  </si>
  <si>
    <t>1. Unremarkable spine. The lack of any apparent intervertebral disc space narrowing does not exclude the possibility of intervertebral disc disease. Neurology consultation and MRI can be considered for further evaluation if clinical signs persist or worsen in spite of strict activity restriction and pain management._x000D_
2. Normal thorax._x000D_
3. Unremarkable abdomen.</t>
  </si>
  <si>
    <t xml:space="preserve">
1.A minimal interstitial pulmonary pattern with a concurrent, mild perihilar infiltrate have been detected._x000D_
2.The cardiac silhouette size is normal._x000D_
3.There is no evidence of ALVEOLAR PATTERN, DYNAMIC AIRWAY COLLAPSE or BRONCHIECTASIS, PULMONARY NODULES or PLEURAL EFFUSION.</t>
  </si>
  <si>
    <t>Patient Name : BEAR EZELLE, Date of study: Sep 28, 2024
4 images are provided for review
There are no previous radiographs for comparison.
Bones/Joints:
The T11-12 intervertebral disc space is slightly narrow in the more cranially centered images, similar to the anticlinal space (T10-11).  This is less well-identified in the caudally centered images.    In situ intervertebral disc mineral is suspected at T11-12, T12-13 and L6-7.
There is no evidence of mineral over the intervertebral foramina.  There is no evidence of intervertebral dorsal articulation osteoarthrosis.
There is no evidence of medullary sclerosis, osteolysis, endosteal scalloping, or periosteal proliferation.
Soft tissues:  The included paraspinal soft tissues are normal.</t>
  </si>
  <si>
    <t xml:space="preserve">1. Possible T11-12 intervertebral disc disease versus artifact from positioning.
2. Possible in situ intervertebral disc mineral as above.
</t>
  </si>
  <si>
    <t>Consider neurologist consultation and MRI for further evaluation especially if clinical signs acutely change or worsen in the face of empirical therapy and supportive care for paraspinal pain.  Routine blood work and thoracic/abdominal imaging to screen for occult systemic disease prior to MRI/referral.</t>
  </si>
  <si>
    <t xml:space="preserve">
1.The cardiac silhouette size is normal._x000D_
2.There is no evidence of BRONCHITIS, ALVEOLAR PATTERN, DYNAMIC AIRWAY COLLAPSE or BRONCHIECTASIS or PULMONARY NODULES._x000D_
3.A mild perihilar infiltrate has been detected.</t>
  </si>
  <si>
    <t>6 images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t>
  </si>
  <si>
    <t>Radiographically normal thorax for patient of this age.</t>
  </si>
  <si>
    <t>Amanda Crabtree</t>
  </si>
  <si>
    <t>Patient Name : roxy linekin, Date of study: Sep 27, 2024
7 images are provided for review
There are no previous radiographs for comparison.
Bones/Joints:
The coxofemoral joints have no obvious osteoarthrosis.  There is adequate coverage of the femoral heads by the acetabulums.
The left stifle has no evidence of osteoarthrosis.
Ill-defined moth-eaten osteolysis is in the right distal femur.  Smooth periosteal proliferation is at the craniodistal aspect of the right femoral diaphyseal cortex.  The caudodistal margin of the right femoral metaphysis is undulat or has ill-defined periosteal proliferation.
Ill-defined increased soft tissue is suspected in or over the right infrapatellar fat pad.
The right stifle has no evidence of osteoarthrosis.  
The included right tarsus is normal. 
Soft tissues:  The soft tissues caudal to the right distal femur are mildly enlarged and superimpose over the right infrapatellar fat pad.   The right gluteal and bilateral thigh soft tissues are severely small.   The remaining included soft tissues are normal.</t>
  </si>
  <si>
    <t xml:space="preserve">1. Suspected evolving right distal femoral aggressive bone lesion with right distal femur periosteal proliferation, osteolysis, and local soft tissue swelling.
- Differential diagnoses include neoplasia such as osteosarcoma or less likely other primary neoplasm, or unlikely plasma cell tumor given reported gammopathy is polyclonal versus monoclonal, or unlikely osteomyelitis (fungal or bacterial agents).  
2. Possible right stifle synovial effusion/proliferation versus superimposed enlarged extracapsular soft tissues.
3. Right gluteal and thigh disuse muscle atrophy is suspected.
4. Left thigh disuse muscle atrophy is suspected.
5. No obvious coxofemoral joint osteoarthrosis.
6. No obvious stifle joint osteoarthrosis.  </t>
  </si>
  <si>
    <t>Consider biopsy of the right distal femur for a definitive diagnosis of suspected evolving aggressive bone lesion.  Further imaging with MRI or repeat radiographs could also be considered.  Routine blood work if not recently performed.  Oncologist consultation depending on results.  Empirical therapy and supportive care in the interim as needed.  Monitoring as directed, or sooner if clinical signs acutely change, fail to improve or worsen.</t>
  </si>
  <si>
    <t>Patient Name : Poppy Ziesmer, Date of study: Sep 27, 2024
2 images are provided for review
Canine Abdomen (2 Images) - 2 Lateral
There are no previous radiographs for comparison.
Liver: The liver is small with cranial dispalcement of the gastric axis.
Spleen: The spleen is not identified but no splenomegaly is present.
Kidneys: The kidneys are subjectively normal in size, with few small superimposed mineral foci in the lateral images.
Retroperitoneum: Retroperitoneal detail is adequate.
Urinary bladder/Urethra: The urinary bladder is enlarged and homogeneous soft tissue.  This results in cranial and dorsal dispalcement of the small intestine and colon.  
Peritoneum: Peritoneal detail is adequate.
Gastrointestinal tract: The stomach contains a moderate volume of gas and soft tissue material.   The stomach is within normal limits for size.
The small intestine contains minimal gas and mild fluid or is empty with a subjectively uniform population for size. 
The colon contains minimal fluid or is empty.  The colon is dorsally displaced and compressed in a dorsoventral dimension by the enlarged urinary bladder.
Musculoskeletal: T13-L1 and L1-2 intervertebral disc spaces are severely narrowed and mild kyphosis is present in this region as a result.  The patient is thin with concave soft tissue between spinous processes.  The remaining included musculoskeletal structures are normal.
Limited thorax:  Only in the left lateral image, a possible soft tissue nodule superimposes over the 2nd intercostal space.</t>
  </si>
  <si>
    <t xml:space="preserve">1. Urinary bladder enlargement such as from  occult obstruction versus behavioral or neurologic dysfunction (UMN bladder versus other).
- No radiopaque urocystoliths are identified.
2. Possible pulmonary nodule versus superimposed extra-thoracic soft tissue over the right cranial lung lobe.
3. Microhepatia versus variation of normal.
- If present, consider occult portosystemic shunt or unlikely chronic hepatitis/cirrhosis or other.
4. Gastric material due to recent meal versus gastritis/delayed emptying or less likely outflow tract obstruction.
5. Possible small nephroliths versus artifact or less likely other.
6. T13-L1 and L1-2 intervertebral disc disease with resultant kyphosis.
7. Thin body condition. </t>
  </si>
  <si>
    <t>Reported toxicosis may result in neurologic dysfunction (tremors, etc.) but current clinical signs are not clearly related to intoxication.  Consider poison control/manufacturers details for more information.  If microhepatia/portosystemic shunt is present, consider this may complicate the clinical presentation of toxicity.
Alternatively, if signs are unrelated to reported intoxication history, consider urinary tract obstruction from an occult source.  Urinary catheterization for decompression if clinically indicated.    Abdominal ultrasonography for further evaluation of the urinary bladder/urethra versus computed tomography urethrography/cystourethrography.  Routine blood work, bile acid testing, and urinalysis with culture/sensitivity testing for further evaluation. Three-view thoracic radiographs or computed tomography once stable for further evaluation of possible pulmonary nodule.  Oncologist consultation depending on results of additional diagnostics.  
If systemic disease is ruled out, consider MRI for further evaluation of recumbency and possible urinary bladder changes.</t>
  </si>
  <si>
    <t xml:space="preserve">
1.A minimal bronchointerstitial pulmonary pattern has been detected._x000D_
2.The cardiac silhouette size is normal._x000D_
3.There is no evidence of DYNAMIC AIRWAY COLLAPSE or BRONCHIECTASIS.</t>
  </si>
  <si>
    <t>Orthogonal views of the thorax are provided:_x000D_
_x000D_
Thorax:_x000D_
_x000D_
Cardiac silhouette has a normal shape and size._x000D_
Pulmonary vessels are within normal limits of size and shape._x000D_
Pulmonary parenchyma is bilaterally markedly atelectatic (worse in the left hemithorax) due to a bilateral moderate to severe volume of pneumothorax leading to tenting of the diaphragm. In the RL view there is a most likely pulmonary bulla superimposed with the cardiac silhouette, seen in the left caudal lung lobe. _x000D_
Mediastinum, diaphragm are within normal limits._x000D_
Old rib fractures are seen in the 10th, 11th and 12th right ribs.</t>
  </si>
  <si>
    <t>1) Bilateral moderate to severe pneumothorax: rule out spontaneous pneumothorax secondary to pulmonary bulla rupture in the left lung lobe vs secondary to lung pathology such as inhaled foreign body is less likely without any evidence of pulmonary patches and pleural effusion. _x000D_
2) The rib factures observed are old and are probably not related to the visualized pneumothorax.</t>
  </si>
  <si>
    <t>Consider a CT of the thorax in both positions (sternal and dorsal recumbencies) for further evaluation of causes for this pneumothorax (prior thoracocentesis trying to stabilize the patient).</t>
  </si>
  <si>
    <t>Vincente Cervera</t>
  </si>
  <si>
    <t xml:space="preserve">
1.A moderate perihilar infitlrate has been detected._x000D_
2.Minimal dynamic airway disease has been detected._x000D_
3.Pleural fissure lines or moderate pleural effusion has been detected. An overlying skin fold or in a moderately overweight animal, excessive pericardial fat could artifactually mimic the result of moderate pleural effusion._x000D_
4.The cardiac silhouette size is normal._x000D_
5.There is no evidence of PULMONARY NODULES._x000D_
6.A severe interstitial to alveolar pattern has been detected.</t>
  </si>
  <si>
    <t>Patient Name : Otto Harvey, Date of study: Sep 27, 2024
3 images are provided for review
Canine Thorax (3 Images) - 2 Lateral, 1 Vd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</si>
  <si>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Mild-moderate diffuse bronchial pulmonary pattern.
- Differential diagnoses include infectious/immune-mediated lower airway disease such as from mycoplasma spp., bordetella spp., parasitism, or inhaled allergen/irritant, fibrosis from prior disease, age-related changes, or unlikely other.
2. No obvious pulmonary soft tissue nodules or intra-thoracic lymphadenomegaly.
3. No current evidence of alveolar pattern/aspiration pneumonia.</t>
  </si>
  <si>
    <t>Consider computed tomography and/or rhinoscopy for further evaluation of reported unilateral epistaxis. Routine blood work may be contributory if not recently performed.  Abdominal imaging for further evaluation of reported episode of vomiting may be contributory if not recently performed.  Empirical therapy and supportive care in the interim as needed.  Monitoring as directed or sooner if clinical signs acutely change, fail to improve or worsen.</t>
  </si>
  <si>
    <t xml:space="preserve">
1.A minimal bronchial pattern has been detected._x000D_
2.The cardiac silhouette size is normal._x000D_
3.There is no evidence of ALVEOLAR PATTERN, PERIHILAR INFILTRATE, DYNAMIC AIRWAY COLLAPSE or BRONCHIECTASIS or PULMONARY NODULES.</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</si>
  <si>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Bilateral shoulder periarticular osteophytosis.</t>
  </si>
  <si>
    <t>1) Unremarkable thorax without signs of pulmonary metastases nor signs of thoracic lymphadenopathy.</t>
  </si>
  <si>
    <t>Consultate with the clinician in charge of the case.</t>
  </si>
  <si>
    <t xml:space="preserve">
1.Are respiratory signs present? If NO._x000D_
2.MODERATE INTERSTITIAL TO ALVEOLAR PATTERN; MILD BRONCHITIS._x000D_
3.Based on these AI airway/pulmonary findings, the probability of this patient having clinically detectable respiratory signs is MEDIUM (50%)_x000D_
4.The cardiac silhouette size is normal._x000D_
5.There is no evidence of DYNAMIC AIRWAY COLLAPSE or BRONCHIECTASIS._x000D_
6.Are respiratory signs present? If YES.</t>
  </si>
  <si>
    <t>4 images of the thorax and abdomen are presented for review.  The cardiovascular structures are normal.  There is a moderate bronchial pattern in all lung lobes.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 13th ribs are hypoplastic bilaterally.  Osteophytes present on the femoral trochlear ridges and tibial plateaus bilaterally.</t>
  </si>
  <si>
    <t>Radiographically normal abdomen.  Moderate bronchial pulmonary pattern=ZZ90= consider bronchitis, response to inhaled irritants, response to circulating parasites, eosinophilic bronchopneumopathy.  Airway sampling may be helpful in further evaluation.  Severe bilateral stifle DJD.</t>
  </si>
  <si>
    <t xml:space="preserve">
1.MINIMAL to MILD BRONCHOINTERSTITIAL PULMONARY PATTERN; POTENTIAL FOR FOCAL ATELECTASIS._x000D_
2.MILD BRONCHOINTERSTITIAL PULMONARY PATTERN; MINIMAL to MILD PERIHILAR PATTERN._x000D_
3.Based on these AI airway/pulmonary findings, the probability of this patient having clinically detectable respiratory signs is LOW (25%)_x000D_
4.Based on the AI airway/pulmonary findings, the probability of this patient having clinically detectable respiratory signs is LOW (25%)_x000D_
5.In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6.Are respiratory signs present? If YES._x000D_
7.Are respiratory signs present? If NO._x000D_
8.The cardiac silhouette size is normal._x000D_
9.In the PRESENCE of respiratory signs, low grade active pneumonitis (allergic, bacterial, parasitic (including heartworm disease), inhaled allergen or toxin) or upper airway disease causing pulmonary hypoinflation and/or recurrent microaspiration may be more likely.</t>
  </si>
  <si>
    <t>Opposite lateral and VD views of the thorax and abdomen are provided. There are eight images total._x000D_
_x000D_
The cardiac silhouette is moderately enlarged with rounded shape. There is a moderate to severe diffuse interstitial pattern. There is ill defined increased opacity around the pulmonary hilus and in the cranial thorax. The cranial mediastinum is widened. In the VD thorax views, there is a smoothly marginated dome-shaped opacity along the lateral margin of the thoracic cavity at the level of the seventh rib suspected to represent a subpleural nodule. There is subtle opacity suspected to represent periosteal response associated with the lateral aspect of the rib in this area._x000D_
_x000D_
The abdomen is distended, with a moderate reduction in serosal detail. The organs still appear to be within normal size and shape limits. No mass lesions are identified._x000D_
_x000D_
There is moderate spondylosis involving the lumbosacral junction. No destructive bone lesions are seen.</t>
  </si>
  <si>
    <t>The rounded appearance enlargement of the heart is suspicious for pericardial effusion or Dilated Cardiomyopathy._x000D_
There is ill defined opacity concerning for thoracic lymphadenopathy in the cranial mediastinum and around the pulmonary hilus._x000D_
There is also a diffuse interstitial pattern is not entirely typical of pneumonia or heart failure._x000D_
There is fluid in the abdomen without a specific abdominal cause._x000D_
_x000D_
Primary differentials based on these findings include lymphoma or systemic infectious disease such as fungal disease causing thoracic lymphadenopathy and pericarditis with secondary ascites._x000D_
_x000D_
There is suspicion of a nodule at the pleural margin of the right middle lung field. This appears to be within the thoracic cavity but there is also suspicion of associated periosteal response involving the nearby rib. Neoplasia is a primary concern for this finding as well.</t>
  </si>
  <si>
    <t>The ascites is suspected to be secondary to cardiac pathology, potentially pericardial effusion. There also appears to be thoracic lymphadenopathy and an interstitial lung pattern, which would be compatible with lymphoreticular neoplasia or atypical systemic infectious disease._x000D_
_x000D_
Echocardiography is recommended. If present, and analysis of pericardial fluid is recommended to rule out neoplastic or infectious causes._x000D_
CT could also be helpful to better define the thoracic changes.</t>
  </si>
  <si>
    <t>Andrew Jones</t>
  </si>
  <si>
    <t xml:space="preserve">
1.MODERATE INTERSITIAL TO ALVEOLAR PATTERN; MILD BRONCHITIS; MINIMAL PERIHILAR INFILTRATE._x000D_
2.Probability these AI pulmonary findings will accompany clinically detectable respiratory signs: MEDIUM to HIGH (50-75%%)_x000D_
3.Are respiratory signs present? If YES._x000D_
4.AI linked bacterial pneumonia treatment in dogs: https://platform.v2.vetology.net/doc/pneumonia-in-dogs-and-cats_x000D_
5.Are respiratory signs present? If NO._x000D_
6.Pleural fissure lines or small volume pleural effusion has been detected. In a mildly overweight animal, excessive pericardial fat can artifactually mimic the result of minimal pleural effusion._x000D_
7.Severe cardiomegaly has been detected but Heart Failure is NOT suspected.</t>
  </si>
  <si>
    <t xml:space="preserve">Cardiomegaly with lung disease:&lt;br&gt;
1. Cardiomegaly detected. Heart failure is NOT suspected.&lt;br&gt;
2. Concurrent pulmonary pattern identified that is unlikely to be due to left sided cardiac disease (see specifics in the Airway/Pulmonary Findings section below). </t>
  </si>
  <si>
    <t>Opposite lateral and VD views of the thorax and neck are provided._x000D_
_x000D_
No laryngeal or tracheal abnormalities are identified._x000D_
No pulmonary infiltrates or bronchial thickening are seen._x000D_
The heart is at the upper end of normal size range. Subtle bulges can be seen in the area of the left and right atrium but the appearance is subtle and equivocal. Vertebral Heart Score is 10.9, at the upper end of acceptable range for breed. Pulmonary vessels are normal. The cranial abdomen is unremarkable._x000D_
Mild chronic remodeling changes are present involving the shoulders.</t>
  </si>
  <si>
    <t>Heart size is borderline. Mild chamber dilation cannot be excluded but is not definitively present. Cardiac disease is unlikely to be relevant to the current coughing complaint._x000D_
_x000D_
No pulmonary abnormalities are identified that would explain the cough. There is also no radiographic evidence of collapsing trachea or laryngeal disease._x000D_
Viral tracheobronchitis or allergic lung disease could still be present.</t>
  </si>
  <si>
    <t>Symptomatic therapy for the cough is recommended._x000D_
There is not a definitive indication for cardiac medications based on the radiographic appearance of the heart.</t>
  </si>
  <si>
    <t xml:space="preserve">
1.MILD BRONCHOINTERSTITIAL PULMONARY PATTERN; MILD DYNAMIC AIRWAY DISEASE; MINIMAL PERIHILAR INFILTRATE._x000D_
2.Based on these AI airway/pulmonary findings, the probability of this patient having clinically detectable respiratory signs is MEDIUM (50%)_x000D_
3.Are respiratory signs present? If YES._x000D_
4.Are respiratory signs present? If NO._x000D_
5.Mild cardiomegaly has been detected but Heart Failure is NOT suspected.</t>
  </si>
  <si>
    <t>Orthogonal views of the thorax are provided:_x000D_
_x000D_
Thorax:_x000D_
_x000D_
No abnormalities seen in the trachea._x000D_
Cardiac silhouette has a normal shape and size._x000D_
Pulmonary vessels are within normal limits of size and shape._x000D_
Pulmonary parenchyma is within normal limits. No evidence of pneumonia._x000D_
Pleural space, mediastinum, diaphragm and thoracic wall within normal limits._x000D_
_x000D_
Liver extends beyond the costal arch with sharp margins.</t>
  </si>
  <si>
    <t>1) Unremarkable lungs do not exclude a bronchitis of allergic origin vs inflammatory/infectious or parasitic origin._x000D_
2) Hepatomegaly: Metabolic vs Vacuolar infiltration vs Hepatic nodular hyperplasia vs Inflammatory vs Toxic vs Neoplastic or a combination of these differentials.</t>
  </si>
  <si>
    <t>Consider empirical treatment for chronic bronchitis evaluating response to treatment (based on these radiographs there is no need of furosemide). If clinical signs persist, consider a bronchoscopy with BAL, culture, cytology, Baermann test and deworming._x000D_
Consider abdominal US to further evaluate the liver.
(amended on 09/28/2024 00:52)
If clinical signs persist, consulate with the clinician in charge of the case (given the age of the patient evaluate the convenience of a general anesthesia with bronchoscopy with BAL, culture, cytology, Baermann test and deworming).</t>
  </si>
  <si>
    <t xml:space="preserve">
1.MILD BRONCHOINTERSTITIAL PULMONARY PATTERN WITH ATELECTASIS or LESS LIKELY, PNEUMONIA, MILD PERIHILAR INFILTRATE._x000D_
2.MILD BRONCHOINTERSTITIAL PULMONARY PATTERN; MINIMAL DYNAMIC AIRWAY DISEASE; ATELECTASIS or less likely, pneumonia._x000D_
3.Based on these AI airway/pulmonary findings, the probability of this patient having clinically detectable respiratory signs is MEDIUM (50%)_x000D_
4.Probability these AI pulmonary findings will accompany clinically detectable respiratory signs: MILD TO MODERATE (25-50%)_x000D_
5.Are respiratory signs present? If YES._x000D_
6.Are respiratory signs present? If NO._x000D_
7.The cardiac silhouette size is normal._x000D_
8.Are respiratory signs present? If YES._x000D_
9.Are respiratory signs present? If NO.</t>
  </si>
  <si>
    <t>Orthogonal views of the thorax are provided:_x000D_
_x000D_
Thorax:_x000D_
_x000D_
There is marked cervical tracheal collapse._x000D_
Cardiac silhouette has a normal shape and size, shifted to the left hemithorax._x000D_
Pulmonary vessels are within normal limits of size and shape._x000D_
Pulmonary parenchyma shows focal alveolar pulmonary pattern cranioventrally located in the LL view, likely in the right cranial lung lobe. No signs of pulmonary nodules/masses._x000D_
Pleural space, mediastinum, diaphragm and thoracic wall within normal limits.</t>
  </si>
  <si>
    <t>1) Findings consistent with cervical tracheal collapse. _x000D_
2) Alveolar pulmonary pattern cranioventrally located in the LL view, likely in the right cranial lung lobe compatible with small volume of aspiration pneumonia vs positional atelectasis less likely.</t>
  </si>
  <si>
    <t>Consider empirical treatment for pneumonia with follow up radiographs every 48/72 hours to evaluate response to treatment. _x000D_
Once pneumonia is healed, consider fluoroscopy (followed by tracheobronchoscopy, BAL and culture/cytology) to rule in extrathoracic tracheal collapse and to rule in/out intrathoracic vs bronchial component, evaluating treatment options. Take advantage of the bronchoscopy to further evaluate the larynx given 30% of patients with tracheal collapse display different degrees of laryngeal paralysis.</t>
  </si>
  <si>
    <t xml:space="preserve">
1.Are respiratory signs present? If YES._x000D_
2.Are respiratory signs present? If NO._x000D_
3.MODERATE INTERSTITIAL TO ALVEOLAR INFILTRATE; MILD BRONCHIAL PATTERN; MINIMAL PERIHILAR INFILTRATE._x000D_
4.Based on these AI airway/pulmonary findings,  the probability of this patient having clinically detectable respiratory signs is HIGH (75%)_x000D_
5.Pleural fissure lines or small volume pleural effusion has been detected. In a mildly overweight animal, excessive pericardial fat can artifactually mimic the result of minimal pleural effusion._x000D_
6.Mild cardiomegaly has been detected but Heart Failure is NOT suspected.</t>
  </si>
  <si>
    <t>Patient Name: Olivander Mengers. 
Date of study: Sep 27, 2024
Orthogonal thoracic radiographs (6 images, VD and R and L lateral) are available for review. No prior thoracic radiographs are available for comparison. 
Neck: Minimal gas is present in the cranial cervical esophagus. 
Thorax: 
Airway/pulmonary parenchyma: The lungs are underinflated on all projections with some radiographs being expiratory. 
The intra- and extrathoracic trachea are normal. Primary lobar bronchial diameter decreases to approximately 50% diameter on the expiratory radiograph. Secondary bronchial diameter collapses cranioventrally and caudodorsally on the left lateral expiratory radiograph. On the left lateral inspiratory radiograph, a thin-walled bulla is noted in the caudal lungs and the cranial lung lobe only extends to the level of the 3rd rib.
On the VD projection, alveolar infiltrates affect the left cranial lung lobe and an interstitial pattern affects the remaining lung lobes. The cranial lung lobes extend to the 1st intercostal space but not to the thoracic inlet, particularly on the left.
Cardiovascular: On the lateral projection, there is mild right sided cardiomegaly, a soft tissue bulge in the aortic region and minimal left atrial enlargement. Also, the pulmonary vein to the left cranial lung lobe is slightly larger than the corresponding artery. Rounding to the cardiac margin, along with pericardial fat, is present on the VD projection. CVC size is normal. 
Mediastinum: Cranial mediastinal widening is present on all projections.  
Pleural space: No abnormalities noted. 
Cranial abdomen: The liver size is normal but the liver margin is rounded. The stomach is ingesta distended. 
Msk: On the lateral projections, the C4-5 through C7-T1 lateral foramina appear smoothly widened. On the VD projection, the right C5 and C6 lateral foramina have a lucent appearance. 
Asymmetry to the forelimb musculature is present with the right appearing slightly atrophied compared to the left.</t>
  </si>
  <si>
    <t>1) Dynamic bronchial collapse. This is likely contributing to the cough. DDx: bacterial vs. allergic vs. less suspected, parasitic causes. Gastroesophageal reflux disease or recurrent microaspiration secondary to an upper airway partial obstruction is an additional consideration. 
2) Left sided alveolar infiltrates consistent with aspiration pneumonia. This is also likely contributing to the cough.
3) Mild cardiomegaly with both left and right sided enlargement. DDx for the left sided enlargement: valve disease +/- systemic hypertension. DDx for the right sided enlargement: rule out pulmonary hypertension. Heart failure is not suspected at this time.
4) Cranial thoracic mediastinal widening. Fat deposition suspected but a thoracic inlet mass, particularly on the left side, cannot be excluded. 
5) Foraminal appearance to the mid- and caudal cervical vertebrae and right periscapular muscle atrophy. If unilateral muscle atrophy and/or unilateral neuro deficits are present, consider a nerve root enlargement/tumor.</t>
  </si>
  <si>
    <t>Treatment for aspiration pneumonia and bronchial collapse. Cardiac ultrasound, ECG and systemic blood pressure evaluation to assess for cardiac disease. Endotracheal lavage and/or bronchoscopy with BAL should be considered if empirical therapy is unrewarding. 
Assess for forelimb muscle asymmetry with neurologist consultation if asymmetry or weakness are present. 
Ultrasound and/or CT evaluation of the cranial mediastinum if a mediastinal mass is suspected or if caudal retraction to the cranial lung lobes progresses on follow-up radiographs.</t>
  </si>
  <si>
    <t>Seth Wallack</t>
  </si>
  <si>
    <t xml:space="preserve">
1.Are respiratory signs present? If YES._x000D_
2.Are respiratory signs present? If NO._x000D_
3.SEVERE ALVEOLAR PATTERN; MILD, DIFFUSE BRONCHOINTERSTITIAL PULMONARY PATTERN; MILD DYNAMIC AIRWAY DISEASE._x000D_
4.Based on these AI airway/pulmonary findings, the probability of this patient having clinically detectable respiratory signs is VERY HIGH (&gt;75%)_x000D_
5.The cardiac silhouette size is normal.</t>
  </si>
  <si>
    <t xml:space="preserve">Patient Name : honey charnow-rivera, Date of study: Sep 27, 2024
5 images are provided for review
There are no previous radiographs for comparison.
Caudal abdomen tip is absent in the lateral image, and portions of the mid-abdomen are excluded  in the ventrodorsal images.
Pulmonary parenchyma: The lungs are mild to moderately hypoinflated.  Only in the ventrodorsal image, an interstitial to alveolar pattern is over the area of the right middle lung lobe.  A mild diffuse bronchial and minimal diffuse interstitial pattern is present.
Pulmonary vasculature: The pulmonary vasculature is subjectively normal in size and tapers in the periphery of the lungs.
Cardiac silhouette: The cardiac silhouette is  severely generally enlarged in the ventrodorsal image.  The cardiac silhouette is tall in the lateral image and occupies 2/3 the height of the thorax, with dorsal trachea dispalcement.  the cardiac silhouette is severely widened and occupies the width of 4-5 intercostal spaces in the lateral image.
Mediastinum: The cranial mediastinum is normal.
Trachea: An endotracheal tube is present that terminated over the mid-trachea in the right lateral image.  The trachea is normal.
Esophagus: The esophagus is not well-identified.
Pleural space: The pleural space is normal.
Liver: The liver has a slightly rounded caudoventral margin.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and fluid.   The stomach is within normal limits for size.
The small intestine contains minimal gas and mild  fluid or is empty with a subjectively uniform population for size. 
The colon contains moderate heterogeneous soft tissue material and gas.  The colon is within normal limits for size.  
Bones/Joints/Soft tissues: A mineralized nodule is presumed to arise from the ventral extra-thoracic soft tissue in the lateral images.  The remaining included musculoskeletal structures are normal.  Moderate bilateral coxofemoral joint osteoarthrosis is present, and the acetabulums are shallow with under 50% coverage of the femoral heads.  </t>
  </si>
  <si>
    <t>1. Severe generalized cardiomegaly.
- Differential diagnoses include dilated cardiomyopathy or less likely tricuspid/mitral valvular disease or other.
2. Right middle lung lobe interstitial to alveolar soft tissue due to atypical or redistributed pulmonary edema/left-sided congestive heart failure, versus aspiration pneumonia, or unlikely hemorrhage, atelectasis, or other.
3. Mild diffuse bronchial and minimal interstitial pulmonary patterns due to fibrosis from prior disease, age-related changes, or less likely other.
4. Mineralized ventral extra-thoracic granuloma or secondary to dystrophic mineralization, or calcium:phosphorus imbalance, or evolving neoplasia.
5. Moderate bilateral coxofemoral joint osteoarthrosis and subluxation.
6. Slight hepatomegaly versus variation of normal.
- Consider evolving congestion versus vacuolar hepatopathy, nodular hyperplasia, hepatitis/cholangiohepatitis, or unlikely evolving neoplasia.</t>
  </si>
  <si>
    <t>Echocardiography, eCG and blood pressure for further evaluation. Oxygen therapy and diuretic therapy with repeat 4-view thoracic radiographs to monitor for progression/resolution of the pulmonary pattern.  Abdominal ultrasonography versus computed tomography for further evaluation of the liver given the size of this patient.  Monitoring as directed or sooner if clinical signs acutely change, fail to improve or worsen.</t>
  </si>
  <si>
    <t xml:space="preserve">
1.Pleural fissure lines or moderate pleural effusion has been detected. An overlying skin fold or in a moderately overweight animal, excessive pericardial fat could artifactually mimic the result of moderate pleural effusion._x000D_
2.Severe cardiomegaly has been detected but Heart Failure is NOT suspected._x000D_
3.Are respiratory signs present? If NO._x000D_
4.MODERATE DYNAMIC AIRWAY DISEASE; MODERATE INTERSTITIAL TO ALVEOLAR INFILTRATE, MILD BRONCHIAL PATTERN, MILD PERIHILAR INFILTRATE._x000D_
5.Based on these AI airway/pulmonary findings, the probability of this patient having clinically detectable respiratory signs is MEDIUM (50%)_x000D_
6.Are respiratory signs present? If YES.</t>
  </si>
  <si>
    <t>Patient Name : shannon Shepard, Date of study: Sep 27, 2024
5 images are provided for review
There are no previous radiographs for comparison.
Cranial thorax is excluded in all images.
Pulmonary parenchyma: A mild diffuse bronchial pattern is present.
Pulmonary vasculature: The pulmonary vasculature is subjectively normal in size and tapers in the periphery of the lungs.
Cardiac silhouette: The cardiac silhouette is tall and occupies 2/3 the height of the thorax, with dorsal tracheal displacement.  The cardiac silhouette is suspiciously widened in the mildly oblique ventrodorsal image.
Mediastinum: The cranial mediastinum is normal on limited evaluation.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Gas is in the pylorus in the left lateral image.  Gastric rugal folds are prominent in the ventrodorsal image. The stomach is within normal limits for size.
The small intestine contains minimal gas, mild fluid or is empty with a subjectively uniform population for size. 
The colon contains minimal soft tissue material or fluid and gas.  The colon is within normal limits for size.  
Musculoskeletal: In situ intervertebral disc mineralization is at L4-5,  L5-6, and L6-7.  Pin-point mineral superimposes over the L2-3 intervertebral foramina in the lateral images. T13 is transitional with an absent right and hypoplastic left rib.  Multiple prominent nipples superimpose over the abdomen in the ventrodorsal image.  Multiple thoracic vertebrae are narrowed or wedge-shaped from T6 through T9 and at T2.  Caudal vertebral anomalies are present (screw tail).  The remaining included musculoskeletal structures are normal.</t>
  </si>
  <si>
    <t>1. Mild left-sided  or generalized cardiomegaly such as from myxomatous mitral valvular disease with/without tricuspid valvular disease, cor pulmonale, or unlikely other.
- There is no current evidence of left-sided congestive heart failure.
2. Mild diffuse bronchial pulmonary pattern such as from fibrosis from prior disease, age-related changes, infectious/immune-mediated lower airway disease, inhaled allergen/irritant, or unlikely other.
3. Prominent gastric rugal folds due to non-specific gastritis versus variation of normal.
4. Pin-point mineral of L2-3 intervertebral foramina due to mineralized extruded intervertebral disc material, dural mineral or less likely other.
5. L4-5, L5-6 and L6-7 in situ intervertebral disc mineralization.</t>
  </si>
  <si>
    <t>Consider routine blood work, urinalysis, GI panel, echocardiography, eCG and blood pressure for further evaluation of clinical signs and cardiomegaly, especially given reported murmur.  Abdominal ultrasonography for further evaluation of the gastrointestinal tract may be contributory.  Consider evaluation of the nares/larynx for brachycephalic airway syndrome contributing to reported signs.  Neurologist consultation and MRI for further evaluation of myelopathy, possibly from disc disease/extrusion at L2-3.  Empirical therapy and supportive care in the interim as needed.  Monitoring as directed, or sooner if clinical signs acutely change, fail to improve or worsen.</t>
  </si>
  <si>
    <t xml:space="preserve">
1.A mild perihilar infiltrate has been detected._x000D_
2.A mild interstitial pattern has been detected._x000D_
3.Pleural fissure lines or moderate to severe pleural effusion has been detected. An overlying skin fold or in an obese animal, excessive pericardial fat could artifactually mimic the result of severe pleural effusion._x000D_
4.The cardiac silhouette size is normal._x000D_
5.There is no evidence of ALVEOLAR PATTERN or DYNAMIC AIRWAY COLLAPSE or BRONCHIECTASIS.</t>
  </si>
  <si>
    <t>Patient Name : Pumpkin Nguyen, Date of study: Sep 27, 2024
3 images are provided for review
Canine Abdomen (3 Images) - 2 Lateral, 1 Vd
There are no previous radiographs for comparison.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and mild fluid.   Gas is in the pylorus in the left lateral image. The stomach is within normal limits for size.
The small intestine contains mild to moderate fluid, or is empty with a subjectively uniform population for size. 
The colon contains mild gas and has a mildly spastic wall.  The colon is within normal limits for size.  
Musculoskeletal: The included musculoskeletal structures are normal.</t>
  </si>
  <si>
    <t>1. Non-specific gastrointestinal tract appearance such as from enteritis, colitis, or unlikely individual variation of normal given reported history.
- Differential diagnoses for enteritis/colitis include dietary indiscretion, toxin ingestion, diet/antibiotic responsive disease, inflammatory bowel disease, parasitism/primary infectious disease, pancreatitis or occult systemic disease.
- There is no current evidence of gastrointestinal mechanical ileus.</t>
  </si>
  <si>
    <t xml:space="preserve">Etiology of reported intermittent vomiting and progressive large-bowel diarrhea signs are not definitively identified.  Consider also empirical deworming/fecal analysis in addition to reported diagnostics.  Depending on results of pending diagnostics and empirical therapy, consider abdominal ultrasonography for further evaluation of the intestine.   Internist consultation if signs fail to improve or worsen in the face of empirical therapy, and additional diagnostics are inconclusive.  </t>
  </si>
  <si>
    <t xml:space="preserve">
1.A minimal perihilar infiltrate has been detected._x000D_
2.The cardiac silhouette size is normal._x000D_
3.There is no evidence of BRONCHITIS, ALVEOLAR PATTERN, DYNAMIC AIRWAY COLLAPSE or BRONCHIECTASIS, PULMONARY NODULES or PLEURAL EFFUSION.</t>
  </si>
  <si>
    <t>Orthogonal views of the thorax and abdomen are provided and compared to the previous exam on the 08/27/24:_x000D_
_x000D_
Thorax:_x000D_
_x000D_
Cardiac silhouette shows an unchanged moderate enlargement of the left atrium dorsally displacing the carina._x000D_
Pulmonary vessels are within normal limits of size and shape._x000D_
Pulmonary parenchyma shows an unchanged ill defined alveolo-interstitial patch caudodorsally located in the right caudal lung lobe. 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show bilateral renoliths._x000D_
Urinary bladder WNL._x000D_
_x000D_
T13 shows no ribs.</t>
  </si>
  <si>
    <t>1) Left atrial enlargement secondary to chronic mitral endocardiosis with  unchanged ill defined alveolo-interstitial patch caudodorsally located in the right caudal lung lobe. Given the unchanged appearance of the right caudal lung lobe and rotation of the radiographs, consider close monitoring with an echocardiogram to help rule in/out a LSCHF vs an infiltrative process in this lung lobe._x000D_
2) Bilateral renoliths.</t>
  </si>
  <si>
    <t>Consider a cardiology consultation with ECG and echocardiogram to help rule in/out a LSCHF._x000D_
Consider abdominal US to further evaluate the urinary tract with renal function, UPC and urinalysis.</t>
  </si>
  <si>
    <t xml:space="preserve">
1.MILD BRONCHOINTERSTITIAL PULMONARY PATTERN; MILD PERIHILAR INFILTRATE; MILD DYNAMIC AIRWAY DISEASE; ATELECTASIS or less likely, pneumonia._x000D_
2.Based on the AI airway/pulmonary findings, the probability of this patient having clinically detectable respiratory signs is MEDIUM (50%)_x000D_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6.Moderate cardiomegaly has been detected but Heart Failure is NOT suspected.</t>
  </si>
  <si>
    <t>Opposite lateral and VD thoracoabdominal views are provided._x000D_
_x000D_
No pulmonary infiltrates or pleural effusion are identified. The appearance of the lungs is within normal limits for the age of the patient. No tracheal abnormalities are identified. In the lateral thorax views, there is a faint increase in opacity in the area of the caudal esophagus. The appearance is equivocal=ZZ90= this can be associated with the esophageal thickening but is also not uncommon as an incidental finding._x000D_
_x000D_
There is mottled mineral opacity in the right liver in the area of the gallbladder, presumed to represent abnormal mineral dense gallbladder content such as choleliths and sediment. No abnormalities are identified involving the gastrointestinal tract. In the lateral views there is ill defined increased opacity in the cranial dorsal abdomen caudal to the stomach, but no corresponding shadow is seen in the VD view. The appearance in the lateral views may be artifactual due to rotation. Serosal detail in the abdomen is normal._x000D_
There is moderate thoracolumbar spondylosis.</t>
  </si>
  <si>
    <t>The cardiopulmonary structures are within normal limits. No tracheal abnormalities are identified. There are no findings that would explain the cough._x000D_
Slight increased opacity in the area of the caudal esophagus could be associated with reflux esophagitis, but this is also sometimes seen as an incidental finding._x000D_
Suspected increased opacity in the cranial dorsal abdomen is equivocal. This is not confirmed in all views and could be artifactual. Increased opacity in this area can be associated with pancreatic inflammation._x000D_
_x000D_
There is evidence of cholelithiasis. Relevance to the clinical signs is potentially limited.</t>
  </si>
  <si>
    <t>Endoscopy or ultrasound could be considered for more complete evaluation.</t>
  </si>
  <si>
    <t xml:space="preserve">
1.The cardiac silhouette size is normal._x000D_
2.There is no evidence of ALVEOLAR PATTERN, PERIHILAR INFILTRATE or DYNAMIC AIRWAY COLLAPSE or BRONCHIECTASIS._x000D_
3.A mild bronchial pattern has been detected.</t>
  </si>
  <si>
    <t>Orthogonal radiographs of the thorax, and five views of the abdomen are provided. The heart and pulmonary vessels are normal size and shape. There is a round 1.5 cm increased opacity overlying the caudal thorax/ventral diaphragm on the lateral view. No other nodular contours are appreciated. There is no pleural effusion or intrathoracic lymphadenomegaly._x000D_
_x000D_
In the abdomen there is no effusion. The liver and spleen are normal size. The kidneys are incompletely visible. The gastrointestinal tract is mildly filled. No osseous abnormalities. The region of the medial iliac lymph node is unremarkable. No prostatomegaly or radiopaque urolithiasis.</t>
  </si>
  <si>
    <t>Possible solitary pulmonary nodule, concerning for metastatic disease. Summating normal anatomy could also cause this appearance. Otherwise normal thorax and abdomen.</t>
  </si>
  <si>
    <t>Consider repeating the right lateral view to determine if the nodular contour is persistent. Alternatively, repeat thoracic radiographs in one month to determine if the nodular structure is persistent/progressive.</t>
  </si>
  <si>
    <t>Victoria McEwen</t>
  </si>
  <si>
    <t xml:space="preserve">
1.MINIMAL to MILD DIFFUSE, MIXED BRONCHOINTERSTITIAL PULMONARY PATTERN with ATELECTASIS or less likely, pneumonia._x000D_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DYNAMIC AIRWAY COLLAPSE or BRONCHIECTASIS.</t>
  </si>
  <si>
    <t>Three radiographs of the thorax, three views of the abdomen, and two VD views of the pelvis/proximal pelvic limbs are provided. Previous pelvis images dated 10/14/22 are available for comparison. The cardiac silhouette and pulmonary vessels are normal size and shape. There are no abnormalities in the pulmonary parenchyma. No pleural effusion. Round soft tissue density ventral to the tracheal bifurcation on the right lateral view is end-on right main pulmonary artery. Normal cranial mediastinal width._x000D_
_x000D_
In the abdomen formed feces fills the colon. Small volume gas in the stomach and small bowel. There is no effusion. The kidneys, spleen, and liver are normal size and shape. Punctate mineral density overlying the urinary bladder may represent superimposed intestinal contents. Both femoral heads are adequately seated in the acetabula. There is faint curvilinear enthesophyte formation in the intertrochanteric groove bilaterally. Pelvic limb musculature is symmetric. Patellar location is normal. No abnormalities associated with the tibial plates or screws.</t>
  </si>
  <si>
    <t>Normal thorax and abdomen. Minimal enthesophyte formation on the proximal femurs suggestive of early coxofemoral joint osteoarthritis. This is of doubtful clinical significance today.</t>
  </si>
  <si>
    <t>No specific recommendations based on this study.</t>
  </si>
  <si>
    <t xml:space="preserve">
1.There is no evidence of BRONCHITIS, PERIHILAR INFILTRATE, DYNAMIC AIRWAY COLLAPSE or BRONCHIECTASIS or PLEURAL EFFUSION._x000D_
2.A minimal interstitial pattern has been detected._x000D_
3.The cardiac silhouette size is normal.</t>
  </si>
  <si>
    <t>Patient Name : Coco Talley, Date of study: Sep 27, 2024
5 images are provided for review
There are no previous radiographs for comparison.  Cranial thorax tip is just excluded from the ventrodorsal image.
N.B. Patient age in metadata is listed as "1 year".
Pulmonary parenchyma: A minimal to mild diffuse bronchial and minimal interstitial pattern is present.
Pulmonary vasculature: The pulmonary vasculature is subjectively normal in size and tapers in the periphery of the lungs.
Cardiac silhouette: The cardiac silhouette is mildly tall and occupies approximately 2/3 the height of the thorax, with slight dorsal tracheal dispalcement.  The cardiac silhouette is slightly widened and occupies 3 to 3.5 intercostal spaces with.  The caudodorsal margin of the cardiac silhouette is slightly flattened.  
Mediastinum: The cranial mediastinum is normal.
Trachea: The trachea is normal.
Esophagus: The esophagus is not well-identified.
Pleural space: The pleural space is normal.
Musculoskeletal: The included musculoskeletal structures are normal.</t>
  </si>
  <si>
    <t>1. Mild generalized cardiomegaly such as from myxomatous mitral and/or tricuspid valvular disease, cor pulmonale/pulmonary hypertension, or artifact from phase of the cardiopulmonary cycle/patient positioning.
- There is no current evidence of left-sided congestive heart failure.
2. Minimal-mild diffuse bronchial and interstitial pulmonary patterns due to infectious/immune-mediated lower airway disease (such as from bordetella spp., mycoplasma spp., or parasitism such as lung worms), or fibrosis from prior disease, age-related changes, or artifact, or unlikely other.</t>
  </si>
  <si>
    <t>Consider echocardiography, eCG and blood pressure for further evaluation especially if a murmur is later identified.  Consider routine blood work and urinalysis if not recently performed.  Consider respiratory PCR panel, airway sampling, and fecal analysis/deworming for further evaluation.  This examination does not rule out dynamic airway disease contributing to reported clinical signs.  Consider tracheoscopy/bronchoscopy/fluoroscopy for further evaluation if clinically indicated.  Empirical therapy and supportive care in the interim as needed.  Monitoring with serial thoracic radiographs as directed, or sooner if clinical signs acutely change, fail to improve or worsen.</t>
  </si>
  <si>
    <t xml:space="preserve">
1.Mild cardiomegaly has been detected but Heart Failure is NOT suspected._x000D_
2.SEVERE BRONCHIAL PATTERN; MODERATE DYNAMIC AIRWAY DISEASE._x000D_
3.Based on these AI airway/pulmonary findings, the probability of this patient having clinically detectable respiratory signs is VERY HIGH (&gt;75%)_x000D_
4.Are respiratory signs present? If YES._x000D_
5.AI link to canine airway collapse treatment article: https://platform.v2.vetology.net/doc/canine-tracheal-collapse-treatment_x000D_
6.Are respiratory signs present? If NO.</t>
  </si>
  <si>
    <t>9 images of the thorax, abdomen, and left thoracic limb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  There is narrowing of the intervertebral disc spaces and spondylosis deformans at T12-L3 and C6-7.  The sacrum is displaced ventrally relative to L7.  There is marked widening of the articular facets and sclerosis of the vertebral endplates at this level.  There is also ventral displacement of Cd5 relative to Cd4.  The joint surfaces are smooth and regular.  Osteophytes are present at the caudal aspect of the left humeral head and glenoid cavity.  There is a mildly comminuted fracture of the distal diaphysis of the left humerus with marked caudolateral and proximal displacement.  No lytic changes are seen.</t>
  </si>
  <si>
    <t>Radiographically normal abdomen.  Radiographically normal thorax for patient of this age.  Lumbosacral and tail luxations, felt likely to be chronic.  Comminuted left humeral fracture.  Surgical correction would be ideal=ZZ90= the degree of musculature contributing to displacement may make splinting difficult to obtain anatomic alignment.  Moderate left shoulder DJD.  Changes at C6-7 in the thoracolumbar spine are likely due to chronic intervertebral disc herniations.</t>
  </si>
  <si>
    <t xml:space="preserve">
1.The cardiac silhouette size is normal._x000D_
2.There is no evidence of INTERSTITIAL or ALVEOLAR PATTERN, BRONCHITIS, DYNAMIC AIRWAY COLLAPSE or BRONCHIECTASIS or PLEURAL EFFUSION.</t>
  </si>
  <si>
    <t>Three radiographs of the thorax and three views of the abdomen are provided. The cardiac silhouette is normal size and shape with no chamber enlargement. Pulmonary vessels are normal size. There are a few incidental pulmonary osteomas, otherwise the lungs are clear. No pleural effusion or intrathoracic lymphadenomegaly._x000D_
_x000D_
In the abdomen the splenic tail has a rounded contour on the right lateral view. The liver and kidneys are normal size. The stomach contains a small to moderate amount of soft tissue density stippled with gas and a crumpled metal opaque 2.8 cm wire-like object. Small bowel are minimally filled. There is gas in the cecum and colon. No radiopaque urolithiasis.</t>
  </si>
  <si>
    <t>1. Wire gastric foreign material. This is of a size that may not pass successfully. In the absence of vomiting, significance is uncertain. No other gastrointestinal abnormalities._x000D_
2. Rounded splenic tail consistent with the reported mass lesion._x000D_
3. Normal thorax, with no evidence of pulmonary metastatic disease.</t>
  </si>
  <si>
    <t>Consider a splenectomy and retrieval of gastric foreign material. There is no contraindication for general anesthesia based on this study.</t>
  </si>
  <si>
    <t>Patient Name : Copper Sanders, Date of study: Sep 27, 2024
2 images are provided for review
There are no previous radiographs for comparison.
Cranial thorax tip is excluded from the ventrodorsal image.
Pulmonary parenchyma: A mild diffuse bronchial pattern is present.
Pulmonary vasculature: The pulmonary vasculature is subjectively normal in size and tapers in the periphery of the lungs.
Cardiac silhouette: The cardiac silhouette is tall and occupies approximately 2/3 the height of the thorax.  The cardiac silhouette is generally widened and rounded, occupying up to 4 intercostal spaces width in the lateral image.  Rounded increased soft tissue is suspected in the region of the left atrium.
Mediastinum: The cranial mediastinum is subjectively normal.
Trachea: The trachea has a slightly undulant, well-defined dorsal margin.
Esophagus: The esophagus is not well-identified.
Pleural space: The pleural space is normal.
Liver: The liver is subjectively normal in size.
Spleen: The spleen is normal in size with smooth margins and homogeneous soft tissue.
Kidneys: The right kidney is partially obscured without obvious renomegaly or mineral.  The left kidney has ill-defined mineral superimposed in the ventrodorsal image.  
Retroperitoneum: Retroperitoneal detail is adequate.
Urinary bladder/Urethra: The urinary bladder contains multiple (at least seven)
Peritoneum: Peritoneal detail is adequate.
Gastrointestinal tract: The stomach contains a moderate volume of soft tissue material and gas.  Some soft tissue material is well-defined and rectangular in the proximal body of the stomach in the right lateral image.   The stomach is within normal limits for size.
The small intestine contains mild heterogeneous soft tissue material in the caudoventral abdomen, and otherwise contains mild gas, minimal fluid, or is empty.  Overall the small intestine has a subjectively uniform population for size. 
The colon contains moderate well-defined soft tissue material and gas.  The colon is within normal limits for size.  
Musculoskeletal: Multifocal thoracolumbar spondylosis deformans is present.  The remaining included musculoskeletal structures are normal.</t>
  </si>
  <si>
    <t>1. Mild left-sided cardiomegaly and suspected right-sided cardiomegaly such as from myxomatous mitral valvular disease and insufficiency, with/without tricuspid valvular disease, or cor pulmonale/pulmonary hypertension, or unlikely other.
- There is no current evidence of left-sided congestive heart failure.
2. Mild diffuse bronchial pulmonary pattern due to fibrosis from prior disease, age-related changes, infectious/immune-mediated lower airway disease, or unlikely other.
3. Multiple urocystoliths and presumed underlying cystitis.
4. Suspected gastric material from normal ingesta/recent meal, or less likely foreign material with gastritis/delayed gastric emptying, or pyloric outflow obstruction given reported history.
5. Non-specific small intestinal appearance such as from variation of normal or unlikely enteritis or other given reported history.
6. Left-sided nephroliths are suspected, versus artifact.</t>
  </si>
  <si>
    <t>Consider echocardiography, eCG and blood pressure for further evaluation.  Routine blood work and urinalysis if not recently performed.  Repeat abdominal radiographs after 8-12 hours of fasting and empirical therapy to monitor for passage of gastric content.  Abdominal ultrasonography for further evaluation of the kidneys, urinary bladder and gastrointestinal tract.  Consider cystotomy and mineral retrieval/analysis and/or dissolution diet protocol and therapy for cystitis in the interim as needed.  Monitoring as directed or sooner if clinical signs acutely change, fail to improve or worsen.</t>
  </si>
  <si>
    <t xml:space="preserve">
1.Are respiratory signs present? If NO._x000D_
2.SEVERE BRONCHIAL PATTERN; MILD DYNAMIC AIRWAY DISEASE._x000D_
3.Based on these AI airway/pulmonary findings, the probability of this patient having clinically detectable respiratory signs is HIGH (75%)_x000D_
4.Are respiratory signs present? If YES._x000D_
5.Severe cardiomegaly has been detected but Heart Failure is NOT suspected.</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</si>
  <si>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extends beyond the costal arch with rounded and mildly irregular margins._x000D_
Spleen is within normal limits of size and smoothly marginated._x000D_
Kidneys and urinary bladder WNL._x000D_
_x000D_
Bilateral hip dysplasia with mild periarticular osteophytosis.</t>
  </si>
  <si>
    <t>1) Unremarkable thorax without signs of pulmonary metastases nor signs of thoracic lymphadenopathy._x000D_
2) Hepatomegaly: Hepatic nodular hyperplasia vs Neoplastic vs Metabolic vs Vacuolar infiltration vs Inflammatory vs Toxic or a combination of these differentials.</t>
  </si>
  <si>
    <t>Consider abdominal US to further evaluate the liver with US guided FNAs.</t>
  </si>
  <si>
    <t xml:space="preserve">
1.A mild bronchointerstitial pulmonary pattern and minimal perihilar infiltrate have been detected._x000D_
2.PULMONARY NODULAR PATTERN; MINIMAL BRONCHOINTERSTITIAL PULMONARY PATTERN._x000D_
3.The evaluation has come up positive for a pulmonary nodular pattern._x000D_
4.Are respiratory signs present. If YES._x000D_
5.Are respiratory signs present. If NO._x000D_
6.The cardiac silhouette size is normal._x000D_
7.There is no evidence of DYNAMIC AIRWAY COLLAPSE or BRONCHIECTASIS._x000D_
8.Based on these AI airway/pulmonary findings, the probability of this patient having clinically detectable respiratory signs is MEDIUM (50%)</t>
  </si>
  <si>
    <t>Patient Name : Comet Maria Morales, Date of study: Sep 27, 2024
4 images are provided for review
Canine Thorax (4 Images) - 3 Lateral, 1 Vd
Previous images dated [09/21/2024 Case#2766192] are available for comparison.
Pulmonary parenchyma: In the right caudal lung lobe is a well-defined, ovoid soft tissue mass.  This mass is in the dorsal periphery of the right caudal lung.  This is similar to prior.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A broad-based fat opaque mass deforms the right extra-thoracic body wall from the level of T2 to approximately T11-12.  The ventral extra-thoracic soft tissues are mildly undulant.  The remaining included musculoskeletal structures are normal.</t>
  </si>
  <si>
    <t>1. Similar right caudal lung lobe soft tissue mass such as from evolving neoplasia (primary pulmonary carcinoma or unlikely other), or least likely other such as from fungal pneumonia (blastomycosis spp.).
2. Mild diffuse bronchial pulmonary pattern such as from fibrosis from prior disease, age-related changes, or unlikely infectious/immune-mediated lower airway disease or other.
3. Right extra-thoracic body wall fat opaque mass such as from lipoma.</t>
  </si>
  <si>
    <t>Consider computed tomography of the thorax for further evaluation of the right caudal lung lobe soft tissue mass and to guide sampling (percutaneous fine needle aspirates if accessible, versus lung lobectomy and histopathology).  Oncologist consultation depending on results. Routine blood work and abdominal imaging to screen for occult systemic disease may be contributory.   Reported clinical signs may be due to evolving pulmonary/systemic malignancy and/or right-sided lipoma and mechanical impairment.  Surgeon consultation for debulking of right-sided extra-thoracic mass if desired.   Empirical therapy and supportive care in the interim as needed.  Monitoring as directed or sooner if clinical signs acutely change, fail to improve or worsen.</t>
  </si>
  <si>
    <t xml:space="preserve">
1.A mild bronchial pattern and minimal perihilar infiltrate have been detected._x000D_
2.The cardiac silhouette size is normal._x000D_
3.There is no evidence of ALVEOLAR PATTERN, DYNAMIC AIRWAY COLLAPSE or BRONCHIECTASIS or PLEURAL EFFUSION.</t>
  </si>
  <si>
    <t>Five radiographs are provided, with images of the thorax, abdomen, pelvic limbs. The cardiac silhouette is normal size. There are no abnormalities in the pulmonary parenchyma. No pleural effusion. Redundant dorsal trachealis membrane causes severe narrowed cervical trachea. In the abdomen the liver is prominent with rounded margins. There is no effusion. The gastrointestinal tract is minimally filled. No radiopaque urolithiasis. Normal-sized kidneys and spleen. No lumbar spinal abnormalities. The coxofemoral joints are congruent. No definitive patellar displacement. There is small volume fluid in the cranial aspect of the left stifle joint, with enthesophytes on the femoral trochlear ridges and distal patella. No definitive right stifle joint abnormalities, although evaluation is limited by superimposed abdominal tissue.</t>
  </si>
  <si>
    <t>1. Mild left stifle effusion suggestive of cranial cruciate ligament tear/rupture. It is unknown if this is the limb on which the patient is lame. No other pelvic limb abnormalities are appreciated._x000D_
2. Prominent liver with rounded margins, consider normal variant, steroid or other hepatopathy. This should be correlated with history and blood work._x000D_
3. Cervical tracheal collapse. No intrathoracic abnormalities.</t>
  </si>
  <si>
    <t>Surgical stabilization of the left stifle is likely necessary.</t>
  </si>
  <si>
    <t xml:space="preserve">
1.A minimal to mild bronchointerstitial pulmonary pattern has been detected._x000D_
2.The cardiac silhouette size is normal._x000D_
3.There is no evidence of PERIHILAR INFILTRATE, DYNAMIC AIRWAY COLLAPSE or BRONCHIECTASIS, PULMONARY NODULES or PLEURAL EFFUSION.</t>
  </si>
  <si>
    <t>3 views of the thorax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Cranial abdominal detail is adequate. Small mineral structures are present in the stomach.</t>
  </si>
  <si>
    <t>Radiographically normal thorax for a patient of this age. Gastric mineral foreign material.</t>
  </si>
  <si>
    <t>Patient Name : Pip Gabbert, Date of study: Sep 27, 2024
Eleven images are provided.
Prior images dated January 5th, 2024 are available.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Reproductive:  No obvious prostatomegaly given reported intact patient status.
Peritoneum: Peritoneal detail is adequate.
Gastrointestinal tract: The stomach contains a mild volume of fluid and gas.   The stomach is within normal limits for size.
The small intestine contains minimal gas and mild fluid or is empty with a subjectively uniform population for size. 
The colon contains minimal heterogeneous soft tissue material and gas.  The colon is within normal limits for size.  
Musculoskeletal: The included musculoskeletal structures are normal.</t>
  </si>
  <si>
    <t xml:space="preserve">1. Minimal-mild diffuse bronchial pulmonary pattern such as from fibrosis from prior disease, age-related changes, or unlikely infectious/immune-mediated lower airway disease, inhaled allergen/irritant, or unlikely other.
- No current evidence of bronchopneumonia in this examination.
2. There is no current evidence of cardiomegaly.
3. Non-specific gastrointestinal tract appearance due to gastritis/enteritis/colitis or less likely given reported history variation of normal/recent bowel movement.
- There is no current evidence of gastrointestinal mechanical ileus.
- Differential diagnoses include dietary indiscretion, toxin ingestion, diet/antibiotic responsive disease, inflammatory bowel disease, pancreatitis,  or less likely occult systemic disease or other.
</t>
  </si>
  <si>
    <t xml:space="preserve"> Empirical therapy and supportive care in the interim as needed for gastrointestinal clinical signs.  Consider GI panel and empirical deworming if not recently performed.  Consider abdominal ultrasonography if clinical signs fail to improve or worsen in the face of empirical therapy.  Monitoring as directed or sooner if clinical signs acutely change, fail to improve or worsen.</t>
  </si>
  <si>
    <t>Patient Name : Barley Ashley, Date of study: Sep 27, 2024
3 images are provided for review
Canine Thorax (3 Images) - 1 Vd, 2 Lateral
There are no previous radiographs for comparison.
Pulmonary parenchyma: Best identified in the ventrodorsal image, an ovoid soft tissue nodule with slightly ill-defined margins is over the left scapula and left cranial lung lobe in the 3rd intercostal space.  Few suspicious soft tissue foci are occasionally in the cranioventral lungs in the lateral images.  A mild diffuse bronchial pattern is present.
Pulmonary vasculature: The pulmonary vasculature is subjectively normal in size and tapers in the periphery of the lungs.
Cardiac silhouette: The cardiac silhouette is has a slight increase in soft tissue  with lateral mainstem bronchi displacement in the region of the left atrium in the ventrodorsal image.
Mediastinum: The cranial mediastinum is normal.
Trachea: The trachea is normal.
Esophagus: The esophagus is not well-identified.
Pleural space: The pleural space is normal.
Musculoskeletal: The included musculoskeletal structures are normal.</t>
  </si>
  <si>
    <t xml:space="preserve">1. Suspicious for few pulmonary soft tissue nodules, best identified in the left cranial lung lobe versus artifact, end-on vasculature, or less likely granuloma/other.
2. Equivocal left atrial enlargement versus artifact from phase of the cardiopulmonary cycle and/or patient positioning.
- Given reported murmur, myxomatous mitral valvular disease versus other are considered.
- There is no current evidence of left-sided congestive heart failure.
3. Mild diffuse bronchial pattern due to fibrosis from prior disease, age-related changes, infectious/immune-mediated lower airway disease, or unlikely other.
</t>
  </si>
  <si>
    <t>Consider computed tomography of the thorax and head for further evaluation of the suspicious pulmonary nodules and reported nasal neoplasm suspected.  A "humanoid' ventrodorsal thorax radiograph may also be contributory.   Oncologist consultation depending on results.  Echocardiography, eCG and blood pressure for further evaluation of the heart.  Empirical therapy and supportive care in the interim as needed.  Monitoring as directed or sooner if clinical signs acutely change, fail to improve or worsen.</t>
  </si>
  <si>
    <t xml:space="preserve">
1.Are respiratory signs present? If YES._x000D_
2.Are respiratory signs present? If NO._x000D_
3.MINIMAL to MILD DIFFUSE, MIXED BRONCHOINTERSTITIAL PULMONARY PATTERN with ATELECTASIS or less likely, pneumonia._x000D_
4.Probability these AI pulmonary findings will accompany clinically detectable respiratory signs: LOW (25%)_x000D_
5.The cardiac silhouette size is normal._x000D_
6.There is no evidence of DYNAMIC AIRWAY COLLAPSE or BRONCHIECTASIS or PLEURAL EFFUSION.</t>
  </si>
  <si>
    <t>Patient Name : Mia Martinez, Date of study: Sep 27, 2024
5 images are provided for review
There are no previous radiographs for comparison.
Pulmonary parenchyma: A mild diffuse bronchial pattern is present.  Soft tissue over the right middle lung in the ventrodorsal image is not corroborated in the left lateral image and is presumed superimposed extra-thoracic tissue.  
Pulmonary vasculature: The pulmonary vasculature is subjectively normal in size and tapers in the periphery of the lungs.
Cardiac silhouette: The cardiac silhouette is normal in size and shape.
Mediastinum: The cranial mediastinum is mildly symmetrically widened in the ventrodorsal image, without obvious increased soft tissue in the lateral images.
Trachea: A slight soft tissue band is partially superimposed over the dorsal aspect of the trachea.
Esophagus: The esophagus is not well-identified.
Pleural space: The pleural space is normal.
Bones/Joints:
A dens is present.  There is no evidence of atlantoaxial joint subluxation.
There is no evidence of intervertebral disc space narrowing, or mineral over the intervertebral foramina.  There is no evidence of intervertebral dorsal articulation osteoarthrosis.
There is no evidence of medullary sclerosis, osteolysis, endosteal scalloping, or periosteal proliferation.
Soft tissues:   The soft tissues dorsal to the larynx and cranial tracheal are subjectively thickened and convex.
 A broad based soft tissue mass arises from the left lateral extrathoracic soft tissues, extending from the level of the 3rd-4th through 11-12th intercostal spaces.   this mass deforms the left lateral cutaneous surface of the body wall. The remaining included soft tissues are normal.</t>
  </si>
  <si>
    <t xml:space="preserve">1. Suspected thickened soft tissues dorsal to the larynx, versus artifact/superimposed normal structures (e.g. esophagus).
- If present, consider evolving neoplasia (chondrosarcoma versus rhabdomyoma/sarcoma, or unlikely other), or less likely laryngitis or other.
2. Slightly widened cranial mediastinum due to normal variation/fat deposition or less likely evolving lymphadenomegaly or primary mass (thymoma versus other).
3. Left lateral extrathoracic soft tissue mass.
- Differential diagnoses include neoplasia such as a soft tissue sarcoma, versus lipoma or other.
4. Mild diffuse bronchial pulmonary pattern due to fibrosis from prior disease, age-related changes, or unlikely infectious/immune-mediated lower airway disease (such as from bordetella spp., mycoplasma spp., parasitism such as lung worms, or inhaled allergen/irritant), or other.
5. Dorsal redundant tracheal membrane versus superimposed normal structures.
</t>
  </si>
  <si>
    <t>Consider sedated laryngeal examination, laryngoscopy and/or computed tomography of the head/neck/thorax for further evaluation. Routine blood work, coagulation testing and tissue sampling depending on results of additional imaging.  oncologist consultation if a malignancy is confirmed.  Empirical therapy and supportive care in the interim as needed.  Empirical therapy and supportive care in the interim as needed.  Monitoring as directed, or sooner if clinical signs acutely change, fail to improve or worsen.</t>
  </si>
  <si>
    <t xml:space="preserve">
1.The cardiac silhouette size is normal._x000D_
2.Pleural fissure lines or small volume pleural effusion has been detected. In a mildly overweight animal, excessive pericardial fat can artifactually mimic the result of minimal pleural effusion._x000D_
3.A mild bronchointerstitial pulmonary pattern and minimal perihilar infiltrate have been detected.</t>
  </si>
  <si>
    <t>Six radiographs of the thorax and abdomen are provided. The cardiac silhouette is normal size and shape. Slight rightward position of the thoracic trachea on the VD views is incidental. Hazy increased opacity to the left of the cardiac apex on the VD view is not seen on the lateral projections and is likely either extrathoracic lipomatous lesion or incidental pleural fat deposition. Faint bronchial markings is normal for the age of this patient. There is no pleural effusion. Normal tracheal diameter._x000D_
_x000D_
In the abdomen the liver is mildly enlarged with smooth margins. Normal sized kidneys and spleen. The gastrointestinal tract is minimally filled. No radiopaque cystic calculi. Mineralized intervertebral disc material at T11-12, incidental.</t>
  </si>
  <si>
    <t>Mild hepatomegaly, a nonspecific finding and may be steroid or other hepatopathy, acute inflammation, or neoplasia. Otherwise normal abdomen and thorax.</t>
  </si>
  <si>
    <t>Recommend abdominal ultrasound.</t>
  </si>
  <si>
    <t xml:space="preserve">
1.Are respiratory signs present?  If YES._x000D_
2.MODERATE INTERSTITIAL TO ALVEOLAR INFILTRATE; MINIMAL BRONCHIAL PATTERN; MINIMAL PERIHILAR INFILTRATE._x000D_
3.Based on these AI airway/pulmonary findings, the probability of this patient having clinically detectable respiratory signs is MEDIUM (50%)_x000D_
4.Are respiratory signs present? If NO._x000D_
5.The cardiac silhouette size is normal._x000D_
6.There is no evidence of PULMONARY NODULES.</t>
  </si>
  <si>
    <t>Patient Name : Masha Radomski, Date of study: Sep 27, 2024
6 images are provided for review
There are no previous radiographs for comparison.
Gloves presumed in primary beam in ventrodorsal thorax image.
Pulmonary parenchyma: Occasional small round soft tissue foci are suspected in the periphery of the lungs, such as ventral to the level of T5-6 in the right lateral image.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Bones/Joints:
The included right carpus, metacarpus and digits are normal.
The left elbow is normal.  
Arising from presumably the axial aspect of the left 1st distal phalanx ungual crest is an expansile, osteolytic aggressive bone lesion.  This margin of the left 1st distal phalanx ungual crest is rounded, expanded and has thinned margins as a result.  The left 1st distal phalanx is severely displaced abaxially, with luxation of the left 1st digit interphalangeal joint.  A rectangular mineral focus is abaxial to the left 1st interphalangeal joint.  The distal margin of the left 1st digit proximal phalanx is smooth and well-defined.
The included left carpus, metacarpus are normal. 
Soft tissues:  The soft tissues surrounding the left 1st digit distally are moderately enlarged and rounded.  The remaining included soft tissues are normal.</t>
  </si>
  <si>
    <t>1. Left 1st distal phalanx ungual crest aggressive bone lesion with resultant luxation of the interphalangeal joint and local soft tissue swelling.
- Differential diagnoses include neoplasia such as a primary squamous cell carcinoma or less likely malignant melanoma, predominantly lytic osteosarcoma, or joint-associated neoplasm (synovial cell sarcoma versus other), or less likely osteomyelitis (fungal, versus other) and pododermatitis.
2. Suspicious small soft tissue pulmonary foci due to evolving metastatic neoplasia versus end-on vasculature or artifact. 
- No obvious intra-thoracic lymphadenomegaly is identified.
3. Minimal to mild diffuse bronchial pulmonary pattern due to fibrosis from prior disease, age-related changes, or unlikely infectious/immune-mediated lower airway disease or other.</t>
  </si>
  <si>
    <t>Consider routine blood work and tissue sampling (digital biopsy versus other) for a definitive diagnosis.  Consider computed tomography of the thorax for a more sensitive evaluation of possible small nodules, versus repeat thoracic radiographs, especially if malignancy in the left 1st digit is confirmed.  Oncologist consultaiton depending on results.  Empirical therapy and supportive care in the interim as needed.  Monitoring with serial radiographs of the left 1st distal phalanx lesion, especially if clinical signs acutely change or worsen.</t>
  </si>
  <si>
    <t xml:space="preserve">
1.A minimal to mild bronchointerstitial pulmonary pattern has been detected._x000D_
2.The cardiac silhouette size is normal._x000D_
3.There is no evidence of PERIHILAR INFILTRATE or DYNAMIC AIRWAY COLLAPSE or BRONCHIECTASIS.</t>
  </si>
  <si>
    <t>Patient Name : Willa Zinter, Date of study: Sep 27, 2024
3 images are provided for review
There are no previous radiographs for comparison.
Pulmonary parenchyma: A moderate alveolar pattern is in the right cranial lung lobe with increased soft tissue and air-bronchograms in the perihilar to ventral periphery.  A minimal diffuse interstitial pattern is present, and the lungs are mildly hypoinflated.
Pulmonary vasculature: The pulmonary vasculature is subjectively normal in size and tapers in the periphery of the lungs.
Cardiac silhouette: The cardiac silhouette is normal in size and shape.
Mediastinum: The cranial mediastinum is normal.  A mild rightward mediastinal shift is in the ventrodorsal image.
Trachea: The trachea is normal.
Esophagus: The esophagus is not well-identified.
Pleural space: Mild right-sided pleural fluid is present with a widened pleural fissure between the right middle and caudal lung lobe in the ventrodorsal image.  A thin pleural fissure line that does not widen in the periphery is between the subsegments of the left cranial lung lobe in the ventrodorsal image.
Musculoskeletal: The included musculoskeletal structures are normal.</t>
  </si>
  <si>
    <t>1. Right cranial lung lobe alveolar pattern. 
- The primary differential diagnosis is bronchopneumonia/aspiration pneumonia.
2. Mild right-sided pleural fluid and possible left-sided pleural effusion versus tangential beam artifact/pleural thickening.
- this is most likely due to aspiration pneumonia/pneumonitis and resultant pleuritis, versus pleuropneumonia, or less likely evolving pyothorax, hemorrhage or other.
3. Minimal diffuse interstitial pulmonary pattern likely exacerbated by hypoinflation, or unlikely other.</t>
  </si>
  <si>
    <t>Therapy for suspected aspiration pneumonia broad-spectrum antibiotics.  Therapy for 1-2 weeks past radiographic resolution.  Consider routine blood work, abdominal imaging, respiratory PCR panel, airway sampling, and fecal analysis/empirical deworming for further evaluation/therapy.  If signs progress/worsen, and increased pleural fluid is suspected on recheck thoracic radiographs, consider thoracocentesis with fluid analysis/cytology.   Monitoring as directed or sooner if clinical signs acutely change, fail to improve or worsen.</t>
  </si>
  <si>
    <t xml:space="preserve">
1.A minimal to mild bronchointerstitial pulmonary pattern has been detected._x000D_
2.The cardiac silhouette size is normal._x000D_
3.There is no evidence of PERIHILAR INFILTRATE, DYNAMIC AIRWAY COLLAPSE or BRONCHIECTASIS or PULMONARY NODULES.</t>
  </si>
  <si>
    <t>Three radiographs of the thorax, and five views of the abdomen are provided. The cardiac silhouette and pulmonary vessels are normal size and shape. Small round soft tissue density cranial to the heart on the left lateral view is end-on pulmonary vessel. No soft tissue pulmonary nodules or pleural effusion. Normal tracheal diameter._x000D_
_x000D_
In the abdomen punctate nephroliths are likely incidental. There is a single smoothly marginated round 0.3 cm mineral opaque calculus in the urinary bladder. No prostatomegaly or medial iliac lymphadenomegaly is appreciated. Normal-sized liver, spleen, kidneys. The gastrointestinal tract is moderately filled. Mild osteoarthrosis in the coxofemoral joints.</t>
  </si>
  <si>
    <t>Single small cystic calculus, of a size that may or may not be able to pass the urethra. Otherwise normal abdomen and thorax.</t>
  </si>
  <si>
    <t>There is no contraindication for general anesthesia based on this study.</t>
  </si>
  <si>
    <t>Nine orthogonal survey radiographs of the thorax and abdomen dated 26th October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hepatic silhouette is normal in size with smooth borders. The tail of the spleen is mildly prominent. The kidneys are partially obscured by gastrointestinal contents, but the visible aspect are normal. The stomach contains some gas and foamy soft issue opaque material. There is appropriate gas in the pylorus on the left lateral image. The small intestines are distributed evenly and are within normal limits for shape, size and contents. The ascending, transverse and descending colon have a normal position and contain gradually more formed faeces. The urinary bladder is filled. The serosal detail is normal.</t>
  </si>
  <si>
    <t>1. The  soft issue opaque material within the stomach may be indicative of a recent meal. Alternatively, dietary indiscretion, soft tissue foreign material may be present. This needs to be correlated with time of feeding and last emesis._x000D_
2. Mild splenomegaly: differential diagnoses include passive congestion from sedation (if administered), splenitis, extramedullary hematopoiesis, lymphoid hyperplasia, or neoplasia.
(amended on 09/27/2024 03:16)
In comparison with previous radiographs dated 23rd April 2024, no significant changes are present. The gastric gas which was present previously is not present currently.</t>
  </si>
  <si>
    <t>Consider post fasting repeat radiographs, abdominal ultrasonography, or depending on clinical progression, an upper GI contrast study. Supportive management including rehydration, gastroprotectants,  full blood work, faecal analysis if clinically indicated is advised, if not already performed.</t>
  </si>
  <si>
    <t>Eight survey images of the thoracolumbar vertebral column and pelvic limbs dated 26th September 2024 are available for review._x000D_
_x000D_
Vertebral column: All physes are open and epiphyses incompletely ossified, consistent with very young age. Malalignment of vertebral bodies or a fracture lines are seen. There is no widening or narrowing of intervertebral disc spaces. The lumbosacral joints and sacroiliac joints are normal. The incompletely ossified femoral heads are within the acetabuli. The included stifle joints and extremities are normal. No localised or diffuse soft tissue swelling is noted.</t>
  </si>
  <si>
    <t>No bony abnormalities are noted. A non-displaced Salter Harris fracture, greenstick fracture can be present. A muscular or tendinous strain or articular sprain should be considered as alternate differentials. Considering the incomplete ossification of many epiphyses, cartilaginous trauma is possible.</t>
  </si>
  <si>
    <t>Empiric management is advised. Repeat radiographic screening depending on clinical progression.</t>
  </si>
  <si>
    <t xml:space="preserve">
1.MODERATE BROCHOINTERSTITIAL PULMONARY PATTERN; ATELECTASIS or less likley, PNEUMONIA._x000D_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DYNAMIC AIRWAY COLLAPSE or BRONCHIECTASIS._x000D_
7.A mild bronchial pattern and minimal perihilar infiltrate have been detected.</t>
  </si>
  <si>
    <t>Two orthogonal survey radiographs of the thorax and abdomen dated 26th September 2024 are available for review. These are compared with previous images dated 23rd April 2024._x000D_
_x000D_
Thorax: _x000D_
Airway findings: A smoothly marginated soft tissue opacity is variably present overlying the dorsal aspect of the trachea at the thoracic inlet. This opacity reduces approximately 80% of the dorsoventral diameter of the trachea. The intrathoracic trachea is normal._x000D_
_x000D_
Cardiovascular findings: The cardiac silhouette is normal in shape, size and margination. A very small smoothly marginated soft tissue opacity is contiguous with the caudal dorsal border of the cardiac silhouette. The cranial and caudal pulmonary vasculature is normal. The caudal vena cava is normal. The aorta and mainstem pulmonary artery have a normal outline in the vd/dv l image._x000D_
_x000D_
Mediastinum and pleural space: No significant abnormalities are detected._x000D_
_x000D_
Included abdomen: No significant abnormalities are detected._x000D_
_x000D_
Musculoskeletal findings: No significant abnormalities are detected.</t>
  </si>
  <si>
    <t>1.The dorsal attenuation of the trachea is consistent with tracheomalacia, and/or redundant trachealis membrane. The extent of attenuation would be expected to cause coughing._x000D_
2. Minimal left atrial dilation. The murmur reported is most likely a physiologic murmur, or a compensated valvular disease such as myxoid degeneration of the mitral valve.</t>
  </si>
  <si>
    <t>Consider evaluation for airway collapse (fluoroscopy vs. right lateral inspiratory and expiratory radiographs vs. CT with virtual bronchoscopy). Alternatively consider medical management. Consider surgical consultation depending on clinical progression. _x000D_
In absence of clinical signs indicative of cardiac disease, conservative management may be considered, alternatively with an acute onset murmur, and signs of exercise intolerance, echocardiography may be considered.</t>
  </si>
  <si>
    <t xml:space="preserve">
1.Minimal cardiomegaly has been detected but Heart Failure is NOT suspected._x000D_
2.MILD BRONCHIAL PATTERN; MINIMAL DYNAMIC AIRWAY DISEASE._x000D_
3.Based on these AI airway/pulmonary findings, the probability of this patient having clinically detectable respiratory signs is LOW (25%)_x000D_
4.Are respiratory signs present? If YES._x000D_
5.Are respiratory signs present? If NO._x000D_
6.There is no evidence of ALVEOLAR PATTERN, PERIHILAR INFILTRATE, PULMONARY NODULES or PLEURAL EFFUSION.</t>
  </si>
  <si>
    <t>A three view study of the thorax including the neck is provided for interpretation._x000D_
The studies compared to the previous dated 9-11-23._x000D_
_x000D_
The heart appears subjectively mildly enlarged in the right lateral view but normal in the other views. Vertebral Heart Score is still normal and similar to the previous radiographs at 10.0. The pulmonary vessels are normal. There is mild bronchial mineralization and mildly increased interstitial lung opacity that is similar in appearance to the previous radiographs. No tracheal or laryngeal abnormalities are identified. The liver is enlarged, also similar to the previous study.</t>
  </si>
  <si>
    <t>The appearance of the lungs is compatible with age related change. Low-grade chronic bronchitis, allergic lung disease, or viral tracheobronchitis could still be present without more significant radiographic changes._x000D_
No laryngeal abnormalities or evidence of tracheal collapse identified._x000D_
Heart size is still borderline at the upper end of normal range.</t>
  </si>
  <si>
    <t>Symptomatic therapy for the cough is recommended.</t>
  </si>
  <si>
    <t xml:space="preserve">
1.A mild bronchial pattern has been detected._x000D_
2.Mild cardiomegaly has been detected but Heart Failure is NOT suspected._x000D_
3.There is no evidence of ALVEOLAR PATTERN, PERIHILAR INFILTRATE, PULMONARY NODULES or PLEURAL EFFUSION.</t>
  </si>
  <si>
    <t>Right lateral and VD views of the abdomen and a right lateral thorax view are provided for interpretation. The VD view of the caudal abdomen includes the pelvis._x000D_
_x000D_
There is a large round soft tissue mass in the right cranial abdomen. The mass appears to be contiguous with the liver, but has folded shape that is more commonly associated with spleen. A spleen shadow is visible in both views that does not appear to be associated with the mass. The mass is associated with dorsal and leftward displacement of the body of the stomach and pylorus. Rugal folds in the stomach are prominent. The small intestine has increased gas volume, but no dilation of the intestinal loops is seen. Serosal detail in the abdomen is normal. The other organs are within normal limits. No destructive or productive bone lesions are identified._x000D_
The pelvis and hip joints are within normal limits._x000D_
The size and shape of the heart is normal. No tracheal abnormalities are identified. The lungs cannot be evaluated due to overexposure. No destructive or productive bone lesions are seen in the thoracic region. There is a small mineral opacity dorsal to the cranial thoracic spine which likely represents a mineralized subcutaneous granuloma.</t>
  </si>
  <si>
    <t>There is a large right cranial abdominal mass in the range of 10 cm. The mass is suspected to be arising from the right ventral liver. Origin from spleen or pancreas would be less likely but cannot be excluded. No evidence of abdominal hemorrhage is identified._x000D_
_x000D_
The prominent gastric rugal folds in gassy small intestine would be compatible with gastroenteritis. However, these changes can also be seen incidentally is not supported by relevant clinical signs.</t>
  </si>
  <si>
    <t>More advanced imaging such as CT or ultrasound could be helpful for surgical planning.</t>
  </si>
  <si>
    <t>4 views of the thorax and abdomen are submitted for review._x000D_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The stomach contains a mild amount of gas.  A mild amount of gas is noted in the descending duodenum.  Several mildly fluid and gas filled loops of bowel are also noted in the mid abdomen.  A possible, focally distended loop of small bowel with heterogeneous ingesta is noted in the mid abdomen.  The colon is empty.  The liver and spleen are normal in size, shape, and margination.  The bilateral renal silhouettes are within normal limits.  The urinary bladder is unremarkable.  Serosal detail is normal.</t>
  </si>
  <si>
    <t>Suspect mildly distended loop of bowel with heterogeneous ingesta in the mid abdomen on both lateral views.  This is thought to represent radiolucent foreign material within a loop of small bowel and appears to be causing at least mild or partial mechanical obstruction of the small bowel._x000D_
Radiographically normal thorax.</t>
  </si>
  <si>
    <t>Depending on the clinical status of the patient, supportive medical management and IV fluid therapy with repeat radiographs in 12 to 24 hours could be considered to see if the material will pass on its own.  Otherwise, if there is sufficient clinical concern, an abdominal ultrasound could be considered for more specific evaluation.  Exploratory laparotomy may ultimately be indicated.</t>
  </si>
  <si>
    <t>Aaron Feagin</t>
  </si>
  <si>
    <t xml:space="preserve">
1.In the PRESENCE of respiratory signs, moderate pneumonitis (aspiration or bacterial  (including Bordatella, Mycoplasma and Wolbachia), allergic, viral, fungal or parasitic (including heartworm pathosis)) would be most likely._x000D_
2.In the ABSENCE of respiratory signs, atelectasis secondary to heavy sedation or anesthesia or a false positive due to a combination of age-related changes, obesity, pulmonary hypoinflation/partial atelectasis and/or overlying soft tissues such as forelimb musculature overlying the cranial thorax would be most likely._x000D_
3.MODERATE INTERSTITIAL TO ALVEOLAR PATTERN; MILD PERIHILAR INFILTRATE._x000D_
4.The cardiac silhouette size is normal._x000D_
5.There is no evidence of BRONCHITIS or DYNAMIC AIRWAY COLLAPSE or BRONCHIECTASIS.</t>
  </si>
  <si>
    <t>Four orthogonal thoracic radiographs dated 26th September 2024 are available for review. There are no previous radiographs available for comparison. _x000D_
_x000D_
Airway findings: The cervical and thoracic trachea have a normal size, outline and position. The carina, tracheal bifurcation and mainstem bronchi are normal. Throughout the lung parenchyma there are miliary nodular opacities, almost coalescing._x000D_
_x000D_
Cardiovascular findings: There is partial border effacement of the cardiac silhouette. The visible cardiac silhouette is normal in shape, size and margination. The cranial and caudal pulmonary vasculature is normal. The caudal vena cava is normal. The aorta and mainstem pulmonary artery have a normal outline in the vd/dv l image._x000D_
_x000D_
Mediastinum and pleural space: Thin pleural fissure lines are present._x000D_
_x000D_
Musculoskeletal findings: No significant abnormalities are detected._x000D_
_x000D_
Included abdomen: No significant abnormalities are detected.</t>
  </si>
  <si>
    <t>1. Severe miliary nodular pattern: Differentials include miliary fungal granulomata, round cell neoplasia, carcinoma (metastatic, primary).</t>
  </si>
  <si>
    <t>Complete bloodwork, thoracic CT or ultrasound with aspirates if a peripheral lesion identified, and abdominal ultrasound are recommended for further staging. Airway sampling may also be considered. Fungal testing is indicated.</t>
  </si>
  <si>
    <t xml:space="preserve">
1.Dynamic airway disease has been detected_x000D_
2.A moderate to severe interstitial to alveolar pattern with concurrent dynamic airway disease has been identified._x000D_
3.Pleural fissure lines or moderate to severe pleural effusion has been detected. An overlying skin fold or in an obese animal, excessive pericardial fat could artifactually mimic the result of severe pleural effusion._x000D_
4.Mild cardiomegaly has been detected but Heart Failure is NOT suspected._x000D_
5.The evaluation has a strong suspicion of pulmonary nodules or mass lesion being present.</t>
  </si>
  <si>
    <t>STAT Report:&lt;br/&gt;Cardiomegaly WITH a pulmonary pattern suggestive of metastatic neoplasia or left heart failure has been detected. If this patient  was NOT under ANESTHESIA or HEAVY SEDATION for these radiographs, further evaluation for pulmonary metastases or heart failure should be considered prior to anesthesia. Severe pulmonary hypoinflation,  heartworm disease, prominent costochondral junctions, pulmonary osteomas or superimposed cutaneous nodules in conjunction with cardiomegaly are additional considerations for this AI result.</t>
  </si>
  <si>
    <t>Four orthogonal thoracic radiographs dated 26th September 2024 are available for review. There are no previous radiographs available for comparison. _x000D_
_x000D_
Airway findings: The trachea has a normal shape and size, but is mildly elevated in the thorax. The tracheal bifurcation is widened. A faint interstitial opacification is present in the hilar region and caudal dorsally on the lateral images._x000D_
_x000D_
Cardiovascular findings: There is a moderate sized smoothly marginated soft tissue opacity contiguous with the caudal dorsal border of the cardiac silhouette. A soft tissue opacity is superimposed on the caudal cardiac silhouette in the dorsoventral image.  The overall cardiac silhouette is at upper normal limits. The pulmonary vessels as well as the mainstem vasculature are normal._x000D_
_x000D_
Mediastinum and pleural space: No significant abnormalities are detected._x000D_
_x000D_
Musculoskeletal findings: No significant abnormalities are detected._x000D_
_x000D_
Included abdomen: There is minimal smoothly marginated hepatomegaly.</t>
  </si>
  <si>
    <t>1. Left atrial dilation with early left-sided cardiomegaly. This is most likely due to mixoid degeneration of the mitral valve. The evidence for cardiac insufficiency is equivocal. The pulmonary vasculature is still within normal limits, the interstitial opacification may be due to mild cardiogenic pulmonary oedema, or superimposition artefact and hypoinflation.</t>
  </si>
  <si>
    <t>Radiography is insensitive for early cardiac insufficiency, therefore ECG, blood pressure measurements, and echocardiography may be considered for further evaluation, or baseline measurements. Alternatively consider diuretic therapy and repeat radiographs.</t>
  </si>
  <si>
    <t xml:space="preserve">
1.MILD BRONCHOINTERSTITIAL PULMONARY PATTERN; MILD PERIHILAR INFILTRATE; MILD DYNAMIC AIRWAY DISEASE; ATELECTASIS or less likely, pneumonia._x000D_
2.Based on the AI airway/pulmonary findings, the probability of this patient having clinically detectable respiratory signs is MEDIUM (50%)_x000D_
3.Are respiratory signs present? If YES._x000D_
4.Are respiratory signs present? If NO._x000D_
5.Moderate cardiomegaly has been detected but Heart Failure is NOT suspected.</t>
  </si>
  <si>
    <t>A two view thoracoabdominal study is provided for interpretation._x000D_
_x000D_
The heart is at the upper end of normal size range, with normal shape. The pulmonary vessels and parenchyma are unremarkable. There is mild narrowing of the mid trachea in the right lateral view. The trachea has smooth walls._x000D_
The abdominal organs are all within normal size and shape limits. The GI tract is unremarkable. No mass lesions or loss of detail are seen._x000D_
Disc spaces in the thoracolumbar region from T11 to L1 are moderately narrowed. No destructive bone lesions are seen.</t>
  </si>
  <si>
    <t>No significant cardiopulmonary abnormalities are identified._x000D_
_x000D_
There is mild dynamic narrowing the trachea, but the appearance is within the limits of benign variation._x000D_
No findings that would explain the coughing are identified._x000D_
Viral or allergic lung disease could still be present.</t>
  </si>
  <si>
    <t>Symptomatic therapy is recommended.</t>
  </si>
  <si>
    <t xml:space="preserve">
1.The cardiac silhouette size is normal._x000D_
2.There is no evidence of ALVEOLAR PATTERN, PERIHILAR INFILTRATE, DYNAMIC AIRWAY COLLAPSE or BRONCHIECTASIS, PULMONARY NODULES or PLEURAL EFFUSION._x000D_
3.A minimal bronchial pattern has been detected.</t>
  </si>
  <si>
    <t>Study:_x000D_
Thoracic limb radiography: five images dated September 26, 2024_x000D_
_x000D_
Findings:_x000D_
The included spine is unremarkable with no intervertebral disc space or foraminal narrowing. The glenohumeral joints are normal with smoothly marginated articular surfaces. The elbow joints are congruent. The anconeal process is appropriately fused bilaterally. The medial coronoid process is sharply marginated and well defined bilaterally. No degenerative change is present in either elbow. The left carpus and included portion of the manus are unremarkable. There is no evidence of aggressive osseous disease. The thoracic limb musculature is bilaterally symmetric. The included thorax is normal.</t>
  </si>
  <si>
    <t>The thoracic limbs are unremarkable. A cause of the left thoracic limb lameness is not evident.</t>
  </si>
  <si>
    <t>Orthopedic consultation, shoulder sonography and computed tomography of the forelimbs can be considered if the lameness persists in spite of activity restriction and pain management.</t>
  </si>
  <si>
    <t xml:space="preserve">
1.Dynamic airway disease has been detected_x000D_
2.A moderate to severe interstitial to alveolar pattern with concurrent dynamic airway disease has been identified._x000D_
3.A moderate perihilar infitlrate has been detected._x000D_
4.Pleural fissure lines or moderate to severe pleural effusion has been detected. An overlying skin fold or in an obese animal, excessive pericardial fat could artifactually mimic the result of severe pleural effusion._x000D_
5.Moderate cardiomegaly has been detected but Heart Failure is NOT suspected.</t>
  </si>
  <si>
    <t>A two view study of the thorax is provided for interpretation._x000D_
_x000D_
The heart is within normal size and shape limits. Pulmonary vessels are normal. There is a mild diffuse bronchointerstitial pulmonary pattern. No alveolar infiltrates are seen. The trachea has smooth walls and uniform normal diameter. The cranial abdomen is unremarkable.</t>
  </si>
  <si>
    <t>No evidence of cardiac chamber dilation is identified in the radiographs._x000D_
_x000D_
The bronchointerstitial pattern is mild but still more prominent than expected for the age of the patient. The subjective appearance would be most compatible with chronic bronchitis of and idiopathic or allergic nature.</t>
  </si>
  <si>
    <t>There is no indication for cardiac medications based on the radiographs. Echocardiography could be considered to determine the cause of the murmur._x000D_
_x000D_
If coughing is present, allergic vs. infectious causes of bronchitis and parasitic infection such as lungworms or heartworm disease should be ruled out.</t>
  </si>
  <si>
    <t xml:space="preserve">
1.The cardiac silhouette size is normal._x000D_
2.There is no evidence of INTERSTITIAL or ALVEOLAR PATTERN, BRONCHITIS, PERIHILAR INFILTRATE, DYNAMIC AIRWAY COLLAPSE or BRONCHIECTASIS or PULMONARY NODULES.</t>
  </si>
  <si>
    <t>Six radiographs of the thorax are provided. The heart is a normal size and shape. Pulmonary arteries and veins are symmetric and taper as expected. Increased opacity overlying the mid heart on the 1st right lateral view is superimposed skin fold. No abnormalities are appreciated in the pulmonary parenchyma. Normal cranial mediastinal width and tracheal diameter. No pleural effusion. The plane of the esophagus is unremarkable.</t>
  </si>
  <si>
    <t>Normal thorax. A reason for coughing is not identified. Inhaled irritants/allergens is suspected.</t>
  </si>
  <si>
    <t>Consider symptomatic treatment for the cough.</t>
  </si>
  <si>
    <t xml:space="preserve">
1.The cardiac silhouette size is normal._x000D_
2.There is no evidence of INTERSTITIAL PATTERN, BRONCHITIS, PERIHILAR INFILTRATE, DYNAMIC AIRWAY COLLAPSE or BRONCHIECTASIS, PULMONARY NODULES or PLEURAL EFFUSION.</t>
  </si>
  <si>
    <t>Three radiographs of the thorax are provided. There is mild generalized cardiomegaly. The cranial pulmonary vein is prominent. There is a severe interstitial to alveolar pattern throughout the lungs. The trachea is deviated dorsally by the enlarged heart. No pleural effusion. Adequate tracheal diameter. Fractured right 12th rib and left 11th through 13th rib with proliferation consistent with chronic insult. Mottled dorsal cutaneous tissues, of uncertain significance.</t>
  </si>
  <si>
    <t>Mild cardiomegaly and diffuse severe interstitial to alveolar pattern. Chronic valvular disease with heart failure is the most likely diagnosis. Pneumonia causing the lung pattern is given lesser consideration.</t>
  </si>
  <si>
    <t>Recommend treatment for heart failure and follow-up echocardiogram.</t>
  </si>
  <si>
    <t xml:space="preserve">
1.A moderate perihilar infitlrate, concurrent alveolar infiltrate and diffuse bronchial pattern have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t>
  </si>
  <si>
    <t>Study:_x000D_
Thoracic and abdominal radiography: seven images dated September 26, 2024_x000D_
_x000D_
Findings:_x000D_
The cardiac silhouette is normal in size and shape. There is moderate multifocal alveolar pattern in the left cranial lung lobe (both segments) and left caudal lung lobe. There is also an alveolar pattern in the cranioventral lung field on the left lateral view=ZZ90= however, this could represent visualization of the alveolar disease in the left cranial lung lobe as the right cranial lung lobe appears unremarkable on the orthogonal view. The pleural space is normal. There is no intrathoracic lymphadenopathy. The trachea is normal in diameter. On the right lateral projection of the abdomen, there are indistinct wispy soft tissue opacities superimposed with bowel in the mid-ventral abdomen. The stomach contains a small volume of gas. The small intestines are normal in size, course and content. The colon contains gas and poorly formed fecal material. The liver is normal in size and and margin. The spleen is moderately enlarged coursing along the mid-ventral abdomen on the left lateral projection. The region of the urinary bladder and prostate is not included on the lateral projections. There is variable mild to severe multifocal spondylosis deformans. Mild periarticular new bone formation is present at the caudodistal aspect the humeral head bilaterally.</t>
  </si>
  <si>
    <t>1. The multifocal alveolar pattern likely indicates pneumonia. Recommend empiric antibiotic therapy with repeat radiography in 10 to 14 days to monitor for response to treatment._x000D_
2. The generalized splenomegaly is nonspecific. Rule out extramedullary hematopoiesis, lymphoid hyperplasia, splenitis, congestion or infiltrative neoplasia. Sonography can be considered for further evaluation._x000D_
3. The remainder the abdomen is unremarkable. Abdominal sonography should be considered to further evaluate for a cause of the acute/significant weight loss._x000D_
4. Mild bilateral shoulder osteoarthrosis.</t>
  </si>
  <si>
    <t xml:space="preserve">
1.MILD TO MODERATE BRONCHOINTERSTITIAL PULMONARY PATTERN; ATELECTASIS or ALVEOLAR INFILTRATE._x000D_
2.Are respiratory signs present? If NO._x000D_
3.The evaluation has a strong suspicion of pulmonary nodules or mass lesion being present._x000D_
4.Pleural fissure lines or small volume pleural effusion has been detected. In a mildly overweight animal, excessive pericardial fat can artifactually mimic the result of minimal pleural effusion._x000D_
5.The cardiac silhouette size is normal._x000D_
6.Based on these AI airway/pulmonary findings, the probability of this patient having clinically detectable respiratory signs is LOW to MEDIUM (25-50%)_x000D_
7.Are respiratory signs present? If YES.</t>
  </si>
  <si>
    <t>Study:_x000D_
12 images of the spine, thorax, abdomen, pelvis and pelvic limbs dated September 26, 2024_x000D_
_x000D_
Findings:_x000D_
There is narrowing of the C2-C3 and C3-C4 intervertebral disc spaces. The patient has multiple, breed associated, congenitally anomalous thoracic vertebrae. There is no associated kyphosis or scoliosis. There is mild multifocal thoracic spondylosis deformans. The L4-L5 and L5-L6 intervertebral disc space appears mildly narrowed in comparison to the adjacent to spaces. There is no evidence of discospondylitis. The coxofemoral joints are unremarkable with good coverage of the femoral head by the acetabulum bilaterally. The patella is in the correct anatomic location bilaterally. The degree of soft tissue opacity within the stifle joint spaces is bilaterally symmetric and within normal limits. No degenerative change is present in either stifle. The bones of the tarsus and pes are unremarkable bilaterally. The included portions of the thoracic limbs are unremarkable._x000D_
_x000D_
The cardiac silhouette and pulmonary vasculature are normal in size. The pulmonary parenchyma is unremarkable. The pleural space is normal. There is no intrathoracic lymphadenopathy. The trachea is normal in diameter and course. The stomach contains a small volume of gas with the pylorus appropriately gas-filled on the left lateral image. The small intestines are normal in size, course and content. The colon contains formed fecal material. The liver and spleen are normal in size and margin. The kidneys are normal in size and contour. The urinary bladder is normal in size and opacity.</t>
  </si>
  <si>
    <t>1. C2-C3, C3-C4, L4-L5 and L5-L6 intervertebral disc disease is suspected. Neurology consultation and MRI can be considered for further evaluation if the clinical signs persist or worsen in spite of strict activity restriction and pain management._x000D_
2. Unremarkable coxofemoral joints and pelvic limbs._x000D_
3. Normal thorax._x000D_
4. Unremarkable abdomen.</t>
  </si>
  <si>
    <t xml:space="preserve">
1.Are respiratory signs present? If NO._x000D_
2.The cardiac silhouette size is normal._x000D_
3.There is no evidence of DYNAMIC AIRWAY COLLAPSE or BRONCHIECTASIS, PULMONARY NODULES or PLEURAL EFFUSION._x000D_
4.MODERATE INTERSITIAL TO ALVEOLAR PATTERN; MILD PERIHILAR INFILTRATE._x000D_
5.Based on these AI airway/pulmonary findings, the probability of this patient having clinically detectable respiratory signs is MEDIUM (50%)._x000D_
6.AI linked bacterial pneumonia treatment in dogs: https://platform.v2.vetology.net/doc/pneumonia-in-dogs-and-cats_x000D_
7.Are respiratory signs present? If YES.</t>
  </si>
  <si>
    <t>Three radiographs of the thorax are provided. Images dated February 16, 2024 are available for comparison. The cardiac silhouette is normal size and s a new development, the cranial mediastinum is widened on the VD projection. There is hazy curved 2.5 cm soft tissue opacity dorsal to the 1st sternal segment on the lateral views, larger than the contour seen on the previous study. There is a small area of increased opacity and faint air bronchogram overlying the ventral heart on the right lateral view. No pleural effusion. Normal tracheal diameter. Several extrathoracic masses that are fat opaque as well as soft tissue opaque stippled with mineral density. The majority of these were present previously and of uncertain clinical significance today. Punctate renoliths, likely incidental.</t>
  </si>
  <si>
    <t>1. Soft tissue contour overlying the cranioventral thorax is increased in size since the previous study. Neoplastic sternal lymph node is of concern. A cyst or superimposed extrathoracic tissue causing this appearance is given lesser consideration._x000D_
2. Focal alveolar pattern in the caudal segment of the left cranial lung lobe, most consistent with aspiration pneumonia. Atelectasis is given lesser consideration._x000D_
3. No definitive cardiovascular abnormalities on this study. A small valvular regurgitant jet can result in a relatively loud murmur.</t>
  </si>
  <si>
    <t>If the patient was not sedated or in left lateral recumbency immediately prior to imaging, antibiotics would be recommended for aspiration pneumonia. Also consider ultrasound evaluation of the abdomen (sternal lymph node drains the cranial peritoneal space) and cranioventral thorax.</t>
  </si>
  <si>
    <t xml:space="preserve">
1.Pleural fissure lines or moderate to severe pleural effusion has been detected. An overlying skin fold or in an obese animal, excessive pericardial fat could artifactually mimic the result of severe pleural effusion._x000D_
2.Mild cardiomegaly has been detected but Heart Failure is NOT suspected._x000D_
3.Are respiratory signs present? If NO._x000D_
4.Dynamic airway disease has been detected._x000D_
5.A moderate to severe interstitial to alveolar pattern with a perihilar component and concurrent dynamic airway disease has been identified._x000D_
6.SEVERE ALVEOLAR INFILTRATE; MILD PERIHILAR PATTERN; MORE DIFFUSE MILD BRONCHOINTERSTITIAL PULMONARY PATTERN._x000D_
7.Based on the AI airway/pulmonary findings, the probability of this patient having clinically detectable respiratory signs is HIGH (75%)_x000D_
8.Are respiratory signs present? If YES._x000D_
9.AI linked canine pneumonia treatment: https://platform.v2.vetology.net/doc/pneumonia-in-dogs-and-cats</t>
  </si>
  <si>
    <t>Four radiographs of the thorax are provided. The cardiac silhouette and pulmonary vessels are normal size. A mild bronchial pattern is present in the lungs. No soft tissue pulmonary nodules or pleural effusion. Tracheal diameter and position are normal. No laryngeal abnormalities. The plane of the esophagus unremarkable. Normal cranial mediastinal width.</t>
  </si>
  <si>
    <t>Mild bronchial pattern may be normal age-related change. With the cough, chronic airway inflammation such as allergic bronchitis may also be present. Otherwise normal thorax. There is no cardiovascular disease or pneumonia.</t>
  </si>
  <si>
    <t>This patient may benefit from treatment for allergic airway disease.</t>
  </si>
  <si>
    <t xml:space="preserve">
1.A minimal to mild bronchointerstitial pulmonary pattern has been detected._x000D_
2.The cardiac silhouette size is normal._x000D_
3.There is no evidence of DYNAMIC AIRWAY COLLAPSE or BRONCHIECTASIS or PLEURAL EFFUSION._x000D_
4.A minimal perihilar infiltrate has been detected.</t>
  </si>
  <si>
    <t>Study:_x000D_
Thoracic radiography: three images dated September 26, 2024_x000D_
_x000D_
Findings:_x000D_
There is severe left ventricular and left atrial enlargement. The pulmonary vasculature is normal in size. There is a mild diffuse bronchointerstitial pulmonary pattern. The pleural space is normal. There is no intrathoracic lymphadenopathy. There is dilation of the trachea lumen at the thoracic inlet on the right lateral projection relative to the left lateral view. The left caudal lobar bronchus appears mildly narrowed on the left lateral projection comparison to the right lateral view. There indistinct mineral opacity caudal to each kidney thought to represent incidental suture granulomas from prior ovariohysterectomy. The included abdomen is otherwise unremarkable. The T 13 vertebra is transitional.</t>
  </si>
  <si>
    <t>1. Severe left-sided cardiomegaly, indicative of mitral valve disease, without evidence of decompensation. Echocardiography should be considered for further evaluation._x000D_
2. Suspect bronchomalacia and dynamic bronchial compression/collapse. The relative dilation of the trachea lumen at the thoracic inlet on the right lateral projection is suggestive of concurrent tracheomalacia. Fluoroscopy can be considered to further evaluate for possible concomitant tracheal collapse._x000D_
3. The diffuse bronchointerstitial pulmonary pattern is a nonspecific finding. This could be a benign age-related change or may indicate allergic, inflammatory, infectious, inhaled irritant or parasitic bronchitis. Airway sampling plus/minus heartworm testing and Baermann fecal flotation can be considered to further evaluate for lower airway disease.</t>
  </si>
  <si>
    <t xml:space="preserve">
1.Are respiratory signs present? If NO._x000D_
2.Are respiratory signs present? If YES._x000D_
3.MODERATE DYNAMIC AIRWAY DISEASE; MODERATE INTERSTITIAL TO ALVEOLAR INFILTRATE, MILD BRONCHIAL PATTERN, MILD PERIHILAR INFILTRATE._x000D_
4.Based on these AI airway/pulmonary findings, the probability of this patient having clinically detectable respiratory signs is MEDIUM (50%)_x000D_
5.Pleural fissure lines or small volume pleural effusion has been detected. In a mildly overweight animal, excessive pericardial fat can artifactually mimic the result of minimal pleural effusion._x000D_
6.Severe cardiomegaly has been detected but Heart Failure is NOT suspected.</t>
  </si>
  <si>
    <t>Patient Name : Sammie Huntley, Date of study: Sep 26, 2024
3 images are provided for review
Canine Thorax (3 Images) - 2 Lateral, 1 Vd
There are no previous radiographs for comparison.
Ungloved human digits are in the primary beam.
Pulmonary parenchyma: A minimal diffuse interstitial pattern is present.
Pulmonary vasculature: The pulmonary vasculature is subjectively normal in size and tapers in the periphery of the lungs.
Cardiac silhouette: The cardiac silhouette has a slightly flat caudodorsal margin in the left lateral image.  Increased soft tissue with a convex caudal margin is in the region of the left atrium in the ventrodorsal image.
Mediastinum: The cranial mediastinum is normal.
Trachea: A soft tissue band superimposes over the cervical trachea.
Esophagus: The esophagus is not well-identified.
Pleural space: The pleural space is normal.
Musculoskeletal: Ovoid accumulations of gas foci are in the dorsal extra-thoracic soft tissues, which are enlarged in the lateral image.  T13 is transitional with a hypoplastic right rib.  The remaining included musculoskeletal structures are normal.
(amended on 09/26/2024 13:43)
T11-12 and T12-13 spondylosis deformans is present.</t>
  </si>
  <si>
    <t>1. Mild left-sided cardiomegaly such as from myxomatous mitral valvular disease and insufficiency, or unlikely other.
- There is no evidence of left-sided congestive heart failure.
2. Minimal diffuse interstitial pulmonary pattern due to artifact/technique, fibrosis from prior disease, or unlikely other.
3. Dorsal redundant tracheal membrane versus superimposed normal structures.
4. Dorsal extra-thoracic gas from recent sedation/medication administration, or less likely evolving abscessation or other.</t>
  </si>
  <si>
    <t>Echocardiography, eCG and blood pressure for further evaluation.  Routine blood work and urinalysis if not recently performed.  Empirical therapy and supportive care in the interim as needed.  Monitoring as directed or sooner if clinical signs acutely change, fail to improve or worsen.
(amended on 09/26/2024 13:43)
Consider tracheoscopy/bronchoscopy/fluroscopy for further evaluation of dynamic airway disease if clinically indicated.</t>
  </si>
  <si>
    <t>3 views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t>
  </si>
  <si>
    <t>Abdomen: There is a moderate amount of soft tissue opacity within the gastric lumen.  There are no abnormalities involving the small intestines.  The liver is considered on the lower limits of normal for size.  The spleen is unremarkable.  It is difficult to assess the kidneys due to silhouetting and summation with the gastrointestinal tract.  The visible portions of the urinary bladder are unremarkable._x000D_
_x000D_
Thorax: The pulmonary parenchyma, cardiac silhouette, and pulmonary vasculature are unremarkable.  There is no evidence of pleural effusion or lymphadenopathy._x000D_
_x000D_
Thoracolumbar spine: There is narrowing of the intervertebral disc space at T13-L1 spondylosis deformans is noted at this level.  Spondylosis deformans is noted at L1-2 and L2-3.</t>
  </si>
  <si>
    <t>The soft tissue opacity within the gastric lumen most likely represents normal ingesta._x000D_
_x000D_
Mild microhepatica most likely incidental._x000D_
_x000D_
Suspect intervertebral disc disease at 1213-L1._x000D_
_x000D_
Regions of spondylosis deformities.</t>
  </si>
  <si>
    <t>Study:_x000D_
Thoracic and abdominal radiography: three images dated September 26, 2024_x000D_
_x000D_
Findings:_x000D_
There is a soft tissue opaque mass effect at the heart base causing dorsal displacement of the caudal trachea. The cardiac silhouette and pulmonary vasculature are normal in size. There is a mild alveolar pattern in the caudal segment of the left cranial lung lobe. No pulmonary nodules or masses are present. The pleural space is normal. The trachea is normal in diameter.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There is narrowing of the T 13-L1 and L2-L3 intervertebral disc spaces with chronic endplates and moderate spondylosis deformans.</t>
  </si>
  <si>
    <t>1. A heart base mass is suspected. Rule out chemodectoma, hemangiosarcoma or reactive or neoplastic tracheobronchial lymphadenopathy. Recommend echocardiography or computed tomography of the thorax for further evaluation._x000D_
2. The mild alveolar pattern in the caudal segment the left cranial lung lobe is concerning for pneumonia. Empiric antibiotic therapy with repeat radiography in 10 to 14 days to monitor for response to treatment should be considered._x000D_
3. Unremarkable abdomen._x000D_
4. Chronic T 13-L1 and L2-L3 intervertebral disc disease.</t>
  </si>
  <si>
    <t xml:space="preserve">
1.A moderate to severe interstitial to alveolar pattern has been detected._x000D_
2.A moderate BRONCHIAL PATTERN has been detected._x000D_
3.Moderate bronchial and severe alveolar pattern._x000D_
4.Pleural fissure lines or moderate to severe pleural effusion has been detected. An overlying skin fold or in an obese animal, excessive pericardial fat could artifactually mimic the result of severe pleural effusion._x000D_
5.Severe cardiomegaly has been detected but Heart Failure is NOT suspected._x000D_
6.Moderate to severe bronchointerstitial pulmonary pattern._x000D_
7.Minimal DYNAMIC AIRWAY DISEASE has been detected._x000D_
8.There is no evidence of INTERSTITIAL or ALVEOLAR DISEASE; or PERIHILAR INFILTRATE detected. The PLEURAL SPACE and THORACIC LYMPH NODES are suspected to be normal._x000D_
9.A mild perihilar infiltrate has been detected.</t>
  </si>
  <si>
    <t>Six orthogonal survey radiographs of the thorax and abdomen dated 26th September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hepatic silhouette is minimally enlarged with smooth borders. The spleen is normal in shape, size and position. The kidneys are partially obscured by gastrointestinal contents, but the visible aspect are normal. The stomach is mainly empty, with a normal axis. The small intestines are distributed evenly and are within normal limits for shape, size and contents. The ascending, transverse and descending colon have a normal position and contain gradually more formed faeces. The urinary bladder is filled. The serosal detail is normal.</t>
  </si>
  <si>
    <t>Normal thorax and abdomen. _x000D_
Minimal hepatomegaly: This is a radiographic nonspecific finding, and has metabolic (fat deposition, diabetes mellitus), infectious-inflammatory (hepatitis-viral-parasitic), infiltrative origins (nodular hyperplasia-round cell infiltration/lymphoma-adenoma-adenocarcinoma) or unlikely hemodynamic (right heart failure) origins.</t>
  </si>
  <si>
    <t>Observational management is advised.</t>
  </si>
  <si>
    <t>Patient Name : Max Gomez, Date of study: Sep 26, 2024
3 images are provided for review
Prior images dated May 14, 2024 are available.
Pulmonary parenchyma:   Centered over the accessory lung lobe is a well-defined soft tissue mass.  This is best identified in the ventrodorsal image, and is ovoid, resulting in lateral and ventral dispalcement of mainstem bronchi, and suspected lateral narrowing of the right caudal lobar bronchus.  A severe diffuse bronchial and moderate-severe interstitial to alveolar pattern is present in the remainder of the lungs.  
Pulmonary vasculature: The pulmonary vasculature is subjectively normal in size and tapers in the periphery of the lungs.
Cardiac silhouette: The cardiac silhouette is partially obscured without obvious cardiomegaly.
Mediastinum: The cranial mediastinum is normal.
Trachea: The trachea is normal.
Esophagus: The esophagus is not well-identified.
Pleural space: The pleural space is normal.  The diaphragm is partially obscured where it is contacted by the increased soft tissue/mass in the accessory lung lobe.
Musculoskeletal: The patient is thin with concave soft tissue between spinous processes.  The remaining included musculoskeletal structures are normal.</t>
  </si>
  <si>
    <t xml:space="preserve">1. Right accessory lung lobe mass or less likely middle tracheobronchial lymph node mass, or a combination of these.
- If this is the right middle lung lobe, consider atypical bronchopneumonia/evolving abscessation such as from inhaled/migrating foreign body or atypical aspiration, or less likely primary pulmonary neoplasm (carcinoma versus such a lymphomatoid granulomatosis or other), less likely pulmonary eosinophilia or unlikely granulomatous/fungal disease such as from blastomycosis spp., or least likely other.
- If this is a tracheobronchial lymph node, evolving neoplasia (metastatic/multicentric or unlikely primary), versus fungal pneumonia are considered more likely.
- Differential diagnoses include neoplasia such as primary pulmonary carcinoma, or less likely metastatic/multicentric disease from occult primary malignancy, or least likely granulomatous/fungal pneumonia such as from blastomycosis spp.
2. Progressive, severe diffuse bronchial and moderate-severe interstitial to alveolar pulmonary patterns.
- Differential diagnoses include secondary to #1 above, and/or infectious/immune-mediated lower airway disease, or unlikely other.
3. Thin body condition.  </t>
  </si>
  <si>
    <t>Consider computed tomography of the thorax for further evaluation of the suspected right accessory lung lobe mass and diffuse lung changes.  Consider airway sampling, respiratory PCR panel, coagulation testing and tissue sampling (percutaneous FNA if accessible, versus lung lobectomy) for further evaluation.  Empirical therapy and supportive care for atypical bronchopneumonia in the interim as needed.  Fungal serology especially if the patient has an appropriate exposure/travel history, and/or other diagnostics are inconclusive.  Oncologist consultation depending on results of additional diagnostics.  Monitoring as directed, or sooner if clinical signs acutely change, fail to improve or worsen.</t>
  </si>
  <si>
    <t xml:space="preserve">
1.SEVERE INTERSTITIAL TO ALVEOLAR PATTERN; SEVERE BRONCHIAL PATTERN; SEVERE DYNAMIC AIRWAY DISEASE._x000D_
2.Based on these AI airway/pulmonary findings, the probability of this patient having clinically detectable respiratory signs is VERY HIGH (&gt;75%)_x000D_
3.Are respiratory signs present? If YES._x000D_
4.A moderate perihilar infitlrate has been detected._x000D_
5.The evaluation has a strong suspicion of pulmonary nodules or mass lesion being present._x000D_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suspected._x000D_
8.Are respiratory signs present? If NO.</t>
  </si>
  <si>
    <t>Orthogonal views of the thorax are provided:_x000D_
_x000D_
Thorax:_x000D_
_x000D_
No abnormalities seen in the pharynx nor in the trachea._x000D_
Cardiac silhouette shows suspected mild enlargement of the left atrium dorsally displacing the carina._x000D_
Pulmonary vessels are within normal limits of size and shape._x000D_
Pulmonary parenchyma shows a mild bronchial pattern. No evidence of pneumonia nor signs of pulmonary nodules/masses._x000D_
Pleural space, mediastinum, diaphragm and thoracic wall within normal limits._x000D_
_x000D_
Liver extends beyond the costal arch with sharp margins.</t>
  </si>
  <si>
    <t>1) Rule out left atrial enlargement secondary to chronic mitral endocardiosis without signs of CHF (even if no murmur is heard)._x000D_
2) Unremarkable lungs do not exclude a bronchitis of allergic vs inflammatory/infectious or parasitic origin._x000D_
3) Hepatomegaly: Metabolic vs Vacuolar infiltration vs Hepatic nodular hyperplasia vs Inflammatory vs Toxic vs Neoplastic or a combination of these differentials.</t>
  </si>
  <si>
    <t>Consider a cardiology consultation with ECG and echocardiogram and abdominal US to further evaluate the liver prior to an empirical treatment for chronic bronchitis evaluating response to treatment._x000D_
Underlying causes for panting include pain, acid-base imbalance, Cushing=ZZ91=s disease, spinal cord compression, intracranial disease, hyperthermia and PTE._x000D_
Consider work up for panting with CBC, biochemistry, abdominal US, neuro exam and upper airway exam under sedation.</t>
  </si>
  <si>
    <t xml:space="preserve">
1.SEVERE BRONCHIAL PATTERN; SEVERE DYNAMIC AIRWAY DISEASE._x000D_
2.Based on these AI airway/pulmonary findings, the probability of this patient having clinically detectable respiratory signs is VERY HIGH (&gt;75%)_x000D_
3.Are respiratory signs present? If YES._x000D_
4.AI link to canine airway collapse treatment article: https://platform.v2.vetology.net/doc/canine-tracheal-collapse-treatment_x000D_
5.Are respiratory signs present? If NO._x000D_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</si>
  <si>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Patient Name : Mocha Stout, Date of study: Sep 26, 2024
8 images are provided for review
There are no previous radiographs for comparison.
Pulmonary parenchyma: A minimal to mild diffuse interstitial pattern is present.  A mild diffuse bronchial pattern is present.  
Pulmonary vasculature: The pulmonary vasculature is subjectively normal in size and tapers in the periphery of the lungs.
Cardiac silhouette: The cardiac silhouette is subjectively tall with slight dorsal trachea displacement in a right lateral image.  Ill-defined increased soft tissue is suspected in the region of the left atrium in the ventrodorsal images.
Mediastinum: The cranial mediastinum is normal.
Trachea: The trachea is normal.
Esophagus: The esophagus is not well-identified.
Pleural space: The pleural space is normal.
Musculoskeletal: The included musculoskeletal structures are normal.</t>
  </si>
  <si>
    <t xml:space="preserve">1. Equivocal left-sided cardiomegaly versus artifact from patient positioning/phase of the cardiopulmonary cycle.  
- If present consider evolving myxomatous mitral valvular disease and insufficiency or dilated cardiomyopathy versus other.
- There is no current evidence of left-sided congestive heart failure.
2. Minimal to mild diffuse interstitial pulmonary pattern and mild bronchial pulmonary pattern.
- Differential diagnoses include fibrosis from prior disease, age-related changes, or less likely infectious/immune-mediated lower airway disease, or unlikely other.
</t>
  </si>
  <si>
    <t>Consider echocardiography, eCG and blood pressure for further evaluation, especially if a murmur is later identified.  Routine blood work, abdominal radiographs and urinalysis if not recently performed.  Computed tomography may better evaluate the thorax in a patient of this size.  Empirical therapy/supportive care in the interim as needed.  Monitoring as directed, or sooner if clinical signs acutely change, fail to improve or worsen.</t>
  </si>
  <si>
    <t xml:space="preserve">
1.A minimal interstitial pattern has been detected._x000D_
2.The cardiac silhouette size is normal._x000D_
3.There is no evidence of DYNAMIC AIRWAY COLLAPSE or BRONCHIECTASIS._x000D_
4.A mild perihilar infiltrate and minimal bronchial pattern have been detected</t>
  </si>
  <si>
    <t>Patient Name : Sandy Overholt, Date of study: Sep 26, 2024
3 images are provided for review
Prior images dated June 20, 2024 are available.
Pulmonary parenchyma:  The caudal thoracic trachea, carina and lobar airways are subjectively narrowed in a dorsoventral dimension in the right lateral image. A mild diffuse bronchial pattern is present.
Pulmonary vasculature: The pulmonary vasculature is subjectively normal in size and tapers in the periphery of the lungs.
Cardiac silhouette: The cardiac silhouette is tall and occupies approximately 2/3 the height of the thorax.  The trachea is dorsally displaced.  The caudodorsal margin of the cardiac silhouette is enlarged.  Rounded increased soft tissue in in the region of the left atrium in the ventrodorsal image.  The cardiac silhouette is slightly widened subjectivley and occupies the width of 3.5 intercostal spaces.
Mediastinum: The cranial mediastinum is normal.
Trachea: The trachea has an undulant margin and is narrow in a dorsoventral dimension in the right lateral compared to the left lateral images.
Esophagus: The esophagus is not well-identified.
Pleural space: The pleural space is normal.
Musculoskeletal: Spondylosis deformans is at T4-5, T5-6 and T6-7.  The remaining included musculoskeletal structures are normal.</t>
  </si>
  <si>
    <t>1. Similar moderate left-sided and suspected right-sided cardiomegaly such as from myxomatous mitral with/without tricuspid valvular disease or cor pulmonale/pulmonary hypertension, or unlikely other.
- No current evidence of left-sided congestive heart failure.
2. Caudal trachea, carina and presumed lobar bronchial narrowing such as from dynamic airway disease/chondromalacia.
3.  Similar mild diffuse bronchial pulmonary pattern due to infectious/immune-mediated lower airway disease, fibrosis from prior disease, age-related changes, or less likely other.
4. No obvious pulmonary soft tissue nodules or intra-thoracic lymphadenomegaly is identified.</t>
  </si>
  <si>
    <t>Echocardiography, eCG and blood pressure for further evaluation.  Routine blood work and urinalysis if not recently performed.  Consider tracheoscopy/bronchoscopy/fluoroscopy, respiratory PCR panel and fecal analysis/deworming for further evaluation.  Empirical therapy and supportive care in the interim as needed for coughing.   If dyspnea manifests in the interim, consider diuretic therapy, oxygen therapy and repeat thoracic radiographs for monitoring progression/resolution of pulmonary pattern after 4-6 hours.   Monitoring as directed, or sooner if clinical signs acutely change, fail to improve or worsen.</t>
  </si>
  <si>
    <t xml:space="preserve">
1.MILD to MODERATE BRONCHOINTERSTITIAL PATTERN; MILD DYNAMIC AIRWAY DISEASE._x000D_
2.Based on these AI airway/pulmonary findings, the probability of this patient having clinically detectable respiratory signs is MEDIUM (50%)_x000D_
3.There is no evidence of PULMONARY NODULES._x000D_
4.Are respiratory signs present? If YES._x000D_
5.Are respiratory signs present? If NO._x000D_
6.Severe cardiomegaly has been detected but Heart Failure is NOT suspected.</t>
  </si>
  <si>
    <t>Three radiographs of the thorax, two views of the thoracic limbs, and three views of the abdomen are provided. Images dated February 24, 2023 are available for comparison. Cardiac silhouette and pulmonary vessels are normal size and shape. There are several incidental pulmonary osteomas. No soft tissue pulmonary nodules or pleural effusion. Normal cranial mediastinal width. No cervical spinal abnormalities. There is a small well delineated concave defect in the right humeral deltoid tuberosity on the craniocaudal view. Mild enthesophyte formation on the caudal aspect of both humeral heads. Otherwise the humeri are symmetric on the lateral views. No cubital or carpal abnormalities. Mild to moderate osteoarthritis in the metacarpophalangeal joints, worse than before. Soft tissues of the right 3rd digit appear mildly thickened compared to other digits. No other soft tissue swelling. There is no fracture or subluxation._x000D_
_x000D_
In the abdomen there is no effusion. The gastrointestinal tract is moderately filled. Several smoothly irregular mineral opaque rock-like objects measuring up to 1.8 cm in the distal colon, incidental. Normal-sized liver. The spleen and kidneys are obscured. Spondylosis deformans in the cranial lumbar spine is likely incidental.</t>
  </si>
  <si>
    <t>1. Progressive metacarpophalangeal osteoarthritis in both thoracic limbs. This, coupled with soft tissue sprain/strain is the most likely cause for lameness._x000D_
2. Thickened soft tissues in the right 3rd digit, consider artifact due to digit position versus cellulitis/edema which can be seen with soft tissue insult._x000D_
3. Smoothly irregular right deltoid tuberosity, likely due to chronic insult. This is of doubtful clinical significance today._x000D_
4. Normal thorax and abdomen.</t>
  </si>
  <si>
    <t>Recommend close inspection for evidence of a puncture wound in the right thoracic limb 3rd digit.</t>
  </si>
  <si>
    <t>4 images of the thorax are provided for review.  A bulge is present in the region of the left atrium.  Interstitial to alveolar opacity is present in the caudal lung lobes near the hilus.  The mediastinal and pleural structures are normal.  Cranial abdominal detail is adequate.</t>
  </si>
  <si>
    <t>Left-sided cardiomegaly.  Interstitial to alveolar pulmonary pattern consistent with cardiogenic pulmonary edema.</t>
  </si>
  <si>
    <t>Consider repeat radiographs following diuretic therapy.  Echocardiography may be helpful in further staging.</t>
  </si>
  <si>
    <t xml:space="preserve">
1.MODERATE BRONCHOINTERSTITIAL PATTERN, MINIMAL DYNAMIC AIRWAY DISEASE._x000D_
2.Based on these AI airway/pulmonary findings, the probability of this patient having clinically detectable respiratory signs is MEDIUM (50%)_x000D_
3.Pleural fissure lines or moderate to severe pleural effusion has been detected. An overlying skin fold or in an obese animal, excessive pericardial fat could artifactually mimic the result of severe pleural effusion._x000D_
4.Moderate cardiomegaly has been detected but Heart Failure is NOT suspected._x000D_
5.Are respiratory signs present? If YES._x000D_
6.AI link to dynamic airway disease treatment in dogs: https://platform.v2.vetology.net/doc/canine-tracheal-collapse-treatment_x000D_
7.Are respiratory signs present? If NO._x000D_
8.The evaluation has a strong suspicion of pulmonary nodules or mass lesion being present.</t>
  </si>
  <si>
    <t>Three radiographs of the thorax in orthogonal views of the abdomen are provided. There is prominence of the left ventricle and left atrium. Pulmonary vessels are normal size. There is a well-defined smoothly marginated 1.8 cm soft tissue opaque nodule in the left caudal lung lobe. There are several additional probable pulmonary nodules, such as seen within the right 9th intercostal space on the VD view, cranial to the heart and overlying the mid ventral heart on both lateral views. These additional nodular contours measure up to 0.9 cm. The nodular contour on the VD projection could be a superimposed nipple, however does not explain the additional nodules. There is no pleural effusion. Mild narrowed cervical trachea on the left lateral view. Incidental punctate laryngeal mineralization. Mild degenerative change in the shoulders._x000D_
_x000D_
In the abdomen the liver is mildly enlarged with smooth margins. Normal-sized spleen and kidneys. The gastrointestinal tract is moderately filled. No radiopaque urolithiasis. Narrowed T11-12, T12-13 intervertebral disc spaces. Mild degenerative change in the coxofemoral joints. The left patella is medially displaced. There is curved 4.2 cm soft tissue opacity overlying the inguinal region on the lateral view.</t>
  </si>
  <si>
    <t>1. Several pulmonary nodules, most consistent with malignant neoplasia. Whether this is primary pulmonary neoplasia or metastatic disease from a distant site is not known._x000D_
2. Prominent left atrium and ventricle consistent with acquired mitral valve disease. There is no evidence of pulmonary venous congestion or pulmonary edema. This is of doubtful clinical significance today._x000D_
3. Mild hepatomegaly, a nonspecific finding that may be steroid or other hepatopathy, acute inflammation, or neoplasia. This should be correlated with history and blood work._x000D_
4. The curved soft tissue density in the inguinal region may be lymphadenopathy, superimposed skin fold, or a mass lesion originating from cutaneous tissues. This should be correlated with palpation._x000D_
5. Probable intervertebral disc disease in the caudal thoracic spine, bilateral mild coxofemoral osteoarthritis, and medial patellar luxation on the left. Any of these may be responsible for discomfort.</t>
  </si>
  <si>
    <t>If a definitive diagnosis is desired for type of neoplasia and there are no external or oral lesions that could be the primary lesion, abdominal ultrasound could be considered in an effort to identify neoplasia for guided sampling purposes.</t>
  </si>
  <si>
    <t xml:space="preserve">
1.A minimal bronchointerstitial pulmonary pattern with a concurrent, minimal perihilar infiltrate have been detected._x000D_
2.Mild cardiomegaly has been detected but Heart Failure is NOT suspected._x000D_
3.There is no evidence of DYNAMIC AIRWAY COLLAPSE or BRONCHIECTASIS, PULMONARY NODULES or PLEURAL EFFUSION._x000D_
4.MINIMAL TO MILD BRONCHOINTERSTITIAL PULMONRAY PATTERN; MILD PERIHILAR PATTERN._x000D_
5.Based on the AI airway/pulmonary findings, the probability of this patient having clinically detectable respiratory signs is LOW (25%)</t>
  </si>
  <si>
    <t>Orthogonal radiographs of the thorax and of the abdomen are provided. The cardiac silhouette and pulmonary vessels are normal size. The lungs are clear. There is no pleural effusion. Normal tracheal diameter. All of the cervical intervertebral disc spaces are narrowed, with spondylosis deformans. No abnormalities in the proximal thoracic limbs. The patient is overweight, with moderate volume subcutaneous fat._x000D_
_x000D_
In the abdomen there is no effusion or organomegaly. The gastrointestinal tract is minimally filled. No radiopaque urolithiasis. The coxofemoral joints are congruent. The patellar location is normal. The T12-13, T13-L1, L1-2, L2-3 intervertebral disc spaces are narrowed.</t>
  </si>
  <si>
    <t>Multiple narrowed intervertebral discs in the cervical spine and thoracolumbar spine. This is the most likely cause for discomfort and lameness. Soft tissue sprain/strain is next on the differential list. The thorax and abdomen are normal.</t>
  </si>
  <si>
    <t>Recommend palpate for spinal discomfort, and a neurologic examination. Also recommend weight management.</t>
  </si>
  <si>
    <t xml:space="preserve">
1.Based on these AI airway/pulmonary findings, the probability of this patient having clinically detectable respiratory signs is LOW to MEDIUM (25-50%)_x000D_
2.MILD BRONCHOINTERSTITIAL PULMONARY PATTERN; MILD DYNAMIC AIRWAY DISEASE._x000D_
3.Severe cardiomegaly has been detected but Heart Failure is NOT suspected._x000D_
4.There is no evidence of PERIHILAR INFILTRATE or PULMONARY NODULES._x000D_
5.Are respiratory signs present? If YES._x000D_
6.Are respiratory signs present? If NO.</t>
  </si>
  <si>
    <t>A ventral dorsal radiograph of the thorax, and a lateral view of the thorax/abdomen are provided. The cardiac silhouette is normal size and shape. There are no abnormalities in the pulmonary parenchyma. No pleural effusion. Adequate tracheal diameter. No thoracic spinal abnormalities. In the abdomen and gastrointestinal tract is mildly filled. No effusion. Normal-sized liver, spleen, kidneys. No radiopaque urolithiasis. Narrowed L1-2 intervertebral disc space and foramen.</t>
  </si>
  <si>
    <t>1. The appearance of L1-2 is suggestive of a protruding/extruded intervertebral disc. Such a lesion at this or another site is the most likely cause for the clinical signs._x000D_
2. Normal thorax and postprandial abdomen. Gastric contents appears to be residual ingesta. Foreign material is given lesser consideration in the absence of vomiting.</t>
  </si>
  <si>
    <t>Recommend consultation with a neurologist and advanced spinal imaging such as MRI.</t>
  </si>
  <si>
    <t xml:space="preserve">
1.Pleural fissure lines or moderate to severe pleural effusion has been detected. An overlying skin fold or in an obese animal, excessive pericardial fat could artifactually mimic the result of severe pleural effusion._x000D_
2.A diffuse bronchointerstitial pattern with area(s) of alveolar infiltrate and concurrent dynamic airway disease have been detected._x000D_
3.Minimal dynamic airway disease has been detected._x000D_
4.The cardiac silhouette size is normal.</t>
  </si>
  <si>
    <t>Patient Name : River Trammell, Date of study: Sep 26, 2024
6 images are provided for review
There are no previous radiographs for comparison.
Pulmonary parenchyma: Respiratory motion in the lateral and ventrodorsal  image.  Only in the ventrodorsal image, a small ovoid soft tissue focus is over the left caudal lung in the 9th intercostal space. A minimal to mild diffuse interstitial and minimal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moderate gas in the lateral image.
Pleural space: The pleural space is normal.
Bones/Joints:
The right elbow is normal.  
The right shoulder is normal.
The left elbow is normal.  
The left shoulder is normal.  
T6-7, T9-10, and T11-12 spondylosis deformans is present.
There is no evidence of medullary sclerosis, osteolysis, endosteal scalloping, or periosteal proliferation.
Soft tissues:  The cutaneous soft tissues of the right elbow are moderately enlarged and mildly convex.   The cutaneous soft tissues of the left elbow are mildly to moderate enlarged, with superimposed ovoid soft tissue in the lateral images.  The remaining included soft tissues are normal.</t>
  </si>
  <si>
    <t>1. Moderate right elbow soft tissue swelling due to evolving hygroma and/or cellulitis/fasciitis, or unlikely abscessation or neoplasia (soft tissue sarcoma versus other).
2. Mild-moderate left elbow soft tissue swelling due to evolving hygroma and/or cellulitis/fasciitis, or unlikely abscessation or neoplasia (soft tissue sarcoma versus other).
3. Possible left caudal lung soft tissue nodule versus artifact/superimposed normal structures.
- If present, this may be due to evolving metastatic neoplasia from occult primary malignancy or granuloma from prior disease, versus other.
4. Mild diffuse interstitial and minimal bronchial pulmonary patterns.
- Differential diagnoses include artifact/respiratory motion and/or fibrosis from prior disease, age-related changes, or unlikely infectious/immune-mediated lower airway disease or other.
5. Esophageal gas due to aerophagia, esophagitis, or less likely underlying esophageal dysmotility given reported clinical signs.</t>
  </si>
  <si>
    <t>Consider computed tomography of the thorax for further evaluation of possible soft tissue nodule.  Monitoring with serial thoracic radiographs (4 views) may also be contributory.  Consider routine blood work and abdominal imaging to screen for occult systemic disease if not recently performed.   Empirical therapy and supportive care in the interim as needed for elbow soft tissue changes and reported coughing. If progressive soft tissue changes to the elbows in the face of empirical therapy, consider cross-sectional imaging and tissue sampling/debridement depending on results.    Monitoring as directed or sooner if clinical signs acutely change, fail to improve or worsen.</t>
  </si>
  <si>
    <t xml:space="preserve">
1.This evaluation has a strong suspicion of soft tissue pulmonary nodules or mass lesion being present._x000D_
2.PULMONARY NODULES or NODULAR PATTERN; PLEURAL EFFUSION; MODERATE INTERSTITIAL TO ALVEOLAR PATTERN._x000D_
3.Based on these AI airway/pulmonary findings, the probability of this patient having clinically detectable respiratory signs is HIGH (75%)_x000D_
4.Are respiratory signs present? If YES._x000D_
5.Are respiratory signs present? If NO._x000D_
6.Pleural fissure lines or a mild volume of pleural effusion has been detected. In an overweight animal, excessivepericardial fat can artifactually mimic the result of pleural effusion._x000D_
7.The cardiac silhouette size is normal._x000D_
8.There is no evidence of PERIHILAR INFILTRATE or DYNAMIC AIRWAY COLLAPSE or BRONCHIECTASIS.</t>
  </si>
  <si>
    <t>Three radiographs of the thorax and of the abdomen are provided. The cardiac silhouette and pulmonary vessels are normal size and shape. The lungs are clear. No abnormalities along the plane of the esophagus. Normal tracheal diameter. Osseous structures are age-appropriate._x000D_
_x000D_
In the abdomen there is no effusion. The stomach contains a small amount of mineral density. This is comprised of stippled mineral opacity and several thin flat fragments that measure up to 3.0 cm. Small intestines are diffusely mildly fluid filled. Small-volume semi-formed feces in the colon. There are a few punctate mineral densities in the intestines. The urinary bladder is not definitively seen. Normal-sized liver, spleen, kidneys.</t>
  </si>
  <si>
    <t>1. Gastric foreign material. These fragments are of a size that is too large to pass successfully. These are likely causing gastritis and pyloric outflow obstruction. There is no evidence of intestinal obstruction._x000D_
2. Normal thorax.</t>
  </si>
  <si>
    <t>Retrieval of gastric contents is recommended. This could be via inducing emesis, gastroscopy, or surgical retrieval.</t>
  </si>
  <si>
    <t xml:space="preserve">
1.A minimal to mild bronchointerstitial pulmonary pattern has been detected._x000D_
2.The cardiac silhouette size is normal._x000D_
3.There is no evidence of DYNAMIC AIRWAY COLLAPSE or BRONCHIECTASIS or PULMONARY NODULES.</t>
  </si>
  <si>
    <t>8 images of the thorax are provided for review.  The trachea is dorsally deviated, indicating left ventricular enlargement.  A bulge is present in the region of the left atrium.  No pulmonary infiltrates are seen.  The pulmonary vasculature is normal in size.  The mediastinal and pleural structures are normal.  Cranial abdominal detail is adequate.</t>
  </si>
  <si>
    <t>Left-sided cardiomegaly without current evidence of cardiogenic pulmonary edema.</t>
  </si>
  <si>
    <t>Echocardiography may be helpful in further evaluation.</t>
  </si>
  <si>
    <t xml:space="preserve">
1.Based on these AI airway/pulmonary findings, the probability of this patient having clinically detectable respiratory signs is MEDIUM to HIGH (50-75%)_x000D_
2.Based on the AI airway/pulmonary findings, the probability of this patient having clinically detectable respiratory signs is MEDIUM (50%)_x000D_
3.MILD to MODERATE BRONCHINTERSTITIAL PATTERN with ATELECTASIS or less likely, PNEUMONIA; MILD DYNAMIC AIRWAY DISEASE._x000D_
4.MILD INTERSTITIAL TO ALVEOLAR PATTERN; MILD DYNAMIC AIRWAY DISEASE; MILD PERIHILAR INFILTRATE._x000D_
5.Are respiratory signs present? If YES._x000D_
6.Are respiratory signs present? If YES._x000D_
7.Are respiratory signs present? If NO._x000D_
8.Are respiratory signs present? If NO._x000D_
9.Severe cardiomegaly has been detected but Heart Failure is NOT suspected._x000D_
10.The evaluation has a strong suspicion of pulmonary nodules or mass lesion being present.</t>
  </si>
  <si>
    <t>5 images of the thorax and abdomen are presented for review.  The cardiovascular structures are normal.  There is a diffuse interstitial pulmonary pattern that is considered appropriate for the age of the patient and lack of inflation of the lungs.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t>
  </si>
  <si>
    <t>Radiographically normal abdomen.  Radiographically normal thorax for patient of this age.</t>
  </si>
  <si>
    <t xml:space="preserve">
1.SEVERE ALVEOLAR INFILTRATE; MINIMAL PERIHILAR PATTERN; MORE DIFFUSE MILD BRONCHOINTERSTITIAL PULMONARY PATTERN._x000D_
2.Based on the AI airway/pulmonary findings, the probability of this patient having clinically detectable respiratory signs is HIGH (75%)_x000D_
3.Are respiratory signs present? If YES._x000D_
4.Are respiratory signs present? If NO._x000D_
5.The cardiac silhouette size is normal._x000D_
6.There is no evidence of PLEURAL EFFUSION.</t>
  </si>
  <si>
    <t>Patient Name : Ace Sharp, Date of study: Sep 25, 2024
5 images are provided for review
There are no previous radiographs for comparison.
Liver: The liver has a slightly rounded caudoventral margin but is normal in overall size.
Spleen: The spleen is normal in size with smooth margins and homogeneous soft tissue.
Kidneys: The right kidney is obscured without obvious renomegaly or mineral.  The left kidney is normal.
Retroperitoneum: Retroperitoneal detail is adequate.
Urinary bladder/Urethra: The urinary bladder is normal in size, homogeneous soft tissue, and smoothly marginated.
Peritoneum: Peritoneal detail is adequate.
Gastrointestinal tract: The stomach contains a mild fluid and moderate gas. The stomach is within normal limits for size.
The small intestine contains mild fluid or is empty with a subjectively uniform population for size. 
The colon contains moderate admixed soft tissue material and gas.  The colon is within normal limits for size.  
Musculoskeletal: T13-L1, L1-2, L2-3 and L3-4 spondylosis deformans is present.  The remaining included musculoskeletal structures are normal.</t>
  </si>
  <si>
    <t>1. Non-specific gastric and small intestinal appearance such as from enteritis, colitis, or less likely given reported history variation of normal.
- There is no current evidence of gastrointestinal mechanical ileus.
- Differential diagnoses include dietary indiscretion, toxin ingestion, diet/antibiotic responsive disease, inflammatory bowel disease, pancreatitis, occult systemic disease or unlikely other.
2. Slight hepatomegaly due to vacuolar hepatopathy, nodular hyperplasia, hepatitis, evolving neoplasia or artifact.</t>
  </si>
  <si>
    <t>Consider GI panel, fecal analysis/deworming, coagulation testing, and abdominal ultrasonography versus computed tomography for further evaluation of the liver and gastrointestinal tract.  
 tissue sampling of the liver depending on results.  Thoracic imaging with radiographs or computed tomography may also be contributory.  Tissue samping of reported left shoulder cutaneous mass may also be contributory.  Oncologist consultation depending on results.  Radiographs of the pelvis/pelvic limbs may be contributory for further evaluation of possible lameness.  Empirical therapy and supportive care in the interim as needed for possible gastroenteritis.  Monitoring as directed or sooner if clinical signs acutely change, fail to improve or worsen.</t>
  </si>
  <si>
    <t xml:space="preserve">
1.The evaluation has a strong suspicion of pulmonary nodules or mass lesion being present._x000D_
2.The cardiac silhouette size is normal._x000D_
3.A mild interstitial pattern has been detected._x000D_
4.Pleural fissure lines or moderate pleural effusion has been detected. An overlying skin fold or in a moderately overweight animal, excessive pericardial fat could artifactually mimic the result of moderate pleural effusion._x000D_
5.There is no evidence of DYNAMIC AIRWAY COLLAPSE or BRONCHIECTASIS.</t>
  </si>
  <si>
    <t>Study:_x000D_
Thoracic radiography: three images dated September 25, 2024_x000D_
_x000D_
Findings:_x000D_
There is mild left ventricular and left atrial enlargement. The pulmonary vasculature is normal in size. The lungs are hypoinflated on the right lateral projection leading to the increased opacity of the pulmonary parenchyma on this image relative to the left lateral and orthogonal views. The pulmonary parenchyma is otherwise unremarkable. The pleural space is normal. There is no intrathoracic lymphadenopathy. The trachea is normal in diameter. The included abdomen is unremarkable. There is narrowing of the C5-C6 and C6-C7 intervertebral disc spaces.</t>
  </si>
  <si>
    <t>1. Mild left-sided cardiomegaly, indicative of mitral valve disease, without evidence of decompensation. Echocardiography should be considered for further evaluation._x000D_
2. C5-C6 and C6-C7 intervertebral disc disease.</t>
  </si>
  <si>
    <t xml:space="preserve">
1.Mild dynamic airway disease has been identified._x000D_
2.There is no evidence of ALVEOLAR PATTERN, PERIHILAR INFILTRATE or PLEURAL EFFUSION._x000D_
3.A minimal bronchial pattern and concurrent mild dynamic airway disease have been identified._x000D_
4.The cardiac silhouette size is normal.</t>
  </si>
  <si>
    <t>Thorax: There is a mild bronchointerstitial pattern.  The remainder of the pulmonary parenchyma is unremarkable.  The cardiac silhouette and pulmonary vasculature are unremarkable.  There is no evidence of pleural effusion or lymphadenopathy.  There are numerous regions of thoracic vertebral spondylosis deformans.</t>
  </si>
  <si>
    <t>Multiple regions of spondylosis deformities otherwise unremarkable study.</t>
  </si>
  <si>
    <t xml:space="preserve">
1.Are respiratory signs present? If NO._x000D_
2.MINIMAL TO MILD BRONCHOINTERSTITIAL PULMONRAY PATTERN; MILD PERIHILAR PATTERN._x000D_
3.Based on the AI airway/pulmonary findings, the probability of this patient having clinically detectable respiratory signs is LOW (25%)_x000D_
4.Are respiratory signs present? If YES._x000D_
5.The cardiac silhouette size is normal._x000D_
6.There is no evidence of DYNAMIC AIRWAY COLLAPSE or BRONCHIECTASIS or PLEURAL EFFUSION.</t>
  </si>
  <si>
    <t>Patient Name : Benji Nguyen, Date of study: Sep 25, 2024
4 images are provided for review
There are no previous radiographs for comparison.
Pulmonary parenchyma: A  mild to moderate diffuse bronchial and minimal interstitial pattern is present.
Pulmonary vasculature: The pulmonary vasculature is subjectively normal in size and tapers in the periphery of the lungs.
Cardiac silhouette: The cardiac silhouette is moderately enlarged and tall, occupying greater than 2/3 the height of the thorax.  The trachea is dorsally displaced.  The caudodorsal margin of the cardiac silhouette is flattened.  Rounded increased soft tissue is in the region of the left atrium, with lateral displacement of mainstem bronchi.  Convex soft tissue bulge is at the 2-3 o'clock region (left auricular appendage) in the ventrodorsal image.
Mediastinum: The cranial mediastinum is normal.
Trachea: A soft tissue band partially superimposes over the dorsal margin of the cervical trachea.
Esophagus: The esophagus is not well-identified.
Pleural space: The pleural space is normal.
Musculoskeletal: The included musculoskeletal structures are normal.</t>
  </si>
  <si>
    <t>1. Moderate left-sided cardiomegaly such as from myxomatous mitral valvular disease and insufficiency or unlikely other.
2. Moderate diffuse bronchial and minimal interstitial pulmonary patterns due to early/evolving left-sided congestive heart failure versus infectious/immune-mediated lower airway disease, and/or fibrosis from prior disease, age-related changes, or unlikely other.
3. Redundant dorsal tracheal membrane with/without underlying dynamic airway disease, versus superimposed normal structures.</t>
  </si>
  <si>
    <t>Consider diuretic therapy, oxygen therapy and repeat thoracic radiographs to monitor for progression/resolution of the pulmonary pattern, especially if dyspnea manifests or worsens. 
 Echocardiography, blood pressure and eCG for further evaluation once stable.  Routine blood work and urinalysis if not recently performed.  Consider respiratory PCR panel and/or airway sampling for further evaluation of the lower airway if clinically indicated.  Empirical therapy and supportive care in the interim as needed.  Monitoring as directed, or sooner if clinical signs acutely change, fail to improve or worsen.</t>
  </si>
  <si>
    <t xml:space="preserve">
1.MODERATE BRONCHOINTERSTITIAL PULMONARY PATTERN; MODERATE ALVEOLAR INFILTRATE or ATELECTASIA; PLEURAL FISSURE LINES or PLEURAL EFFUSION; MODERATE DYNAMIC AIRWAY DISEASE._x000D_
2.Based on these AI airway/pulmonary findings, the probability of this patient having clinically detectable respiratory signs is HIGH (75%)_x000D_
3.Pleural fissure lines or moderate to severe pleural effusion has been detected._x000D_
4.Are respiratory signs present? If YES._x000D_
5.Are respiratory signs present? If NO._x000D_
6.Severe cardiomegaly has been detected but Heart Failure is NOT suspected.</t>
  </si>
  <si>
    <t>Patient Name : Angus Gary, Date of study: Sep 25, 2024
4 images are provided for review
There are no previous radiographs for comparison.
Cranial abdomen excluded in the ventrodorsal image.
Liver: The liver is subjectively normal in size.
Spleen: The spleen is normal in size with smooth margins and homogeneous soft tissue.
Kidneys: The left kidney is normal.  The right kidney is partially obscured without obvious mineral or enlargement.
Retroperitoneum: Retroperitoneal detail is adequate.
Urinary bladder/Urethra: The urinary bladder is normal in size, homogeneous soft tissue, and smoothly marginated.
Peritoneum: Peritoneal detail is adequate.
Gastrointestinal tract: The stomach contains a moderate heterogeneous soft tissue material admixed with gas.  The stomach is within normal limits for size.
The small intestine contains moderate heterogeneous soft tissue material, fluid, gas, or is empty with a subjectively uniform population for size. 
The colon contains mild well-defined and heterogeneous soft tissue material and gas.  The colon is within normal limits for size.  
Musculoskeletal: Mildly undulant lateral margin to the left ilial body is suspicious for healed fracture.  The remaining included musculoskeletal structures are normal.</t>
  </si>
  <si>
    <t>1. No radiopaque urocystoliths are identified.  
2. Gastric material due to recent meal, versus gastritis/delayed gastric emptying or unlikely pyloric outflow tract obstruction given lack of vomiting in reported history.
3. Non-specific small intestinal and colon appearance such as from enteritis, colitis, or passing ingesta/variation of normal.
- Differential diagnoses for enteritis/colitis include dietary indiscretion, toxin ingestion, diet/antibiotic responsive disease, inflammatory bowel disease, parasitism/primary infectious disease, or pancreatitis or occult systemic disease.
- There is no current evidence of gastrointestinal mechanical ileus.</t>
  </si>
  <si>
    <t>Consider abdominal ultrasonography, urinalysis, and urine culture/sensitivity testing for further evaluation.  This examination does not rule out occult coagulopathy, urinary bladder/urethral neoplasm, or idiopathic renal hematuria contributing to current signs.  Empirical therapy and supportive care for occult cystitis in the interim as needed. Monitoring as directed or sooner if clinical signs acutely change, fail to improve or worsen.</t>
  </si>
  <si>
    <t xml:space="preserve">
1.The cardiac silhouette size is normal._x000D_
2.There is no evidence of ALVEOLAR PATTERN, PERIHILAR INFILTRATE, DYNAMIC AIRWAY COLLAPSE or BRONCHIECTASIS or PULMONARY NODULES._x000D_
3.A mild bronchial pattern has been detected.</t>
  </si>
  <si>
    <t>Orthogonal views of the thorax and neck are provided._x000D_
_x000D_
No laryngeal or tracheal abnormalities are identified. No pulmonary infiltrates or bronchial thickening are seen. There is a linear opacity in the left cranial thorax in the VD view which is believed to represent incidental fat within the pleural space. The patient has obese body condition. The heart is at the upper end of normal size range, with normal shape. _x000D_
_x000D_
The stomach contains a moderate quantity of normal appearing soft tissue dense ingesta. No foreign bodies are identified. The liver is mildly enlarged. The margins of the liver are smooth. No destructive or productive bone lesions are seen.</t>
  </si>
  <si>
    <t>No significant abnormalities are identified involving the respiratory tract to account for the cough. Allergic lung disease or low-grade idiopathic chronic bronchitis could still be present without more significant radiographic changes._x000D_
_x000D_
No evidence of significant cardiac chamber dilation is identified._x000D_
_x000D_
The liver is enlarged. This finding is compatible with any type of diffuse hepatopathy including metabolic/endocrine, inflammatory/infectious, or neoplastic causes. Clinical significance should be correlated with relevant labwork abnormalities.</t>
  </si>
  <si>
    <t>No thoracic or tracheal abnormalities are identified. Symptomatic therapy for the cough is recommended._x000D_
CBC and serum chemistry is recommended due to the hepatomegaly.</t>
  </si>
  <si>
    <t xml:space="preserve">
1.Are respiratory signs present? If YES._x000D_
2.Are respiratory signs present? If NO._x000D_
3.There is no evidence of PULMONARY NODULES or PLEURAL EFFUSION._x000D_
4.MINIMAL to MILD BRONCHOINTERSTITIAL PULMONARY PATTERN; MILD DYNAMIC AIRWAY DISEASE; MILD PERIHILAR INFILTRATE._x000D_
5.Based on these AI airway/pulmonary findings, the probability of this patient having clinically detectable respiratory signs is LOW to MEDIUM (25-50%)_x000D_
6.Mild cardiomegaly has been detected but Heart Failure is NOT suspected.</t>
  </si>
  <si>
    <t>Patient Name : Bruno New, Date of study: Sep 25, 2024
5 images are provided for review
There are no previous radiographs for comparison.
Pulmonary parenchyma:  The lungs are mildly or moderately hypoinflated.  A mild diffuse bronchial and interstitial pattern is present.  Pin-point mineral foci are in the cranioventral periphery of the lungs in the lateral images.
Pulmonary vasculature: The pulmonary vasculature is subjectively normal in size and tapers in the periphery of the lungs.
Cardiac silhouette: The cardiac silhouette is normal in size and shape.
Mediastinum: The cranial mediastinum is normal.
Trachea: The trachea is normal.  Position of the trachea in the right lateral image is likely due to head/neck positioning, and is not corroborated in the orthogonal images.
Esophagus: The esophagus is not well-identified.
Pleural space: The pleural space is normal.
Musculoskeletal: Multifocal thoracolumbar spondylosis deformans is present.  The remaining included musculoskeletal structures are normal.</t>
  </si>
  <si>
    <t>1. Mild diffuse bronchial and interstitial pulmonary patterns likely exacerbated by hypoinflated lungs.
- Differential diagnoses include fibrosis from prior disease, age-related changes, infectious/immune-mediated lower airway disease such as from mycoplasma spp., bordetella spp., parasitism, or inhaled allergen/irritant, or unlikely other.
2. Presumed benign pulmonary osseous metaplasia,</t>
  </si>
  <si>
    <t>Etiology of reported collapse is not definitively identified.  Consider syncopal event such as from occult dysrhythmia/ARVC given patient breed, and further evaluation with echocardiography, eCG/Holter monitoring and blood pressure.  If ruled out, consider evolving seizure activity for reported signs, and consider neurologist consultation/MRI for further evaluation.  Consider respiratory PCR panel, airway sampling, and fecal analysis for further evaluation.  Empirical therapy and supportive care in the interim as needed.  Monitoring as directed or sooner if clinical signs acutely change, fail to improve or worsen.</t>
  </si>
  <si>
    <t xml:space="preserve">
1.The evaluation has come up positive for a pulmonary nodular pattern._x000D_
2.A minimal to mild bronchointerstitial pulmonary pattern has been detected._x000D_
3.The cardiac silhouette size is normal._x000D_
4.There is no evidence of PERIHILAR INFILTRATE or DYNAMIC AIRWAY COLLAPSE or BRONCHIECTASIS.</t>
  </si>
  <si>
    <t>Three radiographs of the thorax, and orthogonal views of the abdomen of an adult canine are provided. The cardiac silhouette and pulmonary vessels are normal size. There are a few incidental pulmonary osteomas. No soft tissue pulmonary nodules, pleural effusion, or enlarged intrathoracic lymph nodes. Increased opacity overlying the caudal lateral left thorax on the VD projection is superimposed skin fold. No proximal thoracic limb abnormalities are appreciated. Cervical vertebral alignment is normal. No narrowed intervertebral disc spaces or endplate lysis. Normal lumbar spine._x000D_
_x000D_
In the abdomen there is no organomegaly or effusion. The gastrointestinal tract is minimally filled. The urinary bladder is minimally distended and soft tissue opaque. No narrowed intervertebral disc spaces or foramina. The coxofemoral joints are congruent.</t>
  </si>
  <si>
    <t>Normal thorax and abdomen. No spinal abnormalities are appreciated on this study.</t>
  </si>
  <si>
    <t>Advanced soft tissue imaging of the spine and surrounding soft tissues with MRI could be considered.</t>
  </si>
  <si>
    <t xml:space="preserve">
1.Are respiratory signs present? If NO._x000D_
2.MINIMAL TO MILD BRONCHOINTERSTITIAL PULMONRAY PATTERN; MILD PERIHILAR PATTERN._x000D_
3.Based on the AI airway/pulmonary findings, the probability of this patient having clinically detectable respiratory signs is LOW (25%)_x000D_
4.Are respiratory signs present? If YES._x000D_
5.Pleural fissure lines or moderate to severe pleural effusion has been detected. An overlying skin fold or in an obese animal, excessive pericardial fat could artifactually mimic the result of severe pleural effusion._x000D_
6.The cardiac silhouette size is normal._x000D_
7.There is no evidence of DYNAMIC AIRWAY COLLAPSE or BRONCHIECTASIS.</t>
  </si>
  <si>
    <t>4 images of the entire body are provided for review.  The cardiovascular structures are normal.  There is a moderate bronchial pattern in all lung lobes.  The mediastinal and pleural structures are normal.  Abdominal serosal detail is adequate in all quadrants.  The stomach contains a moderate amount of ingesta.  The small intestines are normal in size.  Gas and feces are present in the colon.  The urinary bladder is small.  The remaining abdominal organs are normal.
(amended on 09/27/2024 09:06)
On the VD view, the appearance of cardiac enlargement is secondary to the extreme expiratory nature of the images.  The fullness of the right side of the heart on this view is due to fat within the pericardium.</t>
  </si>
  <si>
    <t>Radiographically normal abdomen.  Moderate bronchial pulmonary pattern=ZZ90= consider bronchitis, response to inhaled irritants, response to circulating parasites, eosinophilic bronchopneumopathy.
(amended on 09/27/2024 09:06)
No additional.</t>
  </si>
  <si>
    <t>Airway sampling may be helpful in further evaluation.
(amended on 09/27/2024 09:06)
No additional.</t>
  </si>
  <si>
    <t xml:space="preserve">
1.The cardiac silhouette size is normal._x000D_
2.There is no evidence of BRONCHITIS, ALVEOLAR PATTERN, DYNAMIC AIRWAY COLLAPSE or BRONCHIECTASIS, PULMONARY NODULES or PLEURAL EFFUSION._x000D_
3.A minimal perihilar infiltrate has been detected.</t>
  </si>
  <si>
    <t>A lateral radiograph of the thorax, and three views of the thorax/abdomen are provided. The cardiac silhouette is normal size with no chamber enlargement. Pulmonary vessels and caudal vena cava are normal size. There are no abnormalities in the pulmonary parenchyma or pleural space. Tracheal diameter is adequate. Normal tracheal position. No esophageal dilation. In the abdomen there is large volume of ingesta in the stomach. Small bowel are mildly filled. Formed feces in the colon. There is no effusion. The liver and spleen are normal size. The kidneys are partially visible, with no abnormalities appreciated. No osseous abnormalities.</t>
  </si>
  <si>
    <t>Normal thorax and abdomen. There is no evidence of cardiovascular disease on the study. No tracheal abnormalities are appreciated. Dynamic collapse remains possible, as it may not be imaged on a static radiographic study.</t>
  </si>
  <si>
    <t>Recommend a CBC, blood chemistry profile, and cranial nerve assessment.</t>
  </si>
  <si>
    <t xml:space="preserve">
1.The cardiac silhouette size is normal._x000D_
2.There is no evidence of INTERSTITIAL or ALVEOLAR PATTERN, BRONCHITIS, DYNAMIC AIRWAY COLLAPSE or BRONCHIECTASIS, PULMONARY NODULES or PLEURAL EFFUSION.</t>
  </si>
  <si>
    <t>Study:_x000D_
Thoracic radiography: three images dated September 25, 2024_x000D_
_x000D_
Findings:_x000D_
The cardiac silhouette is normal in size and shape. The pulmonary vasculature is normal in size. The pulmonary parenchyma is unremarkable. The pleural space is normal. There is no intrathoracic lymphadenopathy. The trachea is a sigmoid course with a normal diameter. There is mild dilation retraction of the larynx. There is no lobar bronchi narrowing. The stomach contains heterogeneous soft tissue material presumed to be ingesta. There is multifocal cervical and thoracic intervertebral disc space narrowing. There is mild multifocal thoracic spondylosis deformans.</t>
  </si>
  <si>
    <t>1. While there is no trachea lumen narrowing, the sigmoid course of the trachea is suggestive of chondromalacia. Fluoroscopy can be considered to further evaluate for concomitant dynamic airway disease given the reported tracheal sensitivity on physical exam._x000D_
2. Normal thorax. There is no radiographic evidence of cardiopulmonary disease._x000D_
3. The mild dilation retraction the larynx is a nonspecific finding. This can be secondary to dynamic airway disease, laryngeal dysfunction, nasal disease or chronic lower airway disease._x000D_
4. Multifocal intervertebral disc disease.</t>
  </si>
  <si>
    <t>Orthogonal views that include the neck, thorax, and abdomen are provided._x000D_
_x000D_
No laryngeal or tracheal abnormalities are identified. There is mild narrowing of the trachea the thoracic inlet that is considered within the limits of benign variation. The heart appears enlarged in the lateral view but this is most likely artifactual due to hypoinflation. The appearance of the cardiac silhouette is normal in the VD view. No pulmonary infiltrates or pleural effusion are identified._x000D_
_x000D_
The abdominal organs are within normal size and shape limits. No mass lesions or loss of detail are seen in the abdomen.</t>
  </si>
  <si>
    <t>No significant anatomic abnormalities are identified.</t>
  </si>
  <si>
    <t>The cause of the primary complaint of respiratory distress is not apparent in the radiographs. There are no changes suggestive of pneumonia, heart failure, or tracheal disease._x000D_
_x000D_
Nasal or nasal pharyngeal pathology should be ruled out.</t>
  </si>
  <si>
    <t xml:space="preserve">
1.A mild bronchointerstitial pulmonary pattern and minimal perihilar infiltrate have been detected._x000D_
2.Mild cardiomegaly has been detected but Heart Failure is NOT suspected.</t>
  </si>
  <si>
    <t>Study:_x000D_
Thoracic radiography: right lateral and VD views dated September 25, 2024_x000D_
_x000D_
Compared to prior study dated February 27, 2024_x000D_
_x000D_
Findings:_x000D_
The cardiac silhouette and pulmonary vasculature are normal in size. The focal alveolar pattern noted in the left cranial lung lobe on the prior examination is no longer present. The pulmonary parenchyma is now unremarkable. The pleural space is normal. There is no intrathoracic lymphadenopathy. The trachea is normal in diameter and course. The included abdomen is unremarkable. No skeletal abnormalities are present.</t>
  </si>
  <si>
    <t>Unremarkable thorax. The resolution of the alveolar pattern noted in the left cranial lung lobe in the prior examination likely indicates coccidioidomycoses response antifungal therapy.</t>
  </si>
  <si>
    <t>If not already performed, repeat coccidioidomycoses titers should be considered for further evaluation.</t>
  </si>
  <si>
    <t xml:space="preserve">
1.A mild bronchointerstitial pulmonary pattern and minimal perihilar infiltrate have been detected._x000D_
2.The cardiac silhouette size is normal._x000D_
3.There is no evidence of DYNAMIC AIRWAY COLLAPSE or BRONCHIECTASIS, PULMONARY NODULES or PLEURAL EFFUSION.</t>
  </si>
  <si>
    <t>Study:_x000D_
Thoracic radiography: three images dated September 25, 2024_x000D_
_x000D_
Findings:_x000D_
The cardiac silhouette is normal in size and shape. The pulmonary vasculature is normal in size. All views appear expiratory. There is a mild to moderate generalized bronchointerstitial pulmonary pattern. The pleural space is normal. There is no apparent intrathoracic lymphadenopathy. The width of the cranial mediastinum is considered within normal limits for patient signalment. The trachea lumen left lateral view in comparison to the right lateral projection. This finding may be overestimated by a redundant dorsal tracheal membrane, superimposition of the esophagus or superimposition of the hypaxial musculature. The stomach contains heterogeneous soft tissue material presumed to be ingesta. There is narrowing of the C2-C3 and C4-C5 through C6-C7 intervertebral disc spaces with mild to moderate spondylosis deformans. The patient is of overweight body condition.</t>
  </si>
  <si>
    <t>1. The diffuse bronchointerstitial pulmonary pattern is a nonspecific finding. This could be a benign age-related change exaggerated by lung hypoinflation and overlying fat/scatter radiation. Allergic, inflammatory, infectious and inhaled irritant bronchitis are also considered given the patient=ZZ91=s chronic history of coughing. Airway sampling plus/minus heartworm testing and Baermann fecal flotation can be considered to further evaluate for lower airway disease._x000D_
2. Suspect chondromalacia and dynamic airway disease/tracheal collapse. Fluoroscopy can be considered for further evaluation._x000D_
3. Multifocal cervical intervertebral disc disease.</t>
  </si>
  <si>
    <t xml:space="preserve">
1.SEVERE INTERSTITIAL TO ALVEOLAR PATTERN; SEVERE BRONCHIAL PATTERN; SEVERE DYNAMIC AIRWAY DISEASE._x000D_
2.Based on these AI airway/pulmonary findings, the probability of this patient having clinically detectable respiratory signs is VERY HIGH (&gt;75%)_x000D_
3.Are respiratory signs present? If YES._x000D_
4.Are respiratory signs present? If NO._x000D_
5.A moderate perihilar infitlrate has been detected._x000D_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</si>
  <si>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Cervical, thoracic, and abdominal radiographs (7 images) dated September 25, 2024._x000D_
_x000D_
_x000D_
The cardiac silhouette is normal in size and shape. The pulmonary vasculature and great vessels are within normal limits. On the VD projection, there is a cranially convex soft tissue opacity in the right caudal lateral lung field and associated with the diaphragm. The diaphragm merges with this soft tissue opacity. No appreciable soft tissue pathology is appreciated in the lungs on the lateral views to correspond with this finding. There is, however, no defined margin of the right diaphragmatic crus on the right lateral view, suggestive of a diaphragmatic hernia or eventration. No pulmonary pathology is appreciated. No intrathoracic lymphadenopathy is evident. The trachea is normal in diameter and course with gas filling its lumen. No abnormalities are identified in the pharynx or larynx, and the variable laryngeal cartilage mineralization is considered and incidental finding. The pleural space, mediastinum, and diaphragm are normal._x000D_
_x000D_
No abnormalities are detected in the liver or visible portions of the spleen. The stomach is distended with a large amount of heterogeneous granular soft tissue content that most closely resembles partially digested kibble. The small intestine has a mild variation in diameter and predominantly contains gas, and to a lesser extent, ingesta. The proximal colon and cecum contained gas. The descending colon contains formed stool. The urinary bladder is fairly distended with homogeneous fluid opacity. The kidneys are not well visualized. Peritoneal detail is normal. No regional lymphadenopathy is evident._x000D_
_x000D_
There is lumbosacral spondylosis deformans without disc space narrowing. The shoulders have mild periarticular bony remodeling affecting them. No aggressive osseous lesions are identified.</t>
  </si>
  <si>
    <t>1. Convex soft tissue opacity protruding into the thorax and border effacing with the right diaphragm is suggestive of a hernia or eventration. Clinical significance of this finding is unknown. A pulmonary lesion is not suspected given the lack of persistence on the lateral views._x000D_
2. The remainder of the thorax is unremarkable. The no abnormalities are detected in the trachea or upper airway. The cause for the hacking is not radiographically apparent. Rule out upper airway causes (ex: pharyngitis/laryngitis, postnasal drip from rhinitis, dynamic upper airway collapse, everted laryngeal saccules, less likely a mass) vs. dynamic lower airway collapse/chondromalacia not captured in this study vs. less likely tracheitis or mild bronchitis that is insensitive to radiographic detection._x000D_
3. Unremarkable postprandial abdomen._x000D_
4. Lumbosacral spondylosis deformans and bilateral shoulder osteoarthritis._x000D_
5. Normal cardiovascular structures. The cause for the murmur is not radiographically apparent. Rule out valvular disease that has yet to result in gross structural changes to the heart vs. a benign or physiologic flow murmur.</t>
  </si>
  <si>
    <t>Sedated upper airway exam +/- fluoroscopic airway study. If normal:_x000D_
Airway sampling may be needed for definitive diagnosis (bronchoalveolar lavage or transtracheal wash).  Heartworm testing and fecal parasite screening (float and Baermann) +/- empirical deworming.  Empirical antibiotic or anti-inflammatory steroidal therapy is reasonable to consider.  Internal medicine consultation if the patient remains clinical despite treatment and the cause remains unknown._x000D_
_x000D_
Echocardiogram to elucidate the cause for the murmur._x000D_
_x000D_
CBC, Chem, UA, thyroid, fecal, BP, lactate, and 4Dx.</t>
  </si>
  <si>
    <t>Kreig Embriano</t>
  </si>
  <si>
    <t>A two view study of the thorax and a lateral neck view are provided._x000D_
_x000D_
No laryngeal or tracheal abnormalities are identified. No abnormalities are seen involving the cervical esophagus or the other soft tissues of the neck._x000D_
_x000D_
In the thoracic radiographs, there is a subtle but unusual shadow superimposed over the diaphragm at the level of the terminal esophagus in the lateral view. The appearance is compatible with a gas bubble in the esophagus, possibly associated with some irregularity of the esophageal wall. No corresponding shadow is seen in the VD view. No pulmonary infiltrates are identified. The cardiovascular structures are within normal limits.</t>
  </si>
  <si>
    <t>There is a subtle shadow associated with the distal esophagus area, this is subtle enough as to potentially have an artifactual contribution so clinical significance cannot be definitively determined. However, it does suggest the possible presence of gastroesophageal reflux or distal esophagitis. No other anatomic abnormalities are identified.</t>
  </si>
  <si>
    <t>Empiric medical management for suspected reflux esophagitis and gastric/esophageal erosion/ulceration is recommended._x000D_
If clinical signs persist, endoscopy is recommended. If this is not an option, a contrast esophagram might be helpful.</t>
  </si>
  <si>
    <t xml:space="preserve">
1.The cardiac silhouette size is normal._x000D_
2.There is no evidence of ALVEOLAR PATTERN, PERIHILAR INFILTRATE, DYNAMIC AIRWAY COLLAPSE or BRONCHIECTASIS or PLEURAL EFFUSION._x000D_
3.A mild bronchial pattern has been detected.</t>
  </si>
  <si>
    <t>Three orthogonal thoracic radiographs dated 25th September 2024 are available for review. There are no previous radiographs available for comparison. _x000D_
_x000D_
Airway findings: The trachea is elevated within the thorax. There is narrowing of the mainstem bronchi. There is widening of the tracheal bifurcation. Throughout the lung parenchyma there is a mild interstitial opacification, most prominent in the perihilar region. In the right caudal dorsal lung field, there is a mild alveolar pattern. Thin pleural fissure lines are present. No nodules or masses are seen._x000D_
_x000D_
Cardiovascular findings: There is a large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80% of the width of the thoracic volume. The cranial and caudal pulmonary vasculature are prominent. The caudal vena cava is enlarged._x000D_
_x000D_
Mediastinum and pleural space: There is mild ventral soft tissue attenuation consistent with mild pleural effusion._x000D_
_x000D_
Musculoskeletal findings: No significant abnormalities are detected._x000D_
_x000D_
Included abdomen: No significant abnormalities are detected.</t>
  </si>
  <si>
    <t>1.Mainly left sided cardiomegaly with pulmonary venous distension and cardiogenic pulmonary edema consistent with left sided congestive heart failure. Ddx: myxomatous degeneration of the mitral (+- tricuspid) valves with post-capillary pulmonary hypertension vs systolic dysfunction (DCM)._x000D_
2. The interstitial opacification is most likely due to cardiogenic pulmonary oedema. Lower airway infectious/inflammatory disease is less likely.</t>
  </si>
  <si>
    <t>Complete bloodwork if not already performed. Management for left sided congestive heart failure including diuretic therapy with oxygen support as needed. ECG and systemic blood pressure monitoring. Recommend repeat thoracic radiographs after 24-48 hours of therapy, sooner if clinically indicated. Continued monitoring of renal values and urinalysis._x000D_
_x000D_
Once stabilized, an echocardiogram is recommended.</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</si>
  <si>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3.SEVERE INTERSTITIAL TO ALVEOLAR PATTERN; SEVERE BRONCHIAL PATTERN; SEVERE DYNAMIC AIRWAY DISEASE._x000D_
4.Based on these AI airway/pulmonary findings, the probability of this patient having clinically detectable respiratory signs is VERY HIGH (&gt;75%)_x000D_
5.Are respiratory signs present? If YES._x000D_
6.Are respiratory signs present? If NO.</t>
  </si>
  <si>
    <t>Study:_x000D_
Thoracic radiography: three images dated September 25, 2024_x000D_
_x000D_
Findings:_x000D_
The cardiac silhouette is normal in size and shape (VHS approximately 9.75). The pulmonary vasculature is normal in size. There is a mild generalized bronchointerstitial pulmonary pattern. The pleural space is normal. There is no intrathoracic lymphadenopathy. The larynx is unremarkable. The trachea is normal in diameter and course. There is no lobar bronchi narrowing. The liver extends mildly beyond the costal arch with smooth and rounded margins. While. Two new bone formation is present at the caudodistal aspect the humeral head bilaterally. There is mild bilateral elbow periarticular bone formation.</t>
  </si>
  <si>
    <t>1. There is no radiographic evidence of heart disease. Consider echocardiography for further evaluation of the reported heart murmur._x000D_
2. The mild diffuse bronchointerstitial pulmonary pattern is a nonspecific finding. This could be a benign age-related change or may indicate allergic, inflammatory, infectious, inhaled irritant or parasitic bronchitis. Airway sampling, heartworm testing and Baermann fecal flotation can be considered to further evaluate for lower airway disease. Normal diameter of the trachea does not exclude the possibility of dynamic airway disease/tracheal collapse as a potential cause of the reported coughing._x000D_
3. The generalized hepatomegaly is nonspecific. Rule out metabolic/vacuolar hepatopathy, hyperplasia, hepatitis or infiltrative neoplasia. Sonography can be considered for further evaluation._x000D_
4. Mild bilateral shoulder and elbow osteoarthrosis.</t>
  </si>
  <si>
    <t xml:space="preserve">
1.Are respiratory signs present? If YES._x000D_
2.The cardiac silhouette size is normal._x000D_
3.In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4.In the PRESENCE of respiratory signs, low grade active pneumonitis (allergic, bacterial, parasitic (including heartworm disease), inhaled allergen or toxin) or upper airway disease causing pulmonary hypoinflation and/or recurrent microaspiration may be more likely._x000D_
5.Are respiratory signs present? If NO._x000D_
6.MILD BRONCHOINTERSTITIAL PULMONARY PATTERN; MINIMAL DYNAMIC AIRWAY DISEASE._x000D_
7.MILD BRONCHOINTERSTITIAL PULMONARY PATTERN; MINIMAL PERIHILAR PATTERN._x000D_
8.Based on these AI airway/pulmonary findings, the probability of this patient having clinically detectable respiratory signs is LOW to MEDIUM (25-50%)_x000D_
9.Based on the AI airway/pulmonary findings, the probability of this patient having clinically detectable respiratory signs is LOW (25%)</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</si>
  <si>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small.  The remaining abdominal organs are normal.</t>
  </si>
  <si>
    <t>Prominent rugal fold suggestive of gastritis.  This does not rule out underlying pancreatitis or infiltrative neoplasia.  Abdominal ultrasound may be helpful.  Radiographically normal thorax for patient of this age.</t>
  </si>
  <si>
    <t xml:space="preserve">
1.The evaluation has come up positive for a pulmonary nodular pattern._x000D_
2.Are respiratory signs present? If NO._x000D_
3.MODERATE INTERSTITIAL TO ALVEOLAR INFILTRATE; CONCURRENT MODERATE BRONCHIAL PATTERN; MILD PERIHILAR INFILTRATE._x000D_
4.Based on the AI airway/pulmonary findings, the probability of this patient having clinically detectable respiratorysigns is MEDIUM to HIGH (50-75%)_x000D_
5.Are respiratory signs present? If YES._x000D_
6.AI linked bacterial pneumonia treatment in dogs: https://platform.v2.vetology.net/doc/pneumonia-in-dogs-and-cats_x000D_
7.The cardiac silhouette size is normal._x000D_
8.Pleural fissure lines or moderate to severe pleural effusion has been detected. An overlying skin fold or in an obese animal, excessive pericardial fat could artifactually mimic the result of severe pleural effusion.</t>
  </si>
  <si>
    <t>Study:_x000D_
Thoracic/abdominal radiography: three images dated September 25,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gas with the pylorus appropriately gas-filled on the left lateral image. The small intestines are normal in size, course and content. The colon contains a small volume of gas and a small amount formed fecal material with a normal diameter. The liver and spleen are normal in size and margin. The renal silhouettes are normal in size and shape. The urinary bladder is not visualized and is likely small/empty. There is no uterine dilation. The osseous structures are unremarkable/age appropriate._x000D_
_x000D_
A human digit is present in the primary beam on the right lateral projection.</t>
  </si>
  <si>
    <t>1. Unremarkable abdomen. A cause of vomiting is not evident.There is no radiographic evidence of gastrointestinal foreign material or small intestinal mechanical obstruction. Abdominal sonography can be considered for further evaluation if clinical signs persist or worsen in spite of medical management._x000D_
2. Normal thorax.</t>
  </si>
  <si>
    <t xml:space="preserve">
1.The cardiac silhouette size is normal._x000D_
2.There is no evidence of BRONCHITIS, ALVEOLAR PATTERN, PERIHILAR INFILTRATE, PULMONARY NODULES or PLEURAL EFFUSION._x000D_
3.Mild dynamic airway disease has been detected.</t>
  </si>
  <si>
    <t>Patient Name : Daisy Garcia, Date of study: Sep 25, 2024
5 images are provided for review
There are no previous radiographs for comparison.
Bones/Joints:
Ill-defined medullary scelrotic lesions are in the right radial mid-diaphysis, left radial mid-diaphysis, and left ulnar proximal to mid-diaphysis.  
The right elbow is normal.  
The included right carpus, metacarpus and digits are normal.
The left elbow is normal.  
The included left carpus, metacarpus and digits are normal. 
There is no evidence of osteolysis, endosteal scalloping, or periosteal proliferation.
Soft tissues:  The included soft tissues are normal.</t>
  </si>
  <si>
    <t xml:space="preserve">1. Multifocal medullary scelrotic lesions in the right radius, left radius and left ulna.
- This is most likely due to panosteitis, especially given patients young age.
</t>
  </si>
  <si>
    <t>Empirical therapy and supportive care for suspected bilateral antebrachial panosteitis, more severe on the left. Monitoring as directed, or sooner if clinical signs acutely change, fail to improve or worsen.</t>
  </si>
  <si>
    <t xml:space="preserve">
1.A minimal perihilar infiltrate has been detected._x000D_
2.The cardiac silhouette size is normal._x000D_
3.There is no evidence of BRONCHITIS, ALVEOLAR PATTERN, DYNAMIC AIRWAY COLLAPSE or BRONCHIECTASIS or PLEURAL EFFUSION.</t>
  </si>
  <si>
    <t>Study:_x000D_
Thoracic and abdominal radiography: four images dated September 25,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small volume of gas. Some small intestinal segments contain a small amount of granular soft tissue material presumed to be ingesta. The small intestines are normal in size and course. The colon contains formed fecal material with a normal diameter. The liver and spleen are normal in size and margin. The renal silhouettes are normal in size and contour. The urinary bladder is unremarkable. There is narrowing of the T 11-T 12 through T 13- L1 intervertebral disc spaces. There is mild to moderate multifocal thoracic spondylosis deformans. The patient is of overweight body condition.</t>
  </si>
  <si>
    <t>1. T 11-T 12 through T 13-L1 intervertebral disc disease. Correlate with any spinal pain and/or proprioceptive deficits. Consider neurology consultation and MRI for further evaluation._x000D_
2. Postprandial intestinal tract=ZZ90= otherwise, unremarkable abdomen. Abdominal sonography and cPLI testing can be considered to further evaluate for sources of intra-abdominal pain._x000D_
3. Unremarkable thorax.</t>
  </si>
  <si>
    <t>Study:_x000D_
Thoracic/abdominal radiography: three images dated September 25, 2024_x000D_
_x000D_
Findings:_x000D_
The cardiac silhouette and pulmonary vasculature are normal in size. There is a mild to moderate alveolar pattern in the ventral aspect of the caudal segment of the left cranial lung lobe and the right middle lung lobe. The pleural space is normal. There is no intrathoracic lymphadenopathy. The trachea is normal in diameter and course. The stomach contains a small volume of gas with the pylorus appropriately gas-filled on the left lateral image. The small intestines are normal in size, course and content. The colon contains gas and a small amount of poorly formed fecal material. The liver and spleen are normal in size and margin. The kidneys are normal in size and contour. The urinary bladder is normal in size and opacity. There is no uterine dilation. The osseous structures are unremarkable/age appropriate.</t>
  </si>
  <si>
    <t>1. The multifocal alveolar pattern likely indicates fungal pneumonia. Recommend empiric antibiotic therapy with repeat radiography in 10 to 14 days to monitor for response to treatment._x000D_
2. Unremarkable abdomen.</t>
  </si>
  <si>
    <t xml:space="preserve">
1.MODERATE INTERSITIAL TO ALVEOLAR PATTERN; MILD PERIHILAR INFILTRATE._x000D_
2.Based on these AI airway/pulmonary findings, the probability of this patient having clinically detectable respiratory signs is MEDIUM (50%)._x000D_
3.Are respiratory signs present? If YES._x000D_
4.AI linked bacterial pneumonia treatment in dogs: https://platform.v2.vetology.net/doc/pneumonia-in-dogs-and-cats_x000D_
5.Are respiratory signs present? If NO._x000D_
6.The cardiac silhouette size is normal._x000D_
7.There is no evidence of PULMONARY NODULES.</t>
  </si>
  <si>
    <t>Three radiographs of the thorax and of the abdomen are provided. The cardiac silhouette and pulmonary vessels are normal size and shape. There is increased opacity with lobar sign and faint air bronchograms in the right cranial lung lobe. No pleural effusion or esophageal dilation. Normal tracheal diameter. Mild congenital vertebral malformations in the caudal thoracic spine, of doubtful clinical significance today._x000D_
_x000D_
In the abdomen there is no effusion. The prostate is mildly enlarged. The patient is listed as neutered but appears to be intact on these images. Moderate volume gas and small volume amorphous soft tissue density in the stomach. Small intestines are minimally filled. Small volume formed feces in the colon. No radiopaque foreign material. Normal-sized liver, spleen, left kidney. The right kidney is obscured. Normal coxofemoral joints.</t>
  </si>
  <si>
    <t>1. Aspiration pneumonia in the right cranial lung._x000D_
2. No definitive abdominal abnormalities. Gastric contents appears to be residual ingesta. Small radiolucent gastric foreign material causing gastritis and pyloric outflow obstruction is not ruled out and would be suspected if the patient has persistent vomiting.</t>
  </si>
  <si>
    <t>Recommend antibiotics and supportive care. A positive contrast gastrogram could be considered to rule out gastric foreign material.</t>
  </si>
  <si>
    <t xml:space="preserve">
1.MODERATE INTERSTITIAL TO ALVEOLAR INFILTRATE; MILD BRONCHIAL PATTERN; MILD PERIHILAR INFILTRATE._x000D_
2.Based on these AI airway/pulmonary findings,  the probability of this patient having clinically detectable respiratory signs is HIGH (75%)_x000D_
3.The cardiac silhouette size is normal._x000D_
4.Are respiratory signs present? If YES._x000D_
5.Are respiratory signs present? If NO._x000D_
6.Pleural fissure lines or small volume pleural effusion has been detected. In a mildly overweight animal, excessive pericardial fat can artifactually mimic the result of minimal pleural effusion.</t>
  </si>
  <si>
    <t>Orthogonal views of the thorax and abdomen are provided:_x000D_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empt with the gastric axis cranioventrally shifted due to a radiographically small hepatic silhouette._x000D_
Small intestines are mildly gas and fluid filled, not overtly distended. _x000D_
Serosal detail is preserved._x000D_
Spleen is within normal limits of size and smoothly marginated._x000D_
Kidneys and urinary bladder WNL._x000D_
_x000D_
Multifocal signs of chronic IVDD.</t>
  </si>
  <si>
    <t>1) Unremarkable thorax without signs of cardiomegaly (this does not exclude a cardiac disease), pulmonary metastases nor signs of thoracic lymphadenopathy. _x000D_
2) Microhepatia: rul hout relative microhepatia (individual/breed related variation) vs a true congenital PSS for acquired hepatopathy are not excluded but felt less likely.</t>
  </si>
  <si>
    <t>Given the lack of cardiomegaly but audible murmur, consider a cardiology consultation with ECG and echocardiogram. Evaluate the convenience of and abdominal US top better visualize the hepatic silhouette with +/- dynamic bile acids._x000D_
Full neuro exam with MRI if necessary.</t>
  </si>
  <si>
    <t xml:space="preserve">
1.The cardiac silhouette size is normal._x000D_
2.There is no evidence of BRONCHITIS, PERIHILAR INFILTRATE or DYNAMIC AIRWAY COLLAPSE or BRONCHIECTASIS._x000D_
3.A minimal interstitial pattern has been detected.</t>
  </si>
  <si>
    <t>Patient Name : Fonzi Miles, Date of study: Sep 25, 2024
3 images are provided for review
Canine Thorax (3 Images) - 2 Lateral, 1 Vd
Prior images dated August 15, 2024 are available.
Pulmonary parenchyma: A similar moderate diffuse bronchial pattern is present.
Pulmonary vasculature: The pulmonary vasculature is subjectively normal in size and tapers in the periphery of the lungs.
Cardiac silhouette: The cardiac silhouette has a variably slightly flat caudodorsal margin, and slight increased soft tissue in the region of the left atrium.
Mediastinum: The cranial mediastinum is normal.
Trachea: A well-defined soft tissue band superimposes over the trachea in the caudal cervical region.
Esophagus: The esophagus is not well-identified.
Pleural space: The pleural space is subjectively normal.
Musculoskeletal: The included musculoskeletal structures are normal.</t>
  </si>
  <si>
    <t xml:space="preserve">1. Similar moderate diffuse bronchial pulmonary pattern.
- Differential diagnoses include infectious/immune-mediated lower airway disease such as from mycoplasma spp., bordetella spp., parasitism, or inhaled allergen/irritant, fibrosis from prior disease, age-related changes, or a combination of these, or unlikely other.
2. Similar mild left atrial enlargement versus artifact from the phase of the cardiopulmonary cycle and patient positioning.
- This is consistent with reported new/evolving murmur and possible myxoamtous mitral valvular disease or unlikely other.
- There is no current evidence of left-sided congestive heart failure.
3. Similar dorsal redundant tracheal membrane with/without dynamic airway disease.
</t>
  </si>
  <si>
    <t>Consider echocardiography, eCG, blood pressure, respiratory PCR panel, airway sampling, and empirical deworming/fecal analysis for further evaluation if not recently performed. Routine blood work and urinalysis if not recently performed. Empirical therapy and supportive care in the interim as needed for suspected lower airway disease. Consider tracheoscopy/bronchoscopy/fluoroscopy for further evaluation of dynamic airway disease if clinically indicated. Monitoring as directed.</t>
  </si>
  <si>
    <t xml:space="preserve">
1.A minimal to mild bronchointerstitial pulmonary pattern has been detected._x000D_
2.There is no evidence of PERIHILAR INFILTRATE, PULMONARY NODULES or PLEURAL EFFUSION._x000D_
3.Minimal cardiomegaly has been detected but Heart Failure is NOT suspected.</t>
  </si>
  <si>
    <t>A ventral dorsal and three lateral radiographs of the thorax are provided. The cardiac silhouette is normal size, with no chamber enlargement. Pulmonary arteries and veins are similar size and taper as expected. Curved soft tissue density ventral to the tracheal bifurcation on the 1st left lateral view is end-on right main pulmonary artery. There are a few incidental pulmonary osteomas. No pleural effusion or soft tissue pulmonary nodules. No osseous abnormalities.</t>
  </si>
  <si>
    <t>Normal thorax. There is no evidence of cardiovascular disease on this study. A small valvular regurgitant jet can result in a relatively loud murmur.</t>
  </si>
  <si>
    <t xml:space="preserve">
1.The evaluation has come up positive for a pulmonary nodular pattern._x000D_
2.The cardiac silhouette size is normal._x000D_
3.There is no evidence of PERIHILAR INFILTRATE or DYNAMIC AIRWAY COLLAPSE or BRONCHIECTASIS._x000D_
4.A mild bronchial pattern has been detected.</t>
  </si>
  <si>
    <t>A three view study of the thorax is provided. Previous radiographs dated 9-20-24 also provided for comparison._x000D_
_x000D_
The previous study shows a mild bronchointerstitial pattern. No alveolar infiltrates or pleural abnormalities are seen. The cardiovascular structures are unremarkable. No tracheal abnormalities are identified._x000D_
_x000D_
In the current radiographs, the interstitial pattern is slightly improved, although was mild to begin with. Bronchial markings interstitial opacity are still slightly increased over average but not significantly more prominent than what might be seen as a result of hypoinflation artifact an age-related change._x000D_
No alveolar infiltrates or pleural abnormalities are identified. No tracheal or esophageal abnormalities are identified.</t>
  </si>
  <si>
    <t>The slight increase in pulmonary density is equivocal. This could be normal for this patient or indicative of low-grade bronchitis. No findings concerning for pneumonia, heart failure, or neoplasia are identified._x000D_
_x000D_
Infectious tracheobronchitis could still be present, especially if a vital etiology is involved. Allergic lung disease also cannot be excluded.</t>
  </si>
  <si>
    <t>Symptomatic therapy is recommended, with recheck radiographs in two weeks if clinical signs are still present.</t>
  </si>
  <si>
    <t xml:space="preserve">
1.MINIMAL to MILD DIFFUSE, MIXED BRONCHOINTERSTITIAL PULMONARY PATTERN with ATELECTASIS or less likely, pneumonia._x000D_
2.Probability these AI pulmonary findings will accompany clinically detectable respiratory signs: LOW (25%)_x000D_
3.Are respiratory signs present? If YES._x000D_
4.The cardiac silhouette size is normal._x000D_
5.There is no evidence of DYNAMIC AIRWAY COLLAPSE or BRONCHIECTASIS or PULMONARY NODULES._x000D_
6.Are respiratory signs present? If NO.</t>
  </si>
  <si>
    <t>Three orthogonal thoracic radiographs and 1 abdominal radiographs dated 25th September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20% of the dorsoventral diameter of the trachea. The intrathoracic trachea is normal. The thorax is hypoinflated. A bronchointerstitial pattern is visible in the caudal dorsal lung regions._x000D_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There is pectus carinatum with moderate angulation of the mid sternum, causing some cardiac displacement and elevation of the trachea._x000D_
_x000D_
Included abdomen: No significant abnormalities are detected.</t>
  </si>
  <si>
    <t>The dorsal attenuation of the trachea is consistent with mild redundant trachealis membrane or overlying musculature of questionable significance._x000D_
Diffuse mild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The pulmonary pattern is likely exacerbated due to hypoinflation.</t>
  </si>
  <si>
    <t>Correlate with palpation testing for upper respiratory disease.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t>
  </si>
  <si>
    <t xml:space="preserve">
1.SEVERE DYNAMIC AIRWAY DISEASE; MODERATE BRONCHIAL PATTERN._x000D_
2.Based on these AI airway/pulmonary findings, the probability of this patient having clinically detectable respiratory signs is HIGH (75%)_x000D_
3.Are respiratory signs present? If NO._x000D_
4.Severe cardiomegaly has been detected but Heart Failure is NOT suspected.</t>
  </si>
  <si>
    <t>Patient Name : Finn Carey, Date of study: Sep 25, 2024
4 images are provided for review
Canine Thorax (4 Images) - 2 Lateral, 2 Vd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tall and occupies just over 2/3 the height of the thorax, with dorsal tracheal displacement.  The caudodorsal margin of the cardiac silhouette is enlarged.  Rounded increased soft tissue is in the region of the left atrium in the ventrodorsal image.   The cardiac silhouette is prominent in the region of the right atrium (9-11 o'clock position) in the straight ventrodorsal image.
Mediastinum: The cranial mediastinum is normal.
Trachea: The trachea has a slightly undulant margin.
Esophagus: The esophagus is not well-identified.
Pleural space: The pleural space is normal.
Musculoskeletal: The included musculoskeletal structures are normal.</t>
  </si>
  <si>
    <t>1. Mild-moderate left-sided cardiomegaly and suspected right atrial enlargement such as from myxomatous mitral valvular disease and insufficiency with/without tricuspid valvular disease, cor pulmonale/pulmonary hypertension, or less likely other.
- There is no current evidence of left-sided congestive heart failure.
2. Minimal diffuse bronchial pulmonary pattern due to fibrosis from prior disease, age-related changes, infectious/immune-mediated lower airway disease or unlikely other.
3. Mild tracheal margin undulation due to chondromalacia and underlying dynamic airway disease, versus artifact, variation of normal, or unlikely other.</t>
  </si>
  <si>
    <t>Consider echocardiography, eCG and blood pressure for further evaluation.  Routine blood work and urinalysis if not recently performed. Consider tracheoscopy/bronchoscopy and/or fluoroscopy for further evaluation, with/without airway sampling and respiratory PCR panel.  Empirical therapy and supportive care in the interim as needed. Monitoring as directed or sooner if clinical signs acutely change, fail to improve or worsen.</t>
  </si>
  <si>
    <t xml:space="preserve">
1.A mild perihilar infiltrate and more diffuse, minimal interstitial pulmonary pattern have been detected._x000D_
2.There is no evidence of DYNAMIC AIRWAY COLLAPSE or BRONCHIECTASIS, PULMONARY NODULES or PLEURAL EFFUSION._x000D_
3.Mild cardiomegaly has been detected but Heart Failure is NOT suspected.</t>
  </si>
  <si>
    <t xml:space="preserve">
1.There is no evidence of INTERSTITIAL or ALVEOLAR PATTERN, BRONCHITIS, PERIHILAR INFILTRATE, DYNAMIC AIRWAY COLLAPSE or BRONCHIECTASIS or PLEURAL EFFUSION._x000D_
2.The cardiac silhouette size is normal.</t>
  </si>
  <si>
    <t>Patient Name : Chewy Clark, Date of study: Sep 18, 2024
4 images are provided for review
There are no previous radiographs for comparison.
Ventrodorsal image excludes cranial thorax tip.
Pulmonary parenchyma: A mild diffuse bronchial pattern is present.  Multiple presumed end-on vasculature structures over the lungs and similar sized vessels, most notably in the lateral images.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</si>
  <si>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Mild diffuse bronchial pulmonary pattern.
- Differential diagnoses include fibrosis from prior disease, age-related changes, less likely infectious/immune-mediated lower airway disease, or inhaled allergen/irritant, or unlikely other.
2. No obvious intra-thoracic lymphadenomegaly.
3 No obvious cardiomegaly.</t>
  </si>
  <si>
    <t>Consider computed tomography of the thorax for a more sensitive evaluation if clinically indicated. Consider routine blood work and recheck proBNP for repeated screening if clinically indicated. Alternatively, monitoring with repeat thoracic radiographs as directed, or sooner if clinical signs manifest.
(amended on 09/25/2024 12:21)
Consider also echocardiography for evaluation of occult/evolving pulmonary hypertension contributing to previously reported proBNP results.</t>
  </si>
  <si>
    <t>Patient Name : Kami Zsigmond, Date of study: Sep 25, 2024
3 images are provided for review
Canine Thorax (3 Images) - 2 Lateral, 1 Vd
There are no previous radiographs for comparison.
Ungloved human digits in the primary beam.
Pulmonary parenchyma: A mild to moderate diffuse bronchial pattern is present.
Pulmonary vasculature: The pulmonary vasculature is subjectively normal in size and tapers in the periphery of the lungs.
Cardiac silhouette: The cardiac silhouette has a slightly flattened caudodorsal margin in the lateral images.  Slight increased soft tissue is suspected in the region of the left atrium in the ventrodorsal image.
Mediastinum: The cranial mediastinum is normal.
Trachea: The trachea is normal.
Esophagus: The esophagus is not well-identified.
Pleural space: The pleural space is normal.
Musculoskeletal: The included musculoskeletal structures are normal.</t>
  </si>
  <si>
    <t xml:space="preserve">1. Mild left-sided cardiomegaly versus artifact from phase of the cardiopulmonary cycle and patient positioning.
- If present, consider evolving myxomatous mitral valvular disease and insufficiency.
- There is no current evidence of left-sided congestive heart failure.
2. Mild-moderate diffuse bronchial pulmonary pattern.
- Differential diagnoses include infectious/immune-mediated lower airway disease such as from mycoplasma spp., bordetella spp., parasitism, or inhaled allergen/irritant, or a combination of these, and/or fibrosis from prior disease, age-related changes, or unlikely other.
</t>
  </si>
  <si>
    <t>Consider respiratory PCR panel, airway sampling, and fecal analysis/deworming for further evaluation. Consider tracheoscopy/bronchoscopy and fluoroscopy for further evaluation of underlying dynamic airway disease.  Echocardiography, eCG and blood pressure, especially if a murmur is later identified. Empirical therapy and supportive care in the interim as needed.  Monitoring as directed or sooner if clinical signs acutely change, fail to improve or worsen.</t>
  </si>
  <si>
    <t xml:space="preserve">
1.The cardiac silhouette size is normal._x000D_
2.There is no evidence of BRONCHITIS, PERIHILAR INFILTRATE, PULMONARY NODULES or PLEURAL EFFUSION._x000D_
3.Mild dynamic airway disease has been detected.</t>
  </si>
  <si>
    <t>Multiple (total of 5) sets of radiographs of the thorax and abdomen made from May 13, 2024 through September 25, 2024 are submitted for review.  All of the images are interpreted in this report._x000D_
_x000D_
In the initial study made May 13, a generalized, primarily ventrally distributed bronchointerstitial to alveolar pattern is noted in the right and left cranial lung lobes and right mid to caudal lung lobe.  Generalized bronchial markings are noted throughout the remainder of the lung fields.  The cardiac silhouette is partially procured but appears generally normal in size and shape.  No pleural effusion is noted in the study.  The cranial mediastinal region appears within normal limits._x000D_
In the abdomen, the GI tract is within normal limits.  No organomegaly is noted.  Serosal detail is normal.  No osseous abnormalities are seen._x000D_
_x000D_
In the next study, dated May 21, the pulmonary pattern appears similar but moderately worse in degree._x000D_
In the May 29 study, the lung fields are significantly improved with mild persistent interstitial pattern in the region of the left cranial and right middle lung lobe._x000D_
_x000D_
In the June 11 study, there is continued general improvement of the lung fields with only a mild bronchial pattern remaining.  There is increased opacity in the left cranial quadrant of the thorax on the VD view in this set of films, which contains only 2 VD views.  However, interpretation is significantly hindered by obliquity and is likely represent superimposition of the cranial mediastinal region over the left cranial thorax._x000D_
In the last study dated September 25, the cardiovascular structures remain within normal limits.  A diffuse mild bronchial pattern is noted throughout the lung fields.  No alveolar infiltrates are noted.  There is again mild widening of the cranial mediastinal region and increased opacity in the left cranial quadrant of the thorax.  There is also a leftward obliquity in both the VD views and this study which is hinders interpretation.  No definitive abnormalities are noted in the cranial mediastinal region on the lateral view.</t>
  </si>
  <si>
    <t>The general appearance of the lung fields throughout the studies is consistent with bronchopneumonia initially which appears to have significantly improved throughout the films.  The remaining bronchial pattern in the last set of films could be consistent with persistent chronic bronchitis or mild bronchopneumonia.  Definitive interpretation of the cranial mediastinal region and the latter films is difficult is thought to be most likely due to artifact due to obliquity.</t>
  </si>
  <si>
    <t>Given the chronic and recurrent history of the clinical signs, further diagnostics as with transtracheal wash or bronchoalveolar lavage could be considered.  Depending on the level of clinical concern, repeat straightened VD radiographs of the thorax as well as being centered directly over the thorax without including the abdomen may be helpful for more precise evaluation of the left cranial thorax.</t>
  </si>
  <si>
    <t>3 views of the thorax are provided for review.  The cardiovascular structures are normal.  Increased bronchial markings are present in all lung lobes.  There is dilation of the bronchi in the area of the caudal subsegment of the left cranial lung lobe, causing a bulbous appearance on the VD view only.  Early alveolar opacity is present in the caudal subsegment of the left cranial lung lobe.  The mediastinal and pleural structures are normal.  Cranial abdominal detail is adequate.</t>
  </si>
  <si>
    <t>Bronchial pulmonary pattern with bronchiectasis suggestive of chronic lower airway disease such as bronchitis.  This changes markedly progressive from previous images.  Early alveolar pulmonary pattern concerning for bronchopneumonia.</t>
  </si>
  <si>
    <t xml:space="preserve">
1.PULMONARY NODULES or NODULAR PATTERN; MODERATE TO SEVERE INTERSTITIAL TO ALVEOLAR PATTERN; PLEURAL EFFUSION; MILD BRONCHITIS; MILD PERIHILAR INFILTRATE._x000D_
2.Based on the AI airway/pulmonary findings, the probability of this patient having clinically detectable respiratory signs is VERY HIGH (&gt;75%)_x000D_
3.Are respiratory signs present? If YES._x000D_
4.Are respiratory signs present? If NO._x000D_
5.The evaluation has a strong suspicion of soft tissue pulmonary nodules or mass lesion being present._x000D_
6.Minimal cardiomegaly has been detected but Heart Failure is NOT suspected.</t>
  </si>
  <si>
    <t>A three-view study of the thorax is provided for interpretation._x000D_
_x000D_
The heart is within normal size and shape limits.  Pulmonary vessels are normal.  No pulmonary infiltrates or nodules are identified.  No thoracic lymphadenopathy or pleural effusion is seen.  No tracheal or esophageal abnormalities are identified.  The cranial abdomen is unremarkable.  No destructive bone lesions are seen._x000D_
Bridging spondylosis is identified at T9-T10 and from T12-L1.</t>
  </si>
  <si>
    <t>No significant cardiopulmonary abnormalities were identified._x000D_
There is no evidence of metastatic neoplasia.</t>
  </si>
  <si>
    <t>No contraindications to removal of the reported eye tumor are identified.</t>
  </si>
  <si>
    <t xml:space="preserve">
1.A minimal to mild, diffuse mixed bronchointerstitial pattern with atelectasis or less likely, pneumonia, has been detected._x000D_
2.MINIMAL TO MILD BRONCHOINTERSTITIAL PULMONRAY PATTERN; MILD PERIHILAR PATTERN._x000D_
3.MILD INTERSTITIAL to ALVEOLAR INFILTRATE; MILD PERIHILAR INFILTRATE._x000D_
4.Based on the AI airway/pulmonary findings, the probability of this patient having clinically detectable respiratory signs is LOW (25%)_x000D_
5.Based on these AI airway/pulmonary findings, the probability of this patient having clinically detectable respiratory signs is LOW (25%)_x000D_
6.Based on these AI airway/pulmonary findings, the probability of this patient having clinically detectable respiratory signs is LOW to MEDIUM (25%-50%)_x000D_
7.Are respiratory signs present? If YES._x000D_
8.Are respiratory signs present? If YES._x000D_
9.Are respiratory signs present? If YES._x000D_
10.Are respiratory signs present? If NO._x000D_
11.The cardiac silhouette size is normal._x000D_
12.Are respiratory signs present? If NO._x000D_
13.Are respiratory signs present? If NO.</t>
  </si>
  <si>
    <t>5 images of the thorax and abdomen are provided for review.  The trachea is dorsally deviated, indicating left ventricular enlargement.  A small bulge is present in the region of the left atrium.  No pulmonary infiltrates are seen.  The pulmonary vasculature is normal in size.  The mediastinal and pleural structures are normal.  Abdominal serosal detail is adequate in all quadrants.  The liver margins are rounded and extend mildly beyond the costal arch.  The stomach contains a moderate amount of ingesta.  The small intestines are normal in size.  Gas and feces are present in the colon.  The urinary bladder is small.  The remaining abdominal organs are normal.</t>
  </si>
  <si>
    <t>Mild hepatomegaly=ZZ90= this is a nonspecific finding that may be seen with congestion, vacuolar hepatopathy, inflammation, neoplasia, etc.  Abdominal ultrasound may be helpful in further evaluation if biochemically indicated.  Left-sided cardiomegaly without current evidence of cardiogenic pulmonary edema.  Echocardiography may be helpful in further evaluation.</t>
  </si>
  <si>
    <t xml:space="preserve">
1.Are respiratory signs present? If NO._x000D_
2.MILD BRONCHOINTERSTITIAL PULMONARY PATTERN; MILD PERIHILAR INFILTRATE; MILD DYNAMIC AIRWAY DISEASE; ATELECTASIS or less likely, pneumonia._x000D_
3.Based on the AI airway/pulmonary findings, the probability of this patient having clinically detectable respiratory signs is MEDIUM (50%)_x000D_
4.Are respiratory signs present? If YES._x000D_
5.Severe cardiomegaly has been detected but Heart Failure is NOT suspected.</t>
  </si>
  <si>
    <t>Patient Name : Max Lobo, Date of study: Sep 24, 2024
3 images are provided for review
Canine Thorax (3 Images) - 2 Lateral, 1 Vd
There are no previous radiographs for comparison.
Pulmonary parenchyma: A mild diffuse bronchial pattern is present.
Pulmonary vasculature: The pulmonary vasculature is subjectively normal in size and tapers in the periphery of the lungs.
Cardiac silhouette: The cardiac silhouette has a mildly flattened caudodorsal margin.  The cardiac silhouette is tall and occupies 2/3 the height of the thorax.  The trachea is dorsally displaced in the right lateral image.  Slight rounded soft tissue is in the region of the left atrium in the ventrodorsal image.
Mediastinum: The cranial mediastinum is normal.
Trachea: The trachea is normal.
Esophagus: The esophagus is not well-identified.
Pleural space: The pleural space is normal.
Musculoskeletal: The included musculoskeletal structures are normal.</t>
  </si>
  <si>
    <t>1. Mild left-sided cardiomegaly such as from myxomatous mitral valvular disease and insufficiency or unlikely other.
- There is no current evidence of left-sided congestive heart failure.
2. Mild diffuse bronchial pulmonary pattern due to fibrosis from prior disease, age-related changes, infectious/immune-mediated lower airway disease, or unlikely other.</t>
  </si>
  <si>
    <t>Echocardiography, eCG and blood pressure for further evaluation.  Routine blood work and urinalysis if not recently performed. Empirical therapy and supportive care in the interim as needed. Monitoring as directed or sooner if clinical signs acutely change, fail to improve or worsen.</t>
  </si>
  <si>
    <t xml:space="preserve">
1.MILD BRONCHIAL PATTERN; MILD PERIHILAR PATTERN._x000D_
2.Based on these AI airway/pulmonary findings, the probability of this patient having clinically detectable respiratorysigns is LOW (25%)_x000D_
3.Are respiratory signs present? If YES._x000D_
4.Are respiratory signs present? If NO._x000D_
5.The cardiac silhouette size is normal._x000D_
6.There is no evidence of ALVEOLAR PATTERN, DYNAMIC AIRWAY COLLAPSE or BRONCHIECTASIS, PULMONARY NODULES or PLEURAL EFFUSION.</t>
  </si>
  <si>
    <t>3 views of the thorax are provided for review.  The trachea is dorsally deviated, indicating left ventricular enlargement.  There is straightening of the caudal cardiac waist in the region of the left atrium.  The trachea is narrowed in the cervical region.  Increased bronchial markings are present in all lung lobes.  No perihilar pulmonary infiltrates are seen.  The pulmonary vasculature is normal in size.  The mediastinal and pleural structures are normal.  Cranial abdominal detail is adequate.</t>
  </si>
  <si>
    <t>Moderate bronchial pulmonary pattern=ZZ90= consider bronchitis, response to inhaled irritants, response to circulating parasites, eosinophilic bronchopneumopathy.  Airway sampling may be helpful in further evaluation.  Tracheal narrowing suggestive of tracheal collapse.  Mild left-sided cardiomegaly without current evidence of cardiogenic pulmonary edema.  Echocardiography may be helpful in further evaluation.</t>
  </si>
  <si>
    <t xml:space="preserve">
1.MILD BRONCHOINTERSTITIAL PULMONARY PATTERN; MILD DYNAMIC AIRWAY DISEASE; MINIMAL PERIHILAR INFILTRATE._x000D_
2.Based on these AI airway/pulmonary findings, the probability of this patient having clinically detectable respiratory signs is MEDIUM (50%)_x000D_
3.Are respiratory signs present? If YES._x000D_
4.Are respiratory signs present? If NO._x000D_
5.There is no evidence of PLEURAL EFFUSION._x000D_
6.Minimal cardiomegaly has been detected but Heart Failure is NOT suspected.</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</si>
  <si>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small volume of food._x000D_
Small intestines are mildly gas and fluid filled, not overtly distended. No signs of mechanical ileus._x000D_
Serosal detail is preserved._x000D_
Liver and spleen are within normal limits of size and smoothly marginated._x000D_
Kidneys and urinary bladder WNL._x000D_
No sublumbar masses appreciated. However, in the left caudal abdominal wall there is a cutaneous oval soft tissue nodule or mass ant the level of L5-L6 (being partially superimposed with the cranial aspect of the bladder ventral to the descending colon in the RL view).</t>
  </si>
  <si>
    <t>1) Unremarkable thorax without signs of pulmonary metastases nor signs of thoracic lymphadenopathy._x000D_
2) Unremarkable abdomen except for the left caudal abdominal cutaneous mass. Rule out neoplasm (i.e: MCT vs sarcoma vs other) vs inflammatory/infectious.</t>
  </si>
  <si>
    <t>Consider FNAs from the reported mass with oncologist consultation.</t>
  </si>
  <si>
    <t xml:space="preserve">
1.MODERATE ALVEOLAR PATTERN; CONCURRENT MILD BRONCHOINTERSTITIAL PATTERN; MILD DYNAMIC AIRWAY DISEASE._x000D_
2.Based on the AI airway/pulmonary findings, the probability of this patient having clinically detectable respiratory signs is MEDIUM to HIGH (50-75%)._x000D_
3.Are respiratory signs present? If YES._x000D_
4.Are respiratory signs present? If NO._x000D_
5.The cardiac silhouette size is normal.</t>
  </si>
  <si>
    <t>Orthogonal views of the abdomen are provided:_x000D_
_x000D_
Abdomen:_x000D_
_x000D_
The stomach is filled with food._x000D_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Kidneys and urinary bladder WNL._x000D_
No signs of sublumbar lymphadenopathy._x000D_
_x000D_
Multifocal signs of chronic IVDD._x000D_
No abnormalities seen in the thorax.</t>
  </si>
  <si>
    <t>1) Hepatomegaly: Metabolic vs Vacuolar infiltration vs Hepatic nodular hyperplasia vs Inflammatory vs Toxic vs Neoplastic or a combination of these differentials.</t>
  </si>
  <si>
    <t>Consider abdominal US to further evaluate the liver evaluating the need of US guided FNAs.</t>
  </si>
  <si>
    <t xml:space="preserve">
1.The cardiac silhouette size is normal._x000D_
2.There is no evidence of ALVEOLAR PATTERN, PERIHILAR INFILTRATE, PULMONARY NODULES or PLEURAL EFFUSION._x000D_
3.A mild bronchial pattern has been detected.</t>
  </si>
  <si>
    <t>WHOLE-BODY (4 radiographs for review). No previous for comparison._x000D_
_x000D_
- Mild narrowing of multiple intervertebral disc spaces in the caudal cervical region._x000D_
- Multiple mid-thoracic wedge-shaped hemivertebral segments, with fusion of multiple dorsal spinous processes._x000D_
- Mild misshapen features of the L5 vertebral segment, with mild lucency of the vertebra._x000D_
- Multiple coccygeal/caudal vertebral segments are fused and irregular._x000D_
- Impression of mild bilateral pelvic limb muscle atrophy._x000D_
- Distal femoral varus angular limb deformity, lateral positioning of the patellae._x000D_
- Normal visible intrathoracic structures._x000D_
- Moderate gas-distention of the stomach, with mild soft-tissue opaque material._x000D_
- Moderate multifocal gas and soft-tissue opaque material throughout the GI tract and colon.</t>
  </si>
  <si>
    <t>1. Given there is potential neck pain reported, there is mild narrowing of multiple disc space segments in the caudal cervical area, which may indicate intervertebral disc disease, however the appearance can be artefactual due to sagging of the neck, if a foam block is not placed underneath during radiographic acquisition. A cervical CT or neurologist consultation may be useful, if clinically indicated._x000D_
_x000D_
2. Slightly irregular appearance of the L5 vertebral segment could be congenital malformation given the patient=ZZ91=s breed (and additional vertebral anomalies as described). There is a slight lucency here and an aggressive bone lesion (osteomyelitis, neoplasia) may also be possible. If the clinical signs fit a lesion in this area, it may be further investigated with oblique spinal radiographs, CT and/or MRI_x000D_
_x000D_
3. Multiple mid-thoracic hemivertebrae and congenital screw-tail vertebral anomalies._x000D_
_x000D_
4. Lateral positoning vs. lateral patellar luxation=ZZ90= correlate to clinical impression._x000D_
_x000D_
5. Aerophagia.</t>
  </si>
  <si>
    <t>Steven Robillard</t>
  </si>
  <si>
    <t xml:space="preserve">
1.PLEURAL EFFUSION or PLEURAL FISSURE LINES; PULMONARY NODULES or NODULAR PATTERN; MODERATE TO SEVERE INTERSTITIAL TO ALVEOLAR PATTERN; MILD BRONCHITIS._x000D_
2.Based on the AI airway/pulmonary findings, the probability of this patient having clinically detectable respiratory signs is VERY HIGH (&gt;75%)_x000D_
3.The evaluation has a suspicion of pleural effusion and soft tissue pulmonary nodules or a mass lesion being present._x000D_
4.Are respiratory signs present? If YES._x000D_
5.Resource: https://vsso.org/lung-tumors-canine_x000D_
6.Are respiratory signs present? If NO._x000D_
7.The cardiac silhouette size is normal.</t>
  </si>
  <si>
    <t>5 images of the thorax and distal thoracic limbs are provided for review.  The trachea is dorsally deviated, indicating left ventricular enlargement.  A bulge is present in the region of the left atrium.  No pulmonary infiltrates are seen.  The pulmonary vasculature is normal in size.  The mediastinal and pleural structures are normal.  Cranial abdominal detail is adequate.  The joint surfaces are smooth and regular.  Increased soft tissue surrounds the left third digit.  No fractures or aggressive osseous lesions are seen.</t>
  </si>
  <si>
    <t>Left-sided cardiomegaly without current evidence of cardiogenic pulmonary edema.  Echocardiography may be helpful in further evaluation.  Left third digit soft tissue swelling consistent with the reported infection.</t>
  </si>
  <si>
    <t xml:space="preserve">
1.MINIMAL TO MILD BRONCHOINTERSTITIAL PULMONRAY PATTERN; MILD PERIHILAR PATTERN._x000D_
2.MODERATE DYNAMIC AIRWAY DISEASE; MILD BRONCHIAL PATTERN._x000D_
3.Based on these AI airway/pulmonary findings, the probability of this patient having clinically detectable respiratory signs is MEDIUM (50%)_x000D_
4.Based on the AI airway/pulmonary findings, the probability of this patient having clinically detectable respiratory signs is LOW (25%)_x000D_
5.Are respiratory signs present? If YES._x000D_
6.Are respiratory signs present? If YES._x000D_
7.Are respiratory signs present? If NO._x000D_
8.Are respiratory signs present? If NO._x000D_
9.Mild cardiomegaly has been detected but Heart Failure is NOT suspected._x000D_
10.There is no evidence of PLEURAL EFFUSION.</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</si>
  <si>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is within normal limits of size and smoothly marginated._x000D_
Spleen is absent._x000D_
Kidneys and urinary bladder WNL.</t>
  </si>
  <si>
    <t>1) Unremarkable thorax without signs of pulmonary metastases nor signs of thoracic lymphadenopathy._x000D_
2) Unremarkable abdomen.</t>
  </si>
  <si>
    <t>Consider abdominal US to further evaluate causes of vomition and hyporexia.</t>
  </si>
  <si>
    <t xml:space="preserve">
1.A mild bronchial pattern has been detected._x000D_
2.The cardiac silhouette size is normal._x000D_
3.There is no evidence of ALVEOLAR PATTERN, PERIHILAR INFILTRATE, DYNAMIC AIRWAY COLLAPSE or BRONCHIECTASIS, PULMONARY NODULES or PLEURAL EFFUSION.</t>
  </si>
  <si>
    <t>Eight radiographs of the thorax and abdomen are provided. There is moderate generalized cardiomegaly. Subsequent dorsal deviation of the thoracic trachea and mainstem bronchi. The left main stem bronchus is compressed. There is a severe interstitial to alveolar pattern in the perihilar region and radiating distally. No pleural effusion. Adequate tracheal diameter. The last two radiographs of the thorax are labeled =ZZ92=20 minutes post IV Lasix=ZZ92=, and there is no appreciable change to the lung pattern. In the abdomen there is no effusion or organomegaly. Formed feces fills the colon. The stomach and small bowel are minimally filled.</t>
  </si>
  <si>
    <t>1. Moderate generalized cardiomegaly consistent with acquired mitral and tricuspid valve disease. Perihilar severe interstitial to alveolar pattern is likely pulmonary edema indicating left-sided heart failure. No appreciable improvement in this lung pattern following Lasix, however radiographic response may lag somewhat. There is mainstem bronchial compression._x000D_
2. Normal abdomen.</t>
  </si>
  <si>
    <t>Recommend continued treatment for heart failure, monitoring for clinical and radiographic improvement which would support a diagnosis of heart failure. If the patient continues to have no clinical or radiographic response to diuretics, other process such as neurogenic/noncardiogenic pulmonary edema would move to the top of the differential list. This can be caused by electrocution, airway obstruction/choking, near drowning, seizure activity, head trauma, heatstroke.</t>
  </si>
  <si>
    <t xml:space="preserve">
1.Are respiratory signs present? If NO._x000D_
2.MODERATE ALVEOLAR PATTERN; CONCURRENT MILD to MODERATE BRONCHOINTERSTITIAL PATTERN; MILD DYNAMIC AIRWAY DISEASE._x000D_
3.Based on the AI airway/pulmonary findings, the probability of this patient having clinically detectable respiratory signs is MEDIUM to HIGH (50-75%)._x000D_
4.Are respiratory signs present? If YES._x000D_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</si>
  <si>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Patient Name : Maddie Gohl, Date of study: Sep 24, 2024
3 images are provided for review
Canine Thorax (3 Images) - 1 Vd, 2 Lateral
Pulmonary parenchyma: A minimal to mild diffuse bronchial pattern is present.
Pulmonary vasculature: The pulmonary vasculature is subjectively normal in size and tapers in the periphery of the lungs.
Cardiac silhouette: The cardiac silhouette has a flat caudodorsal margin.  Mild rounded increased soft tissue is in the region of the left atrium.  
Mediastinum: The cranial mediastinum is normal.
Trachea: The trachea is normal.
Esophagus: The esophagus is not well-identified.
Pleural space: The pleural space is normal.
Musculoskeletal: The left humeral head is medially luxated in the ventrodorsal image.  The remaining included musculoskeletal structures are normal.</t>
  </si>
  <si>
    <t>1. Mild left-atrial enlargement such as from myxomatous mitral valvular disease and insufficiency or unlikely other.
- There is no current evidence of left-sided congestive heart failure.
2. Minimal to mild diffuse bronchial pulmonary pattern due to fibrosis from prior disease, age-related changes, infectious/immune-mediated lower airway disease (mycoplasma spp., bordetella spp., parasitism such as lung worms), or unlikely other.
3. Transient left humeral head luxation.</t>
  </si>
  <si>
    <t>Echocardiography, eCG and blood pressure for further evaluation of the heart.  Consider respiratory PCR panel, airway sampling, and fecal analysis/deworming for further evaluation of the lower airway if clinically indicated.  Orthopedist consultation to the left shoulder if clinically indicated.  Empirical therapy and supportive care in the interim as needed.  Monitoring as directed or sooner if clinical signs acutely change, fail to improve or worsen.</t>
  </si>
  <si>
    <t>Patient Name : Felipe Pichardo, Date of study: Sep 24, 2024
3 images are provided for review
Canine Thorax (3 Images) - 2 Lateral, 1 Vd
Prior images dated September 12, 2024 are available.
Pulmonary parenchyma:  Ill-defined interstitial pattern to minimal alveolar pattern is in the ventral periphery of the right middle lung in the left lateral images.  Slight interstitial pattern in the right middle lung in the ventrodorsal image.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soft tissue band superimposes over the dorsal aspect of the cervical trachea.
Esophagus: The esophagus is not well-identified.
Pleural space: The pleural space is normal.
Musculoskeletal: The included musculoskeletal structures are normal.</t>
  </si>
  <si>
    <t>1. Nearly resolved, right middle lung interstitial to alveolar pattern is suspicious for bronchopneumonia/aspiration pneumonia, or unlikely other.
2.  Similar minimal diffuse bronchial pulmonary pattern due to fibrosis from prior disease, age-related changes, infectious/immune-mediated lower airway disease (mycoplasma spp., bordetella spp., parasitism such as lung worms, or other), or unlikely other.</t>
  </si>
  <si>
    <t>Consider respiratory PCR panel, airway sampling, and fecal analysis/deworming for further evaluation.  Empirical therapy and supportive care in the interim as needed for suspected bronchopneumonia.  Therapy for bronchopneumonia for 1-2 weeks past radiographic resolution.  Monitoring as directed or sooner if clinical signs acutely change, fail to improve or worsen.</t>
  </si>
  <si>
    <t xml:space="preserve">
1.The cardiac silhouette size is normal._x000D_
2.There is no evidence of INTERSTITIAL PATTERN, BRONCHITIS, PERIHILAR INFILTRATE, DYNAMIC AIRWAY COLLAPSE or BRONCHIECTASIS or PULMONARY NODULES.</t>
  </si>
  <si>
    <t>Study:_x000D_
Thoracic radiography: five images dated September 24, 2024_x000D_
_x000D_
Findings:_x000D_
The cardiac silhouette is normal in size and shape. The pulmonary vasculature is normal in size. The pulmonary ring was unremarkable. No nodules or masses are present. The pleural space is normal. There is no intrathoracic lymphadenopathy. There is a broad-based soft tissue opaque band superimposed with the dorsal aspect of the trachea lumen at the thoracic inlet representing either a redundant dorsal tracheal membrane or superimposition of the esophagus. The tracheal diameter is normal. There is no lobar bronchi narrowing. The included abdomen is normal. The osseous structures are unremarkable.</t>
  </si>
  <si>
    <t>Normal thorax. There is no radiographic evidence of cardiopulmonary disease or pulmonary metastatic disease.</t>
  </si>
  <si>
    <t>Computed tomography of the head can be considered for further evaluation and surgical planning of the reported pendulous mass found at the base of the tongue.</t>
  </si>
  <si>
    <t xml:space="preserve">
1.A mild perihilar infiltrate has been detected._x000D_
2.The cardiac silhouette size is normal._x000D_
3.There is no evidence of BRONCHITIS, ALVEOLAR PATTERN, DYNAMIC AIRWAY COLLAPSE or BRONCHIECTASIS, PULMONARY NODULES or PLEURAL EFFUSION.</t>
  </si>
  <si>
    <t>Study:_x000D_
Thoracic, right thoracic limb, pelvic and right pelvic limb radiography: six images dated September 24, 2024_x000D_
_x000D_
Findings:_x000D_
The cardiac silhouette is normal in size and shape. The pulmonary vasculature is normal in size. There is a mild generalized bronchial pulmonary pattern. The pleural space is normal. There is no intrathoracic lymphadenopathy. The larynx is unremarkable. The trachea is normal in diameter. The included abdomen is normal. The T 13 vertebra is transitional with bilateral hypoplastic ribs. There is mild C7-T1 spondylosis deformans. The shoulder joints are unremarkable. There is a small, smoothly marginated mineral body medial to the right radial head. The elbow joint is congruent. The anconeal process is appropriately fused. Medial coronoid process is sharply marginated and well defined. The right carpus and included portion of the manus are unremarkable. The coxofemoral joints are unremarkable with good coverage of the femoral head by the acetabulum bilaterally. The patella is in the correct anatomic location bilaterally. The degree of soft tissue opacity within the right stifle joint space appears within normal limits. No degenerative change is present in the right stifle. The right tarsocrural joint is normal. There is severe continuous new bone formation along the dorsal aspect of the tarsometatarsal joints.</t>
  </si>
  <si>
    <t>1. The mild generalized bronchial pulmonary pattern may indicate allergic, inflammatory, infectious, parasitic or irritant bronchitis. Airway sampling, heartworm testing and Baermann fecal flotation can be considered for further evaluation._x000D_
2. The small mineral body medial to the right radial head may the the sesamoid of the supinator muscle tendon (normal variant) or may indicate a small osteophyte._x000D_
3. Severe right tarsal tarsometatarsal osteoarthrosis.</t>
  </si>
  <si>
    <t xml:space="preserve">
1.Are respiratory signs present? If YES._x000D_
2.Mild cardiomegaly has been detected but Heart Failure is NOT suspected._x000D_
3.There is no evidence of DYNAMIC AIRWAY COLLAPSE or BRONCHIECTASIS or PLEURAL EFFUSION._x000D_
4.MINIMAL to MILD BRONCHOINTERSTITIAL PULMONARY PATTERN; POTENTIAL FOR FOCAL ATELECTASIS._x000D_
5.Based on these AI airway/pulmonary findings, the probability of this patient having clinically detectable respiratory signs is LOW (25%)_x000D_
6.Are respiratory signs present? If NO.</t>
  </si>
  <si>
    <t>Orthogonal views of the thorax are provided:_x000D_
_x000D_
Thorax:_x000D_
_x000D_
Cardiac silhouette has a normal shape and size._x000D_
Pulmonary vessels are within normal limits of size and shape._x000D_
Pulmonary parenchyma shows a generalized mild bronchial pattern. _x000D_
No signs of tracheobronchial lymphadenopathy._x000D_
Pleural space, mediastinum, diaphragm and thoracic wall within normal limits._x000D_
_x000D_
Unremarkable abdomen.</t>
  </si>
  <si>
    <t>1) Generalized bronchial pattern is compatible with a chronic lower airway disease such as asthma vs feline chronic bronchitis vs bronchitis of parasitic origin.</t>
  </si>
  <si>
    <t>Consider a bronchoscopy with BAL, culture, cytology and Baermann test with deworming vs empirical treatment for asthma and deworming.</t>
  </si>
  <si>
    <t xml:space="preserve">
1.The cardiac silhouette size is normal._x000D_
2.There is no evidence of BRONCHITIS, ALVEOLAR PATTERN, DYNAMIC AIRWAY COLLAPSE or BRONCHIECTASIS, PULMONARY NODULES or PLEURAL EFFUSION._x000D_
3.A mild perihilar infiltrate has been detected.</t>
  </si>
  <si>
    <t>Thorax: There is a mild diffuse peribronchial pattern.  The remainder of the pulmonary parenchyma is unremarkable.  The cardiac silhouette and pulmonary vasculature are unremarkable.  There is no evidence of lymphadenopathy or pleural effusion.  The visible portions of the extrathoracic and intrathoracic trachea are unremarkable.  On the lateral view of the larynx the soft palate appears thickened.  There are no abnormalities involving the larynx.</t>
  </si>
  <si>
    <t>Mild diffuse peribronchial pattern which may be age-related or bronchitis._x000D_
_x000D_
Possible thickening of the soft palate however this may be artifactual and secondary to rotational obliquity.</t>
  </si>
  <si>
    <t>Five radiographs of the thorax and abdomen are provided. Images dated 8/10/21 are available for comparison. There is severe left atrial enlargement, with dorsal deviation of the thoracic trachea and mainstem bronchi. The remaining heart is moderately enlarged. The cranial pulmonary vein is larger than the artery. There is a moderate interstitial pattern in the perihilar region. Mild bronchial pattern in the remaining lungs is normal for the age of this patient. No pleural effusion. Adequate tracheal diameter._x000D_
_x000D_
In the abdomen the liver is mildly enlarged with rounded margins. Serosal detail is adequate. Normal size spleen and kidneys. Large volume soft tissue opaque ingesta in the stomach. The intestines are moderately filled. No effusion or radiopaque urolithiasis.</t>
  </si>
  <si>
    <t>1. Moderate to severe generalized cardiomegaly consistent with acquired mitral and tricuspid valve disease. There is pulmonary venous congestion and mild pulmonary edema indicating left-sided heart failure. Increased vagal tone is likely responsible for the syncopal episode._x000D_
2. Mild hepatomegaly as before. Hepatopathy or venous congestion are the top two differentials. No other abdominal abnormalities.</t>
  </si>
  <si>
    <t xml:space="preserve">
1.Are respiratory signs present? If YES._x000D_
2.Are respiratory signs present? If YES._x000D_
3.Are respiratory signs present? If NO._x000D_
4.Are respiratory signs present? If NO._x000D_
5.PULMONARY NODULE or MASS; MILD PERIHILAR INFILTRATE; MINIMAL INTERSTITIAL PULMONARY PATTERN._x000D_
6.MILD to MODERATE BRONCHOINTERSTITIAL PATTERN; MILD DYNAMIC AIRWAY DISEASE._x000D_
7.Based on the AI airway/pulmonary findings, the probability of this patient having clinically detectable respiratory signs is MEDIUM (50%)_x000D_
8.Based on these AI airway/pulmonary findings, the probability of this patient having clinically detectable respiratory signs is MEDIUM (50%)_x000D_
9.The evaluation has detected a soft tissue pulmonary nodule, a few nodules or mass lesion._x000D_
10.Pleural fissure lines or small volume pleural effusion has been detected. In a mildly to moderately overweight animal, excessive pericardial fat can artifactually mimic the result of mild pleural effusion._x000D_
11.Severe cardiomegaly has been detected but Heart Failure is NOT suspected.</t>
  </si>
  <si>
    <t>Study:_x000D_
Thoracic radiography: three images dated September 24, 2024_x000D_
_x000D_
Findings:_x000D_
The cardiac silhouette is normal in size and shape. The pulmonary vasculature is normal in size. The lung hypoinflation and overlying fat lead to increased opacity of the pulmonary parenchyma on the lateral projections imperatives in comparison to the orthogonal views. The pleural space is normal. There is no intrathoracic lymphadenopathy. The trachea is normal in diameter. The liver is severely enlarged with smooth margins. There is variable mild to severe multifocal spondylosis deformans. The patient is of obese body condition.</t>
  </si>
  <si>
    <t>1. Unremarkable thorax.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 Consider fluoroscopy to further evaluate for possible tracheal collapse given patient signalment._x000D_
2. The severe generalized hepatomegaly is nonspecific. Rule out metabolic/vacuolar hepatopathy, hyperplasia, hepatitis or infiltrative neoplasia. Sonography can be considered for further evaluation.</t>
  </si>
  <si>
    <t xml:space="preserve">
1.Pleural fissure lines or moderate to severe pleural effusion has been detected. An overlying skin fold or in an obese animal, excessive pericardial fat could artifactually mimic the result of severe pleural effusion._x000D_
2.The cardiac silhouette size is normal._x000D_
3.MODERATE ALVEOLAR PATTERN; CONCURRENT MILD BRONCHOINTERSTITIAL PATTERN; MILD DYNAMIC AIRWAY DISEASE._x000D_
4.Based on the AI airway/pulmonary findings, the probability of this patient having clinically detectable respiratory signs is MEDIUM to HIGH (50-75%)._x000D_
5.Are respiratory signs present? If YES._x000D_
6.Are respiratory signs present? If NO.</t>
  </si>
  <si>
    <t>Patient Name : Louie Jones, Date of study: Sep 24, 2024
5 images are provided for review
There are no previous radiographs for comparison.  Ventrodorsal image is presumed mislabeled given position of caudal vena cava.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</si>
  <si>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Mild diffuse bronchial pulmonary pattern such as from infectious/immune-mediated lower airway disease (mycoplasma spp., bordetella spp., parasitism, inhaled allergen/irritant), or fibrosis from prior disease, age-related changes, or unlikely other.</t>
  </si>
  <si>
    <t>Etiology of reported respiratory distress is not definitively identified but may be due to nasal discharge/obstruction, especially if signs improved after clearance of this material.  Consider computed tomography of the head/neck with/without rhinoscopy/ laryngoscopy for further evaluation of upper airway obstruction contributing to reported signs.
Consider respiratory PCR panel, airway sampling, and fecal analysis/deworming for further evaluation.    Tracheoscopy/bronchoscopy/fluoroscopy to evaluated for underlying dynamic airway disease if clinically indicated.  Routine blood work to screen for occult systemic disease may be contributory.  Empirical therapy and supportive care in the interim as needed for coughing. Monitoring as directed or sooner if clinical signs acutely change, fail to improve or worsen.</t>
  </si>
  <si>
    <t>Study:_x000D_
Thoracic radiography: three images dated September 24,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heterogeneous soft tissue material presumed to be ingesta. The included abdomen is otherwise unremarkable. No skeletal abnormalities are present. The patient is of overweight body condition.</t>
  </si>
  <si>
    <t>Normal thorax. There is no radiographic evidence of cardiopulmonary disease. A cause of respiratory signs is not evident. Consider upper airway disease/laryngeal paralysis. Lack of a definitive bronchial pulmonary pattern does not exclude the possibility of allergic/inflammatory, infectious, irritant or parasitic bronchitis. Normal diameter of the trachea does not exclude the possibility of dynamic airway disease.</t>
  </si>
  <si>
    <t>Infectious respiratory disease PCR testing, sedated laryngeal exam, fluoroscopy, airway sampling plus/minus heartworm testing and Baermann fecal flotation can be considered to further evaluate the respiratory signs.</t>
  </si>
  <si>
    <t xml:space="preserve">
1.There is no evidence of ALVEOLAR PATTERN, PERIHILAR INFILTRATE or PLEURAL EFFUSION._x000D_
2.A mild bronchial pattern has been detected._x000D_
3.Minimal cardiomegaly has been detected but Heart Failure is NOT suspected.</t>
  </si>
  <si>
    <t>Seven radiographs of the thorax (two laterals), abdomen (two laterals), pelvis (one VD), left elbow (one lateral, suspected right elbow given provided history), and stifle (one lateral view labeled left carpus) dated September 24, 2024 are provided.
Stifle (unknown laterality, suspected left based on history): There is severe periarticular osseous proliferation along the femoral trochlear ridges, apex and base of the patella, proximal aspect of the tibia, and fabellae. There is a moderate increase of soft tissue opacity within the cranial aspect of the stifle joint which cranially displaces the infrapatellar fat pad. There is no evidence of an aggressive osseous lesion.
Pelvis: No aggressive osseous lesions are identified. There is mild osseous proliferation along the left coxofemoral joint. Unfortunately patient rotation and positioning precludes complete evaluation of the hips.
Abdomen: The urinary bladder is moderately distended and normal in opacity. The visible margins of the kidneys are within normal limits. The liver is mildly enlarged with rounded caudal margins which extend beyond the costal arch. The stomach contains a small volume of heterogeneous ingesta admixed with gas. The small intestine is within normal limits of diameter and is primarily gas-filled. There is adequate serosal detail.
Thorax: The cardiac silhouette is within normal limits of size and shape. The pulmonary vessels are normal in size and are symmetrical. The pulmonary parenchyma is unremarkable. The trachea is normal in diameter and course. The region of the esophagus is unremarkable. There is no evidence of intrathoracic lymphadenopathy.
Spine: There is severe, intermittently bridging spondylosis deformans of the cranial to mid thoracic spine, cranial lumbar spine, and lumbosacral junction. There is moderate osteoarthritis of the articular process joints of L1-2 through L5-6. The vertebral bodies and endplates are normal.
Elbow (presumed right elbow based on history, image labeled left humerus): There is severe osteoarthritis of the elbow. The periarticular margins are severely remodeled and enlarged with osseous proliferation. There is a rounded osseous body at the cranial aspect of the elbow joint. Several variably sized, mineral opaque fragments are associated with the anconeal process. There is mild regional soft tissue swelling at the cranial aspect of the elbow joint.</t>
  </si>
  <si>
    <t>1. There is severe osteoarthritis of the elbow. There is no evidence of an aggressive osseous lesion. The development of septic arthritis is should be considered given the degree of lameness and cranial soft tissue swelling.
2. There is severe osteoarthritis of the presumed right stifle. An intra-articular soft tissue injury such as a cranial cruciate ligament tear or meniscal tear is considered.
3. There is moderate distention of the urinary bladder. Consider an obstruction versus voluntary retention/stress retention.
4. Mild hepatomegaly.  This is a nonspecific finding, differentials include metabolic disease, endocrine disease, inflammation, and less likely, infiltrative neoplasia.
5. There are severe degenerative changes of the spine as described. Diffuse idiopathic skeletal hyperostosis (DISH) is considered for the cranial thoracic spine.
6. Unremarkable thorax. There is no evidence of metastatic pulmonary disease.</t>
  </si>
  <si>
    <t>Arthrocentesis of the right elbow is recommended to screen for septic osteoarthritis. Restricted activity and multimodal pain management is recommended in the interim. Consultation with an orthopedic surgeon could be considered.
Orthopedic evaluation of the stifle under general anesthesia or heavy sedation is recommended to screen for stifle instability. Stifle instability (cranial drawer) is diagnostic for cranial cruciate ligament tear. If instability is identified, consultation with orthopedic surgeon would be recommended.</t>
  </si>
  <si>
    <t>Casey Larsen</t>
  </si>
  <si>
    <t xml:space="preserve">
1.The evaluation has come up positive for a pulmonary nodular pattern._x000D_
2.The cardiac silhouette size is normal._x000D_
3.A mild perihilar infiltrate has been detected._x000D_
4.There is no evidence of BRONCHITIS, ALVEOLAR PATTERN, DYNAMIC AIRWAY COLLAPSE or BRONCHIECTASIS or PLEURAL EFFUSION.</t>
  </si>
  <si>
    <t>Three orthogonal thoracic radiographs dated 24th September 2024 are available for review. There are no previous radiographs available for comparison. _x000D_
_x000D_
Airway findings: The thoracic trachea is ventrally and to the left displaced. There is a mainly caudal dorsal mild bronchointerstitial opacification. No clear areas of ventral alveolar opacification are present._x000D_
_x000D_
Cardiovascular findings: The cardiac silhouette is shifted to the left. The overall cardiac silhouette is within normal limits for shape and size. The pulmonary vasculature is normal._x000D_
_x000D_
Mediastinum and pleural space: The entire thoracic trachea is severely gas dilated, including the caudal cervical included oesophagus. Some fluid is present in the dependent cranial thoracic oesophagus._x000D_
_x000D_
Musculoskeletal findings: Multiple mid thoracic congenital vertebral abnormalities are present consistent with breed._x000D_
_x000D_
Included abdomen: There is gas present in the stomach.</t>
  </si>
  <si>
    <t>1. Megaoesophagus is present. Acquired megaoesophagus has idiopathic , immune mediated ( myasthenia gravis, polymyositis, polyneuritis) , metabolic ( hypoadrenocorticism, hypothyroidism, diabetes mellitus, uraemia, corticosteroid induced myopathy) , toxic ( lead, organophosphates) underlying causes and can also be secondary to reflux oesophagitis or distal oesophageal foreign bodies. In previous radiographs, gas dilation of the caudal oesophagus is also apparent. This may be consistent, or deterioration of previous disease._x000D_
2. There is no clear evidence for aspiration pneumonia, but the bronchointerstitial opacification may be consistent with recurrent microaspiration.</t>
  </si>
  <si>
    <t>Further workup for megaoesophagus is indicated. Continue feeding management of megaoesophagus._x000D_
Consider empiric management of microaspiration.</t>
  </si>
  <si>
    <t xml:space="preserve">
1.A minimal to mild bronchointerstitial pulmonary pattern has been detected._x000D_
2.The cardiac silhouette size is normal._x000D_
3.There is no evidence of DYNAMIC AIRWAY COLLAPSE or BRONCHIECTASIS.</t>
  </si>
  <si>
    <t>Patient Name : Basco Neagley, Date of study: Sep 24, 2024
5 images are provided for review
There are no previous radiographs for comparison.  Cranial thorax is excluded in the ventrodorsal images.
Pulmonary parenchyma: A minimal diffuse bronchial pattern is present.
Pulmonary vasculature: The pulmonary vasculature is subjectively normal in size and tapers in the periphery of the lungs.
Cardiac silhouette: The cardiac silhouette has a slightly flat caudodorsal margin in the lateral images.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left kidney is normal.  The right kidney is partially obscured without obvious mineral or enlargement.
Retroperitoneum: Retroperitoneal detail is adequate.
Urinary bladder/Urethra: The urinary bladder is normal in size, homogeneous soft tissue, and smoothly marginated.
Peritoneum: Peritoneal detail is adequate.
Gastrointestinal tract: The stomach contains a moderate volume of gas and soft tissue.   The stomach is within normal limits for size.
The small intestine contains mild to moderate fluid or mild gas is empty with a subjectively uniform population for size. 
The colon contains minimal gas and fluid or is empty. The colon is within normal limits for size.  
Musculoskeletal: Multiple gas foci are in the soft tissues over the mid and caudal dorsal extra-abdominal soft tissues.  A large, well-defined ovoid gas opacity is in the left caudolateral and inguinal soft tissues, superimposing over the caudal abdomen in the lateral images.  Mild gas is in the right caudolateral extra-abdominal soft tissues.  The remaining included musculoskeletal structures are normal.</t>
  </si>
  <si>
    <t xml:space="preserve">1. Severe left and mild right/dorsal extra-abdominal subcutaneous gas from reported recent trauma.
2. No obvious peritoneal gas or fluid is identified.  
3. Minimal diffuse bronchial pulmonary pattern such as from fibrosis from prior disease, age-related changes, or unlikely  infectious/immune-mediated lower airway disease or other.
4. Minimal left atrial enlargement versus artifact from phase of the cardiopulmonary cycle/patient positioning.
- If present, this may be consistent with reported murmur and possible myxoamtous mitral valvular disease, or unlikely other.
- No current evidence of left-sided congestive heart failure.  </t>
  </si>
  <si>
    <t>Consider echocardiography, eCG and blood pressure for further evaluation, and judicious use of fluid therapy in the short-term  Consider diuretics/oxygen if dyspnea acutely manifests, and recheck thoracic radiographs for monitoring.  Consider wound exploration/debridement and lavage.  If occult communication with peritoneum is identified during exploration, consider celiotomy and lavage.  Empirical therapy and supportive care in the interim as needed.  Monitoring as directed or sooner if clinical signs acutely change, fail to improve or worsen.</t>
  </si>
  <si>
    <t xml:space="preserve">
1.A moderate perihilar infitlrate has been detected._x000D_
2.The cardiac silhouette size is normal._x000D_
3.There is no evidence of ALVEOLAR PATTERN, DYNAMIC AIRWAY COLLAPSE or BRONCHIECTASIS, PULMONARY NODULES or PLEURAL EFFUSION._x000D_
4.A minimal interstitial pattern has been detected.</t>
  </si>
  <si>
    <t>Orthogonal radiographs of the thorax/abdomen are provided. The left ventricle is mildly elongated. Pulmonary vessels are normal size. There are no abnormalities in the pulmonary parenchyma. No pleural effusion. Adequate tracheal diameter. In the abdomen serosal detail is normal. There is formed feces in the distal colon. The cecum is gas filled. The stomach and small bowel are minimally filled. Normal-sized liver, spleen, kidneys. No osseous abnormalities. The urinary bladder and prostate are not identified.</t>
  </si>
  <si>
    <t>1. Prominent left ventricle consistent with acquired mitral valve disease. There is no pulmonary venous congestion or pulmonary edema. The thorax is otherwise normal._x000D_
2. Normal abdomen.</t>
  </si>
  <si>
    <t xml:space="preserve">
1.MILD to MODERATE INTERSTITIAL TO ALVEOLAR PATTERN; MILD DYNAMIC AIRWAY DISEASE._x000D_
2.Based on these AI airway/pulmonary findings, the probability of this patient having clinically detectable respiratory signs is MEDIUM (50%)_x000D_
3.Are respiratory signs present? If YES._x000D_
4.Are respiratory signs present? If NO._x000D_
5.There is no evidence of PERIHILAR INFILTRATE or PULMONARY NODULES._x000D_
6.Moderate cardiomegaly has been detected but Heart Failure is NOT suspected.</t>
  </si>
  <si>
    <t>A three view thoracoabdominal study including the neck is provided for interpretation._x000D_
_x000D_
There is moderate to severe dynamic narrowing of the cervical trachea including redundant dorsal tracheal membrane. This finding extends through the thoracic inlet but most of the intrathoracic trachea still appears normal. No mainstem bronchial collapse is seen. There is mild bronchial mineralization and some irregular bronchial markings. No alveolar infiltrates or pleural effusion are identified. The heart is at the upper end of normal size range with normal shape._x000D_
_x000D_
The abdominal organs are within normal size and shape limits. No mass lesions or loss of detail are seen in the abdomen._x000D_
_x000D_
There is severe disc space narrowing and spondylosis involving C3-C4 and L1-L2. L2-L3 is moderately narrowed.</t>
  </si>
  <si>
    <t>The mild bronchial pattern is slightly more prominent than typical age related change for the age of the patient. The appearance would be compatible with prominent age related changes or low-grade chronic bronchitis. No evidence of pneumonia, neoplasia, or heart failure is identified._x000D_
_x000D_
The appearance of the cervical trachea is consistent with collapsing trachea as a likely contributor to the coughing._x000D_
_x000D_
No abdominal abnormalities are identified._x000D_
_x000D_
There is evidence of chronic disc degeneration in the cervical and cranial lumbar spine.</t>
  </si>
  <si>
    <t>Symptomatic therapy for the cough is recommended._x000D_
Bronchoscopy could be considered for more definitive evaluation.</t>
  </si>
  <si>
    <t xml:space="preserve">
1.MODERATE BROCHIAL PATTERN; MODERATE DYNAMIC AIRWAY DISEASE; MILD INTERSTITIAL INFILTRATE with ATELECTASIS or less likely, PNEUMONIA._x000D_
2.Based on these AI airway/pulmonary findings, the probability of this patient having clinically detectabe respiratory signs is MEDIUM (50%)_x000D_
3.Are respirartory signs present? If YES._x000D_
4.AI linked collapsing airway disease in dogs: https://platform.v2.vetology.net/doc/canine-tracheal-collapse-treatment_x000D_
5.Are respiratory signs preesnt? If NO._x000D_
6.Mild cardiomegaly has been detected but Heart Failure is NOT suspected.</t>
  </si>
  <si>
    <t>Three orthogonal thoracic radiographs dated 24th September 2024 are available for review. These are compared with previous radiographs dated 14th March 2024. The thorax is hypoinflated._x000D_
_x000D_
Airway findings: The cervical and thoracic trachea have a normal size, outline and position. The carina, tracheal bifurcation and mainstem bronchi are normal. There is mild mineralisation of the mainstem bronchi. There is a homogenous interstitial opacification superimposed on the thorax._x000D_
_x000D_
Cardiovascular findings: The caudal cardiac contour is upright. The overall cardiac silhouette is still within normal limits for size. The pulmonary vasculature is poorly visible. The mainstem vessels are poorly visible._x000D_
_x000D_
Mediastinum and pleural space: There is cranial mediastinal widening._x000D_
_x000D_
Musculoskeletal findings: Mild mid thoracic congenital vertebral abnormalities are present consistent with breed._x000D_
_x000D_
Included abdomen: No significant abnormalities are detected.</t>
  </si>
  <si>
    <t>1. The pulmonary opacification is most likely due to hypoinflation, and body habitus. There is no evidence for metastatic disease, however some small nodules may be border effaced. The enlarged abdomen is no longer prominent, however still some cranial displacement of the diaphragm is present, likely creating some of the pulmonary opacification. Underlying chronic bronchial allergic infectious-inflammatory disease is possible._x000D_
2. Cranial mediastinal widening consistent with breed and some fat accumulation.</t>
  </si>
  <si>
    <t>Complete bloodwork, thoracic CT or ultrasound with aspirates if a peripheral lesion identified may be considered if deemed indicated.</t>
  </si>
  <si>
    <t xml:space="preserve">
1.Are respiratory signs present? If NO._x000D_
2.MODERATE DYNAMIC AIRWAY DISEASE; MILD BRONCHOINTERSTITIAL PATTERN._x000D_
3.Based on these AI airway/pulmonary findings, the probability of this patient having clinically detectable respiratory signs is MEDIUM (50%)_x000D_
4.Are respiratory signs present? If YES._x000D_
5.Pleural fissure lines or small volume pleural effusion has been detected. In a mildly overweight animal, excessive pericardial fat can artifactually mimic the result of minimal pleural effusion._x000D_
6.Mild cardiomegaly has been detected but Heart Failure is NOT suspected.</t>
  </si>
  <si>
    <t>Four orthogonal thoracic radiographs dated 24th September 2024 are available for review. There are no previous radiographs available for comparison. _x000D_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</si>
  <si>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1.Diffuse mild bronchial pattern: Consideration should be given to normal ageing, allergic bronchitis, chronic bacterial /viral bronchitis +/- parasitic bronchitis. Less likely are heart worm, hyperardenocorticism, neoplasia (such a lymphoma) or idiopathic pulmonary fibrosis.</t>
  </si>
  <si>
    <t>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 Evaluate for upper airway disease as clinically indicated.</t>
  </si>
  <si>
    <t xml:space="preserve">
1.There is no evidence of INTERSTITIAL or ALVEOLAR PATTERN, BRONCHITIS or PERIHILAR INFILTRATE._x000D_
2.Minimal cardiomegaly has been detected but Heart Failure is NOT suspected.</t>
  </si>
  <si>
    <t>Three orthogonal thoracic radiographs dated 24th September 2024 are available for review. These are compared with previous radiographs dated 15th May 2024._x000D_
_x000D_
Airway findings: There is near complete collapse of the dorsal pharyngeal wall, causing 90% reduction of the dorsoventral diameter. This extends from the mid cervical region to the tracheal bifurcation. The tracheal bifurcation is widened. There is a faint bronchointerstitial opacification of the pulmonary parenchyma._x000D_
_x000D_
Cardiovascular findings: There is generalised cardiac enlargement. A soft tissue opacity is contiguous with the caudal dorsal border. The pulmonary vasculature is prominent. The mainstem vessels are normal._x000D_
_x000D_
Mediastinum and pleural space: No significant abnormalities are detected._x000D_
_x000D_
Musculoskeletal findings: The patient is obese._x000D_
_x000D_
Included abdomen: There is mild smoothly marginated hepatomegaly.</t>
  </si>
  <si>
    <t>1. The dorsal attenuation of the trachea is consistent with tracheomalacia, and/or redundant trachealis membrane. The extent of attenuation would be expected to cause coughing. This is also previously present._x000D_
2. Generalised cardiomegaly. Considering breed this is likely due to mitral and tricuspid valve insufficiency. The prominent pulmonary vasculature are are indicative of venous congestion secondary to early cardiogenic pulmonary oedema. In comparison with previous radiographs, this is a subjective mild deterioration._x000D_
3. The pulmonary opacification is likely a combination of hypoinflation and body habitus, however early/faint interstitial opacification secondary to cardiogenic pulmonary oedema is possible.</t>
  </si>
  <si>
    <t>Medical Management of tracheal collapse is advised. Consider surgical consultation depending on clinical progression._x000D_
Complete bloodwork if not already performed. Management for left sided congestive heart failure including diuretic therapy with oxygen support as needed. ECG and systemic blood pressure monitoring. Recommend repeat thoracic radiographs after 24-48 hours of therapy, sooner if clinically indicated. Continued monitoring of renal values and urinalysis._x000D_
_x000D_
Once stabilized, an echocardiogram is recommended.</t>
  </si>
  <si>
    <t xml:space="preserve">
1.Based on the AI airway/pulmonary findings, the probability of this patient having clinically detectable respiratorysigns is MEDIUM to HIGH (50-75%)_x000D_
2.Are respiratory signs present? If YES._x000D_
3.MODERATE BRONCHOINTERSTITIAL PULMONARY PATTERN; MODERATE DYNAMIC AIRWAY DISEASE; MODERATE ALVEOLAR INFILTRATE or ATELECTASIS._x000D_
4.MODERATE INTERSTITIAL TO ALVEOLAR INFILTRATE; CONCURRENT MODERATE BRONCHIAL PATTERN; MILD PERIHILAR INFILTRATE._x000D_
5.Based on these AI airway/pulmonary findings, the probability of this patient having clinically detectable respiratory signs is HIGH (75%)_x000D_
6.Pleural fissure lines or small volume pleural effusion has been detected. In a mildly to moderately overweight animal, excessive pericardial fat can artifactually mimic the result of mild pleural effusion._x000D_
7.Severe cardiomegaly has been detected but Heart Failure is NOT suspected._x000D_
8.Are respiratory signs present? If YES._x000D_
9.AI linked bacterial pneumonia treatment in dogs: https://platform.v2.vetology.net/doc/pneumonia-in-dogs-and-cats_x000D_
10.Are respiratory signs present? If NO._x000D_
11.Are respiratory signs present? If NO.</t>
  </si>
  <si>
    <t>Opposite lateral and VD views of the thorax and abdomen are provided._x000D_
_x000D_
The cardiovascular structures are within normal limits. Interstitial lung opacity is mildly increased, but within the limits of age related change. No alveolar infiltrates or pulmonary nodules are identified. No pleural effusion is seen. In the left lateral views there is a poorly defined but suspicious ovoid soft tissue opacity just dorsal to the xiphoid, superimposed over the caudal mediastinal fat in this area._x000D_
_x000D_
The liver is within normal size limits overall, but there is mild unusual alteration of the shape contour at the caudal ventral liver margin. The other abdominal organs are within normal limits. No foreign bodies are seen in the GI tract. There is a small quantity of soft tissue dense content within the stomach=ZZ90= the appearance is compatible with food. No intestinal abnormalities are identified. Serosal detail in the abdomen is normal.</t>
  </si>
  <si>
    <t>No significant cardiopulmonary abnormalities are identified._x000D_
No abnormalities are identified involving the GI tract._x000D_
No specific explanation for the coughing or the vomiting is seen._x000D_
_x000D_
There are two unusual anatomic findings:_x000D_
there is a focal area of soft tissue opacity that appears to be associated with the caudal mediastinum the apex of the heart dorsal to the xiphoid. The appearance in the left lateral thorax view is suspicious for inflammatory lesion such as a granuloma or abscess in this area. However, is less apparent in the VD abdomen view and not visible in the right lateral views. Artifactual causes cannot be excluded._x000D_
_x000D_
The caudal ventral contour the liver is variable between views but appears somewhat irregular in all views. A small mass or nodular infiltration of the liver should be ruled out with follow up imaging.</t>
  </si>
  <si>
    <t>Symptomatic therapy for the clinical signs is recommended._x000D_
_x000D_
Ultrasound of the abdomen to better evaluate the liver, pancreas, and GI tract is recommended. The caudal mediastinal area around the xiphoid could potentially be evaluated at that time.</t>
  </si>
  <si>
    <t xml:space="preserve">
1.MILD BRONCHIAL PATTERN; PLEURAL FISSURE LINES, OVERWEIGHT BODY CONDITION or LESS LIKELY, MINIMAL PLEURAL FLUID; NODULAR PULMONARY PATTERN which is likely due to overlying CUTANEOUS NODULES, END-ON VESSELS or MINERALIZED COSTOCHONDRAL JUNCTIONS._x000D_
2.Based on these AI airway/pulmonary findings, the probability of this patient having clinically detectable respiratory signs is LOW to MEDIUM (25-50%)_x000D_
3.Are respiratory signs present? If NO._x000D_
4.There is no evidence of DYNAMIC AIRWAY COLLAPSE or BRONCHIECTASIS._x000D_
5.The cardiac silhouette size is normal._x000D_
6.Are respiratory signs present? If YES.</t>
  </si>
  <si>
    <t>Study:_x000D_
Thoracic radiography: three images dated September 24, 2024_x000D_
_x000D_
Findings:_x000D_
The cardiac silhouette is normal in size and shape. The pulmonary vasculature is normal in size. There is mild bilateral pleural effusion. There is a moderate perihilar/caudodorsal unstructured interstitial pulmonary pattern. There is no apparent intrathoracic lymphadenopathy. The trachea is normal in diameter. The larynx is normal. The stomach contains unstructured heterogeneous/granular soft tissue material presumed to be ingesta. Suture material is present in the mid-ventral abdominal body wall. The T 13 vertebra is transitional with bilateral hypoplastic ribs.</t>
  </si>
  <si>
    <t>1. Mild bilateral pleural effusion a cause is not radiographically evident._x000D_
2. The unstructured interstitial pattern in the perihilar/caudodorsal lung fields could represent noncardiogenic pulmonary edema, cardiogenic pulmonary edema or pneumonia. Pulmonary lymphoma is a less likely differential._x000D_
_x000D_
Comments:_x000D_
While there is no apparent cardiomegaly, the combination of the pleural effusion and interstitial pulmonary infiltrates could be secondary to acute chordae tendineae rupture.</t>
  </si>
  <si>
    <t>Consider echocardiography, computed tomography thorax plus/minus thoracocentesis with fluid analysis for further evaluation.</t>
  </si>
  <si>
    <t xml:space="preserve">
1.The evaluation has detected soft tissue pulmonary nodules and pleural fluid._x000D_
2.Moderate cardiomegaly has been detected but Heart Failure is NOT suspected._x000D_
3.In the ABSENCE of respiratory signs, lung lobe collapse or severe atelectasis secondary to anesthesia or deep sedation could artifactually create this appearance._x000D_
4.PULMONARY NODULES or NODULAR PATTERN; PLEURAL EFFUSION or PLEURAL FISSURE LINES; SEVERE INTERSTITIAL TO ALVEOLAR PATTERN; MODERATE BRONCHIAL PATTERN; DYNAMIC AIRWAY DISEASE._x000D_
5.Based on the AI airway/pulmonary findings, the probability of this patient having clinically detectable respiratory signs is VERY HIGH (&gt;75%)_x000D_
6.In older dogs, a pulmonary mass or pulmonary nodules, pulmonary hemorrhage, pleural effusion or PTE are primary considerations._x000D_
7.If this AI evaluation is inconsistent with your assessment or the clinical picture, a Vetology AI overread may be beneficial.</t>
  </si>
  <si>
    <t>A three view thoracoabdominal study is provided for interpretation._x000D_
_x000D_
There is a very large abdominal mass. The mass appears to arise dorsally, obscuring the retroperitoneal area and extending toward the ventral abdomen. The mass is moderately defined with lobular margins, and mild mineralization is apparent in the left side of the mass. Extends from midline to the periphery on both sides of the abdomen, overall size measuring in the range of 8 cm x 13 cm. The kidneys cannot be reliably identified. In the right lateral view there is a rounded shadow in the ventral abdomen, that is suspected to be associated with the mass but could be arising from spleen or bowel. A definitive tissue of origin of the large mass cannot be determined. The GI tract is displaced by the mass but appears otherwise normal. The appearance of the liver is within normal limits. Serosal detail in the areas not obscured by the mass is normal._x000D_
_x000D_
The cardiovascular structures are within normal limits. Interstitial lung opacity is mildly increased but within the limits of age related change. No pulmonary nodules or pleural effusion are identified.</t>
  </si>
  <si>
    <t>There is a very large lobular/nodular mass that occupies most of the dorsal abdomen from the stomach to the bladder. The mass is partially mineralized on the left side. A tissue of origin cannot be definitively determined. Primary rule outs would include renal neoplasia, primary retroperitoneal soft tissue neoplasia, spleen, or less likely adrenal._x000D_
_x000D_
No evidence of pulmonary metastasis or other significant cardiopulmonary disease is identified.</t>
  </si>
  <si>
    <t>Tissue origin of the large mass described cannot be determined from the radiographs. Retroperitoneal origin complicating surgical removal is possible. CT would be ideal for more definitive anatomic evaluation. Ultrasound may be helpful but sonographic evaluation could be challenging due to the size of the mass.</t>
  </si>
  <si>
    <t>Six orthogonal thoracic and abdominal radiographs dated 24th September 2024 are available for review. The patient is not identified on the DICOM images. These are compared with previous radiographs dated 8th February 2024._x000D_
_x000D_
Airway findings: The thorax is severely hypoinflated in the ventrodorsal image. There is a moderate bronchial pattern throughout the lung parenchyma. In the ventrodorsal image, the left caudal and cranial pulmonary lobes are severely opacified, up to a mild alveolar pattern._x000D_
_x000D_
Cardiovascular findings: The cardiac silhouette, pulmonary vasculature and mainstem vessels are normal in the single lateral image. There is border effacement in the ventrodorsal image._x000D_
_x000D_
Mediastinum and pleural space: No significant abnormalities are detected._x000D_
_x000D_
Musculoskeletal findings: No significant abnormalities are detected._x000D_
_x000D_
Included abdomen: The hepatic silhouette is normal in size with smooth borders. The spleen is normal in shape, size and position. The left kidney is small with smooth borders. A faint mineral opacity is visible in the hilar region. The stomach is mainly empty, with a normal axis. The small intestines are distributed evenly and are within normal limits for shape, size and contents. The ascending, transverse and descending colon have a normal position and contains an increased amount of formed faeces. The urinary bladder is filled. The serosal detail is normal.</t>
  </si>
  <si>
    <t>1. Chronic kidney disease, as previously described._x000D_
2. Diffuse mild bronchial pattern: Primary consideration should be given to normal ageing/fibrosis from previous disease. Allergic bronchitis (feline asthma), chronic bacterial /viral bronchitis +/- parasitic bronchitis should also be considered. This is subjectively deteriorated in comparison to previous images. The severe opacification in the ventrodorsal image is most likely due to severe hypoinflation, and positional atelectasis, however more severe underlying infectious-inflammatory disease is possible.</t>
  </si>
  <si>
    <t>Consider repeat well inflated 3 view thoracic series._x000D_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t>
  </si>
  <si>
    <t>Patient Name : JESSIE GOLDBERG, Date of study: Sep 24, 2024
6 images are provided for review
There are no previous radiographs for comparison.
Bones/Joints:
Only in the lateral image that contains the right brachium, well-defined mineral is just cranial to the right shoulder joint.
The right elbow is normal.  
The included right carpus, metacarpus and digits are normal.
The left elbow is normal.   
The included left carpus is normal.   The left digits are not included.
There is no evidence of medullary sclerosis, osteolysis, endosteal scalloping, or periosteal proliferation.
Soft tissues:  The included soft tissues are normal.</t>
  </si>
  <si>
    <t>1. Mineral cranial to the right shoulder joint is suspicious  enthesopathy of the supraspinatus/infraspinatus tendons of insertion.
2. Normal right elbow.
3. Normal left elbow.</t>
  </si>
  <si>
    <t>Consider orthopedist consultation and  ultrasonography versus MRI of the shoulders for further evaluation.  Consider radiographs of the left manus with comparison images of the right manus and orthogonal thoracic images to screen for occult metastatic/neoplastic disease.  Computed tomography of the manus/thoracic limbs and thorax may also be contributory. 
 Empirical therapy and supportive care for reported clinical signs in the interim as needed.</t>
  </si>
  <si>
    <t>6 views of the thorax and abdomen are submitted for review.  The stomach contains a minimal amount of gas and ingesta.  The small bowel is normal in uniform diameter without overt dilation or plication.  A mild amount of gas and stool is noted in the colon.  The liver is slightly prominent with smooth serosal margins.  The spleen is normal in size and shape.  Mild diverticular mineralization is noted in the kidneys.  The urinary bladder is moderately distended.  Serosal detail is adequate._x000D_
In the thorax, the left atrium is mild to moderately enlarged.  The pulmonary vasculature is normal.  No pulmonary parenchymal abnormalities are noted.  No pleural effusion or intrathoracic lymphadenopathy is seen.  The trachea is normal._x000D_
No significant osseous abnormalities are seen.</t>
  </si>
  <si>
    <t>Mild dependent megaly.  Differentials include normal variation, vacuolar change, inflammation, or much less likely neoplasia._x000D_
Mild mineralization of the kidneys, consistent with chronic nephritis and degenerative change of unknown clinical significance._x000D_
No evidence of mechanical obstruction of the GI tract is seen._x000D_
Mild to moderate left atrial enlargement.  This is most consistent with myxomatous mitral valve disease.  No evidence of congestive heart failure is noted.  Otherwise, radiographically normal thorax.</t>
  </si>
  <si>
    <t>An abdominal ultrasound and echocardiogram could be considered for further evaluation.</t>
  </si>
  <si>
    <t xml:space="preserve">
1.MILD BRONCHIAL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5.The cardiac silhouette size is normal._x000D_
6.There is no evidence of ALVEOLAR PATTERN, PERIHILAR INFILTRATE, PULMONARY NODULES or PLEURAL EFFUSION.</t>
  </si>
  <si>
    <t>Study:_x000D_
Thoracic and abdominal radiography: eight images dated September 24,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adequate. The stomach contains a small volume of gas with the pylorus appropriately gas-filled on the left lateral images. The small intestines are normal in size, course and content. The colon contains a small amount of poorly formed fecal material. The liver and spleen are normal in size and margin. The kidneys are normal in size and contour. The urinary bladder is normal in size and opacity. Suture material from prior ovariohysterectomy is present caudal to each kidney, situated between the descending colon/urinary bladder and in the mid-ventral abdominal body wall and subcutaneous fat. No skeletal abnormalities are present.</t>
  </si>
  <si>
    <t>1. Unremarkable abdomen. A cause of the gastrointestinal signs is not evident. There is no radiographic evidence of gastrointestinal foreign material or small intestinal mechanical obstruction. Abdominal sonography can be considered for further evaluation if clinical signs persist or worsen in spite of medical management._x000D_
2. Normal thorax.</t>
  </si>
  <si>
    <t>6 views of the thorax and abdomen are submitted for review.  The stone contains a mild amount of gas.  The small bowel is normal and uniform in diameter.  A mild amount of gas is noted in the colon.  The liver and spleen are normal in size, shape, and margination.  The bilateral renal silhouettes are within normal limits.  The urinary bladder is unremarkable.  Serosal detail is normal._x000D_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No osseous abnormalities are seen.</t>
  </si>
  <si>
    <t>Radiographically normal abdomen.  No evidence of mechanical obstruction of the GI tract is seen.  Nonspecific gastroenteritis and dietary indiscretion is considered most likely._x000D_
Radiographically normal thorax.</t>
  </si>
  <si>
    <t>Empirical medical management as clinically indicated appears appropriate.</t>
  </si>
  <si>
    <t xml:space="preserve">
1.No airway or pulmonary abnormalities have been detected. The lung parenchyma appears normal with no interstitial, alveolar, or bronchial pattern identified. No pulmonary nodules or pleural effusion detected._x000D_
2.The cardiac silhouette size is normal.</t>
  </si>
  <si>
    <t>6 views of the thorax and abdomen are submitted for review._x000D_
In the abdomen, the stomach contains a minimal amount of gas.  The small bowel is normal in uniform diameter and contains a mild amount of gas.  The colon is moderately gas-distended.  The liver, spleen, renal silhouettes, and urinary bladder are within normal limits.  Serosal detail is adequate._x000D_
In the thorax, the cardiac silhouette and pulmonary vasculature are within normal limits.  An approximately 3 to 4 cm rounded soft tissue opacity mass is noted in the peripheral aspect of the right caudal lung lobe.  Mild generalized bronchointerstitial markings are noted throughout the remainder of the lung fields.  No pleural effusion or intrathoracic lymphadenopathy is noted.  The trachea is normal in diameter._x000D_
No aggressive bony changes are noted.</t>
  </si>
  <si>
    <t>The appearance of the GI tract is very nonspecific but could be associated with mild functional ileus as with enterocolitis from any cause.  No evidence of mechanical obstruction is seen._x000D_
Solitary mass in the right caudal lung lobe.  This is most consistent with primary pulmonary neoplasia such as carcinoma or adenocarcinoma.  A pulmonary granuloma, fluid-filled bulla, or abscess cannot be excluded.</t>
  </si>
  <si>
    <t>Tissue sampling of the pulmonary mass is needed for more definitive diagnosis.  Due to the location of the lesion, ultrasound-guided fine-needle aspiration may be feasible._x000D_
An abdominal ultrasound could be considered for further evaluation of the GI tract if there is sufficient clinical concern.</t>
  </si>
  <si>
    <t>Opposite lateral and VD views that include the neck, thorax, and abdomen are provided. There are 13 images total._x000D_
_x000D_
No laryngeal or tracheal abnormalities are identified. The soft tissues of the neck and cervical spine are unremarkable._x000D_
_x000D_
There is a moderately defined round to ovoid mass in the range of 7 cm in the right caudal dorsal lung. The other lung fields have a patchy interstitial pattern. No pleural effusion or thoracic lymphadenopathy is seen. No significant cardiovascular abnormalities are identified._x000D_
_x000D_
The abdominal organs are all within normal size and shape limits. The GI tract is mildly gassy but otherwise unremarkable. No mass lesions or loss of detail are seen in the abdomen._x000D_
There is moderate lumbosacral spondylosis.</t>
  </si>
  <si>
    <t>There is a pulmonary mass in the right caudal lobe. Is appears to be a solitary lesion, although there is patchy interstitial opacity in the other lung fields. A primary lung tumor would be the top differential, but granuloma associated with parasitic or fungal disease should still be ruled out. A pulmonary abscess (possibly secondary to an aspirated foreign body) should also be ruled out._x000D_
_x000D_
No abnormalities are identified involving the neck or trachea._x000D_
No abdominal abnormalities are identified.</t>
  </si>
  <si>
    <t>Bronchoscopy would be ideal for definitive diagnosis._x000D_
If this is not an option, BAL/TTW for cytology and culture should be considered._x000D_
It is possible this lesion might be accessible for FNA with ultrasound, but potential for success is questionable, as the lesion might not be accessible._x000D_
_x000D_
CBC, Baermann fecal exam for lungworms, and heartworm testing is not performed recently is recommended.</t>
  </si>
  <si>
    <t xml:space="preserve">
1.SEVERE INTERSTITIAL TO ALVEOLAR PATTERN; SEVERE BRONCHITIS;  PULMONARY NODULES OR MASS LESION; PLEURAL FLUID or PLEURAL THICKENING; SEVERE DYNAMIC AIRWAY DISEASE._x000D_
2.Based on these AI airway/pulmonary findings, the probability of this patient having clinically detectable respiratorysigns is VERY HIGH (&gt;75%)_x000D_
3.This evaluation has detected pulmonary nodules or a mass lesion and pleural fissure lines or effusion._x000D_
4.Are respiratory signs present? If YES._x000D_
5.Moderate cardiomegaly has been detected but Heart Failure is NOT suspected._x000D_
6.Are respiratory signs present? If NO._x000D_
7.Given this combination of above thoracic findings, a radiologist over read may be beneficial.</t>
  </si>
  <si>
    <t>A three view thoracoabdominal study is provided for interpretation._x000D_
_x000D_
The stomach is moderately distended with gas. No evidence of gastric rotation or foreign body is seen. A few segments of small intestine are mildly gas dilated, but no obstructive pattern is identified. There are multiple irregular mineral dense choleliths in the gallbladder. The liver is mildly enlarged, with smooth margins. The spleen is mildly to moderately enlarged, also with smooth margins and normal shape. Serosal detail in the abdomen is normal._x000D_
_x000D_
The shape of the heart is consistent with mild to moderate left atrial dilation. The cardiac silhouette is mildly enlarged overall. There is a moderate bronchial pattern, due partly to bronchial mineralization. No pulmonary edema or pleural effusion is seen.</t>
  </si>
  <si>
    <t>The appearance of the lungs is suggestive of chronic bronchitis. In the absence of relevant clinical signs this more likely represents prominent age related change._x000D_
There is left sided heart enlargement with atrial dilation, but no evidence of congestive heart failure._x000D_
_x000D_
The liver and spleen are both enlarged. Primary rule outs would include inflammatory/infectious hepatopathy with reactive splenomegaly, other systemic infectious/inflammatory disease, or lymphoreticular neoplasia such as lymphoma._x000D_
_x000D_
There is many mineral dense irregular calculi in the gallbladder. This is abnormal but often an incidental, so relevance to the current clinical signs is unknown but probably limited._x000D_
_x000D_
The GI tract is gassy, but no foreign body, obstructive pattern, or mass is identified. The appearance of the GI tract is suspected to be the result of physiologic ileus or aerophagia.</t>
  </si>
  <si>
    <t>Supportive care and symptomatic therapy is recommended._x000D_
_x000D_
Ultrasound of the abdomen to better evaluate the liver and gallbladder as well as the spleen for changes that might be concerning for lymphoma is recommended.</t>
  </si>
  <si>
    <t xml:space="preserve">
1.MINIMAL DYNAMIC AIRWAY DISEASE; MINIMAL BRONCHOINTERSTITIAL PULMONARY PATTERN._x000D_
2.Based on these AI airway/pulmonary findings, the probability of this patient having clinically detectable respiratory signs is LOW (25%)_x000D_
3.There is no evidence of PLEURAL EFFUSION._x000D_
4.Mild cardiomegaly has been detected but Heart Failure is NOT suspected._x000D_
5.Are respiratory signs present? If YES._x000D_
6.Are respiratory signs present? If NO.</t>
  </si>
  <si>
    <t>3 views of the thorax are provided for review.  The cardiac silhouette is generally enlarged and rounded in appearance.  No pulmonary infiltrates are seen.  The pulmonary vasculature is normal in size.  The mediastinal and pleural structures are normal.  Cranial abdominal detail is reduced.</t>
  </si>
  <si>
    <t>Generalized cardiomegaly without current evidence of cardiogenic pulmonary edema.  Pericardial effusion could be considered.  Echocardiography may be helpful in further evaluation.  Reduced cranial abdominal detail suggestive of free fluid.  Consider right-sided heart failure versus other causes.  If pericardial effusion is not present, abdominal ultrasound may be helpful.</t>
  </si>
  <si>
    <t xml:space="preserve">
1.SEVERE INTERSTITIAL TO ALVEOLAR PATTERN; MODERATE BRONCHIAL PATTERN; SEVERE DYNAMIC AIRWAY DISEASE._x000D_
2.Based on these AI airway/pulmonary findings, the probability of this patient having clinically detectable respiratory signs is VERY HIGH (&gt;75%)_x000D_
3.Are respiratory signs present? If YES._x000D_
4.Are respiratory signs present? If NO._x000D_
5.The evaluation has a strong suspicion of pulmonary nodules or mass lesion being present._x000D_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</si>
  <si>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6 images of the spine are provided for review.  No fractures, luxations, or aggressive osseous lesions are seen.  There is consistent narrowing of the intervertebral disc space at C2-3.  The soft tissue structures included are normal.</t>
  </si>
  <si>
    <t>Narrowed intervertebral disc space suggestive of intervertebral disc herniation.  This does not rule out intervertebral disc herniation at another site or other causes of spinal cord compression.</t>
  </si>
  <si>
    <t>Six orthogonal survey radiographs of the thorax and abdomen dated 24th September 2024 are available for review. There are no previous radiographs available for comparison. _x000D_
_x000D_
Thorax: _x000D_
Airway findings: The cervical and thoracic trachea have a normal size, outline and position. The carina, tracheal bifurcation and mainstem bronchi are normal. Dorsal to the tracheal bifurcation there is a smoothly marginated soft tissue opacity. There is a diffuse mild to moderate bronchointerstitial opacification of the lung parenchyma. This is most dominant caudodorsally._x000D_
_x000D_
Cardiovascular findings: There is a moderate sized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No significant abnormalities are detected._x000D_
_x000D_
Abdomen: The stomach contains a moderate amount of granular food material and has a normal axis. The small intestines dorsally displaced by an enlarged spleen. They contain a mixture of granular food material, gas and fluid. The descending colon contains some gas. The urinary bladder is filled. The kidneys are partially obscured by gastrointestinal contents, but the visible aspect are normal. The hepatic silhouette is normal. The urinary bladder is filled._x000D_
_x000D_
Musculoskeletal findings: No significant abnormalities are detected.</t>
  </si>
  <si>
    <t>1. The soft issue caudal dorsal to the cardiac silhouette may be left atrial dilation, or a left atrial dilation and tracheobronchial lymphadomegaly combined. The left atrial dilation is most likely due to mixoid degeneration of the mitral valve. There is no evidence for cardiac insufficiency. The tracheobronchial lymphadomegaly, if present is likely reactive to the pulmonary pattern._x000D_
2. Moderate bronchointerstitial opacification: This is most likely consistent with lower airway infectious-inflammatory disease such as viral-bacterial bronchitis, parasitic bronchitis, potential fungal disease. Pulmonary fibrosis, eosinophilic bronchopneumopathy is considered less likely. Considered potential tracheobronchomegaly, fungal disease needs to be excluded._x000D_
3. Splenomegaly: differential diagnoses include passive congestion from sedation (if administered), splenitis, extramedullary hematopoiesis, lymphoid hyperplasia, or neoplasia (haematoma, haemangioma, haemangiosarcoma, or a lymphoma) . Considering smooth borders and size, round cell infiltration should be prioritised.</t>
  </si>
  <si>
    <t>Respiratory workup including CBC, serum chemistry, urinalysis, Baermann faecal testing, 4DX, +/- respiratory panel or fungal testing as indicated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 Evaluate for upper airway disease as clinically indicated._x000D_
Radiography is insensitive for early cardiac insufficiency, therefore ECG, blood pressure measurements, and echocardiography may be considered for further evaluation, or baseline measurements._x000D_
A complete abdominal ultrasonographic examination is advised, with a view to FNA of abnormal organs, after a normal coagulation panel.</t>
  </si>
  <si>
    <t xml:space="preserve">
1.A minimal interstitial pulmonary pattern with a concurrent, minimal perihilar infiltrate have been detected._x000D_
2.The cardiac silhouette size is normal._x000D_
3.There is no evidence of ALVEOLAR PATTERN or DYNAMIC AIRWAY COLLAPSE or BRONCHIECTASIS.</t>
  </si>
  <si>
    <t>Patient Name : Lady Yates, Date of study: Sep 24, 2024
4 images are provided for review
Canine Thorax (4 Images) - 2 Lateral, 2 Vd
Pulmonary parenchyma: A  mild diffuse bronchial pattern is present.
Pulmonary vasculature: The pulmonary vasculature is subjectively normal in size and tapers in the periphery of the lungs.
Cardiac silhouette: The cardiac silhouette is tall and occupies approximately 2/3 the height of the thorax.  The trachea is slightly dorsally displaced.
Mediastinum: The cranial mediastinum is normal.
Trachea: A soft tissue band superimposes over the cervical and cranial thoracic tracheal segments.  
Esophagus: The esophagus is not well-identified.
Pleural space: The pleural space is normal.
Musculoskeletal: The included musculoskeletal structures are normal.</t>
  </si>
  <si>
    <t>1. Mild left-ventricular enlargement versus artifact from phase of the cardiopulmonary cycle/patient positioning, or unlikely other.
- Differential diagnoses include myxomatous mitral valvular disease and insufficiency or unlikely other.
- There is no current evidence of left-sided congestive heart failure.
2. Mild diffuse bronchial pulmonary pattern.
- Differential diagnoses include infectious/immune-mediated lower airway disease such as from mycoplasma spp., bordetella spp., parasitism, or inhaled allergen/irritant, fibrosis from prior disease, age-related changes, or unlikely other.
3. Redundant dorsal tracheal membrane with/without underlying dynamic airway disease, versus superimposed normal structures.</t>
  </si>
  <si>
    <t>Consider respiratory PCR panel, airway sampling, and fecal analysis/deworming for further evaluation.  Echocardiography, eCG and blood pressure for further evaluation of the heart.   Routine blood work and urinalysis if not recently performed.  Consider tracheoscopy/bronchoscopy and/or fluoroscopy for further evaluation of dynamic airway disease if clinically indicated.   Empirical therapy and supportive care in the interim for coughing.  Monitoring as directed or sooner if clinical signs acutely change, fail to improve or worsen.</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</si>
  <si>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5.There is no evidence of PLEURAL EFFUSION._x000D_
6.Mild cardiomegaly has been detected but Heart Failure is NOT suspected.</t>
  </si>
  <si>
    <t>A single lateral radiograph of the left tibia and a single lateral radiograph of the thorax dated 24th September 2024 are available for review. There are no previous radiographs available for comparison. _x000D_
_x000D_
Left tibia: In the distal aspect of the tibia, there is severe geographical lysis, with extension of moth-eaten lysis. There is complete lysis of circumferentially of the cortex, with surrounding irregular smoothly marginated periosteal new bone formation. There is surrounding soft tissue thickening. The transition to the normal medulla is poorly demarcated. The included tarsus and stifle are normal._x000D_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t>
  </si>
  <si>
    <t>1. Monostotic aggressive mixed lytic and proliferative bone lesion of the distal left tibia with pathologic fracture.  Extended transitional zone, cortical destruction, and active periosteal reaction consistent with primary bone neoplasia (osteosarcoma).  _x000D_
2. Normal thorax. A metastasis check requires at least 3 orthogonal radiographs. No nodules or masses seen on this single image.</t>
  </si>
  <si>
    <t>Fine needle aspirate of the lesion or surrounding soft-tissues vs. bone biopsy are recommended for definitive diagnosis.  Consultation with oncology based on results. Three view thoracic series indicated.</t>
  </si>
  <si>
    <t>Patient Name : Delta rayne Jimenez, Date of study: Sep 24, 2024
4 images are provided for review (lateral views only).
There are no previous radiographs for comparison.
Liver: The liver is slightly small with cranial displacement of the gastric axis.
Spleen: The spleen is normal in size with smooth margins and homogeneous soft tissue.
Kidneys: The left kidney is subjectively normal.  The right kidney is not identified.
Retroperitoneum: Retroperitoneal detail is adequate.
Urinary bladder/Urethra: The urinary bladder is small in size, homogeneous soft tissue, and smoothly marginated.
Peritoneum: Peritoneal detail is adequate.
Gastrointestinal tract: The stomach contains a moderate volume of heterogeneous soft tissue and gas.   Gas and soft tissue tissue are in the pylorus in the left lateral image.  The stomach is within normal limits for size.
The small intestine contains mild gas, soft tissue material, and fluid or is empty with a subjectively uniform population for size. 
The colon contains mild heterogeneous soft tissue material and gas.  The colon is within normal limits for size.  
Musculoskeletal: The included musculoskeletal structures are normal.</t>
  </si>
  <si>
    <t>1. Gastric material from recent meal versus gastritis/delayed gastric emptying, or less likely pyloric outflow tract obstruction (partially or unlikely complete).
2. Non-specific small intestinal appearance due to enteritis versus variation of normal.
- There is no current evidence of gastrointestinal mechanical ileus.
- Differential diagnoses include dietary indiscretion, toxin ingestion, diet/antibiotic responsive disease, inflammatory bowel disease, pancreatitis, occult systemic disease or unlikely other.
3. Slight microhepatia versus artifact/individual variation of normal.
- If present, consider occult portosystemic shunt, or unlikely chronic hepatitis/cirrhosis or other.</t>
  </si>
  <si>
    <t xml:space="preserve">Consider routine blood work, bile acid testing, GI panel and empirical deworming/fecal analysis.  Empirical therapy and supportive care for gastroenteritis in the interim.  Consider orthogonal radiographs after 8-12 hours of fasting to monitor for passage of gastric material. Abdominal ultrasonography may be contributory for further evaluation if signs fail to improve and other diagnostics are inconclusive.   Consider fungal serology given patient possible exposure history.  Monitoring as directed.  </t>
  </si>
  <si>
    <t xml:space="preserve">
1.The evaluation has a strong suspicion of pulmonary nodules or mass lesion being present._x000D_
2.The cardiac silhouette size is normal._x000D_
3.There is no evidence of ALVEOLAR PATTERN, PERIHILAR INFILTRATE or DYNAMIC AIRWAY COLLAPSE or BRONCHIECTASIS._x000D_
4.A moderate bronchial pattern has been detected.</t>
  </si>
  <si>
    <t>Study:_x000D_
Thoracic and abdominal radiography: five images dated September 24, 2024_x000D_
_x000D_
Findings:_x000D_
The cardiac silhouette is normal in size and shape (VHS approximately 10.5). The pulmonary vasculature is normal in size. The pulmonary parenchyma is unremarkable. The pleural space is normal. There is no intrathoracic lymphadenopathy. There is an indistinct broad-based soft tissue opaque band superimposed with the dorsal aspect of the cervical trachea lumen on the lateral projections representing either a redundant dorsal tracheal membrane or superimposition of the esophagus. The trachea is normal in diameter. There is no esophageal dilation. The abdominal serosal detail is normal.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There is no prostatomegaly. There is mild to moderate multifocal thoracolumbar spondylosis deformans. Moderate periarticular bone formation is present at the caudodistal aspect of the femoral head and infraglenoid process of the scapula bilaterally. Mild periarticular bone formation is present at the cranioproximal aspect of the left radial head. The patient is of overweight body condition. There is a small lipomatous mass in the subcutaneous tissues of the cranioventral abdomen.</t>
  </si>
  <si>
    <t>1. Normal thorax. There is no radiographic evidence of heart disease. Consider echocardiography for further evaluation of the reported heart murmur._x000D_
2. Unremarkable abdomen._x000D_
3. Moderate bilateral shoulder and mild left elbow osteoarthrosis.</t>
  </si>
  <si>
    <t>6 views of the thorax and abdomen are submitted for review._x000D_
In the abdomen, there is generalized decreased serosal detail.  A large ill-defined mass effect is noted in the cranial abdomen.  The small bowel contains a mild amount of gas.  Formed stool is noted in the colon.  The unobscured margins of the renal silhouettes and urinary bladder are normal.  The head of the spleen appears normal in size and shape on the VD view._x000D_
In the thorax, the cardiac silhouette and pulmonary vasculature are within normal limits.  A medium sized soft tissue opacity nodule is noted in the dorsal thorax on the lateral views.  There is ill-defined increased opacity in the cranial mediastinal region on the lateral views and widening of the cranial mediastinum on the VD view.  No pleural effusion is noted.  The trachea is normal._x000D_
No aggressive bony changes are seen.</t>
  </si>
  <si>
    <t>Large mass effect in the cranial abdomen with moderate peritoneal effusion.  Differentials include neoplasia arising from the spleen or liver or possibly the GI tract.  The peritoneal effusion could be associated with inflammation, hemorrhage, or other paraneoplastic effusion._x000D_
The nodule in the cranial thorax is consistent with pulmonary metastatic disease.  There is also suspicion for cranial mediastinal lymphadenopathy which would also be concerning for metastatic disease.</t>
  </si>
  <si>
    <t>An abdominal ultrasound and ultrasound of the cranial mediastinal region is recommended for further evaluation.</t>
  </si>
  <si>
    <t xml:space="preserve">
1.A minimal bronchointerstitial pulmonary pattern has been detected._x000D_
2.The cardiac silhouette size is normal.</t>
  </si>
  <si>
    <t>Three radiographs of the thorax and three views of the abdomen are provided. The cardiac silhouette and pulmonary vessels are normal size and shape. The lungs are clear. No esophageal dilation. The trachea is normal diameter._x000D_
_x000D_
In the abdomen the prostate is moderately enlarged consistent with the reproductive status of this patient. There is no effusion. Small volume gas in the stomach. Small and large bowel are minimally filled. There is faint stippled mineral density in the cranial abdomen on the lateral views, likely located in the proximal colon. No severe intestinal distention. Normal-sized liver, spleen. The kidneys are incompletely visible. No osseous abnormalities.</t>
  </si>
  <si>
    <t>Stippled mineral density in the cranial abdomen is most likely feces in the proximal colon. Foreign material in small bowel causing partial obstruction is not definitively ruled out. There is no severe intestinal distention to suggest complete obstruction. The thorax is normal.</t>
  </si>
  <si>
    <t>If the patient does not improve with supportive care, consider either an upper GI series or strictly fasted abdominal ultrasound.</t>
  </si>
  <si>
    <t>Orthogonal radiographs of the thorax, and four views of the thoracic limbs are provided. The cardiac silhouette and pulmonary vessels are normal size. There are no abnormalities in the pulmonary parenchyma. No pleural effusion or intrathoracic lymphadenomegaly. Adequate tracheal diameter. In the cranial abdomen there is scant mineral opaque debris in the stomach, incidental. Scapular contour and opacity is normal. No cervical spinal abnormalities. No abnormalities in the cubital or carpal joints. The distal diaphysis and metaphysis of the left 3rd metacarpal bone is widened, with teardrop-shaped lucency overlying the distal metaphysis. Probable previous oblique fracture extending from proximal axial to distal abaxial aspect of this metacarpal bone. On the lateral view there is a moderate amount of smooth uninterrupted periosteal proliferation on the dorsal aspect of this area. On the dorsopalmar projection there is mild widening of the adjacent axial margin of the distal 4th metacarpal bone. On the lateral view there is mild soft tissue thickening dorsal to the distal left metacarpal region. No radiopaque foreign material or gas within the swelling. No other distal limb abnormalities on the left or in the contralateral limb.</t>
  </si>
  <si>
    <t>1. Changes in the distal left 3rd and 4th metacarpal bone that is most consistent with a previous fracture. Subsequent mild case of osteomyelitis and/or small radiolucent foreign material within a previous wound causing the inflammatory thickening and fluid should be considered. A neoplastic process is given much lesser consideration._x000D_
2. Normal thorax.</t>
  </si>
  <si>
    <t>If the swelling and lameness persists, histopathology may be necessary.</t>
  </si>
  <si>
    <t>Three orthogonal thoracic radiographs dated 24th September 2024 are available for review. There are no previous radiographs available for comparison. _x000D_
_x000D_
Airway findings: The cervical and thoracic trachea have a normal size, outline and position. The carina, tracheal bifurcation and mainstem bronchi are normal. Caudal dorsal to the tracheal bifurcation there is a large smoothly marginated spherical soft tissue opacity. Surrounding spherical soft tissue opacity there is interstitial opacification. There is likely some compression of one of the mainstem bronchi. The remainder of the lung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 The soft tissue opacity may be mediastinal._x000D_
_x000D_
Musculoskeletal findings: No significant abnormalities are detected._x000D_
_x000D_
Included abdomen: No significant abnormalities are detected.</t>
  </si>
  <si>
    <t>1. Differentials include severe tracheobronchial lymphadomegaly (consider primary or metastatic lymphoma, other metastatic disease, less likely reactive lymphadomegaly). Left atrial dilation is considered highly unlikely. A primary bronchial adenocarcinoma is possible. The coughing is most likely secondary to bronchial compression.</t>
  </si>
  <si>
    <t>Complete bloodwork, thoracic CT or ultrasound with aspirates if a peripheral lesion identified, and abdominal ultrasound are recommended for further staging.</t>
  </si>
  <si>
    <t>Three radiographs of the thorax are provided. The cardiac silhouette and pulmonary vessels are normal size and shape. There are mild age-related changes in the lungs. No soft tissue pulmonary nodules or pleural effusion. Curved increased opacity to the left of the heart on the VD view (the laterality marker located on the right side of his patient on this view) is caused by ventral extrathoracic lipomatous lesion that is likely incidental. There is no effusion. Normal tracheal diameter and position. Two small subcutaneous soft tissue opaque nodules dorsal to be mid thoracic spine are likely incidental granulomas. Cervical vertebral alignment is normal. The C4-5 intervertebral disc is mildly narrowed. No vertebral endplate lysis. Several punctate mineral densities between the mid cervical spine and distal right thoracic limb on the VD view is not confirmed on the lateral projections and is likely superficial debris.</t>
  </si>
  <si>
    <t>The appearance of C4-5 is suggestive of a protruding/extruded intervertebral disc. Such a lesion at this or another site is the most likely cause for discomfort. No intrathoracic abnormalities.</t>
  </si>
  <si>
    <t>If the patient does not improve with supportive care and/or has significant neurologic deficits, consultation with a neurologist and advanced spinal imaging with CT/MRI would be recommended.</t>
  </si>
  <si>
    <t xml:space="preserve">
1.A mild bronchointerstitial pulmonary pattern and minimal dynamic airway disease have been detected._x000D_
2.Mild cardiomegaly has been detected but Heart Failure is NOT suspected._x000D_
3.Are respiratory signs present? If NO._x000D_
4.Are respiratory signs present? If NO._x000D_
5.MILD BRONCHOINTERSTITIAL PULMONARY PATTERN; MILD DYNAMIC AIRWAY DISEASE; MINIMAL PERIHILAR INFILTRATE._x000D_
6.MILD BRONCHOINTERSTITIAL PATTERN; MILD PERIHILAR INFILTRATE._x000D_
7.Based on the AI airway/pulmonary findings, the probability of this patient having clinically detectable respiratory signs is LOW to MEDIUM (25%-50%)_x000D_
8.Based on these AI airway/pulmonary findings, the probability of this patient having clinically detectable respiratory signs is MEDIUM (50%)_x000D_
9.Are respiratory signs present? If YES._x000D_
10.Are respiratory signs present? If YES._x000D_
11.Minimal dynamic airway disease has been detected.</t>
  </si>
  <si>
    <t>Patient Name : Roadie Hicks, Date of study: Sep 23, 2024
3 images are provided for review
Canine Thorax (3 Images) - 2 Lateral, 1 Vd
Prior images of the abdomen dated January 9, 2024 are available.
Pulmonary parenchyma: A minimal to mild diffuse bronchial pattern is present.
Pulmonary vasculature: The pulmonary vasculature is subjectively normal in size and tapers in the periphery of the lungs.
Cardiac silhouette: The cardiac silhouette is moderate to severely tall and occupies over 2/3 the height of the thorax, with dorsal tracheal displacement.  The caudodorsal margin of the cardiac silhouette is enlarged and rounded in the lateral images.   Rounded increased soft tissue is in the region of the left atrium in the oblique ventrodorsal image.
Mediastinum: The cranial mediastinum is normal.
Trachea: The trachea is normal.
Esophagus: The esophagus is not well-identified.
Pleural space: The pleural space is normal.
Musculoskeletal: The included musculoskeletal structures are normal.
Cranial abdomen:  Mineral is over the cranioventral liver in the lateral images.</t>
  </si>
  <si>
    <t>1. Moderate-severe left-sided cardiomegaly such as from myxomatous mitral valvular disease and insufficiency, or unlikely other.
-There is no current evidence of left-sided congestive heart failure.
2. Minimal to mild diffuse bronchial pulmonary pattern due to fibrosis from prior disease, age-related changes, infectious/immune-mediated lower airway disease, or unlikely other.</t>
  </si>
  <si>
    <t xml:space="preserve">
1.MILD BRONCHOINTERSTITIAL PULMONARY PATTERN; MINIMAL to MILD PERIHILAR PATTERN._x000D_
2.Based on the AI airway/pulmonary findings, the probability of this patient having clinically detectable respiratory signs is LOW (25%)_x000D_
3.In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4.Moderate cardiomegaly has been detected but Heart Failure is NOT suspected._x000D_
5.In the PRESENCE of respiratory signs, low grade active pneumonitis (allergic, bacterial, parasitic (including heartworm disease), inhaled allergen or toxin) or upper airway disease causing pulmonary hypoinflation and/or recurrent microaspiration may be more likely.</t>
  </si>
  <si>
    <t>Patient Name : Luna Cantu, Date of study: Sep 23, 2024
7 images are provided for review
There are no previous radiographs for comparison.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and admixed soft tissue material.  Mild small metal foci are admixed with gastric content.  Soft tissue material and mineral/metal content are in the pylorus in the left lateral and ventrodorsal images.   The stomach is within normal limits for size.
The small intestine contains minimal gas and mild fluid or is empty with a subjectively uniform population for size. 
The colon contains mild admixed soft tissue material and gas.  Mild mineral/metal material ias admixed with colon content.  The colon is within normal limits for size.  
Musculoskeletal: L3-4 and L4-5 spondylosis deformans is present.  The remaining included musculoskeletal structures are normal.</t>
  </si>
  <si>
    <t>1. Persistent pyloric material due to pyloric outflow tract obstruction versus gastritis/delayed gastric emptying.
2. Non-specific small intestinal appearance such as from enteritis, individual variation of normal.
- There is no current evidence of small intestinal mechanical ileus.
- Differential diagnoses include dietary indiscretion, versus other.
3. Minimal colonic mineral/metal material due to dietary indiscretion and passage of foreign material, with/without colitis.</t>
  </si>
  <si>
    <t>Empirical therapy for gastritis/enteritis and dietary indiscretion in the interim as needed.  Consider repeat abdominal radiographs after 8-12 hours of fasting and empirical therapy to monitor for passage of gastric material.  If gastric content is persistent, consider gastroscopy for further evaluation/retrieval of foreign material as needed.  Consider GI panel, fecal analysis/empirical deworming if not recently performed.  Consider abdominal ultrasonography if clinical signs fail to improve or worsen and repeat radiographs are inconclusive.</t>
  </si>
  <si>
    <t xml:space="preserve">
1.The cardiac silhouette size is normal._x000D_
2.There is no evidence of BRONCHITIS, PERIHILAR INFILTRATE, DYNAMIC AIRWAY COLLAPSE or BRONCHIECTASIS or PLEURAL EFFUSION._x000D_
3.A moderate interstitial to alveolar pattern has been detected.</t>
  </si>
  <si>
    <t>Patient Name : Kiwi  Garcia, Date of study: Sep 23, 2024
7 images are provided for review
There are no previous radiographs for comparison.
Pulmonary parenchyma: A minimal to mild diffuse bronchial and interstitial pattern is present.
Pulmonary vasculature: The pulmonary vasculature is subjectively normal in size and tapers in the periphery of the lungs.
Cardiac silhouette: The cardiac silhouette has a slightly flat caudodorsal margin.
Mediastinum: The cranial mediastinum is normal.
Trachea: The trachea is normal.
Esophagus: The esophagus is not well-identified.
Pleural space: The pleural space is normal.
Musculoskeletal: The included musculoskeletal structures are normal.</t>
  </si>
  <si>
    <t>1. Equivocal left atrial enlargement or less likely given reported murmur, artifact from phase of the cardiopulmonary cycle/patient positioning. 
- Consider evolving myxomatous mitral valvular disease and insufficiency, or less likely other.
- There is no current evidence of left-sided congestive heart failure.
2. Mild diffuse bronchial and interstitial pulmonary patterns.
- Differential diagnoses include fibrosis from prior disease, age-related changes, infectious/immune-mediated lower airway disease, inhaled allergen/irritant, or unlikely other.</t>
  </si>
  <si>
    <t>Consider echocardiography, eCg and blood pressure, especially given reported murmur.  Consider respiratory PCR panel, airway sampling, and fecal analysis/deworming for further evaluation of coughing.  Empirical therapy and supportive care in the interim as needed.    Monitoring as directed or sooner if clinical signs acutely change, fail to improve or worsen.</t>
  </si>
  <si>
    <t>Thorax. Four radiographs of the thorax (two lateral, one VD, one DV) dated September 23, 2024 are provided.
Cardiac silhouette: The cardiac silhouette is normal in size and shape.
Pulmonary vessels: The pulmonary arteries and veins are normal in size and are symmetrical.
Pulmonary parenchyma: There is a mild diffuse bronchial pattern. There is no evidence of nodules or masses.
Pleural space: The pleural space is within normal limits.
Mediastinum: The mediastinum is normal in width and opacity. There is no evidence of intrathoracic lymphadenopathy.
Trachea: There is a thin band of soft tissue opacity superimposed with the dorsal aspect of the trachea, cranial to the thoracic inlet.
Esophagus: The region of the esophagus is within normal limits.
Cranial abdomen: There is adequate serosal detail in the cranial abdomen.
Musculoskeletal: There is moderate spondylosis deformans of T13-L1 and L1-2.</t>
  </si>
  <si>
    <t xml:space="preserve">1. Mild diffuse bronchial pattern such as from infectious/immune-mediated lower airway disease (mycoplasma spp., bordetella spp., parasitism such as lung worms, or inhaled allergen/irritant) or chronic bronchitis.
2. Thin dorsal redundant tracheal membrane versus superimposed esophagus.
3. Normal cardiovascular structures. A cardiogenic cough is not suspected. </t>
  </si>
  <si>
    <t>Consider respiratory PCR panel, airway sampling (wash, lavage), and Baermann fecal analysis.  Empirical therapy and supportive care in the interim as needed. Monitoring as directed or sooner if clinical signs acutely change, fail to improve or worsen.</t>
  </si>
  <si>
    <t xml:space="preserve">
1.A mild bronchointerstitial pulmonary pattern and minimal perihilar infiltrate have been detected._x000D_
2.The cardiac silhouette size is normal.</t>
  </si>
  <si>
    <t xml:space="preserve">Patient Name: Bella Rubic, Date of study: Sep 23, 2024
3 images are provided for review
Canine Thorax (3 Images) - 2 Lateral, 1 VD
There are no previous radiographs for comparison.
Thorax:
Airway/pulmonary parenchyma: The lungs are hypoinflated. The lung parenchyma appears diffusely lucent secondary to oligemia. On the right lateral and VD projections, a focal alveolar infiltrate affects the left cranial lung lobe. Mild lobar bronchial dilation is also present centrally. 
On the VD projection, oval opacities overlie the 2nd intercostal space bilaterally which likely represent end-on nipple shadows. No conclusive soft tissue pulmonary nodules are noted. Tracheal elevation is present on the lateral projections secondary to the cardiomegaly. 
Cardiovascular: Moderate cardiomegaly, with both left and right sided enlargement. Caudal pulmonary artery enlargement on the VD projection, CVC distention and moderate to severe left auricular enlargement are also present. The aortic root is enlarged on the right lateral projection but no typical soft tissue bulge is noted associated with the aorta or pulmonary artery in cases of PDA. On the lateral projections, the pulmonary vasculature to the cranial thorax is decreased in size. 
Mediastinum: On the VD projection, a soft tissue opacity overlies the left cranial aspect of the cardiac silhouette which appears to be a caudal extension of the cranial mediastinum in the region where the thymus normally resides.
Pleural space: Thin pleural fissure lines overlie the heart on the lateral projection. 
Cranial abdomen: Liver size is at the upper limits of normal. On the left lateral projection, the caudoventral liver margin has a focal convexity and the descending duodenum is both gas filled and has a rigid appearance. Mineralization is noted in the craniodorsal abdomen, in the region of the kidneys.
Msk: C5-6 and L1-2 chronic IVDD are present. No end-plate or vertebral lysis is noted. </t>
  </si>
  <si>
    <t>1) Moderate cardiomegaly with both left and right sided enlargement. Ddx: congenital left to right shunt VSD or less likely, PDA, that is now right to left is suspected. 
2) Soft tissue opacity overlying the left cranial cardiac margin on the VD projection. Thymic enlargement is the primary consideration. Vessel enlargement from the aorta or pulmonary artery are secondary considerations. 
3) Left cranial thoracic aspiration pneumonia. This finding along with the potential for thymic enlargement raises concern for myasthenia gravis secondary to thymoma resulting in aspiration pneumonia. The other consideration is GI disease, potentially proximal duodenal disease, causing vomiting and resulting in aspiration pneumonia.
4) No conclusive pulmonary nodules noted. Thin pleural fissure lines. Rule out a component of right heart failure.
5) Mineralization in the craniodorsal abdomen, in the region of the kidneys. Ddx: renal mineralization vs. less suspected, adrenal mineralization. 
6) C5-6 and L1-2 chronic IVDD. No end-plate or vertebral lysis noted.</t>
  </si>
  <si>
    <t>Treatment for aspiration pneumonia and pancreatitis. Cardiac ultrasound, ECG and systemic blood pressure evaluation prior to anesthesia. 
Pending lab work results, consider abdominal ultrasound +/- pancreatic testing.</t>
  </si>
  <si>
    <t xml:space="preserve">
1.Are respiratory signs present? If NO._x000D_
2.MODERATE BRONCHOINTERSTITIAL PULMONARY PATTERN; MILD PERIHILAR INFILTRATE; MILD DYNAMIC AIRWAY DISEASE; ATELECTASIS or less likely, pneumonia._x000D_
3.Based on the AI airway/pulmonary findings, the probability of this patient having clinically detectable respiratory signs is MEDIUM to HIGH (50%-75%)_x000D_
4.Are respiratory signs present? If YES._x000D_
5.Severe cardiomegaly has been detected but Heart Failure is NOT suspected.</t>
  </si>
  <si>
    <t>Patient Name : Bonnie Ramirez-Garcia, Date of study: Sep 23, 2024
7 images are provided for review
There are no previous radiographs for comparison.
Pulmonary parenchyma: A minimal diffuse bronchial pattern is present.  A ventral extra-thoracic nodule superimposes over the left caudal thorax in the ventrodorsal image.
Pulmonary vasculature: The pulmonary vasculature is subjectively normal in size and tapers in the periphery of the lungs.
Cardiac silhouette: The cardiac silhouette is  tall and occupies 2/3 the height of the thorax.  The trachea is dorsally displaced.  The caudodorsal margin of the cardiac silhouette is flattened.  Rounded increased soft tissue is in the region of the left atrium in the ventrodorsal image.  
Mediastinum: The cranial mediastinum is normal.
Trachea: The trachea is normal.
Esophagus: The esophagus is not well-identified.
Pleural space: The pleural space is normal.
Musculoskeletal: The included musculoskeletal structures are normal.</t>
  </si>
  <si>
    <t>1. Mild left-sided cardiomegaly such as from myxomatous mitral valvular disease and insufficiency.
- No current evidence of left-sided congestive heart failure.  
2. Minimal diffuse bronchial pulmonary pattern due to infectious/immune-mediated lower airway disease (such as from bordetella spp., mycoplasma spp., or parasitism such as lung worms), or less likely other.</t>
  </si>
  <si>
    <t>Echocardiography, eCG and blood pressure for further evaluation.  Consider routine blood work, and urinalysis for further evaluation if not recently performed.  Monitoring as directed, or sooner if clinical signs acutely change, fail to improve or worsen.</t>
  </si>
  <si>
    <t xml:space="preserve">
1.Minimal cardiomegaly has been detected but Heart Failure is NOT suspected._x000D_
2.There is no evidence of INTERSTITIAL or ALVEOLAR PATTERN, BRONCHITIS, DYNAMIC AIRWAY COLLAPSE or BRONCHIECTASIS, PULMONARY NODULES or PLEURAL EFFUSION.</t>
  </si>
  <si>
    <t>Cardiomegaly WITHOUT Heart Failure While Cardiomegaly is present, a perihilar/caudodorsal pulmonary opacity indicative of heart failure has NOT been detected. Cardiac evaluation is recommended prior to anesthesia. Consider judicious fluid use and cardiosparing induction medications. Lung and airway disease have not been detected.</t>
  </si>
  <si>
    <t>Patient Name : Khalifa Najera, Date of study: Sep 23, 2024
3 images are provided for review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slight soft tissue band superimposes over the dorsal aspect of the cervical trachea.  
Esophagus: The esophagus is not well-identified.
Pleural space: The pleural space is normal.
Musculoskeletal: T5-6 spondylosis deformans is present.  The remaining included musculoskeletal structures are normal.</t>
  </si>
  <si>
    <t>1. Minimal-mild diffuse bronchial pulmonary pattern.
- Differential diagnoses include infectious/immune-mediated lower airway disease such as from mycoplasma spp., bordetella spp., parasitism, inhaled allergen/irritant, and/or fibrosis from prior disease, age-related changes, or unlikely other.
2. Redundant dorsal tracheal membrane with/without underlying dynamic airway disease, versus superimposed normal structures.</t>
  </si>
  <si>
    <t>Consider tracheoscopy/bronchoscopy/fluoroscopy, respiratory PCR panel, airway sampling, and fecal analysis/empirical deworming for further evaluation.  Empirical therapy and supportive care in the interim as needed.  Monitoring as directed or sooner if clinical signs acutely change, fail to improve or worsen.</t>
  </si>
  <si>
    <t>Patient Name : Mak Armstrong, Date of study: Sep 23, 2024
5 images are provided for review
Previous images dated [09/17/2024 Case#2763009] are available for comparison.
Liver: The liver is subjectively normal in size.
Spleen: The spleen is prominent in the mid-ventral abdomen, and has slightly undulant margins.
Kidneys: The left kidney is normal.  The right kidney is obscured without obvious enlargement or mineral.
Retroperitoneum:  Ill-defined increased soft tissue is suspected in the caudal retroperitoneum in the region of the sublumbar lymph nodes.  Retroperitoneal detail is adequate.
Urinary bladder/Urethra/Reproductive:  Lobular soft tissue is in the caudal and ventral abdomen, presumably the prostate gland and urinary bladder.  This is possibly tri-lobed in the most caudal positioned lateral image.  Possible ill-defined mineral is over the region of the prostate gland in this image.
Peritoneum:   Mild fluid opaque striations are admixed with caudal abdominal peritoneum.
Gastrointestinal tract: The stomach contains a moderate volume of gas and mild soft tissue material.  Gastric rugal folds are mildly prominent.   The stomach is within normal limits for size.
The small intestine contains fluid or is empty with a subjectively uniform population for size. 
The colon contains minimal soft tissue material and gas.  The colon is within normal limits for size.  
Musculoskeletal: L3-4 and L7-S1 spondylosis deformans is present.  Moderate right stifle osteoarthrosis is suspected.  The remaining included musculoskeletal structures are normal.</t>
  </si>
  <si>
    <t>1. Suspicious lobular caudoventral abdominal soft tissue.
- This may represents the urinary bladder, prostate gland and possible paraprostatic cyst/abscess, versus prostatic or less likely urinary bladder/urethral mass(es), or least likely active involution secondary to recent orchiectomy, or a combination of these.
2.  Suspicious for minimal prostatic mineral versus artifact/superimposed normal structures.
- If present,  prostatic mineral is most suspicious for evolving neoplasia/primary carcinoma, but given an older patient and recent neuter history, prior injury/prostatic and mineral cannot be ruled out.
3. Mild caudal abdominal peritoneal fluid due to paraprostatic abscess versus evolving prostatic/caudal abdominal malignancy, or less likely secondary to reported recent orchiectomy or primary prostatitis/cystitis.
4. Suspicious for sublumbar lymphadenomegaly versus artifact from positioning/technique.
- If present, lymphadenomegaly is suspicious for evolving neoplasia such as from primary prostatic carcinoma or other.
5. Prominent spleen such as from splenitis, extramedullary hematopoiesis, lymphoid hyperplasia, passive congestion from sedation (if administered), or evolving neoplasia (metastatic or unlikely primary).
6. Gastric material due to recent meal and/or gastritis/delayed gastric emptying, or unlikely pyloric outflow tract obstruction.
7. Non-specific small intestinal and colon appearance such as from enteritis, colitis or recent bowel movement/variation of normal.
- There is no current evidence of gastrointestinal mechanical ileus.
- Differential diagnoses include dietary indiscretion, toxin ingestion, diet/antibiotic responsive disease, inflammatory bowel disease, pancreatitis, occult systemic disease or unlikely other.</t>
  </si>
  <si>
    <t>Consider abdominal computed tomography given size of this patient versus ultrasonography for further evaluation of the pelvic /caudal abdominal region.  Routine blood work and thoracic imaging (radiographs, computed tomography) if not recently performed.  Abdominocentesis and fluid analysis/cytology may be contributory.  If paraprostatic cyst/abscess is confirmed, consider surgeon consultation, celiotomy and debridement.  If a neoplasm/mass is confirmed, consider coagulation testing and tissue sampling.  Empirical therapy and supportive care in the interim as needed.  Monitoring as directed, or sooner if clinical signs acutely change, fail to improve or worsen.</t>
  </si>
  <si>
    <t xml:space="preserve">
1.PLEURAL EFFUSION or less likely, OVERLYING SKIN FOLDS MIMICKING PLEURAL FLUID; PULMONARY NODULAR PATTERN likely due to END ON PULMONARY VESSELS, PROMINENT COSTOCHONDRAL JUNCTIONS or OVERLYING CUTANEOUS NODULES; MILD BRONCHIAL PATTERN._x000D_
2.Based on these AI airway/pulmonary findings, the probability of this patient having clinically detectable respiratory signs is HIGH (75%)_x000D_
3.Pleural fissure lines or moderate to severe pleural effusion has been detected._x000D_
4.The evaluation has a strong suspicion of pulmonary nodules or mass lesion being present._x000D_
5.A mild bronchial pattern has also been detected._x000D_
6.The cardiac silhouette size is normal._x000D_
7.There is no evidence of ALVEOLAR PATTERN or DYNAMIC AIRWAY COLLAPSE or BRONCHIECTASIS.</t>
  </si>
  <si>
    <t>Three orthogonal thoracic radiographs dated 23rd September 2024 are available for review. There are no previous radiographs available for comparison. _x000D_
_x000D_
Airway findings: The trachea is elevated within the thorax. There is narrowing of the mainstem bronchi. There is widening of the tracheal bifurcation. Throughout the lung parenchyma there is a moderate interstitial opacification, most prominent in the perihilar region. In the right caudal dorsal lung field, there is a mild alveolar pattern. No nodules or masses are seen._x000D_
_x000D_
Cardiovascular findings: There is a large smoothly marginated soft tissue opacity contiguous with the caudal dorsal border of the cardiac silhouette. A smoothly marginated soft tissue opacity is superimposed on the caudal cardiac silhouette in the dorsoventral image. The overall cardiac silhouette is severely enlarged.  The cardiac silhouette occupies over 80% of the width of the thoracic volume. The cranial and caudal pulmonary vasculature are poorly visible. The caudal vena cava is enlarged._x000D_
_x000D_
Mediastinum and pleural space: No significant abnormalities are detected._x000D_
_x000D_
Musculoskeletal findings: No significant abnormalities are detected._x000D_
_x000D_
Included abdomen: No significant abnormalities are detected.</t>
  </si>
  <si>
    <t>1.Generalised cardiomegaly with pulmonary venous distension and cardiogenic pulmonary edema consistent with left sided or left and right sided congestive heart failure. Ddx: myxomatous degeneration of the mitral (+- tricuspid) valves with post-capillary pulmonary hypertension vs systolic dysfunction (DCM)._x000D_
2. The interstitial opacification is most likely due to cardiogenic pulmonary oedema. Lower airway infectious/inflammatory disease is less likely.</t>
  </si>
  <si>
    <t>Complete bloodwork if not already performed. Management for left sided congestive heart failure including diuretic therapy with oxygen support as needed. ECG and systemic blood pressure monitoring. Recommend repeat thoracic radiographs after 24-48 hours of therapy, sooner if clinically indicated. Continued monitoring of renal values and urinalysis._x000D_
Once stabilized, an echocardiogram is recommended.</t>
  </si>
  <si>
    <t xml:space="preserve">
1.SEVERE INTERSTITIAL TO ALVEOLAR PATTERN; MODERATE BRONCHIAL PATTERN; SEVERE DYNAMIC AIRWAY DISEASE._x000D_
2.Based on these AI airway/pulmonary findings, the probability of this patient having clinically detectable respiratory signs is VERY HIGH (&gt;75%)_x000D_
3.Are respiratory signs present? If YES._x000D_
4.AI linked collapsing airway disease treatment in dogs: https://platform.v2.vetology.net/doc/canine-tracheal-collapse-treatment_x000D_
5.Are respiratory signs present? If NO._x000D_
6.The evaluation has come up positive for a pulmonary nodular pattern._x000D_
7.A moderate perihilar infitlrate has been detected._x000D_
8.Pleural fissure lines or moderate to severe pleural effusion has been detected. An overlying skin fold or in an obese animal, excessive pericardial fat could artifactually mimic the result of severe pleural effusion._x000D_
9.Severe cardiomegaly has been detected but Heart Failure is NOT suspected.</t>
  </si>
  <si>
    <t>Three orthogonal thoracic radiographs dated 23rd May 2024 are available for review. There are no previous radiographs available for comparison. _x000D_
_x000D_
Airway findings: A smoothly marginated soft tissue opacity is present overlying the dorsal aspect of the trachea at the thoracic inlet. This opacity reduces approximately 50% of the dorsoventral diameter of the trachea. The intrathoracic trachea is normal.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In the ventrodorsal image, smoothly marginated mineral opacities are seen on the left side of the C2 vertebral body, likely the mineralised laryngeal cartilages. This is likely due to obliquity.</t>
  </si>
  <si>
    <t>The dorsal attenuation of the trachea is consistent with redundant trachealis membrane or overlying musculature. This is unlikely to be causing the clinical signs. An upper respiratory abnormality such as laryngitis is possible.</t>
  </si>
  <si>
    <t>An oral and upper respiratory examination is advised. human digits are visible in the central beam. Please adhere to ALARA principles for your own safety.</t>
  </si>
  <si>
    <t>Study:_x000D_
Thoracic and abdominal radiography: six images dated September 23, 2024_x000D_
_x000D_
Compared to prior study dated April 15, 2024_x000D_
_x000D_
Findings:_x000D_
There is progressive, now severe, cardiomegaly characterized by biventricular, left auricular and left atrial enlargement. The pulmonary vasculature is normal in size. On the lateral projections, there is a mild perihilar and caudodorsal unstructured interstitial pulmonary pattern. The pleural space is normal. There is no intrathoracic lymphadenopathy. The trachea is normal in diameter. The stomach contains unstructured heterogeneous soft tissue material presumed to be ingesta. The small intestines are normal in size, course and content. The colon contains formed fecal material. The hepatomegaly is similar to the prior examination. The spleen is normal in size and margin. The renal silhouette is normal in size and shape. The urinary bladder is normal in size and opacity. As previously noted, the C7, T 13 and L7 vertebrae are transitional. There is mild L1-L2 and severe L7-S1 spondylosis deformans. The severe left elbow periarticular new bone formation is unchanged from before. The multiple lipomatous masses along the ventrum are unchanged in size from before.</t>
  </si>
  <si>
    <t>1. Progressive biventricular cardiomegaly, suspect both mitral and tricuspid valve disease, with likely decompensated congestive heart failure/cardiogenic pulmonary edema. Recommend echocardiography for further evaluation. Diuretic therapy with repeat radiography to monitor for response to treatment should be considered in the interim._x000D_
2. Static mild nonspecific hepatomegaly. Rule out metabolic/vacuolar hepatopathy, hyperplasia, hepatitis or infiltrative neoplasia. Sonography can be considered for further evaluation._x000D_
3. Static severe left elbow osteoarthrosis.</t>
  </si>
  <si>
    <t xml:space="preserve">
1.A moderate interstitial to alveolar pattern with a concurrent mild bronchial pattern and dynamic airway disease has been detected._x000D_
2.Severe cardiomegaly has been detected but Heart Failure is NOT suspected._x000D_
3.Are respiratory signs present? If NO._x000D_
4.Pleural fissure lines or pleural effusion has been detected._x000D_
5.The evaluation has come up positive for a pulmonary nodular pattern._x000D_
6.Moderate dynamic airway disease has been detected._x000D_
7.MILD to MODERATE BRONCHOINTERSTITIAL PULMONARY PATTERN; PLEURAL FISSURE LINES or PLEURAL EFFUSION; NODULAR PULMONARY PATTERN which is likely due to overlying CUTANEOUS NODULES, END-ON VESSELS or MINERALIZED COSTOCHONDRAL JUNCTIONS._x000D_
8.Based on these AI airway/pulmonary findings, the probability this patient will have clinically detectable respiratory signs is MEDIUM (50%)_x000D_
9.Are respiratory signs present? If YES.</t>
  </si>
  <si>
    <t>Study:_x000D_
Thoracic radiography: three images dated September 23, 2024_x000D_
_x000D_
The study also contains three images of the abdomen which are not interpreted at the request of the submitting clinician._x000D_
_x000D_
Findings:_x000D_
There is moderate left ventricular, moderate to severe left auricular and moderate left atrial enlargement. The pulmonary vasculature is normal in size. The pulmonary parenchyma is unremarkable. The pleural space is normal. There is no intrathoracic lymphadenopathy. The trachea is normal in diameter. The left caudal lobar bronchus appears narrowed on the left lateral projection in comparison to the right lateral view. On the thoracic images, the stomach contains unstructured heterogeneous soft tissue material presumed to be ingesta. The remainder of the included abdomen on the thoracic images is unremarkable. No skeletal abnormalities are present.</t>
  </si>
  <si>
    <t>1. Moderate left-sided cardiomegaly, indicative of mitral valve disease, without evidence of decompensation. Echocardiography should be considered for further evaluation._x000D_
2. Suspect bronchomalacia and dynamic bronchial compression/collapse. Normal diameter the trachea does not exclude the positive concurrent tracheal collapse. Fluoroscopy can be considered for further evaluation.</t>
  </si>
  <si>
    <t xml:space="preserve">
1.MILD INTERSTITIAL to ALVEOLAR INFILTRATE; MILD PERIHILAR INFILTRATE._x000D_
2.Based on these AI airway/pulmonary findings, the probability of this patient having clinically detectable respiratory signs is MEDIUM (50%)_x000D_
3.Are respiratory signs present? If YES._x000D_
4.There is no evidence of DYNAMIC AIRWAY COLLAPSE or BRONCHIECTASIS._x000D_
5.Are respiratory signs present? If NO._x000D_
6.Mild cardiomegaly has been detected but Heart Failure is NOT suspected.</t>
  </si>
  <si>
    <t>A three-view study of the thorax and lateral views of the neck and head are provided._x000D_
_x000D_
No laryngeal/pharyngeal or tracheal abdomen always identified. No soft tissue swelling is seen in the pharyngeal region or neck. The cervical spine is unremarkable._x000D_
_x000D_
The cardiovascular structures are within normal limits. No pulmonary infiltrates or bronchial thickening identified. The heart is at the upper end of normal size range. No pleural effusion is seen.</t>
  </si>
  <si>
    <t>No significant anatomic abnormalities identified involving the neck or thorax.</t>
  </si>
  <si>
    <t>No radiographic findings that would explain the suspected change in breathing identified._x000D_
Conservative management is recommended. Follow-up radiographs or sedated laryngeal exam could be considered if clinical signs progress.</t>
  </si>
  <si>
    <t xml:space="preserve">
1.A diffuse, minimal to mild interstitial pulmonary pattern and minimal perihilar infiltrate have been detected._x000D_
2.The cardiac silhouette size is normal._x000D_
3.There is no evidence of DYNAMIC AIRWAY COLLAPSE or BRONCHIECTASIS, PULMONARY NODULES or PLEURAL EFFUSION.</t>
  </si>
  <si>
    <t>Four radiographs of the thorax are provided. The larynx is partially visible on the 2nd lateral view and no abnormalities are appreciated. The tracheal diameter and position is normal. No significant/persistent esophageal dilation. The left atrium margins are faintly visible on all views. Cardiac to thoracic ratio and pulmonary vessel size is normal. Increased opacity ventral to the heart on the right lateral view is incidental pleural fat deposition. There are no abnormalities in the pulmonary parenchyma. No pleural effusion. The cranial abdomen is unremarkable.</t>
  </si>
  <si>
    <t>Equivocal prominent left atrium, concerning for acquired mitral valve disease. In the absence of a murmur or arrhythmia, significance is doubtful. Otherwise normal thorax. A reason for the upper airway noise is not identified.</t>
  </si>
  <si>
    <t>Consider visual inspection of the oropharyngeal/laryngeal region.</t>
  </si>
  <si>
    <t xml:space="preserve">
1.A mild, diffuse mixed bronchointerstitial pattern with potential small regions of alveolar infiltrate has been detected._x000D_
2.The cardiac silhouette size is normal._x000D_
3.There is no evidence of PERIHILAR INFILTRATE, DYNAMIC AIRWAY COLLAPSE or BRONCHIECTASIS, PULMONARY NODULES or PLEURAL EFFUSION.</t>
  </si>
  <si>
    <t>Four orthogonal thoracic radiographs dated 23rd September 2024 are available for review. There are no previous radiographs available for comparison. _x000D_
_x000D_
Airway findings: There is alveolar opacification of the right middle lung lobe, and caudal aspect of the cranial right lung lobe. A lobar sign between the middle and caudal lung lobes is present. Mild bronchointerstitial opacification of the cranial lobess also present. The cervical and thoracic trachea have a normal size, outline and position. The carina, tracheal bifurcation and mainstem bronchi are normal. Multiple pulmonary osteomata are present._x000D_
_x000D_
Cardiovascular findings: There is partial border effacement of the cardiac silhouette. The visible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no evidence for significant pleural effusion. There is minimal gas in the cranial oesophagus._x000D_
_x000D_
Musculoskeletal findings: No significant abnormalities are detected._x000D_
_x000D_
Included abdomen: No significant abnormalities are detected.</t>
  </si>
  <si>
    <t>1. The findings are consistent with aspiration pneumonia/Lobar bronchopneumonia. The bronchointerstitial opacification is likely extension of disease.</t>
  </si>
  <si>
    <t>Treat empirically for aspiration pneumonia/pneumonia and repeat radiographs prior to end of therapy. Exclude laryngeal paralysis.</t>
  </si>
  <si>
    <t xml:space="preserve">
1.Are respiratory signs present? If YES._x000D_
2.MODERATE INTERSITIAL TO ALVEOLAR PATTERN; MINIMAL PERIHILAR INFILTRATE._x000D_
3.Based on these AI airway/pulmonary findings, the probability of this patient having clinically detectable respiratory signs is MEDIUM (50%)._x000D_
4.AI linked bacterial pneumonia treatment in dogs: https://platform.v2.vetology.net/doc/pneumonia-in-dogs-and-cats_x000D_
5.Are respiratory signs present? If NO._x000D_
6.The evaluation has come up positive for a pulmonary nodular pattern._x000D_
7.The cardiac silhouette size is normal._x000D_
8.There is no evidence of DYNAMIC AIRWAY COLLAPSE or BRONCHIECTASIS.</t>
  </si>
  <si>
    <t>Patient Name : Louie Caamano, Date of study: Sep 23, 2024
5 images are provided for review
There are no previous radiographs for comparison.
Cranial thorax is excluded.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included is normal.
Trachea: A soft tissue band partially superimposes over the caudal cervical trachea.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Urinary bladder/Urethra:   At least two, partially ill-defined and stellate urocystoliths are over the urinary bladder.  Ill-defined mineral is between these foci over the urinary bladder.  The urinary bladder is normal in size, and smoothly marginated.   Ill-defined mineral is possibly in the region of the penile urethra over the obturator foramen in the lateral image.
Reproductive:  The prostate gland is enlarged and well-defined with smooth margined and homogeneous soft tissue, just caudal to the urinary bladder.
Peritoneum: Peritoneal detail is adequate.
Gastrointestinal tract: The stomach contains a moderate volume of gas.  Gas is in the pylorus in the left lateral image.  The stomach is within normal limits for size.
The small intestine contains mild to moderate gas and mild fluid or is empty with a subjectively uniform population for size. 
The colon contains moderate heterogeneous admixed soft tissue material and gas.  The colon is within normal limits for size.  
Musculoskeletal: Minimal left coxofemoral joint osteoarthrosis is suspected.  The remaining included musculoskeletal structures are normal.</t>
  </si>
  <si>
    <t>1. Multiple urocystoliths and possible penile urethrolith versus artifact, with presumed underlying cystitis/urethritis
2. Prostatomegaly due to benign prostatic hyperplasia given intact patient status, and/or prostatitis.
3. Mild diffuse bronchial pulmonary pattern such as from fibrosis from prior disease, age-related changes, or unlikely infectious/immune-mediated lower airway disease, or unlikely other.
4. Non-specific gastrointestinal appearance due to normal variation or given reported history unlikely gastritis/enteritis.
5. Minimal left coxofemoral joint osteoarthrosis.</t>
  </si>
  <si>
    <t>Consider routine blood work, urinalysis and urine culture/sensitivity testing for further evaluation.  Consider repeat pelvic radiographs and/or contrast urethrography (radiographic versus computed tomography) for further evaluation of possible urethroliths versus other, and consider retropulsion if confirmed.  Ultrasonography for further evaluation of the urinary bladder and prostate gland may be contributory.  Cystotomy and urocystolith retrieval with mineral analysis for further evaluation.   Empirical therapy and supportive care in the interim as needed.  Monitoring as directed or sooner if clinical signs acutely change, fail to improve or worsen.</t>
  </si>
  <si>
    <t xml:space="preserve">
1.The cardiac silhouette size is normal._x000D_
2.There is no evidence of PULMONARY NODULES._x000D_
3.A severe alveolar pattern and mild perihilar pattern have been detected._x000D_
4.Pleural fissure lines or small volume pleural effusion has been detected. In a mildly overweight animal, excessive pericardial fat can artifactually mimic the result of minimal pleural effusion.</t>
  </si>
  <si>
    <t>Orthogonal views of the thorax and neck are provided. There are five images for comparison to the previous study dated 7-30-24. All the lateral views appear end expiratory._x000D_
_x000D_
No laryngeal abnormalities identified. The cervical trachea is unremarkable. There is mild distention of the cervical esophagus with soft-tissue dense content and a small volume of gas. There is mild dynamic narrowing of the trachea at the thoracic inlet. There is a ill-defined soft-tissue opacity obscuring the distal tracheal lumen, and severe narrowing of the lumbar bronchi. There is a mild interstitial pattern. This is exacerbated by the expiratory nature of the lateral views, but in the VD views the lungs appear within the limits of age related change. Heart size is borderline at the upper limit of normal range._x000D_
The liver is enlarged similar to previous radiographs. There is also a small foreign body compatible with a rock in the stomach that appears similar to the one seen in the previous studies.</t>
  </si>
  <si>
    <t>There is marked narrowing of the lobar bronchi and distal trachea in the lateral views. This is probably dynamic narrowing associated with expiration=ZZ90= all of these views are in expiratory. There is potential for a mucosal growth in the distal trachea or mural tracheal mass causing compression of the distal trachea, but this is less likely. A neutral or inspiratory thoracic view would be necessary to better define the nature of the opacity obscuring the distal trachea._x000D_
Heart size is borderline. No findings concerning for heart failure are identified.</t>
  </si>
  <si>
    <t>Chondromalacia with dynamic distal tracheal and lower airway collapse is suspected to be responsible for the coughing. A distal tracheal mass cannot be entirely excluded._x000D_
Symptomatic therapy is recommended._x000D_
Bronchoscopy is recommended for definitive diagnosis.</t>
  </si>
  <si>
    <t xml:space="preserve">
1.MILD to MODERATE BRONCHINTERSTITIAL PATTERN with ATELECTASIS or less likely, PNEUMONIA; MILD DYNAMIC AIRWAY DISEASE._x000D_
2.Based on these AI airway/pulmonary findings, the probability of this patient having clinically detectable respiratory signs is MEDIUM to HIGH (50-75%)_x000D_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6.Mild cardiomegaly has been detected but Heart Failure is NOT suspected.</t>
  </si>
  <si>
    <t>Three radiographs of the thorax and three views of the abdomen are provided. The cardiac silhouette and pulmonary vessels are normal size and shape. The lungs are clear. No pleural effusion or esophageal dilation. The trachea is normal diameter._x000D_
_x000D_
In the abdomen there is small volume gas in the stomach. Normal rugal folds are faintly visible. Small intestines are diffusely minimally distended with fluid. Small volume gas in the cecum and proximal colon, with formed feces in the distal descending colon. No radiopaque foreign material or severe intestinal distention. Serosal detail is normal.</t>
  </si>
  <si>
    <t>Normal thorax and abdomen. Gastroenteritis secondary to dietary indiscretion is most likely. There is no evidence of an obstructive process. Small radiolucent gastric foreign material is not definitively ruled out.</t>
  </si>
  <si>
    <t>If the patient does not rapidly improve with supportive care, options include either a positive contrast gastrogram, or strictly fasted abdominal ultrasound (as long as there is minimal gas in the stomach at the time of imaging).</t>
  </si>
  <si>
    <t xml:space="preserve">
1.The cardiac silhouette size is normal._x000D_
2.There is no evidence of ALVEOLAR PATTERN, PERIHILAR INFILTRATE, DYNAMIC AIRWAY COLLAPSE or BRONCHIECTASIS or PULMONARY NODULES._x000D_
3.A minimal bronchial pattern has been detected.</t>
  </si>
  <si>
    <t>Four radiographs of the thorax and abdomen are provided. The cardiac silhouette and pulmonary vessels are normal size and shape. No cardiac chamber enlargement. A mild bronchial pattern is present within the lungs consistent with age. No soft tissue pulmonary nodules or pleural effusion. Redundant dorsal trachealis membrane causes moderate narrowed cervical trachea on the left lateral view, of doubtful significance today. In the abdomen there is no effusion or organomegaly. The gastrointestinal tract is mildly filled. No radiopaque cystic calculi. Narrowed T13-L1 intervertebral disc space, of doubtful significance today.</t>
  </si>
  <si>
    <t>Normal thorax. There is no evidence of cardiovascular disease. A small valvular regurgitant jet can result in a relatively loud murmur. The abdomen is normal.</t>
  </si>
  <si>
    <t xml:space="preserve">
1.There is no evidence of BRONCHITIS, ALVEOLAR PATTERN, DYNAMIC AIRWAY COLLAPSE or BRONCHIECTASIS, PULMONARY NODULES or PLEURAL EFFUSION._x000D_
2.A mild perihilar infiltrate has been detected._x000D_
3.The cardiac silhouette size is normal.</t>
  </si>
  <si>
    <t>Four radiographs of the thorax, and six views of the abdomen are provided. The cardiac silhouette is normal size and shape. Pulmonary vessels are normal size. There is soft tissue opacity with air bronchograms in the ventral lungs bilaterally. Faint bronchial markings in the remaining lungs is normal for the age of this patient. There is no pleural effusion or esophageal dilation. Normal tracheal diameter._x000D_
_x000D_
In the abdomen the liver is mildly enlarged with smooth margins. Normal-sized spleen and kidneys. The gastrointestinal tract is minimally filled. No radiopaque cystic calculi. Mild osteoarthritis in both coxofemoral joints, of doubtful significance today.</t>
  </si>
  <si>
    <t>1. Bilateral ventral alveolar pattern most consistent with aspiration pneumonia. It is suspected the patient had aspiration pneumonia following/during the bout of infectious respiratory disease._x000D_
2. Mild hepatomegaly, a nonspecific finding that may be hepatopathy, acute inflammation, or neoplasia. This should be correlated with history and blood work. No other abdominal abnormalities.</t>
  </si>
  <si>
    <t>Recommend continue antibiotics.</t>
  </si>
  <si>
    <t xml:space="preserve">
1.Aspiration, bacterial pneumonia, atelectasis or recurrent microaspiration (brachycephalic dogs or laryngeal paralysis) causing lower airway inflammation with atelectasis or pneumonia is most likely._x000D_
2.A mild perihilar infiltrate has been identified._x000D_
3.A moderate to severe interstitial to alveolar infiltrate with a mild perihilar infiltrate has been identified._x000D_
4.Pleural fissure lines or moderate pleural effusion has been detected. An overlying skin fold or in a moderately overweight animal, excessive pericardial fat could artifactually mimic the result of moderate pleural effusion._x000D_
5.The cardiac silhouette size is normal._x000D_
6.SEVERE INTERSTITIAL TO ALVEOLAR PATTERN; PULMONARY NODULES or NODULAR PATTERN; MILD DYNAMIC AIRWAY DISEASE; MILD BRONCHITIS.</t>
  </si>
  <si>
    <t>Four survey radiographs of the vertebral column dated 23rd September 2024 are available for review. There are no previous radiographs available for comparison._x000D_
_x000D_
Vertebral column: The cervical vertebral column is normal. The vertebral body alignment is good. No mineral opaque material is seen within, or dorsal to the intervertebral disc spaces. The intervertebral disc width is within normal limits and the vertebral endplates are smooth. The thoracic and lumbar vertebral column is also normal. The lumbosacral junction and sacroiliac joints are also normal.</t>
  </si>
  <si>
    <t>Normal vertebral column. Occult intervertebral disease such as intervertebral disk protrusion or other spinal cord pathology including embolic (FCE), high velocity disk, inflammatory or neoplastic disease or degenerative myelopathy is not excluded .</t>
  </si>
  <si>
    <t>Full neurologic examination if not already performed. If no proprioceptive deficits or patients back pain is mild, consider treating for intervertebral disk disease/arthritis (exercise restriction, NSAIDs with supportive bloodwork, +/- multimodal analgesia). If no response to therapy, patient has proprioceptive deficits or is worsening in general, referral to a neurologist for discussion regarding feasibility of MRI vs. CT of the spine can be considered</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</si>
  <si>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4.Moderate cardiomegaly has been detected but Heart Failure is NOT suspected._x000D_
5.Are respiratory signs present? If NO._x000D_
6.There is no evidence of DYNAMIC AIRWAY COLLAPSE or BRONCHIECTASIS, PULMONARY NODULES or PLEURAL EFFUSION.</t>
  </si>
  <si>
    <t>Orthogonal radiographs of the thorax/abdomen are provided. The cardiac silhouette is normal size and shape. There is soft tissue opacity with faint air bronchograms in the mid ventral left lungs. There is a thin walled round 1.0 cm lucency overlying the mid heart on the right lateral view, not definitively seen on the VD projection. Mild bronchial pattern. No pleural effusion. Adequate tracheal diameter. In the abdomen there is no effusion or organomegaly. The gastrointestinal tract is minimally filled. Osseous structures are unremarkable.</t>
  </si>
  <si>
    <t>1. Ventral alveolar pattern on the left most consistent with aspiration pneumonia. Lobar collapse/fibrosis secondary to chronic insult is given much lesser consideration at this time. Possible bulla versus focal bronchiectasis causing the round lucent structure._x000D_
2. Normal abdomen.</t>
  </si>
  <si>
    <t>Antibiotics are recommended, with follow-up radiographs upon completion (VD and both lateral views) to ensure resolution of pneumonia.</t>
  </si>
  <si>
    <t xml:space="preserve">
1.SEVERE INTERSTITIAL TO ALVEOLAR INFILTRATE; CONCURRENT MODERATE BRONCHIAL PATTERN and MILD DYNAMIC AIRWAY DISEASE._x000D_
2.Based on these AI airway/pulmonary findings, the probability of this patient having clinically detectable respiratory signs is HIGH (75%)_x000D_
3.Are respiratory signs present? If YES._x000D_
4.The cardiac silhouette size is normal._x000D_
5.Are respiratory signs present? If NO._x000D_
6.Pleural fissure lines or moderate to severe pleural effusion has been detected. An overlying skin fold or in an obese animal, excessive pericardial fat could artifactually mimic the result of severe pleural effusion.</t>
  </si>
  <si>
    <t>Study:_x000D_
Thoracic radiography: five images dated September 23, 2024_x000D_
_x000D_
Compared to prior studies dated September 11, 2024 and August 26, 2024_x000D_
_x000D_
Findings:_x000D_
The cardiac silhouette is normal in size and shape. The pulmonary vasculature is normal in size. The pulmonary parenchyma is unremarkable and unchanged in appearance to the previous examinations. No alveolar disease is present. The pleural space is normal. There is no intrathoracic lymphadenopathy. The trachea is normal in diameter. The stomach contains unstructured heterogeneous soft tissue material presumed to be ingesta with interspersed granular mineral. The osseous structures are unremarkable.</t>
  </si>
  <si>
    <t>Unremarkable thorax. There is no evidence of bronchopneumonia. Patients can have infectious tracheobronchitis without radiographic changes.</t>
  </si>
  <si>
    <t>In the absence of any persistent clinical signs and a radiographically unremarkable thorax, no further rechecks are indicated. Repeat airway sampling and culture can be considered to ensure complete resolution of the infectious tracheobronchitis.</t>
  </si>
  <si>
    <t xml:space="preserve">
1.There is no evidence of INTERSTITIAL or ALVEOLAR PATTERN, BRONCHITIS, PERIHILAR INFILTRATE, DYNAMIC AIRWAY COLLAPSE or BRONCHIECTASIS or PULMONARY NODULES._x000D_
2.The cardiac silhouette size is normal.</t>
  </si>
  <si>
    <t>Patient Name : Charlie Maloney, Date of study: Sep 23, 2024
4 images are provided for review
There are no previous radiographs for comparison.
Pulmonary parenchyma:  Numerous well-defined round and ovoid, discrete and coalescing pulmonary nodules are present throughout the lungs.  The largest of these are in the left cranial and right caudal lung lobes.  A moderate diffuse bronchial and mild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Minimal bilateral shoulder osteoarthrosis is suspected.  The remaining included musculoskeletal structures are normal.</t>
  </si>
  <si>
    <t>1. Numerous pulmonary soft tissues nodules.
- Differential diagnoses include metastatic neoplasia from an occult primary malignancy or unlikely primary malignancy, or least likely granulomatous/fungal pneumonia such as from blastomycosis spp. or other, or unlikely other.
2. Moderate diffuse bronchial and mild interstitial pulmonary patterns.
- Differential diagnoses include atypical metastatic neoplasia, fibrosis from prior disease/age-related changes, infectious/immune-mediated lower airway disease or unlikely other.
3. Minimal bilateral shoulder osteoarthrosis.</t>
  </si>
  <si>
    <t>Consider computed tomography of the thorax for further evaluation.  Routine blood work and abdominal imaging to screen for occult systemic disease.  Oncologist consultation depending on results.  Empirical therapy and supportive care in the interim as needed.  Monitoring as directed or sooner if clinical signs acutely change, fail to improve or worsen.</t>
  </si>
  <si>
    <t xml:space="preserve">
1.A moderate perihilar infitlrate has been detected._x000D_
2.Based on these AI airway/pulmonary findings, the probability of this patient having clinically detectable respiratory signs is HIGH (75%)_x000D_
3.PLEURAL EFFUSION or less likely, OVERLYING SKIN FOLDS MIMICKING PLEURAL FLUID; PULMONARY NODULAR PATTERN likely due to END ON PULMONARY VESSELS, PROMINENT COSTOCHONDRAL JUNCTIONS or OVERLYING CUTANEOUS NODULES; MILD BRONCHIAL PATTERN._x000D_
4.Pleural fissure lines or moderate to severe pleural effusion has been detected._x000D_
5.A mild bronchial pattern has also been detected._x000D_
6.The evaluation has a strong suspicion of pulmonary nodules or mass lesion being present._x000D_
7.MODERATE INTERSTITIAL to ALVEOLAR INFILTRATE; MILD BRONCHIAL PATTERN._x000D_
8.Based on the AI airway/pulmonary findings, the probability of this patient having clinically detectable respiratory signs is HIGH (75%)_x000D_
9.Are respiratory signs present? If YES._x000D_
10.Are respiratory signs present? If NO._x000D_
11.The cardiac silhouette size is normal.</t>
  </si>
  <si>
    <t>Patient Name : Rosie Hays, Date of study: Sep 23, 2024
4 images are provided for review
Canine Thorax (4 Images) - 3 Lateral, 1 Vd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slight soft tissue band is over the dorsal cervical trachea in the right lateral image.
Esophagus: The esophagus is not well-identified.
Pleural space: The pleural space is normal.
Musculoskeletal: The included musculoskeletal structures are normal.</t>
  </si>
  <si>
    <t xml:space="preserve">1. Minimal-mild diffuse bronchial pulmonary pattern.
- Differential diagnoses include infectious/immune-mediated lower airway disease such as from mycoplasma spp., bordetella spp., parasitism, inhaled allergen/irritant, or less likely fibrosis from prior disease, age-related changes, or unlikely other.
2. Slight dorsal redundant tracheal membrane with/without underlying dynamic airway disease, versus superimposed normal structures.  </t>
  </si>
  <si>
    <t>Consider tracheoscopy/bronchoscopy/fluoroscopy, respiratory PCR panel, airway sampling, and fecal analysis for further evaluation.  Empirical therapy and supportive care as needed in the interim. Monitoring as directed or sooner if clinical signs acutely change, fail to improve or worsen.</t>
  </si>
  <si>
    <t xml:space="preserve">
1.A minimal interstitial pattern has been detected._x000D_
2.A minimal bronchial pattern has been detected._x000D_
3.The cardiac silhouette size is normal._x000D_
4.There is no evidence of PERIHILAR INFILTRATE, DYNAMIC AIRWAY COLLAPSE or BRONCHIECTASIS or PULMONARY NODULES.</t>
  </si>
  <si>
    <t>Study:_x000D_
Thoracic and abdominal radiography: five images dated September 23, 2024_x000D_
_x000D_
Findings:_x000D_
The cardiac silhouette is normal in size and shape. The pulmonary vasculature is normal in size. The pulmonary parenchyma is unremarkable. The pleural space is normal. There is no intrathoracic lymphadenopathy. The larynx is normal. The trachea is normal in diameter. There is a small volume of fluid in the caudal esophagus on multiple lateral projections. The abdominal serosal detail is normal. The stomach contains a small volume of gas. On the VD view, there is a smoothly marginated fragmented gas pattern in some small intestinal segments. The small intestines are normal in size and course. The colon contains a small volume of gas with a normal diameter. The liver is small with associated cranial rotation of the gastric axis. The spleen is normal in size and margin. The renal silhouettes are normal in size and contour. The urinary bladder is normal in size and opacity. The osseous structures are unremarkable.</t>
  </si>
  <si>
    <t>1. There is no radiographic evidence of heart disease. Consider echocardiography for further evaluation of the reported heart murmur._x000D_
2. Fluid in the caudal esophagus may be an incidental finding may indicate gastroesophageal reflux disease and/or esophagitis. An esophagogram and and endoscopy can be considered for further evaluation._x000D_
3. The smoothly marginated fragmented gas pattern seen in the small intestines on the VD view can be an indicator of nonspecific enteritis.There is no radiographic evidence of gastrointestinal foreign material or small intestinal mechanical obstruction. Abdominal sonography can be considered for further evaluation if clinical signs persist or worsen in spite of ongoing medical management._x000D_
4. In the absence of any liver enzyme abnormalities, the microhepatia is likely an individual normal variant. A vascular anomaly or chronic hepatitis/cirrhosis cannot be completely excluded but are unlikely in the absence of any ALT elevation.</t>
  </si>
  <si>
    <t xml:space="preserve">
1.MILD BRONCHIAL PATTERN; MILD PERIHILAR PATTERN._x000D_
2.Based on these AI airway/pulmonary findings, the probability of this patient having clinically detectable respiratorysigns is LOW (25%)_x000D_
3.Are respiratory signs present? If NO._x000D_
4.Are respiratory signs present? If YES._x000D_
5.The cardiac silhouette size is normal._x000D_
6.There is no evidence of ALVEOLAR PATTERN, DYNAMIC AIRWAY COLLAPSE or BRONCHIECTASIS, PULMONARY NODULES or PLEURAL EFFUSION.</t>
  </si>
  <si>
    <t>Six orthogonal survey radiographs of the thorax and abdomen dated 23rd September 2024 are available for review. There are no previous radiographs available for comparison. These images are submitted for assessment of the abdomen._x000D_
_x000D_
Abdomen: The hepatic silhouette is normal in size with smooth borders. The spleen is normal in shape, size and position. The kidneys are partially obscured by gastrointestinal contents, but the visible aspect are normal. The stomach contains some heterogenous soft tissue opaque material and has a normal axis. Some soft issue material is present in the region of the pylorus. The duodenum is mildly filled/mildly distended in the ventrodorsal image. The small intestines are variably filled with fluid/soft tissue opaque material and some gas. The descending colon contains poorly formed faeces. The urinary bladder is filled. There is mild loss of serosal detail in the region of the falciform fat._x000D_
_x000D_
Musculoskeletal findings: No significant abnormalities are detected. The patient is overweight.</t>
  </si>
  <si>
    <t>1. Relatively unremarkable abdomen. The loss of serosal detail in the cranial aspect of the abdomen and mildly filled duodenum raises suspicion of a pancreatitis. There is no evidence for a foreign body, or segmental obstruction.</t>
  </si>
  <si>
    <t>Supportive management including rehydration, gastroprotectants,  full blood work, faecal analysis if clinically indicated is advised, if not already performed. Repeat 3-view post fasting radiographs depending on clinical progression or consider an abdominal ultrasound. If vomiting continues without development of diarrhea, an upper GI contrast study may also be considered.</t>
  </si>
  <si>
    <t>A four view study of the thorax is provided for interpretation._x000D_
_x000D_
Bronchial markings overall are mildly increased relative to the age of the patient. No alveolar infiltrates or pulmonary nodules are seen. No tracheal abnormalities are identified. There is a subtle increase in opacity at the caudal heart base which appears to be associated with narrowing of the mainstem bronchi in the right lateral and DV views. The heart is within normal size limits. No pleural effusion is seen.</t>
  </si>
  <si>
    <t>There is a mild bronchial pattern. The appearance would be compatible with bronchitis or fungal pneumonia._x000D_
There is a subtle increase in opacity caudal to the tracheal bifurcation that is suspicious for mild hilar lymph node enlargement. However, the appearance is subtle enough as to be equivocal at this time._x000D_
_x000D_
Overall there is mild change that is suspicious for possible fungal pneumonia but not adequate to be considered diagnostic. Allergic vs. infectious causes of bronchitis should still be ruled out.</t>
  </si>
  <si>
    <t>Although there is some concern for fungal pneumonia, the radiographic appearance is equivocal at this time._x000D_
Antibiotic therapy could be considered pending results of fungal titers._x000D_
If fungal titers are negative, repeat fungal titers in one month is recommended._x000D_
Fungal panel to include other fungal disease is besides coccidioidomycosis should also be considered.</t>
  </si>
  <si>
    <t xml:space="preserve">
1.MODERATE INTERSTITIAL TO ALVEOLAR PATTERN; PULMONARY NODULES or NODULAR PATTERN; MILD BRONCHITIS_x000D_
2.Based on the AI airway/pulmonary findings, the probability of this patient having clinically detectable respiratory signs is MEDIUM (50%). A few (&lt;5) soft tissue pulmonary nodules may be present._x000D_
3.Are respiratory signs present? If YES._x000D_
4.The cardiac silhouette size is normal._x000D_
5.Are respiratory signs present? If NO._x000D_
6.The evaluation has detected soft tissue pulmonary nodules.</t>
  </si>
  <si>
    <t>Opposite lateral and VD views of the thorax and abdomen are provided._x000D_
_x000D_
There is a moderate diffuse interstitial pattern, with peribronchial infiltrates involving the smaller airways. No alveolar infiltrates or pleural effusion are identified. No tracheal abnormalities or thoracic lymphadenopathy are seen._x000D_
There is a slight reduction in abdominal serosal detail. The appearance of the GI tract is unremarkable. The uterus is not visible. There is subtle ill defined soft tissue opacity in the caudal sublumbar area that is suspicious for mild sublumbar lymph node enlargement. Slightly increased opacity is also present in the cranial dorsal abdomen caudal to the stomach. Ill defined soft tissue opacity is also present external to the abdomen in the inguinal region._x000D_
_x000D_
There is moderate lumbosacral spondylosis. No destructive bone lesions are identified.</t>
  </si>
  <si>
    <t>There is a moderate diffuse bronchointerstitial pattern. Primary rule outs would include infectious bronchitis, interstitial forms of pneumonia including fungal pneumonia, allergic or immune mediated lung disease, and lymphoreticular neoplasia such as lymphoma._x000D_
_x000D_
There is a slight reduction in abdominal detail and subtle increase soft tissue opacity in the area of sternal and mesenteric lymph nodes. These findings would be most compatible with systemic infectious/inflammatory disease or lymphoreticular neoplasia._x000D_
_x000D_
Primary rule outs for this patient would include fungal disease or other systemic infectious disease, lymphoreticular neoplasia, or immune mediated disease.</t>
  </si>
  <si>
    <t>FNA or biopsy of the subcutaneous lesions in the mammary and inguinal region described in the history is recommended._x000D_
_x000D_
Fungal panel should be considered._x000D_
Ultrasound of the abdomen should also be considered.</t>
  </si>
  <si>
    <t xml:space="preserve">
1.Based on these AI airway/pulmonary findings, the probability of this patient having clinically detectable respiratorysigns is LOW (25%)_x000D_
2.Are respiratory signs present? If YES._x000D_
3.Are respiratory signs present? If NO._x000D_
4.MILD BRONCHIAL PATTERN; MILD PERIHILAR PATTERN._x000D_
5.The cardiac silhouette size is normal._x000D_
6.There is no evidence of DYNAMIC AIRWAY COLLAPSE or BRONCHIECTASIS, PULMONARY NODULES or PLEURAL EFFUSION.</t>
  </si>
  <si>
    <t>Study:_x000D_
Thoracic and abdominal radiography: six images dated September 23,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small volume of gas with the pylorus appropriately gas-filled on the left lateral image.. The small intestines are normal in size, course and content. The colon contains formed fecal material with a normal diameter. The liver and spleen are normal in size and margin. The renal silhouettes are normal in size and contour. The urinary bladder is normal in size and opacity. Suture material from prior ovariohysterectomy is present caudal to each kidney, situated between the descending colon/urinary bladder and in the caudoventral abdominal body wall and subcutaneous fat. The osseous structures are unremarkable.</t>
  </si>
  <si>
    <t>1. Unremarkable abdomen. A cause of the reported bloody stool is not evident. Abdominal sonography can be considered for further evaluation if clinical signs persist or worsen in spite of medical management._x000D_
2. Normal thorax. There is no radiographic evidence of cardiopulmonary disease.</t>
  </si>
  <si>
    <t>Three radiographs of the thorax and of the abdomen are provided. The heart is a normal size and shape. There is fat deposition in the cranial mediastinum and ventral to the heart and lungs. The rounded lucent lung cranial to the heart on the right lateral view is incidental appearance of the left cranial lung lobe. No soft tissue pulmonary nodules or pleural effusion are present. The C2-3 and C6-7 intervertebral disc spaces are narrowed. Normal proximal thoracic limbs. In the abdomen the liver is mildly enlarged with smooth margins. Normal-sized spleen and kidneys. Blunted caudal lateral margin of the left kidney suggestive of previous infarct, likely incidental. There is gas and small volume soft tissue opaque ingesta in the stomach. The intestines are mildly filled. No radiopaque cystic calculi. No lumbar spinal abnormalities. There is moderate degenerative change in both coxofemoral joints, with poor coverage of the femoral heads by the dorsal acetabular rims. The left patella is medially displaced.</t>
  </si>
  <si>
    <t>1. The appearance of C2-3 and C6-7 may represent intervertebral disc disease. A lateralized lesion may be responsible for the clinical signs._x000D_
2. Mild hepatomegaly, a nonspecific finding that may be hepatopathy, acute inflammation, or neoplasia. This should be correlated with history and blood work._x000D_
3. Gastric contents appears to be normal ingesta. Foreign material causing gastritis and pyloric outflow obstruction is given lesser consideration._x000D_
4. Bilateral coxofemoral osteoarthritis with subluxation and medial patellar luxation on the left, of uncertain significance today.</t>
  </si>
  <si>
    <t>In addition to current diagnostics, also recommend cranial nerve assessment.</t>
  </si>
  <si>
    <t xml:space="preserve">
1.MILD BRONCHIAL PATTERN; MILD PERIHILAR PATTERN._x000D_
2.Based on these AI airway/pulmonary findings, the probability of this patient having clinically detectable respiratorysigns is LOW (25%)_x000D_
3.The cardiac silhouette size is normal._x000D_
4.There is no evidence of ALVEOLAR PATTERN, DYNAMIC AIRWAY COLLAPSE or BRONCHIECTASIS, PULMONARY NODULES or PLEURAL EFFUSION._x000D_
5.Are respiratory signs present? If YES._x000D_
6.Are respiratory signs present? If NO.</t>
  </si>
  <si>
    <t>Two orthogonal survey radiographs of the thorax and abdomen dated 23rd September 2024 are available for review. There are no previous radiographs available for comparison. _x000D_
_x000D_
Abdomen: The hepatic silhouette is normal in size with smooth borders. The spleen is normal in shape, size and position. The kidneys are partially obscured by gastrointestinal contents, but the visible aspect are normal. The stomach contains a moderate amount of kibble. The small intestines are variably filled with granular food material, fluid, and gas. The caecum is mildly gas distended. The colon has a normal position and contains gradually more formed faeces. The urinary bladder is small. The serosal detail is normal._x000D_
_x000D_
Musculoskeletal findings: No significant abnormalities are detected. _x000D_
_x000D_
Included thorax: No significant abnormalities are detected.</t>
  </si>
  <si>
    <t>Normal post-prandial abdomen. Pancreatitis is possible. A diffuse enteropathy such as IBD, food allergy, unlikely lymphoma is possible.</t>
  </si>
  <si>
    <t>Consider repeat 3 view abdominal series post fasting. Consider full abdominal ultrasound and CPL testing.</t>
  </si>
  <si>
    <t>Thorax: There is mild generalized cardiomegaly.  There is no evidence of cardiogenic pulmonary edema or pleural effusion.  There is mild diffuse bronchointerstitial pattern.  There is no evidence of lymphadenopathy.  The trachea is diffusely narrowed.</t>
  </si>
  <si>
    <t>Mild generalized cardiomegaly._x000D_
_x000D_
Diffuse bronchointerstitial pattern which may be age-related or bronchitis._x000D_
_x000D_
Hypoplastic trachea consistent with breed of patient.</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</si>
  <si>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3.Pleural fissure lines or small volume pleural effusion has been detected. In a mildly to moderately overweight animal, excessive pericardial fat can artifactually mimic the result of mild pleural effusion._x000D_
4.Mild cardiomegaly has been detected but Heart Failure is NOT suspected._x000D_
5.Are respiratory signs present? If YES._x000D_
6.Are respiratory signs present? If NO.</t>
  </si>
  <si>
    <t>Three radiographs of the thorax/abdomen are provided. Previous abdominal images dated 2/15/18 are available for comparison. The cardiac silhouette and pulmonary vessels are normal size. There are a few incidental pulmonary osteomas. No soft tissue pulmonary nodules or pleural effusion. Normal tracheal diameter. In the abdomen the stomach contains a large amount of fluid and moderate volume gas. Several punctate mineral densities in the stomach are of doubtful clinical significance. Serosal detail is adequate. Small bowel are mildly filled with a mixture of fluid and gas. Semi-formed feces fills the distal colon. Normal-sized spleen, kidneys, liver. No radiopaque cystic calculi. Mineral density overlying the L3-4 intervertebral foramen is of doubtful clinical significance today.</t>
  </si>
  <si>
    <t>Fluid-filled stomach, likely due to large volume water ingestion. Gastric stasis is given lesser consideration. Otherwise normal abdomen and thorax.</t>
  </si>
  <si>
    <t>If further evaluation of the abdomen is desired, fasted ultrasound would be recommended.</t>
  </si>
  <si>
    <t>6 images of the thorax and abdomen dated 9/21 and 9/23/2024 are presented for review.  The cardiovascular structures are normal.  There is moderate to severe bronchial pattern in all lung lobes.  No pulmonary nodules or enlarged intrathoracic lymph nodes are seen.  The pleural and mediastinal structures are normal.  There is no evidence of pneumothorax radiographically on either study.  Abdominal serosal detail is adequate in all quadrants.  The stomach contains a moderate amount of ingesta.  The small intestines are normal in size.  Gas and feces are present in the colon.  The urinary bladder is small.  The remaining abdominal organs are normal._x000D_
_x000D_
Additional ultrasound images and video clips of the thorax are provided for review.  Normal gas shadowing is seen within the pulmonary parenchyma.  No obvious movement is seen of lung along the thoracic wall.  No pleural fluid is present.</t>
  </si>
  <si>
    <t>Radiographically normal abdomen on the views provided.  Diffuse bronchial pulmonary pattern=ZZ90= consider bronchitis, response to inhaled irritants, response to circulating parasites, eosinophilic bronchopneumopathy.  No evidence of pleural effusion or pneumothorax.</t>
  </si>
  <si>
    <t>Airway sampling may be helpful in further evaluation.</t>
  </si>
  <si>
    <t xml:space="preserve">
1.MODERATE TO SEVERE INTERSTITIAL TO ALVEOLAR PATTERN; PLEURAL EFFUSION or PLEURAL FISSURE LINES; MILD BRONCHITIS._x000D_
2.Based on the AI airway/pulmonary findings, the probability of this patient having clinically detectable respiratorysigns is VERY HIGH (&gt;75%)_x000D_
3.The cardiac silhouette size is normal._x000D_
4.There is no evidence of PULMONARY NODULES._x000D_
5.Are respiratory signs present? If YES._x000D_
6.Are respiratory signs present? If NO.</t>
  </si>
  <si>
    <t>Study:_x000D_
Thoracic radiography: three images dated September 23, 2024_x000D_
_x000D_
Findings:_x000D_
The cardiac silhouette is normal in size and shape. The pulmonary vasculature is normal in size. There is a mild generalized bronchointerstitial pulmonary pattern. No pulmonary nodules or masses are present. The pleural space is normal. There is no intrathoracic lymphadenopathy. The trachea is normal in diameter. There is no esophageal dilation. The included abdomen is unremarkable. Mild periarticular bone formation is present at the caudodistal aspect the humeral head bilaterally.</t>
  </si>
  <si>
    <t>1. There is no evidence of pulmonary metastatic disease. _x000D_
2. In the absence of any reported respiratory signs, the mild generalized bronchointerstitial pulmonary pattern is likely a benign age-related change. Allergic, inflammatory, infectious, inhaled irritant or parasitic bronchitis cannot be completely excluded._x000D_
3. Mild bilateral shoulder osteoarthrosis.</t>
  </si>
  <si>
    <t>Abdominal sonography should be considered for further staging of the reported anal gland mass.</t>
  </si>
  <si>
    <t>Three orthogonal thoracic radiographs dated 23rd September 2024 are available for review. There are no previous radiographs available for comparison. _x000D_
_x000D_
Airway findings: The cervical and thoracic trachea have a normal size, outline and position. The carina, tracheal bifurcation and mainstem bronchi are normal. Throughout the lung parenchyma there is a mild bronchial pattern.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A small dependent subcutaneous mass is present in the ventral caudal sternum. There is multisite mild spondylosis deformans._x000D_
_x000D_
Included abdomen: No significant abnormalities are detected.</t>
  </si>
  <si>
    <t>1. Diffuse mild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There is no evidence for aspiration._x000D_
2. Negative metastasis check.</t>
  </si>
  <si>
    <t xml:space="preserve">
1.The evaluation has come up positive for a pulmonary nodular pattern._x000D_
2.The cardiac silhouette size is normal._x000D_
3.There is no evidence of ALVEOLAR PATTERN, PERIHILAR INFILTRATE or DYNAMIC AIRWAY COLLAPSE or BRONCHIECTASIS._x000D_
4.A minimal bronchial pattern has been detected._x000D_
5.Pleural fissure lines or small volume pleural effusion has been detected. In a mildly overweight animal, excessive pericardial fat can artifactually mimic the result of minimal pleural effusion.</t>
  </si>
  <si>
    <t>6 images of the thorax and abdomen are presented for review.  The cardiovascular structures are normal.  There is a diffuse interstitial pulmonary pattern that is considered appropriate for the age of the patient.  Multiple, variably sized, soft tissue nodules are seen throughout the pulmonary parenchyma.  A larger irregular soft tissue is present in the right caudal lung lobe.  No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small.  The remaining abdominal organs are normal.</t>
  </si>
  <si>
    <t>Radiographically normal abdomen.  Multiple pulmonary nodules and masses concerning for metastatic neoplasia.</t>
  </si>
  <si>
    <t xml:space="preserve">
1.The cardiac silhouette size is normal._x000D_
2.There is no evidence of BRONCHITIS, ALVEOLAR PATTERN, DYNAMIC AIRWAY COLLAPSE or BRONCHIECTASIS or PLEURAL EFFUSION._x000D_
3.A minimal perihilar infiltrate has been detected.</t>
  </si>
  <si>
    <t xml:space="preserve">Patient Name : Bodhi Jackson, Date of study: Sep 23, 2024
3 images are provided for review (thorax 1 VD, 1 lateral; skull 1 DV). 
There are no previous radiographs for comparison.
Thorax
Cardiac silhouette: The cardiac silhouette is within normal limits of size and shape. 
Pulmonary vessels: The pulmonary vessels are normal in diameter. 
Pulmonary parenchyma: There is a small bulla (~1cm) in the dorsal aspect of the left caudal lung lobe. The pulmonary parenchyma is otherwise within normal limits with no abnormal pulmonary patterns and no nodules or masses. 
Trachea: The trachea is normal in diameter and course.
Esophagus: The region of the esophagus is within normal limits. 
Mediastinum: There is no evidence of intrathoracic lymphadenopathy. 
Skull
There is a marked increase of soft tissue opacity in the caudal half of the right nasal cavity. Nasal turbinate lysis is equivocal due to superimposition of the right mandible with the right nasal cavity. There is no superficial soft tissue swelling. 
 </t>
  </si>
  <si>
    <t xml:space="preserve">1. Right-sided nasal mass. Differentials include a nasal neoplasm (e.g. adenocarcinoma) and severe unilateral rhinitis. 
2. No evidence of pulmonary metastasis. </t>
  </si>
  <si>
    <t xml:space="preserve">Right-sided nasal biopsy is recommended for a definitive diagnosis and to guide treatment. A skull CT (pre- and post-contrast) could be considered for additional anatomical information and to guide sampling. </t>
  </si>
  <si>
    <t xml:space="preserve">
1.The cardiac silhouette size is normal._x000D_
2.There is no evidence of BRONCHITIS, ALVEOLAR PATTERN, DYNAMIC AIRWAY COLLAPSE or BRONCHIECTASIS or PLEURAL EFFUSION._x000D_
3.A mild perihilar infiltrate has been detected.</t>
  </si>
  <si>
    <t>Seven vertebral column, pelvic extended vd and lateral images and orthogonal images centered on the stifle joints dated 23rd September 2024 are available for review. There are no previous radiographs available for comparison. _x000D_
_x000D_
Vertebral column: There is multisite lateralising spondylosis at the lumbar vertebral column. Lateral images are not available for comparison._x000D_
_x000D_
Pelvis: The iliosacral joints are symmetric. There is good coverage of the femoral heads by the acetabuli.  No degenerative modelling is noted at the acetabular rim and femoral heads and there is good articular congruency. The pelvic and caudal thigh musculature is symmetric. The patella are in an anatomical position._x000D_
_x000D_
Joints and long bones: There is mild soft tissue attenuation of the left stifle joint space, causing infrapatellar fat pad compression and caudal fascial bulging. There is minimal soft tissue attenuation of the right stifle joint space, causing infrapatellar fat pad compression and caudal fascial bulging. The included tarsi are normal._x000D_
_x000D_
Soft tissues: As described above</t>
  </si>
  <si>
    <t>1. No radiographic findings explain the presenting signs. Lateral vertebral column images are not available, limiting interpretation._x000D_
2. Mild bilateral stifle joint synovitis without degenerative modelling. This may or may not be contributed the clinical signs.</t>
  </si>
  <si>
    <t>Full neurologic examination if not already performed. If no proprioceptive deficits or patients clinical signs is mild, consider treating for intervertebral disk disease/arthritis (exercise restriction, NSAIDs with supportive bloodwork, +/- multimodal analgesia). If no response to therapy, patient has proprioceptive deficits or is worsening in general, referral to a neurologist for discussion regarding feasibility of MRI vs. CT of the spine can be considered</t>
  </si>
  <si>
    <t>Three radiographs of the thorax are provided. Images dated 8/17/24 were reviewed. There is moderate to severe generalized cardiac silhouette enlargement, smaller than on the previous study. Cranial pulmonary vessels are normal size. No abnormalities are appreciated in the pulmonary parenchyma. There is complete collapse of the caudal thoracic trachea and mainstem bronchi on the right lateral view, with severe narrowed remaining trachea. Moderate to severe narrowed cervical trachea on the left lateral view. No pleural effusion. Normal cranial abdomen.</t>
  </si>
  <si>
    <t>1. Severe dynamic tracheal and mainstem bronchial collapse. This is the cause for persistent coughing._x000D_
2. Moderate to severe generalized cardiomegaly consistent with acquired mitral and tricuspid valve disease. There is no evidence of heart failure today.</t>
  </si>
  <si>
    <t>Recommend continued supportive care for tracheal collapse. Weight management as needed.</t>
  </si>
  <si>
    <t xml:space="preserve">
1.MINIMAL to MILD BRONCHOINTERSTITIAL PULMONARY PATTERN; MILD DYNAMIC AIRWAY DISEASE; MILD PERIHILAR INFILTRATE._x000D_
2.Based on these AI airway/pulmonary findings, the probability of this patient having clinically detectable respiratory signs is LOW to MEDIUM (25-50%)_x000D_
3.Are respiratory signs present? If YES._x000D_
4.Are respiratory signs present? If NO._x000D_
5.Severe cardiomegaly has been detected but Heart Failure is NOT suspected.</t>
  </si>
  <si>
    <t>Four radiographs of the thorax, and three views of the abdomen are provided. The left atrium margin is faintly visible on the VD projection but is not enlarged on the lateral views. There are no abnormalities in the pulmonary parenchyma. No pleural effusion. Normal tracheal diameter. Normal cranial mediastinal width._x000D_
_x000D_
In the abdomen there is a well-defined smoothly lobulated round 15.7 cm soft tissue opaque mass in the cranioventral left peritoneal space. There is no effusion. Normal size liver. Formed feces in the distal colon. The stomach and small bowel are minimally filled. No radiopaque cystic calculi. Smoothly marginated round 6.4 cm soft tissue opaque mass in the mid left extra-abdominal subcutaneous tissues. No osseous abnormalities.</t>
  </si>
  <si>
    <t>1. Large cranioventral abdominal mass, most likely originating from the spleen. Neoplasia such as hemangiosarcoma is the most likely diagnosis. A mesenteric mass or pedunculated hepatic mass are given lesser consideration. No other intra-abdominal abnormalities._x000D_
2. Left flank subcutaneous mass consistent with the history provided._x000D_
3. Normal thorax.</t>
  </si>
  <si>
    <t>Recommend abdominal ultrasound to confirm origin of the mass and determine if there are additional intra-abdominal lesions. There is no contraindication for general anesthesia based on this study.</t>
  </si>
  <si>
    <t xml:space="preserve">
1.The cardiac silhouette size is normal._x000D_
2.There is no evidence of BRONCHITIS, ALVEOLAR PATTERN, PERIHILAR INFILTRATE, DYNAMIC AIRWAY COLLAPSE or BRONCHIECTASIS or PLEURAL EFFUSION._x000D_
3.The evaluation has come up positive for a pulmonary nodular pattern.</t>
  </si>
  <si>
    <t>The evaluation is most consistent with benign pulmonary osteomas, prominent costochondral mineralizations, numerous end-on pulmonary vessels or chronic, mineralized granulomas being present. Keep in mind that mineralized pulmonary metastatic lesions can occur but this is VERY INFREQUENT and therefore considered unlikely. There is no evidence of BRONCHITIS, ALVEOLAR PATTERN, PERIHILAR INFILTRATE, DYNAMIC AIRWAY COLLAPSE or BRONCHIECTASIS or PLEURAL EFFUSION.</t>
  </si>
  <si>
    <t>3 views of the thorax are provided for review.  The cardiac silhouette is overall normal in size.  A bulge is present in the region of the main pulmonary arterial segment.  The lobar arteries are enlarged and mildly tortuous.  A mixed bronchial and interstitial pulmonary pattern is present in all lung lobes.  The mediastinal and pleural structures are normal.  Cranial abdominal detail is adequate.</t>
  </si>
  <si>
    <t>Cardiovascular and pulmonary changes consistent with heartworm disease.</t>
  </si>
  <si>
    <t xml:space="preserve">
1.Are respiratory signs present? If NO._x000D_
2.Are respiratory signs present? If YES._x000D_
3.Are respiratory signs present? If NO._x000D_
4.Based on the AI airway/pulmonary findings, the probability of this patient having soft tissue pulmonary nodules and clinically detectable respiratory signs is VERY HIGH (&gt;75%)_x000D_
5.Are respiratory signs present? If YES._x000D_
6.PULMONARY NODULES or NODULAR PATTERN; MODERATE to SEVERE INTERSTITIAL TO ALVEOLAR PATTERN; MILD BRONCHITIS._x000D_
7.SEVERE ALVEOLAR INFILTRATE; MILD PERIHILAR PATTERN; MORE DIFFUSE MILD BRONCHOINTERSTITIAL PULMONARY PATTERN._x000D_
8.Based on the AI airway/pulmonary findings, the probability of this patient having clinically detectable respiratory signs is HIGH (75%)_x000D_
9.The cardiac silhouette size is normal._x000D_
10.The evaluation result has a strong suspicion of soft tissue pulmonary nodules being present.</t>
  </si>
  <si>
    <t>Patient Name : Griffin Knouse, Date of study: Sep 23, 2024
3 images are provided for review
Additional images dated [09/23/2024 Case#2766750] are available.
Image labeled "L" appears to be a right lateral image vien position of caudal vena cava/diaphragm.
Pulmonary parenchyma: A mild diffuse bronchial pattern is present.  Presumed left cranial  lobar bronchus is columnar and does not taper as expected in the periphery of the lung in the lateral image.  
Pulmonary vasculature: The pulmonary vasculature is subjectively normal in size and tapers in the periphery of the lungs.
Cardiac silhouette: The cardiac silhouette is tall and occupies 2/3 the height of the thorax.  The trachea is dorsally displaced.  The caudodorsal margin of the cardiac silhouette is flattened.  Rounded increased soft tissue is present in the region of the left atrium in the ventrodorsal image. VHS is approximately 9.75
Mediastinum: The cranial mediastinum is normal.
Trachea: The trachea is normal.
Esophagus: The esophagus is not well-identified.
Pleural space: The pleural space is normal.
Musculoskeletal: The included musculoskeletal structures are normal.</t>
  </si>
  <si>
    <t>1. Mild left-sided cardiomegaly such as from myxomatous mitral valvular disease and insufficiency or unlikely other.
- There is no current evidence of left-sided congestive heart failure.
2. Mild diffuse bronchial pulmonary pattern due to fibrosis from prior disease, age-related changes, infectious/immune-mediated lower airway disease, or unlikely other.
3. Suspected left cranial lobar columnar bronchiectasis versus artifact.
- If present, consider chondromalacia and chronic lower airway disease, and underlying dynamic airway disease.</t>
  </si>
  <si>
    <t>Echocardiography, eCG and blood pressure for further evaluation.  Routine blood work if not recently performed.  Consider tracheoscopy/bronchoscopy/fluoroscopy, respiratory PCR panel and/or airway sampling for further evaluation.  Empirical therapy and supportive care in the interim as needed for reported coughing.  Monitoring as directed or sooner if clinical signs acutely change, fail to improve or worsen.</t>
  </si>
  <si>
    <t xml:space="preserve">
1.A mild perihilar infiltrate has been detected._x000D_
2.Moderate cardiomegaly has been detected but Heart Failure is NOT suspected._x000D_
3.There is no evidence of BRONCHITIS, ALVEOLAR PATTERN or PULMONARY NODULES.</t>
  </si>
  <si>
    <t>Patient Name : Luna Bowden, Date of study: Sep 22, 2024
6 images are provided for review
There are no previous radiographs for comparison.
Thorax:
The cardiovascular structures are normal.
The lungs are normal.
The pleural space is normal.
Abdomen:
The stomach contains gas and some foamy soft tissue.  The small intestines are normal and uniform in size and contain gas and homogeneous soft tissue.  The cecum and colon are filled with gas and unformed feces.
The liver, spleen, kidneys, and urinary bladder are normal.
The serosal detail is normal.
Musculoskeletal:
There is mild multifocal spondylosis deformans.</t>
  </si>
  <si>
    <t>1. Normal thorax, no pulmonary metastasis.
2. Normal abdomen.</t>
  </si>
  <si>
    <t>Advanced imaging of the abdomen may be useful to investigate for causes of the reported anemia and thrombocytopenia (eg paraneoplastic disease) for which radiography may be insensitive.</t>
  </si>
  <si>
    <t>Daniel Lantz</t>
  </si>
  <si>
    <t>Patient Name : Mickey Hutton, Date of study: Sep 22, 2024
3 images are provided for review
There are no previous radiographs for comparison.
The stomach is distended with gas and foamy soft tissue.  The small intestines are normal and uniform in size and contain gas and homogeneous soft tissue.  The colon contains gas and feces.
There is a 12 mm diameter faint heterogeneous mineral structure superimposed with the right cranial liver.  The hepatic margins are rounded.
The spleen, kidneys, and urinary bladder are normal.
The serosal detail is normal.
The T12-T13 and T13-L1 intervertebral disc spaces are narrowed, and there is mild associated spondylosis deformans.
There is a broad-based, dorsal tracheal, soft tissue structure which is superimposed with the caudal cervical and cranial thoracic trachea.</t>
  </si>
  <si>
    <t>1.  Gastric distension with foamy soft tissue and gas.  Fluid and gas distension secondary to functional causes (such as gastritis, ulceration, or gastric neoplasia) are prioritized, though low density gastric foreign matter (such as stuffing) cannot be ruled out.
2.  No small intestinal mechanical obstruction.
3.  Cholecystolithiasis.
4.  Nonspecific hepatomegaly (vacuolar hepatopathy, hepatitis, neoplasia).
5.  Redundant tracheal membrane, overriding esophagus, or superimposition of longus colli muscles.</t>
  </si>
  <si>
    <t>Repeating radiographs after 6-12 hours of fasting may be useful to reassess gastric content.</t>
  </si>
  <si>
    <t xml:space="preserve">
1.The cardiac silhouette size is normal._x000D_
2.There is no evidence of BRONCHITIS, PERIHILAR INFILTRATE, DYNAMIC AIRWAY COLLAPSE or BRONCHIECTASIS, PULMONARY NODULES or PLEURAL EFFUSION._x000D_
3.A moderate interstitial to alveolar pattern has been detected.</t>
  </si>
  <si>
    <t>Orthogonal views of the thorax are provided:_x000D_
_x000D_
Thorax:_x000D_
_x000D_
No signs of tracheal collapse._x000D_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limits._x000D_
_x000D_
Signs of caudal cervical chronic IVDD._x000D_
Gastric rock.</t>
  </si>
  <si>
    <t>1) Lack of visualization of tracheal collapse does not exclude this differential (especially taking into account the breed). Unremarkable lungs do not exclude a bronchitis of allergic vs inflammatory/infectious or parasitic origin. No signs of pulmonary metastases nor signs of thoracic lymphadenopathy. _x000D_
2) Gastric rock.</t>
  </si>
  <si>
    <t>Consider fluoroscopy (followed by tracheobronchoscopy, BAL and culture/cytology)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If negative, consider empirical treatment for chronic bronchitis._x000D_
Consider also endoscopy vs gastronomy._x000D_
Full neuro exam with MRI if necessary.</t>
  </si>
  <si>
    <t xml:space="preserve">
1.MINIMAL to MILD BRONCHOINTERSTITIAL PULMONARY PATTERN; MILD DYNAMIC AIRWAY DISEASE; MILD PERIHILAR INFILTRATE._x000D_
2.Based on these AI airway/pulmonary findings, the probability of this patient having clinically detectable respiratory signs is LOW to MEDIUM (25-50%)_x000D_
3.Are respiratory signs present? If YES._x000D_
4.Are respiratory signs present? If NO._x000D_
5.Mild cardiomegaly has been detected but Heart Failure is NOT suspected._x000D_
6.There is no evidence of PULMONARY NODULES.</t>
  </si>
  <si>
    <t>Study:_x000D_
Spinal radiography (including the thorax and abdomen): five images dated September 21, 2024_x000D_
_x000D_
Findings:_x000D_
The atlantoaxial joint space is normal. There is no apparent intervertebral disc space or foraminal narrowing. There is no evidence of discospondylitis. There are no vertebral fractures or luxations. The coxofemoral joints are normal with good coverage of the femoral head by the acetabulum bilaterally. The included appendicular skeletal structures are normal. The cardiac silhouette and pulmonary vasculature are normal in size. The pulmonary parenchyma is unremarkable. The pleural space is normal. There is no intrathoracic lymphadenopathy. The trachea is normal in diameter and course. The stomach contains a small amount of unstructured heterogeneous soft tissue material presumed to be ingesta. Granular soft tissue material also presumed to be ingesta is seen in some small intestinal segments. There is a thin linear metallic opacity in the mesentery adjacent to the pylorus. The colon contains formed fecal material with a normal diameter. The liver is small with associated cranial rotation of the gastric axis. The spleen is normal in size and margin. The renal silhouettes are normal in size and shape. The urinary bladder is normal in size and opacity. There is no prostatomegaly.</t>
  </si>
  <si>
    <t>1. The spine is unremarkable. The lack of any apparent intervertebral disc space or foraminal narrowing does not exclude the possibility of intervertebral disc disease. Neurology consultation and MRI can be considered to further evaluate for a compressive myelopathy if the clinical signs persist or worsen in spite of activity restriction and pain management._x000D_
2. Microhepatia. Rule out normal variant, vascular anomaly or chronic hepatitis/cirrhosis. Correlate with any liver enzyme abnormalities. Abdominal sonography and bile acid testing can be considered for further evaluation if clinically relevant._x000D_
3. Peritoneal linear metallic, possibly wire or brush bristle, foreign body. This is a relatively common incidental finding._x000D_
4. Normal thorax.</t>
  </si>
  <si>
    <t>Study:_x000D_
Spinal radiography (including the thorax and abdomen) four images dated September 21, 2024_x000D_
_x000D_
Findings:_x000D_
The dens is intact and well defined. The atlantoaxial joint space is normal. On the lateral projections, the T 12-T 13 intervertebral disc space appears slightly narrowed in comparison to the adjacent to spaces. There is no evidence of discospondylitis. There are no vertebral fractures or luxations. The coxofemoral joints are normal with good coverage of the femoral head by the acetabulum bilaterally. The included appendicular skeletal structures are unremarkable. The cardiac silhouette and pulmonary vasculature are normal in size. The pulmonary parenchyma is unremarkable. The pleural space is normal. There is no intrathoracic lymphadenopathy. The trachea is normal in diameter and course.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There is no prostatomegaly.</t>
  </si>
  <si>
    <t>1. T 12-T 13 intervertebral disc disease is suspected. Neurology consultation and MRI should be considered for further evaluation if the clinical signs persist or worsen in spite of strict activity restriction and pain management._x000D_
2. Normal thorax._x000D_
3. Postprandial stomach=ZZ90= otherwise, unremarkable abdomen.</t>
  </si>
  <si>
    <t xml:space="preserve">
1.The cardiac silhouette size is normal._x000D_
2.There is no evidence of BRONCHITIS, PERIHILAR INFILTRATE or DYNAMIC AIRWAY COLLAPSE or BRONCHIECTASIS._x000D_
3.A severe alveolar pattern has been detected.</t>
  </si>
  <si>
    <t>Three radiographs of the thorax and abdomen are provided. The cardiac silhouette and pulmonary vessels are normal size. There are no abnormalities in the pulmonary parenchyma. No pleural effusion. Small volume fat deposition in the cranial mediastinum. Tracheal diameter is adequate. In the abdomen the liver, spleen, and kidneys are normal size. Formed feces in the distal colon. The stomach and small bowel are minimally filled. No radiopaque cystic calculi. No narrowed intervertebral disc spaces or foramina are appreciated.</t>
  </si>
  <si>
    <t>Normal thorax and abdomen. A reason for discomfort is not identified. Non-mineralized intervertebral disc lesion remains possible.</t>
  </si>
  <si>
    <t>Current treatment is appropriate. If the patient does not improve and there is spinal discomfort or neurologic deficits, consultation with a neurologist and advanced spinal imaging such as MRI should be considered.</t>
  </si>
  <si>
    <t xml:space="preserve">
1.MILD to MODERATE INTERSTITIAL TO ALVEOLAR PATTERN; MINIMAL BRONCHITIS._x000D_
2.Based on these AI airway/pulmonary findings, the probability of this patient having clinically detectable respiratory signs is MEDIUM (50%)_x000D_
3.Are respiratory signs present? If YES._x000D_
4.Are respiratory signs present? If NO._x000D_
5.A minimal perihilar infiltrate has been detected._x000D_
6.The cardiac silhouette size is normal.</t>
  </si>
  <si>
    <t>Patient Name : Jason Tran, Date of study: Sep 21, 2024
3 images are provided for review
Canine Thorax (3 Images) - 2 Lateral, 1 Vd
There are no previous radiographs for comparison.
Pulmonary parenchyma: A  mild diffuse bronchial pattern is present.  Ill-defined interstitial soft tissue is in the cranial lung lobes bilaterally.  In the right lateral image, the presumed left lobar bronchial and carina are severely narrowed in a dorsoventral dimension.  The suspected right cranial lobar bronchus in the left lateral image is mildly columnar in shape and does not taper as expected in the periphery of the lungs.
Pulmonary vasculature: The right and left caudal lobar pulmonary arteries are suspiciously enlarged in the periphery of the lungs in the ventrodorsal image.
Cardiac silhouette: The cardiac silhouette is tall and occupies over 2/3 the height of the thorax, with dorsal tracheal displacement.  The caudodorsal margin of the cardiac silhouette is flattened.  The cardiac silhouette is widened and occupies the width of 3.5-4 intercostal spaces.
Mediastinum: The cranial mediastinum is widened symmetrically in the ventrodorsal image, without obvious increased soft tissue in the lateral image.
Trachea: The thoracic tracheal segment is narrowed in a dorsoventral dimension, most severe in the right lateral image.  
Esophagus: The esophagus is not well-identified.
Pleural space: The pleural space is normal.
Musculoskeletal: The included musculoskeletal structures are normal.</t>
  </si>
  <si>
    <t>1.  Moderate right-sided nad possible left-sided cardiomegaly such as from heartworm disease, cor pulmonale/pulmonary hypertension, tricuspid valvular disease, or less likely other, with/without myxomatous mitral valvular disease, or unlikely other.
2. Suspicious for right and left caudal lobar pulmonary arterial enlargement versus artifact.
- If present, pulmonary hypertension and/or heartworm disease are considered.
3. Transient lobar bronchi, carina and tracheal narrowing such as from dynamic airway disease and bronchomalacia.
4. Mild interstitial pattern in the cranial lung lobes due to hypoinflation, fibrosis from prior disease, age-related changes, evolving bronchopneumonia, or less likely left-sided congestive heart failure/pulmonary edema.
5. Mild diffuse bronchial pattern such as from infectious/immune-mediated lower airway disease (mycoplasma spp., bordetella spp., parasitism such as lung worms, or less likely other), and/or inhaled allergen/irritant, fibrosis from prior disease, age-related changes, or unlikely other.
6. Cranial mediastinal widening due to fat deposition/superimposed normal structures or less likely lymphadenomegaly or evolving mass (thymoma or ectopic thyroid carcinoma, or least likely other).</t>
  </si>
  <si>
    <t>Consider echocardiography, eCG and blood pressure for further evaluation of the heart. Routine blood work, urinalysis, heartworm testing, and abdominal imaging (ultrasonography) for further evaluation of the liver and occult systemic disease.
 Consider tracheoscopy/bronchoscopy/fluoroscopy, respiratory PCR panel, airway sampling, fecal analysis/deworming for further evaluation of lower airway disease.  Empirical therapy for infectious/immune-mediated lower airway disease in the interim.   If dyspnea manifests, oxygen therapy, diuretic therapy and monitoring with thoracic radiographs after 4-6 hours to monitor progression/improvement of the pulmonary pattern.  Monitoring as directed or sooner if clinical signs acutely change, fail to improve or worsen.</t>
  </si>
  <si>
    <t xml:space="preserve">
1.MODERATE BRONCHOINTERSTITIAL PULMONARY PATTERN; MODERATE ALVEOLAR INFILTRATE or ATELECTASIS; MODERATE DYNAMIC AIRWAY DISEASE._x000D_
2.Based on these AI airway/pulmonary findings, the probability of this patient having clinically detectable respiratory signs is HIGH (75%)_x000D_
3.Are respiratory signs present? If YES._x000D_
4.Are respiratory signs present? If NO._x000D_
5.Pleural fissure lines or moderate pleural effusion has been detected. An overlying skin fold or in a moderately overweight animal, excessive pericardial fat could artifactually mimic the result of moderate pleural effusion._x000D_
6.Severe cardiomegaly has been detected but Heart Failure is NOT suspected.</t>
  </si>
  <si>
    <t>Study:_x000D_
Thoracic and abdominal radiography: six images dated September 21,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There is decreased cranial abdominal detail with a lobulated soft tissue opaque mass in the right cranial abdomen. The stomach contains a small amount of heterogeneous soft tissue material presumed to be ingesta. The small intestines are normal in size, course and content. The colon is empty. There is formed fecal material within the rectum. The liver is situated within the costal arch with smooth margins. The head of the spleen is normal in size and shape. The tail the spleen is not visualized. The renal silhouettes are normal in size and contour. The urinary bladder is normal in size and opacity. There mineral foci caudal to the left kidney and situated between the descending colon/urinary bladder thought to represent suture granulomas from prior ovariohysterectomy. There is narrowing of the L4-L5 intervertebral disc space with moderate spondylosis deformans. There are lipomatous masses in the subcutaneous tissues of the ventral cervical region and right ventrolateral thorax.</t>
  </si>
  <si>
    <t>1. Right cranial abdominal mass. The origin the mass is unclear. Consider severe pancreatomegaly (e.g. pancreatitis or pancreatic neoplasia), a right sided liver mass, lymphadenopathy or mesenteric mass. An exophytic gastrointestinal origin is considered less likely._x000D_
2. Unremarkable thorax. There is no radiographic evidence of pulmonary metastatic disease._x000D_
3. L4-L5 intervertebral disc disease.</t>
  </si>
  <si>
    <t xml:space="preserve">
1.There is no evidence of BRONCHITIS, ALVEOLAR PATTERN, PERIHILAR INFILTRATE, PULMONARY NODULES or PLEURAL EFFUSION._x000D_
2.Minimal dynamic airway disease has been detected._x000D_
3.Mild cardiomegaly has been detected but Heart Failure is NOT suspected.</t>
  </si>
  <si>
    <t>Orthogonal views of the thorax are provided:_x000D_
_x000D_
Thorax:_x000D_
_x000D_
Cardiac silhouette has a normal shape and size._x000D_
Pulmonary vessels are within normal limits of size and shape._x000D_
Pulmonary parenchyma shows an alveolar patches with air bronchograms ventrally located on both cranial lung lobes. No evidence of pulmonary nodules/masses._x000D_
Pleural space, mediastinum, diaphragm and thoracic wall within normal limits.</t>
  </si>
  <si>
    <t>1) Alveolar patches with air bronchograms ventrally located on both cranial lung lobes consistent with infectious pneumonia.</t>
  </si>
  <si>
    <t>Consider empirical treatment for pneumonia with follow up radiographs every 48/72 hours to evaluate response to treatment.</t>
  </si>
  <si>
    <t xml:space="preserve">
1.MILD BROCHOINTERSTITIAL PULMONARY PATTERN; CONCURRENT ATELECTASIS (MILD) SUSPECTED._x000D_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PERIHILAR INFILTRATE or DYNAMIC AIRWAY COLLAPSE or BRONCHIECTASIS.</t>
  </si>
  <si>
    <t>Orthogonal views of the thorax are provided:_x000D_
_x000D_
Thorax:_x000D_
_x000D_
No abnormalities seen in the trachea._x000D_
Cardiac silhouette has a normal shape and size._x000D_
Pulmonary vessels are within normal limits of size and shape._x000D_
Pulmonary parenchyma is within normal limits. No evidence of pneumonia._x000D_
Pleural space, mediastinum, diaphragm and thoracic wall within normal limits.</t>
  </si>
  <si>
    <t>1) Unremarkable lungs do not exclude a bronchitis of allergic origin vs inflammatory/infectious or parasitic origin.</t>
  </si>
  <si>
    <t>Evaluate the benefit of a laryngeal exam under sedation given the history of =ZZ92= Coughing when drinking water an harder time breathing during walks=ZZ92=._x000D_
Likewise, evaluate the convenience of an empirical treatment for chronic bronchitis evaluating response to treatment. If clinical signs persist, consider a bronchoscopy with BAL, culture, cytology, Baermann test and deworming.</t>
  </si>
  <si>
    <t>Orthogonal views of the thorax and abdomen are provided:_x000D_
_x000D_
Thorax:_x000D_
_x000D_
No signs of esophageal foreign bodies._x000D_
Cardiac silhouette has a normal shape and size._x000D_
Pulmonary vessels are within normal limits of size and shape._x000D_
Pulmonary parenchyma is within normal limits. No signs of aspiration pneumonia._x000D_
Pleural space, mediastinum, diaphragm and thoracic wall within normal limits._x000D_
_x000D_
Abdomen:_x000D_
_x000D_
The stomach is filled with food._x000D_
Some small intestines contain soft tissue material, not overtly distended. No signs of mechanical ileus._x000D_
Serosal detail is preserved._x000D_
Liver and spleen are within normal limits of size and smoothly marginated._x000D_
Kidneys and urinary bladder WNL.</t>
  </si>
  <si>
    <t>1) Unremarkable thorax and abdomen (can not exclude small intestinal non obstructive organic foreign material).</t>
  </si>
  <si>
    <t>Consider abdominal US for further evaluation.</t>
  </si>
  <si>
    <t xml:space="preserve">
1.A minimal interstitial pattern has been detected._x000D_
2.The cardiac silhouette size is normal._x000D_
3.There is no evidence of PERIHILAR INFILTRATE or DYNAMIC AIRWAY COLLAPSE or BRONCHIECTASIS.</t>
  </si>
  <si>
    <t>Study:_x000D_
Thoracic radiography: three images dated September 21, 2024_x000D_
_x000D_
Findings:_x000D_
The cardiac silhouette is normal in size and shape. The pulmonary vasculature is normal in size. The pulmonary parenchyma is unremarkable. The pleural space is normal. Best seen on the VD view, there is a round soft tissue opaque structure situated between the branching of the caudal lobar bronchi, indicative of tracheobronchial lymphadenopathy. The trachea is normal in diameter and course. There is no lobar bronchi narrowing. There is a small volume of gas in the esophagus. The included abdomen is unremarkable. No skeletal abnormalities are present. There is a fatty bordering on soft tissue opaque mass in the subcutaneous tissues of the ventral thorax.</t>
  </si>
  <si>
    <t>1. Tracheobronchial lymphadenopathy. Consider round cell neoplasia or fungal disease. Recommend regionally and travel appropriate fungal serology testing for further evaluation._x000D_
2. Ventral thoracic subcutaneous mass. Rule out benign or malignant neoplasia, cyst, granuloma or abscess. Tissue sampling can be considered for further evaluation.</t>
  </si>
  <si>
    <t>Orthogonal radiographs of the thorax/abdomen are provided. Redundant dorsal trachealis membrane causes severe narrowed cervical trachea. Normal thoracic tracheal diameter. The left atrium is prominent. Pulmonary vessels are normal size. No abnormalities in the pulmonary parenchyma. No pleural effusion. In the abdomen the gastrointestinal tract is moderately filled. No peritoneal or retroperitoneal effusion. Normal-sized spleen, kidneys, liver. No radiopaque cystic calculi. No narrowed intervertebral disc spaces are appreciated.</t>
  </si>
  <si>
    <t>1. Cervical tracheal collapse. This is the most likely cause for coughing._x000D_
2. Prominent left atrium consistent with acquired mitral valve disease. There is no pulmonary venous congestion or evidence of heart failure. This is not the cause for the cough._x000D_
3. Normal abdomen. No spinal abnormalities are appreciated. A protruding/extruded intervertebral disc remains possible.</t>
  </si>
  <si>
    <t>Current diagnostics are appropriate.  Recommend utilization of a body harness in place of a neck lead.</t>
  </si>
  <si>
    <t xml:space="preserve">
1.Pleural fissure lines or small volume pleural effusion has been detected. In a mildly overweight animal, excessive pericardial fat can artifactually mimic the result of minimal pleural effusion._x000D_
2.Mild cardiomegaly has been detected but Heart Failure is NOT suspected._x000D_
3.MODERATE BRONCHOINTERSTITIAL PULMONARY PATTERN; MILD PERIHILAR INFILTRATE; MILD DYNAMIC AIRWAY DISEASE; ATELECTASIS or less likely, pneumonia._x000D_
4.Based on the AI airway/pulmonary findings, the probability of this patient having clinically detectable respiratory signs is MEDIUM to HIGH (50%-75%)_x000D_
5.Are respiratory signs present? If YES._x000D_
6.Are respiratory signs present? If NO.</t>
  </si>
  <si>
    <t>Orthogonal views of the thorax are provided:_x000D_
_x000D_
Thorax:_x000D_
_x000D_
Questionable narrowing of the tracheal lumen in the RL view._x000D_
Cardiac silhouette shows a mild enlargement of the left atrium dorsally displacing the carina._x000D_
Pulmonary vessels are within normal limits of size and shape._x000D_
Pulmonary parenchyma is within normal limits. No evidence of pneumonia nor signs of pulmonary nodules/masses._x000D_
Pleural space, mediastinum, diaphragm and thoracic wall within normal limits.</t>
  </si>
  <si>
    <t>1) Rule out cervical tracheal collapse or tracheitis secondary to intubation for dental. Unremarkable lungs do not exclude a bronchitis of allergic vs inflammatory/infectious or parasitic origin._x000D_
2) Left atrial enlargement secondary to chronic mitral endocardiosis without signs of CHF. Rule out concomitant tricuspid endocardiosis with pulmonary hypertension.</t>
  </si>
  <si>
    <t>Consider a cardiology consultation with ECG and echocardiogram followed by fluoroscopy (followed by tracheobronchoscopy, BAL and culture/cytology) to rule in extrathoracic tracheal collapse and to rule in/out intrathoracic vs bronchial component, evaluating treatment options. Take advantage of the bronchoscopy to further evaluate the larynx given 30% of patients with tracheal collapse display different degrees of laryngeal paralysis. If negative, consider empirical treatment for inflammatory tracheitis after intubation evaluating response to treatment.</t>
  </si>
  <si>
    <t xml:space="preserve">
1.In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2.In the PRESENCE of respiratory signs, low grade active pneumonitis (allergic, bacterial, parasitic (including heartworm disease), inhaled allergen or toxin) or upper airway disease causing pulmonary hypoinflation and/or recurrent microaspiration may be more likely._x000D_
3.MILD BRONCHOINTERSTITIAL PULMONARY PATTERN; MINIMAL to MILD PERIHILAR PATTERN._x000D_
4.Based on the AI airway/pulmonary findings, the probability of this patient having clinically detectable respiratory signs is LOW (25%)_x000D_
5.Severe cardiomegaly has been detected but Heart Failure is NOT suspected._x000D_
6.There is no evidence of PULMONARY NODULES.</t>
  </si>
  <si>
    <t>Patient Name : Champ Scoffin, Date of study: Sep 21, 2024
1 images are provided for review
Canine Thorax (1 Images) - 1 Lateral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is tall and occupies over 2/3 the height of the thorax.
Mediastinum: The cranial mediastinum is normal.
Trachea: The trachea is normal.
Esophagus: The esophagus contains minimal gas in the cranial thorax.  No obvious esophageal enlargement is in this image.
Pleural space: The pleural space is normal.
Musculoskeletal: Gas is over the dorsal extra-thoracic soft tissues from T5 through T10.  Minimal bilateral shoulder osteoarthrosis is suspected.  The remaining included musculoskeletal structures are normal.</t>
  </si>
  <si>
    <t xml:space="preserve">1. Mild left-sided cardiomegaly such as from myxomatous mitral valvular disease and insufficiency, or less likely other (evolving dilated cardiomyopathy, etc.) or less likely artifact from phase of the cardiopulmonary cycle.
- No current evidence of left-sided congestive heart failure.
2. Minimal-mild diffuse bronchial pattern such as from fibrosis from prior disease, age-related changes, or unlikely infectious/immune-mediated lower airway disease, inhaled allergen/irritant, or other.
3. No obvious esophageal enlargement is identified in this image.
4. Dorsal extra-thoracic soft tissue emphysema such as from occult trauma versus cellulitis/abscessation, or unlikely other given lack of reported medication (sedation) administration prior to image acquisition.   </t>
  </si>
  <si>
    <t>Consider echocardiography, eCG and blood pressure for further evaluation, especially if a murmur is identified to rule out cardiac cachexia contributing to current signs.  No obvious cranial mediastinal mass is identified, but ventrodorsal image is generally more sensitive.  Consider additional radiographs versus, mediastinal ultrasonography or computed tomography of the thorax for further evaluation.  Abdominal imaging to screen for occult systemic disease, as well as routine blood work and thyroid function testing may be contributory.
There is no current evidence of esophageal enlargement, and megaesophagus is unlikely without concurrent regurgitation signs contributing to weight loss.  If difficulty prehending food/swallowing, consider positive-contrast swallowing examination (fluoroscopic preferred) and internist consultation.  
Empirical therapy and supportive care in the interim as needed.  Monitoring as directed or sooner if clinical signs acutely change, fail to improve or worsen.</t>
  </si>
  <si>
    <t>Study:_x000D_
Thoracic and abdominal radiography: six images dated September 21,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stomach contains a small volume of gas. The small intestines are normal in size, course and content. The colon contains formed fecal material. The liver is normal in size with smooth and sharp margins. The spleen appear is mildly to moderately enlarged coursing along the ventral abdomen. The renal silhouettes are normal in size and contour. The urinary bladder is normal in size and opacity. There is no prostatomegaly. No skeletal abnormalities are present.</t>
  </si>
  <si>
    <t>1. The gastrointestinal tract is unremarkable. There is no radiographic evidence of gastrointestinal foreign material or small intestinal mechanical obstruction. Abdominal sonography can be considered for further evaluation if clinical signs persist or worsen in spite of medical management._x000D_
2. The splenomegaly is likely a breed normal variant. Extramedullary hematopoiesis, lymphoid hyperplasia, splenitis, congestion or infiltrative neoplasia cannot be completely excluded. Sonography can be considered for further evaluation._x000D_
3. Normal thorax.</t>
  </si>
  <si>
    <t>Three orthogonal thoracic radiographs dated 21st September 2024 are available for review. There are no previous radiographs available for comparison. _x000D_
_x000D_
Airway findings: The cervical and thoracic trachea have a normal size, outline and position. The carina, tracheal bifurcation and mainstem bronchi are normal. There is severe soft tissue attenuation of the cranial aspect of the thoracic cavity, extending caudal dorsally up to dorsal to the tracheal bifurcation. In the aerated pulmonary parenchyma there is bronchial opacification._x000D_
_x000D_
Cardiovascular findings: There is partial border effacement of the cardiac silhouette. The visible cardiac silhouette is normal in shape, size and margination. The cranial and caudal pulmonary vasculature is normal. The caudal vena cava is normal. The aorta and mainstem pulmonary artery have a normal outline in the vd/dv l image._x000D_
_x000D_
Mediastinum and pleural space: In the cranial thoracic opacification may be mediastinal, and may also involve the tracheobronchial as well as sternal lymph nodes._x000D_
_x000D_
Musculoskeletal findings: A right-sided cutaneous broad-based mass is present. There is suspicion of a soft issue mass in the cranial cervical region. Some small cutaneous masses are present._x000D_
_x000D_
Included abdomen: No significant abnormalities are detected.</t>
  </si>
  <si>
    <t>1. Severe cranial mediastinal widening with mass effect: Considering submandibular lymphadomegaly, mediastinal lymphadomegaly including sternal, mediastinal, and potentially tracheobronchial lymph nodes is suspected. Alternatively, cranial pulmonary opacification due to bronchial plugging secondary to pulmonary neoplasm (bronchial adenocarcinoma) is possible. Compression of mainstem bronchi may cause coughing._x000D_
2. Diffuse moderate bronchial pattern:  Allergic bronchitis, chronic bacterial /viral bronchitis +/- parasitic bronchitis should also be considered. Less likely are hyperardenocorticism, neoplasia (such a lymphoma) or idiopathic pulmonary fibrosis. This may still be the cause of the coughing.</t>
  </si>
  <si>
    <t>Complete bloodwork, thoracic CT or ultrasound with aspirates if a peripheral lesion identified, and abdominal ultrasound are recommended for further staging._x000D_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t>
  </si>
  <si>
    <t xml:space="preserve">
1.Mild cardiomegaly has been detected but Heart Failure is NOT suspected._x000D_
2.SEVERE PLEURAL EFFUSION; MODERATE TO SEVERE INTERSTITIAL to ALVEOLAR PATTERN._x000D_
3.Based on the AI airway/pulmonary findings, the probability of this patient having clinically detectable respiratory signs is VERY HIGH (&gt;75%)_x000D_
4.If NO respiratory signs are present, lung lobe collapse or severe atelectasis secondary to anesthesia or deep sedation could create this appearance._x000D_
5.Severe pleural effusion and a moderate to severe interstitial to alveolar pattern have been detected.</t>
  </si>
  <si>
    <t>Two lateral radiographs of the thorax/abdomen, VD abdomen, and three lateral stifle views are provided. Moderate to severe narrowed cervical trachea. The cardiac silhouette and pulmonary vessels are normal size and shape. The lungs are clear. There is no pleural effusion. In the abdomen the gastrointestinal tract is moderately filled. No radiopaque urolithiasis. The uterus is not identified. No organomegaly. No lumbar spinal abnormalities. The coxofemoral joints are congruent. Both patellas are medially displaced. There is moderate to large volume fluid in the cranial aspect of the left stifle joint. Small volume fluid in the right stifle. No popliteal lymphadenomegaly. Possible mild degenerative change in the left tibiotarsal joint, of doubtful clinical significance today.</t>
  </si>
  <si>
    <t>1. Moderate to severe left stifle effusion most consistent with cranial cruciate ligament tear/rupture. This is the cause for lameness._x000D_
2. Bilateral medial patellar luxation._x000D_
3. Cervical tracheal collapse. Normal thorax and abdomen.
(amended on 09/23/2024 05:40)
4. Mild right stifle effusion suggestive of partial cranial cruciate ligament tear. This is of doubtful clinical significance today.</t>
  </si>
  <si>
    <t>If lameness is severe/persistent and there is palpable stifle instability, surgical stabilization would be recommended.</t>
  </si>
  <si>
    <t>Six radiographs of the thorax and abdomen are provided. The cardiac silhouette and pulmonary vessels are normal size. There are no abnormalities in the pulmonary parenchyma. No pleural effusion. Normal tracheal diameter and cranial mediastinal width. Small volume fluid in the caudal esophagus is transient and incidental. In the abdomen there is no effusion or organomegaly. The gastrointestinal tract is mildly filled. No radiopaque cystic calculi.</t>
  </si>
  <si>
    <t>Normal thorax and abdomen. A reason for respiratory signs and hyporexia is not identified. Upper airway inflammation or infectious airway disease should be considered. There is no evidence of aspiration pneumonia.</t>
  </si>
  <si>
    <t xml:space="preserve">
1.MILD BRONCHIAL PATTERN; MILD PERIHILAR PATTERN._x000D_
2.Based on these AI airway/pulmonary findings, the probability of this patient having clinically detectable respiratorysigns is LOW (25%)_x000D_
3.Are respiratory signs present? If YES._x000D_
4.The cardiac silhouette size is normal._x000D_
5.There is no evidence of ALVEOLAR PATTERN, DYNAMIC AIRWAY COLLAPSE or BRONCHIECTASIS, PULMONARY NODULES or PLEURAL EFFUSION._x000D_
6.Are respiratory signs present? If NO.</t>
  </si>
  <si>
    <t>Patient Name : Jane Souza, Date of study: Sep 20, 2024
8 images are provided for review
There are no previous radiographs for comparison.
Abdomen image evaluation is requested.
Liver: The liver is minimal to mildly enlarged with a rounded caudoventral margin, but normal gastric axis.
Spleen: The spleen is normal in size with smooth margins and homogeneous soft tissue in the ventrodorsal image.
Kidneys: The left kidney is suspiciously enlarged and measures up to 3.5 x L2 vertebra. In the ventrodorsal image, the left kidney has a suspiciously undulant caudolateral margin.  The right kidney is not well-identified but is not obviously enlarged.  
Retroperitoneum: In the caudal retroperitoneum is tubular or lobular increased soft tissue.  This is dorsal to the descending colon, and the colon is ventrally displaced mildly.  Ill-defined mineral is superimpose over this soft tissue dorsal to the colon at the level of L7.  The cranial margin of this tissue is rounded and mass-like.  Retroperitoneal detail is adequate.
Urinary bladder/Urethra: Ill-defined mineral is over the caudal and slightly dorsal aspect of the urinary bladder in the presumed region of the urinary bladder neck.  Ill-defined mineral is over the cranioventral portion of the urinary bladder.  The urinary bladder is normal in size and well-defined, but has slightly undulant margins in the left lateral image.
Peritoneum: Peritoneal detail is adequate.
Gastrointestinal tract: The stomach contains moderate gas. Gastric rugal folds are mildly prominent.   The stomach is within normal limits for size.
The small intestine contains mild gas and fluid or is empty with a subjectively uniform population for size. 
The colon contains minimal heterogeneous soft tissue material and gas.  The colon is within normal limits for size.  
Musculoskeletal: Bilateral stifle osteoarthrosis is suspected. Mild bilateral coxofemoral joint osteoarthrosis is present.  The remaining included musculoskeletal structures are normal.</t>
  </si>
  <si>
    <t>1. Caudal retroperitoneal mass-like soft tissue with ill-defined mineral.
- This may be due to evolving neoplasia in the ureters such as from transitional cell carcinoma, or less likely mechanical obstruction/ureterolith and evolving urinoma or other. 
2. Suspicious left renomegaly and marginal change for evolving neoplasia (metastatic or less likely primary) versus other.
3. Atypical urinary bladder mineral in the cranioventral and urinary bladder neck regions is suspicious for dystrophic mineralization of neoplasia such as from transitional cell carcinoma, or less likely chronic cystitis/polypoid cystitis with mineralization from cystitis, or unlikely other.
4. Minima-mild hepatomegaly due to vacuolar change, nodular hyperplasia, evolving neoplasia (metastatic or unlikely primary), versus artifact.
5. Prominent gastric rugal folds due to non-specific gastritis versus variation of normal.
6. Non-specific small intestinal/colon appearance from enteritis/colitis (such as from evolving systemic disease) or variation of normal.
7. Bilateral stifle joint osteoarthrosis is suspected.
8. Bilateral coxofemoral joint osteoarthrosis.</t>
  </si>
  <si>
    <t>Consider abdominal ultrasonography for further evaluation of the urinary bladder, kidneys and ureters, as well as the liver.  BRAF testing and/or traumatic catheterization versus coagulation testing and percutaneous tissue sampling depending on results.  Consider computed tomography of the abdomen/pelvis/thorax for further evaluation, with/without contrast vaginocystourethrography/urethrography for further evalaution.  Routine blood work if not recently performed.  Empirical therapy and supportive care in the interim for cystitis and gastrointestinal clinical signs as needed.  Monitoring as directed or sooner if clinical signs acutely change, fail to improve or worsen.</t>
  </si>
  <si>
    <t xml:space="preserve">
1.A minimal to mild bronchointerstitial pulmonary pattern has been detected._x000D_
2.The cardiac silhouette size is normal._x000D_
3.There is no evidence of PERIHILAR INFILTRATE, DYNAMIC AIRWAY COLLAPSE or BRONCHIECTASIS or PLEURAL EFFUSION.</t>
  </si>
  <si>
    <t>Thorax: Today=ZZ91=s study is compared to a study dated 5/29/2024 there is mild unchanged left-sided cardiomegaly.  There is no evidence of cardiogenic pulmonary edema.  The pulmonary parenchyma and vasculature are unremarkable.  There is no evidence of lymphadenopathy or pleural effusion.  On the visible portions of the abdomen, there is rounding of the caudal ventral margins of the liver.</t>
  </si>
  <si>
    <t>Mild/minimal left-sided cardiomegaly without evidence of decompensation._x000D_
_x000D_
Rounding of the caudal ventral margins of the liver.  Primary differential considerations include a hepatopathy or possible hepatitis.</t>
  </si>
  <si>
    <t xml:space="preserve">
1.MODERATE DYNAMIC AIRWAY DISEASE; MILD BRONCHOINTERSTITIAL PULMONARY PATTERN +/- PULMONARY HYPOINFLATION._x000D_
2.MILD BRONCHOINTERSTITIAL PULMONARY PATTERN; MINIMAL to MILD PERIHILAR PATTERN._x000D_
3.Based on these AI airway/pulmonary findings, the probability of this patient having clinically detectable respiratory signs is MEDIUM (50%)_x000D_
4.Based on the AI airway/pulmonary findings, the probability of this patient having clinically detectable respiratory signs is LOW (25%)_x000D_
5.AI linked dynamic airway treatment: https://platform.v2.vetology.net/doc/canine-tracheal-collapse-treatment_x000D_
6.Pleural fissure lines or small volume pleural effusion has been detected. In a mildly overweight animal, excessive pericardial fat can artifactually mimic the result of minimal pleural effusion._x000D_
7.Moderate cardiomegaly has been detected but Heart Failure is NOT suspected._x000D_
8.In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9.Are respiratory signs present? If YES._x000D_
10.In the PRESENCE of respiratory signs, low grade active pneumonitis (allergic, bacterial, parasitic (including heartworm disease), inhaled allergen or toxin) or upper airway disease causing pulmonary hypoinflation and/or recurrent microaspiration may be more likely._x000D_
11.Are respiratory signs present? If NO.</t>
  </si>
  <si>
    <t>Patient Name : Zeus Bara, Date of study: Sep 20, 2024
3 images are provided for review
There are no previous radiographs for comparison.
Pulmonary parenchyma:  An atypical interstitial to minimally alveolar pattern is in the ventral periphery of the right caudal lung lobe in the left lateral image.  An ill-defined interstitial pattern is in the right caudal lung lobe in the ventrodorsal image.  A minimal to mild diffuse bronchial pattern is present.  Presumed nipples are superimposed over the 4th intercostal spaces bilaterally in the ventrodorsal image.
Pulmonary vasculature: The pulmonary vasculature is partially obscured in the right caudal lung in the ventrodorsal image.
Cardiac silhouette: The cardiac silhouette is has a prominent right lateral margin, and slightly straight left lateral margin in the ventrodorsal image ("reverse D" shape).  No obvious cardiomegaly in the lateral images.
Mediastinum: The cranial mediastinum is slightly enlarged on the left with a slightly convex margin in the ventrodorsal image.  Slight convex increased soft tissue is dorsal to the 2nd-3rd sternebrae in the right lateral image.
Trachea: The trachea is normal.
Esophagus: The esophagus is not well-identified.
Pleural space: The pleural space is normal.
Musculoskeletal: The included musculoskeletal structures are normal.</t>
  </si>
  <si>
    <t xml:space="preserve">1. Right caudal lung lobe interstitial to alveolar pattern.
- This position is atypical for aspiration pneumonia/bronchopneumonia unless the patient aspirated with in dorsal recumbency.
-  Consider also thromboembolic disease such as from underlying heartworm disease, or unlikely atypical neoplasia, hemorrhage or other.
2. Possible right-sided cardiomegaly such as from underlying heartworm disease, or less likely other, versus artifact from phase of the cardiopulmonary cycle.
3. Cranial mediastinal widening versus artifact and/or fat deposition.
- Consider sternal lymphadenomegaly (reactive hyperplasia versus metastatic/multicentric neoplasia), or unlikely evolving primary mass (thymoma, ectopic thyroid carcinoma) or other.
4. Minimal-mild diffuse bronchial pulmonary pattern due to fibrosis from prior disease, age-related changes, infectious/immune-mediated lower airway disease or unlikely other.
</t>
  </si>
  <si>
    <t>If patient has improved clinically and this is improved compared to prior images, continue therapy as directed and consider recheck thoracic radiographs 1-2 weeks.  Therapy for 1-2 weeks past radiographic resolution of bronchopneumonia.  Alternatively, consider computed tomography for further evaluation of the atypical position of this lesion,especially if it is similar to prior and/or the patient's condition is similar/worsened.  Depending on heartworm preventative status, consider heartworm testing if not recently performed.  Echocardiography may be contributory if positive.  Routine blood work if not recently performed to screen for occult systemic disease. Empirical therapy and supportive care in the interim as needed.  Monitoring as directed or sooner if clinical signs acutely change, fail to improve or worsen.</t>
  </si>
  <si>
    <t xml:space="preserve">
1.Pleural fissure lines or small volume pleural effusion has been detected. In a mildly overweight animal, excessive pericardial fat can artifactually mimic the result of minimal pleural effusion._x000D_
2.Are respiratory signs present? If NO._x000D_
3.The evaluation has come up positive for a pulmonary nodular pattern._x000D_
4.MODERATE INTERSTITIAL TO ALVEOLAR PATTERN; MILD BRONCHITIS._x000D_
5.Based on the AI airway/pulmonary findings, the probability of this patient having clinically detectable respiratory signs is MEDIUM to HIGH (50-75%)_x000D_
6.Are respiratory signs present? If YES._x000D_
7.The cardiac silhouette size is normal._x000D_
8.There is no evidence of DYNAMIC AIRWAY COLLAPSE or BRONCHIECTASIS.</t>
  </si>
  <si>
    <t>Thorax: There is moderate generalized cardiomegaly.  There is no evidence of cardiogenic pulmonary edema or pleural effusion.  On the lateral views there is a soft tissue circular opacity measuring 0.70 cm in diameter located within the cranial ventral thorax immediately cranial to the cardiac silhouette.  The remainder of the pulmonary parenchyma is unremarkable.  The pulmonary vasculature is unremarkable.  There is no evidence of lymphadenopathy or pleural effusion.  On the visible portions of the abdomen there is mild diffuse hepatomegaly with rounding of the caudal ventral margins.  The left kidney has a slightly irregular shape on the ventrodorsal view.  The right kidney is not identified.</t>
  </si>
  <si>
    <t>Generalized cardiomegaly without evidence of decompensation._x000D_
_x000D_
Circular soft tissue opacity located cranial to the cardiac silhouette.  This may represent a pulmonary nodule (laterality uncertain) or possible summation artifact._x000D_
_x000D_
Diffuse hepatomegaly._x000D_
_x000D_
Suspect degenerative changes involving the left kidney.</t>
  </si>
  <si>
    <t xml:space="preserve">
1.Are respiratory signs present? If NO._x000D_
2.MINIMAL TO MILD BRONCHOINTERSTITIAL PULMONRAY PATTERN; MILD PERIHILAR PATTERN._x000D_
3.MODERATE DYNAMIC AIRWAY DISEASE; MILD BRONCHIAL PATTERN._x000D_
4.Based on these AI airway/pulmonary findings, the probability of this patient having clinically detectable respiratory signs is MEDIUM (50%)_x000D_
5.Based on the AI airway/pulmonary findings, the probability of this patient having clinically detectable respiratory signs is LOW (25%)_x000D_
6.Are respiratory signs present? If YES._x000D_
7.Are respiratory signs present? If YES._x000D_
8.There is no evidence of PULMONARY NODULES._x000D_
9.Are respiratory signs present? If NO._x000D_
10.Severe cardiomegaly has been detected but Heart Failure is NOT suspected.</t>
  </si>
  <si>
    <t>3 views centered over the thorax and abdomen are submitted for review.  The cardiac silhouette is generally enlarged with moderate to marked left atrial enlargement.  The intrathoracic trachea is dorsally deviated.  The pulmonary vasculature is mildly prominent.  Mild bronchointerstitial markings are noted in the lung fields.  No evidence of cardiogenic pulmonary edema is seen.  No pleural effusion or intrathoracic lymphadenopathy is noted.  The trachea is normal in diameter._x000D_
In the abdomen, the stomach and small bowel contain mild amount of gas.  Formed stool is noted throughout the colon.  The liver and spleen are normal in size, shape, and margination.  The bilateral renal silhouettes are within normal limits.  The urinary bladder is unremarkable.  Serosal detail is normal.</t>
  </si>
  <si>
    <t>The appearance of the heart is most consistent with left-sided cardiomegaly associated with at least stage B2 myxomatous mitral valve disease.  No evidence of congestive heart failure is noted in the current study. The very mild changes in the lung fields are nonspecific and could be associated with chronic inflammatory airway disease and/or age-related change._x000D_
Essentially radiographically normal abdomen.</t>
  </si>
  <si>
    <t>Chronic inflammatory airway disease, dynamic large airway collapse or compression associated with left atrial enlargement could be considered as a cause of the cough.  No evidence of congestive heart failure is noted in the current study although cardiac medication as with Pimobendan is likely indicated.  An echocardiogram should be considered for further evaluation of the heart.</t>
  </si>
  <si>
    <t xml:space="preserve">
1.MILD to MODERATE BRONCHOINTERSTITIAL PULMONARY PATTERN; MILD DYNAMIC AIRWAY DISEASE; ATELECTASIS or less likely, pneumonia._x000D_
2.Based on these AI airway/pulmonary findings, the probability of this patient having clinically detectable respiratory signs is MEDIUM (50%)_x000D_
3.Are respiratory signs present? If NO._x000D_
4.Are respiratory signs present? If YES._x000D_
5.Pleural fissure lines or small volume pleural effusion has been detected. In a mildly overweight animal, excessive pericardial fat can artifactually mimic the result of minimal pleural effusion._x000D_
6.Severe cardiomegaly has been detected but Heart Failure is NOT suspected.</t>
  </si>
  <si>
    <t>Orthogonal views of the thorax and abdomen are provided:_x000D_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are mildly gas and fluid filled, not overtly distended. _x000D_
Unformed feces in the colon._x000D_
Serosal detail is preserved._x000D_
Liver and spleen are within normal limits of size and smoothly marginated._x000D_
Kidneys and urinary bladder WNL.</t>
  </si>
  <si>
    <t>1) Unremarkable thorax without signs of pulmonary metastases nor signs of thoracic lymphadenopathy._x000D_
2) Unremarkable abdomen other than the unformed feces in the colon.</t>
  </si>
  <si>
    <t>Consider abdominal US to further evaluate causes of diarrhea for 3-4 weeks (ideally internist consultation).</t>
  </si>
  <si>
    <t>Abdomen. Five radiographs of the abdomen (four lateral, one VD) dated September 20, 2024 are provided.
Urinary: The urinary bladder is moderately distended. On all views there are several variably sized gas foci within the lumen of the urinary bladder. On the last image timestamp 14:48:24 there is positive contrast media within the mid aspect of the urinary bladder. There is no evidence of contrast within the peritoneal space. The kidneys are largely obscured due to superimposition of bowel and reduced detail.
Gastrointestinal tract: The stomach is small in size and primarily soft tissue opaque. The small intestines are poorly delineated due to reduced serosal detail. Pathologic dilation is not identified. There is loosely formed feces and gas in the colon.
Liver: The liver is within normal limits of size and shape.
Spleen: The spleen is normal in size with smooth margins.
Peritoneal/retroperitoneal space: There is a diffuse reduction in detail in the peritoneal and retroperitoneal spaces.
Musculoskeletal: The included skeletal and superficial soft tissue structures of the study are within normal limits.</t>
  </si>
  <si>
    <t>1. Reduced serosal detail in the peritoneal and retroperitoneal spaces. Differentials include modified/pure transudate, hemorrhage, and exudate. The uroperitoneum is unlikely given no evidence of bladder rupture.
2. There is intraluminal gas within the urinary bladder, likely secondary to the reported urinary catheterization. Calculi within urinary bladder or urethra are not identified.
3. The gastrointestinal tract is unremarkable. A soft tissue opaque foreign body is not ruled out.</t>
  </si>
  <si>
    <t xml:space="preserve">Consider abdominal ultrasound for further evaluation of the urinary bladder and peritoneal/retroperitoneal space. Urine culture and sensitivity testing may be contributory if not already performed. If peritoneal effusion is confirmed, abdominocentesis with cytology would be recommended.
</t>
  </si>
  <si>
    <t>Study:_x000D_
Thoracic and abdominal radiography: six images dated September 20, 2024_x000D_
_x000D_
Findings:_x000D_
There is moderate left ventricular and left atrial enlargement. The pulmonary vasculature is normal in size. There is a mild generalized bronchial pulmonary pattern. No pulmonary nodules or masses are present. The pleural space is normal. There is no intrathoracic lymphadenopathy. The trachea is normal in diameter. The stomach contains a small volume of gas. The small intestines are normal in size, course and content. The colon contains formed fecal material. The liver is moderately enlarged with smooth and sharp margins. The spleen is normal in size and margin. The renal silhouettes are normal in size and contour. The urinary bladder is normal in size and opacity. There is narrowing of the L2-L3, L4-L5 and L5-L6 intervertebral disc spaces with mild to moderate spondylosis deformans. There is mild spondylosis deformans at L7-S1 without intervertebral disc space narrowing. TPLO implants are present in the proximal aspect of the right tibia. There is no peri-implant lucency. There is a lipomatous mass in the subcutaneous tissues of the ventral thorax. There is a 3 cm soft tissue opaque mass in the subcutaneous tissues of the left lateral thorax. A small lipomatous mass is present in the subcutaneous tissues of the caudoventral abdomen.</t>
  </si>
  <si>
    <t>1. Moderate left-sided cardiomegaly, indicative of mitral valve disease, without evidence of decompensation. Echocardiography should be considered for further evaluation._x000D_
2.  The mild generalized bronchial pulmonary pattern may indicate allergic, inflammatory, infectious, parasitic or irritant bronchitis. Airway sampling, heartworm testing and Baermann fecal flotation can be considered for further evaluation._x000D_
3. There is no radiographic evidence of pulmonary metastatic disease._x000D_
4. The generalized hepatomegaly is nonspecific. Rule out metabolic/vacuolar hepatopathy, hyperplasia, hepatitis or infiltrative neoplasia. Sonography can be considered for further evaluation._x000D_
5. The remainder the abdomen is unremarkable. Abdominal sonography can be considered for further staging._x000D_
6. Multifocal lumbar intervertebral disc disease._x000D_
7. Left lateral thoracic subcutaneous is soft tissue mass. Rule out benign or malignant neoplasia, abscess or granuloma.</t>
  </si>
  <si>
    <t xml:space="preserve">
1.MILD to MODERATE BRONCHOINTERSTITIAL PATTERN; MILD DYNAMIC AIRWAY DISEASE._x000D_
2.Based on these AI airway/pulmonary findings, the probability of this patient having clinically detectable respiratory signs is MEDIUM (50%)_x000D_
3.Are respiratory signs present? If NO._x000D_
4.Are respiratory signs present? If YES._x000D_
5.Severe cardiomegaly has been detected but Heart Failure is NOT suspected.</t>
  </si>
  <si>
    <t>Three radiographs of the thorax, orthogonal views of the right thoracic limb, and three views of the pelvis/proximal pelvic limbs are provided. The cardiac silhouette and pulmonary vessels are normal size. Normal-sized caudal vena cava. There is no pleural fluid or gas. The diaphragm is intact. No pulmonary parenchymal abnormalities. No rib fractures. Normal cervicothoracic spine. No scapular abnormalities. Possible mild soft tissue thickening cranial to the right elbow and carpus on the lateral view. The shoulder, cubital, and carpal joints are congruent. Thin linear mineral density extending medial to the distal humeral metaphysis on the lateral view is likely a combination of superimposed cubital skin fold and a portion of the olecranon._x000D_
_x000D_
Normal caudal abdomen and lumbar spine. Both femoral necks are mildly thickened. Patella position is normal. No stifle joint effusion.</t>
  </si>
  <si>
    <t>1. Possible mild soft tissue swelling at the level of the right cubital joint and carpus. Soft tissue sprain/strain or contusion is most likely. There is no fracture or subluxation._x000D_
2. Bilateral mild coxofemoral osteoarthritis._x000D_
3. Normal thorax.</t>
  </si>
  <si>
    <t>Recommend supportive care with anti-inflammatories.</t>
  </si>
  <si>
    <t>Patient Name : Kratos Neri, Date of study: Sep 20, 2024
5 images are provided for review
There are no previous radiographs for comparison.
Pulmonary parenchyma:  In the right lateral image, ill-defined mineral focu is superimposed over the 4th intercostal space.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Multifocal thoracolumbar spondylosis deformans is present.  Reported ventral neck mass is not identified in the lateral image of the neck provided.   The remaining included musculoskeletal structures are normal.</t>
  </si>
  <si>
    <t>1. Suspected bronchial mineral, granuloma, superimposed external material, or end-on vasculature over the right middle lung lobe in the left lateral image, or less likely early/evolving metastatic neoplasia.
2. Mild diffuse bronchial pattern such as from fibrosis from prior disease, age-related changes, infectious/immune-mediated lower airway disease, or unlikely atypical metastatic neoplasia or other.</t>
  </si>
  <si>
    <t>Consider computed tomography of the thorax for a more sensitive evaluation of the lungs.  Neck computed tomography for pre-surgical planning of incisional/excisional biopsy of reported neck mass may be contributory.  Routine blood work, thyroid function testing and abdominal imaging to screen for occult systemic disease may b contributory.  Oncologist consultation depending on results of additional imaging. Empirical therapy and supportive care as needed in the interim.  Monitoring as directed, or sooner if clinical signs acutely change, fail to improve or worsen.</t>
  </si>
  <si>
    <t>Three radiographs of the thorax, orthogonal views of the pelvis, and a lateral view of the right stifle are provided. The cardiac silhouette is normal size. Pulmonary vessels are normal size. There are no abnormalities in the pulmonary parenchyma. No pleural effusion. Tracheal diameter is adequate. Small fat opaque lipomatous lesion ventral to the caudal sternum is incidental._x000D_
_x000D_
The patient is listed as neutered but appears to be intact on these images. The prostate is severely enlarged consistent with intact reproductive status. The coxofemoral joints are congruent. Pelvic limb musculature is reduced on the right side. Patellar location is normal. There is moderate volume fluid in the cranial and caudal aspect of the right stifle joint. No stifle degenerative change.</t>
  </si>
  <si>
    <t>1. Moderate right stifle effusion most consistent with cranial cruciate ligament tear/rupture. This is the cause for lameness. The coxofemoral joints are normal._x000D_
2. Normal thorax. There is no evidence of cardiovascular disease on this study. A small valvular regurgitant jet can result in a relatively loud murmur.</t>
  </si>
  <si>
    <t>Surgical stabilization of the right stifle is recommended. There is no contraindication for general anesthesia based on this study.</t>
  </si>
  <si>
    <t>Three radiographs of the thorax, and three views of the abdomen are provided. The cardiac silhouette is normal size and shape. There is a mild unstructured interstitial pattern consistent with age. Curved increased opacity overlying the right 11th intercostal space on the VD projection is superimposed nipple. No soft tissue pulmonary nodules or pleural effusion. Adequate tracheal diameter._x000D_
_x000D_
In the abdomen peritoneal and retroperitoneal detail is adequate. Normal-sized spleen, liver, left kidney. The right kidney is obscured. With the gastrointestinal tract is minimally filled. No radiopaque cystic calculi. Wispy soft tissue thickening in the superficial inguinal region may represent one of the reported mammary lesions.</t>
  </si>
  <si>
    <t>Normal thorax and abdomen. A reason for lethargy and respiratory signs is not identified.</t>
  </si>
  <si>
    <t>Recommend a CBC and blood chemistry profile to rule out a metabolic abnormality. There is no contraindication for general anesthesia based on this study.</t>
  </si>
  <si>
    <t xml:space="preserve">
1.A moderate to severe interstitial to alveolar infiltrate with a mild perihilar infiltrate has been identified._x000D_
2.Are respiratory signs present? If NO._x000D_
3.The cardiac silhouette size is normal._x000D_
4.SEVERE PLEURAL EFFUSION; MODERATE TO SEVERE INTERSTITIAL to ALVEOLAR PATTERN; MILD BRONCHIAL PATTERN._x000D_
5.Based on the AI airway/pulmonary findings, the probability of this patient having clinically detectable respiratory signs is VERY HIGH (&gt;75%)_x000D_
6.Severe pleural effusion has been detected._x000D_
7.Are respiratory signs present? If YES.</t>
  </si>
  <si>
    <t>Opposite lateral and VD views of the thorax and abdomen are provided._x000D_
_x000D_
The cardiovascular structures are within normal limits. No pulmonary infiltrates or nodules are identified. No pleural abnormalities are seen._x000D_
_x000D_
The liver is at the upper end of normal size range to slightly enlarged. The other organs in the abdomen are within normal size and shape limits. The GI tract contains normal appearing soft tissue dense content. No foreign bodies are seen. No pathologic dilation of the stomach or intestine is identified. Serosal detail is normal._x000D_
_x000D_
A small defined irregular mineral opacity is identified dorsal to the L5-06 intervertebral disc space. Faint linear mineral opacity is also seen in the ventral aspect of the lumbar spinal canal more generally. These changes are suspected to be the result of dural mineralization, likely to be incidental. There is severe spondylosis involving the cranial lumbar spine, also likely incidental.</t>
  </si>
  <si>
    <t>No significant thoracic abnormalities are identified._x000D_
_x000D_
Liver size is borderline, at the upper end of normal range to slightly enlarged. Correlation with relevant labwork abnormalities is recommended._x000D_
_x000D_
No findings indicative of neoplasia are identified. No changes that would specifically explain the reported abdominal pain or loss of appetite are identified.</t>
  </si>
  <si>
    <t>The radiographic findings are limited. Ultrasound of the abdomen could be considered for more complete evaluation.</t>
  </si>
  <si>
    <t xml:space="preserve">
1.Are respiratory signs present? If NO._x000D_
2.PULMONARY NODULES or NODULAR PATTERN; MILD to MODERATE BRONCHOINTERSTITIAL PATTERN with an ALVEOLAR COMPONENT; MILD PERIHILAR INFILTRATE._x000D_
3.Based on the AI airway/pulmonary findings, the probability of this patient having soft tissue pulmonary nodules and clinically detectable respiratory signs is MEDIUM to HIGH (50-75%)_x000D_
4.Are respiratory signs present? If YES._x000D_
5.The cardiac silhouette size is normal._x000D_
6.The evaluation has a strong suspicion of soft tissue pulmonary nodules being present.</t>
  </si>
  <si>
    <t>Patient Name : Stella Snider, Date of study: Sep 20, 2024
3 images are provided for review
Canine Thorax (3 Images) - 2 Lateral, 1 Vd
There are no previous radiographs for comparison.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</si>
  <si>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Mild-moderate diffuse bronchial pulmonary pattern.
- Differential diagnoses include fibrosis from prior disease, age-related changes, infectious/immune-mediated lower airway disease such as from bordetella spp., mycoplasma spp., parasitism, or inhaled allergen/irritant, or unlikely other.
2. No obvious pulmonary soft tissue nodules or intra-thoracic lymphadenomegaly.</t>
  </si>
  <si>
    <t>Consider respiratory PCR panel, airway sampling, and fecal analysis/empirical deworming for further evaluation.  Empirical therapy and supportive care in the interim as needed. Monitoring as directed or sooner if clinical signs acutely change, fail to improve or worsen.</t>
  </si>
  <si>
    <t>Study:_x000D_
Thoracic radiography: three images dated September 20, 2024_x000D_
_x000D_
Findings:_x000D_
The cardiac silhouette is normal in size and shape. The pulmonary vasculature is normal in size. There is incidental age-related bronchial wall mineralization. The bony ring was otherwise unremarkable. The pleural space is normal. There is no intrathoracic lymphadenopathy. On the right lateral view, there is a broad-based soft tissue opaque band superimposed with the trachea lumen at the thoracic inlet representing either a redundant dorsal tracheal membrane or superimposition of the esophagus. The larynx is unremarkable. The liver extends mildly beyond the costal arch with smooth margins. There is mild bilateral elbow periarticular bone formation. There is mild multifocal thoracic spondylosis deformans.</t>
  </si>
  <si>
    <t>1. Normal thorax.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 Sedated laryngeal exam, infectious respiratory disease PCR testing, fluoroscopy, airway sampling plus/minus heartworm testing and Baermann fecal flotation can be considered to further evaluate the reported coughing._x000D_
2. The generalized hepatomegaly is nonspecific. Rule out metabolic/vacuolar hepatopathy, hyperplasia, hepatitis or infiltrative neoplasia. Sonography can be considered for further evaluation._x000D_
3. Mild bilateral elbow osteoarthrosis.</t>
  </si>
  <si>
    <t xml:space="preserve">
1.MILD BRONCHOINTERSTITIAL PULMONARY PATTERN with ATELECTASIS or less likely, PNEUMONIA; MILD PERIHILAR INFILTRATE._x000D_
2.Based on the AI airway/pulmonary findings, the probability of this patient having clinically detectable respiratory signs is LOW to MEDIUM (25%-50%)_x000D_
3.Are respiratory signs present? If YES._x000D_
4.Are respiratory signs present? If NO_x000D_
5.Pleural fissure lines or moderate pleural effusion has been detected. An overlying skin fold or in a moderately overweight animal, excessive pericardial fat could artifactually mimic the result of moderate pleural effusion._x000D_
6.Mild cardiomegaly has been detected but Heart Failure is NOT suspected.</t>
  </si>
  <si>
    <t>5 views of the left thoracic limb are submitted for review.  A focal, ill-defined osteolytic lesion is noted in the proximal metaphysis of the left humerus.  An irregular periosteal reaction is noted along the cranial aspect of the proximal humerus.  Mild periarticular osteophytosis is seen at the anconeal process of the ulna and along the medial epicondyle of the humerus.  The medial coronoid process is not well-delineated.  No significant abnormalities are seen in the distal aspect of the left thoracic limb or in the limited view of the right thoracic limb.
(amended on 09/23/2024 08:19)
Mild bony remodeling is noted at the distal radius, carpal bones, and proximal metacarpal region, as well as in the digits, primarily 2 and 5, of the left front foot.</t>
  </si>
  <si>
    <t>Aggressive bone lesion associated with the proximal metaphysis of the left humerus.  This is highly consistent with primary neoplasia such as osteosarcoma or possibly fungal or bacterial osteomyelitis.
(amended on 09/23/2024 08:19)
Mild degenerative joint disease in the elbow and left front foot.  These changes are considered secondary clinical significance in this case.</t>
  </si>
  <si>
    <t>Fine-needle aspiration or biopsy of the proximal aspect of the left humerus is recommended.  Fungal titers could also be considered.  A 3 view radiographic study of the thorax is also recommended.</t>
  </si>
  <si>
    <t>Study:_x000D_
Thoracic radiography: three images dated September 20, 2024_x000D_
_x000D_
Findings:_x000D_
There is moderate to severe generalized cardiomegaly characterized by biventricular and left atrial enlargement. The pulmonary vasculature is normal in size. There is a mild diffuse, uniform unstructured interstitial pulmonary pattern. The pleural space is normal. There is no intrathoracic lymphadenopathy. The trachea is normal in diameter. The included abdomen is unremarkable. There is mild multifocal spondylosis deformans. Mild periarticular bone formation is present at the caudodistal aspect of the humeral head bilaterally.</t>
  </si>
  <si>
    <t>1. Severe cardiomegaly. Both mitral and tricuspid valve disease or suspected. A cardiomyopathy is considered less likely but cannot be completely excluded. Recommend echocardiography for further evaluation._x000D_
2. The mild diffuse interstitial pulmonary pattern is a nonspecific finding. This is most likely a benign age-related change. Interstitial lung disease (e.g. idiopathic pulmonic fibrosis) cannot be completely excluded. Cardiogenic pulmonary edema/decompensated congestive heart failure is unlikely given the diffuse uniform nature of this finding._x000D_
3. Normal diameter of the trachea does not exclude the possibility of tracheal collapse as a potential cause of the reported cyanosis during restraint. Fluoroscopy can be considered to further evaluate for possible dynamic airway disease._x000D_
4. Mild bilateral shoulder osteoarthrosis.</t>
  </si>
  <si>
    <t xml:space="preserve">
1.A moderate interstitial to alveolar pattern has been detected._x000D_
2.A minimal bronchial pattern has been detected._x000D_
3.Moderate dynamic airway disease has been detected._x000D_
4.Pleural fissure lines or moderate pleural effusion has been detected. An overlying skin fold or in a moderately overweight animal, excessive pericardial fat could artifactually mimic the result of moderate pleural effusion._x000D_
5.Severe cardiomegaly has been detected but Heart Failure is NOT suspected._x000D_
6.A moderate alveolar and more diffuse interstitial pulmonary pattern has been identified.</t>
  </si>
  <si>
    <t>Study:_x000D_
Thoracic/abdominal radiography: right lateral and orthogonal views (two images) dated September 20, 2024_x000D_
_x000D_
Findings:_x000D_
The cardiac silhouette and pulmonary vasculature are normal in size. The pulmonary parenchyma is unremarkable. The pleural space is normal. There is no intrathoracic lymphadenopathy. There is a broad-based soft tissue opaque band superimposed with the dorsal aspect of the trachea lumen at the thoracic inlet likely representing a redundant dorsal tracheal membrane. The tracheal diameter is normal. The stomach contains a small volume of gas. The small intestines are normal in size, course and content. The colon contains formed fecal material. The liver extends mildly beyond the costal arch with a rounded caudoventral margin. The spleen is normal in size and margin. The kidneys are normal in size and contour. The urinary bladder is normal in size and opacity. There is no prostatomegaly. Suture material is present in the inguinal region. There is narrowing of the T 12-T 13 and T 13-L1 intervertebral disc spaces. The C3-C4 through C6-C7 intervertebral disc spaces also appear narrowed=ZZ90= however, this finding could be overestimated by patient positioning and beam distortion. There is variable mild to severe multifocal spondylosis deformans.</t>
  </si>
  <si>
    <t>1. Redundant dorsal tracheal membrane. Normal diameter of the trachea does not to the positive concomitant tracheal collapse. Fluoroscopy can be considered to further evaluate for possible dynamic airway disease as a cause of coughing is not ever otherwise evident._x000D_
2. There is no radiographic evidence of heart disease. Consider echocardiography for further evaluation of the reported heart murmur._x000D_
3. There is no radiographic evidence of pulmonary metastatic disease._x000D_
4. The mild hepatomegaly and rounding of the caudal ventral liver margin is likely secondary to the reported liver mass. The remainder the abdomen is unremarkable._x000D_
5. Multifocal intervertebral disc disease.</t>
  </si>
  <si>
    <t>Patient Name : Sam Labath, Date of study: Sep 20, 2024
3 images are provided for review
Canine Thorax (3 Images) - 2 Lateral, 1 Vd
Prior images dated July 1, 2024.
Pulmonary parenchyma:   In the left caudal lung lobe is an ovoid soft tissue region in the ventrodorsal image.  Interstitial to alveolar soft tissues is in the right caudal and right middle lung lobes in the ventrodorsal image.  Numerous well-defined round pulmonary soft tissues nodules are present, best identified in the right lateral image.
Pulmonary vasculature: The pulmonary vasculature is subjectively normal in size and tapers in the periphery of the lungs.
Cardiac silhouette: The cardiac silhouette has a slightly flattened caudodorsal margin in the lateral images.
Mediastinum:   Increased soft tissue in in the cranial mediastinum in the lateral images that is not corroborated in the ventrodorsal image.  There is suspected caudal displacement of the carina to the level of T6.
Trachea: The trachea is normal.
Esophagus: The esophagus is not well-identified.
Pleural space:  The pleural fissure between the subsegments of the left cranial lung is thickened in the ventrodorsal image.  
Musculoskeletal: Multifocal lumbar spondylosis deformans and intervertebral disc space narrowing with superimposed intervertebral foraminal mieral at L1-2 and L2-3.  Three well-defined metal ballistic pellets (BBs) ion the cranioventral extra thoracic  and left/right brachial soft tissues. The remaining included musculoskeletal structures are normal.</t>
  </si>
  <si>
    <t>1.  Numerous pulmonary soft tissue nodules, best identified in the right lateral image.
- This is most suspicious for metastatic neoplasia such as from primary pulmonary carcinoma or occult primary neoplasm, or unlikely granulomatous disease or other.
2. Suspicious for left caudal lung lobe soft tissue nodule/mass versus interstitial/alveolar pattern.
- If present, consider primary pulmonary carcinoma or less likely other, versus metastatic disease from occult primary, or unlikely granulomatous/fungal pneumonia or other.
3. Right middle and caudal lung lobe interstitial to alveolar pulmonary patterns due to atypical/evolving neoplasia (metastatic/multicentric versus other), or unlikely cardiogenic pulmonary edema, hemorrhage or other.
4. Increased cranial mediastinal soft tissue and suspicious for mass-effect/caudal carina displacement, versus artifact from superimposed normal structures/patient positioning/phase of the cardiopulmonary cycle.
5. Mild left sided pleural thickening and/or pleural effusion (malignant effusion or unlikely other suspected).
6. Slight left atrial enlargement versus artifact from phase of the cardiopulmonary cycle/patient positioning.
- Consider myxomatous mitral valvular disease and insufficiency, or unlikely other.</t>
  </si>
  <si>
    <t>These findings are unlikely due to evolving left-sided congestive heart failure.  Echocardiography, eCG and blood pressure may be contributory. Routine blood work, coagulation testing, and urinalysis may be contributory Consider computed tomography of the thorax for further evaluation of the pulmonary nodules and suspected evolving mass(es), and possible tissue sampling if lesions are amenable.  Oncologist consultation depending on results.  Empirical therapy and supportive care in the interim as needed.  Consider abdominal imaging to screen for occult systemic disease. Monitoring as directed, or sooner if clinical signs acutely change, fail to improve or worsen.</t>
  </si>
  <si>
    <t xml:space="preserve">
1.SEVERE PLEURAL EFFUSION; MODERATE TO SEVERE INTERSTITIAL to ALVEOLAR PATTERN; MODERATE DYNAMIC AIRWAY DISEASE._x000D_
2.Based on the AI airway/pulmonary findings, the probability of this patient having clinically detectable respiratory signs is VERY HIGH (&gt;75%)_x000D_
3.If NO respiratory signs are present, lung lobe collapse or severe atelectasis secondary to anesthesia or deep sedation could create this appearance._x000D_
4.The evaluation has a strong suspicion of pulmonary nodules or mass lesion being present._x000D_
5.A moderate perihilar infitlrate has been detected._x000D_
6.Mild cardiomegaly has been detected but Heart Failure is NOT suspected._x000D_
7.Severe pleural effusion has been detected.</t>
  </si>
  <si>
    <t xml:space="preserve">
1.A mild perihilar infiltrate has been detected._x000D_
2.The cardiac silhouette size is normal._x000D_
3.There is no evidence of BRONCHITIS, ALVEOLAR PATTERN or DYNAMIC AIRWAY COLLAPSE or BRONCHIECTASIS.</t>
  </si>
  <si>
    <t>14 images of the thorax, cervical region, abdomen, and pelvis are presented for review.  The cardiovascular and pulmonary structures are normal.  The cranial mediastinum is mildly widened.  Increased soft tissue is seen in the cranial mediastinum both ventral to the trachea and dorsal to the sternum.  Poorly defined soft tissue surrounds the tracheal bifurcation.  Additional rounded soft tissue structures are seen in the submandibular region and cranial to the scapulohumeral joints.  The pleural structures are normal.  Abdominal serosal detail is adequate in all quadrants.  The stomach contains a small amount of gas.  The small intestines are normal in size.  Poorly defined soft tissue mass is seen in the mid abdomen, ventral to the kidneys and colon and caudal to the right kidney.  Gas and feces are present in the colon.  Rounded soft tissue is seen dorsal to the colon and ventral to L6 and L7.  The urinary bladder is small.  The remaining abdominal organs are normal.  Rounded soft tissue structures are seen in the inguinal region.  There is spondylosis deformans of the thoracolumbar spine.  The coxofemoral joints are congruent.  No fractures or aggressive osseous lesions are seen.</t>
  </si>
  <si>
    <t>Multicentric lymphadenopathy, including submandibular, periscapular, hilar, sternal, cranial mediastinal, sublumbar, inguinal.  Mid abdominal mass=ZZ90= consider additional mesenteric lymphadenopathy versus intestinal origin.</t>
  </si>
  <si>
    <t>Aspirates of the lymph nodes and abdominal ultrasound may be helpful in further evaluation.</t>
  </si>
  <si>
    <t xml:space="preserve">
1.The cardiac silhouette size is normal._x000D_
2.There is no evidence of BRONCHITIS, ALVEOLAR PATTERN, PERIHILAR INFILTRATE, PULMONARY NODULES or PLEURAL EFFUSION._x000D_
3.A minimal interstitial pattern has been detected.</t>
  </si>
  <si>
    <t>Orthogonal radiographs of the thorax, and three views of the abdomen are provided. The cardiac silhouette and pulmonary vessels are normal size. There are no abnormalities in the pulmonary parenchyma. No pleural effusion. Small volume fat deposition in the cranial mediastinum. Adequate tracheal diameter._x000D_
_x000D_
In the abdomen splenic tail margins are smoothly lobulated. There are several small poorly delineated fat opaque areas within the splenic tail. Normal-sized liver, kidneys. Moderate volume of formed feces in the colon. Punctate mineral density in the stomach is incidental. Small bowel are minimally filled. No radiopaque cystic calculi. Tubular soft tissue structure overlying the retroperitoneal space is likely normal caudal vena cava.</t>
  </si>
  <si>
    <t>1. Fat opacity within the splenic tail may represent incidental fat deposition. The lobulated splenic tail margins is more concerning for a neoplastic process. Lymphoid hyperplasia could cause this appearance. No other abdominal abnormalities._x000D_
2. Normal thorax.</t>
  </si>
  <si>
    <t>Recommend routine blood work, urinalysis, and abdominal ultrasound.</t>
  </si>
  <si>
    <t xml:space="preserve">
1.MODERATE INTERSTITIAL TO ALVEOLAR PATTERN; PULMONARY NODULES or NODULAR PATTERN; MILD BRONCHITIS_x000D_
2.Based on the AI airway/pulmonary findings, the probability of this patient having clinically detectable respiratory signs is MEDIUM (50%). A few (&lt;5) soft tissue pulmonary nodules may be present._x000D_
3.Are respiratory signs present? If YES._x000D_
4.Are respiratory signs present? If NO._x000D_
5.The cardiac silhouette size is normal._x000D_
6.The evaluation has detected soft tissue pulmonary nodules.</t>
  </si>
  <si>
    <t>Thorax. Three radiographs of the thorax (2 lateral, 1 VD) dated September 20, 2024 are provided. No comparison images are available. 
Cardiac silhouette: The cardiac silhouette is within normal limits of size and shape (VHS 10). On the left lateral view, there is the impression of mild left atrial enlargement, however this is not persistent on the other views. 
Pulmonary vessels: The pulmonary arteries and veins are normal in size and are symmetrical.
Pulmonary parenchyma: There is a mild diffuse bronchial pattern.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Cranial abdomen: There is adequate serosal detail in the cranial abdomen.
Musculoskeletal: The intervertebral disc spaces of C6-7 and C7-T1 are narrowed. There is mild spondylosis deformans of C7 and T1.</t>
  </si>
  <si>
    <t>1. Unremarkable cardiovascular structures. There is no evidence of heart failure.
2. Mild diffuse bronchial pattern. Differentials include chronic bronchitis of allergic, infectious/inflammatory, and irritant etiologies.</t>
  </si>
  <si>
    <t>-An echocardiogram, ECG, and blood pressure are recommended for further evaluation of the heart and to guide treatment.
-Airway sampling (respiratory PCR, lavage, wash) is recommended to guide treatment for chronic bronchitis.</t>
  </si>
  <si>
    <t xml:space="preserve">
1.Based on these AI airway/pulmonary findings, the probability of this patient having clinically detectable respiratory signs is MEDIUM (50%)_x000D_
2.Are respiratory signs present? If YES._x000D_
3.Are respiratory signs present? If NO._x000D_
4.MODERATE BRONCHIAL PATTERN; MILD DYNAMIC AIRWAY DISEASE._x000D_
5.Moderate to severe bronchointerstitial pulmonary pattern._x000D_
6.A minimal perihilar infiltrate has been detected._x000D_
7.Mild cardiomegaly has been detected but Heart Failure is NOT suspected.</t>
  </si>
  <si>
    <t>A three view study of the thorax is provided for interpretation. The studies compared to the previous dated 8-8-23._x000D_
_x000D_
There is mild heart enlargement and increased pericardial and mediastinal fat that is similar in appearance to previous radiographs. No pulmonary edema is seen. There is a mild bronchial pattern, that is more prominent than the appearance in the previous study. No laryngeal abnormalities are identified. There is mild dynamic narrowing of the mid trachea. The appearance is within the limits of benign variation. One thin pleural fissure line is seen superimposed over the heart in the right lateral view, but clinically relevant pleural effusion is not appreciated. Small intestinal and gastric gas is mildly increased overall. No pathologic dilation of the stomach or intestine is seen.</t>
  </si>
  <si>
    <t>There is a mild bronchial pattern. The appearance would be compatible with low-grade bronchitis. Allergic vs. infectious causes should be ruled out._x000D_
There is mild static cardiomegaly with no evidence of heart failure._x000D_
No tracheal collapse is identified.</t>
  </si>
  <si>
    <t>Allergic vs. infectious causes of bronchitis should be ruled out._x000D_
CBC is recommended._x000D_
Antibiotic therapy could be considered if potential infectious diseases supported by CBC or other clinical findings.</t>
  </si>
  <si>
    <t xml:space="preserve">
1.MILD BRONCHOINTERSTITIAL PULMONARY PATTERN WITH ATELECTASIS or LESS LIKELY, PNEUMONIA, MILD PERIHILAR INFILTRATE._x000D_
2.MODERATE DYNAMIC AIRWAY DISEASE; MILD BRONCHOINTERSTITIAL PULMONARY PATTERN; ATELECTASIS or ALVEOLAR INFILTRATE._x000D_
3.Based on these AI airway/pulmonary findings, the probability of this patient having clinically detectable respiratory signs is MEDIUM (50%)_x000D_
4.Probability these AI pulmonary findings will accompany clinically detectable respiratory signs: MILD TO MODERATE (25-50%)_x000D_
5.Are respiratory signs present? If YES._x000D_
6.AI linked information on dynamic airway collapse treatment in dogs: https://platform.v2.vetology.net/doc/canine-tracheal-collapse-treatment_x000D_
7.Are respiratory signs present? If YES._x000D_
8.Are respiratory signs present? If NO._x000D_
9.Mild cardiomegaly has been detected but Heart Failure is NOT suspected._x000D_
10.Are respiratory signs present? If NO.</t>
  </si>
  <si>
    <t>Four radiographs of the thorax are provided. The cardiac silhouette is normal size and shape. Pulmonary vessels are normal size. There is a mild unstructured interstitial pattern consistent with size of this patient. Otherwise the lungs are clear. Increased opacity dorsal to the 2nd sternal segment on the right lateral view is not persistent and is caused by superimposed extrathoracic tissue. Normal cranial mediastinal width. No tracheobronchial lymphadenomegaly or pleural effusion. Tracheal diameter and position are normal. Possible rounded splenic tail on the edge of the right lateral view.</t>
  </si>
  <si>
    <t>Normal thorax. There is no evidence of intrathoracic lymphadenomegaly or nodular pulmonary metastatic disease. Equivocal rounded splenic tail versus incidental splenic position appearance.</t>
  </si>
  <si>
    <t>Current diagnostics are appropriate. If further evaluation of the spleen is desired, ultrasound would be recommended.</t>
  </si>
  <si>
    <t xml:space="preserve">
1.MINIMAL TO MILD BRONCHOINTERSTITIAL PULMONRAY PATTERN; MILD PERIHILAR PATTERN._x000D_
2.Based on the AI airway/pulmonary findings, the probability of this patient having clinically detectable respiratory signs is LOW (25%)_x000D_
3.A minimal bronchointerstitial pulmonary pattern with a concurrent, minimal perihilar infiltrate have been detected._x000D_
4.The cardiac silhouette size is normal._x000D_
5.There is no evidence of DYNAMIC AIRWAY COLLAPSE or BRONCHIECTASIS or PLEURAL EFFUSION.</t>
  </si>
  <si>
    <t>5 images of the thorax are provided for review.  The cardiovascular structures are normal.  There is a marked bronchial pattern in all lung lobes.  The mediastinal and pleural structures are normal.  Cranial abdominal detail is adequate.</t>
  </si>
  <si>
    <t>Severe bronchial pulmonary pattern=ZZ90= consider bronchitis, response to inhaled irritants, response to circulating parasites, eosinophilic bronchopneumopathy.</t>
  </si>
  <si>
    <t xml:space="preserve">
1.The cardiac silhouette size is normal._x000D_
2.There is no evidence of BRONCHITIS, PERIHILAR INFILTRATE, DYNAMIC AIRWAY COLLAPSE or BRONCHIECTASIS or PLEURAL EFFUSION._x000D_
3.A mild interstitial to alveolar pattern has been detected.</t>
  </si>
  <si>
    <t>Patient Name : Ruby Brauns, Date of study: Sep 20, 2024
4 images are provided for review
There are no previous radiographs for comparison.
Ventrodorsal image is suspiciously mislabeled given the position o f the apex of the cardiac silhouette (typically on the left).
Bones/Joints:
A dens is present.  There is no evidence of atlantoaxial joint subluxation.  The reported C1-2 anomaly in prior MRI is not identified.
There is no evidence of intervertebral disc space narrowing, or mineral over the intervertebral foramina.  There is no evidence of intervertebral dorsal articulation osteoarthrosis.
There is no evidence of medullary sclerosis, osteolysis, endosteal scalloping, or periosteal proliferation.
Soft tissues:  The included paraspinal soft tissues are normal.</t>
  </si>
  <si>
    <t>1. Normal atlas and axis.
2. No evidence of intervertebral disc disease.</t>
  </si>
  <si>
    <t>Consider neurologist consultation and possibly recheck MRI for further evaluation, especially if clinical signs manifest, persist or worsen in the face of empiric therapy/supportive care. Consider orthopedist consultation for possible lameness versus neuropathy, and limb radiographs centered over a region of interest (stifles or pelvis versus other), depending on results.   Monitoring as directed, or sooner if clinical signs acutely change, fail to improve or worsen.</t>
  </si>
  <si>
    <t>Patient Name : Jack Bedford, Date of study: Sep 20, 2024
6 images are provided for review
There are no previous radiographs for comparison.
Pulmonary parenchyma: In the right middle lung lobe is a large, well-defined, ovoid soft tissue mass.  This mass is in the ventral aspect of the lung lung.  Ill-defined interstitial soft tissue is suspected in the ventral aspect of the right middle lung cranial to this mass in the left lateral image.  Possible ill-defined round soft tissue nodule is over the lungs in the ventral aspect of the 6th intercostal space in the right lateral image.  A minimal to mild diffuse bronchial pattern is present.
Pulmonary vasculature: The pulmonary vasculature is subjectively normal in size and tapers in the periphery of the lungs.
Cardiac silhouette: The cardiac silhouette is normal in size and shape. The cardiac silhouette is leftward displaced by the right middle lung lobe mass.
Mediastinum:  The cranial mediastinum is normal.
Trachea: The trachea is normal.
Esophagus: The esophagus is not well-identified.
Pleural space: The pleural space is normal.
Musculoskeletal: Slight T6-7 spondylosis deformans is present.  The remaining included musculoskeletal structures are normal.</t>
  </si>
  <si>
    <t>1. Right middle lung lobe soft tissue mass and local interstitial soft tissue such as from evolving neoplasia (primary pulmonary carcinoma, versus metastatic /multicentric disease) or unlikely pulmonary abscessation such as from inhaled foreign material, or granulomatous/fungal disease such as from blastomycosis spp. 
2. Possible left caudal lung soft tissue nodule versus superimposed structures or unlikely other.
3. Minimal to mild diffuse bronchial pattern due to fibrosis from prior disease, age-related changes, infectious/immune-mediated lower airway disease, inhaled allergen/irritant, or unlikely other.</t>
  </si>
  <si>
    <t xml:space="preserve">Consider coagulation testing and computed tomography of the thorax for further evaluation of the right middle lung lobe mass and the neck if desired.  Consider abdominal computed tomography and/or radiographs for further evaluation of occult systemic disease. Consider tissue sampling of the right lung lobe mass (percutaneous aspirates versus lung lobectomy) depending on additional diagnostic results and possible oncologist consultation. Empirical therapy and supportive care as needed in the interim for hemoptysis/coughing. Fungal serology if other diagnostics are inconclusive and the patient has an approtive travel/exposure history.  </t>
  </si>
  <si>
    <t xml:space="preserve">
1.The evaluation has a suspicion of pleural effusion and soft tissue pulmonary nodules or a mass lesion being present._x000D_
2.Are respiratory signs present? If YES._x000D_
3.Resource: https://vsso.org/lung-tumors-canine_x000D_
4.Are respiratory signs present? If NO._x000D_
5.The cardiac silhouette size is normal._x000D_
6.PLEURAL EFFUSION or PLEURAL FISSURE LINES; PULMONARY NODULES or NODULAR PATTERN; MODERATE TO SEVERE INTERSTITIAL TO ALVEOLAR PATTERN; MILD BRONCHITIS._x000D_
7.Based on the AI airway/pulmonary findings, the probability of this patient having clinically detectable respiratory signs is VERY HIGH (&gt;75%)</t>
  </si>
  <si>
    <t>Four radiographs of the thorax are provided. The cardiac silhouette is normal size and shape. Pulmonary vessels are normal size. There are several incidental pulmonary osteomas in the lungs. End-on pulmonary vessels also cause the appearance of small round increased opacities within the thorax. A mild bronchial pattern is present. There is no pleural effusion or intrathoracic lymphadenomegaly. Curved hazy increased opacity overlying the mid right thorax on the VD view is caused by superimposed extrathoracic lipomatous tissue. The trachea is normal diameter. Elongated soft tissue density overlying the dorsal aspect of the cervical trachea is adjacent esophagus. Punctate metal opacity in the cranial abdomen is of doubtful clinical significance.</t>
  </si>
  <si>
    <t>Mild bronchial pattern may be normal aging change and/or chronic airway inflammation such as bronchitis. Otherwise normal thorax. There is no evidence of neoplasia on this study.</t>
  </si>
  <si>
    <t>This patient may benefit from symptomatic treatment for the cough.</t>
  </si>
  <si>
    <t xml:space="preserve">
1.Are respiratory signs present? If YES._x000D_
2.Are respiratory signs present? If NO._x000D_
3.The evaluation has come up positive for a pulmonary nodular pattern._x000D_
4.DIFFUSE BRONCHOINTERSTITIAL PULMONARY PATTERN; POTENTIAL FOR FOCAL ATELECTASIS._x000D_
5.Based on these AI airway/pulmonary findings, the probability of this patient having clinically detectable respiratory signs is MEDIUM (50%)_x000D_
6.The cardiac silhouette size is normal.</t>
  </si>
  <si>
    <t>Twelve radiographs are provided, with images of the thorax, abdomen, and pelvis. The heart and pulmonary vessels are normal size and shape. There are no abnormalities in the pulmonary parenchyma. Normal cranial mediastinal width. No pleural effusion. Normal cervicothoracic spine and proximal thoracic limbs._x000D_
_x000D_
In the abdomen the gastrointestinal tract is moderately filled. The cecum is gas-dilated. Normal-sized liver, left kidney, and spleen. The right kidney is partially visible, and appears to be normal size. The urinary bladder is minimally distended. The T13-L1 intervertebral disc space is slightly narrowed onto the lateral views. There is punctate mineral density overlying the ventral aspect of the L2-3 intervertebral foramen. There is no endplate lysis. Vertebral alignment is normal. There are eight lumbar vertebrae, and spondylosis deformans L7-8, of doubtful significance today. The coxofemoral joints are congruent.</t>
  </si>
  <si>
    <t>The appearance of T13-L1 and L2-3 are both suggestive of intervertebral disc disease. This is the most likely cause for discomfort. No intra-abdominal abnormalities, and will thorax is normal.</t>
  </si>
  <si>
    <t>If there are no significant neurologic deficits and discomfort can be medically managed, this patient may benefit from anti-inflammatories and strict rest. Otherwise, additional spinal imaging such as MRI should be considered.</t>
  </si>
  <si>
    <t>Seven radiographs are provided, with images of the thorax, abdomen, right stifle. There is mild left atrial and ventricular enlargement. Subsequent dorsal deviation of the caudal thoracic trachea and mainstem bronchi. Cranial lobar vessels are normal size. There is soft tissue opacity with air bronchograms in the perihilar region and radiating distally. This obscures perihilar vessels. No pleural effusion. Normal tracheal diameter. Incidental laryngeal mineralization. Narrowed C4-5, C5-6 intervertebral disc spaces._x000D_
_x000D_
In the abdomen there is no effusion or organomegaly. Formed feces fills the distal colon. The stomach and small bowel are minimally filled. There is a loop of mildly gas-filled small bowel extending into the inguinal region on the right lateral view, not seen on the other projections. No lumbar spinal abnormalities. Previous left femoral head ostectomy. The left patella is likely medially displaced. Previous distal right femoral fracture with cerclage wires and abundant osseous proliferation. Fracture margins remain visible. Small volume fluid in the cranial aspect of the right stifle joint.</t>
  </si>
  <si>
    <t>1. Mild left-sided cardiomegaly consistent with acquired mitral valve disease. There is pulmonary edema indicating left-sided heart failure._x000D_
2. The appearance of C4-5 and C5-6 are both suggestive of intervertebral disc disease. This is the most likely cause for cervical discomfort._x000D_
3. Inguinal hernia involving a loop of small bowel. This is likely chronic, and of doubtful clinical significance at this time. The patient is currently not an ideal candidate for general anesthesia. No intra-abdominal abnormalities._x000D_
4. Mild right stifle effusion suggestive of partial cranial cruciate ligament tear. This should be correlated with palpation.</t>
  </si>
  <si>
    <t xml:space="preserve">
1.A moderate to severe interstitial to alveolar infiltrate with a mild perihilar infiltrate has been identified._x000D_
2.A mild perihilar infiltrate has been identified._x000D_
3.Pleural fissure lines or moderate to severe pleural effusion has been detected. An overlying skin fold or in an obese animal, excessive pericardial fat could artifactually mimic the result of severe pleural effusion._x000D_
4.Severe cardiomegaly has been detected but Heart Failure is NOT suspected.</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</si>
  <si>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spleen is generally enlarged with rounded margins.  The stomach contains a small amount of gas and the rugal folds are prominent.  The small intestines are normal in size.  Gas and feces are present in the colon.  The urinary bladder is small.  The kidneys are smoothly margined and normal in size.  The apparent mass in the mid abdomen on the right lateral view is the left kidney displaced ventrally due to obliquity of this view.  The prostate is not visible and likely intrapelvic in location.  The remaining abdominal organs are normal.</t>
  </si>
  <si>
    <t>Generalized splenomegaly=ZZ90= this is a nonspecific finding that may be seen in a variety of physiologic and disease states.  Prominent rugal folds consistent with gastritis=ZZ90= this does not rule out under pancreatitis or infiltrative neoplasia.  Radiographically normal thorax for patient of this age.</t>
  </si>
  <si>
    <t>Abdominal ultrasound may be helpful.</t>
  </si>
  <si>
    <t>10 images of the thorax and abdomen dated 9/19 and 9/20/2024 are presented for review.  The cardiovascular and pulmonary structures are normal.  The pleural and mediastinal structures are normal.  Abdominal serosal detail is adequate in all quadrants.  The stomach contains a moderate amount of soft tissue material on initial images.  A small amount of amorphous soft tissue remains in the stomach on the later images and the gastric rugal folds are prominent.  The small intestines are normal in size.  The duodenum is plicated on the later images.  Gas and feces are present in the colon.  The urinary bladder is small.  The remaining abdominal organs are normal.</t>
  </si>
  <si>
    <t>Radiographically normal thorax.  Gastric contents with subsequent improvement.  The small amount remaining is concerning for residual foreign material.  Duodenal plication on the later images suggest linear foreign body obstruction.  Prominent rugal folds are consistent with gastritis.</t>
  </si>
  <si>
    <t>Consider abdominal exploratory.</t>
  </si>
  <si>
    <t xml:space="preserve">
1.A moderate alveolar pattern has been detected._x000D_
2.The cardiac silhouette size is normal._x000D_
3.There is no evidence of PERIHILAR INFILTRATE, DYNAMIC AIRWAY COLLAPSE or BRONCHIECTASIS or PLEURAL EFFUSION.</t>
  </si>
  <si>
    <t>Thorax. Four radiographs of the thorax (two lateral, two VD) dated September 20, 2024 are provided. Compared to previous study dated September 11, 2024.
Cardiac silhouette: The cardiac silhouette remains normal in size and shape.
Pulmonary vessels: The pulmonary arteries and veins are normal in size and are symmetrical.
Pulmonary parenchyma: Similar to previous, there is a mild diffuse bronchial pattern. There is no evidence of pulmonary consolidation.
Pleural space: The pleural space is within normal limits, unchanged.
Mediastinum: The mediastinum is normal in width and opacity. There is no evidence of intrathoracic lymphadenopathy.
Trachea: The trachea is normal in diameter and course.
Esophagus: The region of the esophagus is within normal limits.
Cranial abdomen: The stomach is mildly distended with heterogeneous ingesta admixed with gas. There is adequate serosal detail.
Musculoskeletal: The included skeletal and superficial soft tissue structures of the study are normal/unchanged.</t>
  </si>
  <si>
    <t>1. Static, mild diffuse bronchial pattern. Differentials include chronic bronchitis from infectious, allergic, and irritant etiologies.
2. There is no evidence of pneumonia. 
3. Unchanged, normal cardiovascular structures.</t>
  </si>
  <si>
    <t>-Airway sampling (respiratory PCR, transtracheal wash, bronchoalveolar lavage) is recommended to guide treatment. A Baermann fecal analysis is recommended to screen for lung worms.
-If clinical signs recur, repeat three-view thoracic radiographs would be recommended.</t>
  </si>
  <si>
    <t xml:space="preserve">
1.MODERATE BROCHOINTERSTITIAL PULMONARY PATTERN; ATELECTASIS or less likley, PNEUMONIA._x000D_
2.The cardiac silhouette size is normal._x000D_
3.There is no evidence of DYNAMIC AIRWAY COLLAPSE or BRONCHIECTASIS._x000D_
4.Based on these AI airway/pulmonary findings, the probability of this patient having clinically detectable respiratory signs is MEDIUM (50%)_x000D_
5.Are respiratory signs present? If YES._x000D_
6.Are respiratory signs present? If NO._x000D_
7.A mild bronchial pattern and minimal perihilar infiltrate have been detected.</t>
  </si>
  <si>
    <t>Study:_x000D_
Thoracic radiography: six images dated September 19, 2024_x000D_
_x000D_
Findings:_x000D_
The cardiac silhouette is normal in size and shape. The pulmonary vasculature is normal in size. Best seen on the right lateral projection, there is a 6.5 cm soft tissue opaque mass in the hilar region dorsal to the carina. There is a mild generalized bronchial pulmonary pattern. The pleural space is normal. The trachea is normal in diameter. The included abdomen is normal. No skeletal abnormalities are present.</t>
  </si>
  <si>
    <t>1. The ovoid mass in the hilar region likely indicates tracheobronchial lymphadenopathy. Rule out fungal disease, round cell neoplasia or reactivity. Regionally/travel appropriate fungal serology testing should be considered for further evaluation. Abdominal sonography to evaluate for any evidence of interphone neoplasia should also be considered._x000D_
2. The mild generalized bronchial pulmonary pattern may indicate allergic, inflammatory, infectious, parasitic, fungal or irritant bronchitis. In addition to fungal serology, airway sampling, heartworm testing and Baermann fecal flotation can be considered for further evaluation.</t>
  </si>
  <si>
    <t xml:space="preserve">
1.The cardiac silhouette size is normal._x000D_
2.There is no evidence of BRONCHITIS or DYNAMIC AIRWAY COLLAPSE or BRONCHIECTASIS._x000D_
3.A moderate interstitial to alveolar pattern has been detected._x000D_
4.Pleural fissure lines or small volume pleural effusion has been detected. In a mildly overweight animal, excessive pericardial fat can artifactually mimic the result of minimal pleural effusion.</t>
  </si>
  <si>
    <t>Spine: There is narrowing/collapse of the intervertebral disc space at C2-3.  There are no abnormalities involving the remainder of the cervical, thoracic, or lumbar vertebral columns._x000D_
_x000D_
Thorax: The pulmonary parenchyma, cardiac silhouette, and pulmonary vasculature are unremarkable.  There is no evidence of pleural effusion or lymphadenopathy._x000D_
_x000D_
Abdomen: There is mild diffuse splenomegaly.  The remainder of the abdominal viscera is unremarkable.</t>
  </si>
  <si>
    <t>Narrowing/collapse intervertebral disc space at C2-3._x000D_
_x000D_
Mild diffuse splenomegaly most likely incidental.  Alternatively this may be secondary to sedatives, reactive process, or possible extramedullary hematopoiesis.</t>
  </si>
  <si>
    <t xml:space="preserve">
1.The cardiac silhouette size is normal._x000D_
2.There is no evidence of BRONCHITIS or DYNAMIC AIRWAY COLLAPSE or BRONCHIECTASIS._x000D_
3.A minimal perihilar infiltrate has been detected._x000D_
4.A minimal interstitial pattern has been detected.</t>
  </si>
  <si>
    <t>Right stifle: There is moderate osteolysis involving the proximal tibia which is predominantly along the lateral aspect.  There is mild periosteal proliferation along the medial aspect of the proximal right tibia._x000D_
_x000D_
Left stifle: There is a mild increase in soft tissue opacity involving the cranial aspect of the stifle joint.  There is a plate and screw involving the proximal medial aspect of the tibia secondary to previous TPLO surgery.  There is a skin staple located along the medial aspect of the proximal tibia.  There is periarticular osseous remodeling involving the cranial aspect of the tibia, base and apex of the patella, femoral epicondyles, and tibial condyles._x000D_
_x000D_
Pelvis: There are no abnormalities identified.</t>
  </si>
  <si>
    <t>Aggressive osseous pathology involving the proximal right tibia.  Neoplasia is the primary differential._x000D_
_x000D_
Left stifle osteoarthrosis.</t>
  </si>
  <si>
    <t xml:space="preserve">
1.A mild bronchial pattern has been detected._x000D_
2.The cardiac silhouette size is normal._x000D_
3.There is no evidence of PERIHILAR INFILTRATE, DYNAMIC AIRWAY COLLAPSE or BRONCHIECTASIS or PLEURAL EFFUSION.</t>
  </si>
  <si>
    <t>4 images of the thorax are provided for review.  The trachea is dorsally deviated, indicating left ventricular enlargement.  A bulge is present in the region of the left atrium.  No pulmonary infiltrates are seen.  The pulmonary vasculature is normal in size.  The mediastinal and pleural structures are normal.  Cranial abdominal detail is adequate.</t>
  </si>
  <si>
    <t xml:space="preserve">
1.Are respiratory signs present? If NO._x000D_
2.MODERATE BRONCHIAL PATTERN, MILD DYNAMIC AIRWAY DISEASE, MILD, DIFFUSE INTERSTITIAL PATTERN WITH A SLIGHTLY MORE PRONOUNCED PERIHILAR INFILTRATE._x000D_
3.Based on these AI airway/pulmonary findings, the probability of this patient having clinically detectable respiratorysigns is MEDIUM (50%)_x000D_
4.Are respiratory signs present? If YES._x000D_
5.AI linked bronchitis disease treatment in dogs and cats: https://platform.v2.vetology.net/doc/bacterial-bronchitis-in-dogs-and-cats_x000D_
6.Severe cardiomegaly has been detected but Heart Failure is NOT suspected.</t>
  </si>
  <si>
    <t>Forelimbs. 14 radiographs of the forelimbs, thorax, and abdomen dated September 19, 2024 are provided. As requested, the forelimbs are interpreted.
Shoulders: The right and left humeral heads are smoothly marginated with no evidence of subchondral sclerosis. There is no periarticular osseous proliferation. Greater tubercle and bicipital grooves are within normal limits.
Elbows: There is mild periarticular osseous proliferation at the cranial aspect of the right and left radial head. The anconeal processes are smooth and well-demarcated. The medial coronoid processes are smooth. There is no subchondral sclerosis of the trochlear notches.
Antebrachium/carpi: There is mild right-sided and minimal left-sided periarticular osseous proliferation on the dorsal aspect of the cuboidal carpal bones and cranial aspect of the distal radial epiphysis. Bilaterally, there is moderate enthesopathy on the proximal and distal aspects of the accessory carpal bones.</t>
  </si>
  <si>
    <t>1. The shoulders are within normal limits. A soft tissue injury is prioritized as cause of the recent/acute lameness.
2. Mild bilateral elbow and carpal osteoarthrosis. Acute exacerbation of chronic disease is not ruled out. 
3. Moderate bilateral enthesopathy of the accessory carpal bone.</t>
  </si>
  <si>
    <t>If pain can be localized to the left shoulder, sonographic evaluation would be recommended to further evaluate the soft tissues. Restricted activity and multimodal pain management are recommended in the interim.</t>
  </si>
  <si>
    <t>Orthogonal radiographs of the thorax, and four views of the abdomen are provided. The cardiac silhouette and pulmonary vessels are normal size. Several punctate mineral densities in the lungs are incidental osteomas. There are no abnormalities in the pulmonary parenchyma or along the plane of the esophagus. Normal tracheal diameter. No pleural effusion._x000D_
_x000D_
In the abdomen there is a small volume of gas and scant fluid in the stomach. Small bowel are minimally distended. Small volume of formed feces in the colon. No radiopaque foreign material or effusion. Normal-sized liver, spleen, kidneys. Ventral position of the distal descending colon is incidental. Normal coxofemoral joints.</t>
  </si>
  <si>
    <t>Normal thorax and abdomen. A reason for intermittent vomiting/regurgitation is not identified. Small radiolucent gastric foreign material remains possible.</t>
  </si>
  <si>
    <t>Consider a positive contrast gastrogram to rule out gastric foreign material. Strictly fasted abdominal ultrasound is another option to evaluate the gastrointestinal tract, as long as there is minimal gas in the stomach at the time of imaging.</t>
  </si>
  <si>
    <t xml:space="preserve">
1.Are respiratory signs present? If YES._x000D_
2.Are respiratory signs present? If NO._x000D_
3.MODERATE ALVEOLAR PATTERN; CONCURRENT MILD BRONCHOINTERSTITIAL PATTERN; MILD DYNAMIC AIRWAY DISEASE._x000D_
4.Based on the AI airway/pulmonary findings, the probability of this patient having clinically detectable respiratory signs is MEDIUM (50%)._x000D_
5.The cardiac silhouette size is normal._x000D_
6.There is no evidence of PLEURAL EFFUSION.</t>
  </si>
  <si>
    <t>Orthogonal views of the abdomen including the neck are provided for interpretation._x000D_
_x000D_
Severe heart enlargement is identified. The carina is elevated and there is a large bulge in the region of the left atrium at the caudal heart base._x000D_
The left caudal lobe pulmonary vein appears slightly larger than the other caudal lobe vessels. The other vessels are within normal limits._x000D_
 The larynx appears mildly swollen, with reduced aeration._x000D_
Most of the trachea appears normal, but at the tracheal bifurcation there is a mildly defined rounded soft tissue opacity obscuring the dorsal aspect of the carina._x000D_
There is moderate to marked narrowing of the left mainstem bronchus secondary to the cardiomegaly._x000D_
No pulmonary infiltrates or edema are identified._x000D_
The cranial abdomen is unremarkable.</t>
  </si>
  <si>
    <t>There is severe left sided cardiomegaly. Chronic mitral regurgitation would be the most likely underlying cause. There are no pulmonary changes considered indicative of congestive heart failure at this time._x000D_
There is mild dilation of the right caudal lobe pulmonary vein, so mild venous congestion congestion without visible edema is potentially still present._x000D_
_x000D_
There is significant narrowing of the left mainstem bronchus secondary to the cardiomegaly that is likely contributing to the cough._x000D_
There is also an unusual rounded shadow at the dorsal aspect of the carina that is not entirely typical for simple extraluminal compression. There is potential for an intra-tracheal nodule in this area, but this could still be an artifact caused by extraluminal compression from the cardiomegaly with an unusual appearance. CT would be ideal for more definitive evaluation._x000D_
_x000D_
The larynx does not appear quite as well aerated is expected, suggesting that could be some swelling of the laryngeal tissue. This is a mild change so artifactual causes cannot be entirely excluded.</t>
  </si>
  <si>
    <t>Continuation of the current medical regimen for the cardiac disease is recommended._x000D_
Symptomatic therapy to address the cough likely secondary to bronchial compression is recommended._x000D_
_x000D_
Although the radiographic changes are mild, there is some concern for swelling or infiltrative disease involving the larynx. Sedated laryngeal exam is recommended._x000D_
CT could also be considered for more advanced evaluation of the larynx and mainstem bronchial area.</t>
  </si>
  <si>
    <t xml:space="preserve">
1.SEVERE DYNAMIC AIRWAY DISEASE; MODERATE BROCHIAL PATTERN; MILD INTERSTITIAL INFILTRATE with ATELECTASIS or less likely, PNEUMONIA._x000D_
2.Based on these AI airway/pulmonary findings, the probability of this patient having clinically detectabe respiratory signs is MEDIUM (50%)_x000D_
3.Are respirartory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</si>
  <si>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Thorax. Two radiographs of the thorax (one lateral, one VD) dated September 19, 2024 are provided.
Cardiac silhouette: There is mild left-sided enlargement of the cardiac silhouette. There is rounding/bulging in the region of the left atrium which displaces the caudal mainstem bronchi abaxially on the ventrodorsal view.
Pulmonary vessels: The pulmonary arteries and veins are within normal limits of size.
Pulmonary parenchyma: The pulmonary parenchyma is underinflated on the lateral view but well-inflated on the VD. There are no abnormal pulmonary patterns, nodules, or masses.
Pleural space: The pleural space is within normal limits.
Mediastinum: The mediastinum is normal in width and opacity. There is no evidence of intrathoracic lymphadenopathy.
Trachea: The trachea is focally collapsed at the level of the thoracic inlet. A band of soft tissue opacity superimposed with the trachea cranial to the thoracic inlet.
Esophagus: Skull region of the esophagus is within normal limits.
Cranial abdomen: The stomach is mildly distended with heterogeneous ingesta admixed with gas. There is adequate serosal detail.
Musculoskeletal: There is mild spondylosis deformans of the cranial lumbar spine. The skeletal and superficial soft tissue structures of the study are otherwise unremarkable.</t>
  </si>
  <si>
    <t>1. As reported, there is evidence of collapsing trachea. This is likely contributing to the reported cough.
2. There is mild left-sided cardiomegaly. Myxomatous mitral valve disease is the primary differential. Enlargement of the left atrium may be compressing the caudal mainstem bronchi and contributing to the reported cough.
3. The pulmonary parenchyma is normal. There is no evidence of cardiogenic pulmonary edema/congestive heart failure.</t>
  </si>
  <si>
    <t>An echocardiogram, EKG, and blood pressure are recommended to further evaluate the heart. Medical management for cardiomegaly if indicated by the echocardiogram would be recommended. Medical management for collapsing trachea is recommended.</t>
  </si>
  <si>
    <t xml:space="preserve">
1.Severe cardiomegaly has been detected but Heart Failure is NOT suspected._x000D_
2.Are respiratory signs present? If YES._x000D_
3.Are respiratory signs present? If NO._x000D_
4.MODERATE to SEVERE BRONCHOINTERSTITIAL PULMONARY PATTERN; DYNAMIC AIRWAY COLLAPSE and/or BRONCHIECTASIS; ALVEOLAR INFILTRATE or ATELECTASIS._x000D_
5.Based on these AI airway/pulmonary findings, the probability of this patient having clinically detectable repsiratory signs is VERY HIGH (&gt;75%)_x000D_
6.AI link to canine airway collapse treatment article: https://platform.v2.vetology.net/doc/canine-tracheal-collapse-treatment</t>
  </si>
  <si>
    <t>Thorax and abdomen. Six radiographs of the thorax (two lateral, one VD) and abdomen (two lateral, one VD) dated September 19, 2024 are provided.
Cardiac silhouette: The cardiac silhouette is normal in size and shape.
Pulmonary vessels: The pulmonary arteries and veins are normal in size and are symmetrical.
Pulmonary parenchyma: There is a mild diffuse increase of bronchointerstitial pulmonary pattern which slightly reduces the conspicuity of the pulmonary vessels.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Gastrointestinal tract: The stomach contains heterogeneous/mineral opaque ingesta admixed with gas. The small intestine is within normal limits of diameter. There is loosely formed feces and gas throughout the colon.
Liver: The liver is within normal limits of size and shape.
Spleen: The spleen is mildly enlarged causing dorsal and caudal displacement of the small intestines. A definitive mass is not identified.
Urinary: The visible margins of the kidneys are within normal limits. The urinary bladder is small in size and normal in opacity.
Peritoneal space: There is adequate serosal detail.
Musculoskeletal: There is a fatty mass along the left lateral body wall. The included skeletal structures are unremarkable.</t>
  </si>
  <si>
    <t>1. There is a mild diffuse bronchointerstitial pulmonary pattern. This may be secondary to age-related changes, fibrosis from prior disease, or chronic bronchitis.
2. Normal cardiovascular structures. The reported murmur may have been due to hypovolemia. 
3. Mild splenomegaly. Differentials include normal variation, extramedullary hematopoiesis, lymphoid hyperplasia, splenitis, or less likely, infiltrative neoplasia.
4. Left body wall lipoma.</t>
  </si>
  <si>
    <t>And abdominal ultrasound could be considered to further evaluate the abdomen. If any abnormal structures are identified, fine-needle aspirates or biopsy would be recommended.
If the murmur recurs or proBNP is elevated, an echocardiogram, EKG, and blood pressure would be recommended.</t>
  </si>
  <si>
    <t>3 views of the thorax are provided for review.  The trachea is dorsally deviated, indicating left ventricular enlargement.  A bulge is present in the region of the left atrium.  No pulmonary infiltrates are seen.  The pulmonary vasculature is normal in size.  The mediastinal and pleural structures are normal.  The trachea is narrowed in the cervical region.  Cranial abdominal detail is adequate.  The liver margins are rounded and extend beyond the costal arch.</t>
  </si>
  <si>
    <t>Left-sided cardiomegaly without current evidence of cardiogenic pulmonary edema.  Echocardiography may be helpful in further evaluation.  Tracheal narrowing consistent with tracheal collapse.  Hepatomegaly=ZZ90= this is a nonspecific finding that may be seen with congestion, vacuolar hepatopathy, inflammation, neoplasia, etc.  Abdominal ultrasound may be helpful in further evaluation if biochemically indicated.</t>
  </si>
  <si>
    <t xml:space="preserve">
1.Severe cardiomegaly has been detected but Heart Failure is NOT suspected._x000D_
2.There is no evidence of PLEURAL EFFUSION._x000D_
3.Are respiratory signs present? If YES._x000D_
4.MODERATE DYNAMIC AIRWAY DISEASE; MILD BRONCHOINTERSTITIAL PATTERN._x000D_
5.Based on these AI airway/pulmonary findings, the probability of this patient having clinically detectable respiratory signs is MEDIUM (50%)_x000D_
6.Are respiratory signs present? If NO.</t>
  </si>
  <si>
    <t>No specific recommendations based on these images.</t>
  </si>
  <si>
    <t xml:space="preserve">
1.There is no evidence of BRONCHITIS, ALVEOLAR PATTERN, PERIHILAR INFILTRATE, DYNAMIC AIRWAY COLLAPSE or BRONCHIECTASIS, PULMONARY NODULES or PLEURAL EFFUSION._x000D_
2.A minimal interstitial pattern has been detected._x000D_
3.The cardiac silhouette size is normal.</t>
  </si>
  <si>
    <t>Three radiographs of the thorax/abdomen are provided. There is mild generalized cardiac silhouette enlargement. Pulmonary vessels and the caudal vena cava are normal size. Perihilar vessels have crisp margins. A mild bronchial pattern is present throughout the lungs. There is no pleural effusion. Tracheal diameter is adequate. In the abdomen the liver is mildly enlarged with rounded margins. Normal-sized spleen and kidneys. The gastrointestinal tract is mildly filled. No radiopaque urolithiasis. The uterus is not visible. Osseous structures are unremarkable.</t>
  </si>
  <si>
    <t>1. Mild bronchial pattern. Chronic airway inflammation such as bronchitis is most likely. Infectious airway disease is given lesser consideration._x000D_
2. Mild cardiomegaly consistent with acquired mitral and tricuspid valve disease. There is no pulmonary venous congestion or evidence of heart failure. This is not responsible for the cough._x000D_
3. Mild hepatomegaly, a nonspecific finding that is most likely steroid earlier hepatopathy. Acute inflammation or neoplasia are next on the differential list. This should be correlated with history and blood work. Otherwise normal abdomen.</t>
  </si>
  <si>
    <t>Treatment for allergic airway disease, and follow-up echocardiogram should be considered.</t>
  </si>
  <si>
    <t xml:space="preserve">
1.Mild dynamic airway disease has been identified._x000D_
2.A minimal bronchial pattern and concurrent mild dynamic airway disease have been identified._x000D_
3.The cardiac silhouette size is normal._x000D_
4.There is no evidence of ALVEOLAR PATTERN, PULMONARY NODULES or PLEURAL EFFUSION._x000D_
5.A minimal perihilar infiltrate has been detected.</t>
  </si>
  <si>
    <t>Opposite lateral and VD views of the thorax and right lateral and VD abdomen views are provided._x000D_
_x000D_
There is a severe interstitial to alveolar pattern. The lung pattern is mostly interstitial with peribronchial infiltrates in the ventral half progressing toward alveolar pattern in the caudal dorsal lung fields. No thoracic lymphadenopathy or pleural effusion is identified. The cardiovascular structures are within normal limits._x000D_
_x000D_
In the VD views, the right side of the stomach appears displaced caudally suggesting a mass effect in the right liver area. However, gastric positioning appears normal in the lateral views and no mass effect is seen in this region. The liver is slightly enlarged overall. There are two lobular soft tissue margins just caudal to the ventral aspect of the stomach in the lateral view, so a mass in this area cannot be ruled out, but these shadows could be part of the stomach causing artifactual mass effect. No foreign bodies are identified in the GI tract. No dilation of the stomach is seen._x000D_
The spleen is mildly enlarged, with normal shape and smooth margins. The other abdominal organs are within normal limits. Serosal detail in the abdomen is normal.</t>
  </si>
  <si>
    <t>The pulmonary pattern is nonspecific but highly concerning for reticuloendothelial neoplasia such as pulmonary lymphoma. Pneumonia should also be ruled out, including atypical forms of pneumonia such as Mycoplasma, fungal, protozoal pneumonia._x000D_
Pulmonary edema could appear similar but is felt less likely than neoplastic or infectious/inflammatory disease._x000D_
Heart failure is considered unlikely but noncardiogenic edema secondary to systemic inflammatory disease and vasculitis could appear similar. Pulmonary hemorrhage is also considered less likely but cannot be excluded._x000D_
_x000D_
Mild splenomegaly and hepatomegaly is identified. These findings also raise concern for neoplasia such as lymphoma vs. systemic infectious/inflammatory disease.</t>
  </si>
  <si>
    <t>Ultrasound of the abdomen and cytology of the liver and spleen is recommended to help rule out lymphoma or other reticuloendothelial neoplasia._x000D_
_x000D_
Serology to help rule out infectious diseases that could affect the lungs and liver and spleen should also be considered.</t>
  </si>
  <si>
    <t xml:space="preserve">
1.PLEURAL EFFUSION or PLEURAL FISSURE LINES; PULMONARY NODULES or NODULAR PATTERN; MODERATE TO SEVERE INTERSTITIAL TO ALVEOLAR PATTERN; MILD BRONCHITIS._x000D_
2.Based on the AI airway/pulmonary findings, the probability of this patient having clinically detectable respiratory signs is VERY HIGH (&gt;75%)_x000D_
3.Resource: https://vsso.org/lung-tumors-canine_x000D_
4.The cardiac silhouette size is normal._x000D_
5.Are respiratory signs present? If YES._x000D_
6.Are respiratory signs present? If NO._x000D_
7.The evaluation has a suspicion of pleural effusion and soft tissue pulmonary nodules or a mass lesion being present.</t>
  </si>
  <si>
    <t>7 views of the thorax and abdomen and pelvis are submitted for review._x000D_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The abdomen, stomach contains a moderate amount of food-like material.  The small bowel and colon are within normal limits.  The liver and spleen are normal in size, shape, and margination.  The bilateral renal silhouettes are within normal limits.  The urinary bladder is unremarkable.  Serosal detail is normal._x000D_
The bilateral femoral heads are well-seated in the acetabula.  The coxofemoral joint spaces are congruent.  No degenerative changes are noted in either hip.  The sacroiliac joints are within normal limits.  No definitive abnormalities are noted in either stifle.</t>
  </si>
  <si>
    <t>Radiographically normal thorax and postprandial abdomen.  Radiographically normal hips.</t>
  </si>
  <si>
    <t>Nothing specific.</t>
  </si>
  <si>
    <t>4 images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t>
  </si>
  <si>
    <t>4 images of the thorax are provided for review.  The cardiovascular structures are normal.  There is a moderate bronchial pattern in all lung lobes.  The mediastinal and pleural structures are normal.  The trachea is narrowed in the cervical region.  There appears to be increased soft tissue in the submandibular region.  The hyoid apparatus is intact.  A linear opaque structure is seen in the nasopharynx along the dorsal border of the soft palate.  Cranial abdominal detail is adequate.</t>
  </si>
  <si>
    <t>Possible nasopharyngeal foreign body.  Consider upper airway examination with retroflexed scope to view this region.  Submandibular soft tissue may indicate abscess, lymphadenopathy, sialocele, neoplasia.  Moderate bronchial pulmonary pattern=ZZ90= consider bronchitis, response to inhaled irritants, response to circulating parasites, eosinophilic bronchopneumopathy.  Airway sampling may be helpful in further evaluation.  Tracheal narrowing may indicate tracheal collapse.  Fluoroscopy or bronchoscopy may be helpful in further evaluation.</t>
  </si>
  <si>
    <t>A three view study of the thorax is provided for interpretation. The studies compared to the previous dated 5-2-24._x000D_
_x000D_
The cardiovascular structures are within normal limits. There is a mild bronchial pattern that is similar to the previous study. No alveolar infiltrates are identified. No thoracic lymphadenopathy or pleural effusion is seen.</t>
  </si>
  <si>
    <t>The bronchial pattern is static relative to the previous radiographs and probably represents allergic lung disease or prominent age related changes. No findings indicative of infectious disease are identified. Viral tracheobronchitis could still be present, and low-grade bacterial infection still cannot be entirely excluded._x000D_
No evidence of structural cardiac disease is seen.</t>
  </si>
  <si>
    <t>Symptomatic therapy for the cough is recommended._x000D_
Culture of the nasal discharge should be considered.</t>
  </si>
  <si>
    <t xml:space="preserve">
1.Are respiratory signs present? If NO._x000D_
2.The evaluation has a strong suspicion of pulmonary nodules or mass lesion being present._x000D_
3.The cardiac silhouette size is normal._x000D_
4.There is no evidence of DYNAMIC AIRWAY COLLAPSE or BRONCHIECTASIS._x000D_
5.MILD INTERSTITIAL to ALVEOLAR INFILTRATE; MILD PERIHILAR INFILTRATE._x000D_
6.Based on these AI airway/pulmonary findings, the probability of this patient having clinically detectable respiratory signs is LOW to MEDIUM (25%-50%)_x000D_
7.Are respiratory signs present? If YES.</t>
  </si>
  <si>
    <t>3 views of the thorax are provided for review.  3 abdominal images in the study are not requested to be reviewed.  The cardiovascular structures are normal.  There is a mild bronchial pattern in all lung lobes.  The mediastinal and pleural structures are normal.  Cranial abdominal detail is adequate.</t>
  </si>
  <si>
    <t>Mild bronchial pulmonary pattern=ZZ90= consider viral or Bordetella type pneumonitis most likely but cannot rule out bronchitis, response to inhaled irritants, response to circulating parasites, eosinophilic bronchopneumopathy.</t>
  </si>
  <si>
    <t>Thorax. Four radiographs of the thorax (2 lateral, 2 VD) dated September 19, 2024 are provided. The patient is intubated, and endotracheal tube ends at the level of C6.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Musculoskeletal: The included skeletal and superficial soft tissue structures of the study are within normal limits.</t>
  </si>
  <si>
    <t>1. Normal thorax with no evidence of pulmonary metastasis.</t>
  </si>
  <si>
    <t>Histopathology of the removed mammary mass is recommended for a definitive diagnosis and to guide follow-up treatment recommendations.</t>
  </si>
  <si>
    <t xml:space="preserve">
1.The cardiac silhouette size is normal._x000D_
2.There is no evidence of BRONCHITIS, ALVEOLAR PATTERN, PERIHILAR INFILTRATE, DYNAMIC AIRWAY COLLAPSE or BRONCHIECTASIS, PULMONARY NODULES or PLEURAL EFFUSION._x000D_
3.A minimal interstitial pattern has been detected.</t>
  </si>
  <si>
    <t>Three radiographs of the thorax/abdomen are provided. The cardiac silhouette is normal size and shape. The lungs are clear. Normal tracheal diameter. No esophageal abnormalities. In the abdomen the stomach contains a moderate amount of gas, small volume amorphous soft tissue density, and several thin flat soft tissue densities measuring up to 1.1 cm. Small intestines are minimally filled. Formed feces fills the descending colon. The uterus is not visible. The urinary bladder is mildly filled and soft tissue opaque. Normal size liver, spleen, kidneys. No osseous abnormalities.</t>
  </si>
  <si>
    <t>1. Thin flat soft tissue densities in the stomach may represent normal treat material. Foreign material is given lesser consideration in the absence of vomiting. No other abdominal abnormalities._x000D_
2. Normal thorax.</t>
  </si>
  <si>
    <t>Recommended supportive care. If the patient does not improve, repeat fasted abdominal radiographs +/- positive contrast gastrogram could be considered to rule out gastric foreign material.</t>
  </si>
  <si>
    <t>Abdomen. Four radiographs of the abdomen (two lateral, two VD) dated September 19, 2024 are provided.
Musculoskeletal: There is mild intervertebral disc space narrowing of L5-6 and L6-7. There is mild spondylosis deformans of L5-6, L6-7, and L7-S1. The intervertebral foramen of L6-seven is reduced in size.
Gastrointestinal tract: The stomach contains a mild volume of gas and is normal in position. The small intestines are diffusely within normal limits of diameter and are primarily soft tissue opaque. The colon is filled with loosely formed feces and gas.
Liver: The liver is normal in size and shape.
Spleen: The spleen is normal in size with smooth margins.
Urinary: The kidneys are normal in size, shape, and margination. The urinary bladder is moderately distended.
Peritoneal space: There is adequate serosal detail.</t>
  </si>
  <si>
    <t>1. There are degenerative changes of the caudal lumbar and lumbosacral spine. There is no evidence of acute trauma/injury. A soft tissue injury, intervertebral disc disease, and toxic insult are not ruled out as causes of clinical signs.
2. The gastrointestinal tract is within normal limits. There is no evidence of a mechanical small intestinal obstruction.
3. The urinary bladder is moderately distended. Consider stress/voluntary retention.</t>
  </si>
  <si>
    <t>Restricted activity and multimodal pain management are recommended. If possible, a neurologic exam is recommended to screen for neurologic deficits.</t>
  </si>
  <si>
    <t xml:space="preserve">
1.The evaluation has a strong suspicion of pulmonary nodules or mass lesion being present._x000D_
2.The cardiac silhouette size is normal._x000D_
3.There is no evidence of BRONCHITIS, PERIHILAR INFILTRATE or DYNAMIC AIRWAY COLLAPSE or BRONCHIECTASIS.</t>
  </si>
  <si>
    <t>A four view study of the thorax is provided for interpretation._x000D_
_x000D_
The heart is within normal size and shape limits. Pulmonary vessels are normal. There is a mild bronchial pulmonary pattern. No tracheal abnormalities are identified._x000D_
The liver is at the upper end of normal size range, with smooth margins.</t>
  </si>
  <si>
    <t>No cardiac chamber dilation is identified. The appearance of the heart is normal. Subclinical valve disease is likely present._x000D_
_x000D_
The bronchial pattern is slightly more prominent than typical age related change. This could still represent prominent age related changes if no relevant clinical signs are present._x000D_
Idiopathic or allergic chronic bronchitis would be most likely if coughing is present.</t>
  </si>
  <si>
    <t>No indication for treatment of cardiac disease is identified based on the radiographs._x000D_
Echocardiography could be considered for more definitive evaluation of the cause of the murmur.</t>
  </si>
  <si>
    <t xml:space="preserve">
1.MILD BRONCHIAL PATTERN; MILD PERIHILAR PATTERN._x000D_
2.Based on these AI airway/pulmonary findings, the probability of this patient having clinically detectable respiratorysigns is LOW (25%)_x000D_
3.Are respiratory signs present? If NO._x000D_
4.The cardiac silhouette size is normal._x000D_
5.There is no evidence of ALVEOLAR PATTERN, DYNAMIC AIRWAY COLLAPSE or BRONCHIECTASIS or PLEURAL EFFUSION._x000D_
6.Are respiratory signs present? If YES.</t>
  </si>
  <si>
    <t>Thorax and abdomen. Three radiographs of the thorax (two lateral, one VD) and three radiographs of the abdomen (two lateral, one VD) dated September 19, 2024 are provided (6 images total).
Cardiac silhouette: The cardiac silhouette is normal in size and shape.
Pulmonary vessels: The pulmonary arteries and veins are normal in size and are symmetrical.
Pulmonary parenchyma: The right cranial lobar bronchus is homogeneously soft tissue opaque. There is a mild diffuse bronchointerstitial pulmonary pattern.
Pleural space: The pleural space is within normal limits.
Mediastinum: The cranial mediastinum is normal in width and opacity. There is an excess amount of fat in the ventral thorax, likely within the mediastinum. There is no evidence of intrathoracic lymphadenopathy.
Trachea: The trachea is normal in diameter and course.
Esophagus: The region of the esophagus is within normal limits.
Gastrointestinal tract: The stomach is filled with heterogeneous ingesta admixed with gas and is normal in position. The small intestine is diffusely within normal limits of diameter.
Liver: The liver is within normal limits of size and shape.
Spleen: The spleen is normal in size with smooth margins.
Urinary: The kidneys are normal in size, shape, and opacity. There is a cluster of punctate mineral foci superimposed with the mid aspect of the bladder. 
Peritoneal space: There is adequate serosal detail.
Musculoskeletal: There is moderate spondylosis deformans of L7-S1.</t>
  </si>
  <si>
    <t>1. Mild diffuse bronchointerstitial pulmonary pattern with consolidation of the right cranial lobar bronchus. Infectious/immune-mediated lower airway disease such as pneumonia/aspiration pneumonia is the primary differential.
2. Cystolithiasis. A concurrent urinary tract infection is not ruled out.</t>
  </si>
  <si>
    <t xml:space="preserve">Consider respiratory PCR panel, airway sampling, and fecal analysis to guide treatment.  Empirical therapy and supportive care in the interim as needed. Recheck thoracic radiographs following antibiotic therapy is recommended, sooner if clinical signs acutely change, fail to improve, or worsen. 
Urinalysis with culture and sensitivity is recommended if not already performed. A dissolution diet may be of benefit (vs. cystotomy). </t>
  </si>
  <si>
    <t xml:space="preserve">
1.A moderate bronchointerstitial pattern with a concurrent alveolar infiltrate and perihilar opacity has been detected._x000D_
2.Probability these AI pulmonary findings will accompany clinically detectable respiratory signs: MEDIUM to HIGH (50-75%%)_x000D_
3.Respiratory signs: YES._x000D_
4.Respiratory signs: NO._x000D_
5.If left atrial enlargement is present, that could contribute to the perihilar finding (see cardiac findings below)._x000D_
6.The cardiac silhouette size is normal.</t>
  </si>
  <si>
    <t>5 images of the thorax are provided for review.  The cardiovascular structures are normal.  There is a mild bronchial pattern in all lung lobes.  The mediastinal and pleural structures are normal.  Cranial abdominal detail is adequate.</t>
  </si>
  <si>
    <t>Mild bronchial pulmonary pattern=ZZ90= consider bronchitis, response to inhaled irritants, response to circulating parasites, eosinophilic bronchopneumopathy.</t>
  </si>
  <si>
    <t xml:space="preserve">
1.A minimal to mild bronchointerstitial pulmonary pattern has been detected._x000D_
2.There is no evidence of PULMONARY NODULES._x000D_
3.Mild cardiomegaly has been detected but Heart Failure is NOT suspected.</t>
  </si>
  <si>
    <t>4 images of the thorax are provided for review.  The trachea is dorsally deviated, indicating left ventricular enlargement.  A bulge is present in the region of the left atrium.  No pulmonary infiltrates are seen.  The pulmonary vasculature is normal in size.  The trachea is diffusely narrowed.  The mediastinal and pleural structures are normal.  Cranial abdominal detail is adequate.  The liver margins are rounded and extend beyond the costal arch.</t>
  </si>
  <si>
    <t>Left-sided cardiomegaly without current evidence of cardiogenic pulmonary edema.  Echocardiography may be helpful in further evaluation.  Tracheal narrowing and suggestive of tracheal collapse.  Fluoroscopy or bronchoscopy could be considered.  Hepatomegaly=ZZ90= this is a nonspecific finding that may be seen with congestion, vacuolar hepatopathy, inflammation, neoplasia, etc.  Abdominal ultrasound may be helpful in further evaluation if biochemically indicated.</t>
  </si>
  <si>
    <t xml:space="preserve">
1.Moderate cardiomegaly has been detected but Heart Failure is NOT suspected._x000D_
2.MODERATE BRONCHOINTERSTITIAL PULMONARY PATTERN; MILD PERIHILAR INFILTRATE; MILD DYNAMIC AIRWAY DISEASE; ATELECTASIS or less likely, pneumonia._x000D_
3.Based on the AI airway/pulmonary findings, the probability of this patient having clinically detectable respiratory signs is MEDIUM to HIGH (50%-75%)_x000D_
4.Are respiratory signs present? If YES._x000D_
5.Are respiratory signs present? If NO.</t>
  </si>
  <si>
    <t>6 views of the thorax and abdomen are submitted for review.  The cardiac silhouette is normal in size and shape.  The pulmonary vasculature is normal in size size and tapers as it extends to the periphery.  Mild to moderate bronchointerstitial pattern is noted throughout the lung fields.  No pleural effusion or intra-thoracic of adenopathy is noted.  The trachea is normal in diameter._x000D_
In the abdomen, the stomach contains a mild amount of gas.  The small bowel and colon are within normal limits.  The liver and spleen are normal in size, shape, and margination.  The bilateral renal silhouettes are within normal limits.  The urinary bladder is unremarkable.  Serosal detail is normal._x000D_
No osseous abnormalities are noted.</t>
  </si>
  <si>
    <t>The appearance of the lung fields could be consistent with chronic bronchitis, chronic pulmonary fibrosis, or possibly incidental age-related change.  The clinical significance is unknown.  No evidence of congestive heart failure is seen._x000D_
Radiographically normal abdomen.</t>
  </si>
  <si>
    <t>I cannot definitively exclude the possibility of syncope associated with pulmonary hypertension cardiac arrhythmia as a cause of the clinical signs.  An ECG and echocardiogram appear indicated for further evaluation.</t>
  </si>
  <si>
    <t xml:space="preserve">
1.MODERATE INTERSTITIAL TO ALVEOLAR INFILTRATE; MINIMAL BRONCHIAL PATTERN; MINIMAL PERIHILAR INFILTRATE._x000D_
2.Based on these AI airway/pulmonary findings, the probability of this patient having clinically detectable respiratory signs is MEDIUM (50%)_x000D_
3.Are respiratory signs present?  If YES._x000D_
4.Are respiratory signs present? If NO._x000D_
5.The cardiac silhouette size is normal.</t>
  </si>
  <si>
    <t>Opposite lateral and VD thoracoabdominal views are provided._x000D_
_x000D_
There is moderate dynamic narrowing of the caudal cervical trachea. The intrathoracic trachea is normal. Pulmonary interstitial and bronchial markings are mildly increased but within normal limits for the age of the patient. The cardiovascular structures are within normal limits._x000D_
_x000D_
No mass lesions or organomegaly are seen in the abdomen. The GI tract is unremarkable. Serosal detail is normal._x000D_
_x000D_
There is moderate narrowing of the T 11-T 12 intervertebral disc space. There is mild spondylosis involving the cranial lumbar spine and moderate to severe spondylosis involving the caudal lumbar spine. No destructive bone lesions are seen.</t>
  </si>
  <si>
    <t>There is moderate dynamic tracheal narrowing which is likely incidental in the absence of clinical signs. Tracheal collapse would be a concern if warranted by clinical signs._x000D_
_x000D_
No thoracic or abdominal abnormalities are identified._x000D_
_x000D_
There is likely disc degeneration in the caudal thoracic spine at T 11-T 12. The spondylosis is probably incidental.</t>
  </si>
  <si>
    <t>No contraindications to anesthesia or surgery are identified in this study.</t>
  </si>
  <si>
    <t>4 images of the thorax and abdomen are provided for review.  The trachea is dorsally deviated, indicating left ventricular enlargement.  A bulge is present in the region of the left atrium.  The cardiac silhouette is also widened with rounding of the right ventricular margin.  No pulmonary infiltrates are seen based on the VD view and clear view subluxation of the pulmonary vasculature in all lung lobes.  Increased perihilar opacity on the lateral views is likely due to enlargement of the left atrium superimposed with lack of inflation of the lungs.  The pulmonary vasculature is normal in size.  The trachea and primary bronchi are variably narrowed.  The mediastinal and pleural structures are normal.  Abdominal serosal detail is adequate in all quadrants.  The liver margins are rounded and extend beyond the costal arch, causing caudal displacement of the gastric axis.  The stomach contains a moderate amount of ingesta.  The small intestines are normal in size.  Gas and feces are present in the colon.  The urinary bladder is small.  The remaining abdominal organs are normal.</t>
  </si>
  <si>
    <t>Hepatomegaly=ZZ90= this is a nonspecific finding that may be seen with congestion, vacuolar hepatopathy, inflammation, neoplasia, etc.  Abdominal ultrasound may be helpful in further evaluation if biochemically indicated.  Generalized cardiomegaly without current evidence of cardiogenic pulmonary edema.  Echocardiography may be helpful in further evaluation.  Variable tracheobronchial narrowing consistent with dynamic tracheal collapse.</t>
  </si>
  <si>
    <t xml:space="preserve">
1.SEVERE INTERSTITIAL TO ALVEOLAR PATTERN; SEVERE DYNAMIC AIRWAY DISEASE; MILD BRONCHIAL PATTERN._x000D_
2.MODERATE INTERSTITIAL TO ALVEOLAR INFILTRATE; MILD BRONCHIAL PATTERN; MILD PERIHILAR INFILTRATE._x000D_
3.Based on these AI airway/pulmonary findings, the probability of this patient having clinically detectable respiratory signs is VERY HIGH (&gt;75%)_x000D_
4.Based on the AI airway/pulmonary findings, the probability of this patient having clinically detectable respiratory signs is HIGH (75%)_x000D_
5.Are respiratory signs present? If YES._x000D_
6.Are respiratory signs present? If YES._x000D_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suspected._x000D_
9.Are respiratory signs present? If NO._x000D_
10.A mild perihilar infiltrate has been detected._x000D_
11.Are respiratory signs present? If NO.</t>
  </si>
  <si>
    <t>3 views of the thorax are provided for review.  The cardiovascular structures are normal.  There is a moderate bronchial pattern in all lung lobes.  The trachea is narrowed in the cervical region, worse on the right lateral view.  The mediastinal and pleural structures are normal.  Cranial abdominal detail is adequate.</t>
  </si>
  <si>
    <t>Moderate bronchial pulmonary pattern=ZZ90= consider bronchitis, response to inhaled irritants, response to circulating parasites, eosinophilic bronchopneumopathy.  No current evidence of alveolar infiltrates.  Airway sampling may be helpful in further evaluation.  Variable tracheal narrowing consistent with dynamic tracheal collapse.  Fluoroscopy or bronchoscopy could be considered.</t>
  </si>
  <si>
    <t>3 views of the thorax are provided for review.  The cardiovascular structures are normal.  There is a moderate bronchial pattern in all lung lobes.  The mediastinal and pleural structures are normal.  Cranial abdominal detail is adequate.</t>
  </si>
  <si>
    <t>Moderate bronchial pulmonary pattern=ZZ90= consider bronchitis, response to inhaled irritants, response to circulating parasites, eosinophilic bronchopneumopathy.</t>
  </si>
  <si>
    <t>Thorax. Four radiographs of the thorax (2 lateral, two VD) dated September 19, 2024 are provided.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On the right lateral view there is focal dorsal deviation of the trachea just cranial to the carina. This appearance is not persistent on the left lateral view and likely secondary to head position.
Esophagus: The region of the esophagus is within normal limits.
Musculoskeletal: The head of the first rib is enlarged and creates a circular mineral opacity superimposed with the right cranial lung lobe on the VD view. A pulmonary nodule is not identified at this level. There is an ovoid soft tissue opaque mass superimposed with the ventral abdominal wall ventral to the liver. There is moderate to marked spondylosis deformans of the cervical, thoracic, and lumbar spine. Thoracolumbar spine is most affected. There is marked osteoarthritis of the suspected right elbow. The contralateral elbow is not included.</t>
  </si>
  <si>
    <t>1. Normal thorax. There is no evidence of pulmonary metastasis.
2. The circular opacity on the VD in the right cranial thorax is ahead of the right first rib.
3. There is significant degenerative changes of the spine.
4. Soft tissue opaque mass on the cranial ventral abdominal wall. Consider a neoplasm such as a mast cell tumor, soft tissue sarcoma, mammary carcinoma.
5. Marked osteoarthritis of the presumed right elbow</t>
  </si>
  <si>
    <t>Fine-needle aspirates of the right anal gland mass and mass on the cranial ventral abdominal wall are recommended for a cytologic diagnosis and to guide treatment options. Multimodal pain management and restricted activity are recommended for osteoarthritis.</t>
  </si>
  <si>
    <t xml:space="preserve">
1.MILD BRONCHOINTERSTITIAL PULMONARY PATTERN; MINIMAL to MILD PERIHILAR PATTERN._x000D_
2.Based on the AI airway/pulmonary findings, the probability of this patient having clinically detectable respiratory signs is LOW (25%)_x000D_
3.In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4.In the PRESENCE of respiratory signs, low grade active pneumonitis (allergic, bacterial, parasitic (including heartworm disease), inhaled allergen or toxin) or upper airway disease causing pulmonary hypoinflation and/or recurrent microaspiration may be more likely._x000D_
5.The cardiac silhouette size is normal._x000D_
6.There is no evidence of DYNAMIC AIRWAY COLLAPSE or BRONCHIECTASIS.</t>
  </si>
  <si>
    <t>A three view study of the thorax, orthogonal abdomen views, a VD pelvis view, and lateral views of the forelimbs and hind limbs are provided. There are 11 images total._x000D_
_x000D_
Musculoskeletal: No abnormalities are seen involving the shoulder joint in either limb._x000D_
The medial coronoid process of the ulna is indistinct in both lateral forelimb views. No remodeling changes are seen involving the elbows. No joint effusion or soft tissue swelling is identified._x000D_
_x000D_
Both stifle joints appear normal. The pelvis and hip joints are within normal limits._x000D_
No spinal abnormalities are identified._x000D_
_x000D_
Thorax: There is a moderate increase in interstitial lung opacity. The thorax is hypoinflated in all views. No pulmonary nodules or pleural effusion are seen. The cardiovascular structures are within normal limits._x000D_
_x000D_
The abdominal organs are within normal size and shape limits. No mass lesions or loss of detail are seen.</t>
  </si>
  <si>
    <t>1) The increased interstitial opacity in the lungs is suspected to be primarily due to hypoinflation artifact an prominent age related change. Chronic bronchitis/pneumonitis of and idiopathic or allergic nature should still be ruled out if relevant clinical signs are present. Infectious disease is considered unlikely._x000D_
No cardiovascular abnormalities are identified._x000D_
_x000D_
2) The medial coronoid process of the ulna is indistinct in both elbows. This is a finding that can be associated with elbow dysplasia or corner fracture, but given the lack of effusion/swelling or remodeling changes in this patient is more likely to be a benign variant or artifact._x000D_
No abnormalities that would convincingly explain the lameness complaint are identified.</t>
  </si>
  <si>
    <t>Restricted activity and anti-inflammatory therapy for possible soft tissue injury causing the lameness is recommended.</t>
  </si>
  <si>
    <t xml:space="preserve">
1.MINIMAL to MILD DIFFUSE, MIXED BRONCHOINTERSTITIAL PULMONARY PATTERN with ATELECTASIS or less likely, pneumonia._x000D_
2.Probability these AI pulmonary findings will accompany clinically detectable respiratory signs: LOW (25%)_x000D_
3.Are respiratory signs present? If YES._x000D_
4.Are respiratory signs present? If NO._x000D_
5.The cardiac silhouette size is normal._x000D_
6.There is no evidence of DYNAMIC AIRWAY COLLAPSE or BRONCHIECTASIS.</t>
  </si>
  <si>
    <t>3 views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adequate._x000D_
_x000D_
Echocardiogram images and video clips are also provided for review.  The left atrium is normal in size (LA/Ao 0.8).  Fractional shortening is mildly reduced (39-41%).  The mitral tricuspid valve leaflets are thickened.  An eccentric jet of regurgitation is seen in the mitral valve with color Doppler.  Not a small jet of regurgitation is seen at the pulmonic valve with color Doppler.  No pleural or pericardial effusion is seen.</t>
  </si>
  <si>
    <t>Mitral and tricuspid changes consistent with early endocardiosis.  The pulmonic insufficiency is likely physiologic.  No current evidence of decompensation.</t>
  </si>
  <si>
    <t>3 views of the thorax are provided for review.  The trachea is dorsally deviated, indicating left ventricular enlargement.  A small bulge is present in the region of the left atrium.  No pulmonary infiltrates are seen.  The pulmonary vasculature is normal in size.  The mediastinal and pleural structures are normal.  Cranial abdominal detail is adequate.  The liver margins are rounded and extend beyond the costal arch.</t>
  </si>
  <si>
    <t>Left-sided cardiomegaly without current evidence of cardiogenic pulmonary edema.  Echocardiography may be helpful in further evaluation.  Mild hepatomegaly=ZZ90= this is a nonspecific finding that may be seen with congestion, vacuolar hepatopathy, inflammation, neoplasia, etc.  Abdominal ultrasound may be helpful in further evaluation if biochemically indicated.</t>
  </si>
  <si>
    <t xml:space="preserve">
1.There is no evidence of INTERSTITIAL or ALVEOLAR PATTERN, BRONCHITIS, PERIHILAR INFILTRATE, PULMONARY NODULES or PLEURAL EFFUSION._x000D_
2.Minimal cardiomegaly has been detected but Heart Failure is NOT suspected.</t>
  </si>
  <si>
    <t>THORAX (3 total radiographs for review). _x000D_
_x000D_
- The cardiac silhouette is within normal limits for size, shape and margins._x000D_
- There is a soft tissue opaque band dorsally overlying the trachea in the caudal cervical region extending to the level of the thoracic inlet._x000D_
- Mild, diffuse bronchial pulmonary pattern._x000D_
- The remaining intrathoracic structures are normal._x000D_
- The cranial abdominal structures and included musculoskeletal structures are normal.</t>
  </si>
  <si>
    <t>1.  Radiographically unremarkable cardiac silhouette and pulmonary vasculature._x000D_
_x000D_
2.  Mild diffuse bronchial pattern. Most likely representing age-related lower airway changes, however a component of chronic bronchitis is possible, especially if there is a history of abnormal respiratory sounds, wheezing and/or coughing._x000D_
_x000D_
3.  The appearance of the trachea at the level of the thoracic inlet is most likely incidental given the patient=ZZ91=s signalment, however tracheal collapse is not excluded.</t>
  </si>
  <si>
    <t xml:space="preserve">
1.The cardiac silhouette size is normal._x000D_
2.There is no evidence of ALVEOLAR PATTERN or PERIHILAR INFILTRATE._x000D_
3.A minimal bronchial pattern has been detected.</t>
  </si>
  <si>
    <t>Study:_x000D_
Thoracic radiography: three images dated September 19, 2024_x000D_
_x000D_
Findings:_x000D_
The cardiac silhouette is normal in size and shape. The pulmonary vasculature is normal in size. There is an approximately 4.5 cm ovoid gas lucency outlined by a soft tissue opaque rim in the right caudal lung lobe. The pleural space is normal. There is no intrathoracic lymphadenopathy. The trachea is normal in diameter. The included abdomen is unremarkable. No skeletal abnormalities are present.</t>
  </si>
  <si>
    <t>1. Right caudal lung lobe pulmonary bulla. This finding is likely of no clinical significance=ZZ90= however, positive pressure ventilation should be avoided in any future anesthetic events and the patient may be at risk for spontaneous pneumothorax._x000D_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can be considered to further evaluate for possible dynamic airway disease given the reported tracheal sensitivity on physical exam. Airway sampling plus/minus heartworm testing and Baermann fecal flotation can be considered to further evaluate for lower airway disease.</t>
  </si>
  <si>
    <t>Three radiographs of the thorax are provided. The cardiac silhouette is lower normal size. There is a large amount of fat deposition in the cranial and ventral thorax, seen separating the heart from the sternum on the lateral views. Fat deposition causes widened cranial mediastinum as well as the thick linear increased opacity extending from the cardiac apex to the diaphragm on the VD view. There is no pleural effusion. No abnormalities in the pulmonary parenchyma. Elongated soft tissue density overlying the dorsal aspect of the caudal cervical trachea is likely adjacent esophagus. In the cranioventral abdomen there is round 6.5 cm soft tissue density caudoventral to the pylorus on the left lateral view. Large volume extrathoracic fat.</t>
  </si>
  <si>
    <t>1. The patient is obese. No definitive intrathoracic abnormalities._x000D_
2. Round soft tissue contour in the cranioventral abdomen is concerning for a mass lesion such as originating from the spleen. Incidental appearance of normal splenic tail or fluid-filled loops of small bowel are next on the differential list.</t>
  </si>
  <si>
    <t>Recommend a CBC, blood chemistry profile to rule out a metabolic abnormality. Abdominal ultrasound should also be considered.</t>
  </si>
  <si>
    <t xml:space="preserve">
1.A moderate to severe interstitial to alveolar pattern with a perihilar component and concurrent dynamic airway disease has been identified._x000D_
2.Dynamic airway disease has been detected._x000D_
3.The evaluation has come up positive for a pulmonary nodular pattern._x000D_
4.Pleural fissure lines or moderate pleural effusion has been detected. An overlying skin fold or in a moderately overweight animal, excessive pericardial fat could artifactually mimic the result of moderate pleural effusion._x000D_
5.The cardiac silhouette size is normal.</t>
  </si>
  <si>
    <t>Patient Name : Maple Tribbet, Date of study: Sep 19, 2024
3 images are provided for review
Additional images dated the same day are attached to case 2764661.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displaced into the left caudal abdomen by the stomach, but is subjectively normal in size.
Kidneys: The left kidney is normal in the ventrodorsal image.  The right kidney is obscured without obvious enlargement or mineral.
Retroperitoneum: Retroperitoneal detail is adequate.
Urinary bladder/Urethra: The urinary bladder is obscured without obvious enlargement.
Peritoneum: Peritoneal detail is adequate.
Gastrointestinal tract: The stomach contains a moderate to large volume of gas.  Gas is in the pylorus in the left lateral image. The stomach is within normal limits for size. Minimal pin-point mineral is suspected admixed with gastric content.
The small intestine contains moderate gas and mild heterogeneous soft tissue material with a subjectively uniform population for size. 
The colon contains mild soft tissue material and gas.  The colon is within normal limits for size.  
In the additional images, the stomach contains mild gas and is smaller than the prior images.  The small intestine contains mild gas and fluid, or is empty, and subjectively uniform in size. The colon contains moderate soft tissue material and gas and is normal in size.  Mild mineral material is in the caudal rectum, admixed with lumen content.
Musculoskeletal: Multiple thoracic vertebrae are narrowed in a craniocaudal dimension from T3 through T11.  T6 is wedge-shaped.  The caudal vertebral are shortened, consistent with patient breed.  The remaining included musculoskeletal structures are normal.</t>
  </si>
  <si>
    <t xml:space="preserve">1. Minimal to mild diffuse bronchial pulmonary pattern such as from infectious/immune-mediated lower airway disease (mycoplasma spp., bordetella spp., parasitism, inhaled allergen/irritant), fibrosis from prior disease, artifact, or unlikely other.
2. Gastric and intestinal gas such as from gastritis/enteritis, aerophagia, or a combination of these.
- There is no current evidence of gastrointestinal mechanical ileus, especially given improved appearance between serial images in this examination.
- Differential diagnoses include dietary indiscretion (such as passage rectal mineral material), toxin ingestion, diet/antibiotic responsive disease, inflammatory bowel disease, pancreatitis, occult systemic disease or unlikely other.
</t>
  </si>
  <si>
    <t>This examination does not rule out brachycephalic airway syndrome and/or pharyngitis/laryngitis from contributing to reported clinical signs.  Consider sedated laryngeal examination/laryngoscopy and brachycephalic airway disease evaluation of reported gagging clinical signs. Consider fecal analysis/empirical deworming, respiratory PCR panel, airway sampling for further evaluation. Empirical therapy and supportive care in the interim as needed.  Monitoring as directed, or sooner if clinical signs acutely change, fail to improve or worsen.</t>
  </si>
  <si>
    <t xml:space="preserve">
1.MILD BRONCHOINTERSTITIAL PULMONARY PATTERN; MINIMAL DYNAMIC AIRWAY DISEASE._x000D_
2.MODERATE INTERSTITIAL TO ALVEOLAR PATTERN; MILD BRONCHITIS._x000D_
3.Based on these AI airway/pulmonary findings, the probability of this patient having clinically detectable respiratory signs is LOW to MEDIUM (25-50%)_x000D_
4.Based on the AI airway/pulmonary findings, the probability of this patient having clinically detectable respiratory signs is MEDIUM to HIGH (50-75%)_x000D_
5.Are respiratory signs present? If YES._x000D_
6.Are respiratory signs present? If NO._x000D_
7.Are respiratory signs present? If NO._x000D_
8.The cardiac silhouette size is normal._x000D_
9.Are respiratory signs present? If YES.</t>
  </si>
  <si>
    <t>A three view thoracoabdominal study is provided for interpretation._x000D_
_x000D_
Severe redundant dorsal tracheal membrane is identified. No narrowing of tracheal cartilage is seen. No pulmonary infiltrates or pleural effusion are identified. The cardiovascular structures are within normal limits._x000D_
_x000D_
Rugal folds in the stomach are prominent. No dilation the stomach or intestine is seen. The volume of intestinal gas is normal. Serosal detail in the abdomen is normal. The other organs are within normal size and shape limits._x000D_
_x000D_
There is suspicion of possible mild narrowing of the C5-C6 intervertebral disc space, but this area cannot be reliably evaluated due to positional obliquity. No abnormalities are seen involving the thoracic or lumbar spine. The pelvis and hips are within normal limits.</t>
  </si>
  <si>
    <t>The appearance of the stomach is consistent with gastritis. Considering the melena, gastric erosion/ulceration should also be ruled out._x000D_
No foreign body or obstructive pattern is seen. No findings indicative of neoplasia are identified._x000D_
_x000D_
The thorax is within normal limits._x000D_
The redundant dorsal tracheal membrane could easily be incidental, but can also be clinically correlated with tracheal collapse in some cases.</t>
  </si>
  <si>
    <t>Medical management for possible gastric ulceration/erosion is recommended. If clinical signs are not improving with empiric medical management, endoscopy should be considered.</t>
  </si>
  <si>
    <t>Two views of the thorax are provided for review.  The trachea is dorsally deviated, indicating left ventricular enlargement.  A bulge is present in the region of the left atrium.  Cardiac size is mildly increased from images dated 7/14/2022.  No pulmonary infiltrates are seen.  The pulmonary vasculature is normal in size.  The trachea is mildly narrowed in the cervical region.  The mediastinal and pleural structures are normal.  Cranial abdominal detail is adequate.</t>
  </si>
  <si>
    <t>Mildly progressive left-sided cardiomegaly without current evidence of cardiogenic pulmonary edema.  Mild cervical tracheal narrowing suggestive of tracheal collapse.</t>
  </si>
  <si>
    <t xml:space="preserve">
1.Are respiratory signs present? If YES._x000D_
2.Are respiratory signs present? If NO._x000D_
3.MILD BRONCHOINTERSTITIAL PULMONARY PATTERN; MILD PERIHILAR INFILTRATE; MILD DYNAMIC AIRWAY DISEASE; ATELECTASIS or less likely, pneumonia._x000D_
4.Based on the AI airway/pulmonary findings, the probability of this patient having clinically detectable respiratory signs is MEDIUM (50%)_x000D_
5.Severe cardiomegaly has been detected but Heart Failure is NOT suspected.</t>
  </si>
  <si>
    <t>Patient Name : Coco Garcia, Date of study: Sep 19, 2024
1 images are provided for review
Canine Abdomen (1 Images) - 1 Lateral
There are no previous radiographs for comparison.
Liver: The liver is normal in size with a slightly rounded caudoventral margin.
Spleen: The spleen is not well-identified.
Kidneys: The kidneys are partially obscured without obvious mineral or enlargement.
Retroperitoneum: Retroperitoneal detail is adequate.
Urinary bladder/Urethra: The urinary bladder is not well-identified without obvious mineral.  
Reproductive:  In the caudal and mid-ventral abdomen is an enlarged soft tissue structure that is subjectively tubular in shape.  
Peritoneum: Ill-defined fluid opaque striations are admixed with mid-ventral and caudal peritoneal fat.
Gastrointestinal tract: The stomach contains a mild volume of gas and fluid or is empty.   The stomach is within normal limits for size.
The small intestine contains mild fluid or is empty with a subjectively uniform population for size. 
The colon contains mild soft tissue material and gas.  The colon is within normal limits for size.  
Musculoskeletal: The included musculoskeletal structures are normal.</t>
  </si>
  <si>
    <t xml:space="preserve">1. Suspicious for mid-ventral and caudal abdominal organomegaly such as from uterine enlargement given reported intact status of this patient, or unlikely other.
- If confirmed, uterine enlargement in this patient is most suspicious for pyometra or unlikely other.
2. Mild peritoneal fluid due to peritonitis/steatitis such as from evolving pyometra versus other.
3. Non-specific small intestinal and colon appearance due to enteritis/colitis or less likely variation of normal/recent bowel movement.
- There is no current evidence of gastrointestinal mechanical ileus.
- Differential diagnoses include secondary to evolving systemic disease or unlikely other.
</t>
  </si>
  <si>
    <t>Routine blood work if not recently performed.  Orthogonal radiographs and/or abdominal ultrasonography for confirmation of uterine enlargement.  Consider celiotomy with ovariohysterectomy for suspected pyometra, especically given reported intact status and clinical signs.  Empirical therapy and supportive care in the interim as needed.  Monitoring as directed, or sooner if clinical signs acutely change, fail to improve or worsen.</t>
  </si>
  <si>
    <t>3 views of the thorax are presented for review.  The cardiovascular structures are normal.  There is a diffuse interstitial pulmonary pattern that is considered appropriate for the age of the patient.  No pulmonary nodules or enlarged intrathoracic lymph nodes are seen.  Symmetric soft tissue structures seen at the fifth intercostal spaces on the VD view are consistent with nipples.  The pleural and mediastinal structures are normal.  Cranial abdominal detail is adequate.</t>
  </si>
  <si>
    <t>No specific imaging recommendations at this time.</t>
  </si>
  <si>
    <t>THORAX/ABDOMEN (3 total radiographs for review).  No previous examinations are available for comparison._x000D_
_x000D_
- Caudodorsally predominant unstructured interstitial to alveolar pulmonary pattern, most severe in the right caudal lung lobe._x000D_
- Moderate left-sided cardiomegaly, characterized by straightening of the caudal cardiac margin at dorsal displacement of the caudal aspect of the thoracic trachea._x000D_
- Soft-tissue opaque band dorsally overlying the trachea extending from the cervical region through the thoracic inlet._x000D_
- Moderate enlargement of the liver, extending caudal to the costal arch with rounded margins._x000D_
- Bilaterally, there are multiple mineral opacity superimposed over the regions of both kidneys.  The right kidney appears small and mildly irregular as compared to the left.  There are a few mineral opacity superimposed over the region of the ureters are of indeterminate laterality._x000D_
- The stomach contains mild gas and gas stippled soft tissue opaque material._x000D_
- The small intestine is overall nondistended and mostly homogenously soft tissue opaque._x000D_
- The cecum is focally distended with gas._x000D_
- There are two thin, closely adjacent, linear, wire-like metallic foreign bodies in the right lateral abdomen._x000D_
- The spleen and urinary bladder are normal._x000D_
- Bilateral cubital osteoarthritis (limited assessment).</t>
  </si>
  <si>
    <t>1. Caudodorsally predominant unstructured interstitial to alveolar pulmonary pattern, most severe in the right caudal lung lobe. Given the reported history, non-cardiogenic pulmonary edema (NCPE) secondary to recent near-drowning event is prioritized, however in this case there is concurrent left-sided heart enlargement (likely secondary to degeneration of the mitral valve), and therefore cardiogenic pulmonary edema secondary to left-sided congestive heart failure is not excluded. _x000D_
_x000D_
Recommendations to consider would include in addition to careful respiratory monitoring, oxygen as needed and recheck thoracic radiographs, considering if the patient is non-responsive to oxygen therapy a diuretic trial (if safe).  Consultation with a veterinary cardiologist and echocardiography/ECG are also ultimately recommended._x000D_
_x000D_
2.  The appearance of the trachea at the level of the thoracic inlet can be compatible with tracheal collapse, secondary to chondromalacia._x000D_
_x000D_
3. Moderate hepatomegaly. Most likely vacuolar (metabolic) hepatopathy. Hepatitis, hepatic congestion or neoplasia are less likely, but possible._x000D_
_x000D_
4.  Two thin, wire-like, likely incidental, migrating peritoneal foreign bodies in the right lateral abdomen._x000D_
_x000D_
5.  Bilateral nephrolithiasis and chronic degenerative renal disease (R =ZZ93= L).  There is also the impression of potential ureterolithiasis of indeterminate laterality.  Consider echocardiographic assessment of the renal architecture and ureters._x000D_
_x000D_
6.  Bilateral cubital osteoarthritis.</t>
  </si>
  <si>
    <t xml:space="preserve">
1.A moderate perihilar infitlrate has been detected._x000D_
2.Pleural fissure lines or moderate to severe pleural effusion has been detected. An overlying skin fold or in an obese animal, excessive pericardial fat could artifactually mimic the result of severe pleural effusion._x000D_
3.Moderate cardiomegaly has been detected but Heart Failure is NOT suspected._x000D_
4.SEVERE INTERSTITIAL TO ALVEOLAR PATTERN; SEVERE BRONCHIAL PATTERN; SEVERE DYNAMIC AIRWAY DISEASE._x000D_
5.Based on these AI airway/pulmonary findings, the probability of this patient having clinically detectable respiratory signs is VERY HIGH (&gt;75%)_x000D_
6.Are respiratory signs present? If YES._x000D_
7.Are respiratory signs present? If NO.</t>
  </si>
  <si>
    <t>Patient Name : Dudley Kennedy, Date of study: Sep 19, 2024
2 images are provided for review
Canine Thorax (2 Images) - 1 Lateral, 1 Vd
Prior images date November 9, 2023 and previous are available.
Pulmonary parenchyma: A mild diffuse bronchial pattern is present.
Pulmonary vasculature: The pulmonary vasculature is subjectively normal in size and tapers in the periphery of the lungs.
Cardiac silhouette: The cardiac silhouette has s slightly flattened caudodorsal margin in the lateral image.  Mild rounded increased soft tissue is in the region of the left atrium in the ventrodorsal image.
Mediastinum: The cranial mediastinum is normal.
Trachea: The trachea is normal.
Esophagus: The esophagus is not well-identified.
Pleural space: The pleural space is normal.
Musculoskeletal: The included musculoskeletal structures are normal.</t>
  </si>
  <si>
    <t xml:space="preserve">1. Similar mild left atrial enlargement such as from myxomatous mitral valvular disease and insufficiency or unlikely other.
-  There is no current evidence of cardiogenic pulmonary edema.
2. Similar mild diffuse bronchial pulmonary pattern due to fibrosis from prior disease, age-related changes, infectious/immune-mediated lower airway disease or unlikely other.
</t>
  </si>
  <si>
    <t>Echocardiography, eCG and blood pressure for further evaluation, as well as routine blood work and urinalysis if not recently performed.  Consider respiratory PCR panel, airway sampling, and fecal analysis/deworming for further evaluation of a cough if clinically indicated. Empirical therapy and supportive care in the interim as needed. Monitoring as directed or sooner if clinical signs acutely change, fail to improve or worsen.</t>
  </si>
  <si>
    <t>Patient Name : Buddy Rodriguez, Date of study: Sep 18, 2024
8 images are provided for review
There are no previous radiographs for comparison.
Liver: The liver is small with cranial displacement of the gastric axis.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heterogeneous soft tissue material and gas.   The stomach is within normal limits for size.  Gas is suspected in the descending duodenum in the left lateral image.
The small intestine contains mild gas and with a subjectively uniform population for size. 
The colon contains minimal soft tissue material and gas.  The colon is within normal limits for size.  
Musculoskeletal: The included musculoskeletal structures are normal.</t>
  </si>
  <si>
    <t>1. Gastric material due to recent meal, versus gastritis/delayed gastric emptying or unlikely pyloric outflow tract obstruction given lack of vomiting in reported history.
2. Non-specific small intestinal and colon appearance such as from enteritis, colitis, or individual variation of normal.
- There is no current evidence of gastrointestinal mechanical ileus.
- Differential diagnoses include dietary indiscretion, toxin ingestion, diet/antibiotic responsive disease, inflammatory bowel disease, pancreatitis, occult systemic disease or unlikely other.
3. Microhepatia versus individual variation of normal.
- If present, consider occult portosystemic shunt or unlikely chronic hepatitis/cirrhosis.</t>
  </si>
  <si>
    <t>Consider GI panel, fecal analysis/deworming, bile acid testing, and routine blood work for further evaluation.  Empirical therapy and supportive care in the interim as needed.  Consider abdominal ultrasonography for further evaluation of the gastrointestinal tract, pancreas and liver.   Monitoring as directed or sooner if clinical signs acutely change, fail to improve or worsen.</t>
  </si>
  <si>
    <t xml:space="preserve">
1.SEVERE ALVEOLAR INFILTRATE; MINIMAL BRONCHOINTERSTITIAL PATTERN._x000D_
2.Based on the AI airway/pulmonary findings, the probability of this patient having clinically detectable respiratory signs is VERY HIGH (&gt;75%)_x000D_
3.Are respiratory signs present? If YES._x000D_
4.AI linked canine pneumonia treatment: https://platform.v2.vetology.net/doc/pneumonia-in-dogs-and-cats_x000D_
5.Are respiratory signs present? If NO._x000D_
6.The cardiac silhouette size is normal._x000D_
7.There is no evidence of DYNAMIC AIRWAY COLLAPSE or BRONCHIECTASIS.</t>
  </si>
  <si>
    <t>Patient Name : ROCKY REIGHTLEY, Date of study: Sep 18, 2024
3 images are provided for review
Canine Thorax (3 Images) - 2 Lateral, 1 Vd
There are no previous radiographs for comparison.
Pulmonary parenchyma: A mild diffuse bronchial pattern is present.
Pulmonary vasculature: The pulmonary vasculature is subjectively normal in size and tapers in the periphery of the lungs.
Cardiac silhouette: The cardiac silhouette has a slightly flat caudodorsal margin in the left lateral image.  This is not well-identified in the orthogonal images.
Mediastinum: The cranial mediastinum is normal.
Trachea: A soft tissue band partially superimposes over the dorsal aspect of the caudal cervical trachea segment.
Esophagus: The esophagus is not well-identified.
Pleural space: The pleural space is normal.
Musculoskeletal: The included musculoskeletal structures are normal.</t>
  </si>
  <si>
    <t xml:space="preserve">1. Equivocal left atrial enlargement versus artifact from positioning and phase of the cardiopulmonary cycle.
- If present, this may be consistent with reported heart murmur and myxomatous mitral valvular disease versus other.
- There is no evidence of left-sided congestive heart failure.  
2. Mild diffuse bronchial pulmonary pattern.
- Differential diagnoses include infectious/immune-mediated lower airway disease such as from mycoplasma spp., bordetella spp., parasitism, or inhaled allergen/irritant, and/or fibrosis from prior disease, age-related changes, or unlikely other.
3. Dorsal redundant tracheal membrane versus superimposed normal structures.  </t>
  </si>
  <si>
    <t>Consider echocardiography, eCG and blood pressure for further evaluation.  Routine blood work, urinalysis if not recently performed.  Empirical therapy and supportive care in the interim as needed.  Monitoring as directed or sooner if clinical signs acutely change, fail to improve or worsen.</t>
  </si>
  <si>
    <t xml:space="preserve">
1.MINIMAL to MILD BRONCHOINTERSTITIAL PULMONARY PATTERN; MILD DYNAMIC AIRWAY DISEASE; MILD PERIHILAR INFILTRATE._x000D_
2.Based on these AI airway/pulmonary findings, the probability of this patient having clinically detectable respiratory signs is LOW to MEDIUM (25-50%)_x000D_
3.Are respiratory signs present? If YES._x000D_
4.Are respiratory signs present? If NO._x000D_
5.The cardiac silhouette size is normal.</t>
  </si>
  <si>
    <t>Study:_x000D_
Thoracic radiography: right lateral and orthogonal views dated September 18, 2024_x000D_
_x000D_
Findings:_x000D_
Best seen on the VD view, there is a round soft tissue opaque structure situated between the branching of the caudal lobar bronchi. The vertebral heart score is normal (approximately 10). The pulmonary parenchyma is unremarkable. No nodules or masses present. The pleural space is normal. The trachea is normal in diameter. The included abdomen is unremarkable. No skeletal abnormalities are present.</t>
  </si>
  <si>
    <t>The round soft tissue opacity seen caudal to the carina situated between the branching of the lobar bronchi may indicate (reactive, fungal or neoplastic) tracheobronchial lymphadenopathy. Specific left atrial enlargement is considered less likely given the normal vertebral heart and lack of any reported heart murmur.</t>
  </si>
  <si>
    <t>Regionally/travel appropriate fungal serology testing can be considered to rule out/and fungal disease. Abdominal sonography can be considered to evaluate for any evidence of intra-abdominal neoplasia.</t>
  </si>
  <si>
    <t>THORAX (2 total radiographs for review).  A previous examination is available for comparison from 2022._x000D_
_x000D_
- New, moderate left-sided cardiomegaly, characterized by straightening of the caudal cardiac margin and dorsal displacement of the caudal aspect of the thoracic trachea._x000D_
- Mild, diffuse, bronchial pulmonary pattern._x000D_
- No obvious tracheal collapse is noted._x000D_
- Pulmonary vasculature, pleural space, mediastinum normal._x000D_
- The stomach contains moderate gas and mild soft tissue opaque material, as well as a few small mineral opacities._x000D_
- The spleen appears to be mildly malpositioned and moderately enlarged. (limited assessment)._x000D_
- The remaining cranial abdominal structures are normal._x000D_
- No discrete musculoskeletal abnormalities are noted.</t>
  </si>
  <si>
    <t>1.  New, moderate left-sided cardiomegaly, without pulmonary vascular congestion or congestive heart failure.  Most likely compatible with degeneration of the mitral valve.  Consider consultation with a veterinary cardiologist and echocardiography/ECG for further evaluation._x000D_
_x000D_
2.  Although there is no discrete radiographic evidence of tracheal collapse in this examination, this pathology is not excluded given both the history and the patient signalment._x000D_
_x000D_
3.  Aerophagia._x000D_
_x000D_
4.  Moderate splenomegaly with mild malpositioning. DDx congestion from sedation, lymphoid hyperplasia, EMH, less likely neoplasia.  If clinically indicated, consider abdominal ultrasound for further evaluation.</t>
  </si>
  <si>
    <t xml:space="preserve">
1.Severe dynamic airway disease has been identified._x000D_
2.A moderate to severe, diffuse mixed bronchointerstitial pattern with concurrent dynamic airway disease has been detected._x000D_
3.A mild perihilar infiltrate has been detected._x000D_
4.Pleural fissure lines or moderate to severe pleural effusion has been detected. An overlying skin fold or in an obese animal, excessive pericardial fat could artifactually mimic the result of severe pleural effusion._x000D_
5.Severe cardiomegaly has been detected but Heart Failure is NOT suspected.</t>
  </si>
  <si>
    <t>Patient Name : Kristal Barboza, Date of study: Sep 18, 2024
3 images are provided for review
Canine Thorax (3 Images) - 2 Lateral, 1 Vd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is moderately tall and occupies over 2/3 the height of the thorax, with dorsal tracheal dispalcement.  The caudodorsal margin of the cardiac silhouette is severely enlarged.  Rounded increased soft tissue is in the region of the left atrium in the ventrodorsal image.
Mediastinum: The cranial mediastinum is normal.
Trachea: A soft tissue band superimposes over the dorsal trachea in the left lateral image.
Esophagus: The esophagus is not well-identified.
Pleural space: The pleural space is normal.
Musculoskeletal: The included musculoskeletal structures are normal.</t>
  </si>
  <si>
    <t>1. Moderate-severe left-sided cardiomegaly such as from myxomatous mitral valvular disease and insufficiency or unlikely other.
- There is no current evidence of left-sided congestive heart failure.
2. Minimal diffuse bronchial pulmonary pattern due to fibrosis from prior disease, age-related changes, infectious/immune-mediated lower airway disease, or unlikely other.</t>
  </si>
  <si>
    <t>Echocardiography, eCG and blood pressure for further evaluation.  Routine blood work and urinalysis if not recently performed.  Consider respiratory PCR panel and fecal analysis/deworming for further evaluation of the reported clinical signs if clinically indicated. Empirical therapy and supportive care in the interim as needed. Monitoring as directed or sooner if clinical signs acutely change, fail to improve or worsen.</t>
  </si>
  <si>
    <t xml:space="preserve">
1.Severe cardiomegaly has been detected but Heart Failure is NOT suspected._x000D_
2.MILD INTERSTITIAL TO ALVEOLAR PATTERN; MILD DYNAMIC AIRWAY DISEASE; MILD PERIHILAR INFILTRATE._x000D_
3.Based on the AI airway/pulmonary findings, the probability of this patient having clinically detectable respiratory signs is MEDIUM (50%)_x000D_
4.Are respiratory signs present? If YES._x000D_
5.Are respiratory signs present? If NO._x000D_
6.There is no evidence of PULMONARY NODULES.</t>
  </si>
  <si>
    <t>Study:_x000D_
Thoracic/abdominal radiography: three images dated September 18, 2024_x000D_
_x000D_
Findings:_x000D_
The cardiac silhouette and pulmonary vasculature are normal in size. The pulmonary parenchyma is unremarkable. The pleural space is normal. There is no intrathoracic lymphadenopathy. The patient is originally dorsal tracheal membrane. The tracheal diameter is normal. The stomach contains a small gas. There is a punctate mineral opacity in a small intestinal segment in the midabdomen. The small intestines are otherwise normal in size, course and content. The colon contains formed fecal material with multiple interspersed mineral opacities. The liver and spleen are normal in size and margin. The kidneys are normal in size and contour. The urinary bladder is normal in size and opacity. There is no prostatomegaly. The osseous structures are unremarkable.</t>
  </si>
  <si>
    <t>1. Redundant dorsal tracheal membrane. Normal diameter of the trachea does not exclude the possibility of concomitant tracheal collapse. Consider fluoroscopy to further evaluate for possible dynamic airway disease given the reported tracheal sensitivity on physical exam._x000D_
2. Charge disease_x000D_
3. Unremarkable abdomen.</t>
  </si>
  <si>
    <t xml:space="preserve">
1.A minimal bronchointerstitial pulmonary pattern has been detected._x000D_
2.The cardiac silhouette size is normal._x000D_
3.There is no evidence of PERIHILAR INFILTRATE, DYNAMIC AIRWAY COLLAPSE or BRONCHIECTASIS, PULMONARY NODULES or PLEURAL EFFUSION.</t>
  </si>
  <si>
    <t>Thorax: The pulmonary parenchyma, cardiac silhouette, and pulmonary vasculature are unremarkable.  There is no evidence of pleural effusion or lymphadenopathy.  There is a soft tissue opacity superimposed over the dorsal aspect of the extrathoracic trachea.</t>
  </si>
  <si>
    <t>Unremarkable thorax._x000D_
_x000D_
The soft tissue opacity superimposed over the dorsal aspect of the extrathoracic trachea may represent a redundant dorsal tracheal membrane and/or rotational obliquity artifact.</t>
  </si>
  <si>
    <t xml:space="preserve">
1.MILD BRONCHIAL PATTERN; MILD DYNAMIC AIRWAY DISEASE._x000D_
2.Based on these AI airway/pulmonary findings, the probability of this patient having clinically detectable respiratory signs is LOW to MEDIUM (25-50%)_x000D_
3.Are respiratory signs present? If YES._x000D_
4.Moderate cardiomegaly has been detected but Heart Failure is NOT suspected._x000D_
5.There is no evidence of PERIHILAR INFILTRATE, PULMONARY NODULES or PLEURAL EFFUSION._x000D_
6.Are respiratory signs present? If NO.</t>
  </si>
  <si>
    <t>Patient Name : Bo Del Bosque, Date of study: Sep 18, 2024
2 images are provided for review
Prior images dated July 17, 2023 are available.
Pulmonary parenchyma: A mild diffuse bronchial pattern is present.  No evidence of alveolar pulmonary pattern.
Pulmonary vasculature: The pulmonary vasculature is subjectively normal in size and tapers in the periphery of the lungs.
Cardiac silhouette: The cardiac silhouette is subjectively normal in size and shape,. similar to prior.
Mediastinum: The cranial mediastinum is normal.
Trachea: Slight soft tissue band is over the caudal cervical tracheal segment in the right lateral image.
Esophagus: The esophagus is not well-identified.
Pleural space: The pleural space is normal.
Musculoskeletal: The included musculoskeletal structures are normal.</t>
  </si>
  <si>
    <t>1. Mild diffuse bronchial pulmonary pattern.
- Differential diagnoses include fibrosis from prior disease, age-related changes, infectious/immune-mediated lower airway disease, or inhaled allergen/irritant, or unlikely other.
2. Slight dorsal redundant tracheal membrane versus superimposed normal structures.
3. No obvious cardiomegaly in this examiantion.</t>
  </si>
  <si>
    <t>This does not rule out underlying/evolving cardiac disease given reported murmur.  Consider echocardiography, eCG and blood pressure for further evaluation.  Empirical therapy and supportive care as needed in the interim. Monitoring as directed or sooner if clinical signs acutely change, fail to improve or worsen.</t>
  </si>
  <si>
    <t>Study:_x000D_
Thoracic radiography: three images dated September 18, 2024_x000D_
_x000D_
Compared to prior study dated August 21, 2024_x000D_
_x000D_
Findings:_x000D_
As previously noted, the cardiac silhouette has rounded appearance but is overall normal in size (VHS approximately 10.5) with no specific chamber enlargement present. The bony vasculature is normal in size. There is a mild focal alveolar pattern overlying the cranioventral aspect of the cardiac silhouette at the level of the fourth ribs. The pleural space is normal. There is no intrathoracic lymphadenopathy. The trachea is normal in diameter. There is mild gas dilation of the esophagus. The severe multifocal spondylosis deformans and severe degenerative changes at the costochondral junctions in between the sternabrae are unchanged from prior. The patient is of overweight body condition.</t>
  </si>
  <si>
    <t>1. The mild focal alveolar pattern in the cranial segment of the left cranial lung lobe is concerning for recurrent pneumonia. Recommend empiric antibiotic therapy with repeat radiography in 10 to 14 days to monitor for response to treatment._x000D_
2. The esophageal dilation could indicate megaesophagus or may indicate aerophagia secondary to the suspected pneumonia. This finding should be monitored on the recheck study._x000D_
3. There is no overt cardiomegaly. Consider echocardiography for further evaluation of the reported heart murmur.</t>
  </si>
  <si>
    <t xml:space="preserve">
1.PULMONARY NODULES or NODULAR PATTERN; SEVERE INTERSTITIAL TO ALVEOLAR PATTERN; MODERATE BRONCHITIS; MILD PERIHILAR INFILTRATE._x000D_
2.Based on the AI airway/pulmonary findings, the probability of this patient having soft tissue pulmonary nodules and clinically detectable respiratory signs is VERY HIGH (&gt;75%)_x000D_
3.The cardiac silhouette size is normal._x000D_
4.The evaluation has a strong suspicion of soft tissue pulmonary nodules being present._x000D_
5.A severe alveolar pattern and mild perihilar pattern have been detected.</t>
  </si>
  <si>
    <t>Four radiographs of the thorax, a lateral view of each elbow, and a dorsopalmar projection of the distal thoracic limbs are provided. The cardiac silhouette and pulmonary vessels are normal size. There are mild age-related changes in the lungs. Several small round increased opacities overlying and adjacent to the heart are end-on pulmonary vessels. No pleural effusion. Normal cranial mediastinal width. The shoulders are congruent. There is moderate to severe degenerative change in both elbows, with enthesophytes on the anconeal process, radial head, humeral epicondyles. In both elbows, the medial coronoid process is blunted and there is sclerosis adjacent to the ulnar notch. There is reduced opacity of the right radial carpal bone on the dorsopalmar projection, however could be due to slight difference in positioning between the two limbs (carpal pad superimposed on the left carpus versus positioned overlying the proximal metacarpals on the right limb). There is no appreciable fracture or osseous proliferation within the right radial carpal bone. There is mild soft tissue swelling medial and lateral to the right carpus, and medial to the left radiocarpal joint. No left carpal abnormalities. Mild osteoarthritis in the left 5th metacarpophalangeal joint, likely incidental.</t>
  </si>
  <si>
    <t>1. Bilateral moderate to severe cubital osteoarthritis. The changes are not pathognomonic, but highly suggestive of medial coronoid process disease. This is the most likely cause for lameness._x000D_
2. Equivocal right radial carpal bone lysis versus artifact caused by varied densities of superimposed tissues. If this is not an artifact, neoplasia would be most likely. Bilateral mild carpal soft tissue swelling suggestive of soft tissue sprain/strain. This could be contributing to discomfort._x000D_
3. Normal thorax.</t>
  </si>
  <si>
    <t>Consider a repeat dorsopalmar radiograph, and a lateral view centered and collimated on the right carpus to determine if the lucency is persistent. If the right carpal lucency is ruled out, additional imaging of the elbows with computed tomography could be considered.</t>
  </si>
  <si>
    <t xml:space="preserve">
1.MILD BRONCHOINTERSTITIAL PULMONARY PATTERN WITH ATELECTASIS or LESS LIKELY, PNEUMONIA, MILD PERIHILAR INFILTRATE._x000D_
2.Probability these AI pulmonary findings will accompany clinically detectable respiratory signs: MILD TO MODERATE (25-50%)_x000D_
3.Are respiratory signs present? If YES._x000D_
4.Are respiratory signs present? If NO._x000D_
5.The cardiac silhouette size is normal.</t>
  </si>
  <si>
    <t>A three view study of the thorax including the neck is provided for interpretation. This study is compared to the previous radiographs dated 6-20-24._x000D_
_x000D_
There is a mild increase in bronchial markings in all lung fields, similar in appearance to the previous study. No alveolar infiltrates are seen. No thoracic lymphadenopathy or pleural effusion is identified._x000D_
No laryngeal/pharyngeal abnormalities are seen. The trachea has smooth walls and normal uniform diameter._x000D_
The cranial abdomen is unremarkable.</t>
  </si>
  <si>
    <t>There is a mild bronchial pattern, unchanged relative to previous radiographs. The appearance would be compatible with prominent age related changes or low-grade bronchitis._x000D_
Chronic bronchitis of an allergic or idiopathic nature is most likely responsible for the cough in this patient.</t>
  </si>
  <si>
    <t>Symptomatic therapy for chronic bronchitis is recommended. Allergic causes should be ruled out._x000D_
Bronchoscopy could be considered for definitive diagnosis.</t>
  </si>
  <si>
    <t>A three-view study of the thorax is provided for comparison to previous radiographs. The studies compared to the most recent recheck dated 1-30-24._x000D_
The current study is dated 8-17-24 but is reported by the RDVM actually be made 9-14-24._x000D_
_x000D_
The ill-defined mass effect previously described as likely represent a granuloma is dramatically improved, and nearly resolved. There is still a thick linear opacity at the pleural fissure between the dorsal aspect of the left cranial and caudal lobes suspected to represent a focal region of atelectasis. There is still a moderate bronchointerstitial pattern which is probably similar to the previous radiographs. The cardiovascular structures are within normal limits.</t>
  </si>
  <si>
    <t>The pulmonary pathology appears to be responding to the current therapy. The structure suspected to represent a granuloma in the previous radiographs is nearly resolved.</t>
  </si>
  <si>
    <t>Continuation of the current medical regimen is recommended, with recheck radiographs in 4 to 6 weeks.</t>
  </si>
  <si>
    <t xml:space="preserve">
1.A mild bronchial pattern has been detected._x000D_
2.The cardiac silhouette size is normal._x000D_
3.There is no evidence of ALVEOLAR PATTERN, PERIHILAR INFILTRATE, DYNAMIC AIRWAY COLLAPSE or BRONCHIECTASIS or PLEURAL EFFUSION.</t>
  </si>
  <si>
    <t>A three-view study of the thorax is provided for interpretation._x000D_
_x000D_
The rostral aspect of the larynx has mildly increased opacity in the lateral views. No tracheal narrowing is seen._x000D_
The pulmonary vessels and parenchyma are within normal limits for patient age. No cardiovascular abnormalities identified. The cranial abdominal organs are within normal limits.</t>
  </si>
  <si>
    <t>No evidence of tracheal collapse is identified._x000D_
No pulmonary changes suggestive of pulmonary disease or heart failure are identified._x000D_
_x000D_
Opacity of the rostral larynx appears increased, but this can sometimes be seen as an artifactual finding. Clinical relevance in this patient is unknown._x000D_
_x000D_
Allergic lung disease could still be present without significant radiographic changes.</t>
  </si>
  <si>
    <t>If the clinical signs are mild and intermittent, allergic lung disease is most likely and symptomatic therapy is recommended._x000D_
If clinical signs progress, sedated laryngeal/pharyngeal exam should be considered.</t>
  </si>
  <si>
    <t>7 views of the pelvis, pelvic limbs, thorax, and abdomen are submitted for review._x000D_
The bilateral femoral heads are well-seated in the acetabula.  The coxofemoral joint spaces are congruent.  No degenerative changes are noted in either hip.  The sacroiliac joints are within normal limits.  Mild to moderate intracapsular effusion is noted in the cranial and caudal aspect of both stifles.  Mild periarticular osteophytosis and enthesiopathy is noted at the distal femur and proximal tibia, primarily on the left stifle.  The bilateral tarsi appear within normal limits. The lumbar spine is within normal limits._x000D_
Stomach attains a moderate amount of ingesta.  The small bowel and colon are within normal limits.  The liver and spleen are normal in size, shape, and margination.  The bilateral renal silhouettes are within normal limits.  The urinary bladder is unremarkable.  Serosal detail is normal._x000D_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t>
  </si>
  <si>
    <t>Mild to moderate intracapsular effusion and mild degenerative change in both stifles, slightly worse on the right side.  Mild/partial cranial cruciate ligament injury could be considered.  Otherwise, nonerosive polyarthritis could be considered.</t>
  </si>
  <si>
    <t>Correlation with palpation of the stifles may be helpful.  A chemistry panel and rickettsial screening could be considered.  Otherwise, arthrocentesis and joint fluid analysis could be considered.</t>
  </si>
  <si>
    <t>A three-view study of the thorax is provided for interpretation._x000D_
_x000D_
A small bulge is seen at the caudal heart base that is suspicious for mild left atrial dilation. Overall heart size aside from this subtle shape change is still within normal limits. Pulmonary vessels are normal. No pulmonary infiltrates or pleural abnormalities are seen. No tracheal or esophageal abnormalities are identified._x000D_
The cranial abdominal organs are unremarkable._x000D_
No musculoskeletal abnormalities are seen.</t>
  </si>
  <si>
    <t>There is suspicion of mild left atrial dilation. This would suggest probable presence of mitral valve insufficiency or early DCM. It could also be a benign variant. Clinical significance in this patient is unknown._x000D_
No other thoracic abnormalities identified.</t>
  </si>
  <si>
    <t>Echocardiography should be considered for more definitive evaluation.</t>
  </si>
  <si>
    <t>Patient Name : Scooby Haffner, Date of study: Sep 18, 2024
3 images are provided for review
Canine Thorax (3 Images) - 1 Vd, 2 Lateral
Prior images dated June 4, 2024 and previous are available.
Pulmonary parenchyma: A mild diffuse bronchial pattern is present.  Lobar airways are sujbecitlvey narrowed in a dorsoventral dimension in the left lateral image.
Pulmonary vasculature: The pulmonary vasculature is subjectively normal in size and tapers in the periphery of the lungs.
Cardiac silhouette: The cardiac silhouette is tall and occupies 2/3 the height of the thorax.  The caudodorsal margin of the cardiac silhouette is flat.  Rounded increased soft tissue is in the region of the left atrium in the ventrodorsal image, exacerbated by obliquity.
Mediastinum: The cranial mediastinum is normal.
Trachea: A soft tissue band superimposes over the cervical and cranial thoracic tracheal segments in the left lateral image.  The trachea is subjectively diffusely narrowed in a dorsoventral dimension and redundant in the cervical region in the right lateral image.
Esophagus: The esophagus is not well-identified.
Pleural space: The pleural space is normal.
Musculoskeletal: C6-7 spondylosis deformans is present.  A soft tissue to mineral nodule superimposes over the costal arch region in the lateral images, similar to prior.  The remaining included musculoskeletal structures are normal.</t>
  </si>
  <si>
    <t>1. Mild-moderate left-sided cardiomegaly such as from myxomatous mitral valvular disease and insufficiency or less likely other.
- There is no current evidence of left-sided congestive heart failure.
2. Diffuse tracheal narrowing and suspected transient lobar bronchial narrowing such as from dynamic airway disease/chondromalacia.
3. Mild diffuse bronchial pulmonary pattern from infectious/immune-mediated lower airway disease, fibrosis from prior disease, age-related changes, or unlikely other.</t>
  </si>
  <si>
    <t>Echocardiography, eCG and blood pressure for further evaluation of the heart.  Tracheoscopy/bronchoscopy/fluoroscopy and  respiratory PCR panel, airway sampling for further evaluation.  Empirical therapy and supportive care for cough in the interim as needed.  Monitoring as directed or sooner if clinical signs acutely change, fail to improve or worsen.</t>
  </si>
  <si>
    <t xml:space="preserve">
1.Mild cardiomegaly has been detected but Heart Failure is NOT suspected._x000D_
2.A minimal to mild bronchointerstitial pulmonary pattern has been detected._x000D_
3.There is no evidence of DYNAMIC AIRWAY COLLAPSE or BRONCHIECTASIS.</t>
  </si>
  <si>
    <t>Study:_x000D_
Thoracic and left tarsus/pes radiography: six images dated September 18, 2024_x000D_
_x000D_
Findings:_x000D_
The cardiac silhouette and pulmonary vasculature are normal in size. The pulmonary parenchyma is unremarkable. The pleural space is normal. There is no intrathoracic lymphadenopathy. The trachea is normal in diameter and course. The included abdomen is unremarkable. There is narrowing of the C3-C4 through C6-C7, T 12-T 13 and T 13-one intervertebral disc spaces. There is multifocal cervical and thoracolumbar spondylosis deformans. Mild to new bone formation is present at the caudodistal aspect the humeral head bilaterally. There is mild soft tissue swelling along the dorsal and lateral aspect of the left metatarsal bones. The bones of the tarsus and pes are unremarkable. There is no evidence of aggressive osseous disease. External mineral debris is present along the plantar aspect of the paw.</t>
  </si>
  <si>
    <t>1. Normal thorax. There is no radiographic evidence of heart disease. Consider echocardiography for further evaluation of the reported heart murmur._x000D_
2. Left metatarsal soft tissue swelling secondary to the reported foxtail foreign body without evidence of osteomyelitis.</t>
  </si>
  <si>
    <t xml:space="preserve">
1.MILD BROCHIAL/BRONCHOINTERSTITIAL PULMONARY PATTERN._x000D_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PERIHILAR INFILTRATE or DYNAMIC AIRWAY COLLAPSE or BRONCHIECTASIS.</t>
  </si>
  <si>
    <t>Four radiographs of the thorax are provided. The cardiac silhouette and pulmonary vessels are normal size. There is soft tissue opacity with air bronchograms in the ventral lungs bilaterally. A mild mixed bronchointerstitial pattern is present in the remaining lungs. Several incidental pulmonary osteomas. No pleural effusion. Normal tracheal diameter. The cranial abdomen is unremarkable.</t>
  </si>
  <si>
    <t>1. Bilateral ventral alveolar pattern most consistent with aspiration pneumonia._x000D_
2. Mixed bronchointerstitial pattern in the remaining lungs may be normal age-related change. Eosinophilic bronchopneumopathy related to previous heartworm disease could also cause this appearance.</t>
  </si>
  <si>
    <t>Recommend antibiotics, and repeat thoracic radiographs (same three views) upon completion to monitor for resolution of pneumonia.</t>
  </si>
  <si>
    <t xml:space="preserve">
1.A moderate to severe interstitial to alveolar infiltrate with a mild perihilar infiltrate has been identified._x000D_
2.Pleural fissure lines or moderate to severe pleural effusion has been detected. An overlying skin fold or in an obese animal, excessive pericardial fat could artifactually mimic the result of severe pleural effusion._x000D_
3.The cardiac silhouette size is normal._x000D_
4.The evaluation has come up positive for a pulmonary nodular pattern._x000D_
5.A mild perihilar infiltrate has been identified.</t>
  </si>
  <si>
    <t>Patient Name : Ferris Mulz, Date of study: Sep 18, 2024
6 images are provided for review
There are no previous radiographs for comparison.
Bones/Joints:
The coxofemoral joints have no obvious osteoarthrosis.  There is adequate coverage of the femoral heads by the acetabulums.
Moderate left stifle osteoarthrosis is present, with osteophytes at the femoral trochlear ridges, apex/base of the patella, fabellae, medial/lateral femoral condyles and medial/lateral tibial condyles.  Mild to moderate increased soft tissue is in the left stifle joint, partially obscuring the infrapatellar fat pad.
Moderate right stifle osteoarthrosis is present, with osteophytes at the femoral trochlear ridges, apex/base of the patella, fabellae, medial/lateral femoral condyles and medial/lateral tibial condyles.  Mild to moderate increased soft tissue is in the right stifle joint, partially obscuring the infrapatellar fat pad.
The included portion of the lumbar spine is normal.
There is no evidence of medullary sclerosis, osteolysis, endosteal scalloping, or periosteal proliferation.
Soft tissues:  The thigh soft tissues are subjectively small bilaterally.  The remaining included soft tissues are normal.</t>
  </si>
  <si>
    <t>1. Moderate left stifle osteoarthrosis and mild-moderate synovial effusion/proliferation.
- The primary differential diagnosis is cranial cruciate ligament injury.
2. Moderate right stifle osteoarthrosis and mild-moderate synovial effusion/proliferation.
- The primary differential diagnosis is cranial cruciate ligament injury.
3. Bilateral thigh disuse muscle atrophy is presumed.
4. No obvious coxofemoral joint osteoarthrosis.
5. Normal lumbar spine.</t>
  </si>
  <si>
    <t>Consider orthopedic consultation and medical versus surgical intervention to the stifles.  Empirical therapy and supportive care in the interim as needed.  Monitoring as directed or sooner if clinical signs acutely change, fail to improve or worsen.</t>
  </si>
  <si>
    <t>Opposite lateral and VD views of the thorax and abdomen are provided. Lateral thorax using for the neck. Previous thorax and neck radiographs dated 8-5-19 are available for comparison._x000D_
_x000D_
The larynx is retracted caudally in both lateral views. This was not present in the previous study. No mass effect is seen in the laryngeal/pharyngeal region. No tracheal abnormalities are identified. Interstitial lung opacity is mildly increased compatible with age related change. No bronchial thickening or active appearing pulmonary infiltrates identified. The cardiovascular structures are within normal limits._x000D_
_x000D_
The abdominal organs are within normal size and shape limits. The distal colon is moderately distended with normal appearing fecal material. The upper GI tract is unremarkable. No mass effect or loss of detail are seen.</t>
  </si>
  <si>
    <t>Caudal retraction of the larynx is identified in both lateral views. This can sometimes be a transient incidental finding, but when pathologic is typically secondary to upper airway obstruction. No mass effect or foreign body is visible in the laryngeal/pharyngeal area in this study. Nasopharyngeal pathology or laryngeal paralysis should still be ruled out._x000D_
_x000D_
No specific cause for the cough is identified. Allergic lung disease or low-grade idiopathic chronic bronchitis could still be present without significant radiographic changes._x000D_
_x000D_
The distended appearance of the distal colon is probably a transient incidental finding. Potential causes of constipation should be ruled out if warranted by relevant clinical signs. No other abdominal abnormalities are identified.</t>
  </si>
  <si>
    <t>Symptomatic therapy for the cough is recommended._x000D_
_x000D_
If there is clinical suspicion of potential upper airway obstruction, cross-sectional imaging such as CT or MRI could be considered.</t>
  </si>
  <si>
    <t xml:space="preserve">
1.In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2.MILD BRONCHOINTERSTITIAL PULMONARY PATTERN; MINIMAL to MILD PERIHILAR PATTERN._x000D_
3.MILD BRONCHOINTERSTITIAL PULMONARY PATTERN; MINIMAL DYNAMIC AIRWAY DISEASE._x000D_
4.Based on these AI airway/pulmonary findings, the probability of this patient having clinically detectable respiratory signs is LOW to MEDIUM (25-50%)_x000D_
5.Based on the AI airway/pulmonary findings, the probability of this patient having clinically detectable respiratory signs is LOW (25%)_x000D_
6.Are respiratory signs present? If YES._x000D_
7.In the PRESENCE of respiratory signs, low grade active pneumonitis (allergic, bacterial, parasitic (including heartworm disease), inhaled allergen or toxin) or upper airway disease causing pulmonary hypoinflation and/or recurrent microaspiration may be more likely._x000D_
8.Are respiratory signs present? If NO._x000D_
9.Mild cardiomegaly has been detected but Heart Failure is NOT suspected.</t>
  </si>
  <si>
    <t>3 views of the thorax are provided for review.  The cardiovascular structures are normal.  There is a marked bronchial pattern in all lung lobes.  The mediastinal and pleural structures are normal.  Cranial abdominal detail is adequate.</t>
  </si>
  <si>
    <t>THORAX (3 images):
Images are dated September 18, 2024.
Pulmonary parenchyma: Ill-defined interstitial to alveolar soft tissue is suspected in the left cranial and right cranial lung lobes.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cervical and thoracic trachea is severely small in a dorsoventral dimension in all lateral images.  In the right lateral image, the caudal larynx/pharynx is ill-defined.
Esophagus: Ovoid soft tissue is in the region of the caudal esophagus best identified in the left lateral and ventrodorsal images.
Pleural space: The pleural space is normal.
Musculoskeletal: Multifocal thoracic vertebral anomalies are present.  The remaining included musculoskeletal structures are normal.</t>
  </si>
  <si>
    <t>1. Diffusely small trachea such as from tracheal hypoplasia consistent with breed, with/without chondromalacia/dynamic airway disease.
2. Suspected decreased laryngeal/pharyngeal gas such as from laryngeal collapse/brachycephalic airway syndrome.
3. Suspected left cranial and right cranial lung lobe interstitial to alveolar soft tissue such as from bronchopneumonia/aspiration pneumonia, or atelectasis/hypoinflation, or a combination of these, or less likely other.
4. Minimal-mild diffuse bronchial pulmonary pattern due to fibrosis from prior disease, age-related changes, infectious/immune-mediated lower airway disease (bordetella spp., mycoplasma spp., parasitism such as lung worms, or less likely other), or unlikely other.
5. Suspicious for caudal par-esophageal or esophageal hernia, or unlikely other.
6. Multifocal thoracic vertebral anomalies.</t>
  </si>
  <si>
    <t>Consider oxygen therapy in the interim and therapy for possible bronchopneumonia and infectious/immune-mediated lower airway disease in the interim. Bronchodilators may be contributory.  Referral to specialty clinic for hospitalization may be contributory.  Ultimately, consider laryngoscopy/laryngeal examination and tracheoscopy/bronchoscopy/fluoroscopy for further evaluation.  Surgical assessment for brachycephalic airway syndrome and tracheal stenting depending on results of additional diagnostics.  Monitoring as directed or sooner if clinical signs acutely change, fail to improve or worsen.</t>
  </si>
  <si>
    <t xml:space="preserve">
1.A mild perihilar infiltrate has been identified._x000D_
2.A moderate to severe interstitial to alveolar infiltrate with a mild perihilar infiltrate has been identified._x000D_
3.Pleural fissure lines or moderate to severe pleural effusion has been detected. An overlying skin fold or in an obese animal, excessive pericardial fat could artifactually mimic the result of severe pleural effusion._x000D_
4.Mild cardiomegaly has been detected but Heart Failure is NOT suspected.</t>
  </si>
  <si>
    <t>Patient Name : Taz Oakes, Date of study: Sep 18, 2024
7 images are provided for review
There are no previous radiographs for comparison.
Pulmonary parenchyma: Soft tissue nodular foci are suspected in the cranial lung in the 2nd intercostal space of the right lateral images, and the 3rd-4th intercostal spaces in the left lateral image.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Mineral foci are consistently in the kidneys in lateral and ventrodorsal images.
Retroperitoneum: Retroperitoneal detail is adequate.
Urinary bladder/Urethra: The urinary bladder is small in size, homogeneous soft tissue, and smoothly marginated.
Peritoneum: Peritoneal detail is adequate.
Gastrointestinal tract: The stomach contains a moderate volume of gas and soft tissue material.  The stomach is within normal limits for size.
The small intestine contains minimal or mild gas and fluid or is empty with a subjectively uniform population for size. 
The colon contains mild heterogeneous  soft tissue material and gas.  The colon is within normal limits for size.  
Musculoskeletal: The included musculoskeletal structures are normal</t>
  </si>
  <si>
    <t>1. Possible ill-defined pulmonary soft tissue nodules versus end-on vasculature structures, granuloma or superimposed structures, or unlikely other.
2. Minimal-mild diffuse bronchial pulmonary pattern such as from fibrosis from prior disease, age-related changes, infectious/immune-mediated lower airway disease, inhaled allergen/irritant, or unlikely other.
3. Moderate gastric material such as from recent meal and/or gastritis/delayed gastric emptying, or unlikely other.
4. Non-specific small intestinal and colon appearance due to normal variation and/or enteritis/colitis.
- There is no current evidence of gastrointestinal mechanical ileus.
- Differential diagnoses include dietary indiscretion, toxin ingestion, diet/antibiotic responsive disease, inflammatory bowel disease, pancreatitis, occult systemic disease or unlikely other.
5. Bilateral nephroliths and presumed chronic renal disease.</t>
  </si>
  <si>
    <t>Consider computed tomography of the thorac for further evaluation of the lungs, especially given reported recent unintended weight loss.  Abdominal computed tomography or ultrasonography may be contributory.  Consider routine blood work, urinalysis and SDMA prior to advanced imaging if not recently performed. Empirical therapy and supportive care in the interim as needed.  Monitoring as directed or sooner if clinical signs acutely change, fail to improve or worsen.</t>
  </si>
  <si>
    <t>A three-view study of the abdomen and a lateral thorax view are provided for interpretation._x000D_
_x000D_
The abdomen is distended, with a moderate to severe reduction in serosal detail throughout the peritoneal cavity. Most organ margins are still visible, and no organomegaly or mass effect is identified. No abnormalities are identified involving the GI tract._x000D_
_x000D_
The heart is moderately enlarged. The shape of the heart is consistent with left atrial and left ventricular dilation. There is a moderate bronchointerstitial pulmonary pattern. No pulmonary nodules or pleural effusion are seen.</t>
  </si>
  <si>
    <t>The appearance of the abdomen is consistent with severe ascites, but no specific etiology is evident. There is no visible mass effect to suggest neoplasia._x000D_
The heart is enlarged. Right-sided heart failure could be a consideration, but the heart shape is more consistent with left-sided cardiac disease. DCM, pericardial effusion, or bilateral valve disease should be ruled out._x000D_
_x000D_
The bronchointerstitial pattern is most compatible with bronchitis. More aggressive pathologies such as fungal disease involving the thorax and abdomen is less likely but should also be ruled out._x000D_
Coagulopathy resulting in pulmonary and abdominal hemorrhage should also be ruled out.</t>
  </si>
  <si>
    <t>There is a bronchointerstitial pattern and ascites, with no specific cause of this combination of findings evident._x000D_
Cardiac disease is present, but relevance to the clinical signs is unknown at this time. DCM should be ruled out. The shape of the heart is not suggestive of pericardial effusion, but this remains a significant differential in light of the ascites._x000D_
Echocardiography and ultrasound the abdomen is recommended._x000D_
Systemic infectious/inflammatory disease and coagulopathy should also be ruled out with appropriate labwork.</t>
  </si>
  <si>
    <t xml:space="preserve">
1.A severe perihilar infiltrate has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4.SEVERE INTERSTITIAL TO ALVEOLAR PATTERN; SEVERE BRONCHIAL PATTERN; SEVERE DYNAMIC AIRWAY DISEASE._x000D_
5.Based on these AI airway/pulmonary findings, the probability of this patient having clinically detectable respiratory signs is VERY HIGH (&gt;75%)_x000D_
6.Are respiratory signs present? If YES._x000D_
7.Are respiratory signs present? If NO._x000D_
8.The evaluation has a strong suspicion of pulmonary nodules or mass lesion being present.</t>
  </si>
  <si>
    <t>Study:_x000D_
Thoracic and abdominal radiography: six images dated September 18, 2024_x000D_
_x000D_
Findings:_x000D_
There is mild generalized cardiomegaly (VHS approximately 11.25). The character arch appears enlarged. The pulmonary vasculature is normal in size. The pulmonary parenchyma is unremarkable. No pulmonary nodules or masses are present. The pleural space is normal. There is no intrathoracic lymphadenopathy. The trachea is normal in diameter. The abdominal serosal detail is normal. The stomach contains gas the pylorus appropriately gas-filled on the left lateral image. The small intestines are gas and fluid-filled and normal in size and course. The colon contains gas and poorly formed fecal material. The liver and spleen are normal in size and margin. The kidneys are normal in size and contour. The urinary bladder is normal in size and opacity. There is mild T5-T6 and moderate L5-L6 spondylosis deformans. There is moderate right elbow periarticular bone formation. The patient is of obese body condition.</t>
  </si>
  <si>
    <t>1. Unremarkable abdomen. A cause of vomiting and inappetence is not evident. There is no radiographic evidence of gastrointestinal foreign material or small intestinal mechanical obstruction. Abdominal sonography can be considered for further evaluation if clinical signs persist or worsen in spite of medical management._x000D_
2. Mild generalized cardiomegaly without evidence of decompensation. Rule out individual normal variant, degenerative valve disease or a cardiomyopathy. ProBNP testing can be considered for further heart disease screening._x000D_
3. Enlargement of the aortic arch can be an indicator systemic hypertension. Consider blood pressure testing for further evaluation._x000D_
4. Moderate right elbow osteoarthrosis.</t>
  </si>
  <si>
    <t xml:space="preserve">
1.MODERATE INTERSTITIAL to ALVEOLAR INFILTRATE; MILD BRONCHIAL PATTERN._x000D_
2.Based on the AI airway/pulmonary findings, the probability of this patient having clinically detectable respiratory signs is HIGH (75%)_x000D_
3.Are respiratory signs present? If YES._x000D_
4.Pleural fissure lines or moderate to severe pleural effusion has been detected. An overlying skin fold or in an obese animal, excessive pericardial fat could artifactually mimic the result of severe pleural effusion._x000D_
5.Mild cardiomegaly has been detected but Heart Failure is NOT suspected._x000D_
6.A mild to moderate bronchointerstitial pulmonary pattern and concurrent minimal dynamic airway disease have been detected._x000D_
7.Are respiratory signs present? If NO._x000D_
8.Minimal dynamic airway disease has been detected.</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</si>
  <si>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 cardiac silhouette size is normal.</t>
  </si>
  <si>
    <t>There is mineral opacity consistent with extensive intervertebral disc mineralization at C2-C-3. This disc space does not appear narrowed her subluxated. There is moderate narrowing at C4-C5, with bridging ventral spondylosis and a small mineral opacity in the disc space._x000D_
There are multiple congenital vertebral deformities involving the thoracic spine. T7 in particular is an exceptionally small butterfly hemivertebra._x000D_
Intervertebral disc mineralization is also present in the caudal lumbar spine from L5 to L7. The L2-L3 disc space is mildly to moderately narrowed. Intervertebral disc mineralization is also suspected at T12-T13, but this disc space is not well visualized in this study._x000D_
_x000D_
The cardiopulmonary structures are within normal limits._x000D_
No abdominal organ abnormalities identified.</t>
  </si>
  <si>
    <t>There is evidence of disc degeneration at multiple locations in the cervical and lumbar spine._x000D_
Considering the young age of the patient, the bridging spondylosis in the mid cervical spine at C4-C5 could be the result of chronic instability. This can also be seen as an incidental finding._x000D_
The congenital deformities in the thoracic spine are likely incidental, although associate soft-tissue abnormalities can still sometimes contribute to pain or ataxia._x000D_
_x000D_
Considering the reported mentation change and seizure, intracranial pathology should still be ruled out as a cause of the clinical signs in this patient.</t>
  </si>
  <si>
    <t>MRI of the brain and spine is recommended._x000D_
_x000D_
Meningitis or other inflammatory CNS disease should also be ruled out. CSF analysis should be considered.</t>
  </si>
  <si>
    <t xml:space="preserve">
1.The cardiac silhouette size is normal._x000D_
2.There is no evidence of INTERSTITIAL PATTERN, BRONCHITIS, DYNAMIC AIRWAY COLLAPSE or BRONCHIECTASIS, PULMONARY NODULES or PLEURAL EFFUSION.</t>
  </si>
  <si>
    <t>Study:_x000D_
Thoracic radiography: three images dated September 18, 2024_x000D_
_x000D_
Findings:_x000D_
The cardiac silhouette and pulmonary vasculature are normal in size. The pulmonary parenchyma is unremarkable. No pulmonary nodules or masses are present. The pleural space is normal. There is no intrathoracic lymphadenopathy. There is a broad-based soft tissue opaque band superimposed with the dorsal aspect of the cervical trachea lumen representing either a redundant dorsal tracheal membrane or superimposition of the esophagus. The trachea is normal in diameter and course. The liver extends mildly beyond the costal arch with smooth margins. There is mild multifocal thoracic spondylosis deformans. There is mild to moderate bilateral elbow periarticular bone formation.</t>
  </si>
  <si>
    <t>1. Normal thorax. There is no radiographic evidence of pulmonary metastatic disease._x000D_
2. The generalized hepatomegaly is nonspecific. Rule out metabolic/vacuolar hepatopathy, hyperplasia, hepatitis or infiltrative neoplasia._x000D_
3. Mild to moderate bilateral elbow osteoarthrosis.</t>
  </si>
  <si>
    <t>Abdominal sonography can be considered for further staging.</t>
  </si>
  <si>
    <t xml:space="preserve">
1.Based on the AI airway/pulmonary findings, the probability of this patient having clinically detectable respiratory signs is MEDIUM to HIGH (50-75%)._x000D_
2.Are respiratory signs present? If YES._x000D_
3.Are respiratory signs present? If NO._x000D_
4.MODERATE ALVEOLAR PATTERN; CONCURRENT MILD to MODERATE BRONCHOINTERSTITIAL PATTERN; MILD DYNAMIC AIRWAY DISEASE._x000D_
5.Mild cardiomegaly has been detected but Heart Failure is NOT suspected.</t>
  </si>
  <si>
    <t>Three radiographs of the thorax are provided. There is moderate left-sided cardiac silhouette enlargement. Subsequent dorsal deviation of the thoracic trachea and mainstem bronchi. The left mainstem bronchus is compressed on the left lateral view. There is a severe interstitial to alveolar pattern in the perihilar region and radiating distally. No pleural effusion. Normal tracheal diameter. Normal cranial abdomen.</t>
  </si>
  <si>
    <t>Moderate left-sided cardiomegaly consistent with acquired mitral valve disease. There is pulmonary edema indicating left-sided cardiac decompensation. Mainstem bronchial compression is likely contributing to the cough.</t>
  </si>
  <si>
    <t>Recommend treatment for heart failure, and follow-up echocardiogram.</t>
  </si>
  <si>
    <t xml:space="preserve">
1.SEVERE INTERSTITIAL TO ALVEOLAR PATTERN; MODERATE BRONCHIAL PATTERN; MODERATE DYNAMIC AIRWAY DISEASE._x000D_
2.Pleural fissure lines or small volume pleural effusion has been detected. In a mildly overweight animal, excessive pericardial fat can artifactually mimic the result of minimal pleural effusion._x000D_
3.Severe cardiomegaly has been detected but Heart Failure is NOT suspected._x000D_
4.A moderate perihilar infitlrate has been detected._x000D_
5.Based on these AI airway/pulmonary findings, the probability of this patient having clinically detectable repsiratory signs is VERY HIGH (&gt;75%)_x000D_
6.Are respiratory signs present? If YES._x000D_
7.AI linked pneumonia in dogs article: https://platform.v2.vetology.net/doc/pneumonia-in-dogs-and-cats_x000D_
8.Are respiratory signs present? If NO.</t>
  </si>
  <si>
    <t>Three radiographs of the thorax and of the abdomen are provided. The cardiac silhouette and pulmonary vessels are normal size and shape. There are a few incidental pulmonary osteomas. Otherwise the lungs are clear. No pleural effusion. Normal tracheal diameter. Soft tissue thickening dorsal to the cervicothoracic spine, likely recent subcutaneous fluid administration._x000D_
_x000D_
In the abdomen there is possible reduced cranial right peritoneal detail on the VD projection. Otherwise serosal detail is adequate. Small volume gas in the stomach. Small and large bowel are minimally distended. No radiopaque foreign material. Normal-sized kidneys, spleen, liver. The urinary bladder is minimally distended. Punctate mineral densities overlying the urinary bladder on the right lateral view are not persistent and is artifact.</t>
  </si>
  <si>
    <t>Reduced cranial right peritoneal detail. This may be due to gastritis/pancreatitis. No other abnormalities are identified to explain the clinical signs. Small radiolucent gastric foreign material is not definitively ruled out, and would be on the differential list if vomiting has persisted. The thorax is normal.</t>
  </si>
  <si>
    <t>If the patient has not improved with supportive care, strictly fasted abdominal ultrasound should be considered.</t>
  </si>
  <si>
    <t>Four images are provided.
Images are dated September 18, 2024.
Prior images dated June 12, 2024 are available.
Pulmonary parenchyma:  A minimal to mild interstitial pattern is in the caudal and dorsal portion of the lungs bilaterally, slightly more severe in the right caudal lung.  
Pulmonary vasculature: The pulmonary vasculature is subjectively normal in size and tapers in the periphery of the lungs.
Cardiac silhouette: The cardiac silhouette is enlarged and tall in the lateral images, occupying greater than 2/3 the height of the thorax.  The trachea is dorsally displaced.  The caudodorsal margin of the cardiac silhouette is flattened.  Rounded increased soft tissue is in the region of the left atrium in the ventrodorsal image.
Mediastinum: The cranial mediastinum is normal.
Trachea: The trachea is normal.
Esophagus: The esophagus is not well-identified.
Pleural space: Thin pleural fissure lines are between the subsegments of the left cranial lung lobe and left cranial/caudal lung lobe in the ventrodorsal image.
Musculoskeletal: Multifocal thoracic spondylosis deformans is present.  The remaining included musculoskeletal structures are normal.</t>
  </si>
  <si>
    <t>1. Similar moderate left-sided cardiomegaly such as from myxomatous mitral valvular disease or unlikely other.
2. Mild interstitial pulmonary pattern in the caudal and dorsal lungs, slightly more severe in the right caudal lung lobe. 
- This is most likely due to left-sided congestive heart failure/pulmonary edema or unlikely other.
3. Mild pleural fissure lines such as from left-sided congestive heart failure or less likely pleural thickening/folding, plate-like atelectasis or other.</t>
  </si>
  <si>
    <t>Oxygen and diuretic therapy with repeat 3- or 4-view thoracic radiographs to monitor for resolution/progression of the pulmonary pattern.  Consider echocardiography, eCG and blood pressure once stable.  Routine blood work and urinalysis if not recently performed.  Empirical therapy and supportive care in the interim as needed. Monitoring as directed, or sooner if clinical signs acutely change, fail to improve or worsen.</t>
  </si>
  <si>
    <t xml:space="preserve">
1.SEVERE INTERSTITIAL TO ALVEOLAR PATTERN; SEVERE BRONCHIAL PATTERN; SEVERE DYNAMIC AIRWAY DISEASE._x000D_
2.Based on these AI airway/pulmonary findings, the probability of this patient having clinically detectable respiratory signs is VERY HIGH (&gt;75%)_x000D_
3.Are respiratory signs present? If YES._x000D_
4.Are respiratory signs present? If NO._x000D_
5.A severe perihilar infiltrate has been detected._x000D_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</si>
  <si>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Thorax. Four radiographs of the thorax (2 lateral, two VD) dated September 18, 2024 are provided.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There is a band of soft tissue opacity superimposed with the trachea at the level of the thoracic inlet on both lateral views. The carina is normal. The larynx is within normal limits.
Esophagus: The region of the esophagus is within normal limits.
Musculoskeletal: The included skeletal and superficial soft tissue structures of the study are within normal limits.</t>
  </si>
  <si>
    <t>1. There is redundancy of the dorsal tracheal membrane. This is likely a component of dynamic airway disease and may account for the cough.
2. Normal pulmonary parenchyma. Chronic bronchitis cannot be excluded as this may have a normal radiographic appearance. Differentials for chronic bronchitis include allergic, infectious/inflammatory, irritant, and parasitic etiologies.
2. Normal cardiovascular structures. A cardiogenic cough is not suspected.</t>
  </si>
  <si>
    <t>Airway sampling (respiratory PCR, lavage, wash) is recommended to guide treatment for chronic bronchitis and dynamic airway disease. A Baermann fecal analysis could be considered to screen for lung worm.</t>
  </si>
  <si>
    <t xml:space="preserve">
1.A minimal bronchial pattern has been detected._x000D_
2.The cardiac silhouette size is normal._x000D_
3.There is no evidence of ALVEOLAR PATTERN, PERIHILAR INFILTRATE, DYNAMIC AIRWAY COLLAPSE or BRONCHIECTASIS, PULMONARY NODULES or PLEURAL EFFUSION.</t>
  </si>
  <si>
    <t>Patient Name : Arlo Jones, Date of study: Sep 18, 2024
3 images are provided for review
Canine Thorax (3 Images) - 2 Vd, 1 Lateral
There are no previous radiographs for comparison.
Pulmonary parenchyma: Ill-defined ovoid soft tissue focus over the left 3rd intercostal space in the straightened ventrodorsal image is not identified in the lateral image.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</si>
  <si>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Presumed end-on vasculature or superimposed normal structures versus left cranial lung lobe pulmonary nodule, or less likely granuloma.
2. Minimal-mild diffuse bronchial pattern such as from fibrosis from prior disease, age-related changes, infectious/immune-mediated lower airway disease, or less likely other.</t>
  </si>
  <si>
    <t>Consider recheck thoracic radiographs, including a "humanoid" ventrodorsal image for further evaluation of the left cranial lung.  Computed tomography of the thorax may also be contributory.  
Etiology of reported cough is not definitively identified.  Consider fecal analysis/empirical deworming and airway sampling, and respiratory PCR for further evaluation.  Empirical therapy and supportive care in the interim as needed. Monitoring as directed or sooner if clinical signs acutely change, fail to improve or worsen in the face of empirical therapy.</t>
  </si>
  <si>
    <t>Thorax and forelimbs. Three lateral radiographs of the presumed left forelimb and three radiographs of the thorax (two VD, one lateral) dated September 18, 2024 are provided. Two additional lateral radiographs of the abdomen are provided but are not interpreted as requested.
Forelimb (presumed left): There is moderate, diffuse swelling of the antebrachium. The underlying radius and ulna are normal with no evidence of periosteal reaction, cortical lysis, or sclerosis. There is mild periarticular osseous proliferation along the anconeal process. The medial coronoid process is smooth and well-demarcated. There is several large, ovoid mineral structure superimposed with the proximal metaphysis of the humerus and caudal to the glenohumeral joint.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t>
  </si>
  <si>
    <t>1. Moderate soft tissue swelling of the left antebrachium. Differentials include unwitnessed trauma, infectious disease (e.g. tickborne disease, bacterial, abscess), and reduced lymphatic drainage.
2. The described abnormalities associated with the left shoulder are thought to be secondary to shoulder osteoarthritis +/- dystrophic mineralization of the adjacent soft tissues.
3. Mild osteoarthritis of the left elbow. 
4. Unremarkable thorax.</t>
  </si>
  <si>
    <t>In addition to the submitted blood work, testing for tickborne disease could be considered. If feasible, sonographic evaluation of the left antebrachium could be considered.</t>
  </si>
  <si>
    <t xml:space="preserve">
1.The evaluation has come up positive for a pulmonary nodular pattern._x000D_
2.The cardiac silhouette size is normal._x000D_
3.There is no evidence of BRONCHITIS, ALVEOLAR PATTERN, PERIHILAR INFILTRATE, DYNAMIC AIRWAY COLLAPSE or BRONCHIECTASIS or PLEURAL EFFUSION.</t>
  </si>
  <si>
    <t>Two views of the abdomen are provided for review.  Serosal detail is adequate in all quadrants.  The stomach contains a moderate amount of amorphous soft tissue material.  The small circular structure is seen in the fundic region on the VD views.  The small intestines are normal in size.  Gas is present in the colon.  The urinary bladder is small.  The remaining abdominal organs are normal.
(amended on 09/18/2024 09:15)
Correction: 5 total images initially reviewed.</t>
  </si>
  <si>
    <t>Circular structure in the stomach consistent with foreign body.  Additional material within the stomach may represent residual ingesta, mucus, or foreign material.</t>
  </si>
  <si>
    <t>Consider repeat radiographs following strict fasting to determine if gastric contents persist versus endoscopy/abdominal exploratory.</t>
  </si>
  <si>
    <t xml:space="preserve">
1.There is no evidence of PERIHILAR INFILTRATE, DYNAMIC AIRWAY COLLAPSE or BRONCHIECTASIS or PULMONARY NODULES._x000D_
2.A severe alveolar infiltrate or pulmonary mass has been identified._x000D_
3.Pleural fissure lines or moderate to severe pleural effusion has been detected. An overlying skin fold or in an obese animal, excessive pericardial fat could artifactually mimic the result of severe pleural effusion._x000D_
4.Mild cardiomegaly has been detected but Heart Failure is NOT suspected.</t>
  </si>
  <si>
    <t>Thorax. Three radiographs of the thorax (2 lateral, 1 VD) dated September 18, 2024 are provided.
Cardiac silhouette: The cardiac silhouette is normal in size and shape.
Pulmonary vessels: The pulmonary arteries and veins are normal in size and are symmetrical.
Pulmonary parenchyma: There is a focal interstitial pulmonary pattern superimposed with the cardiac silhouette on the left lateral view (right middle lung lobe). There is a mild diffuse bronchial pattern in the remaining pulmonary parenchyma. There is no evidence of pulmonary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Musculoskeletal: The included skeletal and superficial soft tissue structures are unremarkable.</t>
  </si>
  <si>
    <t>1. Focal interstitial pulmonary pattern in the right middle lung lobe. Differentials include bronchopneumonia/aspiration pneumonia and scarring from prior disease.
2. Mild diffuse bronchial pattern. Differentials include infectious lower airway disease such as mycoplasma, Bordetella, lung worms) and chronic bronchitis from allergic/irritant etiologies.
3. Normal cardiovascular structures. A cardiogenic cause of coughing is not suspected.</t>
  </si>
  <si>
    <t>Therapy for suspected pneumonia with broad-spectrum antibiotics and supportive care in the interim as needed. Consider respiratory PCR panel, airway sampling, and fecal analysis/deworming for further evaluation.  Monitoring as directed or sooner if clinical signs acutely change, fail to improve or worsen.</t>
  </si>
  <si>
    <t xml:space="preserve">
1.Are respiratory signs present? If NO._x000D_
2.The cardiac silhouette size is normal._x000D_
3.There is no evidence of DYNAMIC AIRWAY COLLAPSE or BRONCHIECTASIS, PULMONARY NODULES or PLEURAL EFFUSION._x000D_
4.Are respiratory signs present? If YES._x000D_
5.MILD INTERSTITIAL to ALVEOLAR INFILTRATE; MILD PERIHILAR INFILTRATE._x000D_
6.Based on these AI airway/pulmonary findings, the probability of this patient having clinically detectable respiratory signs is MEDIUM (50%)</t>
  </si>
  <si>
    <t>Four images are provided.
Images are dated September 18, 2024.
Additional image attached to case 2763447.
Prior images dated April 4, 2024 and previous are available.
Pulmonary parenchyma: A moderate diffuse bronchial pattern is present. A minimal to mild diffuse interstitial pattern is present.  The lungs are mildly hypoinflated in the lateral images, and severely hypoinflated in the initial ventrodorsal image, but improved in the alternate ventrodorsal image.  Moderate interstitial pattern i the right lungs in the ventrodorsal image.
Pulmonary vasculature: The pulmonary vasculature is obscured in the right caudal lung in the ventrodorsal image, but otherwise subjectively normal in size and tapering in the periphery of the lungs.
Cardiac silhouette: The cardiac silhouette has a slightly flat caudodorsal margin and slightly increased soft tissue in the region of the left atrium in the ventrodorsal image.  These changes are slight compared to prior examination of the thoracic limb with significant thorax visible in images dated January 3, 2023.
Mediastinum: Rightward mediastinal shift in the ventrodorsal image.  The cranial mediastinum is mildly symmetrically widened.
Trachea: The trachea is normal.
Esophagus: The esophagus is not well-identified.
Pleural space: The pleural space is normal.
Musculoskeletal: The included musculoskeletal structures are normal.</t>
  </si>
  <si>
    <t>1. Moderate diffuse bronchial and minimal-mild interstitial pulmonary patterns.
- Differential diagnoses include infectious/immune-mediated lower airway disease, fibrosis from prior disease, age-related changes, hypoinflation/atelectasis, artifact, or unlikely other.
2. Rightward mediastinal shift and right-sided interstitial pattern due to atelectasis with/without underlying disease related to #1 above, or unlikely other.
3. Equivocal left-sided cardiomegaly due to evolving dilated cardiomyopathy, or less likely mitral valvular disease, or congenital anomaly or other.
- There is no current evidence of left-sided congestive heart failure.  
4. Widened cranial mediastinum due to fat deposition versus lymphadenomegaly (hyperplasia or evolving metastatic neoplasia) or less likely evolving primary mass.</t>
  </si>
  <si>
    <t>Consider computed tomography of the thorax for further evaluation of the lungs and cranial mediastinum. Consider echocardiography, eCG and blood pressure, especially if a murmur is later identified.  Given transient recumbency atelectasis, occult pulmonary nodule cannot be completely ruled out.  Computed tomography for pre-surgical planning of reported stifle associated soft tissue mass may also be contributory. Routine blood work, coagulation testing and tissue sampling with excisional/incisional biopsy depending on results of additional imaging.  Oncologist consultation may be contributory.    Empirical therapy and supportive care in the interim as needed.  Monitoring as directed or sooner if clinical signs acutely change, fail to improve or worsen.</t>
  </si>
  <si>
    <t xml:space="preserve">
1.PULMONARY NODULES or NODULAR PATTERN; MODERATE INTERSTITIAL TO ALVEOLAR PATTERN; MILD BRONCHITIS._x000D_
2.Based on the AI airway/pulmonary findings, the probability of this patient having soft tissue pulmonary nodules and clinically detectable respiratory signs is VERY HIGH (&gt;75%)_x000D_
3.The evaluation result has a strong suspicion of soft tissue pulmonary nodules being present._x000D_
4.SEVERE INTERSTITIAL TO ALVEOLAR PATTERN; MODERATE BRONCHIAL PATTERN; MODERATE DYNAMIC AIRWAY DISEASE._x000D_
5.Based on these AI airway/pulmonary findings, the probability of this patient having clinically detectable repsiratory signs is VERY HIGH (&gt;75%)_x000D_
6.A severe alveolar pattern has been detected._x000D_
7.A moderate perihilar infitlrate has been detected._x000D_
8.Pleural fissure lines or moderate to severe pleural effusion has been detected. An overlying skin fold or in an obese animal, excessive pericardial fat could artifactually mimic the result of severe pleural effusion._x000D_
9.Mild cardiomegaly has been detected but Heart Failure is NOT suspected._x000D_
10.Are respiratory signs present? If YES._x000D_
11.Are respiratory signs present? If NO.</t>
  </si>
  <si>
    <t>THORAX (4 images):
Images are dated September 17, 2024.
Pulmonary parenchyma: A mild to moderate diffuse bronchial pattern is present.  Presumed end-on vasculature over the lungs in the oblique right lateral image.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</si>
  <si>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Mild-moderate diffuse bronchial pulmonary pattern.
- Differential diagnoses include infectious/immune-mediated lower airway disease such as from mycoplasma spp., bordetella spp., parasitism (lung worms), inhaled allergen/irritant, or a combination of these, and/or fibrosis from prior disease, age-related changes, or unlikely other.
2. No current evidence of alveolar pattern.</t>
  </si>
  <si>
    <t>Consider respiratory PCR panel, airway sampling, and fecal analysis/deworming for further evaluation.  Occasionally, radiographic evidence of bronchopneumonia may lag behind clinical signs.  Consider repeat thoracic radiographs, especially if signs suspicious for pneumonia fail to improve or worsen. Empirical therapy and supportive care in the interim as needed for infectious/immune-mediated lower airway disease.   Monitoring as directed or sooner if clinical signs acutely change, fail to improve or worsen.</t>
  </si>
  <si>
    <t>THORAX (3 images):
Images are dated September 18, 2024.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Minimal to mild esophageal gas in the left lateral image.
Pleural space: The pleural space is normal.
Musculoskeletal: The included musculoskeletal structures are normal.</t>
  </si>
  <si>
    <t>1. Mild diffuse bronchial pulmonary pattern such as from infectious/immune-mediated lower airway disease (mycoplasma spp., bordetella spp., parasitism, or other), inhaled allergen/irritant, or less likely other.
2. No obvious cardiomegaly, but this does not rule out early/evolving disease given reported history.</t>
  </si>
  <si>
    <t>Consider echocardiography, eCG and blood pressure as well as routine blood work and urinalysis.  Consider respiratory PCR panel, airway sampling, and fecal analysis/deworming for further evaluation of coughing if present.  Monitoring as directed or sooner if clinical signs acutely change, fail to improve or worsen.</t>
  </si>
  <si>
    <t xml:space="preserve">
1.The cardiac silhouette size is normal._x000D_
2.There is no evidence of BRONCHITIS, PERIHILAR INFILTRATE, DYNAMIC AIRWAY COLLAPSE or BRONCHIECTASIS, PULMONARY NODULES or PLEURAL EFFUSION._x000D_
3.A minimal interstitial pattern has been detected.</t>
  </si>
  <si>
    <t>THORAX (4 images):
Images are dated January 5, 2024 in metadata, but internal-images thumbnails are dated September 18, 2024.
Prior images of the neck and thorax dated January 5, 2024 (case 2763374) are available.
Pulmonary parenchyma: A mild diffuse bronchial pattern is present, and this is progressive from prior subjectively.  A minimal diffuse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</si>
  <si>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 xml:space="preserve">1. Mild diffuse bronchial and minimal interstitial pulmonary patterns such as from infectious/immune-mediated lower airway disease (such as from mycoplasma spp., bordetella spp., parasitism (lung worms), inhaled allergen/irritant), fibrosis from prior disease, age-related changes, or less likely other.
</t>
  </si>
  <si>
    <t>Consider respiratory PCR panel, airway sampling, and fecal analysis/deworming for further evaluation of reported cough.  Computed tomography of the thorax may be contributory.  Consider sedated laryngeal examination and possible tracheoscopy/bronchoscopy for further evaluation of underlying dynamic airway disease if clinically indicated.  Empirical therapy and supportive care in the interim as needed. Monitoring as directed or sooner if clinical signs acutely change, fail to improve or worsen.</t>
  </si>
  <si>
    <t xml:space="preserve">
1.Are respiratory signs present? If YES._x000D_
2.MODERATE INTERSITIAL TO ALVEOLAR PATTERN; MINIMAL PERIHILAR INFILTRATE._x000D_
3.Based on these AI airway/pulmonary findings, the probability of this patient having clinically detectable respiratory signs is MEDIUM (50%)._x000D_
4.AI linked bacterial pneumonia treatment in dogs: https://platform.v2.vetology.net/doc/pneumonia-in-dogs-and-cats_x000D_
5.Are respiratory signs present? If NO._x000D_
6.The cardiac silhouette size is normal._x000D_
7.There is no evidence of DYNAMIC AIRWAY COLLAPSE or BRONCHIECTASIS.</t>
  </si>
  <si>
    <t>Three radiographs of the thorax and orthogonal views of the abdomen are provided. Images dated 9/6/24 and earlier are available for comparison. The cardiac silhouette is normal size and shape. There are no abnormalities in the pulmonary parenchyma. Mild narrowed cervical trachea on the left lateral view. There is no pleural effusion. Normal cranial mediastinal width. Broad-based fat opaque 13.5 x 4.8 cm lipomatous mass in the right extrathoracic tissue as before._x000D_
_x000D_
In the abdomen the liver is mildly enlarged, similar to the previous study. Normal-sized spleen. The kidneys are obscured. The gastrointestinal tract and urinary bladder are minimally filled. No osseous abnormalities.</t>
  </si>
  <si>
    <t>1. Mild narrowed cervical trachea. Dynamic collapse is possible. This should be correlated with characteristic of the cough and tracheal palpation. No intrathoracic abnormalities. Inhaled irritants/allergens or infectious airway disease remains possible._x000D_
2. Persistent mild hepatomegaly, a nonspecific finding that may be steroid or other hepatopathy. An inflammatory process or neoplasia are lower on the differential list. This should be correlated with history and blood work.</t>
  </si>
  <si>
    <t>Recommend palpate for tracheal sensitivity, and symptomatic treatment for the cough.</t>
  </si>
  <si>
    <t xml:space="preserve">
1.A minimal interstitial pattern has been detected._x000D_
2.The cardiac silhouette size is normal._x000D_
3.There is no evidence of BRONCHITIS, ALVEOLAR PATTERN, PERIHILAR INFILTRATE, DYNAMIC AIRWAY COLLAPSE or BRONCHIECTASIS, PULMONARY NODULES or PLEURAL EFFUSION.</t>
  </si>
  <si>
    <t>THORAX (3 total radiographs for review).  A previous examination is available from 2023._x000D_
_x000D_
- Mild left-sided cardiomegaly, which is characterized by straightening of the caudal cardiac margin and dorsal displacement of the caudal aspect of the thoracic trachea._x000D_
- Similar, mild, diffuse bronchial and unstructured interstitial pulmonary pattern._x000D_
- The trachea, mediastinum, pleural space and remaining included intrathoracic structures are normal._x000D_
- The stomach contains moderate gas stippled soft tissue opaque material and a small volume of gas._x000D_
- Cranioventral peritoneal thin, wire-like metallic opacity._x000D_
- The remaining cranial abdominal structures are normal._x000D_
- No discrete musculoskeletal abnormalities are noted.</t>
  </si>
  <si>
    <t>1.  A discrete cause for the reported coughing is not distinctly identified.  There is (similar to the prior examination) a mild, generalized diffuse bronchial and unstructured interstitial pulmonary pattern which may support chronic lower airway disease such as bronchitis, further changes can be somewhat expected age-related airway degeneration.  _x000D_
_x000D_
2. There is also newly identified mild left-sided cardiomegaly (likely secondary to degeneration of the mitral valve), for which echocardiography/ECG might be considered. _x000D_
_x000D_
3.  Although overt tracheal collapse is not distinctly noted given the patient=ZZ91=s body size it is not completely excluded._x000D_
_x000D_
4.  Recent meal._x000D_
_x000D_
5. Likely incidental, cranioventral abdominal migrating peritoneal wire-like foreign body.</t>
  </si>
  <si>
    <t xml:space="preserve">
1.A moderate to severe interstitial to alveolar infiltrate with a mild perihilar infiltrate has been identified._x000D_
2.Pleural fissure lines or small volume pleural effusion has been detected. In a mildly overweight animal, excessive pericardial fat can artifactually mimic the result of minimal pleural effusion._x000D_
3.Severe cardiomegaly has been detected but Heart Failure is NOT suspected.</t>
  </si>
  <si>
    <t>7 images of the thorax, abdomen, and thoracic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 joint surfaces are smooth and regular.  Increased soft tissue is seen medial to the proximal left antebrachium.  There is a patchy appearance to the medullary canal of the proximal left radius and ulna.  There is focal widening of the proximal diaphysis.</t>
  </si>
  <si>
    <t>Radiographically normal abdomen.  Radiographically normal thorax for patient of this age.  Changes of the left antebrachium may be secondary to previous radiation and fibroadnexal hamartoma.  However, a separate aggressive lesion such as neoplasia or osteomyelitis cannot be excluded.</t>
  </si>
  <si>
    <t>Aspirate of the soft tissue component and / or bone biopsy could be considered.</t>
  </si>
  <si>
    <t xml:space="preserve">
1.MILD BROCHIAL/BRONCHOINTERSTITIAL PULMONARY PATTERN; MINIMAL PERIHILAR INFILTRATE._x000D_
2.MINIMAL INTERSTITIAL PATTERN; MINIMAL PERIHILAR INFILTRATE._x000D_
3.Based on these AI airway/pulmonary findings, the probability of this patient having clinically detectable respiratory signs is LOW (25%)_x000D_
4.Based on these AI airway/pulmonary findings, the probability of this patient having clinically detectable respiratorysigns is LOW (25%)_x000D_
5.Are respiratory signs present? If YES._x000D_
6.Are respiratory signs present? If YES._x000D_
7.Are respiratory signs present? If NO._x000D_
8.Are respiratory signs present? If NO._x000D_
9.A minimal to mild bronchointerstitial pulmonary pattern has been detected._x000D_
10.The evaluation has come up positive for a pulmonary nodular pattern._x000D_
11.The cardiac silhouette size is normal._x000D_
12.A mild bronchointerstitial pulmonary pattern and minimal perihilar infiltrate have been detected.</t>
  </si>
  <si>
    <t>Orthogonal radiographs of the thorax, and three views of the head/neck are provided. The cardiac silhouette is upper normal size. The appearance of straightened caudal heart waist on the lateral view is due to superimposed rib contour. There are no abnormalities in the pulmonary parenchyma. Possible redundant dorsal trachealis membrane in the cervical region, of doubtful clinical significance today. No pleural effusion. Normal cranial mediastinal width. Head/neck views include a lateral projection, rostral caudal view, and closed mouth rostroventral to caudodorsal projection. Possible mild soft tissue thickening ventral to the caudal mandibles. There continues to be normal fascial plane visibility in this area therefore is most likely artifact. The patient has reduced/absent frontal sinuses, incidental. No nasopharyngeal abnormalities. Nasal sinuses are symmetric opacity, and there is no definitive evidence of osseous lysis or proliferation. No radiopaque foreign material is identified.</t>
  </si>
  <si>
    <t>Normal head/neck and thorax. A reason for the nasal discharge and congestion is not identified. Tooth root abscess, or intranasal disease such as rhinitis or neoplasia remains possible. Radiolucent intranasal foreign material is given lesser consideration.</t>
  </si>
  <si>
    <t>Recommend cross-sectional nasal imaging with computed tomography.</t>
  </si>
  <si>
    <t xml:space="preserve">
1.A diffuse, minimal to mild interstitial pulmonary pattern and minimal perihilar infiltrate have been detected._x000D_
2.The cardiac silhouette size is normal._x000D_
3.There is no evidence of DYNAMIC AIRWAY COLLAPSE or BRONCHIECTASIS or PULMONARY NODULES.</t>
  </si>
  <si>
    <t>A ventrodorsal and right lateral radiograph of the thorax are provided. There is mild generalized cardiac silhouette enlargement. There is increased distance between the caudal heart waist and tracheal bifurcation. Cranial pulmonary vessels are normal size. A mild bronchial pattern is present. On the VD projection there is the appearance of a round 2.8 cm soft tissue opacity overlying the right 8th intercostal space, however portions of this contour appear to be comprised of ribs and this is not definitively seen on the lateral views therefore is likely artifact. There is no pleural effusion. Normal tracheal diameter. In the cranial abdomen the liver is prominent. Small metal opaque suture caudal to each kidney is most consistent with previous ovariohysterectomy, inconsistent with the reported reproductive status.</t>
  </si>
  <si>
    <t>1. Mild bronchial pattern may be due to advanced age. With the history of progressive cough, allergic bronchitis is suspected. Although no tracheal abnormalities are appreciated on this study, dynamic collapse is not ruled out, as it may not be imaged on a static radiographic study._x000D_
2. Mild generalized cardiomegaly consistent with acquired mitral and tricuspid valve disease. There is no pulmonary venous congestion or convincing evidence of heart failure. Hazy perihilar region on the VD projection is most likely due to dorsal recumbency and partial expiration._x000D_
3. Prominent liver, consider venous congestion or hepatopathy primarily. This should be correlated with history and blood work._x000D_
4. The patient appears to be spayed.</t>
  </si>
  <si>
    <t>Recommend symptomatic treatment for the cough, weight management as needed, and utilization of a body harness in place of a neck lead. Follow-up echocardiogram should be considered.</t>
  </si>
  <si>
    <t xml:space="preserve">
1.A moderate perihilar infitlrate has been detected._x000D_
2.SEVERE INTERSTITIAL TO ALVEOLAR PATTERN; SEVERE BRONCHIAL PATTERN; SEVERE DYNAMIC AIRWAY DISEASE._x000D_
3.Based on these AI airway/pulmonary findings, the probability of this patient having clinically detectable respiratory signs is VERY HIGH (&gt;75%)_x000D_
4.Are respiratory signs present? If YES._x000D_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suspected._x000D_
7.Are respiratory signs present? If NO._x000D_
8.The evaluation has a strong suspicion of pulmonary nodules or mass lesion being present.</t>
  </si>
  <si>
    <t>3 views of the thorax and left manus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Marked osteophyte formation surrounds the right cubital joint, visible on the lateral thoracic view.  The joint surfaces are smooth and regular.  Irregular proliferation is seen in the accessory carpal bone and cranial medial aspect of the distal left radius.  Increased soft tissue is seen adjacent to the antebrachiocarpal joint.  Mild osteophyte formation is seen at the dorsal aspect of the carpus.  No lytic changes are seen.</t>
  </si>
  <si>
    <t>Radiographically normal thorax for patient of this age on the view provided.  Changes of the carpus are most consistent with stenosing tenosynovitis of the abductor pollicis longus.  An early aggressive lesion or response to trauma cannot be excluded.</t>
  </si>
  <si>
    <t>Study:_x000D_
Thoracic/abdominal radiography: four images dated September 17, 2024_x000D_
_x000D_
Findings:_x000D_
The cardiac silhouette is normal in size and shape. The pulmonary vasculature is normal in size. There is a mild generalized bronchial pulmonary pattern. Evaluation of the cranioventral lung fields is limited by superimposition of the thoracic limb soft tissues. No pulmonary nodules or masses are present. There is moderate widening of the cranial mediastinum with pronounced rightward deviation of the trachea the heart base on the VD view. The pleural space is normal. The trachea is normal in diameter. The stomach and some small intestinal segments contain unstructured heterogeneous/granular soft tissue material presumed to be ingesta. The small intestines are normal in size and course. The colon contains formed fecal material. The liver and spleen are normal in size and margin. The kidneys are normal in size and contour. The urinary bladder is normal in size and opacity. There is no uterine dilation. There is a soft tissue opaque nodule in the subcutaneous tissues of the cranioventral abdomen.</t>
  </si>
  <si>
    <t>1. The mild generalized bronchial pulmonary pattern may indicate allergic, inflammatory, infectious, parasitic or irritant bronchitis. Airway sampling, heartworm testing and Baermann fecal flotation can be considered for further evaluation. Upper airway disease/brachycephalic airway syndrome should also be considered as a potential cause of the respiratory signs._x000D_
2. The cranial mediastinal widening and tracheal deviation may indicate a heart base mass or may be a breed normal variation secondary to fat deposition. Consider thoracic sonography for further evaluation._x000D_
3. Postprandial gastrointestinal tract=ZZ90= otherwise, unremarkable abdomen.</t>
  </si>
  <si>
    <t xml:space="preserve">
1.SEVERE INTERSTITIAL TO ALVEOLAR INFILTRATE, MILD DYNAMIC AIRWAY DISEASE, MILD BRONCHIAL PATTERN, MINIMAL PERIHILAR INFILTRATE._x000D_
2.Based on these AI airway/pulmonary findings, the probability of this patient having clinically detectable respiratory signs is NEAR CERTAINTY (&gt;99%)_x000D_
3.Are respiratory signs present? If YES._x000D_
4.Are respiratory signs present? If NO._x000D_
5.The evaluation has come up positive for a pulmonary nodular pattern._x000D_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</si>
  <si>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THORAX (3 images) and ABDOMEN (3 images):
Images are dated September 17, 2024.
Pulmonary parenchyma: A mild diffuse bronchial pattern is present.
Pulmonary vasculature: The pulmonary vasculature is subjectively normal in size and tapers in the periphery of the lungs.
Cardiac silhouette: The cardiac silhouette has slightly rounded increased soft tissue in the region of the left atrium in the ventrodorsal image, not well-identified in the lateral images.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right kidney is obscured without obvious enlargement of mineral.  The left kidney is normal.
Retroperitoneum: Retroperitoneal detail is adequate.
Urinary bladder/Urethra: The urinary bladder is normal in size, homogeneous soft tissue, and smoothly marginated.
Peritoneum: Peritoneal detail is adequate.
Gastrointestinal tract: The stomach contains a moderate to large volume of heterogeneous soft tissue admixed with gas. 
The small intestine contains mild to moderate soft tissue material admixed with gas, with a subjectively uniform population for size. 
The colon contains moderate to large volume of admixed soft tissue material and gas.  The colon is within normal limits for size.  
Musculoskeletal: L1-2 and l3-4 spondylosis deformans is present.  L1 is transitional with a long right transverse process. The remaining included musculoskeletal structures are normal.</t>
  </si>
  <si>
    <t>1. Equivocal left atrial enlargement versus artifact from phase of the cardiopulmonary cycle.
- If present, this is consistent with suspected mitral valvular disease.
- There is no current evidence of left-sided congestive heart failure.
2. Moderate to large volume gastric material due to recent meal and/or gastritis/delayed gastric emptying, or unlikely pyloric outflow tract obstruction given lack of vomiting in reported history.
3. Non-specific small intestinal appearance such as from enteritis, or individual variation of normal.
- There is no current evidence of gastrointestinal mechanical ileus.
- Differential diagnoses include dietary indiscretion, toxin ingestion, diet/antibiotic responsive disease, inflammatory bowel disease, pancreatitis, occult systemic disease or unlikely other.
4. No obvious prostatomegaly is identified.</t>
  </si>
  <si>
    <t>Consider echocardiography, eCG and blood pressure as well as routine blood work for further evaluation.  Repeat abdominal radiographs after 8-12 hours of fasting to monitor for passage of gastric material.  Abdominal ultrasonography may also be contributory.  Empirical therapy and supportive care in the interim as needed.  Monitoring as directed, or sooner if clinical signs acutely change, fail to improve or worsen.</t>
  </si>
  <si>
    <t>Thorax/neck: There is focal collapse of the trachea at the level of the thoracic inlet.  There is pulmonary underinflation.  There is mild generalized cardiomegaly.  There is no evidence of cardiogenic pulmonary edema or pleural effusion.  There is no evidence of lymphadenopathy._x000D_
_x000D_
Abdomen: There are no abnormalities involving the abdominal viscera.  There is narrowing/collapse of the intervertebral disc spaces L1-2 and L2-3.  Spondylosis deformans is noted at these levels as well.</t>
  </si>
  <si>
    <t>Focal collapse of the trachea at the thoracic inlet._x000D_
_x000D_
Pulmonary underinflation most likely secondary to collapsing trachea._x000D_
_x000D_
Generalized cardiomegaly without evidence of decompensation._x000D_
_x000D_
Suspect intervertebral disc disease at L1-2 and L2-3.</t>
  </si>
  <si>
    <t xml:space="preserve">
1.Are respiratory signs present. If YES._x000D_
2.Are respiratory signs present? If NO._x000D_
3.Are respiratory signs present. If NO._x000D_
4.PULMONARY NODULAR PATTERN; MINIMAL INTERSTITIAL PULMONARY PATTERN._x000D_
5.Based on these AI airway/pulmonary findings, the probability of this patient having clinically detectablerespiratorysigns is LOW (25%)_x000D_
6.A FALSE POSITIVE result for the pulmonary nodular pattern due to pulmonary osteomas, cutaneous nodules or nipples overlying the thorax, prominent costochondral junctions or end-on pulmonary vessels is suspected._x000D_
7.Are respiratory signs present? If YES._x000D_
8.Are respiratory signs present? If NO._x000D_
9.MINIMAL BRONCHOINTERSTITIAL PULMONARY PATTERN; POTENTIAL FOR FOCAL ATELECTASIS._x000D_
10.Based on these AI airway/pulmonary findings, the probability of this patient having clinically detectable respiratory signs is LOW (25%)_x000D_
11.Are respiratory signs present? If YES._x000D_
12.PULMONARY NODULAR PATTERN; MINIMAL BRONCHOINTERSTITIAL PULMONARY PATTERN._x000D_
13.The evaluation has come up positive for a pulmonary nodular pattern._x000D_
14.Based on these AI airway/pulmonary findings, the probability of this patient having clinically detectable respiratory signs is MEDIUM (50%)_x000D_
15.Severe cardiomegaly has been detected but Heart Failure is NOT suspected.</t>
  </si>
  <si>
    <t>THORAX (3 images):
Images are dated September 17, 2024.
Pulmonary parenchyma:  A well-defined, ovoid soft tissue mass is in the left caudal lung lobe over the 8-9th intercostal spaces in the ventrodorsal image.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</si>
  <si>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Left caudal lung lobe soft tissue mass.
- Differential diagnoses include neoplasia such as primary pulmonary carcinoma or less likely metastatic/multicentric disease from a distant site, or least likely atypical pneumonia such as from blastomycosis spp, or other.
2. Minimal-mild diffuse bronchial pattern due to fibrosis from prior disease, age-related changes, or less likely infectious/immune-mediated lower airway disease (mycoplasma spp. or less likely other), or unlikely other.</t>
  </si>
  <si>
    <t>Consider computed tomography of the thorax for further evaluation and lung lobectomy for a definitive diagnosis depending on results.  Routine blood work and abdominal imaging for further evaluation prior to cross-sectional imaging.  Oncologist consultation may be contributory.  Empirical therapy and supportive care in the interim as needed. Monitoring as directed or sooner if clinical signs acutely change, fail to improve or worsen.</t>
  </si>
  <si>
    <t>Orthogonal views of the thorax are provided (inconsistent history between duration of the clinical signs of 3 years and DOB 2 years old):_x000D_
_x000D_
Thorax:_x000D_
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are within normal limits._x000D_
Old rib fractures on the left 6th, 7th and 8th ribs._x000D_
_x000D_
Liver extends beyond the costal arch with sharp margins.
(amended on 09/17/2024 22:51)
No signs of tracheal collapse nor signs of tracheal abnormalities.</t>
  </si>
  <si>
    <t>1) Left atrial enlargement secondary to chronic mitral endocardiosis without signs of CHF. Rule out concomitant tricuspid endocardiosis with pulmonary hypertension._x000D_
2) Lack of visualization of tracheal collapse does not exclude this differential (especially taking into account the breed). Unremarkable lungs do not exclude a bronchitis of allergic vs inflammatory/infectious or parasitic origin. _x000D_
3) Incidental old fractures on the left 6th, 7th and 8th ribs._x000D_
4) Hepatomegaly: Metabolic vs Vacuolar infiltration vs Hepatic nodular hyperplasia vs Inflammatory vs Toxic vs Neoplastic or a combination of these differentials.</t>
  </si>
  <si>
    <t>Consider a cardiology consultation with ECG and echocardiogram and abdominal US to further evaluate the liver prior to a fluoroscopy (followed by tracheobronchoscopy, BAL and culture/cytology)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If negative, consider empirical treatment for chronic bronchitis.</t>
  </si>
  <si>
    <t xml:space="preserve">
1.Mild cardiomegaly has been detected but Heart Failure is NOT suspected._x000D_
2.A minimal to mild bronchointerstitial pulmonary pattern has been detected._x000D_
3.There is no evidence of DYNAMIC AIRWAY COLLAPSE or BRONCHIECTASIS, PULMONARY NODULES or PLEURAL EFFUSION.</t>
  </si>
  <si>
    <t>There is no evidence of pulmonary metastatic disease.  The pulmonary parenchyma, cardiac silhouette, and pulmonary vasculature are unremarkable.  There is no evidence of pleural effusion or lymphadenopathy.  On the visible portions of the abdomen the liver appears small.</t>
  </si>
  <si>
    <t>Unremarkable thorax._x000D_
_x000D_
Mild microhepatica most likely incidental.</t>
  </si>
  <si>
    <t xml:space="preserve">
1.There is no evidence of ALVEOLAR PATTERN, PERIHILAR INFILTRATE, DYNAMIC AIRWAY COLLAPSE or BRONCHIECTASIS, PULMONARY NODULES or PLEURAL EFFUSION._x000D_
2.A mild bronchial pattern has been detected._x000D_
3.Mild cardiomegaly has been detected but Heart Failure is NOT suspected.</t>
  </si>
  <si>
    <t>Orthogonal radiographs of the thorax, and six views of the pelvis and proximal pelvic limbs are provided. The cardiac silhouette is normal size. The right heart appears enlarged on the VD projection due to thoracic conformation and mild rotation. There is a well-defined round 5.3 cm soft tissue opaque mass in the left caudal lung lobe. A mild bronchial pattern is present the remaining lungs consistent with age. No pleural effusion. Adequate tracheal diameter. No abnormalities in the cranial abdomen. There is spondylosis deformans at the lumbosacral junction, of doubtful significance today. The coxofemoral joints are congruent. There is a large area of poorly delineated lysis in the left femoral neck and extending into the trochanters and proximal diaphysis. There is a small amount of smoothly irregular and interrupted periosteal proliferation at this level. Left pelvic limb musculature is reduced. Patellar location is normal. There is scant fluid in the cranial aspect of both stifle joints. No stifle degenerative change or popliteal lymphadenomegaly.</t>
  </si>
  <si>
    <t>1. Aggressive lytic and mildly proliferative mass in the proximal left femur, most consistent with malignant neoplasia such as osteosarcoma. With the significant lysis, there is concern for potential impending pathologic fracture._x000D_
2. Bilateral scant stifle effusion suggestive of partial cranial cruciate ligament tear. This may be contributing to discomfort._x000D_
3. Left caudal lung mass. This is most likely metastatic disease. A separate, primary pulmonary neoplasm is next on the differential list.</t>
  </si>
  <si>
    <t>Histopathology of the femoral mass would be necessary for a definitive diagnosis. With the concurrent lung mass, complete surgical resection is not possible.</t>
  </si>
  <si>
    <t xml:space="preserve">
1.Pleural fissure lines or small volume pleural effusion has been detected. In a mildly overweight animal, excessive pericardial fat can artifactually mimic the result of minimal pleural effusion._x000D_
2.The cardiac silhouette size is normal._x000D_
3.There is no evidence of DYNAMIC AIRWAY COLLAPSE or BRONCHIECTASIS._x000D_
4.MODERATE INTERSTITIAL TO ALVEOLAR PATTERN; MILD BRONCHITIS._x000D_
5.Based on the AI airway/pulmonary findings, the probability of this patient having clinically detectable respiratory signs is MEDIUM to HIGH (50-75%)_x000D_
6.Are respiratory signs present? If YES._x000D_
7.Are respiratory signs present? If NO.</t>
  </si>
  <si>
    <t>Orthogonal views of the almost entire spine, thorax and abdomen are provided:_x000D_
_x000D_
Spine:_x000D_
_x000D_
Cervical spine is rotated 45 degrees and thus we do see the dens of C2 (normally positioned and not displaced). No fractures or vertebral subluxations are observed. However, T13-L1 IVDS is questionably narrow._x000D_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and urinary bladder WNL.</t>
  </si>
  <si>
    <t>1) T13-L1: Rule out acute disc herniation._x000D_
2) Unremarkable thorax and abdomen.</t>
  </si>
  <si>
    <t>Full neuro exam with MRI if necessary.</t>
  </si>
  <si>
    <t>SPINE AND PELVIC LIMBS (12 images):
Images are dated September 17, 2024..
Prior images dated April 23, 2024 are available.
Bones/Joints:
A dens is present.  There is no evidence of atlantoaxial joint subluxation.  L1-2 and L2-3 have mildly narrowed intervertebral disc spaces.   L1-2 and L2-3 spondylosis deformans is present.
There is no evidence of mineral over the intervertebral foramina.  There is no evidence of intervertebral dorsal articulation osteoarthrosis.
The coxofemoral joints have no obvious osteoarthrosis.  There is adequate coverage of the femoral heads by the acetabulums.
The left stifle has no evidence of osteoarthrosis.  The left infrapatellar fat pad is well-defined.
The included left tarsus, metatarsus and digits are normal.
The right stifle has no evidence of osteoarthrosis.  The right infrapatellar fat pad is well-defined.
The included right tarsus, metatarsus and digits are normal.  .
There is no evidence of medullary sclerosis, osteolysis, endosteal scalloping, or periosteal proliferation.
Soft tissues:  The included soft tissues are normal.</t>
  </si>
  <si>
    <t>1. Mild L1-2 and L2-3 intervertebral disc space narrowing/disc disease.
2. Normal coxofemoral joints.
3. Normal left stifle joint.
4. Normal right stifle joint.</t>
  </si>
  <si>
    <t>Consider neurologist consultation and MRI for further evaluation of the lumbar spine if clinically indicated.  Empirical therapy and supportive care in the interim as needed for clinical signs. Monitoring as directed, or sooner if clinical signs acutely change, fail to improve or worsen.</t>
  </si>
  <si>
    <t xml:space="preserve">
1.A minimal interstitial pattern has been detected._x000D_
2.The cardiac silhouette size is normal._x000D_
3.There is no evidence of BRONCHITIS, PERIHILAR INFILTRATE, DYNAMIC AIRWAY COLLAPSE or BRONCHIECTASIS, PULMONARY NODULES or PLEURAL EFFUSION.</t>
  </si>
  <si>
    <t>THORAX (3 images):
Images are dated September 17, 2024.
Cranial thorax tip is excluded from the left lateral image.
Pulmonary parenchyma: A mild diffuse bronchial pattern is present.  Presumed superimposed nipples over the right 5th and left 10th intercostal spaces in the ventrodorsal image.
Pulmonary vasculature: In the left lateral image, some cranial and middle lobar pulmonary arteries are suspiciously enlarged in the periphery.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</si>
  <si>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Suspicious for cranial and middle lobar arterial enlargement versus artifact/superimposed normal structures.
- If present, this is suspicious for pulmonary hypertension such as from heartworm disease/thromboembolic disease.
2. No obvious cardiomegaly is identified.
3. Mild diffuse bronchial pattern due to infectious/immune-mediated lower airway disease (primary, and/or related to heartworm disease such as from wolbachia spp.), fibrosis from prior disease, age-related changes, consequence of underlying/evolving thromboembolic disease, or unlikely other.</t>
  </si>
  <si>
    <t>Consider echocardiography, eCG and blood pressure for more sensitive evaluation of the heart.  Consider adulticide therapy depending on results. Respiratory PCR panel, airway sampling, and empirical deworming/fecal analysis for further evaluation of lower airway disease if clinically indicated.  Empirical therapy and supportive care in the interim as needed. Monitoring as directed or sooner if clinical signs acutely change, fail to improve or worsen.</t>
  </si>
  <si>
    <t xml:space="preserve">
1.A moderate interstitial to alveolar infiltrate, mild bronchial pattern and concurrent mild perihilar infiltrate have been detected._x000D_
2.Probability these AI pulmonary findings will accompany clinically detectable respiratory signs: MEDIUM (50%)_x000D_
3.Are respiratory signs present? If YES._x000D_
4.Are respiratory signs present? If NO._x000D_
5.The evaluation has a strong suspicion of pulmonary nodules or mass lesion being present._x000D_
6.The cardiac silhouette size is normal._x000D_
7.There is no evidence of DYNAMIC AIRWAY COLLAPSE or BRONCHIECTASIS._x000D_
8.Pleural fissure lines or moderate pleural effusion has been detected. An overlying skin fold or in a moderately overweight animal, excessive pericardial fat could artifactually mimic the result of moderate pleural effusion.</t>
  </si>
  <si>
    <t>Three images are provided.
Images are dated September 17, 2024.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T13 is transitional with absent right and hypoplastic left ribs.  The remaining included musculoskeletal structures are normal.</t>
  </si>
  <si>
    <t xml:space="preserve">1. Minimal-mild diffuse bronchial pulmonary pattern such as from fibrosis from prior disease, age-related changes,  infectious/immune-mediated lower airway disease, inhaled allergen/irritant, artifact, or unlikely other.
</t>
  </si>
  <si>
    <t>Consider routine blood work if not recently performed.  Monitoring as directed or sooner if clinical signs manifest in the interim.</t>
  </si>
  <si>
    <t>A two view study (right lateral and DV) of the thorax is provided. Previous radiographs dated 12-8-22 are compared._x000D_
_x000D_
The thorax is poorly inflated in both views. Interstitial opacity and bronchial markings are mildly increased. The appearance is only slightly more prominent than the previous radiographs. The heart appears rounded and mildly enlarged in the lateral view. In the VD view the shape appears more normal but size is still mild increase. VHS = 13.0, as similar to the 12.8 VHS in the previous study where mild left atrial dilation was documented. Pulmonary vessels are normal._x000D_
No tracheal abnormalities are identified._x000D_
No significant abnormalities are seen in the cranial abdomen.</t>
  </si>
  <si>
    <t>There is moderate cardiomegaly overall , which appears to have progressed relative to the previous radiographs although VHS is at the upper limit of breed associated range and only slightly increased relative to the previous study). Left atrial dilation was suspected in the previous study, so chronic progressive mitral regurgitation is likely present. However, the pulmonary changes are not convincing for heart failure as a cause of the clinical signs. _x000D_
There is a mild bronchointerstitial pattern=ZZ90= bronchitis is a primary differential. _x000D_
However, given the stridor/stertor and the lack of more severe pulmonary changes relative to the dyspnea, upper airway obstruction should still be ruled out primarily as a cause of the clinical signs.</t>
  </si>
  <si>
    <t>Antibiotic therapy for possible bronchitis and supportive care is recommended._x000D_
_x000D_
There is cardiomegaly with probable mitral disease and left sided chamber dilation, and the rounded appearance of the heart relative to the previous radiographs is a concern for pericardial effusion. However, secondary changes such as typical pulmonary edema, ascites, or pleural effusion are not identified in this patient._x000D_
_x000D_
Other pathology not apparent in the radiographs such as upper airway obstruction due to inflammation, swelling, or infiltrative disease involving the larynx or pharynx should still be ruled out.</t>
  </si>
  <si>
    <t xml:space="preserve">
1.Are respiratory signs present? If NO._x000D_
2.MODERATE BRONCHOINTERSTITIAL PULMONARY PATTERN; MILD PERIHILAR INFILTRATE; MILD DYNAMIC AIRWAY DISEASE; ATELECTASIS or less likely, pneumonia._x000D_
3.Based on the AI airway/pulmonary findings, the probability of this patient having clinically detectable respiratory signs is MEDIUM to HIGH (50%-75%)_x000D_
4.Are respiratory signs present? If YES._x000D_
5.Pleural fissure lines or moderate to severe pleural effusion has been detected. An overlying skin fold or in an obese animal, excessive pericardial fat could artifactually mimic the result of severe pleural effusion._x000D_
6.Mild cardiomegaly has been detected but Heart Failure is NOT suspected.</t>
  </si>
  <si>
    <t xml:space="preserve">Patient Name: Maksim Stevanovich. Date of study: Sep 17, 2024
5 thoracic radiographs are provided for review. Prior thoracic radiographs dated 8/30/24 are available for comparison.
Thorax:
Airway/pulmonary parenchyma: Compared to the previous study, the diffuse, but more severely affected caudal thoracic, peribronchial and interstitial pulmonary pattern is less severe. A pulmonary nodular opacity overlying the 6th intercosal space dorsally on the right lateral projection is not present on the current study but a faint, oval 1.79 cm in length soft tissue nodule overlies the liver on both studies and is unchanged in the recheck interim. Improvement in the cranioventral thoracic appearance has also occurred in the recheck interim. 
Cardiovascular: Cardiomegaly is present on both studies but the degree of cardiomegaly is less severe on the current study. The pulmonary vasculature is mildly distended on both projections, more severe on the prior study. 
Mediastinum: No overt lymphadenopathy is noted. Minimal gas is present in the thoracic esophagus. 
Pleural space: Scant pleural fluid is present. 
Cranial abdomen: Liver size and shape are normal. </t>
  </si>
  <si>
    <t>1) Improvement in the pulmonary parenchymal appearance in the recheck interim. This is consistent with response to therapy. Consider antibiotic responsive pulmonary parenchymal disease with abscesses including wolbachia secondary to heartworm disease. Eosinophilic pneumopathy with granulomas is an additional consideration but the response to antibiotic therapy would be atypical. Rule out underlying heartworm disease vs. pulmonary hypertension secondary to cor pulmonale causing the right heart enlargement. 
2) Persistent cardiomegaly and mild pulmonary vessel distention. Heart failure is not suspected at this time but should be monitored for in the future.</t>
  </si>
  <si>
    <t xml:space="preserve">Cardiac ultrasound, ECG and heartworm testing. Continue current therapy. Monitoring for signs of heart failure. Repeat thoracic radiographs in another 2 weeks to assess for continued improvement. If heartworm disease is ruled out and pulmonary infiltrate persists along with clinical signs, endotracheal lavage or bronchoscopy with BAL should be considered. </t>
  </si>
  <si>
    <t xml:space="preserve">
1.Pleural fissure lines or small volume pleural effusion has been detected. In a mildly to moderately overweight animal, excessive pericardial fat can artifactually mimic the result of mild pleural effusion._x000D_
2.Are respiratory signs present? If YES._x000D_
3.Are respiratory signs present? If YES._x000D_
4.Are respiratory signs present? If NO._x000D_
5.Are respiratory signs present? If NO._x000D_
6.MINIMAL TO MILD BRONCHOINTERSTITIAL PULMONRAY PATTERN; MILD PERIHILAR PATTERN._x000D_
7.MINIMAL BRONCHOINTERSTITIAL PULMONARY PATTERN; POTENTIAL FOR FOCAL ATELECTASIS._x000D_
8.MINIMAL INTERSTITIAL PATTERN; MINIMAL PERIHILAR INFILTRATE._x000D_
9.Based on these AI airway/pulmonary findings, the probability of this patient having clinically detectable respiratory signs is LOW (25%)_x000D_
10.Based on the AI airway/pulmonary findings, the probability of this patient having clinically detectable respiratory signs is LOW (25%)_x000D_
11.A minimal bronchointerstitial pulmonary pattern with a concurrent, minimal perihilar infiltrate have been detected._x000D_
12.The cardiac silhouette size is normal.</t>
  </si>
  <si>
    <t>Patient Name : stanley isobe, Date of study: Sep 17, 2024
7 images are provided for review
There are no previous radiographs for comparison.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T5-6 and T6-7 spondylosis deformans is present.  The remaining included musculoskeletal structures are normal.</t>
  </si>
  <si>
    <t>1. Mild-moderate diffuse bronchial pulmonary pattern.
- Differential diagnoses include infectious/immune-mediated lower airway disease such as from mycoplasma spp., bordetella spp., parasitism, or inhaled allergen/irritant, fibrosis from prior disease, age-related changes, or unlikely other.</t>
  </si>
  <si>
    <t>Consider respiratory PCR panel, airway sampling, and empirical deworming/fecal analysis for further evaluation.  Consider abdominal imaging (computed tomography versus ultrasonography given patient size), for further evaluation of the liver and spleen, especially if prior reported mast cell tumors were grade 2 or higher.  Computed tomography of the thorax for a more sensitive evaluation of the thorax if desired.   Empirical therapy and supportive care in the interim as needed.  Monitoring as directed or sooner if clinical signs acutely change, fail to improve or worsen.</t>
  </si>
  <si>
    <t>THORAX (3 images):
Images are dated September 17, 2024.
Pulmonary parenchyma: A mild diffuse bronchial pattern is present.
Pulmonary vasculature: The pulmonary vasculature is subjectively normal in size and tapers in the periphery of the lungs.
Cardiac silhouette: The cardiac silhouette is mildly tall and has a slightly flat caudodorsal margin.
Mediastinum: Presumed retrosternal fat in the middle and right caudal mediastinum in the ventrodorsal image superimposes over the right caudal lung.  The cranial mediastinum is normal.
Trachea: A soft tissue band superimposes over the dorsal tracheal margin.
Esophagus: The esophagus is not well-identified.
Pleural space: The pleural space is normal.
Musculoskeletal: The included musculoskeletal structures are normal.</t>
  </si>
  <si>
    <t>1. Mild left-sided cardiomegaly or unlikely artifact from phase of the cardiopulmonary cycle/patient positioning.
- If present, consider myxomatous mitral valvular disease and insufficiency, or less likely other.
- There is no current evidence of left-sided congestive heart failure.
2. Mild diffuse bronchial pulmonary pattern such as from infectious/immune-mediated lower airway disease (mycoplasma spp., bordetella spp., parasitism, or other), inhaled allergen/irritant, fibrosis from prior disease, age-related changes, or less likely other.
3. Dorsal redundant tracheal membrane versus superimposed normal structures.
- Underlying dynamic airway disease is not ruled out.
4. Presumed mediastinal fat superimposed over the right cauda lung in the ventrodorsal image.</t>
  </si>
  <si>
    <t>Consider echocardiography, eCG and blood pressure for further evaluation.  Computed tomography of the thorax, and/or tracheoscopy/bronchoscopy/fluoroscopy for further evaluation, especially if cardiac disease is ruled out. Routine blood work and respiratory PCr panel may be contributory if not recently performed.  Empirical therapy and supportive care in the interim as needed. Monitoring as directed or sooner if clinical signs acutely change, fail to improve or worsen.</t>
  </si>
  <si>
    <t xml:space="preserve">
1.MODERATE DYNAMIC AIRWAY DISEASE; MODERATE INTERSTITIAL TO ALVEOLAR INFILTRATE, MILD BRONCHIAL PATTERN, MILD PERIHILAR INFILTRATE._x000D_
2.Based on these AI airway/pulmonary findings, the probability of this patient having clinically detectable respiratory signs is MEDIUM (50%)_x000D_
3.Are respiratory signs present? If YES._x000D_
4.Are respiratory signs present? If NO._x000D_
5.Minimal cardiomegaly has been detected but Heart Failure is NOT suspected.</t>
  </si>
  <si>
    <t>Thorax. Three radiographs of the thorax (two lateral, one VD) dated September 17, 2024 are provided. Compared to single left lateral view dated June 29, 2023.
Cardiac silhouette: There is marked, progressive left-sided cardiomegaly. The left atrium is severely enlarged causing dorsal displacement and compression of the caudal mainstem bronchi. The cardiac silhouette is increased in height, the apex of the cardiac silhouette is rounded.
Pulmonary vessels: The left caudal lobar vein is mildly increased in size and tortuous. There is effacement of the right caudal lobar vein.
Pulmonary parenchyma: There is a caudodorsal distributed interstitial pulmonary pattern, most severe in the right caudal lung lobe.
Pleural space: There is a thin pleural fissure superimposed with the cardiac silhouette on the left lateral view.
Mediastinum: The mediastinum is normal in width and opacity. There is no evidence of intrathoracic lymphadenopathy.
Trachea: The trachea is normal in diameter and course.
Esophagus: The region of the esophagus is within normal limits.
Musculoskeletal: The included skeletal and superficial soft tissue structures of the study are within normal limits.</t>
  </si>
  <si>
    <t>1. Marked left-sided cardiomegaly with cardiogenic pulmonary edema (congestive heart failure). Myxomatous mitral valve disease is prioritized as an underlying cause.</t>
  </si>
  <si>
    <t>Medical management for left-sided congestive heart failure is recommended (e.g. Pimobendan, diuretic therapy, ACE inhibitors).</t>
  </si>
  <si>
    <t xml:space="preserve">
1.MODERATE DYNAMIC AIRWAY DISEASE; MILD to MODERATE INTERSTITIAL to ALVEOLAR INFILTRATE._x000D_
2.Based on these AI airway/pulmonary findings, the probability of this patient having clinically detectable respiratory signs is MEDIUM (50%)_x000D_
3.Are respiratory signs present? If YES._x000D_
4.Pleural fissure lines or moderate to severe pleural effusion has been detected. An overlying skin fold or in an obese animal, excessive pericardial fat could artifactually mimic the result of severe pleural effusion._x000D_
5.A mild perihilar infiltrate has been detected._x000D_
6.Severe cardiomegaly has been detected but Heart Failure is NOT suspected._x000D_
7.Are respiratory signs present? If NO.</t>
  </si>
  <si>
    <t>3 views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The trachea is narrowed in these region.  Cranial abdominal detail is adequate.</t>
  </si>
  <si>
    <t>Radiographically normal thorax for patient of this age.  Cervical tracheal narrowing may indicate tracheal collapse.</t>
  </si>
  <si>
    <t xml:space="preserve">
1.A mild perihilar infiltrate has been detected._x000D_
2.The cardiac silhouette size is normal._x000D_
3.There is no evidence of BRONCHITIS, ALVEOLAR PATTERN, DYNAMIC AIRWAY COLLAPSE or BRONCHIECTASIS or PULMONARY NODULES.</t>
  </si>
  <si>
    <t>Orthogonal views of the thorax are provided:_x000D_
_x000D_
Thorax:_x000D_
_x000D_
There is severe left atrium enlargement that dorsally displaces the carina, producing an overall severe cardiomegaly._x000D_
The pulmonary veins are normal sized. However, there is a peri-hilar and ill defined generalized interstitial pulmonary pattern best seen cranioventrally and caudodorsally._x000D_
Normal mediastinum, diaphragm and thoracic wall._x000D_
_x000D_
Liver extends beyond the costal arch with sharp margins.</t>
  </si>
  <si>
    <t>1) Cardiomegaly (left sided), enlarged pulmonary veins and caudodorsal right caudal lung lobe alveolo-interstitial pulmonary pattern. Findings consistent with left sided congestive heart failure secondary to chronic mitral endocardiosis. Rule out tricuspid endocardiosis with post-capillary pulmonary hypertension._x000D_
2) Hepatomegaly: Early right sided congestive heart failure vs Metabolic vs Vacuolar infiltration vs Hepatic nodular hyperplasia vs Inflammatory vs Toxic vs Neoplastic or a combination of these differentials.</t>
  </si>
  <si>
    <t>Consider oxygen supplementation, pro bnp, BP and lasix trial (prior evaluation of the renal function) with recheck radiographs in 12 hours (or sooner if clinically indicated) to re-evaluate and to monitor the response to treatment. Consider a cardiology consultation with ECG and echocardiogram once the patient is stable._x000D_
Consider an abdominal US to further evaluate the hepatomegaly.</t>
  </si>
  <si>
    <t xml:space="preserve">
1.A severe perihilar infiltrate has been detected._x000D_
2.SEVERE INTERSTITIAL TO ALVEOLAR PATTERN; MODERATE BRONCHIAL PATTERN; SEVERE DYNAMIC AIRWAY DISEASE._x000D_
3.Based on these AI airway/pulmonary findings, the probability of this patient having clinically detectable respiratory signs is VERY HIGH (&gt;75%)_x000D_
4.Are respiratory signs present? If YES._x000D_
5.AI linked collapsing airway disease treatment in dogs: https://platform.v2.vetology.net/doc/canine-tracheal-collapse-treatment_x000D_
6.Are respiratory signs present? If NO._x000D_
7.The evaluation has come up positive for a pulmonary nodular pattern._x000D_
8.Pleural fissure lines or moderate to severe pleural effusion has been detected. An overlying skin fold or in an obese animal, excessive pericardial fat could artifactually mimic the result of severe pleural effusion._x000D_
9.Severe cardiomegaly has been detected but Heart Failure is NOT suspected.</t>
  </si>
  <si>
    <t>Study:_x000D_
Thoracic radiography: four images dated September 17, 2024_x000D_
_x000D_
Findings:_x000D_
The cardiac silhouette and pulmonary vasculature are normal in size. The pulmonary parenchyma is unremarkable. The pleural space is normal. There is no intrathoracic lymphadenopathy. The larynx is unremarkable. The patient has a redundant dorsal tracheal membrane. There is mild dynamic narrowing of the cervical trachea lumen. There is no lobar bronchi narrowing. The liver extends mildly beyond the costal arch with a smooth rounded caudoventral margin. The stomach contains unstructured heterogeneous soft tissue material presumed to be ingesta. The osseous structures are unremarkable.</t>
  </si>
  <si>
    <t>1. Chondromalacia and dynamic airway disease/tracheal collapse. Consider antitussive therapy._x000D_
2. Normal thorax. There is no radiographic evidence of cardiopulmonary disease._x000D_
3. The generalized hepatomegaly is nonspecific. Rule out metabolic/vacuolar hepatopathy, hypoxic hepatopathy secondary to dynamic airway disease, hyperplasia, hepatitis or infiltrative neoplasia. Sonography can be considered for further evaluation.</t>
  </si>
  <si>
    <t>Thorax and abdomen. Three radiographs of the thorax/abdomen (two lateral, one VD) dated September 17, 2024 are provided.
Cardiac silhouette: There is moderate left-sided cardiomegaly. The region of the left atrium is rounded and enlarged. The cardiac silhouette is increased in height and the apex is rounded.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Peritoneal space: There is a severe reduction in serosal detail. The ventral abdominal wall is pendulous.
Gastrointestinal tract: The gastrointestinal tract is largely indistinguishable given the lack of serosal detail. There are no large gas-filled loops of bowel.
Liver: There is heterogeneous mineral opacity superimposed with the region of the gallbladder.
Spleen: The spleen is not identified due to poor serosal detail.
Urinary: The kidneys and urinary bladder are not discernible. There are punctate mineral foci at the expected level of the kidneys.
Musculoskeletal: There is mild osteoarthritis of the shoulders. The included skeletal and superficial soft tissue structures of the study are otherwise unremarkable.</t>
  </si>
  <si>
    <t>1. As reported there is marked peritoneal effusion. Differentials include hemorrhage such as from a bleeding splenic or hepatic neoplasm/mass, neoplastic effusion, and modified/pure transudate (hypoproteinemia secondary to liver failure, increased Starling forces). Right-sided heart failure is not ruled out.
2. There is moderate left-sided cardiomegaly, most consistent with mitral valve disease. There is no evidence of left-sided congestive heart failure/pulmonary edema.
3. There is evidence of biliary mineralization/cholelithiasis. This is likely incidental.</t>
  </si>
  <si>
    <t>An abdominal ultrasound and abdominocentesis are recommended to further evaluate the abdomen and to guide treatment. If not already performed, a CBC and biochemistry are recommended. An echocardiogram, ECG, and blood pressure are recommended to further evaluate the heart.</t>
  </si>
  <si>
    <t xml:space="preserve">
1.SEVERE ALVEOLAR INFILTRATE; MODERATE PERIHILAR PATTERN; MORE DIFFUSE MILD BRONCHOINTERSTITIAL PULMONARY PATTERN._x000D_
2.SEVERE ALVEOLAR PATTERN; MODERATE DYNAMIC AIRWAY DISEASE; MILD, DIFFUSE BRONCHOINTERSTITIAL PULMONARY PATTERN._x000D_
3.Based on these AI airway/pulmonary findings, the probability of this patient having clinically detectable respiratory signs is VERY HIGH (&gt;75%)_x000D_
4.Based on the AI airway/pulmonary findings, the probability of this patient having clinically detectable respiratory signs is HIGH (75%)_x000D_
5.Are respiratory signs present? If YES._x000D_
6.Are respiratory signs present? If YES._x000D_
7.Are respiratory signs present? If NO._x000D_
8.Are respiratory signs present? If NO._x000D_
9.Pleural fissure lines or moderate to severe pleural effusion has been detected. An overlying skin fold or in an obese animal, excessive pericardial fat could artifactually mimic the result of severe pleural effusion._x000D_
10.Severe cardiomegaly has been detected but Heart Failure is NOT suspected.</t>
  </si>
  <si>
    <t>A three view study of the thorax including the neck is provided for interpretation._x000D_
_x000D_
Mild to moderate redundant dorsal tracheal membrane is identified. No narrowing of the tracheal cartilage is seen. No laryngeal abnormalities are identified. The pharynx appears swollen with reduced aeration in the right lateral view, but this area cannot be reliably interpreted due to rotation of the head._x000D_
There is a mild bronchial pulmonary pattern. The appearance is within the limits of what might be seen as prominent age related change. No alveolar infiltrates or pleural effusion are identified. The heart is within normal size and shape limits.</t>
  </si>
  <si>
    <t>The mild bronchial pattern could represent low-grade chronic or allergic bronchitis vs. prominent age related change. It is unlikely to be responsible for the reported respiratory distress._x000D_
No evidence of significant cardiovascular disease is identified._x000D_
The redundant dorsal tracheal membrane is within the limits of benign variation, although this can sometimes be clinically correlated with tracheal collapse._x000D_
_x000D_
In this patient upper airway pathology involving the larynx/pharynx, nasopharynx, or nasal cavity should be ruled out._x000D_
The pharynx appears poorly aerated in the study, but this could be the result of positional artifact._x000D_
Laryngeal paralysis can still be present without radiographic changes.</t>
  </si>
  <si>
    <t>The radiographic findings associate with the larynx, trachea, and cardiopulmonary structures are limited with regard to the reported clinical signs._x000D_
Upper airway pathology should be ruled out. Sedated laryngeal/pharyngeal exam or cross sectional imaging such as CT or MRI should be considered.</t>
  </si>
  <si>
    <t>Two images are provided.
Images are dated September 17, 2024.
In the unlabeled lateral image, the more cranially positioned limb is presumed the right limb.
Ungloved human digits in the primary beam.
Bones/Joints:
Only in the ventrodorsal thoracic image, a thick lucent line is suspected just medial to the midsagittal aspect of the medial portion of the right humeral condyle.  This lucent line appears to extend from the articular surface proximally parallelt to the long-axis of the humerus, and terminates at the proximal and medial cortical margin of the right medial humeral epicondyle.  There is suspicious widening of the medial aspect of the elbow joint in this image.
The right shoulder is normal.
The left elbow is normal.  
The left shoulder is normal.  
There is no evidence of medullary sclerosis, osteolysis, endosteal scalloping, or periosteal proliferation.
Soft tissues:  The included soft tissues are normal.</t>
  </si>
  <si>
    <t xml:space="preserve">1. Suspected right articular humeral condyle/epicondylar fracture such as from trauma and/or underlying incomplete ossification of the humeral condyle (IOHC).  </t>
  </si>
  <si>
    <t>Focused radiographs of the right elbow with comparison images of the left versus computed tomography for further evaluation of possibly IOHC and right humeral condyle/epicondylar articular fracture.  Internal reduction and rigid fixation with/without orthopedist consultation.  Empirical therapy and supportive care in the interim as needed.</t>
  </si>
  <si>
    <t xml:space="preserve">
1.A mild interstitial to alveolar infiltrate has been detected._x000D_
2.The cardiac silhouette size is normal._x000D_
3.There is no evidence of PERIHILAR INFILTRATE, DYNAMIC AIRWAY COLLAPSE or BRONCHIECTASIS or PULMONARY NODULES._x000D_
4.Pleural fissure lines or moderate to severe pleural effusion has been detected. An overlying skin fold or in an obese animal, excessive pericardial fat could artifactually mimic the result of severe pleural effusion.</t>
  </si>
  <si>
    <t>Ten radiographs are provided, with images of the thorax, abdomen, spine, proximal pelvic limbs. The cardiac silhouette and pulmonary vessels are normal size. There are no abnormalities in the pulmonary parenchyma. No pleural effusion. The trachea is normal diameter. Probable mineralized intervertebral disc material in situ at C3-4, incidental. No other definitive cervical spinal abnormalities._x000D_
_x000D_
In the abdomen there is no effusion or organomegaly. Formed feces in the colon. The stomach and small bowel are minimally filled. No radiopaque urolithiasis. Narrowed L2-3 and L3-4 intervertebral disc space and foramina. Incidental mineralized intervertebral disc material in situ at L4-5. There is no endplate lysis. Mild thickened femoral necks. Pelvic limb musculature is symmetric. Patella locations normal. No stifle joint abnormalities are appreciated.</t>
  </si>
  <si>
    <t>1. The appearance of L2-3 and L3-4 are both suggestive of intervertebral disc disease. Such a lesion at these or another site is the most likely cause for discomfort._x000D_
2. Bilateral mild coxofemoral osteoarthritis, of doubtful significance today. No other pelvic limb abnormalities._x000D_
3. Normal abdomen and thorax.</t>
  </si>
  <si>
    <t>Current treatment plan is appropriate. If there is no improvement, consultation with a neurologist and advanced spinal imaging with CT/MRI should be considered.</t>
  </si>
  <si>
    <t xml:space="preserve">
1.SEVERE ALVEOLAR INFILTRATE; MILD PERIHILAR PATTERN; MORE DIFFUSE MILD BRONCHOINTERSTITIAL PULMONARY PATTERN._x000D_
2.Based on the AI airway/pulmonary findings, the probability of this patient having clinically detectable respiratory signs is HIGH (75%)_x000D_
3.Are respiratory signs present? If YES._x000D_
4.Are respiratory signs present? If NO._x000D_
5.The cardiac silhouette size is normal.</t>
  </si>
  <si>
    <t xml:space="preserve">THORAX (4 images):
Images are dated September 17, 2024.
Pulmonary parenchyma:  Numerous small but variably sized mineral or soft tissue nodules are present in the lungs.  Overall, these are more numerous in the cranial and ventral portions of the lungs.  Some of these are pin-point and mineral.  Other nodular foci are larger, suspiciously round, and soft tissue opaque.  Suspicious soft tissue nodules are best identified in the left lateral image in caudodorsal lungs over the 3rd and 6th intercostal spaces, and in the right lateral image in the caudoventral lung at the level of the 6th intercostal space.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</si>
  <si>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Few suspicious soft tissue pulmonary nodules such as from evolving/early metastatic neoplasia (such as from primary mammary carcinoma or other), or less typical pulmonary osteomas, granuloma from prior disease, or unlikely other.
2. Numerous small mineral pulmonary foci such as from pulmonary osteomas/metaplasia, or less likely metastatic disease from a primary osseous neoplasm or other.
3. Minimal diffuse bronchial pattern due to fibrosis from prior disease, age-related changes, infectious/immune-mediated lower airway disease, or unlikely other.</t>
  </si>
  <si>
    <t xml:space="preserve">Consider computed tomography of the thorax for further evaluation of the suspicious pulmonary nodules, further evaluation of occult abdominal disease, and for pre-surgical planning of mammary gland associated nodule excisional/incisional biopsy for a definitive diagnosis.  Oncologist consultation depending on results.  Empirical therapy and supportive care in the interim as needed. </t>
  </si>
  <si>
    <t>THORAX (5 images):
Images are dated September 17, 2024.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Slight soft tissue band over the dorsal aspect of the cervical tracheal segment.
Esophagus: The esophagus is not well-identified.
Pleural space: The pleural space is normal.
Musculoskeletal: The reported ventral cervical lesion is not identified.  The remaining included musculoskeletal structures are normal.</t>
  </si>
  <si>
    <t>1. Mild diffuse bronchial pulmonary pattern such as from infectious/immune-mediated lower airway disease (mycoplasma spp., bordetella spp., parasitism, or other), inhaled allergen/irritant, fibrosis from prior disease, age-related changes, or unlikely other.
2. Slight dorsal redundant tracheal membrane versus superimposed normal structures.</t>
  </si>
  <si>
    <t>Consider respiratory PCR panel, airway sampling, and fecal analysis for further evaluation. Routine blood work may be contributory. Consider computed tomography and/or ultrasonography of the neck for further evaluation of reported subcutaneous lesion at this site. Empirical therapy and supportive care in the interim as needed. Monitoring as directed or sooner if clinical signs acutely change, fail to improve or worsen.</t>
  </si>
  <si>
    <t xml:space="preserve">
1.MILD BRONCHIAL PATTERN; NODULAR PULMONARY PATTERN which is likely due to overlying CUTANEOUS NODULES or MINERALIZED COSTOCHONDRAL JUNCTIONS._x000D_
2.Based on the AI airway/pulmonary findings, the probability of this patient having clinically detectable respiratory signs is LOW to MEDIUM (25%-50%)_x000D_
3.The evaluation has come up positive for a pulmonary nodular pattern._x000D_
4.Are respiratory signs present? If YES._x000D_
5.Are respiratory signs present? If NO._x000D_
6.The cardiac silhouette size is normal._x000D_
7.There is no evidence of ALVEOLAR PATTERN, PERIHILAR INFILTRATE, DYNAMIC AIRWAY COLLAPSE or BRONCHIECTASIS or PLEURAL EFFUSION.</t>
  </si>
  <si>
    <t>Thorax and abdomen. Three radiographs (two lateral, one VD) of the thorax/abdomen dated September 17, 2024 are provided.
Cardiac silhouette: On one lateral view (suspected right lateral) there is a rounded soft tissue opacity cranial to and partially summating with the cardiac silhouette/cardiac base. The patient is rotated on this view which limits complete evaluation. There is mild rightward deviation of the trachea on the VD view. The cardiac silhouette is otherwise moderately enlarged (VHS 11.75), with no specific chamber enlargement.
Pulmonary vessels: The pulmonary arteries and veins are normal in size and are symmetrical.
Pulmonary parenchyma: The lungs are underinflated which creates a diffuse, mild interstitial pulmonary pattern. Otherwise the pulmonary parenchyma is normal with no nodules or masses.
Pleural space: The pleural space is within normal limits.
Mediastinum: The mediastinum is normal in width and opacity. There is no evidence of intrathoracic lymphadenopathy.
Trachea: The trachea is markedly increased in diameter/height at the level of the thoracic inlet. The dorsal portion of the trachea is superimposed with a band of soft tissue opacity.
Esophagus: The region of the esophagus is within normal limits.
Gastrointestinal tract: The stomach contains a small volume of gas and is normal in position. The small intestines are diffusely within normal limits of diameter and are primarily gas-filled. The colon is empty.
Liver: The liver is within normal limits of size and shape.
Spleen: The spleen is unremarkable.
Urinary: The visible margins of the kidneys are within normal limits. The urinary bladder is moderately distended and normal in opacity.
Peritoneal space: There is adequate serosal detail.
Musculoskeletal: There is multifocal from the lumbar intervertebral disc spaces, worst at L4-5. There is mild spondylosis deformans of the lumbar spine.</t>
  </si>
  <si>
    <t>1. There is no evidence of a mechanical gastrointestinal obstruction or mineral/metal opaque foreign body. Gastroenteritis and pancreatitis are prioritized. 
2. Dynamic airway disease/tracheal collapse with redundant dorsal trachealis muscle. This is likely contributing to poor oxygenation.
3. Moderate cardiomegaly with a possible heart base mass. Differentials for a heart base mass include enlarged tracheobronchial lymph nodes and a neoplasm such as chemodectoma or hemangiosarcoma.
4. Underinflated lungs may be due to the phase of the respiratory cycle; however, underlying airway disease cannot be excluded.</t>
  </si>
  <si>
    <t xml:space="preserve">Medical management supportive care for vomiting and diarrhea are recommended. If clinical signs persist despite treatment, recheck three-view abdominal radiographs, an abdominal ultrasound, or upper gastrointestinal contrast study would be recommended.
A thoracic CT is recommended to further evaluate the heart and heart base. If a murmur can be auscultated, an echocardiogram, ECG, and blood pressure would be recommended. If recheck radiographs are acquired, three radiographs collimated to the thorax are suggested.
</t>
  </si>
  <si>
    <t xml:space="preserve">
1.Based on these AI airway/pulmonary findings, the probability of this patient having clinically detectable repsiratory signs is VERY HIGH (&gt;75%)_x000D_
2.Based on these AI airway/pulmonary findings, the probability of this patient having clinically detectable respiratorysigns is MEDIUM (50%)_x000D_
3.Are respiratory signs present? If YES._x000D_
4.Are respiratory signs present? If YES._x000D_
5.AI linked bronchitis disease treatment in dogs and cats: https://platform.v2.vetology.net/doc/bacterial-bronchitis-in-dogs-and-cats_x000D_
6.Are respiratory signs present? If NO._x000D_
7.AI linked pneumonia in dogs article: https://platform.v2.vetology.net/doc/pneumonia-in-dogs-and-cats_x000D_
8.Are respiratory signs present? If NO._x000D_
9.SEVERE INTERSTITIAL TO ALVEOLAR PATTERN; MODERATE BRONCHIAL PATTERN; MODERATE DYNAMIC AIRWAY DISEASE._x000D_
10.MODERATE BRONCHOINTERSTITIAL PULMONARY PATTERN, MODERATE DYNAMIC AIRWAY DISEASE,  SLIGHT PERIHILAR INFILTRATE._x000D_
11.Pleural fissure lines or moderate to severe pleural effusion has been detected. An overlying skin fold or in an obese animal, excessive pericardial fat could artifactually mimic the result of severe pleural effusion._x000D_
12.Severe cardiomegaly has been detected but Heart Failure is NOT suspected.</t>
  </si>
  <si>
    <t>Three radiographs of the thorax and three views of the abdomen are provided. The cardiac silhouette and pulmonary vessels are normal size. There is soft tissue opacity with air bronchograms in the mid ventral left lungs. The caudal thoracic esophagus is fluid dilated on the right lateral view, and the entire esophagus is gas dilated on the left lateral and VD views. Esophageal dilation causes ventral displacement of the caudal thoracic trachea on the left lateral view. Tracheal diameter is adequate._x000D_
_x000D_
In the abdomen there is large volume of gas in the stomach consistent with aerophagia. Small bowel are minimally filled. Semi-formed feces in the colon. Normal-sized liver, spleen, left kidney. Right kidney is obscured. The prostate is moderately enlarged consistent with the reproductive status of this patient. No osseous abnormalities are appreciated.</t>
  </si>
  <si>
    <t>1. Megaesophagus with aspiration pneumonia. Differentials for megaesophagus include esophagitis, myasthenia gravis, endocrinopathy (hypothyroidism, hypoadrenocorticism) and idiopathic etiology._x000D_
2. Normal abdomen.</t>
  </si>
  <si>
    <t>A CBC, blood chemistry profile, and antibiotics for aspiration pneumonia are not recommended. If there is esophageal dilation on follow-up radiographs, additional workup for megaesophagus would be recommended.</t>
  </si>
  <si>
    <t>8 images of the thorax, abdomen, and left humerus are presented for review.  There is lysis of the fourth sternal segment with soft tissue mass extending dorsally into the left ventral aspect of the thorax.  Thin pleural fissure lines present.  The cardiovascular structures are normal.  There is a diffuse interstitial pulmonary pattern that is considered appropriate for the age of the patient.  No pulmonary nodules or enlarged intrathoracic lymph nodes are seen.  The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There is spondylosis deformans of the lumbar spine.  The joint surfaces are smooth and regular.</t>
  </si>
  <si>
    <t>Radiographically normal abdomen and left humerus.  Sternal lysis with associated soft tissue mass and mild pleural effusion.  Bone origin neoplasia is likely.</t>
  </si>
  <si>
    <t>CT could be considered in surgical planning if desired.</t>
  </si>
  <si>
    <t xml:space="preserve">
1.Based on the AI airway/pulmonary findings, the probability of this patient having clinically detectable respiratory signs is LOW to MEDIUM (25%-50%)_x000D_
2.Are respiratory signs present? If YES._x000D_
3.The cardiac silhouette size is normal._x000D_
4.Are respiratory signs present? If NO_x000D_
5.MILD INTERSTITIAL TO ALVEOLAR INFILTRATE; MILD PERIHILAR INFILTRATE; MINIMAL BRONCHIAL PATTERN._x000D_
6.Pleural fissure lines or moderate to severe pleural effusion has been detected. An overlying skin fold or in an obese animal, excessive pericardial fat could artifactually mimic the result of severe pleural effusion.</t>
  </si>
  <si>
    <t>Patient Name : Fenway Nelson, Date of study: Sep 17, 2024
6 images are provided for review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mildly small and measure under 2.5x the length of L2.
Retroperitoneum: Retroperitoneal detail is adequate.
Urinary bladder/Urethra: The urinary bladder is small in size, homogeneous soft tissue, and smoothly marginated.
Peritoneum: Peritoneal detail is adequate.
Gastrointestinal tract: The stomach contains a mild to moderate volume of gas and mild soft tissue material.   The stomach is within normal limits for size.
The small intestine contains mild fluid and gas or is empty with a subjectively uniform population for size. 
The colon contains minimal soft tissue material and gas.  The colon is within normal limits for size.  
Musculoskeletal: The included musculoskeletal structures are normal.</t>
  </si>
  <si>
    <t>1. Mild diffuse bronchial pulmonary pattern such as from fibrosis from prior disease, age-related changes, infectious/immune-mediated lower airway disease, inhaled allergen/irritant, or unlikely other.
2. Mild small kidneys such as from chronic renal disease versus other.</t>
  </si>
  <si>
    <t>Consider routine blood work, urinalysis, and abdominal ultrasonography for further evaluation of the kidneys.  Empirical therapy and supportive care in the interim as needed.   Monitoring as directed or sooner if clinical signs fail to improve or worsen in the face of empirical therapy.</t>
  </si>
  <si>
    <t>Study:_x000D_
Thoracic radiography: three images dated September 17, 2024_x000D_
_x000D_
Findings:_x000D_
There is mild left ventricular and left atrial enlargement. The pulmonary vasculature is normal in size. There is a mild generalized bronchial pulmonary pattern. On both lateral views, there is a mild caudodorsal unstructured interstitial pulmonary pattern. There is also increased soft tissue opacity within the region of the caudal esophagus. The pleural space is normal. There is no apparent intrathoracic lymphadenopathy. The trachea is normal in diameter. A mild amount mineral is present in the region of the gallbladder. There is narrowing of the C3-C4 intervertebral disc space with remodeled/sclerotic endplates and moderate to severe spondylosis deformans.</t>
  </si>
  <si>
    <t>1. Mild left-sided cardiomegaly, suggestive of mitral valve disease. Echocardiography should be considered for further evaluation._x000D_
2. Given the concern for cardiomegaly, the mild caudodorsal unstructured interstitial pulmonary pattern may indicate cardiogenic pulmonary edema/decompensated congestive heart failure. Diuretic therapy with repeat radiography to monitor for response to treatment can be considered._x000D_
3. The mild generalized bronchial pulmonary pattern may indicate allergic, inflammatory, infectious, parasitic or irritant bronchitis. Airway sampling, heartworm testing and Baermann fecal flotation can be considered for further evaluation._x000D_
4. The indistinct increased opacity within the region of the caudal esophagus may indicate gastroesophageal reflux and/or esophagitis. An evolving caudal esophageal mass is considered less likely._x000D_
5. Mineral gallbladder debris.</t>
  </si>
  <si>
    <t xml:space="preserve">
1.MILD to MODERATE BRONCHOINTERSTITIAL PATTERN; MILD DYNAMIC AIRWAY DISEASE._x000D_
2.Based on these AI airway/pulmonary findings, the probability of this patient having clinically detectable respiratory signs is MEDIUM (50%)_x000D_
3.Are respiratory signs present? If YES._x000D_
4.AI linked bacterial bronchitis in dogs article: https://platform.v2.vetology.net/doc/bacterial-bronchitis-in-dogs-and-cats_x000D_
5.Are respiratory signs present? If NO._x000D_
6.Mild cardiomegaly has been detected but Heart Failure is NOT suspected.</t>
  </si>
  <si>
    <t>Orthogonal views of the thorax and abdomen are provided:_x000D_
_x000D_
Thorax:_x000D_
_x000D_
Cardiac silhouette has a normal shape and size._x000D_
Pulmonary vessels are within normal limits of size and shape._x000D_
Pulmonary parenchyma shows an alveolar pulmonary pattern with air bronchograms ventrally located in the right middle lung lobe. No evidence of pulmonary nodules/masses.Pleural space, mediastinum, diaphragm and thoracic wall within normal limits._x000D_
_x000D_
Abdomen:_x000D_
_x000D_
The stomach is filled with small volume of food._x000D_
Small intestines are mildly gas and fluid filled, not overtly distended. No signs of mechanical ileus._x000D_
Serosal detail is preserved._x000D_
Liver and spleen are within normal limits of size and smoothly marginated._x000D_
Kidneys and urinary bladder WNL._x000D_
_x000D_
Multifocal signs of chronic IVDD with mineral material superimposed with the IV foramina of T13-L1, L1-L2 and L4-L5._x000D_
Bilateral hip dysplasia with mild periarticular osteophytosis._x000D_
Bilateral MPL.</t>
  </si>
  <si>
    <t>1) Alveolar pulmonary pattern with air bronchograms in the right middle lung lobe consistent with aspiration pneumonia._x000D_
2) Unremarkable abdomen._x000D_
3) Multifocal signs of chronic IVDD with likely old disc extrusions at 13-L1, L1-L2 and L4-L5.</t>
  </si>
  <si>
    <t>Consider empirical treatment for pneumonia with follow up radiographs every 48/72 hours to evaluate response to treatment. Rule out any predisposing cause for vomition, regurgitation or neurological condition such as laryngeal paralysis._x000D_
Once recovered, consider a full neuro exam with MRI if necessary.</t>
  </si>
  <si>
    <t xml:space="preserve">
1.Moderate cardiomegaly has been detected but Heart Failure is NOT suspected._x000D_
2.SEVERE ALVEOLAR PATTERN; PLEURAL EFFUSION or PLEURAL FISSURE LINES; MODERATE DYNAMIC AIRWAY DISEASE; MILD, DIFFUSE BRONCHOINTERSTITIAL PULMONARY PATTERN._x000D_
3.Based on the AI airway/pulmonary findings, the probability of this patient having clinically detectable respiratory signs is VERY HIGH (&gt;75%)_x000D_
4.Are respiratory signs present? If YES._x000D_
5.Are respiratory signs present? If NO.</t>
  </si>
  <si>
    <t>Thorax. Two radiographs of the thorax (1 lateral, 1 obliqued VD) dated September 17, 2024 are provided. Orthogonal radiographs of the left antebrachium are submitted concurrently. As requested, only the thorax is interpreted.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Musculoskeletal: The thoracic spine and ribs are normal.</t>
  </si>
  <si>
    <t>Normal thorax. There is no evidence of metastatic pulmonary nodules on the provided views.</t>
  </si>
  <si>
    <t>Fine-needle aspirates or biopsy of the left distal radius are recommended for definitive diagnosis and to guide treatment. A thoracic CT could be considered as CT is more sensitive than radiographs for small/early pulmonary metastasis. If recheck radiographs are acquired, three-view thoracic radiographs are suggested.</t>
  </si>
  <si>
    <t xml:space="preserve">
1.The cardiac silhouette size is normal._x000D_
2.There is no evidence of DYNAMIC AIRWAY COLLAPSE or BRONCHIECTASIS._x000D_
3.PLEURAL EFFUSION or PLEURAL FISSURE LINES; PULMONARY NODULES or NODULAR PATTERN; MODERATE TO SEVERE INTERSTITIAL TO ALVEOLAR PATTERN; MILD BRONCHITIS._x000D_
4.Based on the AI airway/pulmonary findings, the probability of this patient having clinically detectable respiratory signs is VERY HIGH (&gt;75%)_x000D_
5.Are respiratory signs present? If YES._x000D_
6.Resource: https://vsso.org/lung-tumors-canine_x000D_
7.Are respiratory signs present? If NO._x000D_
8.The evaluation has a suspicion of pleural effusion and soft tissue pulmonary nodules or a mass lesion being present.</t>
  </si>
  <si>
    <t>Thorax. Two radiographs (right lateral and dorsal ventral views) of the thorax dated September 17, 2024 are provided.
Cardiac silhouette: The cardiac silhouette is normal in size and shape.
Pulmonary vessels: The pulmonary arteries and veins are normal in size and are symmetrical.
Pulmonary parenchyma: There is a diffuse moderate bronchial pattern. The secondary and tertiary airways are conspicuous extending into the periphery of the lungs.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Musculoskeletal: The included skeletal and superficial soft tissue structures of the study are within normal limits.</t>
  </si>
  <si>
    <t>1. The diffuse moderate bronchial pulmonary pattern, consistent with lower airway inflammation/chronic bronchitis. Differentials include infectious/inflammatory lower airway disease (e.g. mycoplasma, Bordetella, parasitism), allergic, and irritant etiologies.
2. Normal cardiovascular structures. Valvular disease is prioritized as a cause of reported murmur.</t>
  </si>
  <si>
    <t>Consider airway sampling (respiratory PCR, lavage, wash) and Baermann fecal analysis for further evaluation and to guide treatment. An echocardiogram, ECG, and blood pressure are recommended to further evaluate the heart.</t>
  </si>
  <si>
    <t xml:space="preserve">
1.Pleural fissure lines or moderate to severe pleural effusion has been detected. An overlying skin fold or in an obese animal, excessive pericardial fat could artifactually mimic the result of severe pleural effusion._x000D_
2.MODERATE INTERSTITIAL TO ALVEOLAR INFILTRATE; CONCURRENT MODERATE BRONCHIAL PATTERN; MILD PERIHILAR INFILTRATE._x000D_
3.MODERATE BRONCHOINTERSTITIAL PULMONARY PATTERN; ALVEOLAR INFILTRATE or ATELECTASIS; DYNAMIC AIRWAY DISEASE._x000D_
4.Moderate cardiomegaly has been detected but Heart Failure is NOT suspected._x000D_
5.Are respiratory signs present? If NO._x000D_
6.Are respiratory signs present? If NO._x000D_
7.AI linked bacterial pneumonia treatment in dogs: https://platform.v2.vetology.net/doc/pneumonia-in-dogs-and-cats_x000D_
8.Based on the AI airway/pulmonary findings, the probability of this patient having clinically detectable respiratorysigns is MEDIUM to HIGH (50-75%)_x000D_
9.Based on these AI airway/pulmonary findings, the probability of this patient having clinically detectable respiratory signs is HIGH (75%)_x000D_
10.Are respiratory signs present? If YES._x000D_
11.Are respiratory signs present? If YES.</t>
  </si>
  <si>
    <t>A three view study of the thorax is provided for interpretation._x000D_
_x000D_
No tracheal or laryngeal abnormalities are identified. No esophageal abnormalities are seen._x000D_
There is a mild bronchial pattern and mild bronchial mineralization. No alveolar infiltrates or pleural effusion is seen. The heart is at the upper end of normal size range, with normal shape._x000D_
_x000D_
The liver is slightly small for patient size. The rest of the cranial abdomen is unremarkable.</t>
  </si>
  <si>
    <t>The mild bronchial pattern identified within the limits of age related change, allergic bronchitis, or low-grade idiopathic chronic bronchitis. The overall appearance is not concerning for infectious disease, neoplasia, or heart failure._x000D_
No changes concerning for significant cardiac chamber dilation are identified._x000D_
No evidence of collapsing trachea is seen, although tracheal collapse can never be entirely excluded on the basis of survey radiographs.</t>
  </si>
  <si>
    <t>Symptomatic therapy for the cough is recommended as needed.</t>
  </si>
  <si>
    <t xml:space="preserve">
1.The cardiac silhouette size is normal._x000D_
2.There is no evidence of ALVEOLAR PATTERN, DYNAMIC AIRWAY COLLAPSE or BRONCHIECTASIS or PLEURAL EFFUSION._x000D_
3.A minimal perihilar infiltrate has been detected._x000D_
4.A minimal bronchial pattern has been detected.</t>
  </si>
  <si>
    <t>Orthogonal views of the thorax and abdomen are provided:_x000D_
_x000D_
Thorax:_x000D_
_x000D_
No abnormalities seen in the trachea._x000D_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almost empty._x000D_
Small intestines are mildly gas and fluid filled, not overtly distended. No signs of mechanical ileus._x000D_
Serosal detail is preserved._x000D_
Liver extends beyond the costal arch with mildly rounded margins._x000D_
Spleen is within normal limits of size and smoothly marginated._x000D_
Kidneys and urinary bladder WNL._x000D_
_x000D_
Visible spine shows small volume of mineral material just dorsal to L4-L5 partially superimposed with its IV foramen.</t>
  </si>
  <si>
    <t>1) Unremarkable lungs do not exclude a bronchitis of allergic origin vs inflammatory/infectious or parasitic origin. No signs of pulmonary metastases nor signs of thoracic lymphadenopathy. Rule out pulmonary hypertension._x000D_
2) Hepatomegaly: Metabolic vs Vacuolar infiltration vs Hepatic nodular hyperplasia vs Inflammatory vs Toxic vs Neoplastic or a combination of these differentials._x000D_
3) L4-L5. Changes compatible with old disc extrusion.</t>
  </si>
  <si>
    <t>Consider empirical treatment for chronic bronchitis evaluating response to treatment. If clinical signs persist, consider a bronchoscopy with BAL, culture, cytology, Baermann test and deworming._x000D_
Consider echocardiogram and abdominal US to further evaluate the liver and entire abdomen._x000D_
Consider also full neuro exam evaluating the need of an MRI.</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</si>
  <si>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3.SEVERE DYNAMIC AIRWAY DISEASE; MODERATE BRONCHOINTERSTITIAL PULMONARY PATTERN; MODERATE ALVEOLAR INFILTRATE or ATELECTASIS._x000D_
4.Based on these AI airway/pulmonary findings, the probability of this patient having clinically detectable respiratory signs is HIGH (75%)_x000D_
5.Are respiratory signs present? If YES._x000D_
6.Are respiratory signs present? If NO.</t>
  </si>
  <si>
    <t>Three radiographs of the thorax, and a VD view of the cervical spine are provided. No laryngeal abnormalities. Tracheal diameter and position are normal. There is scant gas in the esophagus, incidental. No radiopaque esophageal foreign material. The cardiac silhouette and pulmonary vessels are normal size. There are no abnormalities in the pulmonary parenchyma. No pleural effusion. Small volume gas in the stomach.</t>
  </si>
  <si>
    <t>Normal thorax and cervical tissues. A reason for coughing is not identified. Inhaled irritant/allergens is suspected. Infectious airway disease is possible. There is no evidence of aspiration pneumonia or esophageal foreign material.</t>
  </si>
  <si>
    <t>Recommend empiric treatment for the cough.</t>
  </si>
  <si>
    <t xml:space="preserve">
1.A mild interstitial to alveolar pattern and minimal perihilar pattern have been detected._x000D_
2.The cardiac silhouette size is normal._x000D_
3.There is no evidence of BRONCHITIS, DYNAMIC AIRWAY COLLAPSE or BRONCHIECTASIS, PULMONARY NODULES or PLEURAL EFFUSION.</t>
  </si>
  <si>
    <t>Three radiographs of the thorax, and three views of the abdomen are provided. Images dated 4/10/24 are available for comparison. The cardiac silhouette is normal size and shape with no chamber enlargement. A mild mixed bronchointerstitial pattern is present throughout the lungs, similar to the previous study. There are no soft tissue pulmonary nodules or pleural effusion. Redundant dorsal trachealis membrane in the cervical region. Focal dorsal position of the cranial thoracic trachea on the left lateral view is incidental. No esophageal dilation._x000D_
_x000D_
In the abdomen there is no effusion. The stomach and small bowel are minimally filled. Formed feces fills the distal colon. The liver, spleen, and kidneys are normal size. No radiopaque urolithiasis.</t>
  </si>
  <si>
    <t>1. Mild mixed bronchointerstitial pattern as before, most likely normal aging change. With the history provided, infectious airway disease may also be present. The appearance of the cervical trachea is suggestive of dynamic collapse. This could be contributing to the clinical signs. There is no evidence of pneumonia or cardiovascular disease. A small valvular regurgitant jet can result in a relatively loud murmur._x000D_
2. Normal abdomen.</t>
  </si>
  <si>
    <t>Consider treatment for infectious airway disease.</t>
  </si>
  <si>
    <t xml:space="preserve">
1.Respiratory signs: YES._x000D_
2.Respiratory signs: NO._x000D_
3.If left atrial enlargement is present, that could contribute to the perihilar finding (see cardiac findings below)._x000D_
4.A moderate bronchointerstitial pattern with a concurrent alveolar infiltrate and perihilar opacity has been detected._x000D_
5.Probability these AI pulmonary findings will accompany clinically detectable respiratory signs: MEDIUM to HIGH (50-75%%)_x000D_
6.Pleural fissure lines or small volume pleural effusion has been detected. In a mildly overweight animal, excessive pericardial fat can artifactually mimic the result of minimal pleural effusion._x000D_
7.The cardiac silhouette size is normal.</t>
  </si>
  <si>
    <t>A lateral view of the neck and 2 lateral views of the thorax are submitted for review.  A very mild amount of gas is noted in the cervical esophagus.  The trachea and larynx appear within normal limits._x000D_
The cardiac silhouette and pulmonary vasculature are within normal limits.  No pulmonary parenchymal abnormalities are seen.  No pleural or mediastinal abnormalities are noted._x000D_
No osseous abnormalities are seen.</t>
  </si>
  <si>
    <t>No definitive abnormalities are noted.  The gas in the cervical esophagus is very nonspecific and may be normal.  Esophagitis or irritation associated with dietary indiscretion cannot be definitively excluded.</t>
  </si>
  <si>
    <t>Symptomatic medical management may be helpful in the short-term.  If clinical signs persist, endoscopic evaluation of the esophagus or a fluoroscopic barium swallow could be considered.</t>
  </si>
  <si>
    <t>Eight radiographs are provided, with images of the thorax, abdomen, pelvis/proximal pelvic limbs. Images dated 10/18/22 are available for comparison. The cardiac silhouette and pulmonary vessels are normal size and shape. There are faint bronchial markings and numerous pulmonary osteomas consistent with age. Hazy ovoid soft tissue density in the right 5th intercostal space on the VD projection is summating normal anatomy. There is no pleural effusion. Adequate tracheal diameter._x000D_
_x000D_
In the abdomen the liver is upper normal size. Normal size spleen and kidneys. The gastrointestinal tract is mildly filled. Linear wire-like metal densities in the cranioventral peritoneal space as before, consistent with chronic migrated gastric foreign material, incidental. No radiopaque cystic calculi. Narrowed T11-12, T13-L1 intervertebral disc space, worse than before and of uncertain significance today. The coxofemoral joints are congruent. There is scant fluid in the cranial aspect of the right stifle joint. No left stifle abnormalities.</t>
  </si>
  <si>
    <t>Scant right stifle effusion suggestive of partial cranial cruciate ligament tear. Probable progressive intervertebral disc disease in the caudal thoracic spine. These may be responsible for discomfort. Normal abdomen and thorax.</t>
  </si>
  <si>
    <t xml:space="preserve">
1.A mild perihilar infiltrate has been detected._x000D_
2.A minimal interstitial pattern has been detected._x000D_
3.Pleural fissure lines or small volume pleural effusion has been detected. In a mildly overweight animal, excessive pericardial fat can artifactually mimic the result of minimal pleural effusion._x000D_
4.The cardiac silhouette size is normal._x000D_
5.There is no evidence of BRONCHITIS or DYNAMIC AIRWAY COLLAPSE or BRONCHIECTASIS.</t>
  </si>
  <si>
    <t>5 images of the thorax and abdomen are presented for review.  The cardiovascular structures are normal.  There is a diffuse interstitial pulmonary pattern that is considered appropriate for the age of the patient.  Multiple, variably sized soft tissue nodules are seen throughout the pulmonary.  No enlarged intrathoracic lymph nodes are seen.  The pleural and mediastinal structures are normal.  Abdominal serosal detail is adequate in all quadrants.  Liver margin is irregular and extends mildly beyond the costal arch.  The stomach contains a moderate amount of ingesta.  The small intestines are normal in size.  Gas and feces are present in the colon.  The urinary bladder is small.  The remaining abdominal organs are normal.</t>
  </si>
  <si>
    <t>Pulmonary nodules concerning for metastatic neoplasia.  Mild hepatomegaly=ZZ90= this is a nonspecific finding that may be seen with congestion, vacuolar hepatopathy, inflammation, neoplasia, etc.</t>
  </si>
  <si>
    <t>Abdominal ultrasound may be helpful in further evaluation if biochemically indicated.</t>
  </si>
  <si>
    <t xml:space="preserve">
1.MODERATE INTERSTITIAL TO ALVEOLAR INFILTRATE; MILD BRONCHIAL PATTERN; MILD PERIHILAR INFILTRATE._x000D_
2.Based on these AI airway/pulmonary findings,  the probability of this patient having clinically detectable respiratory signs is HIGH (75%)_x000D_
3.Are respiratory signs present? If YES._x000D_
4.Are respiratory signs present? If NO._x000D_
5.The cardiac silhouette size is normal.</t>
  </si>
  <si>
    <t>Orthogonal radiographs of the thorax/abdomen are provided. There is equivocal prominent left atrium, of doubtful significance. Pulmonary vessels are normal size. No abnormalities in the pulmonary parenchyma. No pleural effusion. Redundant dorsal trachealis membrane in the cervical region. Normal cranial mediastinal width. In the abdomen the liver is mildly enlarged with smooth margins. No effusion. The gastrointestinal tract is moderately filled. No radiopaque urolithiasis. Punctate mineral density overlying the L3-4 intervertebral foramen is of doubtful clinical significance today. Degenerative change noted in the coxofemoral joints.</t>
  </si>
  <si>
    <t>1. Suspect cervical tracheal collapse, the most likely cause for respiratory signs._x000D_
2. Equivocal prominent left atrium suggestive of degenerative mitral valve disease. This is of doubtful clinical significance today._x000D_
3. Mild hepatomegaly, a nonspecific finding that may be steroid or other hepatopathy, acute inflammation, or neoplasia. This should be correlated with history and blood work.</t>
  </si>
  <si>
    <t>A CBC and blood chemistry profile are recommended to rule out a metabolic abnormality and to evaluate hepatic enzymes.</t>
  </si>
  <si>
    <t xml:space="preserve">
1.MILD to MODERATE BRONCHOINTERSTITIAL PULMONARY PATTERN; MODERATE DYNAMIC AIRWAY COLLAPSE and/or BRONCHIECTASIS._x000D_
2.MILD TO MODERATE BRONCHOINTERSTITIAL PULMONARY PATTERN; ATELECTASIS or ALVEOLAR INFILTRATE._x000D_
3.Severe cardiomegaly has been detected but Heart Failure is NOT suspected._x000D_
4.There is no evidence of PLEURAL EFFUSION._x000D_
5.Are respiratory signs present? If NO._x000D_
6.Based on these AI airway/pulmonary findings, the probability of this patient having clinically detectable respiratory signs is LOW to MEDIUM (25-50%)_x000D_
7.Based on these AI airway/pulmonary findings, the probability of this patient having clinically detectable respiratory signs is MEDIUM (50%)_x000D_
8.Are respiratory signs present? If YES._x000D_
9.Are respiratory signs present? If YES._x000D_
10.Are respiratory signs present? If NO.</t>
  </si>
  <si>
    <t>THORAX (2 images):
Images are dated September 17, 2024.
Prior images are dated August 20, 2024.
Pulmonary parenchyma: A moderate diffuse bronchial pattern is present.  In the ventrodorsal image, the previously identified alveolar patterns in the left cranial lung lobe cranial/caudal subsegments and right cranial lung lobe are not identified.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</si>
  <si>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 xml:space="preserve">1. Resolved left cranial lung lobe alveolar pattern and presumed resolved right cranial lung lobe alveolar pattern.
2. moderate diffuse bronchial pulmonary pattern such as from infectious/immune-mediated lower airway disease (mycoplasma spp., bordetella spp., parasitism, or inhaled allergen/irritant), and/or fibrosis from prior disease, age-related changes, or unlikely other.
</t>
  </si>
  <si>
    <t>Consider a left lateral thoracic radiographs for further evaluation of the right lungs, versus computed tomography of the thorax, especially given persistence of reported fever.  Consider respiratory PCR panel, airway sampling, routine blood work and fecal analysis/deworming for further evaluation.  Abdominal imaging to screen for occult nidus of infection/inflammation if fever fails to resolve.  Therapy for 1-2 weeks past radiographic resolution of bronchopneumonia.  Empirical therapy and supportive care in the interim as needed. Monitoring as directed or sooner if clinical signs acutely change, fail to improve or worsen.</t>
  </si>
  <si>
    <t xml:space="preserve">
1.Are respiratory signs present. If YES._x000D_
2.Are respiratory signs present. If NO._x000D_
3.MODERATE INTERSTITIAL TO ALVEOLAR PATTERN; MILD BRONCHITIS._x000D_
4.Based on these AI airway/pulmonary findings, the probability of this patient having clinically detectable respiratory signs is MEDIUM (50%)_x000D_
5.Are respiratory signs present? If YES._x000D_
6.The evaluation has come up positive for a pulmonary nodular pattern._x000D_
7.Are respiratory signs present? If NO._x000D_
8.The cardiac silhouette size is normal._x000D_
9.There is no evidence of DYNAMIC AIRWAY COLLAPSE or BRONCHIECTASIS._x000D_
10.PULMONARY NODULES or NODULAR PATTERN; MODERATE INTERSTITIAL TO ALVEOLAR PATTERN._x000D_
11.Based on these AI airway/pulmonary findings, the probability of this patient havingclinically detectable respiratory signs is HIGH (75%)_x000D_
12.The evaluation has a strong suspicion of soft tissue pulmonary nodules or mass lesion being present._x000D_
13.Are respiratory signs present? If YES._x000D_
14.Are respiratory signs present? If NO._x000D_
15.PULMONARY NODULAR PATTERN; MINIMAL BRONCHOINTERSTITIAL PULMONARY PATTERN.</t>
  </si>
  <si>
    <t>Forelimbs. Sixteen radiographs of the forelimbs (6 images of the left, 10 images of the right) dated September 17, 2024 are provided.
Left forelimb: There is minimal osseous proliferation at the dorsal aspect of the intermediaoradial carpal bone. There is no soft tissue swelling at the level of the left carpus. The left antebrachium and elbow are within normal limits. There is mild undulation of the margins of the glenoid cavity. The shoulder is otherwise unremarkable.
Right forelimb: The right shoulder is within normal limits. There is no evidence of periarticular osseous proliferation or subchondral sclerosis. The right elbow and antebrachium are within normal limits. The right carpus and manus are unremarkable.</t>
  </si>
  <si>
    <t>1. A cause for right forelimb lameness is not identified. A soft tissue injury or cervical lesion (nerve root signature) are prioritized.
2. There is mild osteoarthritis of the left shoulder and minimal osteoarthritis of the left antebrachiocarpal joint.</t>
  </si>
  <si>
    <t xml:space="preserve">Rest and multimodal pain management are recommended for right forelimb lameness. A full neurologic exam could be considered if not already performed. If neuropathy or cervical pain are identified, consultation with a neurologist would be recommended. </t>
  </si>
  <si>
    <t xml:space="preserve">
1.A minimal bronchial pattern has been detected._x000D_
2.The cardiac silhouette size is normal._x000D_
3.There is no evidence of ALVEOLAR PATTERN, PERIHILAR INFILTRATE, DYNAMIC AIRWAY COLLAPSE or BRONCHIECTASIS or PLEURAL EFFUSION.</t>
  </si>
  <si>
    <t>THORAX (3 images):
Images are dated September 17, 2024.
Pulmonary parenchyma: A moderate to severe diffuse bronchial pattern is present.  The cranial lobar bronchi are subjectively enlarged and fail to taper as expected in the periphery of the lungs.  An ill-defined interstitial or possibly alveolar pattern is suspected in the ventral periphery of the cranial lung lobes in the lateral images.
Pulmonary vasculature: The pulmonary vasculature is subjectively normal in size and tapers in the periphery of the lungs.
Cardiac silhouette: The cardiac silhouette is tall in the lateral images and occupies approximately 2/3 the height of the thorax.  
Mediastinum: A metal ballistic pellet (BB) in in the left middle mediastinum or left caudal lung lobe.  The cranial mediastinum is normal.
Trachea: A soft tissue band partially superimposes over the dorsal aspect of the cervical and thoracic tracheal segments.
Esophagus: The esophagus is not well-identified.
Pleural space: Thin pleural fissure lines that do not widen in the periphery between the right middle and caudal lung lobes.
Musculoskeletal: No obvious rib fractures are identified.  Bilateral moderate shoulder osteoarthrosis is present.  The remaining included musculoskeletal structures are normal.</t>
  </si>
  <si>
    <t>1. Bilateral cranioventral lung interstitial/alveolar patterns are suspicious from bronchopneumonia/aspiration pneumonia such as from reported near-drowning incident.
2. Moderate-severe diffuse bronchial pulmonary pattern such as from infectious/immune-mediated lower airway disease, or unlikely atypical distribution of non-cardiogenic edema or other.
3.  Bilateral cranial lobar bronchiectasis such as from chondromalacia/dynamic airway disease.
4. Mild left-ventriculomegaly versus artifact from phase of the cardiopulmonary cycle and patient positioning.
- If present, consider underlying/evolving myxomatous mitral valvular disease, or unlikely other.
- No current evidence of cardiogenic pulmonary edema.
5. Redundant dorsal tracheal membrane or less likely other.
6. Thin pleural fissure lines due to artifact, pleural thickening/folding, plate-like atelectasis or unlikely scant pleural fluid.
7.  Left pulmonary/mediastinal metal foreign body (BB), without current pneumothorax.</t>
  </si>
  <si>
    <t>Consider empirical therapy/supportive care for suspected bronchopneumonia/aspiration pneumonia in the interim.  Consider tracheoscopy/bronchoscopy/fluoroscopy, respiratory PCR panel, airway sampling, and fecal analysis/deworming for further evaluation once stable.  Routine blood work and abdominal imaging to screen for occult systemic disease if not recently performed. Echocardiography, eCG and blood pressure if a murmur is later identified, or equivocal cardiomegaly is progressive in recheck images.  Empirical therapy and supportive care in the interim as needed.  Therapy for 1-2 weeks past radiographic resolution of bronchopneumonia.  Monitoring as directed or sooner if clinical signs acutely change, fail to improve or worsen.</t>
  </si>
  <si>
    <t xml:space="preserve">
1.A mild perihilar infiltrate has been identified._x000D_
2.A moderate to severe interstitial to alveolar infiltrate with a mild perihilar infiltrate has been identified._x000D_
3.Pleural fissure lines or moderate to severe pleural effusion has been detected. An overlying skin fold or in an obese animal, excessive pericardial fat could artifactually mimic the result of severe pleural effusion._x000D_
4.Severe cardiomegaly has been detected but Heart Failure is NOT suspected.</t>
  </si>
  <si>
    <t>6 images of the thorax are provided for review.  The cardiovascular structures are normal.  There is a moderate bronchial pattern in all lung lobes.  The mediastinal and pleural structures are normal.  Csophagus is superimposed over the trachea of the caudal cervical region.  Cranial abdominal detail is adequate.  Fat opacity mass is seen in the subcutaneous tissues near the left axilla.</t>
  </si>
  <si>
    <t xml:space="preserve">
1.The cardiac silhouette size is normal._x000D_
2.A severe alveolar pattern and mild perihilar pattern have been detected._x000D_
3.Pleural fissure lines or moderate to severe pleural effusion has been detected. An overlying skin fold or in an obese animal, excessive pericardial fat could artifactually mimic the result of severe pleural effusion.</t>
  </si>
  <si>
    <t>6 images of the thorax and abdomen are provided for review.  The cardiovascular structures are normal.  The lung lobes are retracted from the thoracic wall and gas is present in the pleural space.  Heavy interstitial to early alveolar opacity is present in the right caudal, left caudal, and caudal subsegment of the left cranial lung lobes.  The mediastinal structures are normal.  The diaphragm appears intact.  Abdominal serosal detail is reduced in all quadrants.  The stomach contains a small amount of gas.  The small intestines are normal in size.  Gas and feces are present in the colon.  The urinary bladder is small.  The remaining abdominal organs are normal.</t>
  </si>
  <si>
    <t>Reduced serosal detail concerning for mild free fluid.  Abdominal ultrasound and sampling of fluid may be helpful.  Pneumothorax.  Pulmonary infiltrates concerning for contusions.  Repeat radiographs following thoracocentesis may be helpful to determine the severity of contusions.</t>
  </si>
  <si>
    <t xml:space="preserve">
1.A moderate alveolar pattern has been detected._x000D_
2.MODERATE INTERSTITIAL TO ALVEOLAR PATTERN with PNEUMONIA or ATELECTASIS; MINIMAL DYNAMIC AIRWAY DISEASE._x000D_
3.Based on these AI airway/pulmonary findings, the probability this patient will have clinically detectable respiratory signs is LOW to MEDIUM (25-50%)_x000D_
4.Are respiratory signs present? If YES._x000D_
5.Are respiratory signs present? If NO._x000D_
6.The cardiac silhouette size is normal._x000D_
7.There is no evidence of PERIHILAR INFILTRATE or PLEURAL EFFUSION.</t>
  </si>
  <si>
    <t>3 views of the thorax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Cranial abdominal detail is adequate. There is spondylosis deformans of the thoracic spine.</t>
  </si>
  <si>
    <t>Radiographically normal thorax for a patient of this age.</t>
  </si>
  <si>
    <t xml:space="preserve">Patient Name : Peter Thomas, Date of study: Sep 15, 2023
2 images are provided for review
Canine Thorax (2 Images) - 1 Vd, 1 Lateral
Previous images dated [09/15/2023 Case#2734470] are available for comparison.
</t>
  </si>
  <si>
    <t>Progressive generalized cardiomegaly without congestive heart failure. The enlargement of the aorta may be related to systemic hypertension or less likely aortic stenosis.
An echocardiogram and consultation with a cardiologist is recommended in order to further evaluate this and determine long-term treatment options.</t>
  </si>
  <si>
    <t>Ankush Chaudhari</t>
  </si>
  <si>
    <t xml:space="preserve">
1.Are respiratory signs present? If NO._x000D_
2.There is no evidence of DYNAMIC AIRWAY COLLAPSE or BRONCHIECTASIS or PULMONARY NODULES._x000D_
3.Mild cardiomegaly has been detected but Heart Failure is NOT suspected._x000D_
4.MILD INTERSTITIAL to ALVEOLAR INFILTRATE; MILD PERIHILAR INFILTRATE._x000D_
5.Based on these AI airway/pulmonary findings, the probability of this patient having clinically detectable respiratory signs is MEDIUM (50%)_x000D_
6.Are respiratory signs present? If YES.</t>
  </si>
  <si>
    <t>Nine images are provided:
Images are dated September 16, 2024..
Bones/Joints:
A dens is present.  There is no evidence of atlantoaxial joint subluxation.
The C7-T1 intervertebral disc space is mildly narrowed.  In situ intervertebral disc mineral is suspected at T1-1, T2-3 and T3-4.  Ventral spondylosis deformans is at C7-T1, T4-5, L1-2 , L2-3, L4-5, L5-6, L6-7 and L7-S1.  Lateralized spondylosis deformans superimposes over the ventral portion of the L2-3 intervertebral foramina.  There is no evidence of intervertebral dorsal articulation osteoarthrosis.
Minimal left and mild right coxofemoral joint osteoarthrosis is present.
There is no evidence of medullary sclerosis, osteolysis, endosteal scalloping, or periosteal proliferation.
Soft tissues:  The included paraspinal soft tissues are normal.</t>
  </si>
  <si>
    <t>1. Mild C7-T1 intervertebral disc space narrowing/disc disease versus artifact from positioning/patient conformation.
2. Multifocal cranial thoracic in situ intervertebral disc mineral is suspected, as above.
3. Multifocal ventral and lateral spondylosis deformans, as above.</t>
  </si>
  <si>
    <t>Consider neurologist consultation and MRI for further evaluation if clinical signs fail to improve or worsen in the face of empirical therapy and supportive care.  Monitoring as directed, or sooner if clinical signs acutely change, fail to improve or worsen.</t>
  </si>
  <si>
    <t xml:space="preserve">
1.SEVERE INTERSTITIAL TO ALVEOLAR PATTERN; PLEURAL FISSURE LINES or PLEURAL EFFUSION; MILD BRONCHIAL PATTERN; MILD DYNAMIC AIRWAY DISEASE; PULMONARY NODULE OR FEW NODULES._x000D_
2.Based on these AI airway/pulmonary findings, the probability of this patient having clinically detectable respiratorysigns is HIGH (75%)_x000D_
3.Are respiratory signs present? If YES._x000D_
4.Are respiratory signs present? If NO._x000D_
5.Given this combination of above thoracic findings, a radiologist over read may be beneficial._x000D_
6.The cardiac silhouette size is normal.</t>
  </si>
  <si>
    <t>Opposite lateral and VD thoracoabdominal views are provided. Images are dated 8-19-24 but are indicated by the RDBMS actually having been made 9-16-24._x000D_
_x000D_
There are a few gas-filled small bowel loops, one in the cranial abdomen appear slightly dilated. No foreign bodies identified in the GI tract. There appears to be a slight reduction and retroperitoneal area detail into the lateral views, but this is not appreciated in the first lateral view made. Detail appears slightly reduced in the left cranial quadrant in the second VD view, but this is not appreciated in the first VD view made. The other abdominal organs are all within normal limits._x000D_
The cardiopulmonary structures are unremarkable. No tracheal or esophageal abdomen always identified._x000D_
There is marked narrowing of the intervertebral disc spaces from T10 to T 12, and moderate narrowing at L1-L2. L4-L5 is also suspected to be mildly to moderately narrowed. No destructive endplate changes or soft-tissue swelling are seen.</t>
  </si>
  <si>
    <t>The slight reduction in detail in the cranial abdomen is suspected, possibly involving the retroperitoneal space. These are exceptionally subtle changes, so clinical significance is not definitive but inflammatory/infectious local conditions such as pyelonephritis or pancreatitis should be ruled out._x000D_
_x000D_
No destructive endplate changes indicative of discospondylitis identified, but there is significant displaced narrowing consistent with disc degeneration involving the caudal thoracic and lumbar spine as described.</t>
  </si>
  <si>
    <t>CBC, serum chemistry including pancreatic specific lipase, and urinalysis with reflex culture (if indicated) is recommended._x000D_
_x000D_
Supportive care is recommended. Empiric antibiotic therapy for possible infectious disease is recommended once diagnostic samples of been obtained.</t>
  </si>
  <si>
    <t>ABDOMEN (3 images):
Images are dated September 16, 2024.
Liver: The liver is moderately enlarged with a rounded caudoventral margin extending beyond the level of the 13th ribs, and caudodorsal displacement of the gastric axis.  The left liver is enlarged in the ventrodorsal image, presumably superimposed over the stomach and spleen partially in the left cranial abdomen.  The spleen is caudally displaced from the left cranial abdomen in the ventrodorsal image as a result of hepatomegaly.
Spleen: The spleen is normal in size with smooth margins and homogeneous soft tissue.  The spleen is caudally displaced in the ventrodorsal image.
Kidneys: The left kidney has slightly flat or rounded margins.  The right kidney is partially obscured without obvious enlargement or mineral.
Retroperitoneum: Retroperitoneal detail is adequate.
Urinary bladder/Urethra: The urinary bladder is normal in size, homogeneous soft tissue, and smoothly marginated.
Peritoneum: Peritoneal detail is adequate.
Gastrointestinal tract: The stomach contains a moderate volume of gas.   The stomach is within normal limits for size.
The small intestine contains moderate gas and mild soft tissue material, fluid or is empty with a subjectively uniform population for size. 
The colon contains mild admixed soft tissue material and gas.  The colon is within normal limits for size.  
Musculoskeletal: The included musculoskeletal structures are normal.</t>
  </si>
  <si>
    <t xml:space="preserve">1. Moderate hepatomegaly due to vacuolar change, nodular hyperplasia, hepatitis/cholangiohepatitis, or evolving neoplasia, or unlikely other.
2. Slight to mild left renal margin changes such as from chronic renal disease.
3. Gastrointestinal tract appearance due to recent meal/passing normal ingesta or unlikely gastroenteritis, or other.
- There is no evidence of mechanical ileus.  </t>
  </si>
  <si>
    <t>Consider routine blood work, urine cortisol:creatinine ratio or LDDS testing or ACTH stimulation testing for further evaluation of occult endocrinopathy.  Consider abdominal ultrasonography for further evaluation of the liver, adrenal glands and kidneys.  Consider coagulation testing with possible hepatic tissue sampling depending on results.  Empirical therapy and supportive care in the interim as needed.  Monitoring as directed or sooner if clinical signs acutely change, fail to improve or worsen.</t>
  </si>
  <si>
    <t xml:space="preserve">
1.Mild dynamic airway disease has been detected._x000D_
2.The cardiac silhouette size is normal._x000D_
3.There is no evidence of BRONCHITIS, ALVEOLAR PATTERN, PERIHILAR INFILTRATE, PULMONARY NODULES or PLEURAL EFFUSION.</t>
  </si>
  <si>
    <t>Seven images are provided:
Images are dated September 16, 2024.
Prior images dated May 16, 2017 and previous are available.
Ventrodorsal images contain no labels.
Bones/Joints:
A dens is present.  There is no evidence of atlantoaxial joint subluxation.
Possible narrowing of C5-6 and C6-7 in the ventrodorsal image is not well-identified in the oblique lateral images.
There is no evidence of mineral over the intervertebral foramina.  There is no evidence of intervertebral dorsal articulation osteoarthrosis. L1-2, L4-5 , L5-6 and L6-7 spondylosis deformans is present.  L7 is partially sacralized bilaterally.  
Severe bilateral coxofemoral joint osteoarthrosis is present.
Metal screw fragments are in or medial to the left shoulder joint.
There is no evidence of medullary sclerosis, osteolysis, endosteal scalloping, or periosteal proliferation.
Soft tissues:   The included paraspinal soft tissues are normal.</t>
  </si>
  <si>
    <t>1. Possible C5-6 and C6-7 intervertebral disc space narrowing/disc disease versus artifact/positioning.
2. Severe bilateral coxofemoral joint osteoarthrosis.
3. Left shoulder associated metal screw fragments such as from prior injury/trauma or unknown surgical intervention.</t>
  </si>
  <si>
    <t>Consider neurologist consultation and MRI  of the head/neck for further evaluation of reported head tilt/turn and tetraparesis.  Routine blood work and thoracic/abdominal imaging to screen for occult systemic disease.  Empirical therapy and supportive care as needed in the interim.  Monitoring as directed, or sooner if clinical signs acutely change, fail to improve or worsen.</t>
  </si>
  <si>
    <t xml:space="preserve">
1.Are respiratory signs present? If NO._x000D_
2.The cardiac silhouette size is normal._x000D_
3.There is no evidence of DYNAMIC AIRWAY COLLAPSE or BRONCHIECTASIS._x000D_
4.MINIMAL to MILD DIFFUSE, MIXED BRONCHOINTERSTITIAL PULMONARY PATTERN with ATELECTASIS or less likely, pneumonia._x000D_
5.Probability these AI pulmonary findings will accompany clinically detectable respiratory signs: LOW (25%)_x000D_
6.Are respiratory signs present? If YES.</t>
  </si>
  <si>
    <t>Patient name: Jasper Scofield. Date of study: 9/16/24. Three radiographs of the neck and thorax are available for interpretation. Prior radiographs of the thorax and abdomen dated 8/24/24 are also available with this study. 
Image evaluation: The cranial mediastinum is shifted slightly to left on the VD projection secondary to patient obliquity. 
Neck:
C-spine: On the right lateral projection, dorsal elevation of the dens and increased separation between the dorsal aspect of C1 and C2 is present. The C1-2 separation is less pronounced on the left lateral projection. On the VD projection, the dens appears hypoplastic. This hypoplastic appearance doesn=ZZ91=t persist on the lateral projections.
Faint mineral opacities overlie the C4-5 disc space on the lateral and VD projections. No end-plate or vertebral lysis is noted. The remainder of the cervical disc spaces and vertebrae appear normal.
Shoulders: Mild enthesophyte formation affects the left bicipital region on the VD projection. On the lateral projection time stamped 4:12:04 PM, a mineral opacity overlies the soft tissues cranioventral to the more cranial supraglenoid tubercle but the tubercle appears normal. 
Cranial thorax: On the VD projection, a L: 1.2 cm x W: 1.9 cm oval soft tissue opacity overlies the left cranial aspect of the cardiac silhouette. This opacity appears to overlie the aortic root on the lateral projection time stamped 4:45:15 PM. This oval opacity is not visible on the earlier radiograph time stamped 4:12:04 PM. On all projections, a mild bronchial pattern is present. Primary lobar bronchial dilation is also present on the lateral projection time stamped 4:45:15 PM. 
The cardiac silhouette cannot be fully assessed on the lateral projections but the visible portion of the cardiac silhouette appears tall but is not causing dorsal tracheal elevation. On the VD projection, the left ventricle appears enlarged but rotation of the cardiac silhouette into the left hemithorax due to obliquity could be contributing to this appearance. A focal bulge to the cranial portion of the descending aorta is also noted on the VD projection. The pulmonary vasculature to the caudal lung lobes appears normal.
(amended on 09/16/2024 20:13)
Correction: Based on the prior radiographs, the right heart is rounded, and the CVC appears enlarged.</t>
  </si>
  <si>
    <t>1) C1-2 subluxation with a potential hypoplastic dens. This finding is more significant if neurologic signs are present. 
2) Left cranial thoracic soft tissue opacity which appears to reside within the pulmonary parenchyma. Given the dog=ZZ91=s age, both a benign etiology such as a granuloma or cyst and malignant etiology, primary or metastatic neoplasia, are equal considerations. 
3) Chronic bronchitis with central lobar bronchiectasis compatible with chronic lower airway disease. Chronic lower airway disease could predispose this dog to pulmonary neoplasia. 
4) Left ventricular enlargement suspected. Rule out systemic hypertension.
(amended on 09/16/2024 20:13)
4a) Based on comparison to previous radiographs, right sided cardiomegaly is suspected over left sided enlargement.</t>
  </si>
  <si>
    <t>If the A-A subluxation and hypoplastic dens is not part of the known patient history, neck brace if available for cervical stabilization and cage rest while awaiting neurologist consultation are recommended.
Repeat several VD thoracic radiographs to confirm the presence of a soft tissue oval nodule along several right lateral thoracic radiographs at varying obliquity to try and better define the suspected left cranial lung lobe nodule. Alternatively, a thoracic CT with contrast could be performed. Re-evaluation of the cardiac silhouette on the repeat thoracic radiographs to confirm suspected left ventricular enlargement and/or systemic blood pressure evaluation along with ECG and cardiac ultrasound.
(amended on 09/16/2024 20:13)
Cardiac ultrasound remains the recommendation to further evaluate the cardiomegaly.</t>
  </si>
  <si>
    <t xml:space="preserve">
1.A severe alveolar pattern has been detected._x000D_
2.A concurrent bronchial pattern has been detected._x000D_
3.The cardiac silhouette size is normal._x000D_
4.There is no evidence of PERIHILAR INFILTRATE, DYNAMIC AIRWAY COLLAPSE or BRONCHIECTASIS, PULMONARY NODULES or PLEURAL EFFUSION.</t>
  </si>
  <si>
    <t>WHOLE-BODY (6 radiographs are provided for review). No priors._x000D_
_x000D_
- Along the dorsal surface of the left carpal region, there is a very large, lobular, rounded soft-tissue opaque mass measuring approximately 5.5 x 3.2 cm. There is moderate left carpal joint osteophyte formation, however no lysis is distinctly appreciated._x000D_
- Moderate left elbow joint osteophyte formation._x000D_
- The cardiac silhouette, pulmonary vasculature, pleural space, trachea, mediastinum and remaining intrathoracic structures are normal._x000D_
- The gastrointestinal tract, liver, spleen, kidneys and urinary bladder are normal._x000D_
- Minimal multifocal vertebral spondylosis deformans.</t>
  </si>
  <si>
    <t>1. Large left carpal soft-tissue mass=ZZ90= dorsal surface. Consistent with the reported fibrosarcoma. No distinct evidence of bony osteolysis although early invasion of the carpal joint is not excluded._x000D_
_x000D_
2. Negative examination for evidence of thoracic metastatic neoplasia._x000D_
_x000D_
3. Normal abdomen. _x000D_
_x000D_
4. Moderate left carpal and elbow joint osteoarthrosis</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</si>
  <si>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almost empty._x000D_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Kidneys and urinary bladder WNL._x000D_
_x000D_
Multifocal signs of chronic IVDD.</t>
  </si>
  <si>
    <t>1) Unremarkable thorax without signs of pulmonary metastases nor signs of thoracic lymphadenopathy._x000D_
2) Hepatomegaly: Metabolic vs Vacuolar infiltration vs Hepatic nodular hyperplasia vs Inflammatory vs Toxic vs Neoplastic or a combination of these differentials.</t>
  </si>
  <si>
    <t>Consider abdominal US to further evaluate the liver and causes of lethargy.</t>
  </si>
  <si>
    <t xml:space="preserve">
1.MODERATE BRONCHOINTERSTITIAL PULMONARY PATTERN; MILD DYNAMIC AIRWAY DISEASE; ATELECTASIS or less likely, pneumonia; MINIMAL PERIHILAR INFILTRATE._x000D_
2.Based on the AI airway/pulmonary findings, the probability of this patient having clinically detectable respiratory signs is MEDIUM to HIGH (50%-75%)_x000D_
3.Are respiratory signs present? If YES._x000D_
4.Are respiratory signs present? If NO._x000D_
5.The cardiac silhouette size is normal.</t>
  </si>
  <si>
    <t>Thorax and abdomen. Three radiographs of the thorax (two lateral, one VD) and four radiographs of the abdomen (two lateral, two VD) dated September 16, 2024 are provided.
Cardiac silhouette: The cardiac silhouette is within normal limits of size and shape. The cardiac silhouette is artificially increased in size on the left lateral view, likely a combination of patient rotation and phase of the cardiac cycle.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Gastrointestinal tract: The stomach contains a small volume of gas and fluid and is normal in position. The duodenum is gas-filled on the left lateral and ventrodorsal views and is normal in size. The remainder of the small intestine is soft tissue opaque or contains heterogeneous/granular material. The colon contains loosely formed feces and gas.
Liver: The liver is normal in size and shape.
Spleen: The spleen is normal in size with smooth margins.
Urinary: The kidneys are normal size, shape, and margination. The urinary bladder is normal in size and opacity.
Peritoneal space: There is adequate serosal detail.
Musculoskeletal: The included skeletal and superficial soft tissue structures of the study are within normal limits.</t>
  </si>
  <si>
    <t>1. The gastrointestinal tract is unremarkable. There is no evidence of a mechanical small intestinal obstruction or mineral/metal opaque foreign material. Differentials include nonspecific gastroenteritis and pancreatitis.
2. Normal thorax. There is no evidence of aspiration pneumonia.
3. Given the history of gagging, an oral or laryngeal abnormality are not ruled out.</t>
  </si>
  <si>
    <t>If not already performed, a sedated oral/laryngeal exam would be recommended. Continued medical management and supportive care are recommended in the interim. If clinical signs persist despite treatment, an abdominal ultrasound could be considered.</t>
  </si>
  <si>
    <t xml:space="preserve">
1.MILD INTERSTITIAL to ALVEOLAR INFILTRATE; MILD DYNAMIC AIRWAY DISEASE._x000D_
2.A diffuse, minimal to mild interstitial pulmonary pattern and minimal perihilar infiltrate have been detected._x000D_
3.Based on these AI airway/pulmonary findings, the probability of this patient having clinically detectable respiratory signs is LOW to MEDIUM (25-50%)_x000D_
4.Are respiratory signs present? If YES._x000D_
5.Are respiratory signs present? If NO._x000D_
6.The cardiac silhouette size is normal._x000D_
7.There is no evidence of PULMONARY NODULES.</t>
  </si>
  <si>
    <t>Study:_x000D_
Thoracic radiography: four images dated September 16, 2024_x000D_
_x000D_
Compared to prior study dated August 13, 2024_x000D_
_x000D_
Findings:_x000D_
The cardiac silhouette is normal in size. There is widening of the cranial mediastinum, most pronounced at the heart base, with the impression of mild dorsal deviation of the trachea on both lateral projections. The caudal vena cava is widened on the VD view, similar in severity to the prior examination. The pulmonary parenchyma is unremarkable. The pleural space is normal. The trachea is normal in diameter. The soft palate appears elongated and thickened on the right lateral projection. This finding may be overestimated by pharyngeal contraction. As previously noted, the liver extends mildly beyond the costal arch with smooth and sharp margins. The T 13 vertebra is transitional with bilateral hypoplastic ribs. There is mild multifocal thoracic spondylosis deformans.</t>
  </si>
  <si>
    <t>1. The widening of the cranial mediastinum in addition to the suspected tracheal deviation of the heart base may indicate a heart base mass (e.g. chemodectoma). The possibility of these findings are created by normal breed associated fat deposition cannot be completely excluded. Echocardiography or computed tomography can be considered for further evaluation._x000D_
2. Widening of the caudal vena cava could indicate right-sided heart disease or caval syndrome._x000D_
3. Suspect elongated soft palate. Sedated oropharyngeal/laryngeal can be considered for further evaluation.</t>
  </si>
  <si>
    <t xml:space="preserve">
1.SEVERE INTERSTITIAL TO ALVEOLAR PATTERN; MODERATE BRONCHIAL PATTERN; SEVERE DYNAMIC AIRWAY DISEASE._x000D_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4.Based on these AI airway/pulmonary findings, the probability of this patient having clinically detectable respiratory signs is VERY HIGH (&gt;75%)_x000D_
5.Are respiratory signs present? If YES._x000D_
6.Are respiratory signs present? If NO.</t>
  </si>
  <si>
    <t>Study:_x000D_
Thoracic/abdominal radiography: three images dated September 16,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a small amount of heterogeneous soft tissue material. The pylorus is probably gas-filled on the left lateral image. The small intestines are normal in size, course and content. The colon contains poorly formed fecal material with a normal diameter. The liver and spleen are normal in size and margin. The renal silhouettes are normal in size and shape. The urinary bladder is normal in size and opacity. There is no uterine dilation. The patient has age appropriate open physes in multiple, breed associated, congenitally anomalous thoracic vertebrae.</t>
  </si>
  <si>
    <t>1. Gastric contents likely represent ingesta. Foreign material cannot be completely excluded. There is no evidence of small intestinal mechanical obstruction. Repeat fasted radiography can be considered to ensure gastric emptying. Alternatively, sonography can be considered if clinical signs persist or worsen in spite of medical management._x000D_
2. Normal thorax.</t>
  </si>
  <si>
    <t xml:space="preserve">
1.MILD BRONCHOINTERSTITIAL PULMONARY PATTERN; MILD DYNAMIC AIRWAY DISEASE; ATELECTASIS or less likely, pneumonia._x000D_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PULMONARY NODULES.</t>
  </si>
  <si>
    <t>Orthogonal views of the thorax and abdomen are provided:_x000D_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almost empty._x000D_
Small intestines are mildly gas and fluid filled, not overtly distended. _x000D_
Serosal detail is preserved._x000D_
Liver and spleen are within normal limits of size and smoothly marginated._x000D_
Kidneys and urinary bladder WNL.</t>
  </si>
  <si>
    <t>Do not apply.</t>
  </si>
  <si>
    <t>Two orthogonal radiographs centred on the left antebrachium dated 16th September 2024 are available for review._x000D_
_x000D_
Left antebrachium: There is geographical and moth-eaten lysis of the distal left radius, with lysis of the cranial and caudal and medial cortices. Irregular and sunburst periosteal new bone formation is present. There is poor transition to the normal bone. There is surrounding soft tissues swelling. The included left carpus and distal ulna are normal. There is degenerative modelling of the second and fifth metacarpophalangeal joints.</t>
  </si>
  <si>
    <t>1. Monostotic aggressive mixed lytic and proliferative bone lesion of the distal left radius.  No evidence of pathologic fracture on views provided. Extended transitional zone, cortical destruction, and active periosteal reaction most concerning for primary bone neoplasia (osteosarcoma). An articular neoplasm is considered unlikely.</t>
  </si>
  <si>
    <t>Fine needle aspirate of the lesion or surrounding soft-tissues vs. bone biopsy are recommended for definitive diagnosis. Thoracic radiographs are indicated to evaluate for metastasis given aggressive appearance and age. Consultation with oncology based on results.</t>
  </si>
  <si>
    <t>ABDOMEN (3 images):
Images are dated September 16, 2024.
Liver: The liver is small with cranial dispalcement of the gastric axis.
Spleen: The spleen is normal in size with smooth margins and homogeneous soft tissue.
Kidneys: The left kidney is normal.  The right kidney is obscured without obvious enlargement or mineral.
Retroperitoneum: Retroperitoneal detail is adequate.
Urinary bladder/Urethra: The urinary bladder is partially obscured without obvious enlargement or mineral.
Reproductive:  No obvious evidence of enlargement of uterine horns.
Peritoneum: Peritoneal detail is adequate.
Gastrointestinal tract: The stomach contains a moderate to large volume of gas.   The stomach is within normal limits for size.
The small intestine contains mild gas, soft tissue material and fluid or is empty with a subjectively uniform population for size. 
The colon contains mild to moderate admixed soft tissue material and gas.  The colon is within normal limits for size.  
Musculoskeletal: Few gas foci are in the dorsal extra-thoracic soft tissues.  the right patella is medially luxated in the ventrodorsal image.  The remaining included musculoskeletal structures are normal.</t>
  </si>
  <si>
    <t>1. Non-specific gastrointestinal tract appearance such as from individual variation of normal given reported history or unlikely enteritis or other.
2. Microhepatia versus artifact/individual variation of normal.
- If present, consider occult portosystemic shunt or unlikely other.
3. Right medial patellar luxation.
4. Dorsal extra-thoracic gas such as from recent medication administration.</t>
  </si>
  <si>
    <t xml:space="preserve">Consider urinalysis, urine culture/sensitivity testing and routine blood work for further evaluation.  Consider abdominal ultrasonography for further evaluation of the urinary bladder and kidneys, and to rule out occult/evolving uterine enlargement/possible pyometra. Empirical therapy and supportive care in the interim as needed for suspected cystitis.  Monitoring as directed or sooner if signs fail to improve or worsen.  </t>
  </si>
  <si>
    <t xml:space="preserve">
1.There is no evidence of DYNAMIC AIRWAY COLLAPSE or BRONCHIECTASIS or PULMONARY NODULES._x000D_
2.A minimal to mild bronchointerstitial pulmonary pattern has been detected._x000D_
3.The cardiac silhouette size is normal.</t>
  </si>
  <si>
    <t>6 images of the thorax and abdomen are provided for review and compared with previous images dated 12/2/2022.  The cardiac silhouette remains generally enlarged, similar to previous images..  There is a moderate bronchial pattern in all lung lobes, similar to previous images.  The trachea is mildly narrowed at the thoracic inlet on 1 of the lateral view.  The mediastinal and pleural structures are normal.  Abdominal serosal detail is adequate in all quadrants.  The liver margins are rounded and extend beyond the costal arch, similar to previous images.  The stomach contains a moderate amount of gas.  The small intestines are normal in size.  Gas and feces are present in the colon.  The urinary bladder is small.  A tubular soft tissue structure is seen in the left caudal abdomen lateral to the descending colon on the VD view.  The remaining abdominal organs are normal.  The patellae are medially located.</t>
  </si>
  <si>
    <t>Persistent hepatomegaly.  Possible left sided uterine enlargement based on the VD view.  Abdominal ultrasound may be helpful in further evaluation.  Static generalized cardiomegaly without current evidence of cardiogenic pulmonary edema.  Echocardiography could be considered to rule out pericardial effusion based on the exam findings of muffled heart sounds.  Static bronchial pulmonary pattern consistent with chronic lower airway disease such as bronchitis.  Mild variable tracheal narrowing consistent with previously suspected dynamic tracheal collapse.  Bilateral medial patellar luxations.</t>
  </si>
  <si>
    <t xml:space="preserve">
1.Pleural fissure lines or small volume pleural effusion has been detected. In a mildly to moderately overweight animal, excessive pericardial fat can artifactually mimic the result of mild pleural effusion._x000D_
2.Moderate cardiomegaly has been detected but Heart Failure is NOT suspected._x000D_
3.MODERATE BRONCHOINTERSTITIAL PULMONARY PATTERN; MODERATE DYNAMIC AIRWAY DISEASE; MODERATE ALVEOLAR INFILTRATE or ATELECTASIS._x000D_
4.Based on these AI airway/pulmonary findings, the probability of this patient having clinically detectable respiratory signs is HIGH (75%)_x000D_
5.Are respiratory signs present? If YES._x000D_
6.Are respiratory signs present? If NO.</t>
  </si>
  <si>
    <t>Six radiographs are provided, with images of the thorax, abdomen, pelvic limbs. The cardiac silhouette is normal size and shape. The diaphragm is intact. No rib fractures. There is increased opacity overlying the left lungs but may be due to superimposed extrathoracic tissue. No pleural fluid or gas. Normal proximal thoracic limbs. In the abdomen, mid and caudal peritoneal detail is reduced. The urinary bladder is moderately filled, well delineated, and soft tissue opaque. The gastrointestinal tract is minimally filled. Normal-sized liver, spleen, kidneys. No lumbar spinal abnormalities. There is wispy soft tissue thickening in the caudal ventral extra-abdominal tissues. No definitive abdominal body wall disruption. The sacroiliac and coxofemoral joints are congruent. No pelvic fractures are appreciated. Proximal pelvic limb musculature is symmetric. No stifle joint effusion.</t>
  </si>
  <si>
    <t>1. Thickened caudoventral extra-abdominal tissues consistent with the reported bruising. No definitive abdominal body wall disruption._x000D_
2. Reduced caudal abdominal detail may be due to superimposed bruising. Scant intra-abdominal hemorrhage is not ruled out. No other abdominal abnormalities._x000D_
3. Questionable increased left lung opacity, consider summating normal anatomy versus mild contusions. No other thoracic abnormalities._x000D_
4. No pelvic or proximal pelvic limb abnormalities.</t>
  </si>
  <si>
    <t>Recommend supportive care and a neurologic examination.</t>
  </si>
  <si>
    <t>Thorax: There is a mild diffuse bronchointerstitial pattern.  The cardiac silhouette and pulmonary vasculature are unremarkable.  There is no evidence of lymphadenopathy.  Faint fissure lines are noted.  There is a soft tissue opacity associate with the dorsal aspect of the extrathoracic trachea._x000D_
_x000D_
Neck: There are no abnormalities involving the larynx or pharyngeal region.</t>
  </si>
  <si>
    <t>Diffuse bronchointerstitial pattern which may be age-related or bronchitis._x000D_
_x000D_
Suspect incidental pleural fissure lines however trace pleural effusion cannot definitively be ruled out._x000D_
_x000D_
The soft tissue opacity superimposed over the dorsal aspect of the extrathoracic trachea most likely represents a redundant dorsal tracheal membrane and/or rotational obliquity artifact.</t>
  </si>
  <si>
    <t xml:space="preserve">
1.A mild bronchointerstitial pulmonary pattern and minimal perihilar infiltrate have been detected._x000D_
2.Are respiratory signs present? If NO._x000D_
3.Are respiratory signs present? If NO._x000D_
4.A minimal to mild bronchointerstitial pulmonary pattern has been detected._x000D_
5.The cardiac silhouette size is normal._x000D_
6.MILD BROCHIAL/BRONCHOINTERSTITIAL PULMONARY PATTERN; MINIMAL PERIHILAR INFILTRATE._x000D_
7.MINIMAL INTERSTITIAL PATTERN; MINIMAL PERIHILAR INFILTRATE._x000D_
8.Based on these AI airway/pulmonary findings, the probability of this patient having clinically detectable respiratory signs is LOW (25%)_x000D_
9.Based on these AI airway/pulmonary findings, the probability of this patient having clinically detectable respiratorysigns is LOW (25%)_x000D_
10.Are respiratory signs present? If YES._x000D_
11.Are respiratory signs present? If YES.</t>
  </si>
  <si>
    <t>Opposite lateral and VD views of the thorax and abdomen are provided. There are six images total._x000D_
_x000D_
There is one loop of intestine in the cranial abdomen that is suspected to represent a moderately gas dilated small intestinal loop. Additional gas-filled loops nearby are suspected to be large intestine. There is also one small bowel loop that has a thickened appearance in the cranial abdomen. No foreign objects identified in the GI tract. The stomach is empty and nondistended. Gastric rugal folds are prominent. The liver is at the small end of acceptable size range. The prostate is at the upper end of expected size range with normal shape and smooth margins. The other organs are unremarkable. Serosal detail in the abdomen is normal._x000D_
There is severe bridging spondylosis involving L4-L5. Disc spaces in the thoracolumbar region are narrowed._x000D_
The cardiopulmonary structures are within normal limits. No tracheal or esophageal abnormalities are identified.</t>
  </si>
  <si>
    <t>There is one gas dilated loop of intestine in the cranial abdomen that is suspected to represent abnormal small intestine. One loop also appears thickened, but this could be artifactual. The appearance of the stomach is compatible with gastric inflammation._x000D_
There is potential for a partial obstruction based on the repeatable unusual moderately gas dilated small bowel loop in the cranial abdomen. Follow-up imaging is recommended._x000D_
_x000D_
No thoracic abnormalities identified.</t>
  </si>
  <si>
    <t>Most of the changes are compatible with gastroenteritis, but there is a concerning small bowel loop that warrants follow-up to rule out a partial obstruction with radiolucent foreign material, transient intussusception, or stricture._x000D_
A barium upper GI study or specialist ultrasound is recommended._x000D_
_x000D_
Supportive care and medical management for gastroenteritis/pancreatitis is recommended pending additional diagnostic results.</t>
  </si>
  <si>
    <t xml:space="preserve">
1.The cardiac silhouette size is normal._x000D_
2.There is no evidence of DYNAMIC AIRWAY COLLAPSE or BRONCHIECTASIS or PULMONARY NODULES._x000D_
3.A mild bronchial pattern has been detected.</t>
  </si>
  <si>
    <t>THORAX (2 images):
Images are dated September 16, 2024.
Three additional thorax images are attached to case 2761520, dated the same day.
Prior images dated May 28, 2024 and previous are available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mildly symmetrically widened in the ventrodorsal image, without obvious increased soft tissue in the lateral images.  .
Trachea: The trachea is normal.
Esophagus: The esophagus is not well-identified.
Pleural space: The pleural space is normal.
Musculoskeletal: The included musculoskeletal structures are normal.</t>
  </si>
  <si>
    <t>1. Mild diffuse bronchial pulmonary pattern such as from fibrosis from prior disease, age-related changes, infectious/immune-mediated lower airway disease, inhaled allergen/irritant, or less likely other.
2. Mild cranial mediastinal widening such as from fat deposition, normal variation, or unlikely evolving lymphadenomegaly or evolving mass.</t>
  </si>
  <si>
    <t>Etiology of reported non-specific clinical signs are not definitively identified.  Consider routine blood work for further evaluation. 
 Consider respiratory PCR panel, airway sampling, and fecal analysis for further evaluation of lower airway disease if clinically indicated, such as manifestation of coughing.  Thoracic ultrasonography or computed tomography for further evluation of the mediastinum especially if progressive changes are present in recheck imaging.  Empirical therapy and supportive care in the interim as needed.  Monitoring as directed or sooner if clinical signs acutely change, fail to improve or worsen.</t>
  </si>
  <si>
    <t xml:space="preserve">
1.Are respiratory signs present? If YES._x000D_
2.The cardiac silhouette size is normal._x000D_
3.Are respiratory signs present? If YES._x000D_
4.AI linked bacterial pneumonia treatment in dogs: https://platform.v2.vetology.net/doc/pneumonia-in-dogs-and-cats_x000D_
5.Are respiratory signs present? If NO._x000D_
6.Are respiratory signs present? If NO._x000D_
7.MODERATE INTERSITIAL TO ALVEOLAR PATTERN; MINIMAL PERIHILAR INFILTRATE._x000D_
8.MODERATE INTERSTITIAL TO ALVEOLAR PATTERN; MODERATE BRONCHITIS._x000D_
9.Based on the AI airway/pulmonary findings, the probability of this patient having clinically detectable respiratory signs is MEDIUM to HIGH (50-75%)_x000D_
10.Based on these AI airway/pulmonary findings, the probability of this patient having clinically detectable respiratory signs is MEDIUM (50%)._x000D_
11.Are respiratory signs present? If NO._x000D_
12.Are respiratory signs present? If YES._x000D_
13.PULMONARY NODULES or NODULAR PATTERN; MODERATE INTERSTITIAL TO ALVEOLAR PATTERN._x000D_
14.Based on these AI airway/pulmonary findings, the probability of this patient havingclinically detectable respiratory signs is HIGH (75%)_x000D_
15.The evaluation has a strong suspicion of soft tissue pulmonary nodules or mass lesion being present._x000D_
16.Pleural fissure lines or small volume pleural effusion has been detected. In a mildly overweight animal, excessive pericardial fat can artifactually mimic the result of minimal pleural effusion.</t>
  </si>
  <si>
    <t>Three orthogonal thoracic radiographs dated 16th September 2024 are available for review. There are no previous radiographs available for comparison. _x000D_
_x000D_
Airway findings: The cervical and thoracic trachea have a normal size, outline and position. The carina, tracheal bifurcation and mainstem bronchi are normal. In the right caudal ventral lung region there is a pronounced bronchointerstitial to mild alveolar pattern. A lobar sign with the right caudal lung lobe is present. In the remainder of the lung parenchyma there is a mild diffuse bronchointerstitial opacification._x000D_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Physes are open, consistent with young age._x000D_
_x000D_
Included abdomen: No significant abnormalities are detected.</t>
  </si>
  <si>
    <t>Differentials include tracheobronchitis (kennel cough), viral-bacterial bronchopneumonia, less likely microaspiration or aspiration. Heart worm, long worm is considered unlikely. Fungal pneumonia is considered unlikely.</t>
  </si>
  <si>
    <t>Respiratory workup including CBC, serum chemistry, urinalysis, Baermann faecal testing, 4DX, +/- respiratory panel or fungal testing may be considered. Alternatively, empirical therapy for lower airway disease, empirical deworming, can be considered. If the patient=ZZ91=s signs continue despite supportive care, bronchoscopy/BAL vs. endotracheal wash +/- consultation with an Internist should be considered. Evaluate for upper airway disease as clinically indicated.</t>
  </si>
  <si>
    <t xml:space="preserve">
1.A moderate alveolar pattern has been detected._x000D_
2.The cardiac silhouette size is normal._x000D_
3.There is no evidence of PERIHILAR INFILTRATE or DYNAMIC AIRWAY COLLAPSE or BRONCHIECTASIS.</t>
  </si>
  <si>
    <t>6 views of the thorax and abdomen are submitted for review.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moderate amount of food-like material.  The small bowel is normal in uniform diameter.  Formed stool is noted in the colon.  The liver and spleen are normal in size, shape, and margination.  The bilateral renal silhouettes are within normal limits.  The urinary bladder is unremarkable.  Serosal detail is normal._x000D_
Mild subcutaneous emphysema is noted along the left lateral body wall at the level of the caudal thorax and cranial abdomen.  No rib fractures are seen.  No other osseous abnormalities are noted.</t>
  </si>
  <si>
    <t>Subcutaneous emphysema along the left lateral body wall, consistent with recent trauma._x000D_
Otherwise, radiographically normal thorax and postprandial abdomen.</t>
  </si>
  <si>
    <t>A three-view study of the thorax is provided for interpretation._x000D_
_x000D_
There is moderate heart enlargement. The shape of the heart is consistent with left atrial and left ventricular dilation. VHS = 12.5. There is a slight increase in interstitial lung opacity in the caudal dorsal lung fields relative to the other areas of the lung in the VD view, but this is not appreciated in the other views and is likely mostly due to hypoinflation artifact in the one view._x000D_
Aside from this questionable finding, interstitial lung opacity overall is typical for the age of the patient._x000D_
There is a focal rounded shadow compatible with a small pulmonary mass in the range of 2 1/2 to 3 cm involving the right cranial lung lobe just ventral to the proximal aspect of the lobar bronchus. No tracheal abnormalities are identified. There is widening of the distal esophagus, most visible in the VD view._x000D_
The cranial abdominal organs are unremarkable.</t>
  </si>
  <si>
    <t>There is a large nodule/small mass lesion involving the right cranial lung lobe, seen at the level of the sixth rib just ventral and lateral to the distal trachea. Differentials include primary lung tumor, granuloma, and metastatic neoplasia from a distant site._x000D_
_x000D_
There is moderate left-sided cardiomegaly. Primary differentials include chronic valve disease (especially mitral regurgitation) versus Dilated Cardiomyopathy. The lung pattern overall is not convincing for heart failure. There is a slight increase in caudodorsal lung interstitial opacity, but the appearance is within the limits of hypoinflation artifact and age related change. Slight interstitial edema from very early congestive heart failure still cannot be excluded.</t>
  </si>
  <si>
    <t>The cough is suspected to be associated with the pulmonary mass lesion described at the base of the right cranial lobe. CT or bronchoscopy is recommended for more definitive evaluation._x000D_
_x000D_
The heart disease is suspected to be subclinical at this time, but pimobendan therapy is indicated in this patient due to the severity of cardiomegaly._x000D_
Echocardiography is recommended for more definitive evaluation._x000D_
_x000D_
Recheck radiographs to reassess the lungs is recommended if the cough progresses over the next few weeks.</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</si>
  <si>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3.Are respiratory signs present? If YES._x000D_
4.MILD BRONCHOINTERSTITIAL PULMONARY PATTERN; MINIMAL DYNAMIC AIRWAY DISEASE; ATELECTASIS or less likely, pneumonia._x000D_
5.MILD BRONCHOINTERSTITIAL PULMONARY PATTERN WITH ATELECTASIS or LESS LIKELY, PNEUMONIA, MILD PERIHILAR INFILTRATE._x000D_
6.Based on these AI airway/pulmonary findings, the probability of this patient having clinically detectable respiratory signs is MEDIUM (50%)_x000D_
7.Probability these AI pulmonary findings will accompany clinically detectable respiratory signs: MILD TO MODERATE (25-50%)_x000D_
8.Are respiratory signs present? If YES._x000D_
9.Are respiratory signs present? If NO._x000D_
10.Are respiratory signs present? If NO.</t>
  </si>
  <si>
    <t>Eight images are provided.
Images are dated September 16, 2024.
N.B. Patient signalment is listed as "M/N" but visible testicles are present.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Reproductive:  The prostate gland is slightly prominent and homogeneous soft tissue.
Peritoneum: Peritoneal detail is adequate.
Gastrointestinal tract: The stomach contains a moderate volume of gas.   The suspected pylorus contains soft tissue and gas in the left lateral image.  The stomach is within normal limits for size.
In the mid-ventral to caudal abdomen is a severely enlarged segment of small intestine that contains fluid and gas.  In the left lateral image a segment of intestine in the mid-abdomen contains atypical mineral material and is suspected in one of the enlarged small intestinal segments at the level of L2-3. Other small intestinal segments in the mid-abdomen contain mild gas.
The colon contains minimal heterogeneous soft tissue material and gas.  The colon is within normal limits for size.  
Musculoskeletal: Bilateral coxofemoral joint osteoarthrosis is present. The remaining included musculoskeletal structures are normal.</t>
  </si>
  <si>
    <t xml:space="preserve">1. Severe segmental small intestinal enlargement in the mid- and caudal abdomen with  mineral foreign material suspected.
- This is most likely due to mechanical ileus and foreign material ingestion given reported history.
</t>
  </si>
  <si>
    <t xml:space="preserve">Given provided history describes intermittent vomiting, consider abdominal ultrasonography for further evaluation of the small intestine/pylorus and to confirm mechanical ileus prior to celiotomy.  Alternatively, exploratory celiotomy and enterotomy/gastrotomy for retrieval of material/decompression.  Consider  routine blood work for further evaluation.  Empirical therapy and supportive care in the interim as needed.  </t>
  </si>
  <si>
    <t xml:space="preserve">
1.A moderate interstitial to alveolar pattern has been detected._x000D_
2.The cardiac silhouette size is normal._x000D_
3.There is no evidence of PERIHILAR INFILTRATE, DYNAMIC AIRWAY COLLAPSE or BRONCHIECTASIS or PULMONARY NODULES._x000D_
4.A moderate interstitial pattern has been detected.</t>
  </si>
  <si>
    <t>Study:_x000D_
Spinal thoracic radiography: seven images dated September 16, 2024_x000D_
_x000D_
Findings:_x000D_
There is no intervertebral disc space or foraminal narrowing. There is no evidence of discospondylitis. The spinous processes unremarkable with no evidence of osteolysis. The subcutaneous tissues at the thoracolumbar junction are unremarkable. There is incidental visualization of a factual fold dorsal to the mid thoracic spine. The reported nodular swelling at the level of T12-T 13 is not appreciated radiographically. The cardiac silhouette and pulmonary vasculature are normal in size. The pulmonary parenchyma is unremarkable. The pleural space is normal. There is no intrathoracic lymphadenopathy. The trachea is normal in diameter and course. The liver extends mildly beyond the costal arch with smooth and rounded margins.</t>
  </si>
  <si>
    <t>1. Unremarkable spine and dorsum. As stated above, the reported caudal thoracic subcutaneous swelling is not appreciated radiographically. Consider computed tomography plus/minus tissue sampling for further evaluation._x000D_
2. Normal thorax. There is no radiographic evidence of cardiopulmonary disease or intrathoracic neoplasia._x000D_
3. The generalized hepatomegaly is nonspecific. Rule out metabolic/vacuolar hepatopathy, hyperplasia, hepatitis or infiltrative neoplasia. Sonography can be considered for further evaluation.</t>
  </si>
  <si>
    <t>Orthogonal abdomen views are provided for interpretation and comparison to the previous study dated 8-29-24._x000D_
_x000D_
There is a moderate diffuse bronchointerstitial pulmonary pattern. The lung pattern has progressed slightly relative to the previous study. No alveolar infiltrates are seen. No thoracic lymphadenopathy or pleural effusion is identified. The trachea is unremarkable. There is mild left-sided cardiomegaly, similar appearance to the previous radiographs. VHS = 11.0. The cranial abdomen is unremarkable.</t>
  </si>
  <si>
    <t>There is a moderate bronchointerstitial pattern, suspected to represent bronchitis. Allergic versus infectious causes should be ruled out. Fungal pneumonia would be a less likely possibility but should also be considered._x000D_
_x000D_
There is mild left cardiomegaly, likely secondary to chronic mitral valve insufficiency. This is not expected to be clinically relevant to the presenting complaint of cough. The lung pattern is not suggestive of congestive heart failure at this time.</t>
  </si>
  <si>
    <t>CBC is recommended._x000D_
Infectious bronchitis is the primary differential given the acute onset of cough with the associate lung pattern. Antibiotic therapy may be indicated depending on CBC results and other clinical findings and suspicion.</t>
  </si>
  <si>
    <t xml:space="preserve">
1.Are respiratory signs present? If NO._x000D_
2.MILD to MODERATE BRONCHOINTERSTITIAL PULMONARY PATTERN; MILD DYNAMIC AIRWAY DISEASE; ATELECTASIS or less likely, pneumonia._x000D_
3.Based on these AI airway/pulmonary findings, the probability of this patient having clinically detectable respiratory signs is MEDIUM (50%)_x000D_
4.Are respiratory signs present? If YES._x000D_
5.Pleural fissure lines or small volume pleural effusion has been detected. In a mildly overweight animal, excessive pericardial fat can artifactually mimic the result of minimal pleural effusion._x000D_
6.Mild cardiomegaly has been detected but Heart Failure is NOT suspected.</t>
  </si>
  <si>
    <t>4 images of the thorax are provided for review.  The cardiovascular structures are normal.  There is a mild bronchial pattern in all lung lobes.  The mediastinal and pleural structures are normal.  Cranial abdominal detail is adequate.</t>
  </si>
  <si>
    <t>Airway sampling may be helpful in further evaluation.  Sedated upper airway examination could also be considered to rule out laryngeal paralysis.</t>
  </si>
  <si>
    <t xml:space="preserve">
1.SEVERE ALVEOLAR INFILTRATE; DIFFUSE, MILD BRONCHOINTERSTITIAL PULMONARY PATTERN._x000D_
2.Based on the AI airway/pulmonary findings, the probability of this patient having clinically detectable respiratory signs is VERY HIGH (&gt;75%)_x000D_
3.Are respiratory signs present? If YES._x000D_
4.AI linked canine pneumonia treatment: https://platform.v2.vetology.net/doc/pneumonia-in-dogs-and-cats_x000D_
5.Pleural fissure lines or moderate to severe pleural effusion has been detected. An overlying skin fold or in an obese animal, excessive pericardial fat could artifactually mimic the result of severe pleural effusion._x000D_
6.Mild cardiomegaly has been detected but Heart Failure is NOT suspected._x000D_
7.Are respiratory signs present? If NO.</t>
  </si>
  <si>
    <t>Six orthogonal survey radiographs of the thorax and abdomen dated 16th September 2024 are available for review. There are no previous radiographs available for comparison. These images are submitted for assessment of the thorax._x000D_
_x000D_
Thorax: _x000D_
Airway findings: The cervical and thoracic trachea have a normal size, outline and position. The carina, tracheal bifurcation and mainstem bronchi are normal. On the left caudal dorsal lung field there is a approximately 1.8 cm spherical nodule. Multiple end on blood vessels are visible. The remainder of the lung parenchyma is within normal limits for age._x000D_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There is a large broad-based dependent subcutaneous thoracic mass. Multisite ventral spondylosis deformans is present.</t>
  </si>
  <si>
    <t>1. Single thoracic nodule: This may be a single bronchial adenocarcinoma, single metastasis, abscess or cyst._x000D_
2. Dependent thoracic mass consistent with the reported mast cell tumour.</t>
  </si>
  <si>
    <t xml:space="preserve">
1.MILD BROCHIAL/BRONCHOINTERSTITIAL PULMONARY PATTERN; MINIMAL PERIHILAR INFILTRATE._x000D_
2.Based on these AI airway/pulmonary findings, the probability of this patient having clinically detectable respiratorysigns is LOW (25%)_x000D_
3.Are respiratory signs present? If YES._x000D_
4.Are respiratory signs present? If NO._x000D_
5.The cardiac silhouette size is normal._x000D_
6.There is no evidence of DYNAMIC AIRWAY COLLAPSE or BRONCHIECTASIS.</t>
  </si>
  <si>
    <t>Three orthogonal thoracic radiographs dated 16th September 2024 are available for review. There are no previous radiographs available for comparison. _x000D_
_x000D_
Thorax:_x000D_
Airway findings: The trachea is elevated within the thorax. There is narrowing of the mainstem bronchi. There is widening of the tracheal bifurcation. Throughout the lung parenchyma there is a moderate interstitial opacification, most prominent in the perihilar region. In the right caudal dorsal lung field, there is a mild alveolar pattern. Thin pleural fissure lines are present. No nodules or masses are seen._x000D_
_x000D_
Cardiovascular findings: There is a large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80% of the width of the thoracic volume. The cranial and caudal pulmonary vasculature are prominent. The caudal vena cava is enlarged._x000D_
_x000D_
Mediastinum and pleural space: There is mild ventral soft tissue attenuation consistent with mild pleural effusion._x000D_
_x000D_
Musculoskeletal findings: No significant abnormalities are detected._x000D_
_x000D_
Included abdomen: No significant abnormalities are detected.</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</si>
  <si>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3.Are respiratory signs present? If YES._x000D_
4.AI linked pneumonia in dogs article: https://platform.v2.vetology.net/doc/pneumonia-in-dogs-and-cats_x000D_
5.Are respiratory signs present? If NO._x000D_
6.A mild perihilar infiltrate has been detected._x000D_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t>
  </si>
  <si>
    <t>Study:_x000D_
Thoracic radiography: five images dated September 6, 2024_x000D_
_x000D_
There are two lateral projections of the left elbow also present in the study._x000D_
_x000D_
Findings:_x000D_
_x000D_
Thorax:_x000D_
The cardiac silhouette and pulmonary vasculature are normal in size. The pulmonary parenchyma is unremarkable. The pleural space is normal. There is no intrathoracic lymphadenopathy. The trachea is normal in diameter and course. The included abdomen is unremarkable. The osseous structures included in the thoracic images are unremarkable._x000D_
_x000D_
Left elbow:_x000D_
The left elbow joint is congruent. Anconeal process is probably fused. No degenerative change is present in the elbow. There is an approximately 5 cm soft tissue opaque mass in the subcutaneous tissues caudal to the olecranon. The adjacent olecranon is unremarkable with no evidence of aggressive osseous disease.</t>
  </si>
  <si>
    <t>1. Normal thorax. There is no evidence of pneumonia._x000D_
2. The mass caudal to the left elbow likely represents a hygroma. Neoplasia or an abscess cannot be completely excluded.</t>
  </si>
  <si>
    <t>No further thoracic studies are indicated unless the patient=ZZ91=s respiratory signs recur.</t>
  </si>
  <si>
    <t>THORAX (3 images):
Images are dated September 16, 2024.
Mild respiratory motion artifact in the ventrodorsal image.
Pulmonary parenchyma: A minimal interstitial to slightly alveolar pattern is in the ventral periphery of the cranial subsegment of the left cranial lung lobe, best identified in the ventrodorsal image.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</si>
  <si>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 xml:space="preserve">1. Minimal left cranial lung lobe interstitial to alveolar pulmonary pattern such as from bronchopneumonia/aspiration pneumonia, or less likely evolving hemorrhage, pneumonitis, or least likely atypical neoplasia given patients age, or unlikely other.
2. Minimal diffuse bronchial pulmonary pattern due to fibrosis from prior disease, age-related changes, infectious/immune-mediated lower airway disease, or artifact from respiratory motion.
</t>
  </si>
  <si>
    <t>Empirical therapy and supportive care for possible bronchopneumonia in the interim.  Therapy for 1-2 weeks past radiographic resolution of this subtle finding.  Computed tomography of the thorax if persistent/progressive lesions or clinical signs if the face of empirical therapy/supportive care.  Routine blood work and abdominal imaging to screen for occult systemic disease.  Monitoring as directed or sooner if clinical signs acutely change, fail to improve or worsen.</t>
  </si>
  <si>
    <t>A ventral dorsal and both lateral radiographs of the thorax/abdomen are provided. The cardiac silhouette is normal size on the VD projection. The heart appears relatively larger on lateral views due to incidental dorsoventrally narrowed thoracic cavity. The mainstem bronchi are narrowed. No abnormalities in the pulmonary parenchyma. Round soft tissue density ventral to the tracheal bifurcation on the left lateral view is end-on right main pulmonary artery. The lungs are clear. Fat deposition seen on the left side of the heart on the VD view. Adequate tracheal diameter. No pleural effusion. In the abdomen there is no effusion or organomegaly. The gastrointestinal tract is minimally filled. No radiopaque foreign material. The urinary bladder is minimally filled and soft tissue opaque. Punctate nephroliths are of doubtful clinical significance today. The uterus is not identified. No spinal abnormalities.</t>
  </si>
  <si>
    <t>Mainstem bronchial compression due to thoracic conformation. This is the only abnormality identified that could explain the cough. Although no tracheal abnormalities are appreciated, dynamic collapse remains possible as it may not be imaged on a static radiographic study. No definitive cardiovascular abnormalities are appreciated. A small valvular regurgitant jet can result in a relatively loud murmur. Otherwise normal thorax and abdomen.</t>
  </si>
  <si>
    <t>Recommend an ECG and cranial nerve assessment. Based on lab work results, further investigation with an echocardiogram may be necessary.</t>
  </si>
  <si>
    <t xml:space="preserve">
1.Pleural fissure lines or small volume pleural effusion has been detected. In a mildly overweight animal, excessive pericardial fat can artifactually mimic the result of minimal pleural effusion._x000D_
2.Moderate cardiomegaly has been detected but Heart Failure is NOT suspected._x000D_
3.MODERATE BROCHIAL PATTERN; MODERATE DYNAMIC AIRWAY DISEASE; MILD INTERSTITIAL INFILTRATE with ATELECTASIS or less likely, PNEUMONIA._x000D_
4.Based on these AI airway/pulmonary findings, the probability of this patient having clinically detectabe respiratory signs is MEDIUM (50%)_x000D_
5.Are respirartory signs present? If YES._x000D_
6.AI linked collapsing airway disease in dogs: https://platform.v2.vetology.net/doc/canine-tracheal-collapse-treatment_x000D_
7.Are respiratory signs preesnt? If NO.</t>
  </si>
  <si>
    <t>Study:_x000D_
Thoracic and abdominal radiography: six images dated September 16, 2024_x000D_
_x000D_
Findings:_x000D_
The cardiac silhouette is normal in size and shape. The pulmonary vasculature is normal in size. The pulmonary parenchyma is unremarkable. The pleural space is normal. There is no intrathoracic lymphadenopathy. The trachea is normal in diameter. The abdominal serosal detail is normal. The stomach contains a small volume of gas with the pylorus probably gas-filled on the left lateral image. The small intestines are normal in size, course and content. The colon contains formed fecal material with a normal diameter. The liver and spleen are normal in size and margin. The renal silhouettes are normal in size and shape. The urinary bladder is normal in size and opacity. The osseous structures are unremarkable.</t>
  </si>
  <si>
    <t>1. Unremarkable abdomen. There is no evidence of gastrointestinal foreign material or small intestinal mechanical obstruction. Abdominal sonography can be considered for further evaluation if the vomiting persists or worsens in spite of medical management._x000D_
2. Normal thorax. There is no radiographic evidence of heart disease. Consider echocardiography for further evaluation of the reported heart murmur.</t>
  </si>
  <si>
    <t>A ventral dorsal and both lateral radiographs of the thorax are provided. The cardiac silhouette and pulmonary vessels are normal size. There are no abnormalities in the pulmonary parenchyma. No pleural effusion or intrathoracic lymphadenomegaly. Small volume fat deposition in the cranial mediastinum. Normal tracheal diameter. In the cranial abdomen there are several loops of markedly fluid and gas dilated bowel, similar to the previous images.</t>
  </si>
  <si>
    <t>Normal thorax. Evidence of persistent intestinal obstruction.</t>
  </si>
  <si>
    <t xml:space="preserve">
1.MILD BRONCHIAL PATTERN; NODULAR PULMONARY PATTERN which is likely due to overlying CUTANEOUS NODULES or MINERALIZED COSTOCHONDRAL JUNCTIONS._x000D_
2.Based on the AI airway/pulmonary findings, the probability of this patient having clinically detectable respiratory signs is LOW to MEDIUM (25%-50%)_x000D_
3.The evaluation has come up positive for a pulmonary nodular pattern._x000D_
4.Are respiratory signs present? If NO._x000D_
5.The cardiac silhouette size is normal._x000D_
6.There is no evidence of ALVEOLAR PATTERN, PERIHILAR INFILTRATE or DYNAMIC AIRWAY COLLAPSE or BRONCHIECTASIS._x000D_
7.Are respiratory signs present? If YES.</t>
  </si>
  <si>
    <t>Orthogonal radiographs of the thorax/abdomen are provided. The cardiac silhouette and pulmonary vessels are normal size and shape. There are no abnormalities in the pulmonary parenchyma or pleural space. Small volume fat deposition in the cranial mediastinum. The trachea is normal diameter. In the abdomen peritoneal and retroperitoneal detail is normal. There is scant gas in the stomach. Round soft tissue contour in the cranioventral abdomen on the lateral view is in the pylorus. Small and large bowel are minimally filled. There is no radiopaque foreign material. The liver, kidneys, and spleen are normal size and shape. No radiopaque urolithiasis. Punctate mineral densities overlying the L4-5 intervertebral foramen.</t>
  </si>
  <si>
    <t>The appearance of L4-5 is suggestive of a protruding/extruded intervertebral disc. This is of uncertain significance today. Otherwise normal abdomen and thorax. A reason for anorexia and weight loss is not identified.</t>
  </si>
  <si>
    <t>Recommend palpate for spinal discomfort, neurologic examination, CBC, blood chemistry profile, and supportive care. Depending on patient response and lab work results, further investigation with abdominal ultrasound may be indicated.</t>
  </si>
  <si>
    <t>THORAX (3 views):
Images are dated September 16, 2024.
Pulmonary parenchyma:  In the left lateral image, ill-defined increased soft tissue is suspected in the right cranial lung lobe that is interstitial to alveolar.   There is suspicion that the right cranial lung is small in the left lateral image. This is suspected to be ill-defined interstitial pattern in the right cranial lung over the 5th through 7th intercostal spaces in the ventrodorsal image.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a large volume of gas in the thoracic segment, and moderate gas in the cervical segment.  A tracheal stripe sign is present.  Esophageal enlargement results in ventral displacement of the trachea/carina and pulmonary hilus.  
Pleural space: Ill-defined curvilinear line at the lateral aspect of the right cranial lung over the 5th rib.  The remainder of the pleural space is subjectively normal.
Musculoskeletal: The included musculoskeletal structures are normal.</t>
  </si>
  <si>
    <t>1. Diffuse esophageal enlargement in a young patient with this history is suspicious for congenital megaesophagus, or less likely myasthenia gravis, or other such as heavy metal toxicosis, occult endocrinopathy (hypothyroidism, hypoadrenocorticism, etc.), or idiopathic, or unlikely other.
2. Suspicious for right cranial lung lobe interstitial to alveolar pattern and reduced size, such as from chronic (or chronic-active) pneumonia and lung volume loss, versus atelectasis/bronchial plugging, or less likely other.
3. Minimal diffuse bronchial pattern due to artifact, normal variation, or less likely other.</t>
  </si>
  <si>
    <t>Consider routine blood work, respiratory PCR panel, airway sampling, and abdominal imaging for further evaluation.  Empirical therapy and supportive care in the interim for possible bronchopneumonia and reported clinical signs, as well as esophageal disease (upright feedings, etc.). Internist and/or neurologist consultation may be contributory.  Computed tomography versus repeat radiographs for further evaluation of the thorax.   Monitoring as directed or sooner if clinical signs acutely change, fail to improve or worsen.</t>
  </si>
  <si>
    <t xml:space="preserve">
1.A severe alveolar infiltrate or pulmonary mass has been identified._x000D_
2.Pleural fissure lines or moderate pleural effusion has been detected. An overlying skin fold or in a moderately overweight animal, excessive pericardial fat could artifactually mimic the result of moderate pleural effusion._x000D_
3.The cardiac silhouette size is normal._x000D_
4.There is no evidence of DYNAMIC AIRWAY COLLAPSE or BRONCHIECTASIS.</t>
  </si>
  <si>
    <t>Three radiographs of the thorax, three views of the abdomen, and a lateral view of each proximal thoracic limb are provided. The cardiac silhouette and pulmonary vessels are normal size. Fat deposition separates the heart from the sternum on the lateral views. There is no pleural effusion. Several incidental pulmonary osteomas. Possible redundant dorsal trachealis membrane in the cervical region, of doubtful significance today. No scapular abnormalities. The shoulders and cubital joints are congruent. There is no periarticular osseous remodeling or soft tissue swelling. No osseous lysis or periosteal proliferation._x000D_
_x000D_
In the abdomen formed feces fills the descending colon. The stomach and small bowel are minimally filled. There is no effusion. Normal-sized liver, kidneys, spleen. No radiopaque cystic calculi. Normal coxofemoral joints.</t>
  </si>
  <si>
    <t>Normal thorax, thoracic limbs, abdomen. A reason for lameness is not identified. Soft tissue sprain/strain is most likely. A lateralized intervertebral disc lesion is next on the differential list.</t>
  </si>
  <si>
    <t>Consider supportive care with anti-inflammatories as needed.</t>
  </si>
  <si>
    <t>A ventral dorsal and lateral radiograph of the thorax are provided. Images dated 1/23/24 are available for comparison. No laryngeal abnormalities. Small area of soft tissue thickening dorsal to the larynx is normal cricopharyngeal sphincter. There is scant gas in the cranial cervical esophagus, likely incidental. Tracheal diameter and position are normal. The cardiac silhouette is normal size on the lateral view. The right heart appears prominent on the VD projection due to mild rotation. Pulmonary vessels are normal size. There are no abnormalities in the pulmonary parenchyma. No pleural effusion.</t>
  </si>
  <si>
    <t>Normal thorax. A reason for coughing is not identified. Inhaled irritants/allergens is suspected. Although no tracheal abnormalities are appreciated on this study, dynamic collapse is not definitively ruled out, as it may not be imaged on a static radiographic study.</t>
  </si>
  <si>
    <t>Recommend palpate for evidence of tracheal sensitivity. If the patient does not improve with symptomatic treatment for the cough, airway cytology may be necessary.</t>
  </si>
  <si>
    <t xml:space="preserve">
1.A mild interstitial pattern has been detected._x000D_
2.Minimal cardiomegaly has been detected but Heart Failure is NOT suspected._x000D_
3.There is no evidence of BRONCHITIS, ALVEOLAR PATTERN, PERIHILAR INFILTRATE, DYNAMIC AIRWAY COLLAPSE or BRONCHIECTASIS, PULMONARY NODULES or PLEURAL EFFUSION.</t>
  </si>
  <si>
    <t>Study:_x000D_
Thoracic, abdominal, pelvic and pelvic limb radiography: eight images dated September 16, 2024_x000D_
_x000D_
Findings:_x000D_
There is narrowing of the T7-T8 intervertebral disc space mildly sclerotic endplates and mild spondylosis deformans. The T 13 vertebra is transitional with a hypoplastic rib on the right. The lumbar spine is unremarkable with no apparent intervertebral disc space or foraminal narrowing. There is for coverage of the right femoral head by the acetabulum with associated coxofemoral incongruency. The coverage of the left femoral head by the acetabulum is adequate. The sacroiliac joints are unremarkable. The patella is in the correct anatomic location bilaterally. The degree of soft tissue opacity within the stifle joint spaces appears within normal limits. No degenerative change is present in either stifle. The tarsus and included portion of the pes are unremarkable. The cardiac silhouette and pulmonary vasculature are normal in size. The pulmonary parenchyma is unremarkable. The pleural space is normal. There is no intrathoracic lymphadenopathy. The trachea is normal in diameter and course.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moderately distended._x000D_
_x000D_
A human digit is present in the primary beam on the VD view timestamped 9:24 AM.</t>
  </si>
  <si>
    <t>1. T7-T8 intervertebral disc disease. Neurology consultation and MRI should be considered for further evaluation._x000D_
2. Right hip dysplasia._x000D_
3. Normal thorax._x000D_
4. The urinary bladder distention may be secondary to conscious retention or upper motor neuron disease. The abdomen is otherwise unremarkable.</t>
  </si>
  <si>
    <t>Opposite lateral and VD views of the thorax and abdomen and a VD pelvis view are provided for interpretation. There are seven images total._x000D_
_x000D_
The cardiovascular structures are within normal limits. No pulmonary or pleural abnormalities are seen. No thoracic mass lesions or lymphadenopathy are identified._x000D_
_x000D_
There is severe nephrolithiasis involving both kidneys. This has progressed slightly relative to the previous radiographs made two years ago. The kidneys also appear slightly small, and smaller than they were previously. The liver is at the small end of acceptable size range. The other organs are within normal limits. No mass lesions identified. There is a rounded shadow at the caudal aspect of the stomach in the right lateral view, but this is demonstrated to be part of the stomach in the left lateral view where is filled with gas._x000D_
_x000D_
There is severe bridging spondylosis involving the cranial lumbar spine and mild spondylosis at L5-L6. There is mild chronic remodeling involving the left hip joint. There is severe chronic remodeling involving both stifles. No destructive bone lesions are identified.</t>
  </si>
  <si>
    <t>There is severe bilateral nephrolithiasis, potentially secondary to the historic hypercalcemia._x000D_
Kidney size appears slightly reduced. Chronic kidney disease should be ruled out._x000D_
_x000D_
No evidence of neoplasia or other specific cause for the reported weight loss is identified._x000D_
The thorax is unremarkable.</t>
  </si>
  <si>
    <t>CBC, serum chemistry, and urinalysis is recommended._x000D_
Recurrence of primary hyperparathyroidism should be ruled out if hypercalcemia is still present.</t>
  </si>
  <si>
    <t>A ventrodorsal and right lateral radiograph of the thorax are provided. The cardiac silhouette is normal size and shape. There is a patchy severe interstitial pattern overlying the caudal heart on the lateral view. Suspect focal severe interstitial pattern to the right of the mid and caudal heart on the VD projection. There is no pleural effusion. Well-defined round 0.7 cm soft tissue opacity dorsal to the 4th sternal segment on the lateral view. No other similar contours are appreciated. Osseous structures are unremarkable.</t>
  </si>
  <si>
    <t>1. Caudoventral severe interstitial pattern that is suspected to be bilateral, most consistent with aspiration pneumonia._x000D_
2. Small soft tissue nodular contour overlying the cranioventral thorax may represent superimposed superficial nipple/nodule or neoplastic nodule._x000D_
3. There is no evidence of cardiovascular disease on this study. A small valvular regurgitant jet can result in a relatively loud murmur.</t>
  </si>
  <si>
    <t>Recommend antibiotics for aspiration pneumonia. Consider painting any superficial nipple/nodules with small volume barium paste (or attaching a small radiopaque object such as a paper clip), and repeating the lateral view to determine if the nodular structure is persistent and intrathoracic/extrathoracic.</t>
  </si>
  <si>
    <t xml:space="preserve">
1.Are respiratory signs present? If NO._x000D_
2.The cardiac silhouette size is normal._x000D_
3.A severe alveolar pattern and concurrent, diffuse bronchointerstitial pulmonary pattern have been detected._x000D_
4.Pleural fissure lines or small volume pleural effusion has been detected. In a mildly overweight animal, excessive pericardial fat can artifactually mimic the result of minimal pleural effusion._x000D_
5.The evaluation has detected soft tissue pulmonary nodules._x000D_
6.MODERATE TO SEVERE INTERSTITIAL TO ALVEOLAR PATTERN; PULMONARY NODULES or NODULAR PATTERN; MILD BRONCHITIS._x000D_
7.SEVERE ALVEOLAR INFILTRATE; MILD PERIHILAR PATTERN; MORE DIFFUSE MILD BRONCHOINTERSTITIAL PULMONARY PATTERN._x000D_
8.Based on the AI airway/pulmonary findings, the probability of this patient having clinically detectable respiratorysigns is VERY HIGH (&gt;75%)_x000D_
9.Based on the AI airway/pulmonary findings, the probability of this patient having clinically detectable respiratory signs is HIGH (75%)_x000D_
10.Are respiratory signs present? If YES.</t>
  </si>
  <si>
    <t>5 images of the thorax and abdomen are presented for review.  The cardiovascular structures are normal.  Numerous soft tissue nodules are seen throughout the pulmonary.  No enlarged intrathoracic lymph nodes are seen.  The pleural and mediastinal structures are normal.  Abdominal serosal detail is adequate in all quadrants.  The stomach contains a moderate amount of ingesta and opaque structures.  The small intestines are normal in size.  Gas and feces are present in the colon.  The urinary bladder is small.  The remaining abdominal organs are normal.  Osteophytes present on the femoral necks and acetabular rims bilaterally.  There is spondylosis deformans of the lumbar spine</t>
  </si>
  <si>
    <t>Gastric foreign bodies.  Nodular pulmonary pattern concerning for metastasis.  Bilateral coxofemoral DJD.</t>
  </si>
  <si>
    <t xml:space="preserve">
1.MILD INTERSTITIAL to ALVEOLAR INFILTRATE; MILD PERIHILAR INFILTRATE._x000D_
2.Based on these AI airway/pulmonary findings, the probability of this patient having clinically detectable respiratory signs is MEDIUM (50%)_x000D_
3.Are respiratory signs present? If YES._x000D_
4.Are respiratory signs present? If NO._x000D_
5.The evaluation has come up positive for a pulmonary nodular pattern._x000D_
6.The cardiac silhouette size is normal._x000D_
7.There is no evidence of DYNAMIC AIRWAY COLLAPSE or BRONCHIECTASIS.</t>
  </si>
  <si>
    <t>Six images are provided.
Images are dated September 16, 2024.
Pulmonary parenchyma: A minimal to mild diffuse bronchial pattern is present.  The lobar bronchi are diffusely small in a dorsoventral dimension in the right lateral image.
Pulmonary vasculature: The pulmonary vasculature is subjectively normal in size and tapers in the periphery of the lungs.
Cardiac silhouette: The cardiac silhouette is tall in the lateral images and occupies 2/3 the height of the thorax.  The caudodorsal margin of the cardiac silhouette is flattened.    The cardiac silhouette is rounded in the region of the right atrium (9-11 o'clock position) in the ventrodorsal image.  
Mediastinum: The cranial mediastinum is normal.
Trachea: A soft tissue band superimposes over the dorsal trachea.
Esophagus: The esophagus is not well-identified.
Pleural space: The pleural space is normal.
Liver: The liver is moderately enlarged with a rounded caudoventral margin extending just past the level of the 13th ribs, and caudal displacement of the gastric axis.
Spleen: The spleen is normal in size with smooth margins and homogeneous soft tissue.
Kidneys: Possible mineral over the right kidney in the left lateral image are not well-defined in orthogonal images.  The kidneys are normal in size and shape.  The kidneys are subjectively in a normal position.  
Retroperitoneum: Retroperitoneal detail is adequate.
Urinary bladder/Urethra: The urinary bladder is normal in size, homogeneous soft tissue, and smoothly marginated.
Peritoneum: Peritoneal detail is adequate.
Gastrointestinal tract: The stomach contains a moderate volume of heterogeneous soft tissue admixed with gas.   The stomach is within normal limits for size.
The small intestine contains moderate fluid, minimal soft tissue material and gas, or is empty with a subjectively uniform population for size. 
The colon contains minimal heterogeneous soft tissue material and gas.  The colon is within normal limits for size.  
Musculoskeletal: The included musculoskeletal structures are normal.</t>
  </si>
  <si>
    <t>1. Moderate generalized cardiomegaly such as from myxomatous mitral valvular disease and tricuspid valvular disease versus cor pulmonale/pulmonary hypertension, or less likely other.
- There is no current evidence of left-sided congestive heart failure.
2. Minimal diffuse bronchial pulmonary pattern due to fibrosis from prior disease, age-related changes, mineralization such as from underlying endocrinopathy or calcium:phosophorus imbalance, infectious/immune-mediated lower airway disease, or unlikely other.
3. Transient small lobar bronchi and presumed chondromalacia/dynamic airway disease with dorsal redundant tracheal membrane.
4. Moderate diffuse hepatomegaly due to vacuolar change, nodular hyperplasia, hepatitis/cholangiohepatitis, or evolving neoplasia (primary versus metastatic), or less likely other.
5. Possible right nephroliths versus artifact or adrenal gland mineral, or unlikely other.
- If adrenal mineral is present, consider evolving neoplasia such as adenocarcinoma versus other.
6. Moderate gastric material due to recent meal versus gastritis/delayed gastric emptying, pyloric outflow tract obstruction.  
7. Small intestinal and colon appearance due to non-specific enteritis/colitis, or unlikely evolving mechanical ileus, versus variation of normal/recent bowel movement.</t>
  </si>
  <si>
    <t>Empirical therapy and supportive care in the interim as needed for gastroenteritis.  Consider ultrasonography of the abdomen for further evaluation of the gastrointestinal tract, liver, kidneys and adrenal glands.  Alternatively,  repeat radiographs after 8-12 hours of fasting to monitor for passage of gastric content and improvement versus persistence/progression of small intestinal appearance. Consider gastroscopy versus celiotomy decompression if mechanical ileus is confirmed.  Consider echocardiography and eCG for further evaluation especially if a murmur is identified.  Routine blood work, urinalysis and urine cortisol:creatinine ratio or LDDS testing depending on clinical signs, or if adrenomegaly is identified.  Monitoring with routine thoracic/abdominal radiographs, especially if clinical signs acutely change or worsen.</t>
  </si>
  <si>
    <t xml:space="preserve">
1.MODERATE to SEVERE BRONCHOINTERSTITIAL PULMONARY PATTERN; DYNAMIC AIRWAY COLLAPSE and/or BRONCHIECTASIS; ALVEOLAR INFILTRATE or ATELECTASIS._x000D_
2.Based on these AI airway/pulmonary findings, the probability of this patient having clinically detectable repsiratory signs is VERY HIGH (&gt;75%)_x000D_
3.Are respiratory signs present? If YES._x000D_
4.AI link to canine airway collapse treatment article: https://platform.v2.vetology.net/doc/canine-tracheal-collapse-treatment_x000D_
5.Are respiratory signs present? If NO._x000D_
6.Pleural fissure lines or moderate to severe pleural effusion has been detected. An overlying skin fold or in an obese animal, excessive pericardial fat could artifactually mimic the result of severe pleural effusion._x000D_
7.Moderate cardiomegaly has been detected but Heart Failure is NOT suspected.</t>
  </si>
  <si>
    <t>Three radiographs of the thorax, and four views of the abdomen are provided. The cardiac silhouette is upper normal size for this breed. Pulmonary vessels are normal size. A mild bronchial pattern is present throughout the lungs. Round 1.0 cm soft tissue opacity overlying the right 7th intercostal space on the VD projection is superimposed nipple. There is no pleural effusion. Normal tracheal diameter. Mild degenerative change in both shoulders. Congenital vertebral malformations in the thoracic spine are likely incidental._x000D_
_x000D_
In the abdomen there is a large volume gas in the stomach consistent with aerophagia. Moderate volume formed soft tissue opaque ingesta in the stomach. Small volume gas in the small bowel as well. Formed feces in the distal colon. Normal-sized liver, spleen, left kidney. The right kidney is obscured. No radiopaque cystic calculi. The uterus is not identified. Spondylosis deformans throughout the lumbar spine is likely incidental. Bilateral mild coxofemoral osteoarthritis with subluxation, and bilateral stifle osteoarthritis.</t>
  </si>
  <si>
    <t>Mild bronchial pattern, most likely normal age change. Chronic airway inflammation such as bronchitis could also cause this appearance and is given much lesser consideration in the absence of a chronic cough. Otherwise normal thorax and abdomen. A reason for seizure activity is not identified.</t>
  </si>
  <si>
    <t>Recommend cranial nerve assessment and abdominal ultrasound.</t>
  </si>
  <si>
    <t xml:space="preserve">
1.Are respiratory signs present? If NO._x000D_
2.A mild perihilar infiltrate has been detected._x000D_
3.SEVERE INTERSTITIAL TO ALVEOLAR PATTERN; SEVERE DYNAMIC AIRWAY DISEASE; MILD BRONCHIAL PATTERN._x000D_
4.MODERATE INTERSTITIAL TO ALVEOLAR INFILTRATE; MILD BRONCHIAL PATTERN; MILD PERIHILAR INFILTRATE._x000D_
5.Based on these AI airway/pulmonary findings, the probability of this patient having clinically detectable respiratory signs is VERY HIGH (&gt;75%)_x000D_
6.Based on the AI airway/pulmonary findings, the probability of this patient having clinically detectable respiratory signs is HIGH (75%)_x000D_
7.Are respiratory signs present? If YES._x000D_
8.Are respiratory signs present? If YES._x000D_
9.Are respiratory signs present? If NO._x000D_
10.Pleural fissure lines or moderate to severe pleural effusion has been detected. An overlying skin fold or in an obese animal, excessive pericardial fat could artifactually mimic the result of severe pleural effusion._x000D_
11.Severe cardiomegaly has been detected but Heart Failure is NOT suspected.</t>
  </si>
  <si>
    <t>THORAX (2 images):
Images are dated September 16, 2024.
Pulmonary parenchyma: A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slight soft tissue band superimposes over the dorsal and cranial cervical tracheal segment in the lateral image.
Esophagus: The esophagus is not well-identified.
Pleural space: The pleural space is normal.
Musculoskeletal: The included musculoskeletal structures are normal.</t>
  </si>
  <si>
    <t>1. Moderate diffuse bronchial pulmonary pattern.
- Differential diagnoses include infectious/immune-mediated lower airway disease such as from mycoplasma spp., bordetella spp., parasitism (lung worms), or inhaled allergen/irritant, or unlikely other (fungal agents, etc.), or a combination of these, or less likely fibrosis from prior disease, age-related changes, or unlikely other.
2. Possible redundant dorsal tracheal membrane versus artifact/superimposed normal structures.</t>
  </si>
  <si>
    <t>Consider respiratory PCR panel, airway sampling, and fecal analysis/deworming for further evaluation.  Consider a combination of infectious organisms, and/or concurrent immune-mediated disease or environmental allergen/irritant, or recurrent infection from repeated exposure as etiologies of reported recurrent clinical signs. Tracheoscopy/bronchoscopy/fluoroscopy may be contributory for further evaluation. Abdominal imaging to screen for occult systemic disease, especially if signs continue to reoccur or change/worsen.   Monitoring as directed or sooner if clinical signs acutely change, fail to improve or worsen.</t>
  </si>
  <si>
    <t xml:space="preserve">
1.MILD INTERSTITIAL TO ALVEOLAR INFILTRATE; MINIMAL BRONCHIAL PATTERN; MINIMAL PERIHILAR INFILTRATE._x000D_
2.Based on the AI airway/pulmonary findings, the probability of this patient having clinically detectable respiratory signs is LOW to MEDIUM (25%-50%)_x000D_
3.Are respiratory signs present? If YES._x000D_
4.Are respiratory signs present? If NO_x000D_
5.The cardiac silhouette size is normal._x000D_
6.There is no evidence of PLEURAL EFFUSION.</t>
  </si>
  <si>
    <t>Opposite lateral and ventrodorsal thoracic radiographs (3 images) dated September 16, 2024._x000D_
_x000D_
The cardiac silhouette is normal in size and shape. The pulmonary vasculature and great vessels are within normal limits. The pulmonary parenchyma has mild diffuse bronchointerstitial pulmonary changes. No pulmonary nodules, alveolar infiltrates, or other pathology is detected. The trachea is normal in diameter and course with gas filling its lumen=ZZ90= a horizontal soft tissue band and superimposed with the dorsal half of the cervical trachea on the lateral views represents a superimposed esophagus or a redundant dorsal tracheal membrane=ZZ90= no tracheal collapse is captured in this study. No intrathoracic lymphadenopathy is evident. The pleural space, mediastinum, and diaphragm are normal. There is C6-C7 spondylosis deformans. The liver is unremarkable. A small amount of gallbladder mineral sediment is suspected superimposed with the liver.</t>
  </si>
  <si>
    <t>1. No evidence of pneumonia or tracheal collapse. Note that tracheal collapse is a dynamic process and can be missed on still images._x000D_
2. The bronchointerstitial pulmonary changes may represent age-associated changes of no clinical relevance vs. mild bronchitis.</t>
  </si>
  <si>
    <t>Medical management for the reported pancreatitis and monitoring of respiratory clinical signs._x000D_
Fluoroscopy can be considered to further evaluate for dynamic lower airway collapse.</t>
  </si>
  <si>
    <t>3 views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There is spondylosis deformans of the caudal cervical and thoracic spine.</t>
  </si>
  <si>
    <t>Study:_x000D_
Thoracic radiography: three images dated September 15, 2024_x000D_
_x000D_
Findings:_x000D_
There is moderate to cardiomegaly with increased sternal contact, dorsal deviation of the trachea and moderate to severe left atrial enlargement. The pulmonary vasculature is normal in size. Patient obliquity exaggerates the aortic arch on the VD view. On both lateral projections, but more evident on the left lateral view, there is a 3.7 cm soft tissue opaque mass in the caudodorsal lung fields, partially superimposed with the caudal vena cava and left atrium. The mass is not clearly visualized on the orthogonal view. The pleural space is normal. There is no intrathoracic lymphadenopathy. On the right lateral projection, there is a broad-based soft tissue opaque band superimposed with the cervical trachea lumen representing either a redundant dorsal tracheal membrane or superimposition of the esophagus. The tracheal diameter is normal. There is no apparent lobar bronchi narrowing. The stomach contains heterogeneous soft tissue material presumed to be ingesta. The liver extends beyond the costal arch with smooth margins. There is mild to moderate L1-L2 and L2-L3 intervertebral disc spaces.</t>
  </si>
  <si>
    <t>1. Moderate to severe cardiomegaly without evidence of decompensation. Both mitral and tricuspid valve disease are suspected. Recommend echocardiography and ECG for further evaluation._x000D_
2. Pulmonary mass. Primary pulmonary neoplasia (carcinoma) is prioritized. Computed tomography of the thorax can be considered for further evaluation._x000D_
3. Normal diameter of the trachea does not exclude the possibility of dynamic airway disease. Fluoroscopy can be considered to further evaluate for possible tracheal collapse._x000D_
4. The generalized hepatomegaly is nonspecific. Rule out metabolic/vacuolar hepatopathy, hyperplasia, hepatitis or infiltrative neoplasia. Sonography can be considered for further evaluation.</t>
  </si>
  <si>
    <t xml:space="preserve">
1.Based on these AI airway/pulmonary findings, the probability of this patient having clinically detectabe respiratory signs is MEDIUM (50%)_x000D_
2.Are respirartory signs present? If YES._x000D_
3.AI linked collapsing airway disease in dogs: https://platform.v2.vetology.net/doc/canine-tracheal-collapse-treatment_x000D_
4.Are respiratory signs preesnt? If NO._x000D_
5.MODERATE BROCHIAL PATTERN; MODERATE DYNAMIC AIRWAY DISEASE; MILD INTERSTITIAL INFILTRATE with ATELECTASIS or less likely, PNEUMONIA._x000D_
6.Severe cardiomegaly has been detected but Heart Failure is NOT suspected.</t>
  </si>
  <si>
    <t>3 views of the thorax are provided for review.  The cardiovascular structures are normal.  There is a mild bronchial pattern in all lung lobes.  No pulmonary nodules or enlarged intrathoracic lymph nodes are seen.  The mediastinal and pleural structures are normal.  No esophageal dilation or foreign material is seen.  Cranial abdominal detail is adequate.</t>
  </si>
  <si>
    <t>7 images of the skull and spine are provided for review.  Note that evaluation is limited due to poor positioning.  No fractures, luxation, or aggressive osseous lesions are seen.  The nasal cavity is air filled with normal turbinates.  The tympanic bullae are air filled and thin-walled.  The temporomandibular joints are normal in alignment.  Spinal alignment is normal with no consistently narrowed intervertebral disc spaces.  The liver margins are rounded and extend beyond the costal arch.  The remaining soft tissue structures included are normal.</t>
  </si>
  <si>
    <t>Radiographically normal skull and spine on the views provided.  Sedation or anesthesia may be necessary for well-positioned images for ideal evaluation.  If clinical signs warrant, CT or MRI could also be considered.  Hepatomegaly=ZZ90= this is a nonspecific finding that may be seen with congestion, vacuolar hepatopathy, inflammation, neoplasia, etc.  Abdominal ultrasound may be helpful in further evaluation if biochemically indicated.</t>
  </si>
  <si>
    <t>Opposite lateral and ventrodorsal abdominal radiographs (5 images) dated September 16, 2024. The thoracic images (4 images) are not requested for interpretation._x000D_
_x000D_
_x000D_
The liver measures at the upper limits of normal size and is normal in shape. The splenic head is not included on the VD view. The splenic tail has a focal indentation with minutes caudoventral capsular margin on the. The stomach contains a fair amount of gas and a similar amount of homogeneous soft tissue/fluid content. This soft tissue/fluid resides in the pyloric antrum a gastric body on all of the lateral views. The gastric rugal folds are prominent in appearance. The stomach is not completely included on the VD view. The duodenum is not traceable. The remaining small bowel is empty aside from a small amount of gas and has a normal course. The cecum contains gas. The colon contains a scant amount of unremarkable stool mixed with gas. Both kidneys are normal in size and shape. The urinary bladder is moderately distended with homogeneous fluid opacity. There is no evidence of uterine distention. Retroperitoneal and peritoneal detail are normal. No regional lymphadenopathy is evident._x000D_
Both hips are incongruent with reduced acetabular coverage and moderate left and severe right periarticular bony remodeling. The sacroiliac joints, remaining pelvic bones, and trochanters are normal. There is thoracolumbar spondylosis without disc space narrowing.</t>
  </si>
  <si>
    <t>1. The appearance of the stomach is suggestive of gastritis/gastroenteritis. The homogeneously soft tissue/fluid opaque material in the stomach is suspected to represent fluid pooling from a functional gastric stasis. Clinically significant foreign material cannot be completely ruled out._x000D_
2. No evidence of constipation._x000D_
3. Focal indentation within the splenic tail is likely finding related to the patient=ZZ91=s anatomy. A nodule (benign or malignant) cannot be completely ruled out but is less likely._x000D_
4. Bilateral hip dysplasia with osteoarthritis.</t>
  </si>
  <si>
    <t>Supportive care with fluid rehydration, antiemetics, gastroprotectants/omeprazole, and bland diet.  General health profile (CBC, chemistry, UA, fecal) +/- spec cPL and baseline cortisol to screen for underlying causes. _x000D_
Gastric ultrasound, upper G.I. barium study (5 ml/kg PO or via NG tube), or repeat abdominal radiographs after 12 hours NPO food and 4 hours NPO water could be considered to further workup gastric content.
(amended on 09/16/2024 08:52)
With the anemia and azotemia, abdominal ultrasound, UA/culture, and internal medicine consultation for anemia workup is indicated. Coagulation testing and manual platelet count, and 4Dx.</t>
  </si>
  <si>
    <t>3 views of the thorax are reviewed and compared to a 3 view study made September 6, 2024._x000D_
In the current study, the cardiac silhouette is normal in shape and subjectively normal to slightly small in size.  The pulmonary vasculature is not large.  A moderate to severe bronchial pattern is noted throughout the lung fields, primarily mid to caudal dorsal lung fields.  A focal, ventrally distributed alveolar pattern with mild air bronchogram formation is noted in the region of the right middle lung lobe.  No pleural effusion is noted.  No definitive evidence of intrathoracic lymphadenopathy is noted.  The trachea is normal in diameter._x000D_
No abnormalities are seen in the visible abdomen or skeletal structures._x000D_
Compared to the previous study, the pulmonary pattern appears similar although mildly improved.</t>
  </si>
  <si>
    <t>Generalized moderate to severe bronchial pattern with focal, ventrally distributed alveolar pattern in the right middle lung lobe.  This is most consistent with a generalized inflammatory process as with bacterial or possibly fungal bronchopneumonia.  The ventrally distributed alveolar pattern in the right middle lung lobe would be more consistent with opportunistic bacterial pneumonia or aspiration.  Immune mediated inflammatory disease cannot be definitively excluded.</t>
  </si>
  <si>
    <t>Fungal titers and/or a urine antigen histoplasmosis test could be considered.  Lower airway sampling with transtracheal wash or BAL could also be considered.  Otherwise, continued aggressive antibiotic therapy may be helpful.</t>
  </si>
  <si>
    <t xml:space="preserve">
1.SEVERE INTERSTITIAL TO ALVEOLAR PATTERN; SEVERE BRONCHIAL PATTERN; MODERATE DYNAMIC AIRWAY DISEASE._x000D_
2.Based on these AI airway/pulmonary findings, the probability of this patient having clinically detectable respiratory signs is VERY HIGH (&gt;75%)_x000D_
3.Are respiratory signs present? If YES._x000D_
4.Are respiratory signs present? If NO._x000D_
5.A moderate perihilar infitlrate has been detected._x000D_
6.The evaluation has a strong suspicion of pulmonary nodules or mass lesion being present._x000D_
7.The cardiac silhouette size is normal._x000D_
8.Pleural fissure lines or moderate to severe pleural effusion has been detected. An overlying skin fold or in an obese animal, excessive pericardial fat could artifactually mimic the result of severe pleural effusion.</t>
  </si>
  <si>
    <t>Study:_x000D_
Thoracic radiography: three images dated September 15, 2024_x000D_
_x000D_
Findings:_x000D_
The cardiac silhouette is normal in size and shape. The pulmonary vasculature is normal in size. The pulmonary parenchyma is unremarkable. No pulmonary nodules or masses are present. The pleural space is normal. There is no apparent intrathoracic lymphadenopathy. The trachea is normal in diameter. The stomach contains unstructured heterogeneous soft tissue material presumed to be ingesta. As noted in the abdominal study dated September 12, there is a large soft tissue opaque mass in the mid-ventral abdomen with mild adjacent effusion. The osseous structures are unremarkable.</t>
  </si>
  <si>
    <t>1. Unremarkable thorax. There is no radiographic evidence of pulmonary metastatic disease._x000D_
2. Mid abdominal mass. As in the prior report, a splenic mass is prioritized. Rule out neoplasia, hyperplasia or hematoma. A pedunculated liver origin cannot be completely excluded._x000D_
3. Mild nonspecific peritoneal effusion, concerning for a hemoabdomen given the presumed splenic mass.</t>
  </si>
  <si>
    <t>Abdominal sonography can be considered for further staging/surgical planning.</t>
  </si>
  <si>
    <t>8 images of the thorax are presented for review.  The cardiovascular structures are normal.  The pulmonary vasculature is normal in size.  Patchy interstitial to alveolar opacity is present in all lung lobes.  On the lateral views, there appears to be an soft tissue nodules in the cranial thorax.  No enlarged intrathoracic lymph nodes are seen.  The pleural and mediastinal structures are normal.  Cranial abdominal detail is adequate.</t>
  </si>
  <si>
    <t>Diffuse mixed interstitial to alveolar pulmonary pattern with concerns for additional pulmonary nodules.  Primary consideration is given to neoplasia with secondary hemorrhage or pulmonary edema.  Other possibilities include pneumonia or ARDS/SIRS.</t>
  </si>
  <si>
    <t>A thoracic CT and airway sampling could be considered versus empiric therapy (diuretic, bronchodilator, antibiotic, etc.).</t>
  </si>
  <si>
    <t xml:space="preserve">
1.A moderate to severe interstitial to alveolar infiltrate with a mild perihilar infiltrate has been identified._x000D_
2.Pleural fissure lines or small volume pleural effusion has been detected. In a mildly overweight animal, excessive pericardial fat can artifactually mimic the result of minimal pleural effusion._x000D_
3.Moderate cardiomegaly has been detected but Heart Failure is NOT suspected.</t>
  </si>
  <si>
    <t>Four images are provided.
Images are dated September 15, 2024.
Bones/Joints:
A dens is present.  There is no evidence of atlantoaxial joint subluxation.  In situ intervertebral disc mineral is at C4-5.
There is no evidence of intervertebral disc space narrowing, or mineral over the intervertebral foramina.  There is no evidence of intervertebral dorsal articulation osteoarthrosis.
There is no evidence of medullary sclerosis, osteolysis, endosteal scalloping, or periosteal proliferation.
Soft tissues:  The included paraspinal soft tissues are normal.</t>
  </si>
  <si>
    <t>1. C4-5 in situ intervertebral disc mineral.
2. No obvious evidence of  intervertebral disc space narrowing/disc disease, but this does not rule out non-mineralized disc herniation versus other.</t>
  </si>
  <si>
    <t>Consider neurologist consultation and MRI for further evaluation of the spine.  Consider focused radiographs of the proximal or distal right pelvic limb with comparison images of the left for further evaluation of possible pain reported. Empirical therapy and supportive care in the interim as needed.  Monitoring as directed or sooner if clinical signs acutely change, fail to improve or worsen.</t>
  </si>
  <si>
    <t xml:space="preserve">
1.The cardiac silhouette size is normal._x000D_
2.There is no evidence of BRONCHITIS, ALVEOLAR PATTERN, PERIHILAR INFILTRATE, DYNAMIC AIRWAY COLLAPSE or BRONCHIECTASIS or PULMONARY NODULES._x000D_
3.A mild interstitial pattern has been detected.</t>
  </si>
  <si>
    <t>THORAX (3 images):
Images are dated September 15, 2024.
Left lateral and ventrodorsal images exclude the cranial thorax.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slight soft tissue band and narrowing of the tracheal lumen is suspected at the level of T1-2.  The trachea is narrowed in a dorsoventral dimension in the left lateral image.
Esophagus: The cervical esophagus contains mild gas.  The thoracic esophagus is not well-identified.
Pleural space: The pleural space is normal.
Musculoskeletal: The included musculoskeletal structures are normal.</t>
  </si>
  <si>
    <t>1. Suspected dynamic tracheal narrowing and redundant tracheal membrane, or unlikely artifact from positioning/technique or other.
- Underlying bronchial collapse/chondromalacia is not identified in this examination.
2. Mild diffuse bronchial pulmonary pattern such as from infectious/immune-mediated lower airway disease (mycoplasma spp., bordetella spp., parasitism, or other), inhaled allergen/irritant, fibrosis from prior disease, or unlikely other.
3. No obvious esophageal foreign material is identified.</t>
  </si>
  <si>
    <t>Consider respiratory PCR panel, airway sampling, and empirical deworming/fecal analysis for further evaluation.  Tracheoscopy/bronchoscopy and airway sampling may be contributory for further evaluation.  Empirical therapy and supportive care in the interim as needed.  Monitoring as directed or sooner if clinical signs acutely change, fail to improve or worsen.</t>
  </si>
  <si>
    <t>5 images of the thorax are provided for review.  A small bulge is present in the region of the left atrium.  Increased bronchial markings are present in all lung lobes.  No perihilar pulmonary infiltrates are seen.  The pulmonary vasculature is normal in size.  The mediastinal and pleural structures are normal.  The trachea is uniform in diameter.  Cranial abdominal detail is adequate.</t>
  </si>
  <si>
    <t>Moderate bronchial pulmonary pattern=ZZ90= consider bronchitis, response to inhaled irritants, response to circulating parasites, eosinophilic bronchopneumopathy.  Airway sampling may be helpful in further evaluation.  Mild left atrial enlargement without current evidence of cardiogenic pulmonary edema.  Echocardiography may be helpful in further staging.</t>
  </si>
  <si>
    <t xml:space="preserve">
1.There is no evidence of BRONCHITIS, PULMONARY NODULES or PLEURAL EFFUSION._x000D_
2.A minimal perihilar infiltrate has been detected._x000D_
3.Mild cardiomegaly has been detected but Heart Failure is NOT suspected.</t>
  </si>
  <si>
    <t>Orthogonal views of the thorax and abdomen are provided:_x000D_
_x000D_
Thorax:_x000D_
_x000D_
Cardiac silhouette shows a mild enlargement of the left atrium dorsally displacing the carina._x000D_
Pulmonary vessels are within normal limits of size and shape._x000D_
Pulmonary parenchyma is within normal limits. _x000D_
Pleural space, mediastinum, diaphragm and thoracic wall within normal limits._x000D_
_x000D_
Abdomen:_x000D_
_x000D_
There is abdominal distension due to enlargement ot he uterine horns._x000D_
The stomach is empty._x000D_
Small intestines are mildly gas and fluid filled, not overtly distended. _x000D_
Serosal detail is preserved._x000D_
Liver extends beyond the costal arch with sharp margins._x000D_
Spleen is within normal limits of size and smoothly marginated._x000D_
Kidneys and urinary bladder WNL._x000D_
_x000D_
T12-T13 and L1-L2 IVDS are narrow._x000D_
Bilateral hip dysplasia with mild periarticular osteophytosis.</t>
  </si>
  <si>
    <t>1) Left atrial enlargement secondary to chronic mitral endocardiosis without signs of CHF._x000D_
2) Hepatomegaly: Metabolic vs Vacuolar infiltration vs Hepatic nodular hyperplasia vs Inflammatory vs Toxic vs Neoplastic or a combination of these differentials._x000D_
3) Enlarged uterine horns most consistent with pyometra. Other less likely differentials would include mucometra/hemometra vs early gestation.</t>
  </si>
  <si>
    <t>Consider a cardiology consultation with ECG and echocardiogram and abdominal US to further evaluate the uterus along with urinary tract with renal function test, urinalysis, UPC and urine culture, also evaluating the liver, prior to an exploratory laparotomy.</t>
  </si>
  <si>
    <t xml:space="preserve">
1.A minimal interstitial pulmonary pattern with a concurrent, mild perihilar infiltrate have been detected._x000D_
2.Mild cardiomegaly has been detected but Heart Failure is NOT suspected._x000D_
3.There is no evidence of ALVEOLAR PATTERN, DYNAMIC AIRWAY COLLAPSE or BRONCHIECTASIS or PULMONARY NODULES.</t>
  </si>
  <si>
    <t>Orthogonal views of the thorax and abdomen are provided:_x000D_
_x000D_
Thorax:_x000D_
_x000D_
No evidence of tracheal collapse._x000D_
Cardiac silhouette shows a severe enlargement of the left atrium dorsally displacing the carina._x000D_
Pulmonary vessels are within normal limits of size and shape._x000D_
Pulmonary parenchyma is within normal limits. _x000D_
Pleural space, mediastinum, diaphragm and thoracic wall within normal limits._x000D_
_x000D_
Abdomen:_x000D_
_x000D_
The stomach is filled with food._x000D_
Small intestines are mildly gas and fluid filled, not overtly distended. _x000D_
Serosal detail is preserved._x000D_
Liver and spleen are within normal limits of size and smoothly marginated._x000D_
Kidneys and urinary bladder WNL.</t>
  </si>
  <si>
    <t>1) Lack of visualization of tracheal collapse does not exclude this differential (especially taking into account the breed). Unremarkable lungs do not exclude a bronchitis of allergic vs inflammatory/infectious or parasitic origin. _x000D_
2) Left atrial enlargement secondary to chronic mitral endocardiosis without signs of CHF. Rule out concomitant tricuspid endocardiosis with pulmonary hypertension._x000D_
3) Unremarkable abdomen.</t>
  </si>
  <si>
    <t>Consider a cardiology consultation with ECG and echocardiogram prior to a fluoroscopy (followed by tracheobronchoscopy, BAL and culture/cytology)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If negative, consider empirical treatment for chronic bronchitis.</t>
  </si>
  <si>
    <t xml:space="preserve">
1.Are respiratory signs present? If NO._x000D_
2.Are respiratory signs present? If YES._x000D_
3.MILD to MODERATE BRONCHOINTERSTITIAL PATTERN; MILD DYNAMIC AIRWAY DISEASE._x000D_
4.Based on these AI airway/pulmonary findings, the probability of this patient having clinically detectable respiratory signs is MEDIUM (50%)_x000D_
5.A minimal perihilar infiltrate has been detected._x000D_
6.Severe cardiomegaly has been detected but Heart Failure is NOT suspected.</t>
  </si>
  <si>
    <t>Three radiographs of the thorax/abdomen are provided. There is equivocal prominence of the left atrium. Cardiac to thoracic ratio is normal. Narrowed mainstem bronchus on the right lateral view. There are mild bronchial markings in the caudodorsal lungs. No pleural effusion. Tracheal diameter is adequate. There is no esophageal dilation or pleural effusion. In the abdomen the urinary bladder is distended and soft tissue opaque. The uterus is not definitively seen. Formed feces fills the distal colon. The proximal colon and cecum are gas dilated. The stomach and small bowel are minimally filled. Normal-sized liver, spleen, left kidney. The right kidney is obscured by bowel loops. No osseous abnormalities.</t>
  </si>
  <si>
    <t>1. Bronchial markings in the caudodorsal lungs may be normal age change and/or airway inflammation such as allergic bronchitis._x000D_
2. Narrowed mainstem bronchus. This could also be contributing to respiratory signs. There is no evidence of tracheal collapse, however is not definitively ruled out, as it may not imaged on a static radiographic study._x000D_
3. Equivocal prominent left atrium consistent with acquired mitral valve disease. This is of doubtful clinical significance today._x000D_
4. Normal abdomen.</t>
  </si>
  <si>
    <t>Recommend visual inspection of the oropharyngeal/laryngeal region and palpation for tracheal sensitivity. This patient may benefit from utilization of a body harness in place of a neck lead and symptomatic treatment for the cough.</t>
  </si>
  <si>
    <t xml:space="preserve">
1.The evaluation has detected soft tissue pulmonary nodules._x000D_
2.Pleural fissure lines or small volume pleural effusion has been detected. In a mildly to moderately overweight animal, excessive pericardial fat can artifactually mimic the result of mild pleural effusion._x000D_
3.Moderate cardiomegaly has been detected but Heart Failure is NOT suspected._x000D_
4.SEVERE INTERSTITIAL TO ALVEOLAR INFILTRATE; CONCURRENT MODERATE BRONCHIAL PATTERN and MILD DYNAMIC AIRWAY DISEASE._x000D_
5.MODERATE TO SEVERE INTERSTITIAL TO ALVEOLAR PATTERN; MODERATE BRONCHITIS; MILD NODULAR PULMONARY PATTERN._x000D_
6.Based on these AI airway/pulmonary findings, the probability of this patient having clinically detectable respiratory signs is HIGH (75%)_x000D_
7.Based on the AI airway/pulmonary findings, the probability of this patient having clinically detectable respiratorysigns is VERY HIGH (&gt;75%)_x000D_
8.A severe alveolar pattern and concurrent, diffuse bronchointerstitial pulmonary pattern have been detected._x000D_
9.Are respiratory signs present? If YES._x000D_
10.Are respiratory signs present? If NO.</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</si>
  <si>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limits._x000D_
_x000D_
Abdomen:_x000D_
_x000D_
The stomach is empty._x000D_
Small intestines show an irregular rock in the central abdomen without evidence of segmental dilation of the small intestines oral to the foreign body. No signs of mechanical ileus._x000D_
Serosal detail is preserved._x000D_
Liver and spleen are within normal limits of size and smoothly marginated._x000D_
Kidneys and urinary bladder WNL.</t>
  </si>
  <si>
    <t>1) Unremarkable thorax without signs of pneumonia._x000D_
2) Small intestinal rock without signs of complete mechanical ileus. However a partial or early mechanical ileus is not excluded.</t>
  </si>
  <si>
    <t>Consider abdominal US to better evaluate these changes, the GI tract/peritoneum and its correlation with the reported leukocytosis, vomition hyporexia and lethargy,  prior to establish a plan.</t>
  </si>
  <si>
    <t>Six images are provided.
Images are dated September 14, 2024.
Ungloved human digits in primary beam.
Pulmonary parenchyma: Numerous well-defined, small, round soft tissue nodules are present throughout the lungs.  A minimal to mild diffuse bronchial pattern is present.
Pulmonary vasculature: The pulmonary vasculature is subjectively normal in size and tapers in the periphery of the lungs.
Cardiac silhouette: The cardiac silhouette is normal in size and shape.
Mediastinum: Subtle increased, rounded soft tissue is suspected just cranial and ventral to the cardiac silhouette in the lateral images.  This is suspected to round the caudal and left lateral margin of the mediastinum in the ventrodorsal image, possibly exacerbated by obliquity.
Trachea: The trachea is normal.
Esophagus: The esophagus is not well-identified.
Pleural space: The pleural space is normal.
Liver: The liver is subjectively normal in size.
Spleen: The spleen is normal in size with smooth margins and homogeneous soft tissue.
Kidneys: The kidneys are not well-identified but no obvious enlargement or mineral is present.
Retroperitoneum: Retroperitoneal detail is adequate.
Urinary bladder/Urethra: The urinary bladder is normal in size, homogeneous soft tissue, and smoothly marginated.
Peritoneum: Peritoneal detail is adequate.
Gastrointestinal tract: The stomach contains a moderate admixed soft tissue and gas.   The stomach is within normal limits for size.
The small intestine contains mild to moderate admixed soft tissue material and gas, or is empty with a subjectively uniform population for size. 
The colon contains minimal soft tissue material and gas.  The colon is segmentally moderately spastic. The colon is within normal limits for size.  
Musculoskeletal: Bilateral  severe elbow osteoarthrosis is present.  A soft tissue nodule arises from the right caudoventral extra-abdominal soft tissues, superimposing over the prepuce in the left lateral image.  The remaining included musculoskeletal structures are normal.</t>
  </si>
  <si>
    <t>1. Numerous small pulmonary soft tissue nodules.
- Differential diagnoses include metastatic neoplasia from an occult primary, or unlikely granulomatous/fungal pneumonia such as from blastomycosis spp., coccidiomycosis spp., or other.
2. Cranial mediastinal widening such as from evolving lymphadenomegaly (cranial mediastinal or  less likely sternal) versus primary mass, or less likely artifact or  cardiac associated mass or other.
- If lymphadenomegaly is present, metastatic/multicentric neoplasia is considered most likely.
3. Minimal to mild diffuse bronchial pulmonary pattern.
- Differential diagnoses include infectious/immune-mediated lower airway disease (such as from mycoplasma spp. lung worms, bordetella spp., parasitism such as lung worms or other), or unlikely inhaled allergen/irritant.
4. Right caudoventral extra-abdominal soft tissue nodule is consistent with reported history.
- Differential diagnoses include neoplasia (such as from a primary soft tissue sarcoma or mammary carcinoma or less likely metastatic disease from occult primary), or less likely dermatitis such as from systemic fungal disease, or unlikely other.
5. Bilateral severe elbow osteoarthrosis.</t>
  </si>
  <si>
    <t>Consider computed tomography of the thorax for further evaluation of the pulmonary nodules and cranial mediastinum.   Consider routine blood work, coagulation testing and tissue sampling depending on results.  Abdominal ultrasonography may be contributory. Oncologist consultation depending on results.  Fungal serology may be contributory if the patient has an appropriate travel/exposure history.  Empirical therapy and supportive care in the interim as needed.  Monitoring as directed, or sooner if clinical signs acutely change, fail to improve or worsen.</t>
  </si>
  <si>
    <t xml:space="preserve">
1.A mild bronchial pattern has been detected._x000D_
2.The cardiac silhouette size is normal._x000D_
3.There is no evidence of ALVEOLAR PATTERN, PERIHILAR INFILTRATE or DYNAMIC AIRWAY COLLAPSE or BRONCHIECTASIS.</t>
  </si>
  <si>
    <t>3 views of the thorax are provided for review.  The cardiovascular structures are normal.  There is a moderate bronchial pattern in all lung lobes.  The mediastinal and pleural structures are normal.  Cranial abdominal detail is adequate.  There is spondylosis deformans of the thoracolumbar spine.</t>
  </si>
  <si>
    <t xml:space="preserve">
1.The cardiac silhouette size is normal._x000D_
2.There is no evidence of ALVEOLAR PATTERN or DYNAMIC AIRWAY COLLAPSE or BRONCHIECTASIS._x000D_
3.A minimal perihilar infiltrate has been detected._x000D_
4.A minimal bronchial pattern has been detected.</t>
  </si>
  <si>
    <t>Orthogonal views of the thorax are provided:_x000D_
_x000D_
Thorax:_x000D_
_x000D_
Cardiac silhouette has a normal shape and size._x000D_
Pulmonary vessels are within normal limits of size and shape._x000D_
Pulmonary parenchyma shows a solitary irregularly shaped mass craniodorsally located in the right caudal lung lobe. No evidence of concomitant pulmonary nodules/masses. A pulmonary bulla is seen in the left caudal lung lobe._x000D_
Pleural space, mediastinum, diaphragm and thoracic wall within normal limits.</t>
  </si>
  <si>
    <t>1) Solitary pulmonary mass in the right caudal lung lobe most consistent with a solitary primary pulmonary neoplasia vs other differentials such as solitary pulmonary metastatic nodule, granuloma, abscess or hamartoma are less likely. Incidental pulmonary bulla in the left caudal lung lobe.</t>
  </si>
  <si>
    <t>Consider a CT of the thorax to completely rule out concomitant metastases and US guided FNAs of the mass.</t>
  </si>
  <si>
    <t xml:space="preserve">
1.A moderate interstitial to alveolar pattern has been detected._x000D_
2.The cardiac silhouette size is normal._x000D_
3.There is no evidence of PERIHILAR INFILTRATE or DYNAMIC AIRWAY COLLAPSE or BRONCHIECTASIS._x000D_
4.Pleural fissure lines or moderate pleural effusion has been detected. An overlying skin fold or in a moderately overweight animal, excessive pericardial fat could artifactually mimic the result of moderate pleural effusion.</t>
  </si>
  <si>
    <t>5 images of the thorax and cervical region are provided for review.  The cardiovascular structures are normal.  There is a moderate bronchial pattern in all lung lobes.  The mediastinal and pleural structures are normal.  The trachea is normal in diameter.  There is incidental mineralization of the laryngeal cartilages and tracheal rings.  Gas is present in the laryngeal saccules.  The hyoid apparatus is intact.  The pharyngeal structures are normal.  Cranial abdominal detail is adequate.</t>
  </si>
  <si>
    <t>Moderate bronchial pulmonary pattern=ZZ90= consider bronchitis, response to inhaled irritants, response to circulating parasites, eosinophilic bronchopneumopathy.  Airway sampling may be helpful in further evaluation.  Gas in the laryngeal saccules may indicate laryngeal paralysis, although this is considered unlikely in a patient of this size.  Sedated upper airway examination could be considered.</t>
  </si>
  <si>
    <t xml:space="preserve">
1.A minimal interstitial pulmonary pattern with a concurrent, minimal perihilar infiltrate have been detected._x000D_
2.The cardiac silhouette size is normal._x000D_
3.There is no evidence of ALVEOLAR PATTERN, DYNAMIC AIRWAY COLLAPSE or BRONCHIECTASIS or PLEURAL EFFUSION.</t>
  </si>
  <si>
    <t>Orthogonal views of the thorax are provided:_x000D_
_x000D_
Thorax:_x000D_
_x000D_
Cardiac silhouette shows questionable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Bilateral renoliths.</t>
  </si>
  <si>
    <t>1) Rule out left atrial enlargement secondary to chronic mitral endocardiosis without signs of CHF. Rule out tricuspid endocardiosis with pulmonary hypertension._x000D_
2) Bilateral renoliths.</t>
  </si>
  <si>
    <t>Consider a cardiology consultation with ECG and echocardiogram prior to a CT of the nasal cavity with rhinoscopy and biopsies._x000D_
Consider abdominal US to further evaluate the urinary tract with renal function, UPC and urinalysis.</t>
  </si>
  <si>
    <t xml:space="preserve">
1.The cardiac silhouette size is normal._x000D_
2.There is no evidence of INTERSTITIAL or ALVEOLAR PATTERN, BRONCHITIS, PERIHILAR INFILTRATE, PULMONARY NODULES or PLEURAL EFFUSION.</t>
  </si>
  <si>
    <t>Orthogonal views of the thorax are provided:_x000D_
_x000D_
Thorax:_x000D_
_x000D_
There is no evidence of tracheal._x000D_
Cardiac silhouette shows a mild enlargement of the left atrium dorsally displacing the carina. Right side of the heart is rounded in the VD view._x000D_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t>
  </si>
  <si>
    <t>1) Lack of visualization of tracheal collapse does not exclude this differential (especially taking into account the breed). Unremarkable lungs do not exclude a bronchitis of allergic vs inflammatory/infectious or parasitic origin. No signs of pulmonary metastases nor signs of thoracic lymphadenopathy. _x000D_
2) Left atrial enlargement secondary to chronic mitral endocardiosis without signs of CHF. Rule out concomitant tricuspid endocardiosis with post-capillary pulmonary hypertension._x000D_
3) Hepatomegaly: Metabolic vs Vacuolar infiltration vs Hepatic nodular hyperplasia vs Inflammatory vs Toxic vs Neoplastic or a combination of these differentials</t>
  </si>
  <si>
    <t>Consider a cardiology consultation with ECG and echocardiogram prior to a fluoroscopy with tracheobronchoscopy to rule in extrathoracic tracheal collapse and to rule in/out intrathoracic tracheal collapse or bronchial component, evaluating treatment options. Take advantage of the bronchoscopy to further evaluate the larynx given 30% of patients with tracheal collapse display different degrees of laryngeal paralysis._x000D_
Consider also abdominal US to further evaluate the liver.</t>
  </si>
  <si>
    <t xml:space="preserve">
1.MODERATE DYNAMIC AIRWAY DISEASE; MILD BRONCHIAL PATTERN._x000D_
2.Based on these AI airway/pulmonary findings, the probability of this patient having clinically detectable respiratory signs is MEDIUM (50%)_x000D_
3.Are respiratory signs present? If YES._x000D_
4.Mild cardiomegaly has been detected but Heart Failure is NOT suspected._x000D_
5.Are respiratory signs present? If NO.</t>
  </si>
  <si>
    <t>Orthogonal radiographs of the thorax, and three views of the pelvis/proximal pelvic limbs are provided. The cardiac silhouette and pulmonary vessels are normal size on the lateral view. Fat deposition is seen along the right side of the heart and extending across the diaphragm on the VD projection. Mild unstructured interstitial pattern consistent with age and size. Lung opacity could also be exaggerated by partial expiration. There is no pleural effusion. Normal tracheal diameter._x000D_
_x000D_
There is moderate degenerative change in one of the coxofemoral joints on the VD projection. There are no laterality markers present on this view, however based on the stifle changes and additional images, this is the left coxofemoral joint. The right coxofemoral joint is normal. There is severe periarticular osseous remodeling in the right stifle, particularly on the femoral trochlear ridges. There is suspect small volume fluid in the right stifle joint, although stifle joint evaluation is limited by superimposed extra-abdominal tissue and overexposure on the lateral projections. No left stifle abnormalities are appreciated.</t>
  </si>
  <si>
    <t>1. Severe right stifle osteoarthritis, with suspect intracapsular effusion. This is most consistent with cranial cruciate ligament tear/rupture._x000D_
2. Moderate coxofemoral osteoarthritis on the left. Normal right coxofemoral joint._x000D_
3. Normal thorax.</t>
  </si>
  <si>
    <t>Surgical stabilization of the right stifle is recommended.</t>
  </si>
  <si>
    <t xml:space="preserve">
1.The cardiac silhouette size is normal._x000D_
2.There is no evidence of ALVEOLAR PATTERN or DYNAMIC AIRWAY COLLAPSE or BRONCHIECTASIS._x000D_
3.A minimal perihilar infiltrate has been detected._x000D_
4.A mild interstitial pattern has been detected.</t>
  </si>
  <si>
    <t>Three radiographs of the thorax, VD pelvis, and lateral view of the right pelvic limb are provided. The cardiac silhouette and pulmonary vessels are normal size. There are no abnormalities in the pulmonary parenchyma. No pleural effusion. Normal tracheal diameter. The distal right humerus is mildly cranially angled consistent with previous fracture._x000D_
_x000D_
The coxofemoral joints are congruent. There is a fairly well delineated lucent fat opaque mass measuring at least 14.8 x 10.3 cm in the proximal right pelvic limb. This causes the right thigh region to be markedly larger than the left. There is no adjacent osseous lysis or periosteal proliferation. No right stifle joint abnormalities are appreciated.</t>
  </si>
  <si>
    <t>1. Large fat opaque mass in the proximal right pelvic limb most consistent with a lipoma. This may be an infiltrative lipoma. There is no evidence of pelvic limb osseous abnormalities._x000D_
2. Normal thorax.</t>
  </si>
  <si>
    <t>If additional imaging of the right pelvic limb mass is desired for potential surgical intervention (debulking), computed tomography would be recommended.</t>
  </si>
  <si>
    <t xml:space="preserve">
1.The cardiac silhouette size is normal._x000D_
2.There is no evidence of BRONCHITIS, ALVEOLAR PATTERN, DYNAMIC AIRWAY COLLAPSE or BRONCHIECTASIS or PULMONARY NODULES._x000D_
3.A minimal perihilar infiltrate has been detected.</t>
  </si>
  <si>
    <t>Nine radiographs of the thorax and abdomen are provided. The cardiac silhouette is normal size. The descending aorta is subjectively prominent. No abnormalities in the pulmonary parenchyma or pleural space. In the abdomen there is small volume peritoneal fluid. The liver is upper normal size. The splenic head and left kidney are normal size. The right kidney is obscured. There is a curved 6.0 cm soft tissue opacity dorsal to the colon at the level of L4-L5 on the right lateral view. This area overlies the urinary bladder on the left lateral projections. The urinary bladder is moderately distended and soft tissue opaque. The prostate is not definitively seen. No medial iliac lymphadenomegaly. The gastrointestinal tract is moderately distended. Normal proximal pelvic limbs.</t>
  </si>
  <si>
    <t>1. Mild peritoneal effusion with caudal abdominal mass. Neoplasia such as hemangiosarcoma originating from the spleen is of concern. A mesenteric or lymph node origin mass is next on the differential list._x000D_
2. Equivocal/subjective prominent descending aorta, of uncertain significance. This could be due to hypertension. No other thoracic abnormalities.</t>
  </si>
  <si>
    <t>Blood pressure evaluation, abdominal ultrasound, and peritoneal fluid evaluation are recommended.</t>
  </si>
  <si>
    <t xml:space="preserve">
1.A mild perihilar infiltrate has been detected._x000D_
2.The cardiac silhouette size is normal._x000D_
3.There is no evidence of BRONCHITIS, ALVEOLAR PATTERN, DYNAMIC AIRWAY COLLAPSE or BRONCHIECTASIS or PLEURAL EFFUSION.</t>
  </si>
  <si>
    <t>Orthogonal views of the thorax are provided:_x000D_
_x000D_
Thorax:_x000D_
_x000D_
Cardiac silhouette has a normal shape and size._x000D_
Pulmonary vessels are within normal limits of size and shape._x000D_
Pulmonary parenchyma is within normal limits. No evidence of pneumonia, edema nor signs of pulmonary nodules/masses._x000D_
Normally widened mediastinum (typical of the breed)._x000D_
Pleural space, diaphragm and thoracic wall within normal limits.</t>
  </si>
  <si>
    <t>1) Unremarkable thorax without signs of neumonia, edema nor signs of pulmonary nodules/masses.</t>
  </si>
  <si>
    <t>Rule out BOAS exacerbation evaluating the benefit of an empirical treatment for chronic bronchitis evaluating response to treatment. If clinical signs persist, consider a CT of the thorax with bronchoscopy, BAL, culture, cytology, Baermann test and deworming.</t>
  </si>
  <si>
    <t xml:space="preserve">
1.Are respiratory signs present? If YES._x000D_
2.Are respiratory signs present? If NO._x000D_
3.PULMONARY NODULES or NODULAR PATTERN; MODERATE TO SEVERE INTERSTITIAL TO ALVEOLAR PATTERN; PLEURAL EFFUSION; MILD BRONCHITIS; MILD PERIHILAR INFILTRATE._x000D_
4.Based on the AI airway/pulmonary findings, the probability of this patient having clinically detectable respiratory signs is VERY HIGH (&gt;75%)_x000D_
5.The evaluation has a strong suspicion of soft tissue pulmonary nodules or mass lesion being present._x000D_
6.Mild cardiomegaly has been detected but Heart Failure is NOT suspected.</t>
  </si>
  <si>
    <t>WHOLE-BODY (6 total radiographs for review).  Previous examination is available for comparison from 2023._x000D_
_x000D_
- Peritoneal serosal detail is within normal._x000D_
- The stomach contains mild gas and gas stippled soft tissue opaque material._x000D_
- The small intestine is mildly diffusely distended and homogenously soft tissue opaque, with a few segments containing small punctate mineral opaque foci.  Multiple segments have an impression of mildly thickened walls._x000D_
- The colon contains gas and formed fecal material._x000D_
- The liver is mildly enlarged, with rounded margins._x000D_
- The spleen is mildly enlarged, with rounded margins._x000D_
- There are indistinct granular mineral opacities superimposed over the region of the gallbladder._x000D_
- The urinary bladder is normal._x000D_
- The caudal thorax and included musculoskeletal structures are normal.</t>
  </si>
  <si>
    <t>1. The appearance of the stomach, small intestine and colon can be compatible with a non-specific generalized functional ileus (e.g. gastroenterocolitis). There is no obvious small intestinal foreign material or clear evidence of mechanical obstruction. If clinically indicated, abdominal ultrasonography might be considered._x000D_
_x000D_
2. Mild hepatomegaly. Most likely vacuolar (metabolic) hepatopathy. Hepatitis, hepatic congestion or neoplasia are less likely, but possible._x000D_
_x000D_
3.  Mineralized gallbladder debris/cholecystolithiasis._x000D_
_x000D_
4. Mild splenomegaly. DDx congestion from sedation, lymphoid hyperplasia, EMH, less likely neoplasia.</t>
  </si>
  <si>
    <t xml:space="preserve">
1.Mild cardiomegaly has been detected but Heart Failure is NOT suspected._x000D_
2.MILD BRONCHIAL PATTERN; MINIMAL DYNAMIC AIRWAY DISEASE._x000D_
3.Based on these AI airway/pulmonary findings, the probability of this patient having clinically detectable respiratory signs is LOW (25%)_x000D_
4.Are respiratory signs present? If YES._x000D_
5.Are respiratory signs present? If NO._x000D_
6.There is no evidence of ALVEOLAR PATTERN, PERIHILAR INFILTRATE, PULMONARY NODULES or PLEURAL EFFUSION.</t>
  </si>
  <si>
    <t>WHOLE-BODY (6 radiographs are available for review)._x000D_
_x000D_
- Peritoneal serosal detail is normal._x000D_
- The stomach contains mild gas and soft-tissue opaque material._x000D_
- The small intestine contains mild gas and soft-tissue opaque material._x000D_
- The colon contains moderate desiccated formed fecal material._x000D_
- The liver, spleen, kidneys and urinary bladder are normal._x000D_
- The cardiac silhouette, pulmonary vasculature, pleural space, trachea, mediastinum are normal._x000D_
- Collapse of the T13-L1 intervertebral disc space with endplate sclerosis and spondylosis deformans. Lesser change at L1-2._x000D_
- Mild bilateral coxofemoral osteoarthrosis.</t>
  </si>
  <si>
    <t>1. A discrete cause for the reported clinical signs is not identified._x000D_
_x000D_
2. Unremarkable abdomen with constipation._x000D_
_x000D_
3. Normal thorax._x000D_
_x000D_
4. T13-L1 intervertebral disc disease with cranial lumbar spondylosis deformans._x000D_
_x000D_
5. Mild bilateral coxofemoral osteoarthritis.</t>
  </si>
  <si>
    <t>Thorax: The pulmonary parenchyma, cardiac silhouette, and pulmonary vasculature are unremarkable.  There is no evidence of pleural effusion or lymphadenopathy.  On the visible portions of the thoracic limbs, although superimposed over each other, there appears to be bilateral elbow osteoarthrosis.</t>
  </si>
  <si>
    <t>Consider supplemental isolated lateral and craniocaudal views of the elbows if clinically appropriate.</t>
  </si>
  <si>
    <t>Thorax: The cardiac silhouette is considered normal for size and shape.  On both views there is pulmonary underinflation in spite of widened intercostal spaces on the lateral view suggesting full inspiration.  On the lateral view there is a diffuse interstitial pattern within the caudal dorsal thorax most likely augmented by pulmonary underinflation.  There is no evidence of cardiogenic pulmonary edema or pleural effusion.  There is no evidence of lymphadenopathy.  The trachea and mainstem bronchi are unremarkable.  On the visible portions of the thoracic limbs there is moderate left elbow osteoarthrosis and right shoulder osteoarthrosis.  There is possible medial overriding luxation of the right shoulder.  On the visible portions of the abdomen there is lumbar vertebral spondylosis deformans.</t>
  </si>
  <si>
    <t>Pulmonary underinflation which may be incidental and secondary to timing of radiographic acquisition.  Alternatively an upper airway obstructive process cannot be ruled out._x000D_
_x000D_
Left elbow osteoarthrosis._x000D_
_x000D_
Right shoulder osteoarthrosis and possible luxation.</t>
  </si>
  <si>
    <t>Consider supplemental isolated precisely positioned lateral and caudal dorsal views of the right shoulder for further evaluation.</t>
  </si>
  <si>
    <t xml:space="preserve">
1.Severe cardiomegaly has been detected but Heart Failure is NOT suspected._x000D_
2.MILD BRONCHOINTERSTITIAL PULMONARY PATTERN; MINIMAL DYNAMIC AIRWAY DISEASE; ATELECTASIS or less likely, pneumonia;  MINIMAL PERIHILAR INFILTRATE._x000D_
3.Based on the AI airway/pulmonary findings, the probability of this patient having clinically detectable respiratory signs is MEDIUM (50%)_x000D_
4.Are respiratory signs present? If YES._x000D_
5.Are respiratory signs present? If NO.</t>
  </si>
  <si>
    <t>Orthogonal views of the thorax are provided:_x000D_
_x000D_
Thorax:_x000D_
_x000D_
Cardiac silhouette shows a mild enlargement of the left atrium dorsally displacing the carina._x000D_
Pulmonary vessels are within normal limits of size and shape._x000D_
Pulmonary parenchyma shows a generalized bronchial pattern with cranioventral bronchiolar microlithiasis and alveolar patches ventrally located in the caudal segment of the left cranial and right middle lung lobe. No evidence of pulmonary nodules/masses._x000D_
Pleural space, mediastinum, diaphragm and thoracic wall within normal limits.</t>
  </si>
  <si>
    <t>1) Left atrial enlargement secondary to chronic mitral endocardiosis without signs of CHF._x000D_
2) Generalized bronchial pattern with cranioventral bronchiolar microlithiasis and alveolar patches ventrally located in the caudal segment of the left cranial and right middle lung lobe consistent with chronic lower airway disease complicated with aspiration pneumonia.</t>
  </si>
  <si>
    <t>Consider empirical treatment for pneumonia with follow up radiographs every 48/72 hours to evaluate response to treatment. Rule out any predisposing cause for vomition, regurgitation or neurological condition such as laryngeal paralysis._x000D_
Consider a cardiology consultation with ECG and echocardiogram.</t>
  </si>
  <si>
    <t xml:space="preserve">
1.Are respiratory signs present? If NO._x000D_
2.Are respiratory signs present? If NO._x000D_
3.Are respiratory signs present? If YES._x000D_
4.MODERATE TO SEVERE INTERSTITIAL TO ALVEOLAR PATTERN; PLEURAL EFFUSION or PLEURAL FISSURE LINES; MILD BRONCHITIS._x000D_
5.SEVERE ALVEOLAR INFILTRATE; MILD PERIHILAR PATTERN; MORE DIFFUSE MILD BRONCHOINTERSTITIAL PULMONARY PATTERN._x000D_
6.Based on the AI airway/pulmonary findings, the probability of this patient having clinically detectable respiratory signs is HIGH (75%)_x000D_
7.Based on the AI airway/pulmonary findings, the probability of this patient having clinically detectable respiratorysigns is VERY HIGH (&gt;75%)_x000D_
8.Are respiratory signs present? If YES._x000D_
9.Mild cardiomegaly has been detected but Heart Failure is NOT suspected.</t>
  </si>
  <si>
    <t>SPINE/WHOLE-BODY (3 radiographs are provided for review)._x000D_
_x000D_
- The caudal cervical spine is normal._x000D_
- The cervicothoracic vertebral column is normal._x000D_
- The thoracic vertebrae are unremarkable._x000D_
- The thoracolumbar junction is normal, except for a hypoplastic right rib of T13._x000D_
- The lumbar vertebral column is normal._x000D_
- The lumbosacral junction is normal._x000D_
- The sacroiliac joints are normal bilaterally._x000D_
- The pelvic bones and coxofemoral joints are normal._x000D_
- There is mild bilateral glenohumeral osteoarthritis._x000D_
- There is a soft tissue opaque band dorsally overlying the trachea in the region of the thoracic inlet._x000D_
- The cardiac silhouette, pulmonary vasculature, pleural space and remaining included intrathoracic structures are normal._x000D_
- The stomach contains mild gas and soft tissue opaque material._x000D_
- The small intestine is relatively nondistended/empty and mostly homogenously soft tissue opaque._x000D_
- The colon contains desiccated formed fecal material and a small volume of gas._x000D_
- The liver is mildly enlarged, with rounded margins._x000D_
- The spleen, kidneys, urinary bladder and remaining abdominal structures are normal.</t>
  </si>
  <si>
    <t>1. A discrete spinal cause for the reported clinical signs is not clearly identified. Radiographic sensitivity for detecting lesions affecting the spine (e.g. IVDD, FCE) can be limited. There are no fractures, luxations, discospondylitis or aggressive bone lesions noted. If clinically indicated, consultation with a veterinary neurologist and/or advanced imaging of the spine (e.g. CT or MRI) might be considered._x000D_
_x000D_
2.  Transitional thoracolumbar vertebral segment._x000D_
_x000D_
3.  The appearance of the trachea at the level of the thoracic inlet can be compatible with tracheal collapse secondary to chondromalacia._x000D_
_x000D_
4.  Mild bilateral glenohumeral osteoarthritis._x000D_
_x000D_
5. Mild hepatomegaly. Most likely vacuolar (metabolic) hepatopathy. Hepatitis, hepatic congestion or neoplasia are less likely, but possible._x000D_
_x000D_
6.  Mild constipation.</t>
  </si>
  <si>
    <t xml:space="preserve">
1.Minimal cardiomegaly has been detected but Heart Failure is NOT suspected._x000D_
2.No airway or pulmonary abnormalities have been detected. The lung parenchyma appears normal with no interstitial, alveolar, or bronchial pattern identified. No pulmonary nodules or pleural effusion detected.</t>
  </si>
  <si>
    <t>Three images are provided.
Images are dated September 13, 2024.
Prior images dated November 6, 2023 and previous are available.
Pulmonary parenchyma:  In the left lateral image, the lungs are moderate to severely hypoinflated, and a tubular soft tissue opacity is over the right middle lung lobe region, not corroborated in the better inflated orthogonal images.  Mild interstitial pattern in the right cranial lung in the ventrodorsal image is likely exacerbated by obliquity and hypoinflation.   A similar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patient is obese.  Unchanged well-defined mineral foci in the dorsal extra-thoracic soft tissues over the scapulae.  Unchanged osteoarthrosis of the bilateral shoulders and elbows.  Similar intervertebral disc space narrowing at T10-11 and unchanged spondylosis deformans at T10-11 and T11-12. The remaining included musculoskeletal structures are normal.</t>
  </si>
  <si>
    <t>1.   Tubular soft tissue over the right middle lung in the hypoinflated left lateral image.
- This may be due to dynamic airway disease and collapse of the right middle lobar bronchus (such as from dynamic airway disease/chondromalacia), bronchial plugging of the right middle lobar bronchus, or less likely pulmonary soft tissue from plate-like atelectasis, or least likely atypical/evolving neoplasia.  
2. Right cranial lung interstitial pattern likely from hypoinflation/underlying dynamic airway disease, or unlikely other.
3. Similar mild diffuse bronchial pattern due to fibrosis from prior disease, age-related changes, infectious/inflammatory lower airway disease or unlikely other.
4. Obesity 
5. Unchanged dorsal extra-thoracic mineral foci from granuloma and prior disease/injury, or unlikely other.</t>
  </si>
  <si>
    <t>No obvious pulmonary soft tissue nodules or lymphadenomegaly is identified.  Consider computed tomography of the thorax, with/without bronchoscopy/tracheoscopy, respiratory PCR panel, and possibly airway sampling for further evaluation.  Routine blood work if not recently performed.  Abdominal imaging to screen for occult systemic disease may be contributory.   Consider biopsy of the suspicious digit and histopathology for a definitive diagnosis, with Oncologist consultaiton depending on results. Empirical therapy and supportive care in the interim as needed.  Monitoring as directed or sooner if clinical signs acutely change, fail to improve or worsen.</t>
  </si>
  <si>
    <t xml:space="preserve">
1.MODERATE BRONCHOINTERSTITIAL PULMONARY PATTERN; MODERATE DYNAMIC AIRWAY DISEASE; MODERATE ALVEOLAR INFILTRATE or ATELECTASIS._x000D_
2.Based on these AI airway/pulmonary findings, the probability of this patient having clinically detectable respiratory signs is HIGH (75%)_x000D_
3.Are respiratory signs present? If YES._x000D_
4.Are respiratory signs present? If NO._x000D_
5.Moderate cardiomegaly has been detected but Heart Failure is NOT suspected.</t>
  </si>
  <si>
    <t>Orthogonal views of the abdomen are provided:_x000D_
_x000D_
Abdomen:_x000D_
_x000D_
The stomach is filled with food._x000D_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Kidneys and urinary bladder WNL._x000D_
Right inguinal soft tissue mass centered around and ventrally displacing the right M5._x000D_
_x000D_
Unremarkable visible thorax based on the RL view.</t>
  </si>
  <si>
    <t>1) Right inguinal mass. Run out infected/inflamed right M5 mammary neoplasm as main differential. A right inguinal hernia is less likely._x000D_
2) Hepatomegaly: Metabolic vs Vacuolar infiltration vs Hepatic nodular hyperplasia vs Inflammatory vs Toxic vs Neoplastic or a combination of these differentials.</t>
  </si>
  <si>
    <t>Consider abdominal US to further evaluate the liver ruling out abdominal metastases and three views of the thorax ruling out pulmonary metastases and thoracic lymphadenopathy.</t>
  </si>
  <si>
    <t xml:space="preserve">
1.MODERATE BRONCHINTERSTITIAL PATTERN with ATELECTASIS or less likely, PNEUMONIA; MILD DYNAMIC AIRWAY DISEASE._x000D_
2.Based on these AI airway/pulmonary findings, the probability of this patient having clinically detectable respiratory signs is MEDIUM to HIGH (50-75%)_x000D_
3.Are respiratory signs present? If YES._x000D_
4.Are respiratory signs present? If NO._x000D_
5.Moderate cardiomegaly has been detected but Heart Failure is NOT suspected._x000D_
6.There is no evidence of PULMONARY NODULES or PLEURAL EFFUSION.</t>
  </si>
  <si>
    <t>Two views of the abdomen are provided for review.  Serosal detail is adequate in all quadrants.  The stomach contains a small amount of gas and the rugal folds are prominent.  The small intestines are normal in size.  Gas is present in the colon and cecum.  The urinary bladder is small.  The remaining abdominal organs are normal.</t>
  </si>
  <si>
    <t>Prominent rugal folds suggestive of gastritis.  This does not rule out underlying pancreatitis, dietary indiscretion, etc.</t>
  </si>
  <si>
    <t>If clinical signs persist with supportive therapy, abdominal ultrasound could be considered in further evaluation.</t>
  </si>
  <si>
    <t>THORACIC LIMBS (4 images):
Images are dated September 13, 2024.
Prior images dated May 29, 2024 and previous are available.
Overexposure with soft tissue saturation in some images.
Ventrodorsal image is suspected to be mis-labeled given presumed position of craniodorsal mediastinal reflection.
Bones/Joints:
The right elbow is normal.  
The included right carpus, metacarpus are normal.
The previously described periosteal change at the left craniodistal radius is not identified in this examination, and the left distal radius is normal.
Suspicious for left palmar sesamoid bone changes in the lateral image.
The left elbow is normal.  
The left shoulder is normal.  
The included left carpus, metacarpus are normal. 
There is no evidence of medullary sclerosis, osteolysis, endosteal scalloping, or periosteal proliferation.
Soft tissues:  The included soft tissues are normal.</t>
  </si>
  <si>
    <t>1. Suspicious for left palmar sesamoid bone changes versus artifact.
- If present, consider multi-prtiate sesamoid bone or unlikely fragmentation/sesamoiditis.
2.  Previously described left distal radial periosteal reaction is resolved.
3. Normal left elbow.
4. Normal left shoulder.
5. Normal right elbow.</t>
  </si>
  <si>
    <t>Consider empirical therapy and supportive care in the interim as needed.  Radiographs of the left manus with comparison images focused to the right manus may be contributory.  Consider computed tomography of the elbows/shoulders for further evaluation, especially if signs fail to improve or worsen.   Empirical therapy and supportive care in the interim as needed. Monitoring as directed or sooner if clinical signs acutely change, fail to improve or worsen.</t>
  </si>
  <si>
    <t xml:space="preserve">
1.The cardiac silhouette size is normal._x000D_
2.There is no evidence of DYNAMIC AIRWAY COLLAPSE or BRONCHIECTASIS._x000D_
3.Are respiratory signs present? If NO._x000D_
4.Are respiratory signs present. If YES._x000D_
5.Are respiratory signs present. If NO._x000D_
6.MINIMAL to MILD DIFFUSE, MIXED BRONCHOINTERSTITIAL PULMONARY PATTERN with ATELECTASIS or less likely, pneumonia._x000D_
7.Probability these AI pulmonary findings will accompany clinically detectable respiratory signs: LOW (25%)_x000D_
8.Are respiratory signs present? If YES._x000D_
9.The evaluation has come up positive for a pulmonary nodular pattern._x000D_
10.Based on these AI airway/pulmonary findings, the probability of this patient having clinically detectable respiratory signs is MEDIUM (50%)_x000D_
11.PULMONARY NODULAR PATTERN; MINIMAL BRONCHOINTERSTITIAL PULMONARY PATTERN.</t>
  </si>
  <si>
    <t>Five radiographs of the thorax and abdomen (two lateral, three VD) dated September 13, 2024 are provided. Compared to September 4, 2024.
Cardiac silhouette: The cardiac silhouette is small in size but remains normal in shape.
Pulmonary vessels: The pulmonary arteries and veins are within normal limits. The caudal vena cava is small in size.
Pulmonary parenchyma: There is a newly identified, ventrally distributed interstitial pulmonary pattern in the caudal ventral thorax. This opacity is right-sided on the ventrodorsal view.
Pleural space: The pleural space remains normal.
Mediastinum: The mediastinum is normal in width and opacity.
Trachea: The trachea is normal in diameter.
Esophagus: Similar to previous, there is moderate, diffuse gastric distention of the esophagus.
Gastrointestinal tract: The stomach is moderately distended with gas. Similar to previous, gastric rugal folds are prominent. The small intestines are within normal limits of diameter and are primarily soft tissue opaque (previously gas-filled).
Liver: The liver is normal in size and shape.
Spleen: The spleen is within normal limits in size, shape, and margination.
Urinary: The visible margins of the kidneys are within normal limits.
Peritoneal space: There is adequate serosal detail. There is a thin linear metal opacity in the mid left abdomen. Retrospectively this is unchanged.
Musculoskeletal: There is multifocal thoracic, lumbar, and lumbosacral spondylosis deformans.</t>
  </si>
  <si>
    <t xml:space="preserve">1. There is persistent gas dilation of the esophagus, megaesophagus is the primary differential. Differentials include megaesophagus (congenital versus secondary to myasthenia gravis), esophageal reflux syndrome, and esophagitis.
2. There is a new identified, ventrally distributed pulmonary pattern, consistent with aspiration pneumonia. Infectious bronchopneumonia is not ruled out.
3. The described metal foreign body in the left cranial abdomen is likely incidental and is thought to be bristle from a grill brush. There is no evidence of regional inflammation or peritoneal effusion to suggest active inflammation/irritation.
4. Small cardiac silhouette and caudal vena cava. Consider hypovolemia secondary to myasthenia gravis. </t>
  </si>
  <si>
    <t>-Three view thoracic radiographs following a course of antibiotics for aspiration pneumonia is recommended.
-If not already performed, testing for myasthenia gravis is recommended. Consultation with an internist may be of benefit.
-An esophageal swallow study could be considered for evaluation of esophageal motility/function.</t>
  </si>
  <si>
    <t xml:space="preserve">
1.This evaluation has a strong suspicion of soft tissue pulmonary nodules or mass lesion being present._x000D_
2.PULMONARY NODULES or NODULAR PATTERN; PLEURAL EFFUSION; MODERATE INTERSTITIAL TO ALVEOLAR PATTERN._x000D_
3.Based on these AI airway/pulmonary findings, the probability of this patient having clinically detectable respiratory signs is HIGH (75%)_x000D_
4.If left atrial enlargement is present, that could contribute to the perihilar finding (see cardiac findings below)._x000D_
5.The cardiac silhouette size is normal._x000D_
6.Are respiratory signs present? If YES._x000D_
7.Are respiratory signs present? If NO._x000D_
8.A moderate bronchointerstitial pattern with a concurrent alveolar infiltrate and perihilar opacity has been detected._x000D_
9.Probability these AI pulmonary findings will accompany clinically detectable respiratory signs: MEDIUM to HIGH (50-75%%)_x000D_
10.Respiratory signs: YES._x000D_
11.Respiratory signs: NO.</t>
  </si>
  <si>
    <t>2 views of the thorax are submitted for review.  The cardiovascular structures are within normal limits.  Very mild bronchial markings are noted in the lung fields.  No alveolar infiltrates are seen.  No pleural or mediastinal abnormalities are noted.  The trachea is normal in diameter.  The visible cranial abdomen and skeletal structures are unremarkable.</t>
  </si>
  <si>
    <t>The mild bronchial markings in the lung fields are most consistent with chronic or previous inflammation and/or incidental age-related change.  The current clinical significance is doubtful.  No evidence of bronchopneumonia is noted in the current study.</t>
  </si>
  <si>
    <t xml:space="preserve">
1.A minimal interstitial pattern has been detected._x000D_
2.The cardiac silhouette size is normal._x000D_
3.There is no evidence of BRONCHITIS, PERIHILAR INFILTRATE, DYNAMIC AIRWAY COLLAPSE or BRONCHIECTASIS or PLEURAL EFFUSION.</t>
  </si>
  <si>
    <t>THORAX, ABDOMEN and PELVIS/HINDLIMBS (7 total radiographs are submitted for review)._x000D_
_x000D_
- In the cervical region, there is a geometric mineralized square-shaped mineral opacity superimposed over the region of the larynx._x000D_
- The cranial trachea is unremarkable._x000D_
- The cervical, thoracic, and intrathoracic trachea are normal._x000D_
- There is a mild diffuse, mixed bronchial and unstructured interstitial pulmonary pattern present._x000D_
- The cardiac silhouette and pulmonary vasculature are normal._x000D_
- The trachea, pleural space, mediastinum and remaining included intrathoracic structures are normal._x000D_
- The liver is mildly enlarged, extending caudal to the costal arch with rounded margins._x000D_
- The stomach contains mild gas and gas stippled soft-tissue opaque material._x000D_
- The remaining cranial abdominal structures are normal._x000D_
- There is minimal bilateral coxofemoral osteoarthritis._x000D_
- There is a medium-sized fat opaque mass that can be noted in the right thigh musculature_x000D_
- The right stifle joint and remaining included structures of the pelvic limbs are normal._x000D_
- Peritoneal serosal detail is normal._x000D_
- The stomach contains mild gas and gas-stippled soft-tissue opaque material, as well as a few small mineral opaque foci._x000D_
- The small intestine is nondistended and contains mild multifocal gas and soft-tissue opaque material_x000D_
- The colon contains gas, soft-tissue/fluid and mild, desiccated formed fecal material._x000D_
- The liver, spleen, region of the kidneys and urinary bladder are normal.</t>
  </si>
  <si>
    <t>1.  The mineral opacity superimposed over the region of the larynx could be the patient=ZZ91=s collar, or laryngeal mineralization, which if real is most likely incidental but can be related to a change in phonation.  A laryngeal mass is less likely.  Otherwise, a clear radiographic cause for the reported clinical signs of change in bark/hoarseness is not clearly noted._x000D_
_x000D_
2.  Mild, diffuse, mixed bronchial and unstructured interstitial pulmonary pattern. Can reflect chronic lower airway disease such as bronchitis however can also be incidental age-related airway mineralization._x000D_
_x000D_
3.  There is a lipomatous mass centered within and outwardly deviating the right thigh musculature.  These lesions are not uncommon and can be inter- or less likely intramuscular and have been associated with lameness.  Further evaluation could be considered with a veterinary surgeon or surgical oncologist and CT of the pelvis/hindlimbs may be pursued._x000D_
_x000D_
4.  Mild, bilateral coxofemoral osteoarthritis._x000D_
_x000D_
5. Mild hepatomegaly. Most likely vacuolar (metabolic) hepatopathy. Hepatitis, hepatic congestion or neoplasia are less likely, but possible.</t>
  </si>
  <si>
    <t>Orthogonal views of the neck and thorax are provided:_x000D_
_x000D_
Thorax:_x000D_
_x000D_
Hyoid apparatus is subjectively caudally straightened._x000D_
Rest of the neck (trachea, esophagus and cervical spine) is WNL._x000D_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t>
  </si>
  <si>
    <t>1) Subjectively caudally straightened hyoid apparatus. Rule out upper airway obstruction such as laryngeal collapse or LARPAR._x000D_
2) Unremarkable thorax.</t>
  </si>
  <si>
    <t>Laryngeal exam under sedation. Evaluate the benefit of advanced imaging (CT) of the oropharyngeal cavity.</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</si>
  <si>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(left SC lipoma)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t>
  </si>
  <si>
    <t>1) Unremarkable lungs do not exclude a bronchitis of allergic origin vs inflammatory/infectious or parasitic origin. _x000D_
2) Unremarkable abdomen.</t>
  </si>
  <si>
    <t>Consider empirical treatment for chronic bronchitis evaluating response to treatment. If clinical signs persist, consider a bronchoscopy with BAL, culture, cytology, Baermann test and deworming.</t>
  </si>
  <si>
    <t xml:space="preserve">
1.Are respiratory signs present? If NO._x000D_
2.The cardiac silhouette size is normal._x000D_
3.A mild perihilar infiltrate and minimal bronchial pattern have been detected_x000D_
4.A mild to moderate interstitial to alveolar pattern has been detected.._x000D_
5.MILD BROCHOINTERSTITIAL PULMONARY PATTERN; CONCURRENT ATELECTASIS (MILD) SUSPECTED._x000D_
6.Based on these AI airway/pulmonary findings, the probability of this patient having clinically detectable respiratory signs is LOW (25%)_x000D_
7.Are respiratory signs present? If YES._x000D_
8.Pleural fissure lines or moderate to severe pleural effusion has been detected. An overlying skin fold or in an obese animal, excessive pericardial fat could artifactually mimic the result of severe pleural effusion.</t>
  </si>
  <si>
    <t>Orthogonal views of the thorax and abdomen are provided:_x000D_
_x000D_
Thorax:_x000D_
_x000D_
Abnormally distended cervical trachea._x000D_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are mildly gas and fluid filled, one bowel loop in the caudal abdomen with mineral material, with the rest of the small intestines not overtly distended. _x000D_
Serosal detail is preserved._x000D_
Liver and spleen are within normal limits of size and smoothly marginated._x000D_
Kidneys show suspected bilateral renoliths._x000D_
Urinary bladder WNL.</t>
  </si>
  <si>
    <t>1) Abnormally distended cervical trachea probably related to tracheal collapse._x000D_
2) Unremarkable thorax without signs of cardiomegaly (this does not exclude a cardiac disease), pulmonary metastases nor signs of thoracic lymphadenopathy. _x000D_
3) Rule out bilateral renoliths.</t>
  </si>
  <si>
    <t>Consider abdominal US to further evaluate causes of vomition and the urinary tract with renal function, UPC and urinalysis._x000D_
Given the lack of cardiomegaly but audible murmur, consider a cardiology consultation with ECG and echocardiogram.</t>
  </si>
  <si>
    <t xml:space="preserve">
1.A minimal bronchial pattern has been detected._x000D_
2.The cardiac silhouette size is normal._x000D_
3.There is no evidence of PERIHILAR INFILTRATE, DYNAMIC AIRWAY COLLAPSE or BRONCHIECTASIS or PLEURAL EFFUSION.</t>
  </si>
  <si>
    <t>3 views of the thorax are provided for review.  The trachea is dorsally deviated, indicating left ventricular enlargement.  A bulge is present in the region of the left atrium.  No pulmonary infiltrates are seen.  The pulmonary vasculature is normal in size.  The mediastinal and pleural structures are normal.  Cranial abdominal detail is adequate.</t>
  </si>
  <si>
    <t>Echocardiography may be helpful in further staging.</t>
  </si>
  <si>
    <t xml:space="preserve">
1.In the PRESENCE of respiratory signs, moderate pneumonitis (aspiration or bacterial  (including Bordatella, Mycoplasma and Wolbachia), allergic, viral, fungal or parasitic (including heartworm pathosis)) would be most likely._x000D_
2.Based on these AI airway/pulmonary findings, the probability of this patient having clinically detectable respiratory signs is VERY HIGH (&gt;75%)_x000D_
3.SEVERE BRONCHIAL PATTERN; MODERATE DYNAMIC AIRWAY DISEASE._x000D_
4.The evaluation has a strong suspicion of pulmonary nodules or mass lesion being present._x000D_
5.A moderate interstitial to alveolar pattern has been detected._x000D_
6.MODERATE INTERSTITIAL TO ALVEOLAR PATTERN; MILD PERIHILAR INFILTRATE._x000D_
7.In the ABSENCE of respiratory signs, atelectasis secondary to heavy sedation or anesthesia or a false positive due to a combination of age-related changes, obesity, pulmonary hypoinflation/partial atelectasis and/or overlying soft tissues such as forelimb musculature overlying the cranial thorax would be most likely._x000D_
8.Are respiratory signs present? If YES._x000D_
9.Are respiratory signs present? If NO._x000D_
10.Severe bronchointerstitial pulmonary pattern present._x000D_
11.Pleural fissure lines or moderate to severe pleural effusion has been detected. An overlying skin fold or in an obese animal, excessive pericardial fat could artifactually mimic the result of severe pleural effusion._x000D_
12.Severe cardiomegaly has been detected but Heart Failure is NOT suspected.</t>
  </si>
  <si>
    <t>THORAX (3 images):
Images are dated September 13, 2024.
Pulmonary parenchyma: A minimal to mild diffuse bronchial pattern is present.
Pulmonary vasculature: The pulmonary vasculature is subjectively normal in size and tapers in the periphery of the lungs.
Cardiac silhouette: The cardiac silhouette severely enlarged and tall, with dorsal displacement of the trachea.  The cardiac silhouette has a rounded and enlarged caudodorsal margin.  The cardiac silhouette is widened and occupies up to 3.5 intercostal spaces in the lateral images.  In the ventrodorsal image, the cardiac silhouette is rounded and enlarged in the region of the right ventricle, exacerbated by patient obliquity.  A slight convex margin in the 2-3 o'clock position is suspected to be enlargement of the left auricular appendage in the ventrodorsal image.
Mediastinum: The cranial mediastinum is normal.
Trachea: The trachea is normal.
Esophagus: The esophagus is not well-identified.
Pleural space: Thin pleural fissure lines are present between the right cranial/middle, right middle/caudal and left cranial/caudal lung lobes in the ventrodorsal image.
Musculoskeletal: T12-13 and T13-L1, and L1-2 spondylosis deformans is present.  T12-13 and L1-2 have narrow intervertebral disc spaces.  The remaining included musculoskeletal structures are normal.</t>
  </si>
  <si>
    <t>1. Severe generalized cardiomegaly such as from myxomatous mitral/tricuspid valvular disease or less likely other.
2. Minimal to mild diffuse bronchial pulmonary pattern such as from fibrosis from prior disease, age-related changes, infectious/immune-mediated lower airway disease, or less likely other.
3. Mild pleural fissure lines due to artifact/technique and/or scant pleural effusion such as from evolving congestive heart failure or less likely other.</t>
  </si>
  <si>
    <t xml:space="preserve">Echocardiography, eCG and blood pressure for further evaluation.  Routine blood work and urinalysis  if not recently performed.  Consider respiratory PCR panel, fecal analysis/deworming, and empirical therapy for cough in the interim.  If signs of dyspnea worsen or signs fail to improve, consider diuretic trial and repeat thoracic radiographs in 4-6 hours for monitoring.  </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</si>
  <si>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3.Are respiratory signs present? If NO._x000D_
4.A mild perihilar infiltrate has been detected._x000D_
5.SEVERE INTERSTITIAL TO ALVEOLAR PATTERN; MODERATE BRONCHIAL PATTERN; MODERATE DYNAMIC AIRWAY DISEASE._x000D_
6.Based on these AI airway/pulmonary findings, the probability of this patient having clinically detectable repsiratory signs is VERY HIGH (&gt;75%)_x000D_
7.Are respiratory signs present? If YES._x000D_
8.AI linked pneumonia in dogs article: https://platform.v2.vetology.net/doc/pneumonia-in-dogs-and-cats</t>
  </si>
  <si>
    <t>Three images are provided.
Images are dated September 13, 2024.
Cranial thorax is excluded in the ventrodorsal image.  Ventrodorsal image is mislabeled given position of the gastric fundus and spleen.
Pulmonary parenchyma: A mild diffuse bronchial pattern is present.
Pulmonary vasculature: The pulmonary vasculature is subjectively normal in size and tapers in the periphery of the lungs.
Cardiac silhouette: The cardiac silhouette has a flat caudodorsal margin in the left lateral image.  Mild rounded increased soft tissue is in the region of the left atrium in the ventrodorsal image.  The left auricular appendage is slightly prominent at the 2-3 o'clock position in the ventrodorsal image.
Mediastinum: The cranial mediastinum is normal.
Trachea: The trachea is normal.
Esophagus: The esophagus is not well-identified.
Pleural space: The pleural space is normal.
Musculoskeletal: The included musculoskeletal structures are normal.</t>
  </si>
  <si>
    <t>1. Mild left-sided cardiomegaly such as from myxomatous mitral valvular disease and insufficiency, or unlikely other.
- There is no current evidence of left-sided congestive heart failure.
2. Mild diffuse bronchial pulmonary pattern due to fibrosis from prior disease, age-related changes, infectious/immune-mediated lower airway disease or unlikely other.</t>
  </si>
  <si>
    <t>Echocardiography, eCG and blood pressure for further evaluation.  Routine blood work and urinalysis if not recently performed.   Empirical therapy and supportive care in the interim as needed. Monitoring as directed or sooner if clinical signs acutely change, fail to improve or worsen.</t>
  </si>
  <si>
    <t>Three images are provided.
Images are dated September 13, 2024.
Cranial thorax excluded in the ventrodorsal image.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and admixed soft tissue material.   The stomach is within normal limits for size.
The small intestine contains minimal gas and mild fluid or is empty with a subjectively uniform population for size. 
The colon contains moderate well-defined soft tissue material and gas.  The colon is within normal limits for size.  
Musculoskeletal: A small convex soft tissue focus is suspected to arise from the ventral surface of the inguinal soft tissue.  The remaining included musculoskeletal structures are normal.</t>
  </si>
  <si>
    <t xml:space="preserve">1. Mild diffuse bronchial pulmonary pattern such as from fibrosis from prior disease, age-related changes, infectious/immune-mediated lower airway disease, or unlikely other.
2. No obvious intra-thoracic lymphadenomegaly or pulmonary nodules.  
3. Gastric material due to recent meal of unlikely gastritis/delayed gastric emptying, or other given reported history.
4. No obvious hepatomegaly or splenomegaly in this examination.  
5. Presumed inguinal soft tissue nodule, consistent with reported history.  </t>
  </si>
  <si>
    <t>Consider abdominal ultrasonography for further evaluation of the liver and spleen.  Routine blood work, coagulation testing and hepatic/splenic tissue sampling, especially if reported mast cell tumor is grade 2 or higher.   Oncologist consultation may be contributory.  Empirical therapy and supportive care in the interim as needed.  Monitoring as directed or sooner if clinical signs acutely change, fail to improve or worsen.</t>
  </si>
  <si>
    <t>Three images are provided.
Images are dated September 13, 2024.
Pulmonary parenchyma: A mild diffuse bronchial pattern is present.  In the ventrodorsal image, lobar airways are not well-identified.  
Pulmonary vasculature: The pulmonary vasculature is subjectively normal in size and tapers in the periphery of the lungs.
Cardiac silhouette: The cardiac silhouette is severely enlarged and tall in the lateral images, with dorsal displacement of the trachea.  The cardiac silhouette is widened and occupies approximately 4 intercostal spaces width.  The caudodorsal margin of the cardiac silhouette is flattened.  The cardiac silhouette is generally widened in the ventrodorsal image.  Subtle rounded soft tissue is suspected in the region of the left atrium in the ventrodorsal image.
Mediastinum: The cranial mediastinum is normal.
Trachea: The trachea is slightly narrowed in a dorsoventral dimension in the cranial thorax of the left lateral image.
Esophagus: The esophagus is not well-identified.
Pleural space: The pleural space is normal.
Musculoskeletal: The included musculoskeletal structures are normal.</t>
  </si>
  <si>
    <t>1. Severe generalized cardiomegaly such as from myxomatous mitral valvular disease and insufficiency or less likely other, with tricuspid valvular disease versus cor pulmonale/pulmonary hypertension, or unlikely other.
2. Mild diffuse bronchial pulmonary pattern due to infectious/immune-mediated lower airway disease (such as from bordetella spp., mycoplasma spp., or parasitism such as lung worms), fibrosis from prior disease, age-related changes, or less likely other.
3. Suspected transient, slight intra-thoracic tracheal narrowing, and possible lobar bronchial narrowing from dynamic airway disease/chondromalacia.</t>
  </si>
  <si>
    <t>Echocardiography, eCG and blood pressure for further evaluation.  Routine blood work and urinalysis f not recently performed.  Consider tracheoscopy/bronchoscopy/fluoroscopy, respiratory PCR panel, fecal analysis/deworming, and/or airway sampling for further evaluation.  Monitoring as directed or sooner if clinical signs acutely change, fail to improve or worsen.</t>
  </si>
  <si>
    <t xml:space="preserve">
1.Based on these AI airway/pulmonary findings, the probability this patient will have clinically detectable respiratory signs is MEDIUM to HIGH (50-75%)_x000D_
2.Based on these AI airway/pulmonary findings, the probability of this patient having clinically detectable respiratory signs is HIGH (75%)_x000D_
3.Are respiratory signs present? If YES._x000D_
4.Are respiratory signs present? If YES._x000D_
5.Are respiratory signs present? If NO._x000D_
6.Are respiratory signs present? If NO._x000D_
7.A mild to moderate interstitial to alveolar pattern has been detected._x000D_
8.Moderate bronchointerstitial pulmonary pattern detected._x000D_
9.SEVERE DYNAMIC AIRWAY DISEASE; MODERATE BRONCHIAL PATTERN._x000D_
10.SEVERE DYNAMIC AIRWAY DISEASE; MINIMAL INTERSTITIAL PATTERN._x000D_
11.A mild perihilar infiltrate has been detected._x000D_
12.Pleural fissure lines or moderate pleural effusion has been detected. An overlying skin fold or in a moderately overweight animal, excessive pericardial fat could artifactually mimic the result of moderate pleural effusion._x000D_
13.Severe cardiomegaly has been detected but Heart Failure is NOT suspected.</t>
  </si>
  <si>
    <t>Orthogonal views of the thorax are provided and compared with the previous study on the 08/28/24:_x000D_
_x000D_
Thorax:_x000D_
_x000D_
No signs of tracheal collapse._x000D_
Cardiac silhouette shows a questionable mild enlargement of the left atrium dorsally displacing the carina. No evidence of peri-hilar opacity._x000D_
Pulmonary vessels are within normal limits of size and shape._x000D_
Pulmonary parenchyma shows an unchanged mild generalized bronchial pattern. No evidence of pneumonia nor signs of pulmonary nodules/masses._x000D_
Pleural space, mediastinum, diaphragm and thoracic wall within normal limits._x000D_
_x000D_
Liver extends beyond the costal arch with sharp margins.</t>
  </si>
  <si>
    <t>1) Rule out left atrial enlargement secondary to chronic mitral endocardiosis without signs of CHF._x000D_
2) Mild generalized bronchial pattern is compatible with a bronchitis of allergic (i.e: eosinophilic bronchitis or eosinophilic bronchopneumopathy) vs inflammatory/infectious or parasitic origin. No signs of pulmonary metastases nor signs of thoracic lymphadenopathy. _x000D_
3) Hepatomegaly: Metabolic vs Vacuolar infiltration vs Hepatic nodular hyperplasia vs Inflammatory vs Toxic vs Neoplastic or a combination of these differentials.</t>
  </si>
  <si>
    <t>Consider a cardiology consultation with ECG and echocardiogram prior to continuation of empirical treatment for allergic bronchitis evaluating response to treatment. If clinical signs persist, consider a bronchoscopy with BAL, culture, cytology, Baermann test and deworming._x000D_
Consider abdominal US to further evaluate the liver.</t>
  </si>
  <si>
    <t xml:space="preserve">
1.A moderate bronchointerstitial pulmonary pattern detected._x000D_
2.The cardiac silhouette size is normal._x000D_
3.There is no evidence of DYNAMIC AIRWAY COLLAPSE or BRONCHIECTASIS.</t>
  </si>
  <si>
    <t>THORAX (5 images):
Images are dated September 13, 2024.
Pulmonary parenchyma: A mild diffuse bronchial and minimal interstitial pattern is present.
Pulmonary vasculature: The pulmonary vasculature is subjectively normal in size and tapers in the periphery of the lungs.
Cardiac silhouette: The cardiac silhouette is has a slightly flat caudodorsal margin in some lateral images.  The cardiac silhouette is slightly tall in some lateral images, but this is less well-identified in others.  In the ventrodorsal image, slight rounded increased soft tissue is suspected in the region of the left atrium.  
Mediastinum: The cranial mediastinum is normal.
Trachea: The trachea is normal.
Esophagus: The esophagus is not well-identified.
Pleural space: The pleural space is normal.
Musculoskeletal: Two convex soft tissue nodules arise from the dorsal extra-abdominal soft tissues in the right lateral image. 
 The remaining included musculoskeletal structures are normal.</t>
  </si>
  <si>
    <t>1. No obvious pulmonary soft tissue nodules or intra-thoracic lymphadenomegaly.
2. Mild diffuse bronchial and minimal interstitial pulmonary patterns.
- Differential diagnoses include fibrosis from prior disease, age-related changes, or less likely infectious/immune-mediated lower airway disease, or unlikely other.
3. Equivocal left atrial enlargement versus artifact from phase of the cardiopulmonary cycle and patient positioning.
- If present, differential diagnoses include myxomatous mitral valvular disease or less likely other.
- There is no current evidence of left-sided congestive heart failure.
4. Dorsal extra-abdominal soft tissue nodules such as from sebaceous cyst,  versus neoplasia (malignant or benign), or other</t>
  </si>
  <si>
    <t>Consider computed tomography of the thorax for a more sensitive evaluation, versus monitoring with serial thoracic radiographs as directed.  Consider tissue sampling/amputation of reported digital mass and histopathology for a definitive diagnosis.  Oncologist consultation depending on results. Empirical therapy and supportive care in the interim as needed.  Monitoring as directed or sooner if clinical signs acutely change, fail to improve or worsen.
(amended on 09/14/2024 09:31)
Consider echocardiography, especially if a murmur is later identified.</t>
  </si>
  <si>
    <t xml:space="preserve">
1.A minimal to mild perihilar infiltrate has been detected._x000D_
2.The cardiac silhouette size is normal._x000D_
3.There is no evidence of ALVEOLAR PATTERN, PULMONARY NODULES or PLEURAL EFFUSION._x000D_
4.A mild bronchial pattern and concurrent mild dynamic airway disease have been detected.</t>
  </si>
  <si>
    <t>THORAX (3 total radiographs for review).  A previous examination is available for comparison from 07/29/20/2024._x000D_
_x000D_
- There is a soft tissue opaque band dorsally overlying the trachea in the region of the thoracic inlet._x000D_
- Mild, diffuse, mixed bronchial and unstructured interstitial pulmonary pattern._x000D_
- The cardiac silhouette is within normal limits for size, shape and margins._x000D_
- The pulmonary vasculature is normal._x000D_
- The pleural space and remaining included intrathoracic structures are normal._x000D_
- The liver is moderately to markedly enlarged, extending caudal to the costal arch with rounded margins._x000D_
- The stomach contains several small indistinct mineral opaque objects._x000D_
- The remaining cranial abdominal structures are normal._x000D_
- There is mild multifocal vertebral spondylosis deformans.</t>
  </si>
  <si>
    <t>1.  The appearance of the trachea at the level of the thoracic inlet can be compatible with tracheal collapse, secondary to chondromalacia._x000D_
_x000D_
2.  Mild, diffuse broncho-interstitial pulmonary pattern can reflect normal age-related airway degeneration or changes secondary to chronic bronchitis._x000D_
_x000D_
3.  Otherwise normal thorax._x000D_
_x000D_
4. Moderate to marked hepatomegaly. Most likely vacuolar (metabolic) hepatopathy. Hepatic congestion, hepatitis or neoplasia are less likely, but possible._x000D_
_x000D_
5.  Multiple small shard-like mineral opacities in the gastric lumen.</t>
  </si>
  <si>
    <t>Overall a discrete radiographic cause for the reported clinical signs is not clearly identified, however it could be related to tracheal collapse and/or chronic lower airway disease.</t>
  </si>
  <si>
    <t xml:space="preserve">
1.MODERATE DYNAMIC AIRWAY DISEASE; MILD BRONCHOINTERSTITIAL PULMONARY PATTERN; MINIMAL PERIHILAR INFILTRATE._x000D_
2.Based on these AI airway/pulmonary findings, the probability of this patient having clinically detectable respiratory signs is MEDIUM (50%)_x000D_
3.Minimal cardiomegaly has been detected but Heart Failure is NOT suspected._x000D_
4.Are respiratory signs present? If YES._x000D_
5.Are respiratory signs present? If NO.</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</si>
  <si>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A large soft tissue mass is present in the right ventral mid abdomen that appears to be continuous with spleen.  The stomach contains a moderate amount of ingesta.  The small intestines are normal in size.  Gas and feces are present in the colon.  The urinary bladder is small.  The remaining abdominal organs are normal.  There is spondylosis deformans of the lumbosacral spine.</t>
  </si>
  <si>
    <t>Splenic mass=ZZ90= consider neoplasia or hematoma.  This is considered unlikely to be related to a pelvic limb or mammary neoplasm.  Radiographically normal thorax for patient of this age on the view provided.</t>
  </si>
  <si>
    <t>Consider splenectomy for histopathology.</t>
  </si>
  <si>
    <t>THORAX (4 total radiographs for review). _x000D_
_x000D_
- The cardiac silhouette is moderately enlarged, characterized by a straightening of the caudal cardiac margin and dorsal displacement of the caudal aspect of the thoracic trachea.  The heart has a wide base on the VD projection._x000D_
- The pulmonary vasculature, both the artery and vein, to the right cranial lung lobe is moderately distended._x000D_
- There is a locally extensive unstructured interstitial to alveolar pattern in the region of the right cranial lung lobe with visible air bronchograms._x000D_
- The trachea, mediastinum, pleural space and remaining included intrathoracic structures are normal._x000D_
- The stomach contains mild gas and gas stippled soft tissue opaque material._x000D_
- The visible cranial abdominal structures are normal._x000D_
- No discrete musculoskeletal abnormalities are identified.</t>
  </si>
  <si>
    <t>1.  Moderate, mostly left-sided left-sided cardiomegaly with right cranial lobar pulmonary vasculature distention.  Given the patient=ZZ91=s signalment as well as the history a cardiomyopathy (e.g. DCM) is prioritized.  Consultation with a veterinary cardiologist, echocardiography and ECG are recommended for further evaluation._x000D_
_x000D_
2.  Ventrally distributed right cranial lung lobe unstructured interstitial to alveolar pulmonary pattern. I believe this is most likely to represent pneumonia (e.g. from aspiration, less likely foreign material ingestion), however it is challenging in this case to completely differentiate pneumonia from atypical left-sided congestive heart failure (chronic DCM is known to to present with atypical, ventrally-located cardiogenic pulmonary edema).  _x000D_
_x000D_
I would recommend the initiation of treatment for pneumonia and recheck thoracic radiographs along the course of therapy to reevaluate the degree of pulmonary opacification and if there is worsening or lack of improvement with therapy, considering alternative differential diagnosis such as atypical heart failure.</t>
  </si>
  <si>
    <t xml:space="preserve">
1.PULMONARY NODULES or NODULAR PATTERN; MILD to MODERATE BRONCHOINTERSTITIAL PATTERN with an ALVEOLAR COMPONENT; MILD PERIHILAR INFILTRATE._x000D_
2.Based on the AI airway/pulmonary findings, the probability of this patient having soft tissue pulmonary nodules and clinically detectable respiratory signs is MEDIUM to HIGH (50-75%)_x000D_
3.The evaluation has a strong suspicion of soft tissue pulmonary nodules being present._x000D_
4.Are respiratory signs present? If YES._x000D_
5.Are respiratory signs present? If NO._x000D_
6.Moderate cardiomegaly has been detected but Heart Failure is NOT suspected._x000D_
7.Pleural fissure lines or small volume pleural effusion has been detected. In a mildly overweight animal, excessive pericardial fat can artifactually mimic the result of minimal pleural effusion.</t>
  </si>
  <si>
    <t>Eight images are provided.
Evaluation is limited to thoracic limbs based on selected exam type.  To dorsopalmar thoracic limb image contains no label.
Images are dated September 13, 2024.
Bones/Joints:
The soft tissues centered over the right carpus are severely enlarged.  The lateral aspect of the presumed right ulnar carpal bone has an ovoid lucent region in the dorsopalmar image.  In the lateral image, the right ulnar carpal bone has moth-eaten osteolysis and partially ill-defined proximal/distal margins.  Osseous proliferation is at the proxima/distal margin of the right accessory carpal bone.  There is suspicious osteolysis of the right radial carpal bone in the lateral image.  The articular surface of the right distal radius is normal.  No obvious osteolysis of the right distal radius/ulna.
The right elbow is normal.  
The right shoulder is normal.
The left shoulder is normal.  
Soft tissues:  The included extra-capsular soft tissues are subjectivley normal.</t>
  </si>
  <si>
    <t xml:space="preserve">1. Right ulnar carpal bone osteolysis, and suspected radial carpal bone osteolysis with soft tissue swelling centered over the right carpus.
- Consider polyostotic aggressive bone lesion (osteomyelitis such as from evolving fungal disease (coccidiomycosis versus other), or less likely occult sepsis/nidus of infection, or unlikely metastatic neoplasia given patients young age), versus joint-centric aggressive lesion such as from septic arthritis or less likely lupus or other erosive arthritis, or evolving joint-centric neoplasia (synovial cell sarcoma versus other).
2. Right accessory carpal bone osseous proliferation reaction secondary to aggressive lesion and #1 above, versus enthesophytes/degenerative disease/prior injury.
</t>
  </si>
  <si>
    <t>Consider routine blood work and thoracic/abdominal imaging for further evaluation of systemic disease.  Consider coagulation testing and tissue sampling of peripherally accessible lesions, such as bone biopsy, for further evaluation.  Empirical therapy and supportive care in the interim as needed. Monitoring with serial radiographs of the thoracic limbs, especially if clinical signs acutely change or worsen.</t>
  </si>
  <si>
    <t xml:space="preserve">
1.A moderate interstitial to alveolar pattern has been detected._x000D_
2.Moderate to severe bronchointerstitial pulmonary pattern._x000D_
3.The evaluation has a strong suspicion of pulmonary nodules or mass lesion being present._x000D_
4.The cardiac silhouette size is normal._x000D_
5.A moderate interstitial to alveolar pattern and moderate perihilar infiltrate have been detected._x000D_
6.A moderate bronchointerstitial pattern with potential areas of alveolar infiltrate, consolidation or pulmonary mass lesion(s) have been identified._x000D_
7.Pleural fissure lines or moderate to severe pleural effusion has been detected. An overlying skin fold or in an obese animal, excessive pericardial fat could artifactually mimic the result of severe pleural effusion.</t>
  </si>
  <si>
    <t>WHOLE-BODY (3 total radiographs for review).  A previous examination is available for comparison from 2023._x000D_
_x000D_
- Peritoneal serosal detail is normal._x000D_
- The stomach contains mild gas and gas-stippled soft-tissue opaque material_x000D_
- The small intestine is mildly diffusely distended with homogenous soft tissue/fluid and gas._x000D_
- The cecum is focally distended with gas._x000D_
- The colon contains gas, soft-tissue/fluid and moderate formed fecal material._x000D_
- The liver is mildly enlarged, extending caudal to the costal arch with rounded margins._x000D_
- The spleen, region of the kidneys and urinary bladder are normal._x000D_
- The cardiac silhouette and pulmonary vasculature are normal._x000D_
- The pulmonary parenchyma is normal_x000D_
- There is a soft tissue opaque band dorsally overlying the trachea in the region of the thoracic inlet._x000D_
- The esophagus and mediastinum are normal._x000D_
- The pleural space, diaphragm and ribs are normal._x000D_
- The remaining intrathoracic structures are normal._x000D_
- The caudal cervical, cervicothoracic, thoracic, thoracolumbar and lumbar vertebral columns are normal.</t>
  </si>
  <si>
    <t>1.  A discrete radiographic cause for the reported lethargy and abdominal pain is not clearly identified.  The gastrointestinal tract is relatively unremarkable, however radiographic sensitivity for the detection of generalized functional ileus such as gastroenteritis can be limited.  There is no evidence of foreign material, mechanical obstruction or intra-abdominal mass identified.  If clinically indicated, consider abdominal ultrasound for further assessment._x000D_
_x000D_
2. Normal spine.  No distinct cause for thoracolumbar pain on palpation is noted.  If there is further clinical concern, spinal CT may be considered._x000D_
_x000D_
3. Mild hepatomegaly. Most likely vacuolar (metabolic) hepatopathy. Hepatitis, hepatic congestion or neoplasia are less likely, but possible._x000D_
_x000D_
4. The appearance of the trachea at the level of the thoracic inlet can be compatible with tracheal collapse, secondary to chondromalacia.  Otherwise normal thorax.</t>
  </si>
  <si>
    <t xml:space="preserve">
1.A minimal interstitial pulmonary pattern with a concurrent, minimal perihilar infiltrate have been detected._x000D_
2.The cardiac silhouette size is normal._x000D_
3.There is no evidence of ALVEOLAR PATTERN, PULMONARY NODULES or PLEURAL EFFUSION.</t>
  </si>
  <si>
    <t>THORAX (3 images):
Images are dated September 13, 2024.
Pulmonary parenchyma: A mild diffuse bronchial and minimal interstitial pattern is present.  the lungs are hypoinflated in the lateral images.
Pulmonary vasculature: The pulmonary vasculature is subjectively normal in size and tapers in the periphery of the lungs.
Cardiac silhouette: The cardiac silhouette has a slightly flat caudodorsal margin in the right lateral image, not well-identified in the orthogonal images.
Mediastinum: The cranial mediastinum is normal.
Trachea: The trachea has a slight soft tissue band superimposed in the right lateral image.
Esophagus: The esophagus contains minimal gas.
Pleural space: The pleural space is normal.
Musculoskeletal: The included musculoskeletal structures are normal.</t>
  </si>
  <si>
    <t>1. Mild diffuse bronchial and minimal interstitial pulmonary patterns.
- Differential diagnoses include infectious/immune-mediated lower airway disease such as from mycoplasma spp., bordetella spp., parasitism (lung worms), or inhaled allergen/irritant, or a combination of these.
2. Slight dorsal redundant tracheal membrane with/without underlying dynamic airway disease, or less likely superimposed normal structures.
3. Equivocal left atrial enlargement versus artifact from the phase of the cardiopulmonary cycle and patient positioning.
- If present, differential diagnoses include evolving myxomatous mitral valvular disease, or unlikely other.</t>
  </si>
  <si>
    <t>Consider respiratory PCR panel, airway sampling, and fecal analysis/deworming for further evaluation.  Consider tracheoscopy/bronchoscopy and fluoroscopy for further evaluation of dynamic airway disease.  If a murmur is later identified, or if progressive cardiomegaly is detected in recheck thoracic radiographs, consider echocardiography, eCG and blood pressure.  Empirical therapy in the interim if needed. Monitoring as directed or sooner if clinical signs manifest.</t>
  </si>
  <si>
    <t>Eight images are provided.
Images are dated September 13, 2024.
Prior images dated September 6, 2024 are available.  
"Rads-2 regions" presume: Thorax, Right thoracic limb: base on provided history.
Overexposure with soft tissue saturation of some extremities.
Pulmonary parenchyma: Throughout the lungs are numerous, well-defined, variably sized, round and ovoid mineral foci.  In the right lateral image, over the ventral aspect of the 5th intercostal space, two small round soft tissue foci are suspected.  A minimal diffuse bronchial pattern is present.  Mild interstitial pattern in the left lungs with leftward mediastinal shift is not corroborated in the right lateral image.
Pulmonary vasculature: The pulmonary vasculature is subjectively normal in size and tapers in the periphery of the lungs.
Cardiac silhouette: The cardiac silhouette is normal in size and shape.
Mediastinum:  A leftward mediastinal shift is in the ventrodorsal images.  The cranial mediastinum is normal.
Trachea: The trachea is normal.
Esophagus: The esophagus is not well-identified.
Pleural space: The pleural space is normal.
Bones/Joints:
Right elbow osteoarthrosis is present, with osteophytes over the region of the medial coronoid process, radial head, anconeal process, and suspected at the medial humeral epicondyle.   
The soft tissues centered over the right elbow are subjectively enlarged in the lateral image, with rounding of the caudal aspect of the joint suspected.
The right shoulder is normal.
Mild to moderate osteophyte production is presumed at the caudodistal margin of the left glenoid. A small ovoid smoothly marginated mineral body is suspected just distal to the caudodistal margin of the left glenoid.
The left elbow is normal.  
There is no evidence of medullary sclerosis, osteolysis, endosteal scalloping, or periosteal proliferation.
Soft tissues:  The included soft tissues are normal.</t>
  </si>
  <si>
    <t xml:space="preserve">1. Multifocal pulmonary osseous nodules such as from osseous metaplasia, granuloma from prior disease, or metastatic neoplasia such as from occult primary osseous neoplasm (osteosarcoma).
2. Possible pulmonary soft tissue nodules versus evolving mineralized nodules similar to #1 above.
- Soft tissue nodules are suspicious for evolving metastatic/multicentric neoplasia, or less likely other.
3. Leftward mediastinal shift likely from recumbency atelectasis/positioning and suspected transient left-sided interstitial pattern as a result.
4. Minimal diffuse bronchial pattern due to fibrosis from prior disease, age-related changes, less likely atypical evolving systemic disease/metastatic neoplasia, or unlikely other.
5. Mild-moderate right elbow osteoarthrosis  and presumed intra-capsular soft tissue swelling from synovial proliferation/effusion, or unlikely other such as an evolving neoplasm.
6. Moderate left shoulder osteoarthrosis, with associated small ovoid mineral body due to enthesophyte or secondary center of ossification, or unlikely other.
</t>
  </si>
  <si>
    <t>Consider abdominal imaging for further evaluation, and consider coagulation testing with tissue sampling depending on results. Routine blood work and consider 4DX testing given possibly shifting-leg lameness from reported clinical signs.
Consider computed tomography of the elbows/shoulders and thorax for further evaluation of the suspicious pulmonary nodules and a more sensitive evaluation of occult aggressive bone lesion.  
Empirical therapy and supportive care in the interim as needed.  Monitoring as directed, or sooner if clinical signs acutely change, fail to improve or worsen.</t>
  </si>
  <si>
    <t xml:space="preserve">
1.A moderate interstitial to alveolar pattern has been detected._x000D_
2.A minimal perihilar infiltrate has been detected._x000D_
3.Pleural fissure lines or small volume pleural effusion has been detected. In a mildly to moderately overweight animal, excessive pericardial fat can artifactually mimic the result of mild pleural effusion._x000D_
4.The cardiac silhouette size is normal._x000D_
5.There is no evidence of DYNAMIC AIRWAY COLLAPSE or BRONCHIECTASIS.</t>
  </si>
  <si>
    <t>Four radiographs of the thorax are provided. There is equivocal prominence of the left atrium. Cardiac to thoracic ratio is normal. The right heart is increased in convexity on the VD projection due to thoracic conformation. Pulmonary vessels are normal size. There are no abnormalities in the pulmonary parenchyma or pleural space. Adequate tracheal diameter. Normal plane of the esophagus. In the cranial abdomen the liver is upper normal size. Fat opaque lipomatous bulge ventral to the xiphoid process is incidental.</t>
  </si>
  <si>
    <t>Prominent left atrium consistent with acquired mitral valve disease. There is no pulmonary venous congestion or pulmonary edema. This is not the cause for the cough. The thorax is otherwise normal. A reason for the cough is not identified. Inhaled irritant/allergens is suspected. Although no tracheal abnormalities are appreciated on this study, dynamic collapse is not ruled out, as it may not be imaged on a static radiographic study.</t>
  </si>
  <si>
    <t xml:space="preserve">
1.A minimal interstitial pulmonary pattern with a concurrent, mild perihilar infiltrate have been detected._x000D_
2.The cardiac silhouette size is normal._x000D_
3.There is no evidence of ALVEOLAR PATTERN, DYNAMIC AIRWAY COLLAPSE or BRONCHIECTASIS or PULMONARY NODULES.</t>
  </si>
  <si>
    <t>Three radiographs of the thorax/abdomen are provided. Equivocal visibility of the left atrium on the VD projection, not seen on the lateral views. Cardiac to thoracic ratio is normal. Pulmonary vessels are normal size. Mild age-related changes in the lungs. No pleural effusion. Mild narrowed cervical trachea, of uncertain significance today. No cervicothoracic spinal abnormalities. Normal proximal thoracic limbs. In the abdomen there are punctate nephroliths bilaterally, likely incidental. No radiopaque cystic calculi. Serosal detail is adequate. Formed feces fills the colon. The stomach and small bowel are minimally filled. Normal-sized liver, kidneys, spleen. No lumbar spinal abnormalities are appreciated. Both acetabula are shallow, the femoral heads are flattened and poorly covered by the dorsal acetabular rims. Moderate osseous proliferation on the acetabula and femoral necks.</t>
  </si>
  <si>
    <t>Bilateral coxofemoral osteoarthritis and subluxation. This is the only abnormality identified on this examination which could explain the discomfort and clinical signs. Intervertebral disc disease may also be present and contributing to discomfort. The abdomen and thorax are normal.</t>
  </si>
  <si>
    <t>Recommend palpate for spinal and coxofemoral joint discomfort, and a neurologic examination.</t>
  </si>
  <si>
    <t xml:space="preserve">
1.The cardiac silhouette size is normal._x000D_
2.There is no evidence of BRONCHITIS, PERIHILAR INFILTRATE, PULMONARY NODULES or PLEURAL EFFUSION._x000D_
3.A minimal interstitial pattern has been detected.</t>
  </si>
  <si>
    <t xml:space="preserve">
1.A minimal perihilar infiltrate has been detected._x000D_
2.A minimal bronchial pattern has been detected._x000D_
3.The cardiac silhouette size is normal._x000D_
4.There is no evidence of ALVEOLAR PATTERN or DYNAMIC AIRWAY COLLAPSE or BRONCHIECTASIS.</t>
  </si>
  <si>
    <t>Thorax. Three radiographs (two lateral, one VD) dated September 13, 2024 are provided.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Musculoskeletal: Incidentally, there is focal pectus excavatum of the caudal sternum. There is lateralized spondylosis deformans of the cranial lumbar spine.
Cranial abdomen: The liver is moderately enlarged and extends well beyond the costal arch. There is heterogeneous ingesta admixed with gas in the stomach.</t>
  </si>
  <si>
    <t xml:space="preserve">1. Normal cardiopulmonary structures. There is no evidence of metastatic disease.
2. Moderate hepatomegaly.  This is a nonspecific finding, differentials include metabolic disease, endocrine disease, inflammation, and less likely, infiltrative neoplasia.  </t>
  </si>
  <si>
    <t>Fine-needle aspirates or biopsy of the reported toe mass is recommended for a cytologic/histologic diagnosis and to guide treatment recommendations. An abdominal ultrasound could be considered to further evaluate the liver.</t>
  </si>
  <si>
    <t xml:space="preserve">
1.Are respiratory signs present? If YES._x000D_
2.Are respiratory signs present? If NO._x000D_
3.MINIMAL to MILD BRONCHOINTERSTITIAL PULMONARY PATTERN; MINIMAL DYNAMIC AIRWAY DISEASE._x000D_
4.Based on these AI airway/pulmonary findings, the probability of this patient having clinically detectable respiratory signs are LOW (25%)_x000D_
5.The cardiac silhouette size is normal.</t>
  </si>
  <si>
    <t>Orthogonal views of the abdomen are provided:_x000D_
_x000D_
Abdomen:_x000D_
_x000D_
The stomach is gas and food filled._x000D_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Kidneys and urinary bladder WNL._x000D_
_x000D_
Unremarkable thorax and visible spine._x000D_
Unremarkable pelvis.</t>
  </si>
  <si>
    <t>Consider abdominal US to further evaluate the liver and causes of vomition, lethargy and pain on abdominal palpation.</t>
  </si>
  <si>
    <t>Three radiographs of the thorax, and three views of the abdomen are provided. In the thorax the cardiac silhouette is mild to moderately enlarged. The cranial pulmonary vein is enlarged. There is a severe interstitial pattern in the perihilar region and radiating distally. Subsequent reduced visibility of perihilar vessels. Mild age-related changes also in the lungs, to include several incidental pulmonary osteomas. No soft tissue pulmonary nodules or pleural effusion. Tracheal diameter is adequate. The caudal thoracic trachea and mainstem bronchi are deviated dorsally by the enlarged heart._x000D_
_x000D_
In the abdomen the abdomen is pendulous. Suspect irregular splenic tail margins versus superimposed small bowel. Small volume adjacent effusion. The liver is normal size. The kidneys are incompletely visible. The gastrointestinal tract is moderately filled. Several metal opaque fragments adjacent to the left coxofemoral joint, with evidence of previous left ilial body fracture. Additional 1.2 cm metal opaque fragment in the cranioventral left abdominal tissues, incidental today. No radiopaque urolithiasis.</t>
  </si>
  <si>
    <t>1. Mild to moderate cardiomegaly most consistent with dilated cardiomyopathy. There is pulmonary venous congestion and mild pulmonary edema indicating left-sided heart failure._x000D_
2. Scant peritoneal effusion and suspect lobulated splenic tail. This is concerning for neoplasia such as hemangiosarcoma. Hematomas, hemangioma, lymphoid hyperplasia, or superimposed fluid-filled small bowel could cause the appearance of irregular spleen. No other definitive intra-abdominal abnormalities.</t>
  </si>
  <si>
    <t>Diuretic administration, an echocardiogram, and abdominal ultrasound are recommended.</t>
  </si>
  <si>
    <t xml:space="preserve">
1.A severe perihilar infiltrate has been detected._x000D_
2.The evaluation has a strong suspicion of pulmonary nodules or mass lesion being present._x000D_
3.Pleural fissure lines or moderate to severe pleural effusion has been detected. An overlying skin fold or in an obese animal, excessive pericardial fat could artifactually mimic the result of severe pleural effusion._x000D_
4.Severe cardiomegaly has been detected but Heart Failure is NOT suspected._x000D_
5.SEVERE INTERSTITIAL TO ALVEOLAR PATTERN; SEVERE BRONCHIAL PATTERN; SEVERE DYNAMIC AIRWAY DISEASE._x000D_
6.Based on these AI airway/pulmonary findings, the probability of this patient having clinically detectable respiratory signs is VERY HIGH (&gt;75%)_x000D_
7.Are respiratory signs present? If YES._x000D_
8.Are respiratory signs present? If NO.</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</si>
  <si>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trachea is uniform in diameter.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</si>
  <si>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Radiographically normal abdomen.  Radiographically normal thorax for patient of this age.  Lack of specific changes does not rule out dynamic tracheal collapse or bronchitis.</t>
  </si>
  <si>
    <t>Three radiographs of the thorax, and orthogonal views of the abdomen are provided. The cardiac silhouette and pulmonary vessels are of normal size and shape. There are no abnormalities in the pulmonary parenchyma. No pleural effusion. Normal tracheal diameter. No cervicothoracic spinal abnormalities. Normal proximal thoracic limbs._x000D_
_x000D_
In the abdomen there is no effusion or organomegaly. The gastrointestinal tract is mildly filled. There are a few linear mineral opaque wire-like object in the cranioventral abdomen consistent with foreign material ingestion such as a barbecue brush bristle. This is a common incidental finding in canine patients, and these objects are typically located within hepatic parenchyma or loose within the peritoneal space. Normal size liver, spleen, kidneys. No radiopaque urolithiasis. No lumbar spinal abnormalities. The coxofemoral joints are congruent.</t>
  </si>
  <si>
    <t>Normal thorax and abdomen. A reason for discomfort is not identified. Soft tissue sprain/strain is most likely. Intervertebral disc protrusion is next on the differential list.</t>
  </si>
  <si>
    <t xml:space="preserve">
1.MODERATE INTERSTITIAL TO ALVEOLAR PATTERN; MILD BRONCHITIS._x000D_
2.Based on these AI airway/pulmonary findings, the probability of this patient having clinically detectable respiratory signs is MEDIUM (50%)_x000D_
3.Are respiratory signs present? If YES._x000D_
4.The cardiac silhouette size is normal._x000D_
5.There is no evidence of DYNAMIC AIRWAY COLLAPSE or BRONCHIECTASIS or PULMONARY NODULES._x000D_
6.Are respiratory signs present? If NO.</t>
  </si>
  <si>
    <t>WHOLE-BODY (4 total radiographs for review). _x000D_
_x000D_
- The cardiac silhouette is within normal limits for size, shape and margins._x000D_
- The pulmonary vasculature is normal._x000D_
- There is a moderate diffuse bronchial pattern with peripheral airway mineralization and multiple small mineralized foci throughout the lungs._x000D_
- There is a soft tissue opaque band dorsally overlying the trachea in the region of the thoracic inlet._x000D_
- The pleural space, mediastinum and remaining included intrathoracic structures are normal._x000D_
- The stomach contains a moderately volume of gas stippled soft-tissue opaque material and multiple small mineral opaque foci._x000D_
- The small intestine contains mild multifocal gas and soft-tissue opaque material._x000D_
- The liver, spleen, kidneys and limited assessment of the urinary bladder are normal._x000D_
- There is mild multifocal vertebral spondylosis deformans which is most notable in the cranial lumbar region.</t>
  </si>
  <si>
    <t>1.  No distinct radiographic evidence of cardiomegaly or pulmonary vasculature enlargement is identified.  Despite this, given the reported audible cardiac murmur it may still be reasonable to consider consultation with a veterinary cardiologist regarding echocardiography/ECG for further evaluation._x000D_
_x000D_
2.  Moderate diffuse bronchial pattern with numerous pulmonary osteomas. Most likely representing age-related lower airway changes, however a component of chronic bronchitis is possible, especially if there is a history of abnormal respiratory sounds, wheezing and/or coughing._x000D_
_x000D_
3.  The appearance of the trachea at the level of the thoracic inlet can be compatible with tracheal collapse, secondary to chondromalacia._x000D_
_x000D_
4.  Moderate nonspecific gastric undigested food with few small mineral opaque fragments._x000D_
_x000D_
5.  Mild cranial lumbar vertebral spondylosis deformans.</t>
  </si>
  <si>
    <t>As above</t>
  </si>
  <si>
    <t xml:space="preserve">
1.MODERATE INTERSITIAL TO ALVEOLAR PATTERN; MILD BRONCHITIS; MINIMAL PERIHILAR INFILTRATE._x000D_
2.Probability these AI pulmonary findings will accompany clinically detectable respiratory signs: MEDIUM to HIGH (50-75%%)_x000D_
3.Are respiratory signs present? If YES._x000D_
4.AI linked bacterial pneumonia treatment in dogs: https://platform.v2.vetology.net/doc/pneumonia-in-dogs-and-cats_x000D_
5.Are respiratory signs present? If NO._x000D_
6.The cardiac silhouette size is normal.</t>
  </si>
  <si>
    <t>WHOLE-BODY (14 total radiographs for review). _x000D_
_x000D_
- The coxofemoral joints are within normal limits bilaterally._x000D_
- The femurs are normal bilaterally._x000D_
- The stifle joints are normal bilaterally._x000D_
- Along the cranial surface of the right tibial crest, there is irregular enthesous new bone formation._x000D_
- The remainder of the crural region is normal bilaterally._x000D_
- The included portions of the tarsi and distal pelvic limbs are normal._x000D_
- The shoulder joints are normal bilaterally._x000D_
- The humeri are unremarkable bilaterally._x000D_
- There is a very subtle, minimal blunting of the medial coronoid process of the right ulna._x000D_
- The left medial coronoid process is normal._x000D_
- The remainder of the elbow joints are normal bilaterally._x000D_
- The antebrachial region and carpi are normal._x000D_
- The cardiac silhouette and pulmonary vasculature are normal._x000D_
- The pulmonary parenchyma is normal_x000D_
- The trachea, esophagus and mediastinum are normal._x000D_
- The pleural space, diaphragm and ribs are normal._x000D_
- The remaining intrathoracic structures are normal._x000D_
- The liver is mildly enlarged, with rounded margins._x000D_
- The spleen is mildly enlarged with rounded margins._x000D_
- The stomach contains mild gas and gas stippled soft-tissue opaque material._x000D_
- The small intestine is nondistended and mostly homogenously soft tissue opaque._x000D_
- The colon contains gas and mild formed fecal material._x000D_
- The remaining intra-abdominal structures are normal._x000D_
- The vertebral column is unremarkable.</t>
  </si>
  <si>
    <t>1.  Unremarkable coxofemoral joints._x000D_
_x000D_
2.  Minimal blunting of the medial coronoid process of the right ulna.  This is a very subtle radiographic finding and can be artefactual due to obliquity of the CC projection of the elbows, however mild osteoarthritic change (such as secondary to underlying elbow dysplasia) is possible. Further investigation, multiple oblique projections of the elbow joints (a CC view with the elbow in extension and 15-25 degrees of supination is advocated) forelimb CT and/or consultation with an orthopedic specialist may be considered._x000D_
_x000D_
3.  Likely incidental right anterior/cranial tibial enthesopathy or bony exostosis from prior trauma._x000D_
_x000D_
4. Mild splenomegaly. DDx breed related variant (Malinois/Shepherd) +/- congestion from sedation, lymphoid hyperplasia, EMH, less likely neoplasia._x000D_
_x000D_
5. Mild hepatomegaly. Most likely vacuolar (metabolic) hepatopathy. Hepatitis, hepatic congestion or neoplasia are less likely, but possible._x000D_
_x000D_
6.  Normal thorax.</t>
  </si>
  <si>
    <t xml:space="preserve">
1.The cardiac silhouette size is normal._x000D_
2.There is no evidence of BRONCHITIS, PERIHILAR INFILTRATE, DYNAMIC AIRWAY COLLAPSE or BRONCHIECTASIS or PULMONARY NODULES._x000D_
3.A minimal interstitial pattern has been detected.</t>
  </si>
  <si>
    <t>7 images of the thorax and abdomen are provided for review.  The cardiovascular structures are normal.  There is a mild bronchial pattern in all lung lobes.  The mediastinal and pleural structures are normal.  Abdominal serosal detail is adequate in all quadrants.  The stomach contains a moderate amount of gas.  The small intestines are normal in size.  Gas and feces are present in the colon.  The urinary bladder is small.  The remaining abdominal organs are normal.</t>
  </si>
  <si>
    <t>Radiographically normal abdomen.  Mild bronchial pulmonary pattern=ZZ90= consider viral or Bordetella type pneumonitis most likely but cannot rule out bronchitis, response to inhaled irritants, response to circulating parasites, eosinophilic bronchopneumopathy.</t>
  </si>
  <si>
    <t xml:space="preserve">
1.MILD INTERSTITIAL to ALVEOLAR INFILTRATE; MILD PERIHILAR INFILTRATE._x000D_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DYNAMIC AIRWAY COLLAPSE or BRONCHIECTASIS.</t>
  </si>
  <si>
    <t>Orthogonal views of the thorax are provided:_x000D_
_x000D_
Thorax:_x000D_
_x000D_
There is unilateral right cranial pleural effusion with visible pleural fissure lines, retracting the right cranial lung lobe from the thoracic wall, with poor visualization of its parenchyma, leading to an increased pulmonary opacification due to lung atelectasis and increased the opacification of the thorax._x000D_
Cardiac silhouette has a normal shape and size._x000D_
Pulmonary vessels are within normal limits of size and shape._x000D_
Aerated pulmonary parenchyma is within normal limits. Can not exclude pulmonary nodules/masses._x000D_
Mediastinum, diaphragm and thoracic wall within normal limits.</t>
  </si>
  <si>
    <t>1) Located right cranial pleural effusion. Rule out modified transudate vs exudate vs hemothorax or chylothorax less likely._x000D_
2) Rule out subjacent pulmonary pathology in th eight cranial lung lobe such as primary neoplasm vs complicatied infectious process._x000D_
3) No signs of cardiomegaly (this does not exclude a cardiac disease),</t>
  </si>
  <si>
    <t>Given the lack of cardiomegaly but audible murmur, consider a cardiology consultation with ECG and echocardiogram. Thoracocentesis with fluid analysis and follow up radiographs with focal thoracic US vs CT of the thorax with thoracocentesis.</t>
  </si>
  <si>
    <t>Six images are provided.
Images are dated September 13, 2024.
Bones/Joints:
A dens is present.  There is no evidence of atlantoaxial joint subluxation.  C6-7 is suspiciously narrowed in some images and obscured in other images, with possible in situ intervertebral disc mineral.
There is no evidence of mineral over the intervertebral foramina.  There is no evidence of intervertebral dorsal articulation osteoarthrosis.
There is no evidence of medullary sclerosis, osteolysis, endosteal scalloping, or periosteal proliferation.
Soft tissues:  The included paraspinal soft tissues are normal.</t>
  </si>
  <si>
    <t>1. Suspicious for C6-7 intervertebral disc space narrowing/disc disease and in situ intervertebral disc mineral, versus artifact/positioning.</t>
  </si>
  <si>
    <t>Etiology of reported clinical signs is not definitively identified but may be from cervical intervertebral disc disease.  Consider routine blood work and abdominal imaging for further evaluation.  Consider neurologist consultation and MRI for further evaluation.  Empirical therapy and supportive care in the interim as needed.  Monitoring as directed, or sooner if clinical signs acutely change, fail to improve or worsen.</t>
  </si>
  <si>
    <t xml:space="preserve">
1.A minimal to mild bronchointerstitial pulmonary pattern has been detected._x000D_
2.There is no evidence of PERIHILAR INFILTRATE, PULMONARY NODULES or PLEURAL EFFUSION._x000D_
3.Mild cardiomegaly has been detected but Heart Failure is NOT suspected.</t>
  </si>
  <si>
    <t>Orthogonal views of the thorax are provided:_x000D_
_x000D_
Thorax:_x000D_
_x000D_
No abnormalities seen in the trachea._x000D_
Cardiac silhouette shows a mild enlargement of the left atrium dorsally displacing the carina. Aortic arch is prominent in the lateral views._x000D_
Pulmonary vessels are within normal limits of size and shape._x000D_
Pulmonary parenchyma is within normal limits. No evidence of pneumonia nor signs of pulmonary nodules/masses._x000D_
Pleural space, mediastinum, diaphragm and thoracic wall within normal limits.</t>
  </si>
  <si>
    <t>1) Left atrial enlargement secondary to chronic mitral endocardiosis without signs of CHF. Rule out concomitant tricuspid endocardiosis with pulmonary hypertension._x000D_
2) Aortic arch: rule out age related change vs subaortic stenosis vs systemic hypertension._x000D_
3) Unremarkable lungs do not exclude a bronchitis of allergic vs inflammatory/infectious or parasitic origin.</t>
  </si>
  <si>
    <t>Consider a cardiology consultation with ECG and echocardiogram followed by continuation with empirical treatment for chronic bronchitis evaluating response to treatment.</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</si>
  <si>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5.The cardiac silhouette size is normal._x000D_
6.There is no evidence of PERIHILAR INFILTRATE or PULMONARY NODULES.</t>
  </si>
  <si>
    <t>SPINE (6 radiographs for review). _x000D_
_x000D_
- The caudal portion of the skull and the atlantoaxial junction are normal._x000D_
- The cervical vertebrae and cervicothoracic junction are normal._x000D_
- There is mild age-related and likely incidental laryngeal mineralization._x000D_
- The thoracic vertebrae and thoracolumbar junction are normal._x000D_
- The lumbar vertebrae and lumbosacral junction are normal._x000D_
- The sacrum and sacroiliac joints are normal._x000D_
- The pelvic bones are normal._x000D_
- The coxofemoral joints are normal._x000D_
- The included portions of the proximal pelvic limbs are normal._x000D_
- The visible portions of the thorax and abdomen are normal.</t>
  </si>
  <si>
    <t>1. A discrete spinal cause for the reported clinical signs is not clearly identified.  The cervical spine is unremarkable.  Radiographic sensitivity for detecting lesions affecting the spine (e.g. IVDD, FCE) can be limited. There are no fractures, luxations, discospondylitis or aggressive bone lesions noted. If clinically indicated, consultation with a veterinary neurologist and/or advanced imaging of the spine (e.g. CT or MRI) might be considered.</t>
  </si>
  <si>
    <t xml:space="preserve">
1.The evaluation has a strong suspicion of pulmonary nodules or mass lesion being present._x000D_
2.A minimal interstitial pattern has been detected._x000D_
3.Minimal dynamic airway disease has been detected._x000D_
4.The cardiac silhouette size is normal._x000D_
5.There is no evidence of ALVEOLAR PATTERN or PLEURAL EFFUSION.</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</si>
  <si>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Unformed feces in the colon._x000D_
Serosal detail is preserved._x000D_
Liver extends beyond the costal arch with sharp margins._x000D_
Spleen is within normal limits of size and smoothly marginated._x000D_
Kidneys and urinary bladder WNL.</t>
  </si>
  <si>
    <t>1) Unremarkable thorax without signs of cardiomegaly (this does not exclude a cardiac disease), pulmonary metastases nor signs of thoracic lymphadenopathy. _x000D_
2) Hepatomegaly: Metabolic vs Vacuolar infiltration vs Hepatic nodular hyperplasia vs Inflammatory vs Toxic vs Neoplastic or a combination of these differentials._x000D_
3) Unformed feces in the colon. Rule out colitis of allergic/inflammatory/idiopathic origin vs IBD flare up vs colitis secondary to dietary indiscretion/diet change.</t>
  </si>
  <si>
    <t>Given the lack of cardiomegaly but audible murmur, consider a cardiology consultation with ECG and echocardiogram and abdominal US to further evaluate the liver prior to a CT of the oral and nasal cavities with rhinoscopy/biopsies.</t>
  </si>
  <si>
    <t xml:space="preserve">
1.Moderate cardiomegaly has been detected but Heart Failure is NOT suspected._x000D_
2.MODERATE BRONCHINTERSTITIAL PATTERN; MILD DYNAMIC AIRWAY DISEASE; ATELECTASIS or less likely, PNEUMONIA._x000D_
3.Based on these AI airway/pulmonary findings, the probability of this patient having clinically detectable respiratory signs is MEDIUM (50%)_x000D_
4.Are respiratory signs present? If YES._x000D_
5.Are respiratory signs present? If NO._x000D_
6.There is no evidence of PULMONARY NODULES.</t>
  </si>
  <si>
    <t>Orthogonal views of the thorax and abdomen are provided:_x000D_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and urinary bladder WNL.</t>
  </si>
  <si>
    <t>1) Unremarkable thorax without signs of cardiomegaly (this does not exclude a cardiac disease), pulmonary metastases nor signs of thoracic lymphadenopathy. _x000D_
2) Unremarkable abdomen.</t>
  </si>
  <si>
    <t>Consider abdominal US to further evaluate the hepato-billiary system and causes of hypercalcemia, lethargy and anorexia with +/- rectal exam._x000D_
Given the lack of cardiomegaly but audible murmur, consider a cardiology consultation with ECG and echocardiogram. Evaluate the convenience of a CT of the oral cavity.</t>
  </si>
  <si>
    <t xml:space="preserve">
1.The cardiac silhouette size is normal._x000D_
2.There is no evidence of PERIHILAR INFILTRATE or DYNAMIC AIRWAY COLLAPSE or BRONCHIECTASIS._x000D_
3.A mild bronchial pattern has been detected.</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</si>
  <si>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t>
  </si>
  <si>
    <t>1) Lack of visualization of tracheal collapse does not exclude this differential (especially taking into account the breed). Unremarkable lungs do not exclude a bronchitis of allergic vs inflammatory/infectious or parasitic origin. _x000D_
2) Hepatomegaly: Metabolic vs Vacuolar infiltration vs Hepatic nodular hyperplasia vs Inflammatory vs Toxic vs Neoplastic or a combination of these differentials.</t>
  </si>
  <si>
    <t>Consider abdominal US to further evaluate the liver and entire abdomen as part of the work up for Evans syndrome._x000D_
Evaluate the benefit of a fluoroscopy (followed by tracheobronchoscopy, BAL and culture/cytology)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If negative, consider empirical treatment for chronic bronchitis.</t>
  </si>
  <si>
    <t>Patient Name : Chi Chi Two Jackson, Date of study: Sep 12, 2024
3 images are provided for review
There are no previous radiographs for comparison.
Pulmonary parenchyma: A mild diffuse bronchial pattern is present.
Pulmonary vasculature: The pulmonary vasculature is subjectively normal in size and tapers in the periphery of the lungs.
Cardiac silhouette: In the right lateral image, the caudodorsal margin of the cardiac silhouette is slightly flat.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soft tissue material admixed with gas.   The stomach is within normal limits for size.
The small intestine contains mild to moderate gas and fluid or is empty with a subjectively uniform population for size. 
The colon contains mild to moderate well-defined soft tissue material and gas.  The colon is within normal limits for size.  
Musculoskeletal: The included musculoskeletal structures are normal.</t>
  </si>
  <si>
    <t xml:space="preserve">1. Equivocal left atrial enlargement versus phase of the cardiopulmonary cycle/patient positioning.
- If present, consider myxomatous mitral valvular disease.
- There is no current evidence of left-sided congestive heart failure.
2. Mild diffuse bronchial pulmonary pattern such as from fibrosis from prior disease, age-related changes, infectious/immune-mediated lower airway disease, inhaled allergen/irritant, or unlikely other.
3. Gastric material due to recent meal and/or gastritis/delayed gastric emptying, or less likely pyloric outflow tract obstruction.
4. Non-specific small intestinal appearance due to enteritis or variation of normal.
- There is no current evidence of gastrointestinal mechanical ileus.
- Differential diagnoses include dietary indiscretion, toxin ingestion, diet/antibiotic responsive disease, inflammatory bowel disease, pancreatitis, occult systemic disease or unlikely other.
</t>
  </si>
  <si>
    <t>Consider urinalysis and abdominal ultrasonography for further evaluation of the kidneys.  Consider echocardiography if a murmur is later identified.  Empirical therapy and supportive care in the interim as needed.  Monitoring as directed or sooner if clinical signs acutely change, fail to improve or worsen.</t>
  </si>
  <si>
    <t>Study:_x000D_
Thoracic radiography: three images dated September 12, 2024_x000D_
_x000D_
Findings:_x000D_
The cardiac silhouette is normal in size and shape. The pulmonary vasculature are normal in size and shape. The pulmonary parenchyma is unremarkable. No pulmonary nodules or masses are present. The pleural space is normal. There is no intrathoracic lymphadenopathy. The trachea is normal in diameter. The stomach contains heterogeneous soft tissue material presumed to be ingesta. There is a chronic remodeled fracture of the proximal aspect of the right sixth rib.</t>
  </si>
  <si>
    <t>1. Normal thorax. There is no radiographic evidence pulmonary metastatic disease. _x000D_
2. Chronic remodeled proximal 6th rib fracture. Correlate with any historic trauma.</t>
  </si>
  <si>
    <t>Computed tomography of the head can be considered for surgical planning of the reported oral melanoma.</t>
  </si>
  <si>
    <t xml:space="preserve">
1.A minimal interstitial pattern has been detected._x000D_
2.The cardiac silhouette size is normal._x000D_
3.The evaluation has come up positive for a pulmonary nodular pattern._x000D_
4.There is no evidence of ALVEOLAR PATTERN, PERIHILAR INFILTRATE, DYNAMIC AIRWAY COLLAPSE or BRONCHIECTASIS or PLEURAL EFFUSION.</t>
  </si>
  <si>
    <t>WHOLE-BODY (3 total radiographs for review). _x000D_
_x000D_
- Moderate to marked, diffuse, mixed bronchial and unstructured interstitial pattern throughout the lung lobes._x000D_
- Multiple thickened the pleural fissures._x000D_
- Impression of both left and right heart enlargement characterized by dorsal displacement of the caudal aspect of the thoracic trachea and straightening of the caudal cardiac margin in addition to rounding of the right side of the heart._x000D_
- The pulmonary vasculature is within normal limits._x000D_
- Increased soft tissue opacity in the region of the cranial mediastinum on the VD projection._x000D_
- Soft-tissue opaque band dorsally overlying the trachea in the region of the thoracic inlet._x000D_
- The stomach contains moderate gas and mild gas stippled soft-tissue opaque material._x000D_
- The small intestine and colon contains mild to moderate multifocal gas in the colon contains a small volume of formed fecal material._x000D_
- The liver, spleen, kidneys, urinary bladder and remaining abdominal structures are normal._x000D_
- L4-5 intervertebral disc space collapse with mineralization of the disc_x000D_
- Mild multifocal vertebral spondylosis deformans.</t>
  </si>
  <si>
    <t>1.  Diffuse, moderate to marked broncho-interstitial pulmonary pattern with thickened pleural fissures.  Consider chronic lower airway disease, likely bronchitis +/- pulmonary fibrosis.  A component of overlying bronchopneumonia is not completely excluded, however no overt pulmonary consolidation is appreciated._x000D_
_x000D_
2.  The appearance of the trachea at the level of the thoracic inlet can be compatible with tracheal collapse, secondary to chondromalacia._x000D_
_x000D_
3.  Moderate generalized cardiomegaly with evidence of both left and right heart enlargement.  The left heart enlargement most likely due to degeneration of the mitral valve.  The right heart enlargement most likely secondary to cardiac remodeling (cor pulmonale) from chronic pulmonary hypertension, or alternatively tricuspid valvular insufficiency.  No evidence of congestive heart failure is distinctly appreciated.  Consider consultation with a veterinary cardiologist and echocardiography/ECG for further evaluation._x000D_
_x000D_
4.  Increased soft tissue opacity in the region of the cranial mediastinum can be a combination of mediastinal fat and a prominent aortic root (as the patient is reported to have systemic hypertension). A heart-base mass is less likely but not completely excluded._x000D_
_x000D_
5.  Fairly unremarkable postprandial abdomen with aerophagia._x000D_
_x000D_
6. L4-5 intervertebral disc disease.</t>
  </si>
  <si>
    <t>As above.  This patient may benefit from internal medicine consultation given the presence of multiple comorbidities.</t>
  </si>
  <si>
    <t xml:space="preserve">
1.Are respiratory signs present? If NO._x000D_
2.A mild perihilar infiltrate has been detected._x000D_
3.Are respiratory signs present? If YES._x000D_
4.SEVERE INTERSTITIAL TO ALVEOLAR PATTERN; MODERATE BRONCHIAL PATTERN; MODERATE DYNAMIC AIRWAY DISEASE._x000D_
5.Based on these AI airway/pulmonary findings, the probability of this patient having clinically detectable repsiratory signs is VERY HIGH (&gt;75%)_x000D_
6.AI linked pneumonia in dogs article: https://platform.v2.vetology.net/doc/pneumonia-in-dogs-and-cats_x000D_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t>
  </si>
  <si>
    <t>THORAX (3 total radiographs for review). _x000D_
_x000D_
- There is marked left-sided cardiomegaly present, with overt left atrial enlargement characterized by increased cardiac height and a rounded soft tissue opacity along the caudodorsal cardiac contour.  There is overt elevation and compression of the left principal bronchus by the enlarged left atrium._x000D_
- The pulmonary vasculature is normal._x000D_
- Mild, diffuse, mixed bronchial and unstructured interstitial pattern, more notable throughout the right hemithorax._x000D_
- Pleural space, mediastinum and remaining included intrathoracic structures normal._x000D_
- The liver is moderately to markedly enlarged, extending caudal to the costal arch with rounded margins._x000D_
- The stomach contains mild gas and gas stippled soft-tissue opaque material._x000D_
- The remaining cranial abdominal structures are normal._x000D_
- L2-3 intervertebral disc space narrowing with endplate sclerosis and spondylosis deformans (limited assessment).</t>
  </si>
  <si>
    <t>1.  Marked left-sided cardiomegaly with overt left atrial enlargement and without pulmonary vasculature congestion or congestive heart failure. Most likely compatible with degeneration of the mitral valve. Consider consultation with a veterinary cardiologist and echocardiography/ECG for further assessment.  In this case, compression of the left principal bronchus (and other airways) by the enlarged left atrium may be a significant contributor to the reported coughing._x000D_
_x000D_
2.  Mild, diffuse, mixed broncho-interstitial pulmonary pattern.  Likely reflecting age-related lower airway degeneration however a component of chronic bronchitis is also possible._x000D_
_x000D_
3.  No distinct radiographic evidence of tracheal collapse is identified however this pathology is not excluded given the patient=ZZ91=s signalment._x000D_
_x000D_
4. Moderate hepatomegaly. Most likely vacuolar (metabolic) hepatopathy. Hepatitis, hepatic congestion or neoplasia are less likely, but possible._x000D_
_x000D_
5. L2-3 intervertebral disc disease.</t>
  </si>
  <si>
    <t xml:space="preserve">
1.Based on these AI airway/pulmonary findings, the probability of this patient having clinically detectable respiratory signs is LOW to MEDIUM (25-50%)_x000D_
2.Based on these AI airway/pulmonary findings, the probability of this patient having clinically detectable respiratory signs is MEDIUM (50%)_x000D_
3.Are respiratory signs present? If YES._x000D_
4.Are respiratory signs present? If YES._x000D_
5.Are respiratory signs present? If NO._x000D_
6.A mild perihilar infiltrate has been detected._x000D_
7.Severe cardiomegaly has been detected but Heart Failure is NOT suspected._x000D_
8.Are respiratory signs present? If NO._x000D_
9.MILD to MODERATE BRONCHOINTERSTITIAL PULMONARY PATTERN; MODERATE DYNAMIC AIRWAY COLLAPSE and/or BRONCHIECTASIS._x000D_
10.MILD TO MODERATE BRONCHOINTERSTITIAL PULMONARY PATTERN; ATELECTASIS or ALVEOLAR INFILTRATE.</t>
  </si>
  <si>
    <t>Thorax: The cranial mediastinum is widened with a soft tissue opacity.  The trachea is deviated dorsally.  The cardiac silhouette and pulmonary vasculature are unremarkable.  There is no evidence of pleural effusion._x000D_
_x000D_
Abdomen (lateral views): There appears to be somewhat lobar soft tissue mass within the subcutaneous tissues ventral to the urinary bladder.  The remainder of the abdominal viscera is unremarkable.  Spondylosis deformans is noted at the lumbosacral junction.</t>
  </si>
  <si>
    <t>Cranial mediastinal mass.  Lymphadenopathy should be considered._x000D_
_x000D_
The subcutaneous soft tissue mass ventral to the urinary bladder may represent inguinal lymphadenopathy.</t>
  </si>
  <si>
    <t>Consider thoracic and abdominal ultrasound for further evaluation.</t>
  </si>
  <si>
    <t xml:space="preserve">
1.The evaluation has a suspicion of pleural effusion and soft tissue pulmonary nodules or a mass lesion being present._x000D_
2.PLEURAL EFFUSION or PLEURAL FISSURE LINES; PULMONARY NODULES or NODULAR PATTERN; MODERATE TO SEVERE INTERSTITIAL TO ALVEOLAR PATTERN; MILD BRONCHITIS._x000D_
3.Based on the AI airway/pulmonary findings, the probability of this patient having clinically detectable respiratory signs is VERY HIGH (&gt;75%)_x000D_
4.Resource: https://vsso.org/lung-tumors-canine_x000D_
5.Are respiratory signs present? If YES._x000D_
6.Mild cardiomegaly has been detected but Heart Failure is NOT suspected._x000D_
7.Are respiratory signs present? If NO.</t>
  </si>
  <si>
    <t>Lumbar spine: There is no evidence of disc space narrowing.  There is no evidence of malalignment, fractures, or lysis.  Spondylosis deformans is noted at the lumbosacral junction.  There are no abnormalities involving the visible portions of the abdominal viscera._x000D_
_x000D_
Thoracic spine (lateral view): There are multiple regions of spondylosis deformities otherwise unremarkable.  There are no abnormalities involving the visible portions of the thorax.</t>
  </si>
  <si>
    <t>Lumbosacral spondylosis deformities and numerous regions of thoracic vertebral spondylosis deformities.</t>
  </si>
  <si>
    <t>Study:_x000D_
Thoracic radiography: right lateral and VD views (2 images) dated August 28, 2024_x000D_
_x000D_
Findings:_x000D_
The vertebral heart score is normal (approximately 10)=ZZ90=however, the cardiac silhouette appears wide on the lateral projection with increased sternal contact and the aortic arch appears enlarged on both views. The lobar vasculature is normal in size. There is a mild generalized bronchointerstitial pulmonary pattern. The pleural space is normal. There is no intrathoracic lymphadenopathy. The trachea is normal in diameter. The stomach contains recently ingested food. There is mild right elbow periarticular new bone formation.</t>
  </si>
  <si>
    <t>1. The diffuse bronchointerstitial pulmonary pattern is non-specific finding. This could be benign age related change or may indicated allergic, inflammatory, infectious, inhaled irritant or parasitic bronchitis. Interstitial lung disease (e.g. idiopathic pulmonary fibrosis) is also possible. Airway sampling plus/minus heartworm testing and Baermannn fecal flotation can be considered to further evaluate for lower airway disease. _x000D_
2. While the vertebral heart score is normal, the increased sternal contact and widening of the cardiac silhouette could indicate right ventricular enlargement (e.g. cor pulmonale, heartworm disease, degenerative valve disease or a cardiomyopathy). Echocardiography can be considered for further evaluation._x000D_
3. Enlargement of the aortic arch can be an indicator of systemic hypertension. Consider blood pressure testing for further evaluation._x000D_
4. Mild right elbow osteoarthrosis.</t>
  </si>
  <si>
    <t xml:space="preserve">
1.MODERATE ALVEOLAR PATTERN; CONCURRENT MILD BRONCHOINTERSTITIAL PATTERN; MILD DYNAMIC AIRWAY DISEASE._x000D_
2.Based on the AI airway/pulmonary findings, the probability of this patient having clinically detectable respiratory signs is MEDIUM to HIGH (50-75%)._x000D_
3.Moderate cardiomegaly has been detected but Heart Failure is NOT suspected._x000D_
4.Are respiratory signs present? If YES._x000D_
5.Are respiratory signs present? If NO.</t>
  </si>
  <si>
    <t>Study:_x000D_
Eight images that include the thorax/abdomen, lumbosacral spine, pelvis and pelvic limbs dated September 12, 2024_x000D_
_x000D_
Findings:_x000D_
The spine is unremarkable with no intervertebral disc space or foraminal narrowing. There is adequate coverage of the femoral head by the acetabulum bilaterally. There is mild to moderate remodeling thickening of the left femoral head and neck. The patella is in the correct anatomic location bilaterally. The degree of soft tissue opacity in the stifle joint spaces is within normal limits. There is no degenerative change in either stifle. The tarsus is normal bilaterally. The pelvic limb musculature is bilaterally symmetric. _x000D_
_x000D_
The cardiac silhouette and pulmonary vasculature are normal in size. The pulmonary parenchyma is unremarkable. The pleural space is normal. There is no intrathoracic lymphadenopathy. The trachea is normal in diameter. The stomach contains recently ingested food. The small intestines are normal in size, course and content. The colon contains formed fecal material with a normal diameter. The liver and spleen are normal in size and margin. The kidneys are normal in size and shape. The urinary bladder is normal in size and opacity. There is no prostatomegaly. The deep circumflex iliac artery is incidentally visualized end-on in the retroperitoneal space ventral to the L5-L6 disc space.</t>
  </si>
  <si>
    <t>1. Mild to moderate left coxofemoral osteoarthrosis. Consider activity restriction and pain management as needed._x000D_
2. There are no other osseous abnormalities. _x000D_
3. Normal thorax._x000D_
4. Unremarkable abdomen.</t>
  </si>
  <si>
    <t xml:space="preserve">
1.A moderate interstitial to alveolar pattern has been detected._x000D_
2.There is no evidence of DYNAMIC AIRWAY COLLAPSE or BRONCHIECTASIS._x000D_
3.Pleural fissure lines or moderate pleural effusion has been detected. An overlying skin fold or in a moderately overweight animal, excessive pericardial fat could artifactually mimic the result of moderate pleural effusion._x000D_
4.Mild cardiomegaly has been detected but Heart Failure is NOT suspected._x000D_
5.A moderate interstitial to alveolar pattern and moderate perihilar infiltrate have been detected.</t>
  </si>
  <si>
    <t>Eight images are provided.
Images are dated September 12, 2024.
Pulmonary parenchyma: Numerous, well-defined, discrete and coalescing, round soft tissue pulmonary nodules and small masses are present.  The largest of these lesions are in the left cranial and caudal lung lobes.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Multiple thoracic vertebra are narrowed in a craniocaudal dimension, and/or wedge or butterfly shaped, most severe from T4 through T11.  The remaining included musculoskeletal structures are normal.</t>
  </si>
  <si>
    <t>1. Numerous pulmonary soft tissue nodules and masses, largest in the left cranial/caudal lung lobes.
- Differential diagnoses include primary neoplasia (possible primary pulmonary carcinoma given larger left caudal lung lobe mass with multifocal pulmonary metastatic disease, versus metastasis from occult primary neoplasm), or unlikely granulomatous/fungal pneumonia such as from blastomycosis spp., coccidiomycosis spp., or other.
2. Mild diffuse bronchial pulmonary pattern due to fibrosis from prior disease, age-related changes, infectious/immune-mediated lower airway disease, and/or artifact from the technique of image acquisition, or unlikely other.
3. thoracic vertebral anomalies consistent with brachycephalic patient breed.</t>
  </si>
  <si>
    <t>Consider computed tomography of the thorax and head for further evaluation of pulmonary mass(es)/nodules and screening for occult primary neoplasm.  Abdominal imaging (computed tomography, ultrasonography) for further evaluation of primary mass given reported clinical signs.  Coagulation testing and tissue sampling of a peripherally accessible pulmonary lesion, or other depending on results.  Empirical therapy and supportive care in the interim as needed.  Monitoring as directed, or sooner if clinical signs acutely change, fail to improve or worsen.</t>
  </si>
  <si>
    <t xml:space="preserve">
1.In older dogs, a pulmonary mass or pulmonary nodules, pulmonary hemorrhage, pleural effusion or PTE are primary considerations._x000D_
2.In the ABSENCE of respiratory signs, lung lobe collapse or severe atelectasis secondary to anesthesia or deep sedation could artifactually create this appearance._x000D_
3.The evaluation has detected soft tissue pulmonary nodules and pleural fluid._x000D_
4.PULMONARY NODULES or NODULAR PATTERN; PLEURAL EFFUSION or PLEURAL FISSURE LINES; SEVERE INTERSTITIAL TO ALVEOLAR PATTERN; MODERATE BRONCHIAL PATTERN; DYNAMIC AIRWAY DISEASE._x000D_
5.Based on the AI airway/pulmonary findings, the probability of this patient having clinically detectable respiratory signs is VERY HIGH (&gt;75%)_x000D_
6.If this AI evaluation is inconsistent with your assessment or the clinical picture, a Vetology AI overread may be beneficial._x000D_
7.The cardiac silhouette size is normal.</t>
  </si>
  <si>
    <t>Thorax. Three radiographs (two lateral, one VD) dated September 12, 2024 are provided.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cranial mediastinum is normal in width and opacity. There is no evidence of intrathoracic lymphadenopathy.
Trachea: The trachea is focally narrowed at the level of the thoracic inlet on the left lateral view. On the right lateral view, there is a band of soft tissue opacity which is superimposed with the dorsal 3/4ths of the tracheal lumen. The carina is normal.
Esophagus: There is a rounded soft tissue opacity in the caudal dorsal thorax at the level of the esophageal hiatus.
Cranial abdomen: There is adequate serosal detail in the cranial abdomen. The liver is unremarkable.
Musculoskeletal: The included skeletal and superficial soft tissue structures are unremarkable.</t>
  </si>
  <si>
    <t>1. Tracheal narrowing is consistent with tracheal collapse, likely secondary to chondromalacia. There is also evidence of a redundant tracheal membrane which is a component of dynamic airway disease.
2. There is evidence of a hiatal hernia. This may be secondary to increased respiratory effort from dynamic airway disease.
3. Normal cardiopulmonary structures.</t>
  </si>
  <si>
    <t>Medical management for dynamic airway disease is recommended. Consultation with a surgeon could be considered to address the hiatal hernia.</t>
  </si>
  <si>
    <t xml:space="preserve">
1.Mild dynamic airway disease has been detected._x000D_
2.The cardiac silhouette size is normal._x000D_
3.There is no evidence of BRONCHITIS, PULMONARY NODULES or PLEURAL EFFUSION._x000D_
4.A mild perihilar infiltrate and concurrent, mild dynamic airway disease have been detected.</t>
  </si>
  <si>
    <t>THORAX (3 total radiographs for review). _x000D_
_x000D_
- Mild rightward mediastinal shift._x000D_
- Subtle unstructured interstitial pattern in the region of the right middle lung lobe on the VD projection._x000D_
- Mild, diffuse bronchial pulmonary pattern with peripheral airway mineralization._x000D_
- The cardiac silhouette, pulmonary vasculature, pleural space, trachea, mediastinum and remaining included intrathoracic structures are normal._x000D_
- The included cranial abdominal structures are normal._x000D_
- No discrete musculoskeletal abnormalities are identified.</t>
  </si>
  <si>
    <t>1.  Radiographically, no obvious cause for the reported coughing is clearly appreciated.  There is a mild diffuse bronchial pattern with peripheral airway mineralization, which could reflect low-grade chronic lower airway disease (bronchitis), however the changes are fairly subtle.  A component of this can be expected age-related lower airway degeneration.  If the coughing is persistent or worsening despite medical management for lower airway disease, consider consultation with an internal medicine specialist and/or cervicothoracic CT for further assessment._x000D_
_x000D_
2.  There is no distinct evidence of tracheal collapse appreciated however given the patient=ZZ91=s signalment, the pathology is not excluded._x000D_
_x000D_
3.  Mild right middle lung lobe pulmonary atelectasis.</t>
  </si>
  <si>
    <t xml:space="preserve">
1.A mild interstitial to alveolar pattern and minimal perihilar pattern have been detected._x000D_
2.The cardiac silhouette size is normal._x000D_
3.There is no evidence of BRONCHITIS or DYNAMIC AIRWAY COLLAPSE or BRONCHIECTASIS.</t>
  </si>
  <si>
    <t>WHOLE-BODY (3 total radiographs for review).  A previous examination is available for comparison from 2019._x000D_
_x000D_
- Peritoneal serosal detail is normal._x000D_
- The stomach contains mild gas and moderate gas-stippled soft-tissue opaque material_x000D_
- There is a well-defined column of gas outlining the duodenum._x000D_
- The small intestine contains mild multifocal gas and soft-tissue opaque material_x000D_
- There is a focal accumulation of gas in the cecum._x000D_
- The colon contains gas, soft-tissue/fluid and mild formed fecal material._x000D_
- The liver, spleen, region of the kidneys and urinary bladder are normal._x000D_
- The cardiac silhouette and pulmonary vasculature are normal._x000D_
- The pulmonary parenchyma is normal_x000D_
- The trachea, esophagus and mediastinum are normal._x000D_
- The pleural space, diaphragm and ribs are normal._x000D_
- The remaining intrathoracic structures are normal._x000D_
- No distinct musculoskeletal abnormalities are noted.</t>
  </si>
  <si>
    <t>1.  Mild to moderate nonspecific gastric soft-tissue opaque material can be undigested food, however given the patient has reportedly not eaten could also reflect foreign material.  No pyloric outflow tract obstruction is noted._x000D_
_x000D_
2.  Otherwise, the appearance of the small intestine can be consistent with a functional ileus such as enteritis.  The material in the colon is fairly well formed and in fact mildly desiccated.  There is no evidence of small intestinal foreign material or mechanical obstruction.  No distinct evidence of pancreatitis is appreciated, however radiographic sensitivity can be limited and if there is further clinical indication abdominal ultrasonography may be considered for improved assessment.  _x000D_
_x000D_
3.  Normal thorax.</t>
  </si>
  <si>
    <t>THORAX (3 images):
Images are dated September 12, 2024.
Pulmonary parenchyma: A minimal to mild diffuse bronchial pattern is present.  Few pin-point mineral foci are suspected in the cranioventral portion of the lungs in the lateral images.  
Pulmonary vasculature: The pulmonary vasculature is subjectively normal in size and tapers in the periphery of the lungs.
Cardiac silhouette: The cardiac silhouette is tall and occupies 2/3 the height of the thorax.  The trachea is mildly dorsally displaced.  The caudodorsal margin of the cardiac silhouette is mildly flattened.  Mild rounded increased soft tissue in the region of the left atrium in the ventrodorsal image.  A soft tissue convexity at the 2-3 o'clock position of the cardiac silhouette from the left auricular appendage.
Mediastinum: The cranial mediastinum is normal.
Trachea: The trachea is normal.
Esophagus: The esophagus is not well-identified.
Pleural space: The pleural space is normal.
Musculoskeletal: Arising from the mid-dorsal cervical soft tissue is a large, lobular soft tissue mass.  The ventral/deep margin of this mass is ill-defined and partially superimposed over the musculature of the mid-neck in the lateral images.  The c3, C4- and C5 vertebrae are normal, and presumed normal fascial planes are between the mass and the vertebrae.  The remaining included musculoskeletal structures are normal.</t>
  </si>
  <si>
    <t>1. Mild left-sided cardiomegaly is consistent with reported myxomatous mitral valvular disease and insufficiency.
- There is no current evidence of left-sided congestive heart failure.
2. Minimal diffuse bronchial pulmonary pattern due to fibrosis from prior disease, age-related changes, infectious/immune-mediated lower airway disease, or unlikely other.
3. Suspected pulmonary osseous metaplasia or end-on vasculature, or unlikely other.
4. Large mid-dorsal cervical soft tissue mass such as from neoplasia (soft tissue sarcoma) or unlikely other.</t>
  </si>
  <si>
    <t>Consider echocardiography, eCG and blood pressure for further evaluation if not recently performed.  Routine blood work if not recently performed.  Computed tomography or MRI is necessary for a definitive evaluation and pre-surgical planning of cervical soft tissue mass resection, as radiographs have limited ability to discriminate soft tissue margins within other soft tissue structures.  Oncologist consultation depending on results of excisional/incisional biopsy of dorsal cervical mass.  Empirical therapy and supportive care in the interim as needed.  Monitoring as directed or sooner if clinical signs acutely change, fail to improve or worsen.</t>
  </si>
  <si>
    <t>THORAX (3 images) and ABDOMEN (3 images):
Images are dated September 12, 2024.
Pulmonary parenchyma: A minimal to mild diffuse bronchial and minimal interstitial pattern is present.
Pulmonary vasculature: The pulmonary vasculature is subjectively normal in size and tapers in the periphery of the lungs.
Cardiac silhouette: The cardiac silhouette is normal in size and shape, with a normal caudodorsal margin and normal position of the trachea.
Mediastinum: The cranial mediastinum is normal.
Trachea: A slight soft tissue band superimposes over the dorsal aspect of the mid-cervical tracheal segment.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The stomach is within normal limits for size.
The small intestine contains mild gas and fluid or is empty with a subjectively uniform population for size. 
The colon contains mild to moderate heterogeneous admixed soft tissue material and gas.  The colon is within normal limits for size.  
Musculoskeletal: Mild bilateral shoulder osteoarthrosis is present.  Moderate to severe bilateral coxofemoral and stifle joint osteoarthrosis is present.  The remaining included musculoskeletal structures are normal.</t>
  </si>
  <si>
    <t>1. No current evidence of cardiomegaly.
2. No obvious pulmonary soft tissue nodules or intra-thoracic lmyphadenomegaly.
3. Minimal-mild diffuse bronchial and minimal interstitial pulmonary patterns such as from fibrosis from prior disease, age-related changes, or less likely infectious/immune-mediated lower airway disease, inhaled allergen/irritant, or unlikely other.
4. Non-specific gastric, small intestinal and colon appearance such as from enteritis, colitis, or variation of normal.
- There is no current evidence of gastrointestinal mechanical ileus.
- Differential diagnoses include dietary indiscretion, toxin ingestion, diet/antibiotic responsive disease, inflammatory bowel disease, pancreatitis, occult systemic disease or unlikely other.
5. Mild bilateral shoulder osteoarthrosis.
6. Moderate-severe bilateral coxofemoral joint osteoarthrosis.
7. Moderate-severe bilateral stifle joint osteoarthrosis.</t>
  </si>
  <si>
    <t>Consider routine blood work and echocardiography, eCG and blood pressure for further evaluation.  This examination does not rule out early/evolving acquired cardiac disease given reported murmur. There is no evidence of left-sided congestive heart failure.  Consider computed tomography of the head for further evaluation of reported clinical signs.  Empirical therapy and supportive care in the interim as needed.  Monitoring as directed or sooner if clinical signs acutely change, fail to improve or worsen.</t>
  </si>
  <si>
    <t>Abdomen: On the lateral view the margins of the tail of the spleen are slightly irregular.  The liver is normal for volume and echotexture.  There are no abnormalities involving the visible portions of the urinary tract or gastrointestinal tract.  Serosal detail is normal._x000D_
_x000D_
Thorax: The pulmonary parenchyma, cardiac silhouette, and pulmonary vasculature are unremarkable.  There is no evidence of pleural effusion or lymphadenopathy.</t>
  </si>
  <si>
    <t>Slightly irregular splenic margins which may represent small nodules._x000D_
_x000D_
Unremarkable thorax.</t>
  </si>
  <si>
    <t>Consider abdominal ultrasound for further evaluation.</t>
  </si>
  <si>
    <t xml:space="preserve">
1.Minimal cardiomegaly has been detected but Heart Failure is NOT suspected._x000D_
2.A minimal bronchial pattern has been detected._x000D_
3.There is no evidence of PERIHILAR INFILTRATE or PLEURAL EFFUSION._x000D_
4.A moderate interstitial to alveolar pattern has been detected.</t>
  </si>
  <si>
    <t>THORAX (3 total radiographs for review). _x000D_
_x000D_
- Mild to moderate diffuse bronchial pulmonary pattern.  Multiple small airways are mineralized towards the periphery of the thorax._x000D_
- The cardiac silhouette and pulmonary vasculature are normal._x000D_
- The trachea, pleural space, mediastinum, esophagus and remaining included intrathoracic structures are normal._x000D_
- The stomach contains mild gas and gas stippled soft-tissue opaque material._x000D_
- The small intestine contains mild multifocal gas and soft-tissue opaque material._x000D_
- The cecum and colon contains gas and formed fecal material._x000D_
- The spleen and region of the kidneys are of limited assessment no distinct abnormalities noted._x000D_
- Mild multifocal vertebral spondylosis deformans.</t>
  </si>
  <si>
    <t>1.  Mild to moderate diffuse bronchial pulmonary pattern and peripheral airway mineralization.  While this can be somewhat expected age-related lower airway degeneration, given the reported coughing, lower airway disease such as chronic bronchitis may be suspected.  There may be an underlying inhaled irritant, infectious or allergic etiology.  Consider treatment for chronic lower airway disease and if there is lack of improvement or worsening, consultation with an internal medicine specialist and/or thoracic CT might be considered._x000D_
_x000D_
2.  No evidence of pulmonary consolidation to suggest pneumonia is noted._x000D_
_x000D_
3.  No evidence of tracheal collapse is appreciated however the pathology is not completely excluded given the patient=ZZ91=s signalment._x000D_
_x000D_
4.  Cranial lumbar spondylosis deformans.</t>
  </si>
  <si>
    <t>THORAX (3 total radiographs for review). _x000D_
_x000D_
- The cardiac silhouette and pulmonary vasculature are normal._x000D_
- The pulmonary parenchyma is normal_x000D_
- The trachea, esophagus and mediastinum are normal._x000D_
- The pleural space, diaphragm and ribs are normal._x000D_
- The remaining intrathoracic structures are normal._x000D_
- The stomach contains mild gas and gas stippled soft tissue opaque material._x000D_
- The remaining cranial abdominal structures are normal._x000D_
- The included musculoskeletal structures are normal.</t>
  </si>
  <si>
    <t>1.  Normal thorax.  A discrete radiographic cause for the reported occasional gagging is not clearly identified._x000D_
_x000D_
2.  Aerophagia.</t>
  </si>
  <si>
    <t>THORACIC LIMBS (7 images):
Images are dated September 12, 2024.
Ventrodorsal thoracic images contains "L" labels on both sides of the patient.
Bones/Joints:
The distal and caudal border of the left capsular body is ill-defined in the lateral image.  Possible sclerosis is over this site in the ventrodorsal thoracic images.
Mild left elbow osteoarthrosis with osteophyte at the medial humeral epicondyle.  
Presumed incidental bipartite left 7th palmar digit sesamoid bone.
The included left carpus, metacarpus are normal.
Mild right elbow osteoarthrosis with osteophyte at the medial humeral epicondyle.  A well-defined ovoid, smoothly marginated enthesophyte is suspected medial to the right medial humeral epicondyle.
The right shoulder is normal.
The included right carpus, metacarpus are normal.
Soft tissues:  The included soft tissues are normal.</t>
  </si>
  <si>
    <t>1. Suspected left distal/caudal scapular evolving aggressive bone lesion versus artifact.
- If present, consider metastatic disease from an occult primary carcinoma versus primary osteosarcoma or unlikely other.
2. Mild right elbow osteoarthrosis and presumed digital flexor tendon enthesophyte.
3. Mild left elbow osteoarthrosis.</t>
  </si>
  <si>
    <t>Consider computed tomography of the elbows/shoulders and scapula for further evaluation.  Consider bone biopsy if a left scapular aggressive bone lesion is confirmed.  Routine blood work and thoracic imaging if not recently performed.  Oncologist consultation depending on results.  Empirical therapy and supportive care in the interim as needed. Monitoring as directed or sooner if clinical signs acutely change, fail to improve or worsen.</t>
  </si>
  <si>
    <t>4 images of the abdomen are provided for review.  Serosal detail is adequate in all quadrants.  The stomach contains a moderate amount of mottled soft tissue material.  A thin-walled lucent structure is seen in the pyloric region on the VD view.  The small intestines are normal in size.  Gas and feces are present in the colon.  The urinary bladder is small.  The remaining abdominal organs are normal.</t>
  </si>
  <si>
    <t>The thin-walled lucent structure seen in the pylorus on the VD view is consistent with a foreign body.  The remaining material within the stomach may represent residual ingesta or foreign material.</t>
  </si>
  <si>
    <t>Consider repeat radiographs following strict fasting to determine if gastric contents persist.</t>
  </si>
  <si>
    <t>Abdomen: There is a slight heterogeneous soft tissue opacity within the fundus of the stomach (ventrodorsal view).  There is no evidence of a gastric outflow obstruction.  There is no evidence of a small intestinal foreign body or obstruction.  The liver is considered small.  The spleen is unremarkable.  There are no abnormalities involving the visible portions of the urinary tract.  Serosal detail is normal.</t>
  </si>
  <si>
    <t>The appearance of the fundus of the stomach most likely represents gas outlining rugal folds.  Foreign material cannot be ruled out but is considered less likely._x000D_
_x000D_
Mild microhepatica most likely incidental.</t>
  </si>
  <si>
    <t xml:space="preserve">Patient name: Dali Prescott. Date of study: 9/12/24. Orthogonal radiographs of the thoracic and lumbar spine are available for interpretation. No prior radiographs are available for comparison.
Thoracic spine: There is an atypical appearance to the spinal canal dorsal to T1 through T3 but this could be secondary to obliquity and superimposition of the scapulae. The T11-12 disc space is narrowed on both projections. No end-plate or vertebral lysis is noted. 
Lumbar spine: The L3-4 and L4-5 disc spaces are narrowed. On the lateral projection, mineral opacity overlies the L3-4 disc space and mineral opacity overlies the spinal canal dorsal to the L4-5 disc space. No end-plate or vertebral lysis is noted. </t>
  </si>
  <si>
    <t>1) T11-12 disc space narrowing. No end-plate or vertebral lysis noted. Rule out IVDD as the cause for the clinical signs.
2) L3-4 and L4-5 disc space narrowing. Mineral opacity overlying the spinal canal dorsal to the L4-5 disc space on the lateral projection. Rule out herniated disc material.
3) Atypical appearance to the cranial thoracic spinal canal on the lateral projection. Rule out artifact vs. less suspected, true osseous change to this region.</t>
  </si>
  <si>
    <t xml:space="preserve">Neuro consultation and/or spinal MRI.
Additional radiographs centered on, and coned down to, the cranial thoracic spine could be performed to further assess this region vs. inclusion of this region on MRI or CT if pain is identified in this region. 
Submission of this study for thoracic and/or abdominal radiographic interpretation if there are questions. Bloodwork and urinalysis with culture are also recommended, if not recently performed.
</t>
  </si>
  <si>
    <t xml:space="preserve">
1.MODERATE INTERSTITIAL TO ALVEOLAR PATTERN; MILD BRONCHITIS._x000D_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DYNAMIC AIRWAY COLLAPSE or BRONCHIECTASIS.</t>
  </si>
  <si>
    <t>Eleven images are provided.
Images are dated September 12, 2024.
Unlabeled lateral thoracic limb images are presumed of the left limb.
Pulmonary parenchyma: A mild diffuse bronchial and minimal to mild diffuse interstitial pattern is present.
Pulmonary vasculature: The pulmonary vasculature is subjectively normal in size and tapers in the periphery of the lungs.
Cardiac silhouette: The cardiac silhouette is slightly tall and occupies 2/3 the height of the thorax.  The trachea is slightly dorsally displaced.
Mediastinum: The cranial mediastinum is normal.
Trachea: A soft tissue band partially superimposes over the dorsal aspect of the cervical and thoracic tracheal segments.
Esophagus: The esophagus is not well-identified.
Pleural space: The pleural space is normal.
Bones/Joints:
Only in the lateral images, centered on the right proximal diaphysis and extending into the proximal metaphysis/epiphysis is an ill-defined osteolytic lesion, with moth-eaten osteolysis.  Interrupted periosteal proliferation is at the right proximal and cranial humeral cortex.  Well-defined, smooth periosteal proliferation is at the right proximal and caudal humeral cortex.
The left shoulder is normal
Minimal osteophyte production is suspected at the left humeral medial epicondyle, radial head and anconeal process in the lateral image.  Minimal osteophyte production is at the dorsal surface of the left radial carpal bone.
SMall mineral smoothly marginated focus partially over the left medial styloid process.  
Multiple multipartite palmar digital sesamoid bones are present bilaterally.  Suspected bilateral 3rd and 4th metacarpophalangeal joint osteoarthrosis.
T5-6 and T7-8 spondylosis deformans is present.  
Soft tissues:  The included soft tissues are enlarged in the region of the right proximal brachium  The remaining included soft tissues are normal.</t>
  </si>
  <si>
    <t xml:space="preserve">1. Right proximal humeral aggressive bone lesion and local soft tissue swelling.
- This is most suspicious for evolving neoplasia such as osteosarcoma or unlikely osteomyelitis or other.
2. Mild diffuse bronchial and minimal-mild interstitial pulmonary patterns due to fibrosis from prior disease, age-related changes, artifact, or less likely other.
- No obvious pulmonary nodules or intra-thoracic lymphadenomegaly is identified.
3. Equivocal left-sided cardiomegaly versus artifact from patient positioning/phase of the cardiopulmonary cycle.
- If present, consider evolving DCM versus other.
4. Dorsal redundant tracheal membrane versus superimposed normal structures.
5. Mild-moderate left elbow osteoarthrosis.
6. Mild left radiocarpal bone osteophyte/enthesophyte.
7. Possible left enthesophyte associated with the abductor pollicis longus versus other.
8. Bilateral 3rd and 4rd metacarpophalangeal joint osteoarthrosis.
9. Multifocal multipartite palmar digital sesamoid bones.
</t>
  </si>
  <si>
    <t>Consider bone biopsy of the right proximal humerus and routine blood work if not recently performed.  Consider computed tomography of the thorax and abdomen to screen for occult systemic disease given patient size.  Oncologist consultation depending on results.  Consider echocardiography, especially if a murmur is later identified.  Empirical therapy and supportive care in the interim as needed.  Monitoring as directed or sooner if clinical signs acutely change, fail to improve or worsen.</t>
  </si>
  <si>
    <t xml:space="preserve">
1.PULMONARY NODULAR PATTERN; MINIMAL INTERSTITIAL PULMONARY PATTERN._x000D_
2.Based on these AI airway/pulmonary findings, the probability of this patient having clinically detectable respiratorysigns is LOW (25%)_x000D_
3.A FALSE POSITIVE result for the pulmonary nodular pattern due to pulmonary osteomas, cutaneous nodules or nipples overlying the thorax; prominentcostochondral junctions or end-on pulmonary vessels is suspected.._x000D_
4.Are respiratory signs present? If YES._x000D_
5.Are respiratory signs present? If NO._x000D_
6.The cardiac silhouette size is normal._x000D_
7.There is no evidence of DYNAMIC AIRWAY COLLAPSE or BRONCHIECTASIS._x000D_
8.A mild interstitial has been identified._x000D_
9.A minimal perihilar infiltrate has been detected.</t>
  </si>
  <si>
    <t>THORAX (5 images) and ABDOMEN (4 images):
Images are dated September 12, 2024.
Prior images dated May 14, 2024 are available.
Pulmonary parenchyma:  A mild diffuse interstitial pattern is present, exacerbated my mild respiratory motion and hypoinflation. 
 A mild diffuse bronchial pattern is present in the more inflated images.
Pulmonary vasculature: The pulmonary vasculature is subjectively normal in size and tapers in the periphery of the lungs.
Cardiac silhouette: The cardiac silhouette is tall and occupies 2/3n the height of the thorax.  The trachea is dorsally displaced.  The caudodorsal margin of the cardiac silhouette is flattened.  The cardiac silhouette is widened and occupies 3.5-4 intercostal spaces width.
Mediastinum: The cranial mediastinum is normal.
Trachea: The trachea is normal.
Esophagus: The esophagus is not well-identified.
Pleural space: The pleural space is normal.
Liver: The liver is enlarged on the right with a rounded or lobular caudoventral margin extending to the 13th ribs. The stomach is displaced caudal and mildly leftward.  
Spleen: The spleen is normal in size with smooth margins and homogeneous soft tissue.
Kidneys: The left kidney is normal.  The right kidney is obscured without obvious enlargement or mineral.
Retroperitoneum: Retroperitoneal detail is adequate.
Urinary bladder/Urethra: The urinary bladder is normal in size, homogeneous soft tissue, and smoothly marginated.
Peritoneum: Peritoneal detail is adequate.
Gastrointestinal tract: The stomach contains a mild volume of gas and fluid, or is empty.   The stomach is within normal limits for size.
The small intestine contains mild to moderate gas and mild fluid or is empty with a subjectively uniform population for size. 
The colon contains mild heterogeneous soft tissue material and gas.  The colon is within normal limits for size.  
Musculoskeletal: L1-2 and L2-3 spondylosis deformans is present.  The remaining included musculoskeletal structures are normal.</t>
  </si>
  <si>
    <t>1. Mild generalized cardiomegaly such as from myxomatous mitral and/or tricuspid valvular disease or cor pulmonale/pulmonary hypertension, or a combination of these, or unlikely other.
- No obvious evidence of left-sided congestive heart failure.
2. Mild diffuse interstitial pulmonary pattern due to respiratory motion/hypoinflation artifact/technique, or less likely other.
3. Mild diffuse bronchial pulmonary pattern due to fibrosis from prior disease, age-related changes, infectious/immune-mediated lower airway disease, or less likely other.
4. Similar hepatomegaly due to vacuolar change, evolving neoplasia, nodular hyperplasia, or unlikely hepatitis/cholangiohepatitis, or other.</t>
  </si>
  <si>
    <t>Consider echocardiography, eCG and blood pressure for further evaluation.   Abdominal ultrasonography for further evaluation of persistent hepatomegaly. Routine blood work if not recently performed.  Consider coagulation testing and hepatic tissue sampling versus computed tomography for further evaluation of the liver depending on results.  Empirical therapy and supportive care in the interim as needed for reported coughing and suspected cardiac disease.  This does not rule out underlying dynamic airway disease contributing to reported signs.  Monitoring as directed or sooner if clinical signs acutely change, fail to improve or worsen.</t>
  </si>
  <si>
    <t xml:space="preserve">
1.SEVERE PLEURAL EFFUSION; MODERATE TO SEVERE INTERSTITIAL to ALVEOLAR PATTERN; MODERATE DYNAMIC AIRWAY DISEASE._x000D_
2.Based on the AI airway/pulmonary findings, the probability of this patient having clinically detectable respiratory signs is VERY HIGH (&gt;75%)_x000D_
3.Severe pleural effusion has been detected._x000D_
4.If NO respiratory signs are present, lung lobe collapse or severe atelectasis secondary to anesthesia or deep sedation could create this appearance._x000D_
5.The evaluation has a strong suspicion of pulmonary nodules or mass lesion being present._x000D_
6.A severe perihilar infiltrate has been detected._x000D_
7.Severe cardiomegaly has been detected but Heart Failure is NOT suspected.</t>
  </si>
  <si>
    <t>Thorax and forelimbs. Three radiographs of the thorax (two lateral, one VD) and five radiographs of the forelimbs (two lateral images of the elbows and three CC images of the carpi/manus) dated September 12, 2024 are provided.
Thorax
Cardiac silhouette: The cardiac silhouette is normal in size and shape.
Pulmonary vessels: The pulmonary arteries and veins are normal in size and are symmetrical.
Pulmonary parenchyma: There is a mild diffuse bronchial pattern.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Forelimbs
Carpi/manus: There is mild soft tissue swelling and mineral debris along the lateral aspect of the right metacarpus and fifth digit. The underlying osseous structures are normal. The left carpus and manus are unremarkable.
Elbows: There is marked periarticular osseous proliferation along the left anconeal process and cranial aspect of the left radial head. Heterogeneous mineral foci are cranial to the distal left humerus and proximal to the left ulna. There is moderate sclerosis of the trochlear notch. The medial epicondyle is roughened and irregular with osseous proliferation. There is mild periarticular osseous proliferation of the right anconeal process and cranial aspect of the right radial head. There is mild sclerosis of the right trochlear notch.</t>
  </si>
  <si>
    <t>1. Mild diffuse bronchial pattern. Differentials include age-related changes, fibrosis from prior disease, and chronic bronchitis of allergic, infectious/inflammatory, and irritant etiologies. Laryngeal paralysis is not ruled out should be considered.
2. There is marked osteoarthritis of the left elbow, mild of the right. There is no evidence of an aggressive osseous lesion.</t>
  </si>
  <si>
    <t>A sedated laryngeal exam is recommended to evaluate the larynx for laryngeal paralysis. Airway sampling (respiratory PCR, transtracheal wash) is recommended to guide treatment.
Exercise restriction and multimodal pain management are recommended for elbow osteoarthritis.</t>
  </si>
  <si>
    <t xml:space="preserve">
1.Are respiratory signs present. If YES._x000D_
2.Are respiratory signs present. If NO._x000D_
3.MINIMAL to MILD DIFFUSE, MIXED BRONCHOINTERSTITIAL PULMONARY PATTERN with ATELECTASIS or less likely, pneumonia._x000D_
4.Probability these AI pulmonary findings will accompany clinically detectable respiratory signs: LOW (25%)_x000D_
5.PULMONARY NODULAR PATTERN; MINIMAL BRONCHOINTERSTITIAL PULMONARY PATTERN._x000D_
6.The evaluation has come up positive for a pulmonary nodular pattern._x000D_
7.Based on these AI airway/pulmonary findings, the probability of this patient having clinically detectable respiratory signs is MEDIUM (50%)_x000D_
8.Are respiratory signs present? If YES._x000D_
9.Are respiratory signs present? If NO._x000D_
10.Pleural fissure lines or moderate pleural effusion has been detected. An overlying skin fold or in a moderately overweight animal, excessive pericardial fat could artifactually mimic the result of moderate pleural effusion._x000D_
11.The cardiac silhouette size is normal._x000D_
12.There is no evidence of DYNAMIC AIRWAY COLLAPSE or BRONCHIECTASIS.</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</si>
  <si>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Multifocal signs of chronic IVDD.</t>
  </si>
  <si>
    <t>1) Unremarkable thorax without signs of cardiomegaly (this does not exclude a cardiac disease), pulmonary metastases nor signs of thoracic lymphadenopathy.</t>
  </si>
  <si>
    <t>Given the lack of cardiomegaly but audible murmur, consider a cardiology consultation with ECG and echocardiogram.</t>
  </si>
  <si>
    <t xml:space="preserve">
1.MILD BRONCHOINTERSTITIAL PULMONARY PATTERN; MINIMAL to MILD PERIHILAR PATTERN._x000D_
2.Based on the AI airway/pulmonary findings, the probability of this patient having clinically detectable respiratory signs is LOW (25%)_x000D_
3.In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4.In the PRESENCE of respiratory signs, low grade active pneumonitis (allergic, bacterial, parasitic (including heartworm disease), inhaled allergen or toxin) or upper airway disease causing pulmonary hypoinflation and/or recurrent microaspiration may be more likely._x000D_
5.The cardiac silhouette size is normal.</t>
  </si>
  <si>
    <t>ABDOMEN (2 images):
Images are dated September 12, 2024.
Liver: The liver is subjectively normal in size.
Spleen: The spleen is mildly enlarged with a slightly rounded ventral margin in the mid-ventral abdomen in the lateral image, and well-defined margins.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minimal gas or is empty. The stomach is within normal limits for size.
The small intestine contains minimal soft tissue material, gas and mild fluid or is empty with a subjectively uniform population for size. One segment contains a sharp, angular mineral focus in the mid-dorsal abdomen.  
The colon contains minimal gas and fluid or is empty.
Musculoskeletal: L7 is transitional and sacralized.  The remaining included musculoskeletal structures are normal.</t>
  </si>
  <si>
    <t>1. Minimal small intestinal mineral foreign material with presumed enteritis such as from dietary indiscretion,
- There is no current evidence of gastrointestinal mechanical ileus.
2. Non-specific colon appearance due to recent bowel movement and/or colitis.
3. Mild splenomegaly versus artifact from positioning/variation of normal.
- If present, consider passive congestion from sedation (if administered), extramedullary hematopoiesis, lymphoid hyperplasia, splenitis, or least likely evolving neoplasia.</t>
  </si>
  <si>
    <t xml:space="preserve">Empirical therapy and supportive care in the interim as needed for dietary indiscretion.  Feeding a bulk diet may aid in passage of this material. Monitoring with repeat abdominal radiographs after 8-12 hours of fasting for passage of foreign material, especially if signs fail to improve or worsen. </t>
  </si>
  <si>
    <t>Nine radiographs are provided, with orthogonal views of the thorax and seven views of the pelvis and pelvic limbs. The heart and pulmonary vessels are normal size and shape. The lungs are clear. There is no pleural effusion. Normal cranial mediastinal width. The caudal abdomen and lumbar spine are normal. The coxofemoral joints are congruent. Pelvic limb musculature is symmetric. The patellas are in normal position. There is scant fluid in the cranial aspect of both stifle joints. There is a poorly delineated around 2.1 cm area of lucency in the distal metaphysis of the right femur. There is mild adjacent sclerosis. No periosteal proliferation. No popliteal lymphadenomegaly. There is a moderate sized area of poorly delineated lysis in the distal metaphysis of the left tibia. This region is mildly expansile, with cortical thinning. There is a small amount of smoothly marginated periosteal proliferation at this level. No tarsal abnormalities.</t>
  </si>
  <si>
    <t>1. Aggressive lytic lesion in the distal right femur and distal left tibia. This is most consistent with malignant neoplasia such as osteosarcoma. With the multiple lesions, osteomyelitis of fungal etiology is also possible, and given secondary consideration._x000D_
2. Bilateral scant stifle effusion suggestive of partial cranial cruciate ligament tear. This is likely contributing to discomfort. The coxofemoral joints are normal._x000D_
3. Normal thorax.</t>
  </si>
  <si>
    <t>Histopathology of the right femoral and left tibial lesions would be necessary for a definitive diagnosis.</t>
  </si>
  <si>
    <t xml:space="preserve">
1.The evaluation has come up positive for a pulmonary nodular pattern._x000D_
2.The cardiac silhouette size is normal._x000D_
3.There is no evidence of PERIHILAR INFILTRATE, DYNAMIC AIRWAY COLLAPSE or BRONCHIECTASIS or PLEURAL EFFUSION._x000D_
4.A minimal bronchointerstitial pulmonary pattern has been detected.</t>
  </si>
  <si>
    <t>Orthogonal radiographs of the thorax and pelvis, and five views of the pelvic limbs are provided. A portion of the thorax is included on previous images dated 1/29/21, which were reviewed for comparison. In the thorax the cardiac silhouette and pulmonary vessels are normal size and shape. There are several (at least four) well-defined round soft tissue opaque nodules measuring up to 0.9 cm. Numerous smaller punctate mineral densities in the lungs are incidental pulmonary osteomas. No pleural effusion. Normal tracheal diameter. Broad-based curved 4.8 cm thickening ventral to the mid sternum is likely incidental lipoma. No definitive abnormalities in the viewable abdomen. The coxofemoral joints are congruent. Faint ovoid 0.7 cm lucency overlying the right femoral neck. Punctate lucency overlying the proximal right femoral diaphysis is incidental nutrient foramen. Pelvic limb musculature is adequate. Patellar location is normal. There is scant fluid in the cranial aspect of the left stifle joint. Smoothly marginated round 0.3 cm osseous fragment overlying the caudal aspect of the left stifle. No popliteal lymphadenomegaly. Cortical and medullary opacities are uniform. There is mild soft tissue thickening surrounding the left tuber calcaneus, with no adjacent osseous lysis or proliferation. Tarsal bones are in appropriate alignment. Previously amputated left 2nd digit. Remaining digits are unremarkable.</t>
  </si>
  <si>
    <t>1. Several pulmonary nodules, a new development since the previous study. This is most consistent with metastatic disease. A primary lesion is not identified on this study._x000D_
2. Scant fluid in the left stifle suggestive of partial cranial cruciate ligament tear. This is the most likely cause for lameness. The mineral density overlying the caudal aspect of the stifle joint could be a small avulsion fragment versus superficial debris._x000D_
3. Soft tissue thickening adjacent to the left tuber calcaneus may be due to soft tissue sprain/strain. There is no adjacent osseous involvement._x000D_
4. The lucency overlying the right femoral neck is most likely artifact caused by superimposed tissues. A true lytic process at this level is given much lesser consideration in the absence of right-sided coxofemoral pain. Otherwise normal coxofemoral joints.</t>
  </si>
  <si>
    <t>If there are no external/oral lesions that could be a primary neoplastic lesion, abdominal ultrasound should be considered in an effort to identify a primary lesion for guided sampling purposes.</t>
  </si>
  <si>
    <t>THORAX (3 total radiographs for review). _x000D_
_x000D_
- There is a mild, diffuse bronchial pulmonary pattern present._x000D_
- Mild widening of the cranial mediastinum._x000D_
- The cardiac silhouette and pulmonary vasculature are within normal._x000D_
- The trachea, esophagus are normal._x000D_
- The pleural space, diaphragm and ribs are normal._x000D_
- The remaining intrathoracic structures are normal._x000D_
- The stomach contains mild gas and soft-tissue opaque material._x000D_
- The remaining cranial abdominal structures are normal._x000D_
- Minimal multifocal vertebral spondylosis deformans.</t>
  </si>
  <si>
    <t>1.  Mild diffuse bronchial pulmonary pattern, suggesting lower airway disease such as chronic bronchitis.  A component of this may be normal age-related airway degeneration however given the reported occasional coughing I would prioritize lower airway disease.  There is no evidence of congestive heart failure or obvious pulmonary consolidation to suggest active pneumonia._x000D_
_x000D_
2.  Although the heart and pulmonary vasculature are relatively unremarkable, there is some subtle cardiac rounding, which could indicate mild right heart enlargement such as from cardiac remodeling secondary to pulmonary hypertension due to chronic lower airway disease, or alternatively tricuspid valvular insufficiency.  Given that there is a relatively significant heart murmur reported in the history, I would recommend considering consultation with a veterinary cardiologist and echocardiography/ECG for further assessment_x000D_
_x000D_
3.  Mild widening of the cranial mediastinum seems most likely due to a combination of fat deposition and patient=ZZ91=s body conformation (as there is lack of obvious tracheal displacement or mass effect).  The presence of a heart based mass is not completely excluded and if echocardiography is pursued (see #2) evaluation of the heart based region may be performed.</t>
  </si>
  <si>
    <t>5 images of the thorax and abdomen are presented for review.  The VD views appear to be mislabeled for laterality based on the anatomy of the patient.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  There is spondylosis deformans of the thoracic and lumbosacral spine.</t>
  </si>
  <si>
    <t xml:space="preserve">
1.A minimal interstitial pulmonary pattern with a concurrent, minimal perihilar infiltrate have been detected._x000D_
2.The cardiac silhouette size is normal._x000D_
3.There is no evidence of DYNAMIC AIRWAY COLLAPSE or BRONCHIECTASIS or PLEURAL EFFUSION.</t>
  </si>
  <si>
    <t>Three images are provided.
Images are dated September 12, 2024.
Pulmonary parenchyma: A minimal to mild diffuse interstitial pattern is present likely exacerbated by pulmonary hypoinflation and pleural space changes.  A minimal to mild diffuse bronchial pattern is present.  Minimal alveolar pattern is suspected in the ventral periphery of the right cranial lung in the left lateral image, but this is not well-defined in the ventrodorsal image.
Pulmonary vasculature: The pulmonary vasculature is subjectively normal in size and tapers in the periphery of the lungs.
Cardiac silhouette: The cardiac silhouette is partially obscured and possibly tall in the lateral images.
Mediastinum: The cranial mediastinum is subjectively widened and partially obscured..
Trachea: The trachea is normal.
Esophagus: The esophagus is not well-identified.
Pleural space: Mild pleural fluid is present with widening of the pleural fissures between the right cranial/middle/caudal and left cranial/caudal lung lobes, and rounding/retraction of lung margins from the body wall and diaphragmatic recesses.
Musculoskeletal: The included musculoskeletal structures are normal.</t>
  </si>
  <si>
    <t>1. Mild-moderate pleural fluid due to malignant effusion from occult neoplasm versus idiopathic effusion, chylous, or less likely vasculitis or hemorrhage.
2. Minimal right cranial lung lobe alveolar pattern versus artifact/technique
- Differential diagnoses include hemorrhage (such as from coagulopathy or systemic disease), chylous effusion, or unlikely other.
3. Minimal-mild diffuse interstitial and bronchial pulmonary patterns such as from pleural space disease, fibrosis from prior disease, age-related changes, or less likely infectious/immune-mediated lower airway disease, inhaled allergen/irritant or unlikely other.
4. Equivocal left-ventricular enlargement versus artifact from patient body conformation.positioning, and phase of the cardiopulmonary cycle.
- If present, myxomatous mitral valvular disease is possible.
- The current findings are not considered to be due to left-sided congestive heart failure, especially given reported history/signs.
mild left-sided cardiomegaly versus artifact from phase of the cardiopulmonary cycle and patient positioning.
5. Widened cranial mediastinum such as from fat deposition versus evolving lymphadenomegaly/mass or unlikely other.
- If lymphadenomegaly is present, consider metastatic/multicentric neoplasia such as from lymphosarcoma or primary peritoneal malignancy, such as from the liver.</t>
  </si>
  <si>
    <t>Consider computed tomography of the thorax/abdomen for further evaluation.  Abdominal ultrasonography may also be contributory.  Consider thoracocentesis for fluid analysis and cytology, for further evaluation.  Routine blood work if not recently performed.  If a primary mass lesion and/or lymphadenomegaly is revealed, consider coagulation testing and tissue sampling for further evaluation.  Oncologist consultation depending on results.  Empirical therapy and supportive care in the interim as needed.  Monitoring as directed or sooner if clinical signs acutely change, fail to improve or worsen.</t>
  </si>
  <si>
    <t xml:space="preserve">
1.A moderate to severe interstitial to alveolar infiltrate with a mild perihilar infiltrate has been identified._x000D_
2.Pleural fissure lines or moderate to severe pleural effusion has been detected. An overlying skin fold or in an obese animal, excessive pericardial fat could artifactually mimic the result of severe pleural effusion._x000D_
3.Moderate cardiomegaly has been detected but Heart Failure is NOT suspected._x000D_
4.A mild perihilar infiltrate has been identified.</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</si>
  <si>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  Marked osteophyte formation is seen at the caudal aspects of the humeral heads and glenoid cavities bilaterally.</t>
  </si>
  <si>
    <t>Radiographically normal abdomen.  Radiographically normal thorax for patient of this age.  Severe bilateral shoulder DJD.</t>
  </si>
  <si>
    <t>Study:_x000D_
Thoracic radiography: three images dated September 12, 2024_x000D_
_x000D_
Findings:_x000D_
The cardiac silhouette is normal in size and shape. The pulmonary vasculature is normal in size. There is a moderate alveolar pattern in the right middle lung lobe. The pleural space is normal. There is no intrathoracic lymphadenopathy. There is a broad-based soft tissue opaque band superimposed with the cervical trachea lumen representing a redundant dorsal tracheal membrane, superimposition of the esophagus or superposition of the hypaxial musculature. The tracheal diameter is normal. There is no lobar bronchi narrowing. The included abdomen is normal. No skeletal abnormalities are present.</t>
  </si>
  <si>
    <t>The alveolar pattern in the right middle lung lobe likely represents pneumonia. Recommend empiric antibiotic therapy with repeat radiography in 10 to 14 days to monitor for response to treatment.</t>
  </si>
  <si>
    <t>THORAX (2 images):
Images are dated September 11, 2024.
ventrodorsal image is overexposed with saturation of the caudal and peripheral lungs partially.
Pulmonary parenchyma: A mild to moderate diffuse bronchial pattern is present.
Pulmonary vasculature: The pulmonary vasculature is subjectively normal in size and tapers in the periphery of the lungs.
Cardiac silhouette: The cardiac silhouette is mildly tall in the lateral images and occupies 2/3 the height of the thorax, with slight dorsal tracheal displacement.  The caudodorsal margin of the cardiac silhouette is slightly flattened.  
Mediastinum: The cranial mediastinum is normal.
Trachea: A soft tissue band superimposes over the cervical and thoracic tracheal segments. 
Esophagus: The esophagus is not well-identified.
Pleural space: The pleural space is normal.
Musculoskeletal: Fat opaque broad-based nodule arises from the ventral extra-thoracic soft tissues.  The remaining included musculoskeletal structures are normal.</t>
  </si>
  <si>
    <t xml:space="preserve">1. Mild left-sided cardiomegaly or less likely artifact from phase of the cardiopulmonary cycle and patient positioning.
- If present, the primary differential diagnosis is myxomatous mitral valvular disease.
- There is no current evidence of left-sided congestive heart failure.  
2. Mild-moderate diffuse bronchial pulmonary pattern.
- Differential diagnoses include infectious/immune-mediated lower airway disease such as from mycoplasma spp., bordetella spp., parasitism, or inhaled allergen/irritant, or unlikely other.
3. Dorsal redundant tracheal membrane with/without underlying dynamic airway disease, versus superimposed normal structures.
4. Presumed ventral extra-thoracic lipoma or unlikely other.  </t>
  </si>
  <si>
    <t>Consider echocardiography, eCG, blood pressure, routine blood work, urinalysis for further evaluation.  Consider tracheoscopy/bronchoscopy/fluoroscopy with/without airway sampling and respiratory PCR panel for further evaluation of lower airway disease and dynamic airway disease.  Empirical therapy and supportive care in the interim as needed. Monitoring with routine thoracic radiographs and/or computed tomography of the head if signs fail to improve or worsen.</t>
  </si>
  <si>
    <t xml:space="preserve">
1.A minimal interstitial pulmonary pattern with a concurrent, minimal perihilar infiltrate have been detected._x000D_
2.A minimal interstitial pulmonary and concurrent, mild dynamic airway disease have been detected._x000D_
3.Mild dynamic airway disease has been detected._x000D_
4.The cardiac silhouette size is normal._x000D_
5.There is no evidence of ALVEOLAR PATTERN, PULMONARY NODULES or PLEURAL EFFUSION.</t>
  </si>
  <si>
    <t>Study:_x000D_
Thoracic radiography: three images dated September 12, 2024_x000D_
_x000D_
Findings:_x000D_
DICOM image calipers are superimposed with the cardiac silhouette on both lateral projections and the thoracic spine on the left lateral view. There is mild to moderate left ventricular and left atrial enlargement. The pulmonary vasculature is normal in size. The pulmonary parenchyma is unremarkable. The pleural space is normal. There is no intrathoracic lymphadenopathy. The trachea is normal in diameter. There is no lobar bronchi narrowing. The stomach contains heterogeneous soft tissue material presumed to be ingesta. The osseous structures are unremarkable.</t>
  </si>
  <si>
    <t>1. Mild to moderate left-sided cardiomegaly, indicative of mitral valve disease, without evidence of decompensation. Echocardiography should be considered for further evaluation._x000D_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infectious respiratory disease PCR testing, airway sampling plus/minus heartworm testing and Baermann fecal flotation can be considered to further evaluate the reported coughing.</t>
  </si>
  <si>
    <t>Study:_x000D_
Thoracic radiography: right lateral and orthogonal views (two images) dated September 12, 2024_x000D_
_x000D_
Findings:_x000D_
There is similar moderate to severe left ventricular and left atrial enlargement. On the VD view, there is a soft tissue opaque bulge in the region of the main pulmonary artery The lobar vasculature is normal in size. The lungs are hypoinflated on both projections. There is a mild generalized bronchointerstitial pulmonary pattern. Thin pleural fissure lines are seen in the right and left fifth intercostal spaces on the VD view. There is no intrathoracic lymphadenopathy. The trachea is normal in diameter. There is no lobar bronchi narrowing. The included abdomen is normal. The osseous structures are unremarkable.</t>
  </si>
  <si>
    <t>1. Static moderate to severe left-sided cardiomegaly, indicative of mitral valve disease. If not recently performed, echocardiography is recommended for further evaluation._x000D_
2. The suspected main pulmonary arterial enlargement on the VD view may indicate concurrent pulmonary hypertension. Echocardiography should also be considered for further evaluation of this finding._x000D_
3. The diffuse bronchointerstitial pulmonary pattern is a nonspecific finding. This could be a benign age-related change accentuated by the lung hypoinflation. Allergic, inflammatory, infectious, inhaled irritant or parasitic bronchitis are also possible. Interstitial lung disease (e.g. idiopathic pulmonary fibrosis) is also possible. While the patient is known heart disease, cardiogenic pulmonary edema with peribronchial cuffing is considered a less likely differential given the diffuse uniformity of this finding. Airway sampling plus/minus heartworm testing and Baermann fecal flotation can be considered to further of our for lower airway disease.</t>
  </si>
  <si>
    <t xml:space="preserve">
1.Pleural fissure lines or moderate pleural effusion has been detected. An overlying skin fold or in a moderately overweight animal, excessive pericardial fat could artifactually mimic the result of moderate pleural effusion._x000D_
2.Moderate cardiomegaly has been detected but Heart Failure is NOT suspected._x000D_
3.Are respiratory signs present? If YES._x000D_
4.Are respiratory signs present? If NO._x000D_
5.AI linked bacterial pneumonia treatment in dogs: https://platform.v2.vetology.net/doc/pneumonia-in-dogs-and-cats_x000D_
6.Are respiratory signs present? If NO._x000D_
7.MODERATE INTERSTITIAL TO ALVEOLAR INFILTRATE; CONCURRENT MODERATE BRONCHIAL PATTERN; MILD PERIHILAR INFILTRATE._x000D_
8.MODERATE BRONCHOINTERSTITIAL PULMONARY PATTERN; ALVEOLAR INFILTRATE or ATELECTASIS; DYNAMIC AIRWAY DISEASE._x000D_
9.Based on the AI airway/pulmonary findings, the probability of this patient having clinically detectable respiratorysigns is MEDIUM to HIGH (50-75%)_x000D_
10.Based on these AI airway/pulmonary findings, the probability of this patient having clinically detectable respiratory signs is HIGH (75%)_x000D_
11.Are respiratory signs present? If YES.</t>
  </si>
  <si>
    <t>Study:_x000D_
Thoracic radiography: six images dated September 12, 2024_x000D_
_x000D_
Compared to prior study dated August 19, 2024_x000D_
_x000D_
Findings:_x000D_
The cardiac silhouette is normal in size and shape. The pulmonary vasculature is normal in size. There is a mild to moderate patchy alveolar pattern in both segments of the left cranial lung lobe. The pleural space is normal. There is no intrathoracic lymphadenopathy. The trachea is normal in diameter. There is persistent dilation of the esophagus. Mild periarticular information is present at the caudodistal aspect the humeral head bilaterally. The included abdomen is unremarkable.</t>
  </si>
  <si>
    <t>1. Recurrent aspiration pneumonia. Recommend empiric antibiotic therapy with repeat radiography in 10 to 14 days to monitor for response to treatment._x000D_
2. Persistent megaesophagus._x000D_
3. Mild bilateral shoulder osteoarthrosis.</t>
  </si>
  <si>
    <t xml:space="preserve">
1.Resource: https://vsso.org/lung-tumors-canine_x000D_
2.Are respiratory signs present? If NO._x000D_
3.The cardiac silhouette size is normal._x000D_
4.Are respiratory signs present? If YES._x000D_
5.PLEURAL EFFUSION or PLEURAL FISSURE LINES; PULMONARY NODULES or NODULAR PATTERN; MODERATE TO SEVERE INTERSTITIAL TO ALVEOLAR PATTERN; MILD BRONCHITIS._x000D_
6.Based on the AI airway/pulmonary findings, the probability of this patient having clinically detectable respiratory signs is VERY HIGH (&gt;75%)_x000D_
7.The evaluation has a suspicion of pleural effusion and soft tissue pulmonary nodules or a mass lesion being present.</t>
  </si>
  <si>
    <t>Study:_x000D_
Thoracic radiography: five images dated September 12, 2024_x000D_
_x000D_
Findings:_x000D_
There is moderate to severe cardiomegaly characterized by biventricular and left atrial enlargement. The pulmonary vasculature is normal in size. There is a mild perihilar and caudodorsal unstructured interstitial pulmonary pattern. The pleural space is normal. There is no intrathoracic lymphadenopathy. The trachea is normal in diameter. There is no lobar bronchi narrowing. The liver is incompletely imaged but extends beyond the costal arch with smooth margins. The stomach contains heterogeneous soft tissue material presumed to be ingesta. Multifocal thoracic spondylosis deformans. There is an incidental separate center of ossification at the infraglenoid tubercle of the scapula bilaterally.</t>
  </si>
  <si>
    <t>1. Severe generalized (ventricular) cardiomegaly. Rule out a cardiomyopathy versus degenerative valve disease. Echocardiography is recommend for further evaluation._x000D_
2. Given the apparent cardiomegaly, the mild caudodorsal and perihilar unstructured interstitial pulmonary pattern is concerning for cardiogenic pulmonary edema/decompensated congestive heart failure. Interstitial lung disease (e.g. idiopathic pulmonary fibrosis or noncardiogenic pulmonary edema considered less likely. Consider diuretic therapy with repeat radiography to monitor for response to treatment._x000D_
3. The generalized hepatomegaly is nonspecific. Rule out metabolic/vacuolar hepatopathy, hyperplasia, hepatitis, congestion or infiltrative neoplasia. Correlate with any liver enzyme abnormalities. Sonography can be considered for further evaluation if clinically relevant.</t>
  </si>
  <si>
    <t xml:space="preserve">
1.MODERATE BRONCHOINTERSTITIAL PULMONARY PATTERN; MODERATE DYNAMIC AIRWAY DISEASE; MODERATE ALVEOLAR INFILTRATE or ATELECTASIS._x000D_
2.MODERATE INTERSTITIAL TO ALVEOLAR INFILTRATE; CONCURRENT MODERATE BRONCHIAL PATTERN; MILD PERIHILAR INFILTRATE._x000D_
3.Based on the AI airway/pulmonary findings, the probability of this patient having clinically detectable respiratorysigns is MEDIUM to HIGH (50-75%)_x000D_
4.Based on these AI airway/pulmonary findings, the probability of this patient having clinically detectable respiratory signs is HIGH (75%)_x000D_
5.Are respiratory signs present? If YES._x000D_
6.Are respiratory signs present? If YES._x000D_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suspected._x000D_
9.Are respiratory signs present? If NO._x000D_
10.AI linked bacterial pneumonia treatment in dogs: https://platform.v2.vetology.net/doc/pneumonia-in-dogs-and-cats_x000D_
11.Are respiratory signs present? If NO.</t>
  </si>
  <si>
    <t>Study:_x000D_
Thoracic radiography: three images dated September 12, 2024_x000D_
_x000D_
Findings:_x000D_
The cardiac silhouette is normal in size. Patient obliquity on the VD view limits evaluation for main pulmonary arterial enlargement. The caudal lobar arteries are mildly enlarged. There is a moderate generalized bronchial pulmonary pattern. The pleural space is normal. There is no intrathoracic lymphadenopathy. The trachea is normal in diameter. The included abdomen is unremarkable. There is mild bilateral elbow periarticular information. The patient is of overweight body condition.</t>
  </si>
  <si>
    <t>1. The moderate generalized bronchial pulmonary pattern may be a chronic change from the prior heartworm disease or may indicate active bronchitis secondary to allergic, inflammatory, infectious, inhaled irritant, lungworms or recurrent heartworm etiologies. Repeat heartworm testing, airway sampling and Baermann fecal flotation can be considered for further evaluation._x000D_
2. The caudal lobar arterial enlargement may be from the prior heartworm disease or may indicate current pulmonary hypertension. Echocardiography can be considered for further evaluation.</t>
  </si>
  <si>
    <t xml:space="preserve">
1.The evaluation has detected soft tissue pulmonary nodules and pleural fluid._x000D_
2.PULMONARY NODULES or NODULAR PATTERN; PLEURAL EFFUSION or PLEURAL FISSURE LINES; SEVERE INTERSTITIAL TO ALVEOLAR PATTERN; MODERATE BRONCHIAL PATTERN; DYNAMIC AIRWAY DISEASE._x000D_
3.Based on the AI airway/pulmonary findings, the probability of this patient having clinically detectable respiratory signs is VERY HIGH (&gt;75%)_x000D_
4.In older dogs, a pulmonary mass or pulmonary nodules, pulmonary hemorrhage, pleural effusion or PTE are primary considerations._x000D_
5.In the ABSENCE of respiratory signs, lung lobe collapse or severe atelectasis secondary to anesthesia or deep sedation could artifactually create this appearance._x000D_
6.If this AI evaluation is inconsistent with your assessment or the clinical picture, a Vetology AI overread may be beneficial._x000D_
7.Mild cardiomegaly has been detected but Heart Failure is NOT suspected.</t>
  </si>
  <si>
    <t>THORAX (3 total radiographs for review). _x000D_
_x000D_
- Mild, diffuse bronchial pulmonary pattern._x000D_
- No regions of pulmonary consolidation are identified._x000D_
- The trachea, pleural space, mediastinum, cardiac silhouette and remaining included intrathoracic structures are normal._x000D_
- Small volume of gas in the mid thoracic esophagus._x000D_
- The stomach contains moderate gas stippled soft-tissue opaque material and a small volume of gas._x000D_
- The remaining physical cranial abdominal structures are normal._x000D_
- There are multiple mid and caudal thoracic wedge and butterfly-shaped hemivertebral segments with fused dorsal spinous processes.</t>
  </si>
  <si>
    <t>1.  Generalized, mild diffuse bronchial pattern.  This is subtle and can be within normal patient variation, however especially given the history can reflect residual bronchial inflammation and/or edema secondary to recent bout of suspected bronchopneumonia.  There is no evidence of pulmonary consolidation to indicate active pneumonia identified.  As the patient is reported to still have some clinical signs, the decision to reinstitute antibiotic therapy may be considered, an additional set of thoracic radiographs after complete clinical resolution could be reasonable. _x000D_
_x000D_
2.  Recent meal._x000D_
_x000D_
3.  Multiple mid and caudal thoracic breed related hemivertebral segments.</t>
  </si>
  <si>
    <t>Fourteen survey radiographs of the vertebral column, pelvis and pelvic limbs dated 17th July 2024 are available for review. There are no previous radiographs available for comparison. _x000D_
_x000D_
Vertebral column: There is mild spondylosis deformans in the mid lumbar vertebral column._x000D_
_x000D_
Pelvis: The included lumbar vertebral column is normal. The iliosacral joints are symmetric. There is good coverage of the femoral heads by the acetabuli.  No degenerative modelling is noted at the acetabular rim and femoral heads and there is good articular congruency. The pelvic and caudal thigh musculature is symmetric. The patella are in an anatomical position considering external rotation of the limbs._x000D_
_x000D_
Joints and long bones: Both stifle joints are normal. There is no soft tissue opacification of the stifle joint space or degenerative modelling. The included aspects of the tarsi are normal._x000D_
_x000D_
Soft tissues: No significant abnormalities are detected.</t>
  </si>
  <si>
    <t>No radiographic findings explain the presenting signs. A muscular or tendinous strain or articular sprain should be considered as differentials.</t>
  </si>
  <si>
    <t>Consider a behavioural abnormality. Consider correlation with manipulative testing under sedation or anaesthesia. Consider an analgesia trial.</t>
  </si>
  <si>
    <t>Study:_x000D_
Thoracic radiography: three images dated September 12,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liver extends mildly beyond the costal arch with a smooth rounded caudoventral margin. There is mild T5-T6 spondylosis deformans.</t>
  </si>
  <si>
    <t>1. Normal thorax. There is no radiographic evidence of cardiopulmonary disease or intrathoracic neoplasia._x000D_
2. The mild hepatomegaly is nonspecific. Rule out metabolic/vacuolar hepatopathy, hyperplasia, hepatitis or infiltrative neoplasia. Sonography can be considered for further evaluation if clinically relevant.</t>
  </si>
  <si>
    <t>THORAX (3 total radiographs for review)._x000D_
_x000D_
- Dynamic undulation and dorsal opacification of the trachea specifically near the thoracic inlet._x000D_
- Mild, diffuse bronchial pulmonary pattern._x000D_
- The cardiac silhouette and pulmonary vasculature are normal._x000D_
- The esophagus and mediastinum are normal._x000D_
- The pleural space, diaphragm and ribs are normal._x000D_
- The remaining intrathoracic structures are normal._x000D_
- The stomach and visible gastrointestinal segments are diffusely distended with gas._x000D_
- On the right lateral projection there is an atypical rounded opacity in the cranioventral abdomen and the position of the spleen that is not distinctly noted orthogonally.</t>
  </si>
  <si>
    <t>1.  Radiographically, the most abnormal region is the trachea, which has an appearance of tracheal collapse, likely secondary to chondromalacia.  This may be the primary cause of the reported coughing, however given the mild diffuse bronchial pattern a component of chronic lower airway disease (e.g. bronchitis) is also considered.  I would recommend considering evaluation for tracheal collapse including palpation (+/- internal medicine consultation, fluoroscopy) and/or empirical therapy. _x000D_
_x000D_
2.  Mild diffuse bronchial pattern can be due to chronic bronchitis or normal age-related airway degeneration._x000D_
_x000D_
3.  Atypical rounded appearance of the spleen may be fortuitous folding, however there is some small suspicion for a splenic mass.  If available, POCUS/A-FAST sonographic assessment could be useful to rule out any sort of splenic lesion.</t>
  </si>
  <si>
    <t>6 images of the spine are provided for review.  No fractures, luxations, or aggressive osseous lesions are seen.  The coxofemoral joints are congruent.  No mineralized intervertebral discs or consistently narrowed intervertebral disc spaces are seen.  The soft tissue structures included are normal.</t>
  </si>
  <si>
    <t>Radiographically normal spine.  This does not rule out intervertebral disc herniation or other causes of spinal cord compression.</t>
  </si>
  <si>
    <t>Recommend neurology consultation.  CT or MRI could be considered in further evaluation.</t>
  </si>
  <si>
    <t>Study:_x000D_
Thoracic radiography: three images dated September 11, 2024_x000D_
_x000D_
Findings:_x000D_
The cardiac silhouette and pulmonary vasculature are normal in size. The pulmonary parenchyma is unremarkable. The pleural space is normal. There is no intrathoracic lymphadenopathy. The larynx is unremarkable. The patient has a redundant dorsal tracheal membrane. The cervical trachea lumen appears narrowed at the thoracic inlet on the left lateral projection in comparison to the right lateral view. The stomach contains unstructured heterogeneous soft tissue material presumed to be ingesta. The osseous structures are unremarkable.</t>
  </si>
  <si>
    <t>1. Chondromalacia and likely dynamic airway disease/tracheal collapse. Fluoroscopy can be considered for further evaluation. Antitussive therapy can also be considered._x000D_
2. Normal thorax. There is no radiographic evidence of cardiopulmonary disease. There is no evidence of pulmonary contusions secondary to the reported recent trauma.</t>
  </si>
  <si>
    <t xml:space="preserve">
1.A minimal to mild bronchointerstitial pulmonary pattern has been detected._x000D_
2.The cardiac silhouette size is normal._x000D_
3.There is no evidence of DYNAMIC AIRWAY COLLAPSE or BRONCHIECTASIS, PULMONARY NODULES or PLEURAL EFFUSION.</t>
  </si>
  <si>
    <t>WHOLE-BODY (6 total radiographs for review).  Compared to previous examination dated 02/16/23_x000D_
_x000D_
- The cardiac silhouette is essentially unchanged from prior, and remains mildly prominent with a rounded cranial margin and mild generalized widening on the VD projection.  The pulmonary vasculature are normal._x000D_
- The remains a mild, diffuse, mixed bronchial and unstructured interstitial pulmonary pattern present, which is relatively similar to the previous examination._x000D_
- The trachea, pleural space, mediastinum and remaining included intrathoracic structures are again normal._x000D_
- The stomach contains mild gas and soft-tissue opaque material._x000D_
- The small intestine is nondistended and contains mild soft tissue and gas._x000D_
- The colon contains a mild volume of slightly desiccated formed fecal material._x000D_
- The spleen is mildly enlarged, with rounded margins._x000D_
- The liver, kidneys and urinary bladder are normal._x000D_
- There is mild cranial thoracic and mid lumbar vertebral spondylosis deformans</t>
  </si>
  <si>
    <t>1.  The remains a mild generalized cardiomegaly present, which can reflect cardiac disease such as degeneration of the mitral or tricuspid valves, pulmonary hypertension, or cardiomyopathy.  There is no evidence of congestive heart failure.  If not recently performed, consider echocardiography/ECG and veterinary cardiologist consultation for further evaluation._x000D_
_x000D_
2.  Relatively unchanged mild diffuse broncho-interstitial pulmonary pattern.  May reflect chronic lower airway/airspace disease such as bronchitis.  Can be somewhat expected normal age-related airway changes._x000D_
_x000D_
3.  Aerophagia._x000D_
_x000D_
4. Mild splenomegaly. DDx congestion from sedation, lymphoid hyperplasia, EMH, less likely neoplasia._x000D_
_x000D_
5.  Mild multifocal vertebral spondylosis deformans.</t>
  </si>
  <si>
    <t xml:space="preserve">
1.MILD DIFFUSE MIXED BRONCHOINTERSTITIAL PULMONARY PATTERN; ATELECTASIS or less likely, PNEUMONIA._x000D_
2.Probability these AI pulmonary findings will accompany clinically detectable respiratory signs: LOW (25%)_x000D_
3.Are respiratory signs present? If YES._x000D_
4.Are respiratory signs present? If NO._x000D_
5.Minimal cardiomegaly has been detected but Heart Failure is NOT suspected._x000D_
6.There is no evidence of DYNAMIC AIRWAY COLLAPSE or BRONCHIECTASIS.</t>
  </si>
  <si>
    <t>7 views of the thorax, abdomen, and front feet are submitted for review._x000D_
Moderate soft tissue swelling is seen associated with the toe of the fourth digit of the left front foot.  No osseous abnormalities are seen associated with the digit.  The remainder of the left front foot is unremarkable.  The left carpus is normal.  The right front foot and right carpus are also normal._x000D_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The stomach and small bowel contain a mild amount of gas and ingesta.  A moderate amount of stool is noted throughout the colon.  The liver and spleen are normal in size, shape, and margination.  The bilateral renal silhouettes are within normal limits.  The urinary bladder is unremarkable.  Serosal detail is normal.</t>
  </si>
  <si>
    <t>Soft tissue swelling associated with the fourth digit of the left front foot without osseous involvement.  Differentials include inflammation or soft tissue neoplasia._x000D_
Radiographically normal thorax and abdomen.</t>
  </si>
  <si>
    <t>Symptomatic/supportive medical management may be helpful. Otherwise, fine-needle aspiration could be considered.</t>
  </si>
  <si>
    <t>Study:_x000D_
Thoracic and abdominal radiography: seven images dated September 11, 2024_x000D_
_x000D_
Findings:_x000D_
The cardiac silhouette is normal in size and shape (VHS approximately 10.25. The pulmonary vasculature is normal in size. The pulmonary parenchyma is unremarkable. The pleural space is normal. There is a broad-based soft tissue opaque band superimposed with the dorsal aspect of the cervical trachea lumen representing either a redundant dorsal tracheal membrane or superimposition of the esophagus. The tracheal diameter is normal.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There is no prostatomegaly. There is moderate lumbosacral spondylosis deformans. There is moderate bilateral stifle periarticular bone formation.</t>
  </si>
  <si>
    <t>1. Normal thorax.  There is no radiographic evidence of heart disease. Consider echocardiography for further evaluation of the reported heart murmur._x000D_
2. A cause of the respiratory signs is not evident. Consider upper airway disease/laryngeal paralysis. Lack of a definitive bronchial pulmonary pattern does not exclude the possibility of allergic/inflammatory, infectious, irritant or parasitic bronchitis_x000D_
3. Unremarkable abdomen. A cause of the reported weight loss is not evident. Abdominal sonography and a G.I. panel can be considered for further evaluation._x000D_
4. Moderate bilateral stifle osteoarthrosis. Consider underlying cranial cruciate and/or meniscal injury.</t>
  </si>
  <si>
    <t xml:space="preserve">
1.A moderate alveolar pattern has been detected._x000D_
2.The cardiac silhouette size is normal._x000D_
3.There is no evidence of DYNAMIC AIRWAY COLLAPSE or BRONCHIECTASIS.</t>
  </si>
  <si>
    <t>Three radiographs of the thorax/abdomen are provided. The cardiac silhouette is normal size and shape. No cardiac chamber enlargement. Faint bronchial markings is normal for the age of this patient. There are no soft tissue pulmonary nodules or pleural effusion. Small volume fluid in the caudal esophagus is transient and incidental. The trachea is normal diameter. No cervicothoracic spinal abnormalities. In the abdomen there is formed feces in the distal colon. The stomach and small bowel are minimally filled. Serosal detail is adequate. The uterus is not identified. Normal-sized liver, kidneys, spleen. The urinary bladder is mildly filled and soft tissue opaque. Normal lumbar spine and coxofemoral joints.</t>
  </si>
  <si>
    <t>Normal thorax and abdomen. There is no evidence of cardiovascular disease on this study. A small valvular regurgitant jet can result in a relatively loud murmur. A reason for discomfort is not identified.</t>
  </si>
  <si>
    <t>If pain persists but is not localized to the spine, abdominal ultrasound would be recommended. If spinal pain is confirmed, is medically manageable, and there are no neurologic deficits, conservative treatment with anti-inflammatories and strict rest could be considered. Otherwise, consultation with a neurologist would be recommended.</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</si>
  <si>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small.  The remaining abdominal organs are normal.</t>
  </si>
  <si>
    <t>Radiographically normal thorax for patient of this age.  Prominent rugal folds suggestive of gastritis.  This does not rule out underlying pancreatitis or infiltrative neoplasia.</t>
  </si>
  <si>
    <t>Abdominal ultrasound could be considered in further evaluation.</t>
  </si>
  <si>
    <t>WHOLE-BODY (6 total radiographs for review).  A previous examination is available for comparison from 08/13/24._x000D_
_x000D_
- Peritoneal serosal detail is normal._x000D_
- The stomach contains mild gas and soft-tissue opaque material_x000D_
- The small intestine is nondistended and mostly homogenously soft tissue opaque._x000D_
- The colon contains gas, soft-tissue/fluid and minimal formed fecal material._x000D_
- The liver, spleen, region of the kidneys and urinary bladder are normal._x000D_
- There are numerous tiny mineralized pulmonary foci throughout the lungs._x000D_
- Mild left-sided mediastinal shift_x000D_
- Mild unstructured interstitial pattern throughout the left lung lobes._x000D_
- The cardiac silhouette and pulmonary vasculature are normal._x000D_
- The trachea, esophagus and mediastinum are normal._x000D_
- The pleural space, diaphragm and ribs are normal._x000D_
- The remaining intrathoracic structures are normal._x000D_
- Multifocal spondylosis deformans with bridging at L2-3._x000D_
- Multiple lobular fat opaque abdominal wall nodules, the largest ventrally and on the left</t>
  </si>
  <si>
    <t>1.  There is no obvious remaining evidence of gastrointestinal foreign material (reported corn cob ingestion). The appearance of the stomach, small intestine and colon can be compatible with a non-specific generalized functional ileus (e.g. gastroenterocolitis). If clinically indicated, abdominal ultrasonography might be considered._x000D_
_x000D_
2. Mild diffuse bronchial pattern with numerous incidental mineralized pulmonary osteomas. Most likely representing age-related lower airway changes, however a component of chronic bronchitis is possible, especially if there is a history of abnormal respiratory sounds, wheezing and/or coughing._x000D_
_x000D_
3.  Mild left-sided pulmonary atelectasis._x000D_
_x000D_
4.  Multiple abdominal body wall lipomatous masses._x000D_
_x000D_
5.  Multifocal spondylosis deformans most notable in the cranial lumbar region.</t>
  </si>
  <si>
    <t xml:space="preserve">
1.The cardiac silhouette size is normal._x000D_
2.There is no evidence of INTERSTITIAL PATTERN, BRONCHITIS, PERIHILAR INFILTRATE, DYNAMIC AIRWAY COLLAPSE or BRONCHIECTASIS or PLEURAL EFFUSION.</t>
  </si>
  <si>
    <t>Orthogonal radiographs of the thorax, and four views of the pelvis/proximal pelvic limbs are provided. The cardiac silhouette and pulmonary vessels are normal size and shape. The lungs are clear. There is no pleural effusion. Normal cranial mediastinal width. Moderate narrowed cervical trachea on the lateral view. In the viewable abdomen, the gastrointestinal tract is moderately filled. Normal-sized liver, spleen. The urinary bladder is minimally filled. No radiopaque urolithiasis. Normal lumbar spine. There is moderate thickened left femoral neck, with mild thickened right femoral neck. Pelvic limb musculature is approximately symmetric. Patellar location is normal. Possible small volume fluid in the cranial aspect of the right stifle joint, although stifle joint space evaluation is limited by high technique.</t>
  </si>
  <si>
    <t>1. Bilateral coxofemoral osteoarthritis, worse on the left. This is the most likely cause for lameness._x000D_
2. Suspect mild right stifle effusion suggestive of partial cranial cruciate ligament tear. This could also be responsible for lameness._x000D_
3. Probable cervical tracheal collapse. No abdominal or intrathoracic abnormalities.</t>
  </si>
  <si>
    <t>Recommend palpate for stifle discomfort and instability.</t>
  </si>
  <si>
    <t>Study:_x000D_
Thoracic radiography: three images dated September 11, 2024_x000D_
_x000D_
Findings:_x000D_
The cardiac silhouette is normal in size and shape (VHS approximately 10.25). On the VD view, the aortic arch appears enlarged. The lobar vasculature is normal in size. The pulmonary parenchyma is unremarkable. The pleural space is normal. There is no intrathoracic lymphadenopathy. The trachea is normal in diameter. The included abdomen is normal. The osseous structures are unremarkable.</t>
  </si>
  <si>
    <t>Enlargement of the aortic arch may be secondary to systemic hypertension. Subaortic stenosis is less likely given the reported acquired nature of the heart murmur. There is no cardiomegaly. Echocardiography and blood pressure testing can be considered for further evaluation.</t>
  </si>
  <si>
    <t xml:space="preserve">
1.MILD BRONCHOINTERSTITIAL PULMONARY PATTERN; MILD DYNAMIC AIRWAY DISEASE; ATELECTASIS or less likely, pneumonia._x000D_
2.Based on these AI airway/pulmonary findings, the probability of this patient having clinically detectable respiratory signs is MEDIUM (50%)_x000D_
3.Are respiratory signs present? If YES._x000D_
4.Are respiratory signs present? If NO._x000D_
5.Mild cardiomegaly has been detected but Heart Failure is NOT suspected.</t>
  </si>
  <si>
    <t>Thorax. Three radiographs (two lateral, one VD) dated September 11, 2024 are provided.
Cardiac silhouette: The cardiac silhouette is moderately enlarged on the right and left sides. On the lateral views the cardiac silhouette spans from the 3rd-7th rib space. The apex of the cardiac silhouette is rounded and there is enlargement in the region of the left atrium.
Pulmonary vessels: The pulmonary arteries and veins are normal in size and are symmetrical.
Pulmonary parenchyma: There is a mild diffuse bronchointerstitial pulmonary pattern. There is no evidence of pulmonary consolidation or nodules.
Pleural space: The pleural space is within normal limits.
Mediastinum: The cranial mediastinum is mildly widened and there is increased soft tissue dorsal to the second sternebra.
Trachea: The trachea is normal in diameter and course.
Esophagus: The region of the esophagus is within normal limits.
Cranial abdomen: The liver is mildly enlarged with rounded caudal margins which extend beyond the costal arch. There is adequate serosal detail in the cranial abdomen. The included skeletal and superficial soft tissue structures are within normal limits.</t>
  </si>
  <si>
    <t>1. Moderate generalized cardiomegaly. Cardiogenic syncope is considered. 
- Differential diagnoses include valvular insufficiency, or unlikely dilated cardiomyopathy.
2. Mild diffuse bronchointerstitial pulmonary pattern.
- The primary differential diagnosis is age related changes and pulmonary scarring from prior disease. Chronic bronchitis cannot be excluded. 
3. Mild enlargement of the sternal lymph node versus artifact from superimposed normal structures, or unlikely other.
4. Mild hepatomegaly due to vacuolar change, nodular hyperplasia, hepatitis/cholangiohepatitis, or less likely evolving neoplasia.</t>
  </si>
  <si>
    <t xml:space="preserve">Echocardiography, EKG, and blood pressure are recommended to further evaluate the heart.  Medical management and supportive care are recommended in the interim. An abdominal ultrasound could be considered to further evaluate the liver. </t>
  </si>
  <si>
    <t xml:space="preserve">
1.A minimal bronchial pattern has been detected._x000D_
2.Minimal cardiomegaly has been detected but Heart Failure is NOT suspected._x000D_
3.There is no evidence of ALVEOLAR PATTERN, PERIHILAR INFILTRATE, DYNAMIC AIRWAY COLLAPSE or BRONCHIECTASIS or PULMONARY NODULES.</t>
  </si>
  <si>
    <t>THORAX (4 total radiographs for review).  Compared to a previous examination provided via hyperlink in the patient history._x000D_
_x000D_
- The remains a moderate, diffuse, mixed bronchial and unstructured interstitial pulmonary pattern present._x000D_
- There is peripheral mineralization of multiple small airways._x000D_
- A few thickened pleural fissure lines are appreciated._x000D_
- The cardiac silhouette has a prominent right side, with a rounded appearance._x000D_
- The stomach contains mild gas and granular mineral opaque material._x000D_
- The remaining cranial abdominal structures are normal._x000D_
- Mild cranial thoracic vertebral spondylosis deformans.</t>
  </si>
  <si>
    <t>1.  Moderate diffuse mixed bronchial and unstructured interstitial pulmonary pattern.  No obvious regions of overt consolidation to suggest active pneumonia, such as aspiration.  Consider chronic lower airway disease such as bronchitis +/- pulmonary interstitial fibrosis, however a low-grade overlying bronchopneumonia cannot be completely excluded.  No pulmonary nodules are appreciated._x000D_
_x000D_
2. There is the impression of mild generalized cardiomegaly with a slight right predominance which given the impression of chronic lower airway disease could reflect cardiac remodeling secondary to chronic pulmonary hypertension (cor pulmonale).  .  It can also be a normal prominent patient variant. Tricuspid valvular disease is not excluded. Consider careful cardiac auscultation and if a murmur is present echocardiography/ECG for further evaluation._x000D_
_x000D_
3.  Aerophagia and small volume of nonspecific granular mineral opaque material in the stomach.</t>
  </si>
  <si>
    <t xml:space="preserve">
1.Are respiratory signs present? If YES._x000D_
2.Are respiratory signs present? If NO._x000D_
3.The cardiac silhouette size is normal._x000D_
4.MILD DIFFUSE MIXED BRONCHOINTERSTITIAL PULMONARY PATTERN; ATELECTASIS or less likely, PNEUMONIA._x000D_
5.Probability these AI pulmonary findings will accompany clinically detectable respiratory signs: LOW (25%)_x000D_
6.Pleural fissure lines or small volume pleural effusion has been detected. In a mildly overweight animal, excessive pericardial fat can artifactually mimic the result of minimal pleural effusion.</t>
  </si>
  <si>
    <t>Study:_x000D_
Thoracic/abdominal radiography: three images dated September 11,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adequate. The stomach contains unstructured heterogeneous/granular soft tissue material presumed to be ingesta. The small intestines are normal in size, course and content. The colon contains gas and poorly formed fecal material. The liver and spleen are normal in size and margin. The renal silhouettes are normal in size and contour. The urinary bladder is normal in size and opacity. There is no prostatomegaly. The osseous structures are unremarkable/age appropriate.</t>
  </si>
  <si>
    <t>1. Postprandial stomach=ZZ90= otherwise, unremarkable abdomen. A cause of the intermittent diarrhea is not evident. Abdominal sonography, cPLI testing, trypsin-like immunoreactivity testing and a G.I. panel can be considered if the clinical signs persist or worsen in spite of ongoing medical management._x000D_
2. Normal thorax.</t>
  </si>
  <si>
    <t>Thorax: The pulmonary parenchyma, cardiac silhouette, and pulmonary vasculature are unremarkable.  There is no evidence of pleural effusion or lymphadenopathy.  On the visible portions of the larynx/pharynx there is a soft tissue opacity superimposed over the soft palate within the nasopharynx/common pharyngeal region.</t>
  </si>
  <si>
    <t>The soft tissue opacity superimposed over the nasopharyngeal/common pharyngeal region may represent a summation artifact (moderate obliquity of this view) or possible mass or foreign body.</t>
  </si>
  <si>
    <t>Three orthogonal thoracic radiographs dated  are available for review. There are no previous radiographs available for comparison. _x000D_
_x000D_
Thorax:_x000D_
Airway findings: The trachea is elevated within the thorax. There is narrowing of the mainstem bronchi. There is widening of the tracheal bifurcation. Throughout the lung parenchyma there is a moderate interstitial opacification, most prominent in the perihilar region. Thin pleural fissure lines are present. No nodules or masses are seen._x000D_
_x000D_
Cardiovascular findings: There is a large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80% of the width of the thoracic volume. The cranial and caudal pulmonary vasculature are poorly visible. The caudal vena cava is enlarged._x000D_
_x000D_
Mediastinum and pleural space: There is mild ventral soft tissue attenuation consistent with mild pleural effusion._x000D_
_x000D_
Musculoskeletal findings: Multisite intervertebral disc collapse with ventral spondylosis is present._x000D_
_x000D_
Included abdomen: A previous described large ovoid mineral opacity with a lucent centre is present in the central right aspect of the hepatic silhouette. The hepatic silhouette is within normal limits for size.</t>
  </si>
  <si>
    <t>1.Mainly left sided cardiomegaly with pulmonary venous distension and cardiogenic pulmonary edema consistent with left sided congestive heart failure. Ddx: myxomatous degeneration of the mitral (+- tricuspid) valves with post-capillary pulmonary hypertension vs systolic dysfunction (DCM)._x000D_
2. The interstitial opacification is most likely due to cardiogenic pulmonary oedema. Lower airway infectious/inflammatory disease is less likely._x000D_
3. Atypical gallbladder mineralisation as reported.</t>
  </si>
  <si>
    <t xml:space="preserve">
1.Pleural fissure lines or small volume pleural effusion has been detected. In a mildly overweight animal, excessive pericardial fat can artifactually mimic the result of minimal pleural effusion._x000D_
2.Severe cardiomegaly has been detected but Heart Failure is NOT suspected._x000D_
3.Are respiratory signs present? If YES._x000D_
4.AI linked bacterial pneumonia treatment in dogs: https://platform.v2.vetology.net/doc/pneumonia-in-dogs-and-cats_x000D_
5.Are respiratory signs present? If NO._x000D_
6.MODERATE INTERSTITIAL TO ALVEOLAR INFILTRATE; CONCURRENT MODERATE BRONCHIAL PATTERN; MILD PERIHILAR INFILTRATE._x000D_
7.Based on the AI airway/pulmonary findings, the probability of this patient having clinically detectable respiratorysigns is HIGH (75%)</t>
  </si>
  <si>
    <t xml:space="preserve">
1.Are respiratory signs present? If NO._x000D_
2.The cardiac silhouette size is normal._x000D_
3.There is no evidence of DYNAMIC AIRWAY COLLAPSE or BRONCHIECTASIS or PLEURAL EFFUSION._x000D_
4.MINIMAL TO MILD BRONCHOINTERSTITIAL PULMONRAY PATTERN; MILD PERIHILAR PATTERN._x000D_
5.Based on the AI airway/pulmonary findings, the probability of this patient having clinically detectable respiratory signs is LOW (25%)_x000D_
6.Are respiratory signs present? If YES.</t>
  </si>
  <si>
    <t>THORAX and FORELIMBS (6 total radiographs for review)._x000D_
_x000D_
- Extensive lysis of the entire mid and distal diaphysis of the right ulna with near complete bone loss and moth-eaten proximal medullary and cortical lysis. Indistinct zone of transition. Locoregional soft-tissue thickening._x000D_
- The left thoracic limb structures are normal._x000D_
- Large, rounded soft-tissue opaque nodule in the left caudal lung lobe._x000D_
- No other convincing pulmonary nodules are noted, however there are multiple small mineralized foci throughout the lungs, and a mild diffuse bronchial pattern._x000D_
- Cardiac silhouette, pulmonary vasculature, pleural space, mediastinum and remaining included intrathoracic structures are normal._x000D_
- The cranial abdomen and vertebral column are unremarkable.</t>
  </si>
  <si>
    <t>1.  Large, aggressive, monostotic mid-to-distal right ulnar bone lesion. DDx primary osseous neoplasia (e.g. osteosarcoma) most likely. Osteomyelitis is less likely, but possible. _x000D_
_x000D_
2. Large left caudal lung lobe nodule. Metastatic neoplasia from #1 is most likely, however the large size of the lesion is fairly atypical and no other discrete nodules are noted, thus this could be a primary pulmonary mass (e.g. carcinoma), for which the prognosis might be improved.  Admittedly it is difficult to rule out the presence of additional pulmonary nodules, as there are multiple end-on pulmonary vessels and small mineralized pulmonary osteomas present._x000D_
_x000D_
3. Mild diffuse bronchial pattern with multiple incidental pulmonary osteomas. Most likely representing age-related lower airway changes, however a component of chronic bronchitis is possible, especially if there is a history of abnormal respiratory sounds, wheezing and/or coughing.</t>
  </si>
  <si>
    <t>I would recommend considering diagnostic fine-needle aspiration/biopsy of the right ulnar mass.  In addition, a thoracic/whole-body CT would likely be of utility in this patient as it could help identify additional radiographically inapparent pulmonary nodules (if seen, the left caudal lung lobe mass would be surmised to be most likely also metastatic).  Consultation with a veterinary oncologist or surgical oncologist may be considered in this case.</t>
  </si>
  <si>
    <t xml:space="preserve">
1.MILD INTERSTITIAL TO ALVEOLAR INFILTRATE; MILD PERIHILAR INFILTRATE; MINIMAL BRONCHIAL PATTERN._x000D_
2.Based on the AI airway/pulmonary findings, the probability of this patient having clinically detectable respiratory signs is LOW to MEDIUM (25%-50%)_x000D_
3.Pleural fissure lines or small volume pleural effusion has been detected. In a mildly overweight animal, excessive pericardial fat can artifactually mimic the result of minimal pleural effusion._x000D_
4.Are respiratory signs present? If YES._x000D_
5.Are respiratory signs present? If NO_x000D_
6.The cardiac silhouette size is normal.</t>
  </si>
  <si>
    <t>A ventral dorsal and right lateral radiograph of the thorax are provided. The cardiac silhouette is upper normal size, with no definitive chamber enlargement. Pulmonary vessels are normal size. There are no abnormalities in the pulmonary parenchyma. No pleural effusion. Probable redundant dorsal trachealis membrane in the cervical region, of uncertain significance today. Normal cranial abdomen.</t>
  </si>
  <si>
    <t>Normal thorax. There is no evidence of cardiovascular disease on this study, however small regurgitant jets can result in relatively loud murmurs.</t>
  </si>
  <si>
    <t xml:space="preserve">
1.A minimal interstitial pulmonary pattern with a concurrent, mild perihilar infiltrate have been detected._x000D_
2.There is no evidence of ALVEOLAR PATTERN, DYNAMIC AIRWAY COLLAPSE or BRONCHIECTASIS, PULMONARY NODULES or PLEURAL EFFUSION._x000D_
3.Mild cardiomegaly has been detected but Heart Failure is NOT suspected.</t>
  </si>
  <si>
    <t>FORELIMBS and THORAX (6 total radiographs available for review).  Multiple previous examinations are available for comparison._x000D_
_x000D_
- The right scapula is normal._x000D_
- The right shoulder joint is normal._x000D_
- There is mild blunting/irregularity of the right medial coronoid process of the ulna and mild right elbow joint periarticular osteophyte formation._x000D_
- The right antebrachial region is normal._x000D_
- Included portions of the vertebral column are unremarkable._x000D_
- The cardiac silhouette and pulmonary vasculature are normal._x000D_
- The remains a mild, diffuse bronchial pulmonary pattern present._x000D_
- The trachea, esophagus and mediastinum are normal._x000D_
- The pleural space, diaphragm and ribs are normal._x000D_
- The remaining intrathoracic structures are normal.</t>
  </si>
  <si>
    <t>1.  A discrete radiographic cause for the reported intermittent lameness on the right forelimb is not clearly identified.  There is mild blunting/irregularity of the medial coronoid process of the right ulna and mild right cubital osteoarthritis, which may be secondary to canine elbow dysplasia and at least partially contributing.  No aggressive bone lesions (e.g. osteomyelitis, neoplasia) are noted.  _x000D_
_x000D_
Consider in this case consultation with an orthopedic specialist and/or forelimb CT for further evaluation, especially if the patient=ZZ91=s lameness is worsening or not improving despite medical management._x000D_
_x000D_
2.  Similar, mild diffuse bronchial pulmonary pattern.</t>
  </si>
  <si>
    <t xml:space="preserve">
1.A minimal interstitial pulmonary pattern with a concurrent, minimal perihilar infiltrate have been detected._x000D_
2.The cardiac silhouette size is normal._x000D_
3.There is no evidence of DYNAMIC AIRWAY COLLAPSE or BRONCHIECTASIS, PULMONARY NODULES or PLEURAL EFFUSION.</t>
  </si>
  <si>
    <t>Three orthogonal thoracic radiographs dated 11th September 2024 are available for review. There are no previous radiographs available for comparison. _x000D_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There is extensive smoothly marginated ventral spondylosis deformans._x000D_
_x000D_
Included abdomen: No significant abnormalities are detected.</t>
  </si>
  <si>
    <t>1. Negative metastasis check._x000D_
2. Diffuse mild bronchial pattern: Primary consideration should be given to normal ageing. Allergic bronchitis, chronic bacterial /viral bronchitis +/- parasitic bronchitis is possible. Less likely are heart worm, hyperardenocorticism, neoplasia (such a lymphoma) or idiopathic pulmonary fibrosis.</t>
  </si>
  <si>
    <t>Continued radiographic monitoring is advised.</t>
  </si>
  <si>
    <t xml:space="preserve">
1.MILD BROCHIAL/BRONCHOINTERSTITIAL PULMONARY PATTERN; MINIMAL PERIHILAR INFILTRATE._x000D_
2.MINIMAL INTERSTITIAL PATTERN; MINIMAL PERIHILAR INFILTRATE._x000D_
3.Based on these AI airway/pulmonary findings, the probability of this patient having clinically detectable respiratory signs is LOW (25%)_x000D_
4.Based on these AI airway/pulmonary findings, the probability of this patient having clinically detectable respiratorysigns is LOW (25%)_x000D_
5.Are respiratory signs present? If YES._x000D_
6.Are respiratory signs present? If YES._x000D_
7.A mild bronchointerstitial pulmonary pattern and minimal perihilar infiltrate have been detected._x000D_
8.Are respiratory signs present? If NO._x000D_
9.Are respiratory signs present? If NO._x000D_
10.A minimal to mild bronchointerstitial pulmonary pattern has been detected._x000D_
11.The cardiac silhouette size is normal.</t>
  </si>
  <si>
    <t>Three orthogonal thoracic radiographs dated 11th September 2024 are available for review. These are compared with previous radiographs dated 8th February 2024._x000D_
_x000D_
Airway findings: There is mild elevation of the cranial thoracic trachea. The thoracic diameter is normal. The tracheal bifurcation is mildly widened. The pulmonary parenchyma is normal. The previous described interstitial opacification was most likely due to the general anaesthesia induced atelectasis. No significant abnormalities are detected. Right lateral image there is a small nodule of approximately 5 mm in diameter superimposed on the cardiac silhouette. Although a small nodule is visible dorsal to the second sternal segment._x000D_
_x000D_
Cardiovascular findings: The previously described right atrial and main pulmonary artery enlargement is no longer visible. The overall cardiac silhouette is within limits for size. The pulmonary arteries and veins are within upper normal_x000D_
_x000D_
Mediastinum and pleural space: There is persistent widening of the cranial mediastinum. There is mild gas in the cranial oesophagus._x000D_
_x000D_
Included abdomen: No significant abnormalities are detected.</t>
  </si>
  <si>
    <t>1. No imaging findings can explain the presenting clinical signs. An upper respiratory abnormality is suggested._x000D_
2. Small right-sided pulmonary nodules: These may be granulomata, abscess, cyst or primary metastatic neoplasia._x000D_
3. Resolution of previous described interstitial opacification, likely postanaesthetic atelectasis. Partial resolution of previous described right heart enlargement. Heart worm is considered unlikely. _x000D_
4. Persistent wide mediastinum: Differentials include fat accumulation, cranial mediastinal mass (lymphadomegaly, ectopic thyroid tumour, thymic cyst, other).</t>
  </si>
  <si>
    <t>Exclude upper airway partial obstruction. Consider thoracic CT with FNA of any peripheral visible mass lesions._x000D_
Correlate with any cardiovascular signs, if present consider ECG, blood pressure measurements and echocardiography.</t>
  </si>
  <si>
    <t xml:space="preserve">
1.MILD BRONCHIAL PATTERN; MILD PERIHILAR PATTERN._x000D_
2.Based on these AI airway/pulmonary findings, the probability of this patient having clinically detectable respiratorysigns is LOW (25%)_x000D_
3.Are respiratory signs present? If YES._x000D_
4.Are respiratory signs present? If NO._x000D_
5.Mild cardiomegaly has been detected but Heart Failure is NOT suspected._x000D_
6.There is no evidence of ALVEOLAR PATTERN, DYNAMIC AIRWAY COLLAPSE or BRONCHIECTASIS or PULMONARY NODULES.</t>
  </si>
  <si>
    <t>Study:_x000D_
Thoracic and cervical radiography: six images dated September 11, 2024_x000D_
_x000D_
Findings:_x000D_
The cardiac silhouette is normal in size and shape. The pulmonary vasculature is normal in size. The pulmonary parenchyma is unremarkable. The pleural space is normal. There is no intrathoracic lymphadenopathy. The larynx is unremarkable. The trachea is normal in diameter. There is no lobar bronchi narrowing. The stomach contains unstructured heterogeneous/granular soft tissue material presumed to be ingesta. The osseous structures are unremarkable.</t>
  </si>
  <si>
    <t>Normal thorax and unremarkable cervical region. A cause of the respiratory signs is not evident. There is no evidence of pneumonia or lower airway disease.</t>
  </si>
  <si>
    <t>Infectious respiratory disease PCR testing, airway sampling plus/minus heartworm testing and Baermann fecal flotation can be considered for further evaluation if the clinical signs persist or worsen.</t>
  </si>
  <si>
    <t>Study:_x000D_
Thoracic radiography: three images dated September 11, 2024_x000D_
_x000D_
Findings:_x000D_
The cardiac silhouette is normal in size and shape. The pulmonary vasculature is normal in size. The pleural space is normal. There is no intrathoracic lymphadenopathy. The trachea is normal in diameter. The dorsal aspect of the left crus of the diaphragm bulges cranially into the left dorsolateral aspect of the caudal thorax. There is secondary cranioventral rotation of the gastric axis. The osseous structures are unremarkable.</t>
  </si>
  <si>
    <t>1. The cranial bulging of the left crus of the diaphragm may indicate diaphragmatic eventration._x000D_
2. There is no radiographic evidence of cardiopulmonary disease.</t>
  </si>
  <si>
    <t>Fluoroscopy can be considered for further evaluation diaphragmatic movement during respiration.</t>
  </si>
  <si>
    <t xml:space="preserve">
1.MILD BRONCHIAL PATTERN; MILD PERIHILAR PATTERN._x000D_
2.Based on these AI airway/pulmonary findings, the probability of this patient having clinically detectable respiratorysigns is LOW (25%)_x000D_
3.Are respiratory signs present? If YES._x000D_
4.Are respiratory signs present? If NO._x000D_
5.The cardiac silhouette size is normal._x000D_
6.There is no evidence of ALVEOLAR PATTERN, DYNAMIC AIRWAY COLLAPSE or BRONCHIECTASIS or PLEURAL EFFUSION.</t>
  </si>
  <si>
    <t>Three radiographs of the thorax and of the abdomen are provided. The cardiac silhouette is normal size and shape, with no chamber enlargement. Pulmonary vessels are normal size. There are no abnormalities in the pulmonary parenchyma or pleural space. No intrathoracic lymphadenomegaly. Tracheal diameter is adequate._x000D_
_x000D_
In the abdomen the patient is thin, with reduced peritoneal detail. Formed feces fills the colon. There is gas in the small bowel and stomach. No radiopaque foreign material or urolithiasis. The prostate is not definitively seen. Normal-sized liver. The spleen and kidneys are obscured. Normal lumbar spine and coxofemoral joints. The left patella is medially displaced.</t>
  </si>
  <si>
    <t>1. Poor abdominal detail consistent with lack of intra-abdominal fat. Scant effusion is not ruled out. Otherwise normal abdomen_x000D_
2. Medial patellar luxation on the left._x000D_
3. Normal thorax.</t>
  </si>
  <si>
    <t>There is no contraindication for general anesthesia based on this study. If there are significant blood work abnormalities identified, additional imaging of the abdomen with ultrasound may be indicated.</t>
  </si>
  <si>
    <t>Nine radiographs are provided, with images of the thorax, thoracic limbs, and abdomen. The cardiac silhouette is normal size and shape. There are no abnormalities in the pulmonary parenchyma. Fat deposition is noted ventral to the heart on the lateral views. Normal tracheal diameter. The shoulders are congruent. The humeroulnar joint is widened bilaterally, more prominent on the right side. There is mild cranial lateral bowing of both antebrachia, more prominent on the right side. No carpal/metacarpal osseous or soft tissue abnormalities._x000D_
_x000D_
In the abdomen there is no peritoneal or retroperitoneal effusion. The gastrointestinal tract is minimally filled. No radiopaque urolithiasis or medial iliac lymphadenomegaly. Normal-sized liver, kidneys, spleen. No osseous abnormalities. The coxofemoral joints are congruent. Normal patellar position.</t>
  </si>
  <si>
    <t>1. Bilateral cubital incongruity and craniolateral antebrachial bowing that is commonly seen in this breed, but more prominent on the right side. No other thoracic limb abnormalities are appreciated._x000D_
2. Normal thorax and abdomen.</t>
  </si>
  <si>
    <t>Treatment for manus/pes dermatitis appears indicated.</t>
  </si>
  <si>
    <t>Ten radiographs are provided. Images of the thorax, abdomen, pelvis, and stifles are available. Images dated 1/4/23 and earlier are also available for comparison. The heart and pulmonary vessels are normal size and shape. Faint bronchial markings are present consistent with age. No soft tissue pulmonary nodules or pleural effusion. Normal tracheal diameter. Proximal thoracic limbs are unremarkable._x000D_
_x000D_
In the abdomen there is moderate volume soft tissue opaque ingesta in the stomach. Small and large bowel are minimally filled. No radiopaque foreign material or urolithiasis. Normal-sized liver, spleen. The kidneys are incompletely visible. The L2-3 intervertebral foramen is slightly reduced in size. No other spinal abnormalities. The coxofemoral joints are congruent. Pelvic limb musculature is adequate and symmetric. Patellar location is normal. There is small volume fluid in the cranial aspect of the left stifle joint. Equivocal scant fluid in the right stifle. No stifle degenerative change or popliteal lymphadenomegaly.</t>
  </si>
  <si>
    <t>1. Mild left stifle effusion, most consistent with partial cranial cruciate ligament tear. This is the most likely cause for lameness. Equivocal scant right stifle effusion. Normal coxofemoral joints._x000D_
2. The appearance of L2-3 is suggestive of intervertebral disc disease. This could be contributing to discomfort._x000D_
3. Normal thorax and abdomen.</t>
  </si>
  <si>
    <t>Recommend supportive care as needed. If lameness progresses and the patient develops palpable stifle instability, surgical stabilization would be recommended at that time.</t>
  </si>
  <si>
    <t xml:space="preserve">
1.Pleural fissure lines or small volume pleural effusion has been detected. In a mildly overweight animal, excessive pericardial fat can artifactually mimic the result of minimal pleural effusion._x000D_
2.MODERATE INTERSITIAL TO ALVEOLAR PATTERN; MILD PERIHILAR INFILTRATE._x000D_
3.Based on these AI airway/pulmonary findings, the probability of this patient having clinically detectable respiratory signs is MEDIUM (50%)._x000D_
4.Are respiratory signs present? If YES._x000D_
5.AI linked bacterial pneumonia treatment in dogs: https://platform.v2.vetology.net/doc/pneumonia-in-dogs-and-cats_x000D_
6.Are respiratory signs present? If NO._x000D_
7.The cardiac silhouette size is normal._x000D_
8.There is no evidence of DYNAMIC AIRWAY COLLAPSE or BRONCHIECTASIS.</t>
  </si>
  <si>
    <t>Four images are provided.
Images are dated September 10, 2024.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</si>
  <si>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 xml:space="preserve">1. Minimal-mild diffuse bronchial pulmonary pattern.
- Differential diagnoses include infectious/immune-mediated lower airway disease such as from mycoplasma spp., bordetella spp., parasitism, or inhaled allergen/irritant, and/or fibrosis from prior disease, age-related changes, artifact, or unlikely other.
</t>
  </si>
  <si>
    <t>This examination does not rule out pharyngitis/laryngitis contributing to reported clinical signs.  Consider sedated laryngeal examination and/or computed tomography/ laryngoscopy for further evaluation if clinically indicated.  Consider respiratory PCR panel, airway sampling, and fecal analysis/empirical deworming.  Empirical therapy and supportive care in the interim as needed for possible cough. Monitoring as directed or sooner if clinical signs acutely change, fail to improve or worsen.</t>
  </si>
  <si>
    <t>Five orthogonal thoracic radiographs dated 11th September 2024 are available for review. There are no previous radiographs available for comparison. _x000D_
_x000D_
Airway findings: The thorax is well inflated in the images. The trachea has a normal position, shape and size. The carina and tracheal bifurcation are normal. There is a mild diffuse bronchial pattern.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Some thin pleural fissure lines are present. There is some ventral pleural fat._x000D_
_x000D_
Musculoskeletal findings: A dorsal cutaneous mass is visible, which is visible superimposed on the pulmonary parenchyma and ventrodorsal image._x000D_
_x000D_
Included abdomen: No significant abnormalities are detected.</t>
  </si>
  <si>
    <t>1. Negative metastasis check, normal thorax. The bronchial pattern is within limits for normal ageing in absence of any respiratory signs._x000D_
2. Cutaneous mass: Fibroma, fibrosarcoma,  mast cell tumour, other is possible.</t>
  </si>
  <si>
    <t>Computed tomography has a higher resolution capability to detect small pulmonary parenchyma nodules and may be considered. Consider FNA or surgical excision of the dorsal cutaneous mass.</t>
  </si>
  <si>
    <t xml:space="preserve">
1.Based on these AI airway/pulmonary findings, the probability of this patient having clinically detectable respiratory signs are LOW (25%)_x000D_
2.Are respiratory signs present? If NO._x000D_
3.The evaluation has come up positive for a pulmonary nodular pattern._x000D_
4.The cardiac silhouette size is normal._x000D_
5.There is no evidence of DYNAMIC AIRWAY COLLAPSE or BRONCHIECTASIS._x000D_
6.A mild bronchial pattern has been detected._x000D_
7.MILD BRONCHOINTERSTITIAL PULMONARY PATTERN._x000D_
8.Are respiratory signs present? If YES.</t>
  </si>
  <si>
    <t>THORAX (3 images):
Images are dated September 11, 2024.
Ventrodorsal image excludes the caudal thorax.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slightly symmetrically wide in the ventrodorsal image, without obvious increased soft tissue in the lateral images.
Trachea: The trachea is normal.
Esophagus: The esophagus is not well-identified.
Pleural space: The pleural space is normal.
Musculoskeletal: The included musculoskeletal structures are normal.</t>
  </si>
  <si>
    <t xml:space="preserve">1. Mild-moderate diffuse bronchial pulmonary pattern.
- Differential diagnoses include infectious/immune-mediated lower airway disease such as from mycoplasma spp., bordetella spp., parasitism (lung worms), inhaled allergen/irritant, or a combination of these, with/without fibrosis from prior disease, age-related changes, or less likely other.
2. Equivocal cranial mediastinal widening from variation of normal, differential fat deposition, or unlikely evolving lymphadenomegaly or other.  </t>
  </si>
  <si>
    <t>No obvious cardiomegaly is identified in this examination, but this does not completely rule out underlying/evolving cardiac disease, especially if a murmur is still identified.  In this case, consider echocardiography, eCG and blood pressure.
Consider respiratory PCR panel, airway sampling, and fecal analysis for further evaluation.  Computed tomography of the head and dentist consultation for further evaluation of reported oral discharge.  Empirical therapy and supportive care in the interim as needed. Monitoring as directed or sooner if clinical signs acutely change, fail to improve or worsen.</t>
  </si>
  <si>
    <t>Three radiographs of the thorax/abdomen are provided. The cardiac silhouette and pulmonary vessels are normal size and shape. The lungs are clear. There is no pleural effusion. Normal tracheal diameter. No esophageal abnormalities._x000D_
_x000D_
In the abdomen there is small volume amorphous soft tissue density, fluid, and gas in the stomach. Small intestines are minimally distended. Formed feces fills the distal colon. There are several thin flat metal opaque fragments in the colon. These fragments measure up to 0.5 cm. No other foreign material is appreciated. The liver, spleen, and left kidney are normal size. The right kidney is obscured. No radiopaque urolithiasis. Osseous structures are unremarkable.</t>
  </si>
  <si>
    <t>1. Metal opaque fragments in the colon, will continue to pass successfully. These are likely incidental, however is indicative of foreign material ingestion. Gastroenteritis secondary to dietary indiscretion is most likely. Gastric contents appears to be normal ingesta. All or a portion of gastric contents could be foreign material. There is no evidence of small bowel obstruction._x000D_
2. Normal thorax.</t>
  </si>
  <si>
    <t>Recommend CBC, blood chemistry profile, fecal examination, supportive care. A positive contrast gastrogram could be considered to rule out gastric foreign material. Abdominal ultrasound is another option to evaluate the entire abdomen, as long as the patient has been strictly fasted and there is minimal gas in the stomach at the time of imaging.</t>
  </si>
  <si>
    <t>Ten radiographs are provided, with images of the thorax, abdomen, pelvis, stifles. Images dated 10/1/2020 are available for comparison. The cardiac silhouette and pulmonary vessels are normal size. Mild age-related changes in the lungs. No soft tissue pulmonary nodules or pleural effusion. Normal tracheal diameter and cranial mediastinal width. Mild degenerative change in one of the shoulders and in both cubital joints._x000D_
_x000D_
In the abdomen there is no effusion or organomegaly. The gastrointestinal tract is minimally filled. No radiopaque cystic calculi. No significant lumbar spinal abnormalities. No coxofemoral joint abnormalities are appreciated, although evaluation is limited by positioning. Punctate mineral density cranial to the os penis is incidental separate center of ossification. Transverse linear sclerotic band in the distal aspect of both femurs is incidental growth arrest line. There is moderate to large volume fluid in the cranial aspect of both stifle joints, worse on the right. Patellar ligament thickness is normal. A tibial plateau leveling osteotomy procedure has been performed on the right side. There is mild to moderate enthesophyte formation on the femoral trochlear ridges, distal patella, proximal tibia. A tibial tuberosity advancement procedure has been performed on the left, with moderate periarticular osseous remodeling. There is no lysis in either limb.</t>
  </si>
  <si>
    <t>1. Soft tissue opacity in the stifle joints may be incidental synovial hyperplasia/synovitis secondary to chronic insult. Effusion due to meniscal insult is not definitively ruled out. Other soft tissue sprain/strain could also be responsible for the lameness. There is no evidence of osseous lysis to suggest neoplasia or osteomyelitis. No other pelvic limb abnormalities are appreciated._x000D_
2. Normal thorax and abdomen.</t>
  </si>
  <si>
    <t>Recommend palpate for a meniscal click.</t>
  </si>
  <si>
    <t>2 views of the thorax are provided for review. The trachea is dorsally deviated, indicating left ventricular enlargement. A bulge is present in the area of the left atrium. The cardiac silhouette is widened with rounding of the right ventricular margin. Interstitial to alveolar opacity is present in all lung lobes, worse near the hilus. The pleural and mediastinal structures are normal. Cranial abdominal detail is adequate.</t>
  </si>
  <si>
    <t>Generalized cardiomegaly. Interstitial to alveolar pulmonary pattern consistent with cardiogenic pulmonary edema.</t>
  </si>
  <si>
    <t>Consider repeat radiographs following diuretic therapy. Echocardiography may be helpful in further evaluation.</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</si>
  <si>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3.SEVERE INTERSTITIAL TO ALVEOLAR PATTERN; SEVERE BRONCHIAL PATTERN; SEVERE DYNAMIC AIRWAY DISEASE._x000D_
4.Based on these AI airway/pulmonary findings, the probability of this patient having clinically detectable respiratory signs is VERY HIGH (&gt;75%)_x000D_
5.Are respiratory signs present? If YES._x000D_
6.Are respiratory signs present? If NO._x000D_
7.The evaluation has come up positive for a pulmonary nodular pattern._x000D_
8.A severe perihilar infiltrate has been detected.</t>
  </si>
  <si>
    <t>Three radiographs of the thorax and three views of the abdomen are provided. Images dated 6/21/24 were reviewed for comparison. The cardiac silhouette and pulmonary vessels are normal size. Diffuse mild bronchial pattern and several pulmonary osteomas is normal for the age of this patient. Fat deposition noted in the cranial mediastinum. The soft tissue nodular contour previously overlying the cranial thorax on the right lateral view is not present overlying the thorax today. There is a faint round 0.9cm soft tissue density ventral to the 2nd sternal segment on the left lateral view which likely represents the offending structure, previously overlying the thorax. No soft tissue pulmonary nodules or pleural effusion are appreciated. Normal tracheal diameter._x000D_
_x000D_
In the abdomen there is mild hepatomegaly. Hepatic margins are rounded. Normal-sized spleen and kidneys. The gastrointestinal tract is minimally filled. No radiopaque cystic calculi. Normal lumbar spine. Degenerative change in both coxofemoral joints.</t>
  </si>
  <si>
    <t>Mild hepatomegaly. This is a nonspecific finding which may be steroid or other hepatopathy, acute inflammation, or neoplasia. This is the only abnormality identified on this study. The remainder of the abdomen and the thorax are normal.</t>
  </si>
  <si>
    <t>Abdominal ultrasound is recommended.</t>
  </si>
  <si>
    <t xml:space="preserve">
1.Are respiratory signs present? If YES._x000D_
2.Are respiratory signs present? If NO._x000D_
3.The cardiac silhouette size is normal._x000D_
4.MILD TO MODERATE BRONCHOINTERSTITIAL PULMONARY PATTERN; ATELECTASIS or ALVEOLAR INFILTRATE._x000D_
5.Based on these AI airway/pulmonary findings, the probability of this patient having clinically detectable respiratory signs is LOW to MEDIUM (25-50%)_x000D_
6.A minimal perihilar infiltrate has been detected.</t>
  </si>
  <si>
    <t>6 images of the thorax and abdomen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Abdominal serosal detail is reduced in all caudal abdomen. The stomach contains a moderate amount of ingesta. The small intestines are normal in size. Gas and feces are present in the colon. Lobular soft tissue structures are present in the region of the urinary bladder and prostate. 3 total rounded structures are present in this area. The remaining abdominal organs are normal.</t>
  </si>
  <si>
    <t>Radiographically normal thorax for a patient of this age. Changes of the caudal abdomen are concerning for a mass in this region with potential free fluid. Consider paraprostatic cyst, abscess, neoplasia.</t>
  </si>
  <si>
    <t>Abdominal ultrasound may be helpful in further evaluation.</t>
  </si>
  <si>
    <t>Study:_x000D_
Thoracic radiography: five images dated September 11, 2024_x000D_
_x000D_
Findings:_x000D_
There is severe generalized cardiomegaly (VHS approximately 13) with moderate to severe enlargement of the left atrium. The pulmonary vasculature is normal in size. There is a mild to moderate generalized bronchointerstitial pulmonary pattern. The pleural space is normal. There is no intrathoracic lymphadenopathy. The trachea is normal in diameter. The stomach contains heterogeneous soft tissue material presumed to be ingesta. Mild periarticular bone formation is present at the caudodistal aspect the humeral head bilaterally. There is mild bilateral elbow periarticular bone formation. There is a mild small lipomatous mass in the subcutaneous tissues of the caudal ventral thorax.</t>
  </si>
  <si>
    <t>1. Severe generalized cardiomegaly without evidence of decompensation. Rule out hypertrophic cardiomyopathy versus degenerative valve disease. Recommend echocardiography for further evaluation._x000D_
2. The diffuse bronchointerstitial pulmonary pattern is a nonspecific finding. This could be a benign age-related change or may indicate allergic, inflammatory, infectious, inhaled irritant or parasitic bronchitis. Airway sampling plus/minus heartworm testing and Baermann fecal flotation can be considered to further evaluate for lower airway disease. Laryngeal paralysis should also be considered as a potential cause of the reported coughing._x000D_
3. Mild bilateral shoulder and elbow osteoarthrosis.</t>
  </si>
  <si>
    <t xml:space="preserve">
1.MODERATE INTERSTITIAL TO ALVEOLAR INFILTRATE; CONCURRENT MODERATE BRONCHIAL PATTERN; MILD PERIHILAR INFILTRATE._x000D_
2.Based on the AI airway/pulmonary findings, the probability of this patient having clinically detectable respiratorysigns is HIGH (75%)_x000D_
3.Are respiratory signs present? If YES._x000D_
4.AI linked bacterial pneumonia treatment in dogs: https://platform.v2.vetology.net/doc/pneumonia-in-dogs-and-cats_x000D_
5.Are respiratory signs present? If NO._x000D_
6.The evaluation has come up positive for a pulmonary nodular pattern._x000D_
7.Pleural fissure lines or moderate pleural effusion has been detected. An overlying skin fold or in a moderately overweight animal, excessive pericardial fat could artifactually mimic the result of moderate pleural effusion._x000D_
8.Moderate cardiomegaly has been detected but Heart Failure is NOT suspected.</t>
  </si>
  <si>
    <t>13 images of the pelvis, pelvic limbs, and spine are provided for review.  No fractures or aggressive osseous lesions are seen.  The left coxofemoral joint is incongruent.  Osteophytes present on the left femoral neck.  No mineralized intervertebral discs or consistently narrowed intervertebral disc spaces are seen.  The joint surfaces are smooth and regular.  Increased soft tissue is seen in the stifle joints bilaterally.  Osteophytes are present on the femoral trochlear ridges, tibial plateau, and patella on the right.  At periarticular osteophyte formation is seen in the dorsal aspect of the right distal intertarsal joint.  Osteophytes are also seen surrounding the left tibiotarsal joint.  The kidneys are small with irregular margins and mineral in the pelves.  The remaining soft tissue structures included are normal.</t>
  </si>
  <si>
    <t>Chronic renal changes with nephrolithiasis.  Left coxofemoral incongruency concerning for joint laxity.  Mild left coxofemoral DJD.  Bilateral tarsal DJD.  Bilateral stifle effusion with right stifle DJD consistent with soft tissue injury such as to the cranial cruciate ligaments or menisci, likely chronic on the right.  Radiographically normal spine.  This does not rule out intervertebral disc herniation or other causes of spinal cord compression.</t>
  </si>
  <si>
    <t xml:space="preserve">
1.The evaluation has a strong suspicion of pulmonary nodules or mass lesion being present._x000D_
2.The cardiac silhouette size is normal._x000D_
3.There is no evidence of BRONCHITIS, ALVEOLAR PATTERN, PERIHILAR INFILTRATE, DYNAMIC AIRWAY COLLAPSE or BRONCHIECTASIS or PLEURAL EFFUSION.</t>
  </si>
  <si>
    <t>THORAX (9 images):
Images are dated September 11, 2024.
Some images are redundant, and one image is non-diagnostic (presumed solarized).
Ungloved human extremities in the primary beam.
Pulmonary parenchyma: In the ventrodorsal images, a possibly soft tissue nodule is over the left cranial lung in the 4th intercostal space, which is not well-defined in the lateral images.Ill-defined increased soft tissue is in the right middle lung lobe region in the ventrodorsal image.  A mild diffuse bronchial pattern is present.  Few small mineral foci are suspected in lower airways over the cranial lungs in the lateral images.  The lungs are well-inflated or minimally hyperinflated in the lateral images.
Pulmonary vasculature: The pulmonary vasculature is subjectively normal in size and tapers in the periphery of the lungs.
Cardiac silhouette: The cardiac silhouette is mildly generally tall in the lateral images.  No obvious cardiomegaly in the ventrodorsal images.
Mediastinum: The cranial mediastinum is normal. A rightward mediastinal shift is in the ventrodorsal image.  
Trachea: The trachea is normal.
Esophagus: The esophagus is not well-identified.
Pleural space: Right-sided pleural fluid is present, with rounding of the caudal lung margin in the diaphragmatic recess, and retraction of lung margins from the lateral body wall.
Musculoskeletal: The patient is slightly thin with concave soft tissues between spinous processes.  The remaining included musculoskeletal structures are normal.
(amended on 09/11/2024 14:28)
Upon further evaluation, possible prominent nipples are in the ventral extra-thoracic soft tissues and may mimic a pulmonary nodule.  Consider also repeat thoracic radiographs with barium paste applied external to nipples to confirm position, and possibly rule out pulmonary nodule over the left cranial lung lobe.</t>
  </si>
  <si>
    <t xml:space="preserve">1. Suspected left cranial lung soft tissue nodule versus bronchial plugging, end-on vasculature, or less likely pulmonary mineral or other.
- If present, this may be due to metastatic or unlikely evolving primary versus other.
2. Right middle lung lobe interstitial pattern and right-ward mediastinal shift is suspected to be from bronchial plugging/chronic lower airway disease and atelectasis, or less likely compression/obstruction from evolving neoplasia, or a combination of these, or other.
3. Mild diffuse bronchial pulmonary pattern and suspected lower airway mineral foci.
- Differential diagnoses include chronic infectious/immune-mediated lower airway disease such as from feline asthma, mycoplasma spp., bordetella spp., parasitism (lung worms), or less likely other, or unlikely systemic calcium:phosphorus imbalance or evolving metastatic neoplasia, or other.
4. Equivocal generalized cardiomegaly versus artifact from phase of the cardiopulmonary cycle and patient positioning.
- This is consistent with reported murmur.
- If present, differential diagnoses include hypertrophic or thyrotoxic cardiomyopathy or unlikely other.
5. Right-sided pleural fluid is suspected or unlikely evolving neoplasia, or artifact from hypoinflation/other.
- Malignant effusion, chylous effusion, or less likely other are considered.  
6. Thin body condition.  </t>
  </si>
  <si>
    <t xml:space="preserve">Consider echocardiography, eCG and blood pressure, thyroid function testing, routine blood work and urinalysis if not recently performed.  Empirical therapy and supportive care in the interim as needed. Computed tomography of the thorax for further evaluation.  Consider thoracocentesis versus lung tissue sampling or possibly airway sampling/respiratory PCR panel for further evaluation depending on results.  Pleural fluid may be loculated and challenging to access via ultrasonography, given reported history.  Abdominal imaging to screen for occult systemic disease may be contributory.  Consider oncologist versus internist consultation depending on results of additional diagnostics.  </t>
  </si>
  <si>
    <t xml:space="preserve">
1.The cardiac silhouette size is normal._x000D_
2.There is no evidence of DYNAMIC AIRWAY COLLAPSE or BRONCHIECTASIS or PULMONARY NODULES._x000D_
3.A mild interstitial has been identified._x000D_
4.A minimal perihilar infiltrate has been detected.</t>
  </si>
  <si>
    <t>SPINE AND PELVIC LIMBS (4 images):
Images are dated September 11, 2024.
Bones/Joints:
Lucency over the right femur proxima/cranial cortex is presumed artifact, and is suspected to be the same artifact over L6 in the left lateral image. Similar radiolucent foci are over the soft tissues rightward of L7 in the ventrodorsal image, and over the positioning aid/outside the plane of the patient in multiple images.  
There is no evidence of intervertebral disc space narrowing, or mineral over the intervertebral foramina.  There is no evidence of intervertebral dorsal articulation osteoarthrosis.
The coxofemoral joints have no obvious osteoarthrosis.  There is adequate coverage of the femoral heads by the acetabulums.
Bilateral femoral trochlear hypoplasia is present.  No current evidence of medial patella luxation.  
The left stifle has no evidence of osteoarthrosis.  Mild to moderate increased soft tissue is suspected in the left stifle joint, partially obscuring the infrapatellar fat pad.
The right stifle has no evidence of osteoarthrosis.   Mild to moderate increased soft tissue is suspected in the right stifle joint, partially obscuring the infrapatellar fat pad.
There is no evidence of medullary sclerosis, osteolysis, endosteal scalloping, or periosteal proliferation.
Soft tissues:  The included soft tissues are normal.</t>
  </si>
  <si>
    <t>1. Mild-moderate left and right stifle joint effusion/proliferation such as from cranial cruciate ligament injury, or less likely hemarthrosis or evolving immune-mediated polyarthritis or other given patients young age.
2. Bilateral femoral trochlear hypoplasia without current evidence of medial patella luxation.
3. Normal coxofemoral joints.
4. No evidence of lumbar vertebral osteolysis.</t>
  </si>
  <si>
    <t>Consider orthopedist consultation and routine blood work for further evaluation.  Consider focused radiographs of the stifles and possibly arthrocentesis for further evaluation.  Empirical therapy and supportive care in the interim as needed. Monitoring as directed or sooner if clinical signs acutely change, fail to improve or worsen.</t>
  </si>
  <si>
    <t>Six orthogonal thoracic radiographs dated 11th September 2024 are available for review. There are no previous radiographs available for comparison. The lateral images are overexposed, rendering the study non-diagnostic._x000D_
_x000D_
Airway findings: The cervical and thoracic trachea have a normal size, outline and position. The carina, tracheal bifurcation and mainstem bronchi are normal. The visible pulmonary parenchyma is normal. In the lateral images, there are some endon blood vessels in the region of the bronchial tree, and some pulmonary osteomata ventrally._x000D_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</si>
  <si>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No evidence of soft tissue masses or nodules within the limitations of the study.</t>
  </si>
  <si>
    <t>Consider monitoring, and repeat radiographs. CT may be considered, as higher sensitivity for smaller nodule detection.</t>
  </si>
  <si>
    <t>Two orthogonal radiographs of the left shoulder joint dated 11th September 2024 are available for review. There are no previous radiographs available for comparison. _x000D_
_x000D_
Left shoulder: The left shoulder is normal. A faint lucency is seen at the caudal cortex, just distal to the humeral head superimposed on the tracheal lumen. No other associated bony changes are present. The left elbow is normal. The dorsal anconeal process is smooth. The medial coronoid process is smooth. There is no subtrochlear sclerosis. A craniocaudal image is not included. No abnormalities are noted in the included aspects of the contralateral shoulder.</t>
  </si>
  <si>
    <t>Normal shoulder and elbow: The faint lucency at the caudal proximal humerus is most likely artifactual. An aggressive bony lesion such as an osteosarcoma is considered unlikely. A muscular or tendinous strain or articular sprain should be considered as alternate differentials, such as a bicipital tendon or supraspinatus muscle strain.</t>
  </si>
  <si>
    <t>Radiographic monitoring is advised. careful empirical management, including controlled exercise, non-steroidal anti-inflammatories, or multimodal analgesia, after normal blood work may be considered. If pain can be localised to a particular region, centred orthogonal images, or musculoskeletal ultrasound may be considered.</t>
  </si>
  <si>
    <t>THORAX (3 total radiographs for review). _x000D_
_x000D_
- Moderate to marked diffuse bronchial pulmonary pattern._x000D_
- Most notable in the ventral aspect of the left cranial lung lobe, there are patchy unstructured interstitial to alveolar pulmonary opacities with a few air bronchograms noted._x000D_
- The cardiac silhouette and pulmonary vasculature are normal._x000D_
- The trachea, pleural space, mediastinum and remaining included intrathoracic structures are normal._x000D_
- The liver is moderately enlarged, extending caudal to the costal arch with rounded margins._x000D_
- There is indistinct mineral opacity superimposed over the region of the gallbladder._x000D_
- The stomach contains mild to moderate gas stippled soft-tissue opaque material._x000D_
- The musculoskeletal structures are normal.</t>
  </si>
  <si>
    <t>1.  Ventrally distributed unstructured interstitial to alveolar pulmonary pattern in the left cranial lung lobe given the reported history of chronic regurgitation raises suspicion for aspiration pneumonia.  I would recommend considering treating this patient for aspiration pneumonia and rechecking the thoracic radiographs along the course of therapy (e.g. 7-10 days or sooner if clinically indicated) to reevaluate the degree of pulmonary opacification over time._x000D_
_x000D_
2.  Moderate to marked diffuse bronchial pattern.  Consider chronic bronchitis, especially if there is a history of abnormal respiratory sounds, wheezing and/or coughing.  A component of this may be normal age-related airway change._x000D_
_x000D_
3. Moderate hepatomegaly. Most likely vacuolar (metabolic) hepatopathy. Hepatitis, hepatic congestion or neoplasia are less likely, but possible._x000D_
_x000D_
4.  Mild gallbladder mineralized debris.</t>
  </si>
  <si>
    <t>A discrete radiographic cause for chronic regurgitation is not clearly noted.  Abdominal ultrasonographic evaluation could be considered for further assessment.</t>
  </si>
  <si>
    <t xml:space="preserve">
1.MODERATE ALVEOLAR PATTERN; CONCURRENT MILD BRONCHOINTERSTITIAL PATTERN; MILD DYNAMIC AIRWAY DISEASE._x000D_
2.Based on the AI airway/pulmonary findings, the probability of this patient having clinically detectable respiratory signs is MEDIUM to HIGH (50-75%)._x000D_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6.Mild cardiomegaly has been detected but Heart Failure is NOT suspected.</t>
  </si>
  <si>
    <t>Two small thoracic radiographs dated 11th September 2024 are available for review. There are no previous radiographs available for comparison._x000D_
_x000D_
Thorax: The trachea is normal. The tracheal bifurcation is normal. There is a well-defined soft tissue attenuation of the left caudal dorsal lung lobe causing a lobar sign with the left cranial lung lobe. The rest of the pulmonary parenchyma is well aerated. The cardiac silhouette is normal in shape, size and margination. The cranial and caudal pulmonary vasculature is normal. The caudal vena cava is normal. The aorta and mainstem pulmonary artery have a normal outline in the vd/dv l image. There is mild rightward shift of the cardiac silhouette. There is no evidence for a pleural effusion._x000D_
_x000D_
Included abdomen: No significant abnormalities are detected.</t>
  </si>
  <si>
    <t>1. The left caudal lung lobe consolidation is most consistent with a pulmonary neoplasia such as a bronchial adenocarcinoma, causing obstruction of lobar clearance. Focal bronchopneumonia is considered less likely.</t>
  </si>
  <si>
    <t xml:space="preserve">
1.Are respiratory signs present? If NO._x000D_
2.SEVERE PLEURAL EFFUSION; MODERATE TO SEVERE INTERSTITIAL to ALVEOLAR PATTERN._x000D_
3.Based on the AI airway/pulmonary findings, the probability of this patient having clinically detectable respiratory signs is VERY HIGH (&gt;75%)_x000D_
4.Severe pleural effusion has been detected._x000D_
5.The cardiac silhouette size is normal.</t>
  </si>
  <si>
    <t>THORAX (2 images):
Images are dated September 11, 2024.
Pulmonary parenchyma: Multiple variably sized, well-defined mineral foci are in the cranioventral portion of the lungs.  A mild to moderate diffuse bronchial pattern is present.  Some small soft tissue foci are present in the lungs, but these are suspected to be end-on vasculature in the periphery of the lungs.
Pulmonary vasculature: The pulmonary vasculature is subjectively normal in size and tapers in the periphery of the lungs.
Cardiac silhouette: The cardiac silhouette is mildly flattened at its caudodorsal margin subjectively.  Subtle increased soft tissue is suspected in the left atrial region in the ventrodorsal image.
Mediastinum: The cranial mediastinum is normal.
Trachea: The trachea is normal.
Esophagus: The esophagus is not well-identified.
Pleural space: The pleural space is normal.
Musculoskeletal: The included musculoskeletal structures are normal.</t>
  </si>
  <si>
    <t>1. Multiple pulmonary mineral foci such as from pulmonary osteomas/osseous metaplasia, or less likely granuloma from prior disease, or unlikely metastatic primary osseous neoplasm.
2. Presumed end-on pulmonary vasculature in the periphery of the lungs, or unlikely evolving metastatic neoplasia or granuloma from prior disease.
3. Mild diffuse bronchial pulmonary pattern such as from infectious/immune-mediated lower airway disease, or unlikely other.
4. Equivocal left-sided cardiomegaly versus artifact from sedation and/or phase of the cardiopulmonary cycle.
- There is no current evidence of left-sided congestive heart failure.
5. No obvious intra-thoracic lymphadenomegaly.</t>
  </si>
  <si>
    <t>Consider computed tomography of the thorax for a more sensitive evaluation of the lungs, versus recheck radiographs in 4-8 weeks, especially if reported recent mass removal reveals malignancy.  Consider abdominal imaging, and urinalysis to screen for occult systemic disease if not recently performed.  Oncologist consultation depending on results.  Consider echocardiography, ECG and blood pressure for further evaluation if a murmur is later identified.   Empirical therapy and supportive care in the interim as needed.  Monitoring as directed or sooner if clinical signs acutely change, fail to improve or worsen.</t>
  </si>
  <si>
    <t xml:space="preserve">
1.MILD BRONCHOINTERSTITIAL PULMONARY PATTERN; MILD PERIHILAR INFILTRATE; MILD DYNAMIC AIRWAY DISEASE; ATELECTASIS or less likely, pneumonia._x000D_
2.Based on the AI airway/pulmonary findings, the probability of this patient having clinically detectable respiratory signs is MEDIUM (50%)_x000D_
3.Are respiratory signs present? If YES._x000D_
4.Are respiratory signs present? If NO._x000D_
5.The cardiac silhouette size is normal._x000D_
6.Pleural fissure lines or small volume pleural effusion has been detected. In a mildly overweight animal, excessive pericardial fat can artifactually mimic the result of minimal pleural effusion.</t>
  </si>
  <si>
    <t>Three images are provided.
Images are dated September 11, 2024.
Caudal abdomen is excluded in the left lateral image.
Pulmonary parenchyma: A minimal diffuse bronchial pattern is present.  In the hypoinflated left lateral image, and minimal diffuse interstitial pattern is present.
Pulmonary vasculature: The pulmonary vasculature is subjectively normal in size and tapers in the periphery of the lungs.
Cardiac silhouette: The cardiac silhouette is apparently tall in the oblique and hypoinflated left lateral image, which is not corroborated in the orthogonal images.  
Mediastinum: The cranial mediastinum is normal.
Trachea: The trachea is normal.
Esophagus: The esophagus is not well-identified.
Pleural space: The pleural space is normal.
Liver: The liver is small with cranial displacement of the gastric axis.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and minimal soft tissue.  Gas is in the pylorus and descending duodenum in the ventrodorsal image.   The stomach is within normal limits for size.
The small intestine contains mild gas with a subjectively uniform population for size. 
The colon contains mild well-defined soft tissue material and gas.  The colon is within normal limits for size.  
Musculoskeletal: The included musculoskeletal structures are normal.</t>
  </si>
  <si>
    <t>1. Minimal diffuse bronchial and interstitial pulmonary patterns.
- Differential diagnoses include infectious/immune-mediated lower airway disease such as from mycoplasma spp., bordetella spp., parasitism, or inhaled allergen/irritant, fibrosis from prior disease, age-related changes, transient hypoinflation/atelectasis, a combination of these, or unlikely other.
2. Microhepatia or unlikely variation of normal.
- The primary differential diagnosis is occult portosystemic shunting vessel.
3. There is no current evidence of gastrointestinal mechanical ileus.</t>
  </si>
  <si>
    <t>Consider respiratory PCR panel, fecal analysis/deworming, airway sampling, and possibly tracheoscopy/bronchoscopy/fluoroscopy to rule out occult dynamic airway disease if clinically indicated.  Routine blood work, bile acid testing and possibly computed tomography portography for further evaluation of the liver, if clinically indicated.  Empirical therapy and supportive care for coughing in the interim as needed.  Monitoring as directed or sooner if clinical signs acutely change, fail to improve or worsen.</t>
  </si>
  <si>
    <t>Study:_x000D_
Abdominal radiography: three images dated September 10, 2024_x000D_
_x000D_
Findings:_x000D_
There is decreased cranial abdominal detail. The stomach contains a small volume of gas. The small intestines are gas-filled and normal in size and course. The liver and spleen are normal in size and margin. The renal silhouettes are normal in size and contour. The urinary bladder is normal in size and opacity. The included thorax is unremarkable. There is variable mild to severe multifocal thoracolumbar spondylosis deformans. There is a large mineral body adjacent to the greater trochanter of the left femur. There is mild right stifle periarticular bone formation. The patient is of thin body condition.</t>
  </si>
  <si>
    <t>1. The decreased cranial abdominal detail may be secondary to the thin body condition of the patient, reduced intra-abdominal fat visceral crowding. Cranial abdominal effusion, peritonitis and/or pancreatitis is also possible._x000D_
2. The abdomen is otherwise unremarkable. A definitive cause of the reported weight loss is not evident._x000D_
3. Mild left stifle osteoarthrosis. Consider underlying cranial cruciate and/or meniscal injury._x000D_
4. Left gluteal enthesopathy.</t>
  </si>
  <si>
    <t>Abdominal sonography and a G.I. panel can be considered to further evaluate the reported weight loss.</t>
  </si>
  <si>
    <t xml:space="preserve">
1.Severe bronchointerstitial pulmonary pattern present._x000D_
2.The cardiac silhouette size is normal._x000D_
3.There is no evidence of PERIHILAR INFILTRATE._x000D_
4.Mild dynamic airway disease has been detected._x000D_
5.Pleural fissure lines or moderate to severe pleural effusion has been detected. An overlying skin fold or in an obese animal, excessive pericardial fat could artifactually mimic the result of severe pleural effusion.</t>
  </si>
  <si>
    <t>Study:_x000D_
The images of the thorax and right lateral projection of the abdomen dated September 10, 2024_x000D_
_x000D_
Findings:_x000D_
The cardiac silhouette and pulmonary vasculature are normal in size. The pulmonary parenchyma is unremarkable. No pulmonary nodules or masses are present. The pleural space is normal. There is no intrathoracic lymphadenopathy. On the left lateral view, there is an indistinct broad-based soft tissue opaque band superimposed with the dorsal aspect of the cervical trachea lumen representing either a redundant dorsal tracheal membrane or superimposition of the esophagus. The trachea is normal in diameter and course. The stomach contains unstructured heterogeneous soft tissue material presumed to be ingesta. The small intestines are normal in size, course and content. The colon contains formed fecal material with a normal diameter. The liver extends mildly beyond the costal arch with smooth margins. The spleen is normal in size and margin. The renal silhouettes are normal in size and contour. The urinary bladder is normal in size and opacity. There is a smoothly marginated mineral body is adjacent to the ability of the right stifle. The patient is of overweight body condition.</t>
  </si>
  <si>
    <t>1. Normal thorax. There is no radiographic evidence of cardiopulmonary disease or intrathoracic neoplasia._x000D_
2. The generalized hepatomegaly is nonspecific. Rule out metabolic/vacuolar hepatopathy, hyperplasia, hepatitis or infiltrative neoplasia. Remainder the abdomen is unremarkable._x000D_
3. The mineral body adjacent to the fabellae of the right stifle may indicate incidental multipartite fabella or gastrocnemius enthesopathy.</t>
  </si>
  <si>
    <t>Abdominal sonography can be considered for further evaluation of the hepatomegaly.</t>
  </si>
  <si>
    <t xml:space="preserve">
1.MINIMAL to MILD BRONCHOINTERSTITIAL PULMONARY PATTERN; MINIMAL DYNAMIC AIRWAY DISEASE._x000D_
2.Based on these AI airway/pulmonary findings, the probability of this patient having clinically detectable respiratory signs are LOW (25%)_x000D_
3.Are respiratory signs present? If YES._x000D_
4.Are respiratory signs present? If NO._x000D_
5.Mild cardiomegaly has been detected but Heart Failure is NOT suspected.</t>
  </si>
  <si>
    <t>Study:_x000D_
Thoracic/abdominal radiography: four images dated September 10, 2024_x000D_
_x000D_
Findings:_x000D_
There is mild left ventricular and left atrial enlargement. The pulmonary vasculature is normal in size. The pulmonary parenchyma is unremarkable. No pulmonary nodules or masses are present. The pleural space is normal. There is no intrathoracic lymphadenopathy. The trachea is normal in diameter. The abdominal serosal detail is normal. The stomach contains a small amount of unstructured heterogeneous soft tissue material presumed to be ingesta. The small intestines are gas and fluid-filled and normal in size and course. The colon contains formed fecal material with a normal diameter. The liver is normal in size and margin. The tail the spleen is mildly to moderately enlarged with smooth margins. The renal silhouettes are normal in size and contour. The urinary bladder is normal in size and opacity. There is no prostatomegaly. There is narrowing of the L1-L2 intervertebral disc space with moderate spondylosis deformans. There is also spondylosis deformans at L3-L4. There is a healed malunion fracture of the left distal femoral diaphysis. There is mild left stifle periarticular bone formation.</t>
  </si>
  <si>
    <t>1. The generalized splenomegaly is nonspecific. Rule out extramedullary hematopoiesis, lymphoid hyperplasia, splenitis, congestion or infiltrative neoplasia._x000D_
2. Mild left-sided cardiomegaly, indicative of mitral valve disease, without evidence of decompensation. Echocardiography should be considered for further evaluation._x000D_
3. L1-L2 intervertebral disc disease._x000D_
4. Left distal femoral healed malunion fracture._x000D_
5. Mild left stifle osteoarthrosis.</t>
  </si>
  <si>
    <t>Abdominal sonography should be considered for further evaluation of the reported anemia and thrombocytopenia.</t>
  </si>
  <si>
    <t xml:space="preserve">
1.A mild to moderate bronchointerstitial pulmonary pattern has been detected._x000D_
2.There is no evidence of DYNAMIC AIRWAY COLLAPSE or BRONCHIECTASIS._x000D_
3.A mild perihilar infiltrate has been detected._x000D_
4.Pleural fissure lines or moderate pleural effusion has been detected. An overlying skin fold or in a moderately overweight animal, excessive pericardial fat could artifactually mimic the result of moderate pleural effusion._x000D_
5.Mild cardiomegaly has been detected but Heart Failure is NOT suspected.</t>
  </si>
  <si>
    <t>THORAX (3 total radiographs for review).  A recent examination of the abdomen is available for review._x000D_
_x000D_
- Possible ill-defined increase in soft tissue opacity near the heart base, resulting in dorsal displacement of the caudal aspect of the thoracic trachea on the lateral projections and a rightward displacement of the trachea on the VD image._x000D_
- Mild generalized cardiomegaly, with the impression of right heart enlargement due to rounding of the cardiac margins._x000D_
- Mild to moderate diffuse bronchial pulmonary pattern._x000D_
- Unstructured interstitial pattern throughout the left lung lobes._x000D_
- The remaining intrathoracic structures are normal._x000D_
- The liver is mildly enlarged._x000D_
- The stomach and visible small intestinal segments are mildly to moderately distended with gas._x000D_
- The remaining cranial abdominal structures are normal._x000D_
- There remains cranial lumbar vertebral spondylosis deformans, and mild mid thoracic spondylosis.</t>
  </si>
  <si>
    <t>1.  There is a subtle increase in soft tissue opacity in the region of the heart base, that in combination with the described tracheal displacement, and given the reported cardiac murmur (as well as the patient=ZZ91=s breed) would raise concern for  a heart base mass (e.g. neuroendocrine tumor, chemodectoma) however an obvious mass is not clearly appreciated.  Cranial mediastinal fat deposition and breed related tracheal displacement remain possible._x000D_
_x000D_
2.  Impression of mild to moderate right-sided cardiomegaly, which if a heart base mass is present could be associated with this pathology however given the coughing and dyspnea may be secondary to cardiac remodeling from pulmonary arterial hypertension (cor pulmonale).  Tricuspid valvular insufficiency is also possible._x000D_
_x000D_
3. Mild diffuse bronchial pattern.  Most likely representing chronic bronchitis and/or age-related lower airway degeneration._x000D_
_x000D_
4.  Aerophagia._x000D_
_x000D_
5.  Mild hepatomegaly. Most likely vacuolar (metabolic) hepatopathy versus hepatic congestion. Hepatitis  or neoplasia are less likely, but possible.</t>
  </si>
  <si>
    <t>Consider consultation with a veterinary cardiologist in this case regarding echocardiography/ECG for further evaluation of the heart and heart-base region.  There is no distinct radiographic evidence of congestive heart failure.</t>
  </si>
  <si>
    <t>Study:_x000D_
Thoracic/abdominal radiography: six images dated September 10, 2024_x000D_
_x000D_
Findings:_x000D_
The cardiac silhouette and pulmonary vasculature are normal in size. The pulmonary parenchyma is unremarkable. No nodules or masses are present. The pleural space is normal. There is no intrathoracic lymphadenopathy. The larynx is unremarkable. The trachea is normal in diameter. There is no esophageal dilation. The abdominal serosal detail is normal. The stomach contains a small amount of unstructured heterogeneous soft tissue material presumed to be ingesta. The small intestines are normal in size, course and content. The colon contains formed fecal material. The liver is small with associated cranial rotation of the gastric axis. The spleen is normal in size and margin. The renal silhouettes are normal in size and contour. The urinary bladder is normal in size and opacity. There is narrowing of the T 13-L1 intervertebral disc space with sclerotic endplates and moderate spondylosis deformans. The L1-L2 intervertebral disc space also appears narrowed in comparison to the L2-L3 intervertebral disc space. On the right lateral projection timestamped 17:14, the right patella is superimposed with the femoral condyles.</t>
  </si>
  <si>
    <t>1. T 13-L1 and suspect L1-L2 intervertebral disc disease. Neurology consultation and MRI should be considered for further evaluation._x000D_
2. Microhepatia. Rule out normal variant, vascular anomaly or chronic hepatitis/cirrhosis. Correlate with any liver enzyme abnormalities. Abdominal sonography and bile acid testing can be considered for further evaluation if clinically relevant._x000D_
3. Normal thorax._x000D_
4. Right medial luxating patella.</t>
  </si>
  <si>
    <t xml:space="preserve">
1.Mild cardiomegaly has been detected but Heart Failure is NOT suspected._x000D_
2.A minimal interstitial pulmonary pattern with a concurrent, mild perihilar infiltrate have been detected._x000D_
3.There is no evidence of ALVEOLAR PATTERN.</t>
  </si>
  <si>
    <t>Study:_x000D_
Thoracic radiography: four images dated September 10, 2024_x000D_
_x000D_
Compared to prior study dated April 17, 2020_x000D_
_x000D_
Findings: there is mild dorsal bulging of the left atrium. The pulmonary vasculature is normal in size. There is a mild generalized bronchointerstitial pulmonary pattern. This finding is similar in severity to the prior examination. The pleural space is normal. There is no intrathoracic lymphadenopathy. The larynx is unremarkable. The trachea is normal in diameter. There is no evidence of a redundant dorsal tracheal membrane in the present examination. The included abdomen is unremarkable. No skeletal abnormalities are present.</t>
  </si>
  <si>
    <t>1. Mild specific left atrial enlargement, suggestive of mitral valve disease, without evidence of decompensation. Echocardiography can be considered for further evaluation._x000D_
2. Static mild nonspecific bronchointerstitial pulmonary pattern. This could be a benign age-related change given the unchanged appearance since the prior examination. Allergic, inflammatory, infectious, inhaled irritant or parasitic bronchitis cannot be completely excluded._x000D_
3. Normal diameter of the trachea does not exclude the possibility of dynamic airway disease/tracheal collapse. Fluoroscopy can be considered to further evaluate for possible tracheal collapse given the reported tracheal sensitivity on physical exam.
(amended on 09/11/2024 12:39)
Addendum based on additional history of possible coccidioidomycoses exposure:_x000D_
_x000D_
The diffuse bronchointerstitial pulmonary pattern could represent fungal disease=ZZ90= however, the possibility is considered less likely in the absence of any tracheobronchial lymphadenopathy. Valley Fever titers can also be considered for further evaluation.</t>
  </si>
  <si>
    <t xml:space="preserve">
1.Are respiratory signs present? If YES._x000D_
2.Are respiratory signs present? If NO._x000D_
3.A mild perihilar infiltrate has been detected._x000D_
4.MODERATE INTERSTITIAL TO ALVEOLAR INFILTRATE; MILD BRONCHIAL PATTERN; MILD PERIHILAR INFILTRATE._x000D_
5.Based on the AI airway/pulmonary findings, the probability of this patient having clinically detectable respiratory signs is HIGH (75%)_x000D_
6.Pleural fissure lines or moderate to severe pleural effusion has been detected. An overlying skin fold or in an obese animal, excessive pericardial fat could artifactually mimic the result of severe pleural effusion._x000D_
7.The cardiac silhouette size is normal.</t>
  </si>
  <si>
    <t>Study:_x000D_
Thoracic and abdominal radiography: four images dated September 10, 2024_x000D_
_x000D_
Compared to prior study dated June 4, 2024_x000D_
_x000D_
Findings:_x000D_
The cardiac silhouette is normal in size and shape. The pulmonary vasculature is normal in size. The pulmonary parenchyma is overexposed but appears unremarkable. The pleural space is normal. There is no intrathoracic lymphadenopathy. The trachea is normal in diameter. The serosal detail is normal. The stomach contains a small amount of unstructured heterogeneous soft tissue material presumed to be ingesta. The small intestines are normal in size, course and content. The colon contains gas and poorly formed fecal material. The liver is normal in size and margin. There is persistent, splenomegaly. This finding is similar in severity to the prior examination. The renal silhouettes are normal in size and shape. The urinary bladder is normal in size and opacity. There is mild multifocal spondylosis deformans.</t>
  </si>
  <si>
    <t>1. Static nonspecific splenomegaly. Rule out extramedullary hematopoiesis, lymphoid hyperplasia, splenitis, congestion or infiltrative neoplasia. Sonography can be considered for further evaluation._x000D_
2. The remainder the abdomen is unremarkable. A definitive cause of the reported weight loss is not evident. Abdominal sonography and a G.I. panel should be considered for further evaluation._x000D_
3. Unchanged normal thorax. A cause of coughing is not evident. Consider laryngeal paralysis. Lack of a definitive bronchial pulmonary pattern does not exclude the possibility of allergic/inflammatory, infectious, irritant or parasitic bronchitis.</t>
  </si>
  <si>
    <t xml:space="preserve">
1.The evaluation has a strong suspicion of pulmonary nodules or mass lesion being present._x000D_
2.The cardiac silhouette size is normal._x000D_
3.There is no evidence of BRONCHITIS, PERIHILAR INFILTRATE, DYNAMIC AIRWAY COLLAPSE or BRONCHIECTASIS or PLEURAL EFFUSION.</t>
  </si>
  <si>
    <t>7 views of the thorax, abdomen, and pelvic limbs are submitted for review._x000D_
There is moderate soft tissue swelling associated with the toe over the fourth digit of the left hindfoot.  No definitive osseous abnormalities are seen in this digit.  The remainder of the left hindfoot is within normal limits.  No abnormalities are noted in the right hindfoot._x000D_
Mild degenerative changes are noted in the left tarsus.  Moderate intracapsular effusion and mild degenerative changes noted in the left stifle.  A metallic implant is noted at the stifle, consistent with historical surgery._x000D_
In the abdomen, the stomach contains a mild amount of gas and ingesta.  The small bowel and colon are within normal limits.  The liver is normal in size and shape.  An approximately 2 to 3 cm focal soft tissue opacity structure summates with the lateral aspect of the left kidney, just caudal to the head of the spleen on the VD view.  This is not definitively seen on the lateral view.  The remainder of the spleen and renal silhouettes appear otherwise normal.  The urinary bladder is moderately distended.  Serosal detail is adequate._x000D_
In the thorax, the cardiac silhouette and pulmonary vasculature are within normal limits.  Mild bronchointerstitial markings are noted throughout the lung fields.  No pleural or mediastinal abnormalities are seen.  The trachea is normal in diameter.</t>
  </si>
  <si>
    <t>Soft tissue swelling associated with the fourth digit of the left hindfoot.  Differentials include inflammation or possibly soft tissue neoplasia.  No osseous involvement is seen._x000D_
Moderate degenerative change in intracapsular effusion in the left stifle, consistent with chronic cranial cruciate ligament injury.  Mild degenerative changes in the left tarsus._x000D_
The rounded soft tissue opacity structure lateral to the left kidney may represent a nodule associated with the tail of the spleen.  This could also be artifact.  Otherwise, radiographically normal abdomen._x000D_
Radiographically normal geriatric thorax.</t>
  </si>
  <si>
    <t>Symptomatic medical management for the swelling in the toe of the left hindfoot may be helpful._x000D_
If there is sufficient clinical concern, an abdominal ultrasound could be considered to further evaluate the spleen.</t>
  </si>
  <si>
    <t>6 views centered over the thorax and thoracolumbar spine are submitted for review.  Multiple narrowed intervertebral disc spaces are noted in the caudal thoracic and cranial to mid lumbar spine from approximately T10-L4.  There is endplate sclerosis and ventral spondylosis deformans throughout this region. Mild kyphosis is noted in the caudal thoracic spine. Moderate degenerative changes are noted in the dorsal articular facet joints.  The caudal lumbar spine and lumbosacral junction appear subjectively normal.  No definitive abnormalities are noted in the visible portion of the abdomen.  The cardiac silhouette and pulmonary vasculature are within normal limits.  Mild bronchointerstitial markings are noted throughout the lung fields.</t>
  </si>
  <si>
    <t>Moderate to severe degenerative changes and chronic intervertebral disc disease in the caudal thoracic and cranial to mid lumbar spine.  Intervertebral disc protrusion or extrusion and a compressive myelopathy at 1 or multiple sites throughout this region is possible.</t>
  </si>
  <si>
    <t>Cross-sectional imaging of the thoracolumbar spine is indicated for more definitive diagnosis.</t>
  </si>
  <si>
    <t xml:space="preserve">
1.SEVERE ALVEOLAR INFILTRATE; MILD BRONCHOINTERSTITIAL PATTERN._x000D_
2.Based on the AI airway/pulmonary findings, the probability of this patient having clinically detectable respiratory signs is VERY HIGH (&gt;75%)_x000D_
3.Are respiratory signs present? If YES._x000D_
4.AI linked canine pneumonia treatment: https://platform.v2.vetology.net/doc/pneumonia-in-dogs-and-cats_x000D_
5.Are respiratory signs present? If NO._x000D_
6.The evaluation has come up positive for a pulmonary nodular pattern._x000D_
7.The cardiac silhouette size is normal._x000D_
8.There is no evidence of DYNAMIC AIRWAY COLLAPSE or BRONCHIECTASIS._x000D_
9.Pleural fissure lines or moderate to severe pleural effusion has been detected. An overlying skin fold or in an obese animal, excessive pericardial fat could artifactually mimic the result of severe pleural effusion.</t>
  </si>
  <si>
    <t>THORAX (5 total radiographs for review). _x000D_
_x000D_
- The cardiac silhouette and pulmonary vasculature are normal._x000D_
- The pulmonary parenchyma is normal_x000D_
- The trachea, esophagus and mediastinum are normal._x000D_
- The pleural space, diaphragm and ribs are normal._x000D_
- The remaining intrathoracic structures are normal._x000D_
- The stomach contains mild gas _x000D_
- The visible cranial abdominal structures are normal._x000D_
- No musculoskeletal abnormalities are identified.</t>
  </si>
  <si>
    <t>1.  Normal thorax.  A discrete radiographic cause for the reported dry, hacking coughing fits is not clearly noted.  Radiographic sensitivity for subtle lower airway disease such as tracheobronchitis can be limited.</t>
  </si>
  <si>
    <t>Three images are provided.
Images are dated September 10, 2024.
Pulmonary parenchyma:  In the left lateral image, over the lungs in the 4th intercostal space is an ill-defined, ovoid soft tissue focus.  In the ventrodorsal image, this focus is suspicious superimposed over the border of the right scapula in the right 4th intercostal space. A minimal to mild diffuse bronchial pattern is present.  A mild interstitial pattern is present in the lungs in the hypoinflated lateral images.  
Pulmonary vasculature: The pulmonary vasculature is subjectively normal in size and tapers in the periphery of the lungs.
Cardiac silhouette: The cardiac silhouette is normal in size and shape.
Mediastinum: The cranial mediastinum is normal.
Trachea: A slight soft tissue band partially superimposes over the dorsal aspect of the mid-cervical trachea.
Esophagus: The esophagus is not well-identified.
Pleural space: The pleural space is normal.
Musculoskeletal: The included thoracic musculoskeletal structures are normal.</t>
  </si>
  <si>
    <t xml:space="preserve">1. Suspicious for a right cranial lung lobe soft tissue nodule, versus artifact/superimposed normal structures, or unlikely other.
- If present, early/evolving metastatic neoplasia is suspected.
2. Minimal diffuse bronchial and mild interstitial patterns such as from hypoinflation/atelectasis and/or fibrosis from prior disease, age-related changes, or unlikely infectious/immune-mediated lower airway disease or other.
3. Slight dorsal redundant tracheal membrane with/without underlying dynamic airway disease, versus superimposed normal structures.  </t>
  </si>
  <si>
    <t>Consider a humanoid VD image for further evaluation of the right cranial lung lobe, versus computed tomography of the thorax for a more sensitive evaluation.  Computed tomography of the abdomen may also be contributory for pre-surgical planning of reported mammary mass resection with histopathology for a definitive diagnosis.  Repeat radiographs for monitoring may also be contributory in lieu of computed tomography.  Oncologist consultation depending on results of tissue sampling.  Routine blood work if not recently performed.   Empirical therapy and supportive care in the interim as needed.  Monitoring as directed or sooner if clinical signs acutely change, fail to improve or worsen.</t>
  </si>
  <si>
    <t xml:space="preserve">
1.Mild cardiomegaly has been detected but Heart Failure is NOT suspected._x000D_
2.MILD BRONCHOINTERSTITIAL PULMONARY PATTERN; MILD PERIHILAR INFILTRATE; MILD DYNAMIC AIRWAY DISEASE; ATELECTASIS or less likely, pneumonia._x000D_
3.Based on the AI airway/pulmonary findings, the probability of this patient having clinically detectable respiratory signs is MEDIUM (50%)_x000D_
4.Are respiratory signs present? If YES._x000D_
5.Are respiratory signs present? If NO.</t>
  </si>
  <si>
    <t>THORAX (4 total radiographs for review). _x000D_
_x000D_
- In the left caudal hemithorax, there is a fairly large, rounded, soft tissue opaque mass measuring approximately 12 x 10.8 cm._x000D_
- There is a mild diffuse bronchial pulmonary pattern present._x000D_
- The remainder of the pulmonary parenchyma is normal._x000D_
- Rounded soft tissue opacity dorsal to the second sternal segment in the position of the sternal lymph node._x000D_
- The cardiac silhouette, pulmonary vasculature, trachea, mediastinum and remaining included intrathoracic structures are normal._x000D_
- The stomach contains mild gas and heterogeneous soft tissue opaque material.  The gastric rugal folds are prominent._x000D_
- The remaining cranial abdominal structures are normal._x000D_
- Moderate multifocal vertebral spondylosis deformans.</t>
  </si>
  <si>
    <t>1.  Large left caudal hemithoracic mass.  Most likely originating from the pulmonary parenchyma and representing a primary pulmonary neoplasm (e.g. carcinoma, histiocytic sarcoma).  Nonneoplastic etiologies are not excluded but are less likely.  The mass is most likely accessible via ultrasound guidance  for fine-needle aspiration through the thoracic body wall.  A thoracic/whole-body CT might be considered in the patient and consultation with a veterinary oncologist can be reasonable._x000D_
_x000D_
2.  Suspect sternal lymphadenopathy._x000D_
_x000D_
3. Mild diffuse bronchial pattern. Most likely representing age-related lower airway changes, however a component of chronic bronchitis is possible. _x000D_
_x000D_
4.  Aerophagia and prominent gastric rugal folds could suggest gastritis._x000D_
_x000D_
5.  Moderate multifocal vertebral spondylosis deformans most notable in the thoracolumbar region.</t>
  </si>
  <si>
    <t xml:space="preserve">
1.PULMONARY NODULAR PATTERN; MINIMAL BRONCHOINTERSTITIAL PULMONARY PATTERN._x000D_
2.The evaluation has come up positive for a pulmonary nodular pattern._x000D_
3.Based on these AI airway/pulmonary findings, the probability of this patient having clinically detectable respiratory signs is MEDIUM (50%)_x000D_
4.Are respiratory signs present. If YES._x000D_
5.Are respiratory signs present. If NO._x000D_
6.The cardiac silhouette size is normal._x000D_
7.A mild bronchointerstitial pulmonary pattern and minimal perihilar infiltrate have been detected.</t>
  </si>
  <si>
    <t>Four radiographs of the thorax/abdomen are provided. There is moderate generalized cardiac silhouette enlargement. Cranial pulmonary arteries and veins are enlarged. There is a severe interstitial pattern in the perihilar region causing loss of perihilar vessel visibility. The thoracic trachea and mainstem bronchi are deviated dorsally by the enlarged heart. No pleural effusion. Normal tracheal diameter. In the abdomen serosal detail is adequate. The liver is normal size with smooth margins. Moderate volume gas, amorphous soft tissue density in the stomach. There are several small sharply marginated mineral and metal opaque fragments in the stomach and intestines. These fragments measure up to 0.7 cm. Small bowel are diffusely mildly fluid-filled. Formed feces in the colon. Normal sized spleen. The kidneys are partially visible and are normal size. No radiopaque cystic calculi. Osseous structures are unremarkable.</t>
  </si>
  <si>
    <t>Moderate generalized cardiomegaly consistent with acquired mitral and tricuspid valve disease. There is pulmonary venous congestion and pulmonary edema indicating left sided heart failure. Enlarged pulmonary arteries is concerning for pulmonary hypertension. Cardiac disease is the most likely cause for the clinical signs. Mineral and metal opaque gastrointestinal foreign material, likely incidental at this time. No other abdominal abnormalities.</t>
  </si>
  <si>
    <t>Patient expired- no recommendations.</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</si>
  <si>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3.A mild perihilar infiltrate has been detected._x000D_
4.SEVERE INTERSTITIAL TO ALVEOLAR PATTERN; SEVERE BRONCHIAL PATTERN; MODERATE DYNAMIC AIRWAY DISEASE._x000D_
5.Based on these AI airway/pulmonary findings, the probability of this patient having clinically detectable respiratory signs is VERY HIGH (&gt;75%)_x000D_
6.The evaluation has a strong suspicion of pulmonary nodules or mass lesion being present._x000D_
7.Are respiratory signs present? If YES._x000D_
8.Are respiratory signs present? If NO.</t>
  </si>
  <si>
    <t>Thorax: On the lateral view there are numerous pulmonary nodules superimposed over the cardiac silhouette.  These are difficult to identify on the ventrodorsal view.  The cardiac silhouette and pulmonary vasculature appear small.  There is no evidence of pleural effusion.  There is no evidence of lymphadenopathy._x000D_
_x000D_
Abdomen: The colon is severely distended with feces.  This is compromising evaluation of the remainder of the abdominal viscera.</t>
  </si>
  <si>
    <t>Numerous pulmonary nodules consistent with pulmonary metastatic disease._x000D_
_x000D_
Microcardia and decreased diameter of the pulmonary vasculature consistent with dehydration/hypovolemia._x000D_
_x000D_
Findings are consistent with megacolon.</t>
  </si>
  <si>
    <t xml:space="preserve">
1.The evaluation has come up positive for a pulmonary nodular pattern._x000D_
2.The cardiac silhouette size is normal._x000D_
3.There is no evidence of BRONCHITIS, PERIHILAR INFILTRATE, DYNAMIC AIRWAY COLLAPSE or BRONCHIECTASIS or PLEURAL EFFUSION._x000D_
4.A moderate interstitial to alveolar pattern has been detected.</t>
  </si>
  <si>
    <t>THORAX (8 images):
Images are dated September 10, 2024.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minimal gas or is empty.  Esophageal contrast material is not identified in any image.
Pleural space: The pleural space is normal.
Musculoskeletal: The included musculoskeletal structures are normal.
Cranial abdomen:  In the final two images, soft tissue and gas admixed with positive contrast material is in the stomach.</t>
  </si>
  <si>
    <t>1. Minimal-mild diffuse bronchial pulmonary pattern such as from fibrosis from prior disease, age-related changes, infectious/immune-mediated lower airway disease (mycoplasma spp., bordetella spp., parasitism, inhaled allergen/irritant), or unlikely other.
2. Gastric contrast material due to reported recent meal.
3. No evidence of esophageal dysmotility.</t>
  </si>
  <si>
    <t>Consider fluoroscopy and swallowing study with internist consultation for further evaluation of occult oral or pharyngeal dysplasia contributing to reported signs (such as from cricopharyngeal achalasia or other).  Empirical therapy and supportive care in the interim as needed. Monitoring as directed or sooner if clinical signs acutely change, fail to improve or worsen.</t>
  </si>
  <si>
    <t>THORAX (2 total radiographs for review).  Multiple previous examinations are available for review, most recently from 06/10/2024._x000D_
_x000D_
- The cardiac silhouette is now mildly generally enlarged, characterized by a dorsal displacement of the caudal thoracic trachea and rounded margins on the VD image._x000D_
- There remains a mild, diffuse, bronchial and peribronchial unstructured interstitial pattern and a few thickened pleural fissures._x000D_
- The trachea, esophagus and mediastinum are normal._x000D_
- The pleural space, diaphragm and ribs are normal._x000D_
- The remaining intrathoracic structures are normal._x000D_
- The liver is again moderately enlarged, with rounded margins._x000D_
- The stomach contains moderate gas stippled soft-tissue opaque material and gas.</t>
  </si>
  <si>
    <t>1.  While an overt radiographic cause for progressive coughing is not clearly identified, there is similar, mild diffuse broncho-interstitial pattern and a few thickened pleural fissures which again raises suspicion for chronic lower airway disease such as bronchitis.  No distinct radiographic evidence of tracheal collapse is identified, however this pathology is not excluded given the patient=ZZ91=s signalment and reported coughing on tracheal palpation._x000D_
_x000D_
2.  There is today mild generalized cardiomegaly appreciated, which is newly noted from the previous examination.  As there is the impression of chronic lower airway disease this patient may have a degree of pulmonary hypertension.  Valvular disease (e.g. mitral valve) is also possible.  Especially given the reported cardiac murmur, consultation with a veterinary cardiologist and echocardiography/ECG may be considered._x000D_
_x000D_
3. Similar, moderate hepatomegaly. Most likely vacuolar (metabolic) hepatopathy. Hepatitis, hepatic congestion or neoplasia are less likely, but possible._x000D_
_x000D_
4.  Aerophagia.</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</si>
  <si>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5.There is no evidence of PULMONARY NODULES or PLEURAL EFFUSION._x000D_
6.Severe cardiomegaly has been detected but Heart Failure is NOT suspected.</t>
  </si>
  <si>
    <t>THORAX (2 total radiographs for review).  There are multiple previous examinations available for comparison, most recently from 06/2024._x000D_
_x000D_
- The patient has an excessive body habitus._x000D_
- There is a soft tissue opaque band dorsally overlying opacifying the trachea extending from the caudal cervical region through to the thoracic inlet._x000D_
- There is a mild, diffuse unstructured interstitial pulmonary pattern that is most notable on the left._x000D_
- There is a mild widening of the cranial mediastinum.  Mild rightward displacement of the caudal portion of the thoracic trachea._x000D_
- The cardiac silhouette and pulmonary vasculature are normal._x000D_
- The esophagus and mediastinum are normal._x000D_
- The pleural space, diaphragm and ribs are normal._x000D_
- The remaining intrathoracic structures are normal._x000D_
- The stomach contains mild gas and gas stippled soft-tissue opaque material._x000D_
- The remaining cranial abdominal structures are normal._x000D_
- No discrete musculoskeletal abnormalities are identified.</t>
  </si>
  <si>
    <t>1.  A clear radiographic cause for the reported acute onset coughing is not clearly noted.  There is a mild diffuse unstructured interstitial pulmonary pattern, which is nonspecific and can be due to pulmonary hypoinflation/atelectasis or low-grade primary lower airway/airspace disease such as bronchitis/bronchopneumonia.  However, there is no overt pulmonary consolidation to suggest active pneumonia noted. _x000D_
_x000D_
2.  The appearance of the trachea at the level of the thoracic inlet can be compatible with tracheal collapse, secondary to chondromalacia._x000D_
_x000D_
3.  Widening of the cranial mediastinum is most likely due to excessive fat deposition given the patient=ZZ91=s body condition._x000D_
_x000D_
4.  Aerophagia._x000D_
_x000D_
5.  Excessive body habitus.</t>
  </si>
  <si>
    <t>If the patient=ZZ91=s coughing is persistent or worsening despite medical management, a cervical/thoracic CT and internal medicine consultation might be considered.</t>
  </si>
  <si>
    <t xml:space="preserve">
1.MODERATE BRONCHINTERSTITIAL PATTERN with ATELECTASIS or less likely, PNEUMONIA; MILD DYNAMIC AIRWAY DISEASE._x000D_
2.Based on these AI airway/pulmonary findings, the probability of this patient having clinically detectable respiratory signs is MEDIUM to HIGH (50-75%)_x000D_
3.Are respiratory signs present? If YES._x000D_
4.Are respiratory signs present? If NO._x000D_
5.The cardiac silhouette size is normal.</t>
  </si>
  <si>
    <t>Three orthogonal survey radiographs of the thorax and abdomen dated 10th September 2024 are available for review. There are no previous radiographs available for comparison. _x000D_
_x000D_
Thorax: _x000D_
Airway findings: The thoracic trachea is undulating. Dorsal to the tracheal bifurcation there is a poorly marginated soft tissue opacity. There is reduced tapering of the mainstem bronchi. There is a mild bronchointerstitial opacification of the lung parenchyma._x000D_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hepatic silhouette is normal in size with smooth borders. The spleen is normal in shape, size and position. The kidneys are partially obscured by gastrointestinal contents, but the visible aspect are normal. The stomach contains some soft issue opaque heterogenous material and some gas. The gastric axis is normal. There is appropriate gas in the pylorus on the left lateral image. The small intestines are diffusely mildly filled/mildly dilated with a mixture of fluid and gas. There is mild loss of serosal detail in the region of the small intestines. The transverse and descending colon contain formed faeces. The urinary bladder is small._x000D_
_x000D_
Musculoskeletal findings: There is multisite intervertebral disc narrowing and ventral spondylosis deformans.</t>
  </si>
  <si>
    <t>1. The soft tissue opacity dorsal to the tracheal bifurcation may be an enlarged tracheobronchial lymph node, less likely left atrial dilation. The bronchiectasis and bronchointerstitial opacification is indicative of chronic lower airway inflammatory disease such as parasitic, environmental, allergic bronchitis._x000D_
2. No significant abnormalities are detected. Small intestinal findings may be post-prandial, however suspicion of a diffuse enteropathy such as IBD, food allergy, intestinal lymphoma is increased. There is no evidence for a foreign body._x000D_
3. Multisite intervertebral disc disease.</t>
  </si>
  <si>
    <t>A thoracic CT may be considered. Respiratory workup including CBC, serum chemistry, urinalysis, Baermann faecal testing, 4DX, +/- respiratory panel or fungal testing as indicated is advised.  Alternatively, empirical therapy for lower airway disease, empirical deworming, and removal of allergens and environmental irritants (i.e. smoke, dust, perfumes, etc.) can be considered._x000D_
Consider complete abdominal ultrasonographic examination, and or further workup for diffuse enteropathy such as food allergy and IBD. Consider a dietary trial.</t>
  </si>
  <si>
    <t xml:space="preserve">
1.The cardiac silhouette size is normal._x000D_
2.There is no evidence of BRONCHITIS, ALVEOLAR PATTERN, DYNAMIC AIRWAY COLLAPSE or BRONCHIECTASIS or PLEURAL EFFUSION._x000D_
3.A minimal interstitial pattern has been detected.</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</si>
  <si>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</si>
  <si>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Radiographically normal abdomen.  Radiographically normal thorax for patient of this age.  A cause for weight loss is not identified, although causes such as infiltrative gastrointestinal neoplasia or inflammatory bowel disease cannot be excluded.</t>
  </si>
  <si>
    <t>Consider complete senior screening bloodwork/urinalysis and abdominal ultrasound for further evaluation.</t>
  </si>
  <si>
    <t>Study:_x000D_
Thoracic radiography: three images dated September 10, 2024_x000D_
_x000D_
Findings:_x000D_
There is straightening of the caudal cardiac waist on both lateral views. The pulmonary vasculature is normal in size. The pulmonary parenchyma is unremarkable. No pulmonary nodules or masses are present. The pleural space is normal. There is no intrathoracic lymphadenopathy. The trachea is normal in diameter. The liver extends beyond the costal arch with smooth margins. The stomach contains unstructured heterogeneous soft tissue material presumed to be ingesta with interspersed granular mineral. The T 13 vertebra is transitional with bilateral hypoplastic vertebrae. The reported abdominal subcutaneous mass is partially visualized on all three images. It is difficult to characterize if the mass is lipomas are soft tissue in nature as the lesion is incompletely imaged.</t>
  </si>
  <si>
    <t>1. There is no evidence of pulmonary metastatic disease._x000D_
2. Straightening of the caudal cardiac waist can be an indicator of mild specific left atrial enlargement/mitral valve disease. Correlate with any heart murmur. Echocardiography can be considered for further evaluation._x000D_
3. The generalized hepatomegaly is nonspecific. Rule out metabolic/vacuolar hepatopathy, hyperplasia, hepatitis or infiltrative neoplasia. Sonography can be considered for further evaluation.</t>
  </si>
  <si>
    <t xml:space="preserve">
1.The cardiac silhouette size is normal._x000D_
2.There is no evidence of INTERSTITIAL PATTERN, BRONCHITIS, DYNAMIC AIRWAY COLLAPSE or BRONCHIECTASIS or PULMONARY NODULES.</t>
  </si>
  <si>
    <t>Two lateral radiographs of the thorax, and three views of the abdomen are provided. The cardiac silhouette and pulmonary vessels are normal size and shape. The lungs are clear. There is no pleural effusion. No enlarged intrathoracic lymph nodes. Normal tracheal diameter. The plane of the esophagus is unremarkable._x000D_
_x000D_
In the abdomen there is no effusion. The prostate is mildly enlarged, consistent with the reproductive status of this patient. The urinary bladder is mildly filled and soft tissue opaque. Normal-sized liver, spleen, kidneys. Moderate volume gas and scant amorphous soft tissue density in the stomach. Small and large bowel are minimally filled. There is no radiopaque foreign material. Osseous structures are unremarkable.</t>
  </si>
  <si>
    <t>Normal thorax and abdomen. A reason for the clinical signs is not identified.</t>
  </si>
  <si>
    <t>Three orthogonal radiographs of the abdomen dated 10th September 2024 are available for review. There are no previous radiographs available for comparison. These images are submitted for assessment of the vertebral column and pelvis._x000D_
_x000D_
Vertebral column: There is collapse of the T5-T6 intervertebral disc space with ventral spondylosis. The vertebral and plates are smooth. The remainder of the thoracic vertebral column is normal. There is spondylosis deformans at the lumbosacral junction. Both sacroiliac joints are normal. Both coxofemoral joints are normal. The patella are laterally positioned on the femoral condyles.</t>
  </si>
  <si>
    <t>1. T5-T6 intervertebral disc disease with spondylosis. Discospondylitis is considered unlikely. This may be degenerative or traumatic or a combination thereof. Extradural compression by herniated disc material is possible, although this may also be an incidental finding. The lumbosacral spondylosis is unlikely to be causing the clinical signs.</t>
  </si>
  <si>
    <t>Consider treating for intervertebral disk disease/arthritis (exercise restriction, NSAIDs with supportive bloodwork, +/- multimodal analgesia). If no response to therapy, patient has continued proprioceptive deficits or is worsening in general, referral to a neurologist for discussion regarding feasibility of MRI vs. CT of the spine is advised.</t>
  </si>
  <si>
    <t>WHOLE-BODY (5 total radiographs for review).  A previous examinations available for comparison from 2020._x000D_
_x000D_
- Within the mid abdomen, there is a large (at least 8 x 13 cm), rounded, homogenously soft tissue opaque mass that displaces the regional small intestinal segments and colon._x000D_
- There is an ill-defined mass adjacent localized decrease in peritoneal serosal detail with wispy soft tissue opacities that border effacement margins of the abdominal viscera._x000D_
- The caudal ventral margin of the liver is irregular/nodular._x000D_
- The spleen is not well identified._x000D_
- The stomach contains mild gas and soft tissue opaque material._x000D_
- The majority of the small intestine is nondistended/empty and homogenously soft tissue opaque._x000D_
- The colon contains gas and mild formed fecal material._x000D_
- Mild bilateral coxofemoral osteoarthritis._x000D_
- There is a mild diffuse bronchial pulmonary pattern present and multiple tiny mineralized foci are present throughout the lungs._x000D_
- The cardiac silhouette and pulmonary vasculature are normal._x000D_
- The trachea, esophagus and mediastinum are normal._x000D_
- The pleural space, diaphragm and ribs are normal._x000D_
- The remaining intrathoracic structures are normal.</t>
  </si>
  <si>
    <t>1.  Large, left lateralizing mid-abdominal mass with regional peritoneal effusion/peritonitis.  Possible tissues of origin include the splenic tail, the left kidney or a primary peritoneal or retroperitoneal mass.  Neoplasia is most likely.  Nonneoplastic etiologies are less likely, but possible.  The regional decrease in peritoneal detail raises concern for mass rupture and hemoperitoneum/hemoabdomen._x000D_
_x000D_
2.  There is an irregular appearance of the caudoventral margin of the liver that given the presence of the abdominal mass raises suspicion for metastatic neoplasia/infiltration of the hepatic parenchyma.  Benign nodular hyperplasia may also be possible._x000D_
_x000D_
3.  Negative examination for evidence of thoracic metastatic neoplasia._x000D_
_x000D_
4. Mild diffuse bronchial pattern with multiple incidental pulmonary osteomas. Most likely representing age-related lower airway changes, however a component of chronic bronchitis is possible, especially if there is a history of abnormal respiratory sounds, wheezing and/or coughing._x000D_
_x000D_
5.  Mild bilateral coxofemoral osteoarthritis.</t>
  </si>
  <si>
    <t>Consider abdominocentesis and complete abdominal ultrasound (or whole-body CT) in this patient with possible ultrasound-guided fine-needle aspiration of the mass and hepatic parenchyma for further evaluation.</t>
  </si>
  <si>
    <t xml:space="preserve">
1.The cardiac silhouette size is normal._x000D_
2.There is no evidence of INTERSTITIAL PATTERN, BRONCHITIS, PERIHILAR INFILTRATE or DYNAMIC AIRWAY COLLAPSE or BRONCHIECTASIS.</t>
  </si>
  <si>
    <t>2 images of the thorax and abdomen are presented for review.  The trachea is dorsally deviated.  There is straightening of the caudal cardiac waist in the region of the left atrium.  There is a diffuse interstitial pulmonary pattern that is considered appropriate for the age of the patient.  No pulmonary nodules are seen.  Thin pleural fissure lines are present.  A large soft tissue mass is present in the cranial mediastinum..  Abdominal serosal detail is adequate in all quadrants.  The liver margins are rounded and extend beyond the costal arch.  The stomach contains a moderate amount of ingesta.  The small intestines are normal in size.  Gas and feces are present in the colon.  The urinary bladder is small.  The remaining abdominal organs are normal.</t>
  </si>
  <si>
    <t>Cranial mediastinal mass concerning for neoplasia=ZZ90= consider lymphoma, thymoma, other.  Scant pleural effusion.  Thoracic ultrasound or CT could be considered in further evaluation and to aid in sampling if the mass is solid.  Mild left-sided cardiomegaly without current evidence of cardiogenic pulmonary edema.  Echocardiography may be helpful in further evaluation.  Hepatomegaly=ZZ90= this is a nonspecific finding that may be seen with congestion, vacuolar hepatopathy, inflammation, neoplasia, etc.  Abdominal ultrasound may be helpful in further evaluation if biochemically indicated.</t>
  </si>
  <si>
    <t xml:space="preserve">
1.Pleural fissure lines or moderate to severe pleural effusion has been detected._x000D_
2.Are respiratory signs present? If YES._x000D_
3.Are respiratory signs present? If NO._x000D_
4.MODERATE BRONCHOINTERSTITIAL PULMONARY PATTERN; MODERATE ALVEOLAR INFILTRATE or ATELECTASIA; PLEURAL FISSURE LINES or PLEURAL EFFUSION; MODERATE DYNAMIC AIRWAY DISEASE._x000D_
5.Based on these AI airway/pulmonary findings, the probability of this patient having clinically detectable respiratory signs is HIGH (75%)_x000D_
6.Severe cardiomegaly has been detected but Heart Failure is NOT suspected.</t>
  </si>
  <si>
    <t>Three orthogonal thoracic radiographs dated 10th September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50% of the dorsoventral diameter of the trachea. The intrathoracic trachea is normal. The lungs are well inflated. The carina and tracheal bifurcation are normal. The pulmonary parenchyma is normal.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</si>
  <si>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The dorsal attenuation of the trachea is consistent with tracheomalacia, and/or redundant trachealis membrane. The extent of attenuation would be expected to cause coughing.</t>
  </si>
  <si>
    <t>Consider evaluation for airway collapse (fluoroscopy vs. right lateral inspiratory and expiratory radiographs vs. CT with virtual bronchoscopy). Alternatively consider medical management. Consider surgical consultation depending on clinical progression. Obesity predisposes for airway collapse, and reduction of thoracic volume (pickwickian syndrome), reducing pulmonary clearance, therefore weight management is advised.</t>
  </si>
  <si>
    <t xml:space="preserve">
1.A minimal perihilar infiltrate has been detected._x000D_
2.A minimal bronchial pattern has been detected._x000D_
3.The cardiac silhouette size is normal._x000D_
4.There is no evidence of ALVEOLAR PATTERN, DYNAMIC AIRWAY COLLAPSE or BRONCHIECTASIS or PLEURAL EFFUSION.</t>
  </si>
  <si>
    <t>THORAX (3 images) and ABDOMEN (6 images):
Images are dated September 10, 2024.
Pulmonary parenchyma: An ill-defined interstitial pattern is in the left caudal lung lobe in all images.  A mild diffuse bronchial and minimal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but is partially obscured by decreased serosal detail
Spleen: The spleen is subjectively normal in size but partially obscured due to peritoneal serosal detail.
Kidneys: The kidneys are obscured without obvious enlargement or mineral.
Urinary bladder/Urethra: The urinary bladder is partially obscured without obvious enlargement or mineral.
Peritoneum: Peritoneal detail is generally mildly decreased, most severe in the cranial abdomen.
Gastrointestinal tract: The stomach contains a moderate volume of gas.   The stomach is within normal limits for size.
The small intestine contains minimal gas and fluid or is empty with a subjectively uniform population for size. 
The colon contains mild to moderate gas.  The colon wall is mildly spastic.  The colon is within normal limits for size.  
Musculoskeletal: Multifocal thoracolumbar spondylosis deformans and lumbar dorsal articulation osteoarthrosis is present. 
 The remaining included musculoskeletal structures are normal.</t>
  </si>
  <si>
    <t xml:space="preserve">1. Left caudal lung lobe interstitial pattern is suspicious for an evolving mass-lesion such as primary or less likely metastatic neoplasia, versus other such as from atypical pneumonitis, hematogenous spread of pneumonia, less likely non-cardiogenic edema or unlikely other.
2. Mild diffuse bronchial and minimal interstitial pulmonary pattern such as from infectious/immune-mediated lower airway disease (mycoplasma spp., bordetella spp., parasitism, or other) versus artifact/technique.
3. Mild peritoneal effusion due to occult malignancy versus inflammation (hepatitis/cholangiohepatitis/pancreatitis or other), or unlikely other.
4. Non-specific gastrointestinal tract appearance such as from enteritis/colitis or unlikely  variation of normal given reported history.
- There is no current evidence of gastrointestinal mechanical ileus.
- Differential diagnoses include dietary indiscretion, toxin ingestion, diet/antibiotic responsive disease, inflammatory bowel disease, pancreatitis, occult systemic disease or unlikely other.
5. No obvious hepatomegaly is identified in this examination.  </t>
  </si>
  <si>
    <t>Consider computed tomography of the thorax/abdomen as well as abdominocentesis and fluid analysis/cytology.  Consider coagulation testing and hepatic tissue sampling depending on results, especially if an occult hepatic mass/malignancy is revealed.  Abdominal ultrasonography may also be beneficial, but may be limited in the cranial abdomen given patient size/body conformation.  Empirical therapy and supportive care in the interim as needed.  Monitoring as directed or sooner if clinical signs acutely change, fail to improve or worsen.</t>
  </si>
  <si>
    <t xml:space="preserve">
1.A mild interstitial to alveolar pattern has been detected._x000D_
2.The evaluation has a strong suspicion of pulmonary nodules or mass lesion being present._x000D_
3.The cardiac silhouette size is normal._x000D_
4.There is no evidence of BRONCHITIS, PERIHILAR INFILTRATE or DYNAMIC AIRWAY COLLAPSE or BRONCHIECTASIS.</t>
  </si>
  <si>
    <t>WHOLE-BODY (3 total radiographs for review).  Multiple previous examinations are available for comparison most recently from January 2024._x000D_
_x000D_
- Peritoneal serosal detail is mildly reduced._x000D_
- The stomach contains mild gas and gas-stippled soft-tissue opaque material_x000D_
- The small intestine contains mild multifocal gas and soft-tissue opaque material_x000D_
- The colon contains gas, soft-tissue/fluid and minimal/no formed fecal material._x000D_
- The spleen is mildly enlarged, with rounded margins._x000D_
- The liver, region of the kidneys and urinary bladder are normal._x000D_
- The cardiac silhouette and pulmonary vasculature are normal._x000D_
- The pulmonary parenchyma is normal_x000D_
- The trachea, esophagus and mediastinum are normal._x000D_
- The pleural space, diaphragm and ribs are normal._x000D_
- The remaining intrathoracic structures are normal._x000D_
- There are again multiple mid and caudal thoracic hemivertebral segments and fusion of the dorsal spinous processes, in addition to mild multifocal spondylosis deformans and a congenital screw tail vertebral anomaly.</t>
  </si>
  <si>
    <t>1. The appearance of the stomach, small intestine and colon can be compatible with a non-specific generalized functional ileus (e.g. gastroenterocolitis). There is no obvious small intestinal foreign material or clear evidence of mechanical obstruction.  No evidence of neoplasia is identified.  If clinically indicated, abdominal ultrasonography might be considered._x000D_
_x000D_
2. Moderate splenomegaly. DDx congestion from sedation, lymphoid hyperplasia, EMH, less likely neoplasia._x000D_
_x000D_
3.  Normal thorax._x000D_
_x000D_
4.  Multiple mid and caudal thoracic hemivertebral segments, spondylosis deformans and congenital screw tail vertebral anomaly.</t>
  </si>
  <si>
    <t xml:space="preserve">
1.The cardiac silhouette size is normal._x000D_
2.There is no evidence of DYNAMIC AIRWAY COLLAPSE or BRONCHIECTASIS or PLEURAL EFFUSION._x000D_
3.A minimal perihilar infiltrate has been detected._x000D_
4.A mild interstitial pattern has been detected.</t>
  </si>
  <si>
    <t>Study:_x000D_
Thoracic radiography: three images dated September 10, 2024_x000D_
_x000D_
Findings:_x000D_
There is mild left ventricular and left atrial enlargement (VHS approximately 11). The pulmonary vasculature is normal in size. The pulmonary parenchyma is unremarkable. No pulmonary nodules or masses are present. The pleural space is normal. There is no intrathoracic lymphadenopathy. The trachea is normal in diameter. There is granular mineral within some bowel segments in the cranial abdomen. On the right lateral projection, there is a 2.6 cm round soft tissue opacity in the mid-ventral abdomen with superimposed granular mineral. Also on the right lateral projection, there is a larger 0.8 cm mineral opacity in the dorsal abdomen superimposed with bowel in the left kidney. There is mild T 10-T 11 spondylosis deformans.</t>
  </si>
  <si>
    <t>1. Mild left-sided cardiomegaly, indicative of mitral valve disease, without evidence of decompensation. Echocardiography should be considered for further evaluation._x000D_
2. A mid-ventral abdominal mass is suspected. Consider a splenic mass. As granular mineral, similar to that seen in the intestinal loops within the cranial abdomen is superimposed with the structure, this may also represent focal small intestinal dilation or an intestinal mass. Abdominal sonography should be considered for further evaluation of this finding._x000D_
3. The large mineral opacity dorsal abdomen is likely contained within intestinal loop given the presence of similar (albeit smaller) mineral within the intestinal tract. Left nephrolithiasis versus nephrocalcinosis cannot be completely excluded._x000D_
4. There is no evidence of pulmonary metastatic disease.</t>
  </si>
  <si>
    <t>7 views of the thorax and abdomen are submitted for review.  Stomach contains a mild amount of gas.  The small bowel is normal and uniform in diameter and contains a mild amount of gas and fluid.  No definitively dilated or plicated loops of bowel are seen.  The colon is mostly empty.  The liver and spleen are normal in size, shape, and margination.  The bilateral renal silhouettes are within normal limits.  The urinary bladder is unremarkable.  Serosal detail is normal._x000D_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No osseous abnormalities are seen.</t>
  </si>
  <si>
    <t>The appearance of the GI tract is consistent with functional ileus associated with gastroenteritis from any cause.  No evidence of mechanical obstruction of the GI tract is seen._x000D_
Radiographically normal thorax.</t>
  </si>
  <si>
    <t>Symptomatic/supportive medical management may be helpful in the short-term.  If clinical signs persist, correlation with blood work and an abdominal ultrasound would be recommended.</t>
  </si>
  <si>
    <t>Three orthogonal thoracic radiographs dated 10th September 2024 are available for review. There are no previous radiographs available for comparison. _x000D_
_x000D_
Airway findings: The cervical and thoracic trachea have a normal size, outline and position. The carina, tracheal bifurcation and mainstem bronchi are normal. Throughout the lung parenchyma there are variable sized small nodules. There is bronchointerstitial opacification of the lung parenchyma._x000D_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Thin pleural fissure lines are present._x000D_
_x000D_
Musculoskeletal findings: There is collapse of the T11-T12 intervertebral disc space, and ventral displacement of the T13 vertebral body relative to the T12 vertebral body. The T12 the 13 intervertebral disc space is collapsed. The T11-T12 vertebral bodies are compressed and fused._x000D_
_x000D_
Included abdomen: No significant abnormalities are detected.</t>
  </si>
  <si>
    <t>1. The findings are most consistent with metastatic neoplasia, likely mammary adenocarcinoma, as reported. The interstitial opacification is likely secondary._x000D_
2. Historic thoracal lumbar trauma with subluxation of T12-T13</t>
  </si>
  <si>
    <t xml:space="preserve">
1.A mild, diffuse mixed bronchointerstitial pattern with potential small regions of alveolar infiltrate has been detected._x000D_
2.The cardiac silhouette size is normal._x000D_
3.There is no evidence of PERIHILAR INFILTRATE or DYNAMIC AIRWAY COLLAPSE or BRONCHIECTASIS.</t>
  </si>
  <si>
    <t>Study:_x000D_
Thoracic and thoracic limb radiography: five images dated September 10, 2024_x000D_
_x000D_
Findings:_x000D_
_x000D_
Thoracic limbs:_x000D_
The shoulder joints are unremarkable. The elbow joints are congruent. The anconeal process is appropriate fused bilaterally. No degenerative change is present in either elbow. The bones of the carpus and manus are unremarkable. There are no fractures or luxations. There is moderate to severe eccentric soft tissue swelling along the lateral aspect of the fourth digit of the left thoracic limb. The associated phalanges are unremarkable._x000D_
_x000D_
Thorax:_x000D_
The cardiac silhouette and pulmonary vasculature are normal in size. The pulmonary parenchyma is unremarkable. No pulmonary nodules or masses are present. The pleural space is normal. There is no intrathoracic lymphadenopathy. There is a broad-based soft tissue opaque band superimposed with the cervical trachea lumen representing either a redundant dorsal tracheal membrane or superimposition of the esophagus. The trachea is normal in diameter and course. There is a metallic opacity in the right cranial abdomen which appears to be within the ascending colon. There is mild T5-T6 spondylosis deformans.</t>
  </si>
  <si>
    <t>1. Left thoracic limb fourth digit soft tissue mass without evidence of aggressive osseous disease=ZZ90= the reported soft tissue sarcoma. Digital amputation can be considered._x000D_
2. Normal thorax. There is no radiographic evidence of cardiopulmonary disease._x000D_
3. Colonic metallic foreign body.</t>
  </si>
  <si>
    <t>Thorax and abdomen. Two radiographs of the thorax (right lateral and ventrodorsal) and two radiographs of the abdomen (right lateral and ventrodorsal) dated September 10, 2024 are provided, a total of 4 images.
Cardiac silhouette: The cardiac silhouette is subjectively within normal limits (VHS 10.1). However, there is enlargement of the aortic root/arch which widens the cardiac waist and creates a trapezoidal shape to the cardiac silhouette on the lateral view.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Gastrointestinal tract: The stomach contains a small volume of heterogeneous ingesta admixed with gas. The small intestine is diffusely within normal limits of diameter and is gas and soft tissue opaque. The colon contains loosely formed feces and gas.
Liver: The liver is mildly enlarged with rounded caudal margins which extend beyond the costal arch.
Spleen: The spleen is normal in size and shape with smooth margins.
Urinary: The visible margins of the kidneys are normal. The urinary bladder is within normal limits of size and opacity.
Peritoneal space: There is adequate serosal detail.
Musculoskeletal: The included skeletal and superficial soft tissue structures of the study are within normal limits.</t>
  </si>
  <si>
    <t xml:space="preserve">1. There is moderate enlargement of the aortic arch. Given the reported murmur, aortic stenosis/subaortic stenosis is prioritized. Systemic hypertension is not ruled out. There is no evidence of congestive heart failure.
2. Mild hepatomegaly.  This is a nonspecific finding, differentials include metabolic disease, endocrine disease, inflammation, and less likely, infiltrative neoplasia.  </t>
  </si>
  <si>
    <t>An echocardiogram, EKG, and blood pressure are recommended to further evaluate the heart prior to general anesthesia. An abdominal ultrasound with fine-needle aspirates of the liver could be considered.</t>
  </si>
  <si>
    <t xml:space="preserve">
1.Mild cardiomegaly has been detected but Heart Failure is NOT suspected._x000D_
2.There is no evidence of ALVEOLAR PATTERN, PULMONARY NODULES or PLEURAL EFFUSION._x000D_
3.A mild perihilar infiltrate and concurrent, mild dynamic airway disease have been detected._x000D_
4.Mild dynamic airway disease has been detected._x000D_
5.A minimal interstitial pulmonary and concurrent, mild dynamic airway disease have been detected._x000D_
6.Mild dynamic airway disease has been detected._x000D_
7.A minimal interstitial pulmonary pattern with a concurrent, mild perihilar infiltrate have been detected.</t>
  </si>
  <si>
    <t>5 images of the spine are provided for review.  No fractures, luxations, or aggressive osseous lesions are seen.  Hemivertebrae are present in the mid thoracic spine.  There is consistent narrowing of the intervertebral disc spaces at L3-5.  Coverage of the femoral heads by their acetabular rims is adequate.  The thoracic and abdominal structures included are normal.</t>
  </si>
  <si>
    <t>Congenital hemivertebrae.  Narrowed intervertebral disc spaces suggestive of intervertebral disc herniations.  This does not rule out intervertebral disc herniation at another site or other causes of spinal cord compression.</t>
  </si>
  <si>
    <t>CT or MRI could be considered in further evaluation.</t>
  </si>
  <si>
    <t xml:space="preserve">
1.SEVERE ALVEOLAR PATTERN; MILD, DIFFUSE BRONCHOINTERSTITIAL PULMONARY PATTERN; MINIMAL DYNAMIC AIRWAY DISEASE._x000D_
2.Based on these AI airway/pulmonary findings, the probability of this patient having clinically detectable respiratory signs is VERY HIGH (&gt;75%)_x000D_
3.Are respiratory signs present? If YES._x000D_
4.Are respiratory signs present? If NO._x000D_
5.The cardiac silhouette size is normal._x000D_
6.There is no evidence of PULMONARY NODULES._x000D_
7.Pleural fissure lines or moderate to severe pleural effusion has been detected. An overlying skin fold or in an obese animal, excessive pericardial fat could artifactually mimic the result of severe pleural effusion.</t>
  </si>
  <si>
    <t>Four radiographs of the thorax are provided. There is prominence of the left auricle and atrium. Pulmonary vessels are normal size. Mild bronchial pattern is present. No pleural effusion. Narrowed mainstem bronchi. Redundant dorsal trachealis membrane on the left lateral view. No pleural effusion. The cranial abdomen is unremarkable. Narrowed caudal cervical and cranial lumbar intervertebral disc spaces, of doubtful significance today.</t>
  </si>
  <si>
    <t>1. Probable dynamic tracheal collapse with mainstem bronchial collapse. This is the most likely cause for coughing. The mild bronchial pattern may be normal aging change versus allergic bronchitis which could be contributing to the cough._x000D_
2. Mild left atrial and ventricular enlargement consistent with acquired mitral valve disease. This is of doubtful clinical significance today, other than possibly contributing to the mainstem bronchial compression.</t>
  </si>
  <si>
    <t>Recommend utilization of a body harness in place of a neck lead, weight management as needed, and symptomatic treatment for the cough.</t>
  </si>
  <si>
    <t xml:space="preserve">
1.Mild cardiomegaly has been detected but Heart Failure is NOT suspected._x000D_
2.MODERATE BRONCHOINTERSTITIAL PULMONARY PATTERN; MILD DYNAMIC AIRWAY DISEASE; ATELECTASIS or less likely, pneumonia; MINIMAL PERIHILAR INFILTRATE._x000D_
3.Based on the AI airway/pulmonary findings, the probability of this patient having clinically detectable respiratory signs is MEDIUM to HIGH (50%-75%)_x000D_
4.Are respiratory signs present? If YES._x000D_
5.Are respiratory signs present? If NO.</t>
  </si>
  <si>
    <t xml:space="preserve">THORAX (2 images):
Images are dated September 10, 2024
Pulmonary parenchyma:  Diffusely throughout the lungs are numerous, well-defined, discrete and coalescing soft tissue nodules.  The largest of these is suspected in the ventral aspect of the left caudal lung in the right lateral image.  A moderate to severe interstitial to minimal alveolar pattern is in the right middle lung in the ventrodorsal image.  A diffuse moderate bronchial and mild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Mild pleural fluid is present, with widened pleural fissures in the periphery of the lungs between the right middle/caudal, left cranial/caudal subsegments and left cranial/caudal lung lobes, and rounding of the caudal lungs in the diaphragmatic recesses.  
Musculoskeletal: The included musculoskeletal structures are normal.
Cranial abdomen:  Suspicious for hepatomegaly and peritoneal fluid.  </t>
  </si>
  <si>
    <t>1. Numerous soft tissue pulmonary nodules is most likely due to metastatic/multicentric neoplasia from an occult primary malignancy.
2. Right middle lung lobe interstitial to alveolar pattern.
- Differential diagnoses include atelectasis from bronchial plugging versus other, or less likely atypical metastatic neoplasia, hemorrhage, or other.
3. Diffuse bronchial and interstitial patterns due to atypical/evolving metastatic/multicentric neoplasia, fibrosis from prior disease, age-related changes, infectious/immune-mediated lower airway disease, or unlikely other.
4. Mild pleural fluid such as from malignant effusion, or unlikely other.</t>
  </si>
  <si>
    <t>Consider computed tomography of the thorax and abdomen and/or abdominal ultrasonography for further evaluation.  Routine blood work and coagulation testing, and tissue sampling of peripherally accessible lesions for a definitive diagnosis. Thoracocentesis with fluid analysis/cytology may also be contributory. If tissue sampling is inconclusive, consider fungal/granulomatous disease testing, but this is considered least likely unless the patient has an appropriate travel/exposure history. Empirical therapy and supportive care in the interim as needed.  Monitoring as directed, or sooner if clinical signs acutely change, fail to improve or worsen.</t>
  </si>
  <si>
    <t xml:space="preserve">
1.Are respiratory signs present? If YES._x000D_
2.Are respiratory signs present? If NO._x000D_
3.The evaluation has a strong suspicion of pulmonary nodules or mass lesion being present._x000D_
4.SEVERE INTERSTITIAL TO ALVEOLAR PATTERN; SEVERE BRONCHIAL PATTERN; SEVERE DYNAMIC AIRWAY DISEASE._x000D_
5.Based on these AI airway/pulmonary findings, the probability of this patient having clinically detectable respiratory signs is VERY HIGH (&gt;75%)_x000D_
6.A moderate perihilar infitlrate has been detected._x000D_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t>
  </si>
  <si>
    <t>Five images are provided.
Images are dated September 10, 2024.
Bones/Joints:
A dens is present.  There is no evidence of atlantoaxial joint subluxation.
Mineral foci are suspected over the ventral aspect of the L4-5 and L5-6 intervertebral foramina.  The T12-13 intervertebral disc space is mildly narrowed in lateral and ventrodorsal images.  Apparent narrowing of other intervertebral disc spaces in some images is not confirmed in the orthogonal image, such as T13-L1. There is no evidence of intervertebral dorsal articulation osteoarthrosis.
There is no evidence of medullary sclerosis, osteolysis, endosteal scalloping, or periosteal proliferation.
Soft tissues:  The included paraspinal soft tissues are normal.</t>
  </si>
  <si>
    <t>1. Suspected L4-5 and L5-6 intervertebral disc disease versus dural mineral or superimposed lateralized spondylosis deformans.
2. T12-13 intervertebral disc disease narrowing is suspected.
3. No obvious cervical vertebral fractures.</t>
  </si>
  <si>
    <t>Consider neurologist consultation and MRI for further evaluation.  Routine blood work if not recently performed. Empirical therapy and supportive care as needed in the interim. Monitoring as directed or sooner if clinical signs acutely change, fail to improve or worsen.</t>
  </si>
  <si>
    <t xml:space="preserve">
1.Mild cardiomegaly has been detected but Heart Failure is NOT suspected._x000D_
2.A mild perihilar infiltrate and more diffuse, minimal interstitial pulmonary pattern have been detected._x000D_
3.There is no evidence of DYNAMIC AIRWAY COLLAPSE or BRONCHIECTASIS.</t>
  </si>
  <si>
    <t>5 images of the thorax and abdomen are provided for review and compared with the previous study. The trachea is dorsally deviated, indicating left ventricular enlargement. A bulge is present in the area of the left atrium. The cardiac silhouette is also widened  with rounding of the right ventricular margin. The primary bronchi are narrowed. Moderate bronchial markings are present in all lung lobes. No perihilar pulmonary infiltrates are seen. The pulmonary vasculature is normal in size. The mediastinal and pleural structures are normal. Abdominal serosal detail is adequate in all quadrants. The liver margins are rounded and extend beyond the costal arch, causing caudal displacement of the gastric axis. The stomach contains a moderate amount of ingesta. The small intestines are normal in size. Gas and feces are present in the colon. The urinary bladder is small. A rounded faintly mineral structure is seen in the urinary bladder. The remaining abdominal organs are normal. There are healed fractures of left ribs 12 and 13.</t>
  </si>
  <si>
    <t>Progressive cardiomegaly without current evidence of cardiogenic pulmonary edema. Bronchial narrowing consistent with compression and/or collapse. Persistent bronchial pulmonary pattern consistent with chronic lower airway disease such as bronchitis. Persistent hepatomegaly.</t>
  </si>
  <si>
    <t xml:space="preserve">
1.There is no evidence of PLEURAL EFFUSION._x000D_
2.Are respiratory signs present? If YES._x000D_
3.AI linked collapsing airway disease treatment in dogs: https://platform.v2.vetology.net/doc/canine-tracheal-collapse-treatment_x000D_
4.AI linked dynamic airway treatment: https://platform.v2.vetology.net/doc/canine-tracheal-collapse-treatment_x000D_
5.Are respiratory signs present? If NO._x000D_
6.Are respiratory signs present? If NO._x000D_
7.MODERATE DYNAMIC AIRWAY DISEASE; MILD BRONCHITIS; MINIMAL INTERSTITIAL PATTERN WITH ATELECTASIS or less likely, PNEUMONIA._x000D_
8.MODERATE DYNAMIC AIRWAY DISEASE; MILD BRONCHOINTERSTITIAL PULMONARY PATTERN; MINIMAL PERIHILAR INFILTRATE._x000D_
9.Based on the AI airway/pulmonary findings, the probability of this patient having clinically detectable respiratory signs is MEDIUM to HIGH (50-75%)._x000D_
10.Based on these AI airway/pulmonary findings, the probability of this patient having clinically detectable respiratory signs is MEDIUM (50%)_x000D_
11.Are respiratory signs present? If YES._x000D_
12.Severe cardiomegaly has been detected but Heart Failure is NOT suspected.</t>
  </si>
  <si>
    <t>Opposite lateral and ventrodorsal whole body radiographs (3 images) dated September 10, 2024. Only the abdomen was specifically requested for interpretation._x000D_
_x000D_
A large amount of somewhat tubular soft tissue opacity creating a mass effect is present in the caudal abdomen, resulting in cranial displacement of the small intestine and slight dorsal displacement of the descending colon. Urinary bladder is small and fluid opaque. The liver is unremarkable in size and shape. The splenic head is unremarkable, and the tail is not clearly visible. The kidneys are partially visible with no overt abnormalities appreciable. The stomach contains a scant volume of gas. The proximal colon is gas dilated. The small intestine has a mild variation in diameter. The colon contains poorly formed stool. Peritoneal detail is reduced. No regional lymphadenopathy is evident.</t>
  </si>
  <si>
    <t>1. Large tubular mass effect in the caudal abdomen is concerning for uterine distention. Rule out pyometra vs. less likely early pregnancy or other =ZZ92=metras=ZZ92= (hydrometra, mucometra, hematometra) vs. least likely uterine tumor._x000D_
2. Peritoneal detail may represent mesenteric inflammation from presumed pyometra vs. less likely other causes._x000D_
3. Poorly formed stool in the colon is concerning for loose stool/diarrhea.</t>
  </si>
  <si>
    <t>Hospitalized supportive care with fluid rehydration for the next few hours, with a plan of either abdominal ultrasound or exploratory laparotomy for ovariohysterectomy.</t>
  </si>
  <si>
    <t>WHOLE-BODY (6 total radiographs for review). _x000D_
_x000D_
- Peritoneal serosal detail is normal._x000D_
- The stomach contains mild gas and gas-stippled soft-tissue opaque material_x000D_
- The small intestine contains mild multifocal gas and soft-tissue opaque material_x000D_
- The colon contains gas, soft-tissue/fluid and moderate, formed, desiccated fecal material._x000D_
- The liver, spleen, region of the kidneys and urinary bladder are normal._x000D_
- Mild, diffuse, mixed bronchial pattern._x000D_
- Mild lumbosacral spondylosis deformans and mild thoracolumbar/cranial lumbar spondylosis.</t>
  </si>
  <si>
    <t>1.  Unremarkable abdomen with mild constipation._x000D_
_x000D_
2. Mild diffuse bronchial pattern. Most likely representing age-related lower airway changes, however a component of chronic bronchitis is possible, especially if there is a history of abnormal respiratory sounds, wheezing and/or coughing._x000D_
_x000D_
3.  Mild lumbosacral and mild multifocal vertebral spondylosis deformans.</t>
  </si>
  <si>
    <t xml:space="preserve">
1.MODERATE INTERSTITIAL TO ALVEOLAR INFILTRATE; CONCURRENT MODERATE BRONCHIAL PATTERN; MILD PERIHILAR INFILTRATE._x000D_
2.Based on the AI airway/pulmonary findings, the probability of this patient having clinically detectable respiratorysigns is HIGH (75%)_x000D_
3.Are respiratory signs present? If YES._x000D_
4.AI linked bacterial pneumonia treatment in dogs: https://platform.v2.vetology.net/doc/pneumonia-in-dogs-and-cats_x000D_
5.Are respiratory signs present? If NO._x000D_
6.Pleural fissure lines or small volume pleural effusion has been detected. In a mildly overweight animal, excessive pericardial fat can artifactually mimic the result of minimal pleural effusion._x000D_
7.The evaluation has come up positive for a pulmonary nodular pattern._x000D_
8.The cardiac silhouette size is normal.</t>
  </si>
  <si>
    <t>3 views of the thorax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Cranial abdominal detail is adequate.</t>
  </si>
  <si>
    <t>Three radiographs of the thorax, and three views of the abdomen are provided. Previous images are not identified for this patient. The cardiac silhouette and pulmonary vessels are normal size. Mild mixed bronchointerstitial pattern throughout the lungs consistent with age. No soft tissue pulmonary nodules or pleural effusion. Normal cranial mediastinal width and tracheal diameter._x000D_
_x000D_
In the abdomen there is a smoothly lobulated 13.5 cm soft tissue opaque mass in the cranioventral left abdomen. This appears to be associated with the splenic tail. Serosal detail is reduced adjacent to the mass. Normal-sized liver. The gastric axis is in normal position. The gastrointestinal tract is mildly filled. Punctate mineral density overlying the urinary bladder on the left lateral view is likely superficial debris. Normal-sized kidneys. Osseous structures are unremarkable.</t>
  </si>
  <si>
    <t>Large lobulated cranioventral right abdominal mass, most likely originating from the spleen. Neoplasia such as hemangiosarcoma is the top differential. Hematoma or hemangioma are next on the differential list. A pedunculated hepatic mass is felt to be less likely. Reduced adjacent detail may be due to scant effusion versus mass-effect. The thorax is normal.</t>
  </si>
  <si>
    <t>Recommend abdominal ultrasound to confirm origin of the mass and rule out presence of additional abnormalities which may preclude surgical intervention.</t>
  </si>
  <si>
    <t xml:space="preserve">
1.Pleural fissure lines or moderate to severe pleural effusion has been detected. An overlying skin fold or in an obese animal, excessive pericardial fat could artifactually mimic the result of severe pleural effusion._x000D_
2.The cardiac silhouette size is normal._x000D_
3.MODERATE INTERSTITIAL TO ALVEOLAR INFILTRATE; CONCURRENT MODERATE BRONCHIAL PATTERN; MILD PERIHILAR INFILTRATE._x000D_
4.Based on the AI airway/pulmonary findings, the probability of this patient having clinically detectable respiratorysigns is HIGH (75%)_x000D_
5.Are respiratory signs present? If YES._x000D_
6.AI linked bacterial pneumonia treatment in dogs: https://platform.v2.vetology.net/doc/pneumonia-in-dogs-and-cats_x000D_
7.Are respiratory signs present? If NO._x000D_
8.The evaluation has a strong suspicion of pulmonary nodules or mass lesion being present.</t>
  </si>
  <si>
    <t>THORAX (4 total radiographs for review). _x000D_
_x000D_
- The clinically described left-sided thoracic body wall mass is not distinctly noted.  The margins of the thoracic body wall and ribs are normal._x000D_
- The cardiac silhouette and pulmonary vasculature are normal._x000D_
- The pulmonary parenchyma is normal_x000D_
- The trachea, esophagus and mediastinum are normal._x000D_
- The pleural space, diaphragm are normal._x000D_
- The remaining intrathoracic structures are normal._x000D_
- The stomach contains mild to moderate gas stippled soft-tissue opaque material._x000D_
- The remaining cranial abdominal structures are normal._x000D_
- No discrete musculoskeletal abnormalities are noted.</t>
  </si>
  <si>
    <t>1.  I cannot appreciate a radiographically apparent left-sided thoracic body wall mass and the margins of the ribs are normal.  If there is further clinical concern, a thoracic CT might be considered for continued evaluation._x000D_
_x000D_
2.  Normal thorax._x000D_
_x000D_
3.  Recent meal and aerophagia.</t>
  </si>
  <si>
    <t xml:space="preserve">
1.A minimal to mild bronchointerstitial pulmonary pattern has been detected._x000D_
2.The cardiac silhouette size is normal._x000D_
3.There is no evidence of DYNAMIC AIRWAY COLLAPSE or BRONCHIECTASIS or PLEURAL EFFUSION.</t>
  </si>
  <si>
    <t>Orthogonal views of the thorax are provided:_x000D_
_x000D_
Thorax:_x000D_
_x000D_
There is moderate left atrium enlargement that dorsally displaces the carina, producing an overall severe cardiomegaly._x000D_
The pulmonary veins are enlarged when crossing the 4th ribs._x000D_
There is a peri-hilar and ill defined cauododorsal interstitial pulmonary pattern._x000D_
Normal mediastinum, diaphragm and thoracic wall._x000D_
_x000D_
Liver extends beyond the costal arch with sharp margins.</t>
  </si>
  <si>
    <t>1) Cardiomegaly (left sided), enlarged pulmonary veins with peri-hilar and ill defined cauododorsal interstitial pulmonary pattern. Findings compatible with left sided congestive heart failure secondary to chronic mitral endocardiosis. Rule out tricuspid endocardiosis with post-capillary pulmonary hypertension._x000D_
2) Hepatomegaly: Metabolic vs Vacuolar infiltration vs Hepatic nodular hyperplasia vs Inflammatory vs Toxic vs Neoplastic or a combination of these differentials.</t>
  </si>
  <si>
    <t>Consider oxygen supplementation, pro bnp, BP and lasix trial (prior evaluation of the renal function) with recheck radiographs in 12 hours (or sooner if clinically indicated) to re-evaluate and to monitor the response to treatment. Consider a cardiology consultation with ECG and echocardiogram once the patient is stable._x000D_
Consider abdominal US to further evaluate the liver.</t>
  </si>
  <si>
    <t xml:space="preserve">
1.Pleural fissure lines or moderate pleural effusion has been detected. An overlying skin fold or in a moderately overweight animal, excessive pericardial fat could artifactually mimic the result of moderate pleural effusion._x000D_
2.Severe cardiomegaly has been detected but Heart Failure is NOT suspected._x000D_
3.SEVERE INTERSTITIAL TO ALVEOLAR INFILTRATE; CONCURRENT MODERATE BRONCHIAL PATTERN and MILD DYNAMIC AIRWAY DISEASE._x000D_
4.Based on these AI airway/pulmonary findings, the probability of this patient having clinically detectable respiratory signs is HIGH (75%)_x000D_
5.Are respiratory signs present? If YES._x000D_
6.Are respiratory signs present? If NO.</t>
  </si>
  <si>
    <t>Nine radiographs are provided, with images of the thorax, thoracic limbs, and abdomen. The cardiac silhouette is normal size and shape. There are no abnormalities in the pulmonary parenchyma or pleural space. Increased opacity overlying the cranial left thorax on the VD projection is caused by superimposed scapula. The trachea is normal diameter. The glenohumeral joints are congruent. Hazy increased opacity overlying the caudal aspect of the proximal left humeral metaphysis on the left lateral view is caused by superimposed normal anatomy. There is no osseous lysis. The cubital and carpal joints are congruent. No soft tissue swelling._x000D_
_x000D_
In the abdomen the gastrointestinal tract is moderately filled. There is no peritoneal effusion. The kidneys, spleen, and liver are normal size. No radiopaque cystic calculi. Osseous structures are unremarkable.</t>
  </si>
  <si>
    <t>Normal thorax, abdomen, thoracic limbs. A reason for lameness is not identified. Soft tissue sprain/strain is most likely. A lateralized cervical intervertebral disc lesion is next on the differential list.</t>
  </si>
  <si>
    <t>Recommend supportive care with anti-inflammatories as needed. There is no contraindication for general anesthesia based on this study.</t>
  </si>
  <si>
    <t>THORAX (4 images):
Images are dated September 10, 2024.
Pulmonary parenchyma: A mild diffuse bronchial pattern is present.  The lungs are hypoinflated and a minimal diffuse interstitial pattern is present.  
Pulmonary vasculature: The pulmonary vasculature is subjectively normal in size and tapers in the periphery of the lungs.
Cardiac silhouette: The cardiac silhouette is slightly tall and occupies 2/3 the height of the thorax.  The trachea is slightly dorsally displaced. The caudodorsal margin of the cardiac silhouette is slightly flattened.
Mediastinum: The cranial mediastinum is normal.
Trachea: The trachea is normal.
Esophagus: The esophagus is not well-identified.
Pleural space: The pleural space is normal.
Musculoskeletal: Minimal spondylosis deformans suspected at T3-4, T4-5, T5-6.  The remaining included musculoskeletal structures are normal.</t>
  </si>
  <si>
    <t xml:space="preserve">1. Equivocal/evolving left-sided cardiomegaly such as from myxomatous mitral valvular disease and insufficiency, or less likely other given murmur.
- There is no evidence of left-sided congestive heart failure.  
2. Mild diffuse bronchial and minimal interstitial pulmonary pattern due to fibrosis from prior disease, age-related changes, infectious/immune-mediated lower airway disease (mycoplasma spp., bordetella spp., parasitism such as lung worms, or less likely other), or unlikely other.
</t>
  </si>
  <si>
    <t>Echocardiography, eCG and blood pressure for further evaluation.  Routine blood work and urinalysis if not recently performed.  Consider abdominal imaging and empirical therapy/supportive care in the interim as needed given reproted hematuria.  Monitoring as directed or sooner if clinical signs acutely change, fail to improve or worsen.</t>
  </si>
  <si>
    <t xml:space="preserve">
1.Mild cardiomegaly has been detected but Heart Failure is NOT suspected._x000D_
2.There is no evidence of PLEURAL EFFUSION._x000D_
3.MILD BRONCHIAL PATTERN; MINIMAL DYNAMIC AIRWAY DISEASE._x000D_
4.Based on these AI airway/pulmonary findings, the probability of this patient having clinically detectable respiratory signs is LOW (25%)_x000D_
5.Are respiratory signs present? If YES._x000D_
6.Are respiratory signs present? If NO.</t>
  </si>
  <si>
    <t>Five radiographs of the thorax and abdomen are provided. There is prominence of the left atrium. The right heart appears increased in convexity on the VD projection due to mild rotation. Pulmonary vessels are normal size. Mild unstructured interstitial pattern and crisp pleural fissure line is normal for the age of this patient. There is no pleural effusion. Redundant dorsal trachealis membrane causes moderate narrowing cervical trachea. Normal larynx. In the abdomen the liver is mildly enlarged with smooth margins. Normal-sized spleen and left kidney. The right kidney is incompletely visible. No radiopaque urolithiasis. The gastrointestinal tract is mildly filled. Thin V-shaped 0.2 cm metal opacity between the urinary bladder and distal colon is likely incidental suture material. The coxofemoral joints are congruent.</t>
  </si>
  <si>
    <t>1. Cervical tracheal collapse, the only abnormality identified that could explain the coughing. Inhaled irritant/allergens could be contributing._x000D_
2. Prominent left atrium suggestive of chronic degenerative mitral valve disease. There is no pulmonary venous congestion or pulmonary edema. This is not felt to be responsible for the cough._x000D_
3. Mild hepatomegaly, a nonspecific finding that may be steroid or other hepatopathy, acute inflammation, or neoplasia. This should be correlated with a history and blood work. No other abdominal abnormalities.</t>
  </si>
  <si>
    <t>Recommend weight management as needed, utilization of a body harness in place of a neck lead, and symptomatic treatment for the cough.</t>
  </si>
  <si>
    <t xml:space="preserve">
1.MINIMAL to MILD BRONCHOINTERSTITIAL PULMONARY PATTERN; MILD DYNAMIC AIRWAY DISEASE; MILD PERIHILAR INFILTRATE._x000D_
2.Based on these AI airway/pulmonary findings, the probability of this patient having clinically detectable respiratory signs is LOW to MEDIUM (25-50%)_x000D_
3.Are respiratory signs present? If YES._x000D_
4.Are respiratory signs present? If NO._x000D_
5.There is no evidence of PULMONARY NODULES._x000D_
6.Minimal cardiomegaly has been detected but Heart Failure is NOT suspected.</t>
  </si>
  <si>
    <t>THORAX (2 total radiographs for review)._x000D_
_x000D_
- Mild left-sided mediastinal shift._x000D_
- Moderate generalized cardiomegaly, with rounding of the cardiac margins. _x000D_
- Severe, diffuse, mixed bronchial and peribronchial unstructured interstitial pattern._x000D_
- Multiple large mineralized foci present throughout the lungs._x000D_
- Soft-tissue opaque band dorsally overlying the trachea in the region of the thoracic inlet._x000D_
- Mild widening of the cranial mediastinum._x000D_
- The remaining included intrathoracic structures are normal._x000D_
- No discrete cranial abdominal abnormalities are detected.</t>
  </si>
  <si>
    <t>1.  Generalized cardiomegaly with both right and left heart enlargement.  Given the reported syncopal episodes, the right-sided heart disease is suspected to be more severe, and most likely reflects chronic cardiac remodeling such as secondary to pulmonary hypertension (e.g. associated with the chronic lower airway disease), or tricuspid valvular insufficiency.  Mild left-sided cardiomegaly most likely due to degeneration of the mitral valve.  No obvious left or right congestive heart failure is appreciated.  Consider consultation with a veterinary cardiologist and echocardiography/ECG for further evaluation._x000D_
_x000D_
2.  Severe, diffuse, mixed bronchial and peribronchial unstructured interstitial pulmonary pattern and multiple mineralized foci throughout the lungs likely reflect changes secondary to chronic lower airway disease (e.g. bronchitis)._x000D_
_x000D_
3.  The appearance of the trachea at the level of the thoracic inlet can be compatible with tracheal collapse, secondary to chondromalacia._x000D_
_x000D_
4.  Mild widening of the cranial mediastinum suspected to be most likely incidental due to fat deposition.  Mediastinal mass or effusion is less likely.</t>
  </si>
  <si>
    <t xml:space="preserve">
1.The evaluation result has a strong suspicion of soft tissue pulmonary nodules being present. This case should be further scrutinized for the presence of pulmonary metastasis or other soft tissue nodular pulmonary lesions such as; fungal disease, pulmonary abscesses or parasitic cysts. Keep in mind that disseminated lymphoma and METASTATIC mast cell neoplasia typically cause intrathoracic lymph node enlargement and DO NOT typically cause soft tissue pulmonary nodules. In older dogs, neoplasia (primary or metastatic) is the primary consideration. A false positive result due to cutaneous nodules or nipples overlying the thorax artifactually creating this result is considered unlikely in this case. However, if a cutaneous nodule is suspected, apply a radiopaque marker or barium to the cutaneous structure or nipple and repeat the thoracic radiographs._x000D_
2.Severe cardiomegaly has been detected but Heart Failure is NOT suspected._x000D_
3.SEVERE BRONCHOINTERSTITIAL TO ALVEOLAR PATTERN; PULMONARY NODULES or NODULAR PATTERN; PLEURAL FLUID or LESS LIKELY, OVERLYING SKIN FOLDS or SEVERE OBESITY; SEVERE DYNAMIC AIRWAY DISEASE._x000D_
4.Based on the AI airway/pulmonary findings, the probability of this patient having soft tissue pulmonary nodules and clinically detectable respiratory signs is VERY HIGH (&gt;75%)_x000D_
5.Pleural fissure lines pleural effusion has been detected. In an overweight animal, excessive pericardial fat or overlying skin folds can artifactually mimic the result of pleural effusion._x000D_
6.Are respiratory signs present? If YES. In a younger dog, pneumonia (aspiration, bacterial, fungal, parasitic (including heartworm pathosis) or embolic), pulmonary hemorrhage, pulmonary fibrosis or pleural space disease (mild pleural effusion) with concurrent dynamic airway collapse and/or bronchiectasis is likely. In older dogs, neoplasia (lobar neoplasia or ) or PTE are additional considerations. A component of upper airway disease causing secondary lower airway disease, including aspiration pneumonia or atelectasis, may be present._x000D_
7.Are respiratory signs present? If NO. A false positive due to a combination of age-related changes due to sedation or anesthesia and/or overlying soft tissues such as forelimb musculature overlying the cranial thorax would be more likely._x000D_
8.Given the complexity of this case, study submission to a radiologist for review is recommended.</t>
  </si>
  <si>
    <t>Five radiographs of the thorax and abdomen are provided. The cardiac silhouette and pulmonary vessels are normal size and shape. There are a few incidental pulmonary osteomas. No soft tissue pulmonary nodules or pleural effusion. Normal tracheal diameter. Smoothly marginated round 4.5 cm soft tissue opaque mass in the superficial tissues ventral to the xiphoid process. In the abdomen, there is a large volume soft tissue opacity stippled with gas filling the stomach. Small intestines are moderately dilated with gas and a small volume fluid. Small volume of formed feces in the colon. There is no effusion. Normal-sized liver and spleen. The kidneys are incompletely visible. No radiopaque cystic calculi. There is spondylosis deformans throughout the lumbar spine. Mild narrowed T12-13 intervertebral disc space, and mineral density overlies the L1-2, L2-3 intervertebral foramina. Broad-based smoothly irregular 5.1 x 2.5 cm soft tissue thickening in the cranioventral extra-abdominal tissues on the right lateral view.</t>
  </si>
  <si>
    <t>1. Large volume gastric contents appears to be normal ingesta. With the history of vomiting, I cannot rule out the possibility of auditory portion of this is foreign material causing gastritis and pyloric outflow obstruction. Small intestinal functional ileus likely due to stress/discomfort or enteritis. No other abdominal abnormalities._x000D_
2. The appearance of the thoracolumbar spine may be incidental, however could also be causing discomfort. This should be correlated with palpation._x000D_
3. Soft tissue masses in the ventral cutaneous tissues consistent with the reported mammary lesions._x000D_
4. Normal thorax.</t>
  </si>
  <si>
    <t>Recommend a CBC, blood chemistry profile, supportive care, and repeat fasting abdominal radiographs +/- positive contrast gastrogram to rule out gastric foreign material. With a volume of gastric contents present, and extended fast may be necessary.</t>
  </si>
  <si>
    <t>Three radiographs of the thorax/abdomen are provided. Previous thoracic images dated 2/20/23 are available for comparison. The cardiac silhouette is normal size and shape. There are mild age-related changes in the lungs. No pleural effusion. Redundant dorsal trachealis membrane causes severe narrowed cervical tracheal lumen on the right lateral view. This C2-3, C3-4, C6-7 intervertebral disc spaces are narrowed on the VD projection, but not definitively on the lateral views. The appearance of a step lesion along the ventral aspect of C4 on the right lateral view is caused by obliquity and superimposed C5 transverse process. There is no endplate lysis. Normal proximal thoracic limbs. In the abdomen the liver is mildly enlarged, a new development. Normal abdominal serosal detail. The gastrointestinal tract is minimally filled. Normal-sized spleen and kidneys. Thin punctate mineral density overlying the caudoventral left abdomen was present previously and is likely incidental granuloma. The T13-L1, L1-2, L2-3 intervertebral disc spaces appear narrowed on the lateral views but is not confirmed on the VD projection. Degenerative change noted in the coxofemoral joints.</t>
  </si>
  <si>
    <t>1. Several narrowed intervertebral disc spaces in the cervical spine and cranial lumbar spine, only visible on some of the images, likely artifact due to dependent sloping of the spine and patient rotation. A definitive reason for discomfort is not identified. A non-mineralized protruded intervertebral disc is suspected. Soft tissue sprain/strain is next on the differential list._x000D_
2. Cervical tracheal collapse as before. No intrathoracic abnormalities._x000D_
3. New development of mild hepatomegaly, a nonspecific finding that may be steroid or other hepatopathy, acute inflammation, or neoplasia. This should be correlated with history and blood work.</t>
  </si>
  <si>
    <t>Since the patient does not have neurologic deficits, consider conservative treatment with anti-inflammatories and strict rest. If there is no improvement, consultation with a neurologist and advanced spinal imaging with MRI should be considered.</t>
  </si>
  <si>
    <t xml:space="preserve">
1.The cardiac silhouette size is normal._x000D_
2.There is no evidence of BRONCHITIS, DYNAMIC AIRWAY COLLAPSE or BRONCHIECTASIS, PULMONARY NODULES or PLEURAL EFFUSION._x000D_
3.A mild perihilar infiltrate has been detected.</t>
  </si>
  <si>
    <t>Three radiographs of the thorax are provided. There is mild left atrial and ventricular enlargement. The cranial pulmonary vein is larger than the artery on the left lateral view. There are mild age-related changes in the lungs. Well delineated round 6.5 cm soft tissue opaque mass in the cranioventral thorax on the lateral views, seen in the cranial left thorax on the VD projection. No pleural effusion or rib lesions. Normal tracheal diameter and position.</t>
  </si>
  <si>
    <t>1. Cranioventral left thoracic mass. Neoplasia originating from the lung is most likely. A mediastinal mass appearing to be left-sided due to slight obliquity is not definitively ruled out._x000D_
2. Mild left-sided cardiomegaly consistent with dilated cardiomyopathy. There is pulmonary venous congestion but no evidence of heart failure.</t>
  </si>
  <si>
    <t>Recommend an echocardiogram and ultrasound guided sampling of the cranioventral thoracic mass.</t>
  </si>
  <si>
    <t xml:space="preserve">
1.The evaluation has a strong suspicion of soft tissue pulmonary nodules being present._x000D_
2.Moderate cardiomegaly has been detected but Heart Failure is NOT suspected._x000D_
3.PULMONARY NODULES or NODULAR PATTERN; MILD to MODERATE BRONCHOINTERSTITIAL PATTERN with an ALVEOLAR COMPONENT; MILD PERIHILAR INFILTRATE._x000D_
4.Based on the AI airway/pulmonary findings, the probability of this patient having soft tissue pulmonary nodules and clinically detectable respiratory signs is MEDIUM to HIGH (50-75%)_x000D_
5.Are respiratory signs present? If YES._x000D_
6.Are respiratory signs present? If YES._x000D_
7.Are respiratory signs present? If NO._x000D_
8.Are respiratory signs present? If NO._x000D_
9.MODERATE BRONCHOINTERSTITIAL PULMONARY PATTERN; MILD PERIHILAR INFILTRATE; MILD DYNAMIC AIRWAY DISEASE; ATELECTASIS or less likely, pneumonia._x000D_
10.Based on the AI airway/pulmonary findings, the probability of this patient having clinically detectable respiratory signs is MEDIUM to HIGH (50%-75%)</t>
  </si>
  <si>
    <t>Left manus and thorax. Four radiographs of the left manus (lateral, oblique lateral, and dorsal palmar views) dated September 9, 2024 are provided. Three radiographs of the thorax (two lateral, one VD) dated September 9, 2024 are provided. The thorax is compared to a previous study dated July 16, 2024.
Left manus: There is moderate soft tissue swelling of the second and third digits of the left front limb. The underlying osseous structures are smoothly marginated with no evidence of reactivity or lysis. The remaining digits and metacarpal bones are within normal limits.
Cardiac silhouette: The cardiac silhouette is normal in size and shape, unchanged.
Pulmonary vessels: The pulmonary arteries and veins remain normal in size and are symmetrical.
Pulmonary parenchyma: The pulmonary parenchyma is normal with no abnormal pulmonary patterns, nodules, or masses.
Pleural space: The pleural space is within normal limits, unchanged.
Mediastinum: The mediastinum is normal in width and opacity. There is no evidence of intrathoracic lymphadenopathy.
Trachea: The trachea is normal in diameter and course.
Esophagus: The region of the esophagus is within normal limits.
Musculoskeletal: There are two staples along the ventral aspect of the body wall. There is mild spondylosis deformans and intervertebral disc space narrowing of the mid thoracic spine.</t>
  </si>
  <si>
    <t>1. Moderate soft tissue swelling of the second third digits of the left thoracic limb. Differentials include pododermatitis and unwitnessed trauma. Insect bites are not ruled out. An aggressive osseous lesion is not identified.
2. Normal thorax.</t>
  </si>
  <si>
    <t>Continue supportive care as needed. If clinical signs persist despite treatment, fine-needle aspirates of the swollen digits could be considered for cytologic diagnosis and to guide treatment options.</t>
  </si>
  <si>
    <t xml:space="preserve">
1.There is no evidence of ALVEOLAR PATTERN, PERIHILAR INFILTRATE, DYNAMIC AIRWAY COLLAPSE or BRONCHIECTASIS or PLEURAL EFFUSION._x000D_
2.A mild bronchial pattern has been detected._x000D_
3.Minimal cardiomegaly has been detected but Heart Failure is NOT suspected.</t>
  </si>
  <si>
    <t>Study:_x000D_
Thoracic radiography: four images dated September 9, 2024_x000D_
_x000D_
Compared to prior study dated April 4, 2023_x000D_
_x000D_
Findings:_x000D_
The cardiac silhouette is normal in size and shape. The pulmonary vasculature is normal in size. The lungs are hypoinflated on all projections. There is a mixed mild to moderate diffuse unstructured interstitial and mild to moderate generalized bronchial pulmonary pattern. These findings are similar in comparison to the prior examination. The pleural space is normal. There is no intrathoracic lymphadenopathy. The trachea is normal in diameter. The larynx is unremarkable. There is no lobar bronchi narrowing. The stomach contains unstructured heterogeneous soft tissue material presumed to be ingesta. The liver extends mildly beyond the costal arch with smooth margins. The T 13 vertebra is transitional with a hypoplastic rib on the right and no appreciable rib on the left.</t>
  </si>
  <si>
    <t>1. The static diffuse interstitial pulmonary pattern may be secondary to long hypoinflation and benign age-related change. Interstitial lung disease (e.g. idiopathic pulmonary fibrosis or cryptogenic organizing pneumonia) are also possible._x000D_
2. The concurrent mild to moderate (static) diffuse bronchial pulmonary pattern may indicate chronic allergic/inflammatory lower airway disease. Infectious, inhaled irritant or parasitic etiologies are also possible._x000D_
3. Mild hepatomegaly may indicate vacuolar hepatopathy secondary to corticosteroid therapy. Hepatitis, hyperplasia or infiltrative neoplasia cannot be completely excluded. Correlate with any liver enzyme abnormalities. Abdominal sonography can be considered for further evaluation if clinically relevant.</t>
  </si>
  <si>
    <t>Consider computed tomography thorax, airway sampling plus/minus heartworm testing and Baermann fecal flotation for further evaluation.</t>
  </si>
  <si>
    <t xml:space="preserve">
1.SEVERE INTERSTITIAL TO ALVEOLAR INFILTRATE; CONCURRENT MODERATE BRONCHIAL PATTERN and MILD DYNAMIC AIRWAY DISEASE._x000D_
2.Based on these AI airway/pulmonary findings, the probability of this patient having clinically detectable respiratory signs is HIGH (75%)_x000D_
3.Are respiratory signs present? If YES._x000D_
4.Are respiratory signs present? If NO._x000D_
5.The cardiac silhouette size is normal.</t>
  </si>
  <si>
    <t>Study:_x000D_
Abdominal radiography: three images dated September 9, 2024_x000D_
_x000D_
Findings:_x000D_
The serosal detail is normal. The stomach contains a small volume of gas with the pylorus appropriately gas-filled on the left lateral image. The small intestines are normal in size, course and content. The colon contains formed fecal material with a normal diameter. The liver and spleen are normal in size and margin. The renal silhouettes are normal in size and contour. The urinary bladder is normal in size and opacity. There is no uterine dilation. The included thorax is normal. The osseous structures are unremarkable.</t>
  </si>
  <si>
    <t>Unremarkable abdomen. A cause of vomiting is not evident. There is no radiographic evidence of gastrointestinal foreign material or small intestinal mechanical obstruction. Abdominal sonography can be considered for further evaluation if clinical signs persist or worsen in spite of medical management.</t>
  </si>
  <si>
    <t>Study:_x000D_
Thoracic and right thoracic limb radiography: six images dated September 9, 2024_x000D_
_x000D_
Findings:_x000D_
_x000D_
Thorax:_x000D_
The cardiac silhouette is normal in size and shape. There is a severe generalized bronchial pulmonary pattern. Multiple nodular soft tissue opacities are scattered throughout the pulmonary parenchyma. There is an interstitial to alveolar pulmonary pattern in the region of the accessory lung lobe. Multiple pleural fissure lines are seen on the lateral projections. On the VD view, there is an indistinct round soft tissue opacity situated between the branching of the caudal lobar bronchi, suspicious for tracheobronchial lymphadenopathy. The tracheal diameter is normal. The included abdomen is normal. The osseous structures included in the thoracic images are unremarkable._x000D_
_x000D_
Right thoracic limb:_x000D_
The elbow joint is congruent. The anconeal process is probably fused. The medial coronoid process is sharply marginated and well defined bilaterally. The bones of the carpus and manus are unremarkable. There are no fractures or luxations. There is no evidence of aggressive osseous disease. There is no apparent soft tissue swelling.</t>
  </si>
  <si>
    <t>1. Given the patient=ZZ91=s history of Valley Fever, the constellation of the severe generalized bronchial pulmonary pattern, pulmonary nodules, interstitial to alveolar pattern in the accessory lung lobe and the suspected tracheobronchial lymphadenopathy likely represent persistent coccidioidomycoses. Eosinophilic bronchopneumopathy is also possible but considered less likely. Valley Fever titers should be considered._x000D_
2. The pleural fissure lines may indicate trace pleural effusion and/or pleural thickening. Volume does not appear sufficient to sample._x000D_
3. Unremarkable right thoracic limb. A cause of the right thoracic limb lameness is not evident. Orthopedic consultation, computed tomography of the forelimbs and shoulder sonography can be considered if the lameness persists in spite of activity restriction and pain management.</t>
  </si>
  <si>
    <t>THORAX (3 total radiographs for review). _x000D_
_x000D_
- In the region of the right accessory lung lobe, there is an approximately 5 x 5 cm rounded homogenously soft tissue opaque mass._x000D_
- There is a mild to moderate diffuse bronchial pulmonary pattern present._x000D_
- A diffuse unstructured interstitial pattern is present._x000D_
- The cardiac silhouette and pulmonary vasculature are normal._x000D_
- The trachea, pleural space and remaining included intrathoracic structures are normal._x000D_
- The stomach contains mild gas and gas stippled soft-tissue opaque material._x000D_
- The remaining cranial abdominal structures are normal._x000D_
- No discrete musculoskeletal abnormalities are noted.</t>
  </si>
  <si>
    <t>1. Medium-sized caudal intrathoracic mass on midline may be originating from the right accessory lung lobe (less likely the caudal mediastinum or diaphragm).  The primary consideration would be neoplasia such as pulmonary carcinoma, however nonneoplastic etiologies such as pulmonary granuloma or abscess are not excluded.  For further evaluation of this lesion, consider a thoracic/whole-body CT.  Consultation with a veterinary oncologist could be considered.  The lesion is not likely amenable to ultrasound-guided fine-needle aspiration given its midline location_x000D_
_x000D_
2. Mild diffuse broncho-interstitial pulmonary pattern. Most likely representing age-related lower airway changes, however a component of chronic bronchitis is possible, especially given the reported coughing and these changes may also be partially contributing to the clinical syndrome._x000D_
_x000D_
3.  Aerophagia.</t>
  </si>
  <si>
    <t xml:space="preserve">
1.MILD to MODERATE BRONCHOINTERSTITIAL PULMONARY PATTERN; MILD DYNAMIC AIRWAY DISEASE; ATELECTASIS or less likely, pneumonia._x000D_
2.Based on these AI airway/pulmonary findings, the probability of this patient having clinically detectable respiratory signs is MEDIUM (50%)_x000D_
3.Are respiratory signs present? If YES._x000D_
4.Are respiratory signs present? If NO._x000D_
5.The cardiac silhouette size is normal.</t>
  </si>
  <si>
    <t>Opposite lateral and ventrodorsal whole body radiographs (4 images) dated September 9, 2024._x000D_
_x000D_
_x000D_
The cardiac silhouette is mildly tall in height with flattening of the caudal cardiac waist. The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lumen=ZZ90= a horizontal soft tissue band is superimposed with the thoracic inlet trachea on the left lateral view, most consistent with a superimposed esophagus or a redundant dorsal tracheal membrane. No intrathoracic lymphadenopathy is evident._x000D_
_x000D_
The liver is moderately enlarged with a rounded lobe margin. The spleen is unremarkable in size and shape. The kidneys are only partially visible with no abnormalities appreciated. The urinary bladder is moderately distended with homogeneous fluid opacity. The prostate is radiographically visible as an ovoid soft tissue opacity caudal to the urinary bladder in the cranial pelvic inlet. The stomach is moderately distended with heterogeneous soft tissue content and gas. The small intestine and colon are unremarkable. Retroperitoneal and peritoneal detail are normal. No regional lymphadenopathy is evident._x000D_
_x000D_
Chronic disc space collapse is affecting L4-L5, and milder narrowing affects T13 through L4. No aggressive osseous pathology is 5.</t>
  </si>
  <si>
    <t>1. Mild generalized and predominantly left-sided cardiomegaly is consistent with myxomatous mitral valve disease. There is no evidence of heart failure._x000D_
2. Redundant dorsal tracheal membrane or superimposed esophagus vs. potentially tracheal collapse._x000D_
3. Hepatomegaly. Rule out a benign metabolic/vacuolar hepatopathy vs. less likely inflammatory and infiltrative neoplastic conditions._x000D_
4. Multifocal chronic intervertebral disc disease, as described.</t>
  </si>
  <si>
    <t>Empirical treatment for presumed tracheal collapse is reasonable and includes includes antitussives, anti-inflammatory steroidal therapy (fluticasone inhaler), maintaining a lean body condition, reducing overexertion and overexcitement, and maintaining a cool and non-humid environment. Internal medicine consultation could also be considered._x000D_
Fluoroscopy or tracheoscopy is needed for definitive diagnosis._x000D_
A sedated upper airway exam is also reasonable to screen for upper airway disease._x000D_
Consider scheduling an echocardiogram, especially for murmur is auscultated._x000D_
Hepatic lab work and ultrasound.</t>
  </si>
  <si>
    <t xml:space="preserve">
1.MODERATE BRONCHOINTERSTITIAL PULMONARY PATTERN; ALVEOLAR INFILTRATE or ATELECTASIS; DYNAMIC AIRWAY DISEASE._x000D_
2.Based on these AI airway/pulmonary findings, the probability of this patient having clinically detectable respiratory signs is HIGH (75%)_x000D_
3.Are respiratory signs present? If YES._x000D_
4.Are respiratory signs present? If NO._x000D_
5.Severe cardiomegaly has been detected but Heart Failure is NOT suspected.</t>
  </si>
  <si>
    <t>THORAX (2 total radiographs for review). _x000D_
_x000D_
- The cardiac silhouette and pulmonary vasculature are normal._x000D_
- The pulmonary parenchyma is normal_x000D_
- The trachea, esophagus and mediastinum are normal._x000D_
- The pleural space, diaphragm and ribs are normal._x000D_
- The remaining intrathoracic structures are normal._x000D_
- The stomach is moderately distended with gas and contains mild soft tissue opaque material._x000D_
- The remaining cranial abdominal structures are normal._x000D_
- No discrete musculoskeletal abnormalities are identified.</t>
  </si>
  <si>
    <t>1.  Normal thorax.  A discrete radiographic cause for the reported episodes of coughing/sneezing is not clearly identified.  Radiographic sensitivity for subtle lower airway disease can be limited.  If the patient does not improve or worsens despite medical management, consultation with an internal medicine specialist and/or thoracic CT might be considered._x000D_
_x000D_
2.  Aerophagia.</t>
  </si>
  <si>
    <t>Study:_x000D_
Thoracic radiography: four images dated August 29, 2024_x000D_
_x000D_
Findings:_x000D_
The cardiac silhouette is normal in size and shape. The pulmonary vasculature is normal in size. There is age-related mineralization of the walls of the larger caliber bronchi in the perihilar region. The pulmonary parenchyma is otherwise unremarkable. No pulmonary nodules or masses are present. There is no intrathoracic lymphadenopathy. The trachea is normal in diameter. On both lateral views, there is an ovoid soft tissue opaque structure in the caudodorsal thorax. This finding is not seen on the right lateral orthogonal views. The stomach contains heterogeneous soft tissue material presumed to be ingesta with interspersed granular mineral and also a larger 2 cm ovoid mineral opacity. A small amount of granular mineral is clustered in the region of the gallbladder. Numerous additional mineral foci organized and a linear fashion are scattered throughout the liver. Mild periarticular bone formation is present at the caudodistal aspect the humeral head bilaterally.</t>
  </si>
  <si>
    <t>1. The ovoid soft tissue opaque structure in the caudodorsal thorax on the left lateral projections is thought to represent a sliding hiatal hernia. A pulmonary mass is likely given the lack of repeatability on the orthogonal view._x000D_
2. There is no evidence of pulmonary metastatic disease._x000D_
3. A cause of coughing is not evident. Consider laryngeal paralysis. Lack of a definitive bronchial pulmonary pattern does not exclude the possibility of allergic/inflammatory, infectious, irritant or parasitic bronchitis. Sedated laryngeal exam, airway sampling plus/minus heartworm testing and Baermann fecal flotation can be considered to further evaluate the reported coughing._x000D_
4. The mineral material in the stomach may indicate dietary indiscretion. Correlate with any gastrointestinal signs._x000D_
5. Cholelithiasis plus/minus intrahepatic biliary mineralization._x000D_
6. Mild bilateral shoulder osteoarthrosis.</t>
  </si>
  <si>
    <t xml:space="preserve">
1.Are respiratory signs present? If NO._x000D_
2.The evaluation has come up positive for a pulmonary nodular pattern._x000D_
3.Are respiratory signs present? If YES._x000D_
4.A moderate bronchointerstitial pattern with alveolar infiltrates has been detected._x000D_
5.A moderate interstitial to alveolar infiltrate, mild bronchial pattern and concurrent mild perihilar infiltrate have been detected._x000D_
6.Probability these AI pulmonary findings will accompany clinically detectable respiratory signs: MEDIUM (50%)_x000D_
7.Pleural fissure lines or moderate pleural effusion has been detected. An overlying skin fold or in a moderately overweight animal, excessive pericardial fat could artifactually mimic the result of moderate pleural effusion._x000D_
8.The cardiac silhouette size is normal.</t>
  </si>
  <si>
    <t>THORAX (3 total radiographs for review).  Multiple previous examinations are available for review._x000D_
_x000D_
- Mild, diffuse bronchial pulmonary pattern._x000D_
- The cardiac silhouette and pulmonary vasculature are normal._x000D_
- The pulmonary parenchyma is normal_x000D_
- The trachea, esophagus and mediastinum are normal._x000D_
- The pleural space, diaphragm and ribs are normal._x000D_
- The remaining intrathoracic structures are normal._x000D_
- The liver is mildly enlarged, extending caudal to the costal arch with rounded margins._x000D_
- The stomach contains mild gas and soft-tissue opaque material._x000D_
- The remaining cranial abdominal structures are normal._x000D_
- No discrete musculoskeletal abnormalities are identified.</t>
  </si>
  <si>
    <t>1. Mild diffuse bronchial pattern. Most likely representing age-related lower airway changes, however a component of chronic bronchitis is possible, especially if there is a history of abnormal respiratory sounds, wheezing and/or coughing._x000D_
_x000D_
2.  Otherwise normal thorax._x000D_
_x000D_
3. Mild hepatomegaly. Most likely vacuolar (metabolic) hepatopathy. Hepatitis, hepatic congestion or neoplasia are less likely, but possible.</t>
  </si>
  <si>
    <t xml:space="preserve">
1.Are respiratory signs present? If YES._x000D_
2.Are respiratory signs present? If NO._x000D_
3.The cardiac silhouette size is normal._x000D_
4.There is no evidence of ALVEOLAR PATTERN, DYNAMIC AIRWAY COLLAPSE or BRONCHIECTASIS or PLEURAL EFFUSION._x000D_
5.MILD BRONCHIAL PATTERN; MILD PERIHILAR PATTERN._x000D_
6.Based on these AI airway/pulmonary findings, the probability of this patient having clinically detectable respiratorysigns is LOW (25%)</t>
  </si>
  <si>
    <t>Study:_x000D_
Thoracic radiography: three images dated September 9, 2024_x000D_
_x000D_
Findings:_x000D_
The cardiac silhouette is normal in size and shape. The pulmonary vasculature is normal in size. The pulmonary parenchyma is unremarkable. No pulmonary nodules or masses are present. The pleural space is normal. There is no intrathoracic lymphadenopathy. The trachea is normal in diameter. The liver extends mildly to moderately beyond the costal arch with smooth margins. The reported splenic mass is not appreciated radiographically. The right 13th rib is hypoplastic. The patient is of overweight body condition.</t>
  </si>
  <si>
    <t>1. Normal thorax. There is no radiographic evidence of pulmonary metastatic disease._x000D_
2. The generalized hepatomegaly is nonspecific. Rule out metabolic/vacuolar hepatopathy, hyperplasia, hepatitis or infiltrative neoplasia. Correlate with any liver enzyme abnormalities in recent sonography.</t>
  </si>
  <si>
    <t>Splenectomy can be considered for the reported splenic mass.</t>
  </si>
  <si>
    <t>Study:_x000D_
Thoracic radiography: four images dated September 9, 2024_x000D_
_x000D_
Compared to prior study dated April 10, 2024_x000D_
_x000D_
Findings:_x000D_
The cardiac silhouette is normal in size and shape. The pulmonary vasculature is normal in size. As noted in the prior examination, there are multiple pulmonary nodules/masses scattered throughout the pulmonary parenchyma. The lesions are increased in number and size. There is persistent severe alveolar pattern in both segments of the left cranial lung lobe. The pleural space is normal. There is no intrathoracic lymphadenopathy. The trachea is normal in diameter. The periarticular bone formation at the caudodistal aspect of the humeral head and infraglenoid tubercle of the scapula is unchanged bilaterally.</t>
  </si>
  <si>
    <t>1. Progressive pulmonary nodules/masses likely indicating metastatic disease. If not already performed, abdominal sonography is recommended to evaluate for a primary neoplasm._x000D_
2. Persistent left cranial lung to alveolar pattern. This finding may also represent neoplastic infiltration. Concurrent pneumonia cannot be excluded. Antibiotic therapy with repeat radiography to monitor for response to treatment can be considered._x000D_
3. Mild bilateral shoulder osteoarthrosis.</t>
  </si>
  <si>
    <t xml:space="preserve">
1.SEVERE INTERSTITIAL TO ALVEOLAR PATTERN; PULMONARY NODULES OR MASS LESION; PLEURAL FLUID or PLEURAL THICKENING; MODERATE BRONCHIAL PATTERN; DYNAMIC AIRWAY DISEASE._x000D_
2.A severe perihilar infiltrate has been detected._x000D_
3.Mild cardiomegaly has been detected but Heart Failure is NOT suspected._x000D_
4.This evaluation has detected pulmonary nodules or a mass lesion and pleural fissure lines or effusion._x000D_
5.Are respiratory signs present? If YES._x000D_
6.Are respiratory signs present? If NO._x000D_
7.Pleural fissure lines or moderate to severe pleural effusion has been detected. An overlying skin fold or in an obeseanimal, excessive pericardial fat could artifactually mimic the result of severe pleural effusion._x000D_
8.Given this combination of above thoracic findings, a radiologist over read may be beneficial._x000D_
9.Based on these AI airway/pulmonary findings, the probability of this patient having clinically detectable respiratorysigns is VERY HIGH (&gt;75%)</t>
  </si>
  <si>
    <t>Study:_x000D_
Thoracic and abdominal radiography: nine images dated September 9, 2024_x000D_
_x000D_
Findings:_x000D_
The cardiac silhouette and pulmonary vasculature are normal in size. There is a mild generalized bronchial pulmonary pattern. The pleural space is normal. There is no intrathoracic lymphadenopathy. The trachea is normal in diameter and course. The abdominal serosal detail is normal. The stomach contains a small volume of gas. The small intestines are normal in size, course and content. The colon contains formed fecal material with a normal diameter. The liver and spleen are normal in size and margin. The kidneys are normal in size and contour. The urinary bladder is normal in size and opacity. There is no prostatomegaly. No skeletal abnormalities are present.</t>
  </si>
  <si>
    <t>1. The mild generalized bronchial pulmonary pattern may indicate allergic, inflammatory, infectious, parasitic or irritant bronchitis. Airway sampling, heartworm testing and Baermann fecal flotation can be considered for further evaluation. There is no evidence of pneumonia._x000D_
2. Unremarkable abdomen.There is no radiographic evidence of gastrointestinal foreign material or small intestinal mechanical obstruction.</t>
  </si>
  <si>
    <t>Study:_x000D_
Right and left lateral projections of the thorax (two images) dated September 9, 2024_x000D_
_x000D_
A right lateral view of the abdomen is also present in the study._x000D_
_x000D_
Findings:_x000D_
Evaluation of the thorax is limited by the lack of an orthogonal view. The cardiac silhouette and pulmonary vasculature are normal in size there is a mild to moderate generalized bronchial pulmonary pattern. The pleural space is normal. There is no intrathoracic lymphadenopathy. The trachea is normal in diameter and course. Evaluation the abdomen is limited by the lack of a VD view. The stomach contains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There is no prostatomegaly. There appears to be degenerative change in both coxofemoral joint=ZZ90= however, evaluation is limited without a VD view the pelvis.</t>
  </si>
  <si>
    <t>1. The mild to moderate generalized bronchial pulmonary pattern may indicate allergic, inflammatory, infectious, parasitic or irritant bronchitis. Airway sampling, heartworm testing and Baermann fecal flotation can be considered for further evaluation. Laryngeal paralysis should also be considered as a potential cause of the respiratory signs._x000D_
2. Postprandial stomach=ZZ90= otherwise, unremarkable incomplete abdominal study._x000D_
3. Suspect bilateral coxofemoral degenerative joint disease. Consider a VD view of the pelvis for further evaluation.</t>
  </si>
  <si>
    <t xml:space="preserve">
1.The cardiac silhouette size is normal._x000D_
2.There is no evidence of BRONCHITIS, ALVEOLAR PATTERN or DYNAMIC AIRWAY COLLAPSE or BRONCHIECTASIS._x000D_
3.A mild perihilar infiltrate has been detected.</t>
  </si>
  <si>
    <t>Four radiographs of the thorax are provided. There is mild left atrial and ventricular enlargement. Subsequent dorsal deviation of the caudal thoracic trachea and mainstem bronchi. Possible left mainstem bronchial compression. Pulmonary arteries and veins are symmetric and taper as expected. Perihilar vessels have crisp margins. There is no pleural effusion. Tracheal diameter is adequate. Small volume fluid in the caudal esophagus is transient and incidental. Normal cranial abdomen.</t>
  </si>
  <si>
    <t>Mild left-sided cardiomegaly consistent with acquired mitral valve disease. There is no pulmonary venous congestion or evidence of heart failure. There is possible mainstem bronchial compression which could be responsible for the cough. No other abnormalities are identified to explain the cough. No tracheal narrowing appreciated on this study, however dynamic collapse is not ruled out, as it may not be imaged on a static radiographic study.</t>
  </si>
  <si>
    <t>An echocardiogram is recommended to help guide treatment.</t>
  </si>
  <si>
    <t xml:space="preserve">
1.Are respiratory signs present? If NO._x000D_
2.MODERATE BRONCHOINTERSTITIAL PULMONARY PATTERN; MILD PERIHILAR INFILTRATE; MILD DYNAMIC AIRWAY DISEASE; ATELECTASIS or less likely, pneumonia._x000D_
3.Based on the AI airway/pulmonary findings, the probability of this patient having clinically detectable respiratory signs is MEDIUM to HIGH (50%-75%)_x000D_
4.Are respiratory signs present? If YES._x000D_
5.Moderate cardiomegaly has been detected but Heart Failure is NOT suspected.</t>
  </si>
  <si>
    <t>ABDOMEN (3 images):
Images are dated September 9, 2024.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and minimal fluid.   Gastric rugal folds are slightly prominent in the ventrodorsal image. The stomach is within normal limits for size.  Gas is in the pylorus and descending duodenum in the ventrodorsal image.
The small intestine contains minimal gas and soft tissue material, mild fluid or is empty with a subjectively uniform population for size. In the image from examination 2756347, The small intestine contains subjectively uniform mild fluid/soft tissue or is empty.
The colon contains mild heterogeneous soft tissue material and gas.  The colon is within normal limits for size.  
Musculoskeletal: The included musculoskeletal structures are normal.</t>
  </si>
  <si>
    <t>1. Non-specific gastrointestinal tract appearance such as from gastritis, enteritis, or less likely given reported history variation of normal.
- Differential diagnoses for enteritis/gastritis include dietary indiscretion, toxin ingestion, diet/antibiotic responsive disease, inflammatory bowel disease, parasitism/primary infectious disease, or pancreatitis or occult systemic disease.
- There is no current evidence of gastrointestinal mechanical ileus.</t>
  </si>
  <si>
    <t>Consider GI panel, fecal analysis/deworming, and routine blood work for further evaluation.  Abdominal ultrasonography for further evaluation of the gastrointestinal tract.  Empirical therapy and supportive care in the interim as needed.  Monitoring as directed or sooner if clinical signs acutely change, fail to improve or worsen.</t>
  </si>
  <si>
    <t xml:space="preserve">
1.MINIMAL BRONCHOINTERSTITIAL PULMONARY PATTERN; MINIMAL DYNAMIC AIRWAY DISEASE; MILD PERIHILAR INFILTRATE._x000D_
2.Based on these AI airway/pulmonary findings, the probability of this patient having clinically detectable respiratory signs is LOW (25%)_x000D_
3.Are respiratory signs present? If YES._x000D_
4.Mild cardiomegaly has been detected but Heart Failure is NOT suspected._x000D_
5.Are respiratory signs present? If NO._x000D_
6.There is no evidence of PULMONARY NODULES or PLEURAL EFFUSION.</t>
  </si>
  <si>
    <t>WHOLE-BODY (4 total radiographs for review)._x000D_
_x000D_
- The region of the described prior abscess (caudal dorsum/tail base) is within normal._x000D_
- Thoracic vertebral column normal._x000D_
- Narrowing of the L1-2 and L3-4 intervertebral disc spaces, with spondylosis deformans._x000D_
- Lumbosacral junction normal._x000D_
- Sacroiliac joints, pelvic bones, coxofemoral joints normal._x000D_
- Bilateral distal femoral varus angular limb deformity. Medial positioning of the left patella._x000D_
- The liver is mildly enlarged, extending caudal to the costal arch with rounded margins._x000D_
- The stomach contains moderate gas and mild gas stippled soft-tissue opaque material._x000D_
- The small intestine is mildly to moderately diffusely distended with gas and contains soft-tissue/fluid._x000D_
- The cecum is distended with gas._x000D_
- The remainder of the colon contains gas and minimal formed fecal material._x000D_
- Ill-defined mineral opacities superimposed over the kidneys bilaterally._x000D_
- The caudal thorax is normal.</t>
  </si>
  <si>
    <t>1. Although a discrete radiographic cause for the reported clinical signs is not clearly identified, there is evidence of cranial lumbar (L1-2 and L2-3) intervertebral disc disease which may hold clinical relevance in this case. Consider if indicated consultation with a neurologic specialist and/or spinal CT for further evaluation._x000D_
_x000D_
2. Bilateral distal femoral varus angular limb deformity is known to predispose to medial patellar luxation. There is medial positioning but not overt luxation of the left patella noted._x000D_
_x000D_
3. Mild hepatomegaly. Most likely vacuolar (metabolic) hepatopathy. Hepatitis, hepatic congestion or neoplasia are less likely, but possible._x000D_
_x000D_
4. Generalized gastrointestinal aerophagia +/- functional ileus (gastroenteritis)._x000D_
_x000D_
5. Suspect bilateral small nephroliths. Consider correlation to sonographic evaluation of the renal architecture.</t>
  </si>
  <si>
    <t xml:space="preserve">
1.There is no evidence of ALVEOLAR PATTERN or PERIHILAR INFILTRATE._x000D_
2.A mild bronchial pattern has been detected._x000D_
3.Mild cardiomegaly has been detected but Heart Failure is NOT suspected.</t>
  </si>
  <si>
    <t>WHOLE-BODY (6 total radiographs for review). _x000D_
_x000D_
- Mild to moderate left-sided cardiomegaly, characterized by straightening of the caudal cardiac margin and dorsal displacement of the caudal aspect of the thoracic trachea._x000D_
- Mild cranial lobar pulmonary vasculature distention._x000D_
- Pulmonary parenchyma is normal._x000D_
- The trachea, mediastinum, pleural space and remaining included intrathoracic structures are normal._x000D_
- The liver is mildly enlarged, with rounded margins._x000D_
- Peritoneal serosal detail is normal._x000D_
- The stomach contains mild gas and gas-stippled soft-tissue opaque material_x000D_
- The small intestine contains mild multifocal gas and soft-tissue opaque material_x000D_
- The colon contains gas, soft-tissue/fluid and mild formed fecal material._x000D_
- The liver, spleen, region of the kidneys and urinary bladder are normal._x000D_
- No musculoskeletal abnormalities are noted.</t>
  </si>
  <si>
    <t>1.  Mild-to-moderate left-sided cardiomegaly, without evidence of congestive heart failure. Most likely compatible with degeneration of the mitral valve. Consider consultation with a veterinary cardiologist and echocardiography/ECG for further assessment._x000D_
_x000D_
2. Mild hepatomegaly. Most likely vacuolar (metabolic) hepatopathy. Hepatitis, hepatic congestion or neoplasia are less likely, but possible._x000D_
_x000D_
3.  Recent meal.</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</si>
  <si>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3.Are respiratory signs present? If YES._x000D_
4.AI linked pneumonia in dogs article: https://platform.v2.vetology.net/doc/pneumonia-in-dogs-and-cats_x000D_
5.Are respiratory signs present? If NO._x000D_
6.A mild perihilar infiltrate has been detected._x000D_
7.Pleural fissure lines or moderate pleural effusion has been detected. An overlying skin fold or in a moderately overweight animal, excessive pericardial fat could artifactually mimic the result of moderate pleural effusion._x000D_
8.Severe cardiomegaly has been detected but Heart Failure is NOT suspected.</t>
  </si>
  <si>
    <t>Three radiographs of the thorax, and three views of the abdomen are provided. The cardiac silhouette and pulmonary vessels are normal size. There are numerous (too many to count) well-defined variably sized soft tissue opaque nodules throughout the lungs. These measure up to 2.0 cm, and all lung lobes are affected. There is a round 4.5 cm soft tissue opaque mass in the cranioventral thorax on the lateral views, not seen on the VD projection. This is most likely located in the cranial mediastinum. No rib lesions. Normal tracheal diameter. Osseous structures are unremarkable.
In the abdomen the spleen is enlarged on the VD projection but normal size on the lateral views. Normal size liver and kidneys. The gastrointestinal tract and urinary bladder are minimally filled. Normal lumbar spine.</t>
  </si>
  <si>
    <t>1. Diffuse, severe pulmonary metastatic disease. It is unknown whether this is primary pulmonary neoplasia or metastatic disease from a distant site. Probable cranial mediastinal mass, likely lymphadenopathy. A medially located pulmonary mass is not definitively ruled out.
2. Questionable mild splenomegaly, consider neoplasia, sedation, lymphoid hyperplasia. No other abdominal abnormalities.</t>
  </si>
  <si>
    <t>Prognosis is poor.</t>
  </si>
  <si>
    <t xml:space="preserve">
1.MODERATE INTERSTITIAL to ALVEOLAR INFILTRATE; MILD BRONCHIAL PATTERN._x000D_
2.Based on the AI airway/pulmonary findings, the probability of this patient having clinically detectable respiratory signs is HIGH (75%)_x000D_
3.Pleural fissure lines or small volume pleural effusion has been detected. In a mildly overweight animal, excessive pericardial fat can artifactually mimic the result of minimal pleural effusion._x000D_
4.Are respiratory signs present? If YES._x000D_
5.Are respiratory signs present? If NO._x000D_
6.The cardiac silhouette size is normal.</t>
  </si>
  <si>
    <t>THORAX (3 total radiographs for review). _x000D_
_x000D_
- Mild left-sided mediastinal shift._x000D_
- Poorly defined unstructured interstitial pattern throughout the left lung lobes._x000D_
- Narrowing of the mid and caudal thoracic trachea, extending from the thoracic inlet to the level of the carina._x000D_
- The pleural space, mediastinum and remaining included intrathoracic structures are normal._x000D_
- The stomach contains mild gas and soft-tissue opaque material._x000D_
- The remaining cranial abdominal structures are normal._x000D_
- No discrete musculoskeletal abnormalities are identified.</t>
  </si>
  <si>
    <t>1.  Unremarkable cardiovascular structures.  Despite lack of radiographic evidence of cardiomegaly, given the reported supraventricular ectopic beats identified on the ECG, it may still be reasonable to consider consultation with a veterinary cardiologist regarding echocardiography for further evaluation._x000D_
_x000D_
2.  The appearance of the trachea at the level of the thoracic inlet can be compatible with tracheal collapse, secondary to chondromalacia._x000D_
_x000D_
3.  Left-sided recumbency associated pulmonary atelectasis._x000D_
_x000D_
4.  Mild aerophagia.</t>
  </si>
  <si>
    <t xml:space="preserve">
1.MILD BRONCHOINTERSTITIAL PULMONARY PATTERN._x000D_
2.Based on these AI airway/pulmonary findings, the probability of this patient having clinically detectable respiratory signs are LOW (25%)_x000D_
3.Are respiratory signs present? If YES._x000D_
4.Are respiratory signs present? If NO._x000D_
5.The cardiac silhouette size is normal._x000D_
6.There is no evidence of PERIHILAR INFILTRATE or PULMONARY NODULES.</t>
  </si>
  <si>
    <t>WHOLE-BODY (2 total radiographs for review). _x000D_
_x000D_
- Mild to moderate diffuse bronchial pulmonary pattern._x000D_
- Soft tissue opaque band dorsally overlying the trachea in the region of the thoracic inlet._x000D_
- Questionable left-sided cardiomegaly with straightening of the caudal cardiac margin and a mild rounding in the region of the left atrium._x000D_
- The pulmonary vasculature is normal._x000D_
- The remaining included intrathoracic structures are normal._x000D_
- The liver is moderately to markedly enlarged, extending caudal to the costal arch with rounded margins._x000D_
- The stomach contains mild gas and soft-tissue opaque material._x000D_
- The small intestine contains mild multifocal gas and soft-tissue opaque material._x000D_
- The colon contains gas and minimal formed fecal material._x000D_
- Bilateral cubital osteoarthritis (limited assessment).</t>
  </si>
  <si>
    <t>1.  Mild to moderate diffuse bronchial pulmonary pattern.  Considering the reported coughing this may indicate chronic lower airway disease, such as bronchitis.  A component of this can be normal expected age-related airway changes._x000D_
_x000D_
2.  The appearance of the trachea at the level of the thoracic inlet can be compatible with tracheal collapse, secondary to chondromalacia._x000D_
_x000D_
3. Mild left-sided cardiomegaly, without pulmonary vasculature congestion or congestive heart failure. Most likely compatible with degeneration of the mitral valve. Consider careful cardiac auscultation, veterinary cardiologist consultation and echocardiography/ECG for further assessment._x000D_
_x000D_
4. Moderate to marked hepatomegaly. Most likely vacuolar (metabolic) hepatopathy. Hepatic congestion, hepatitis or neoplasia are less likely, but possible._x000D_
_x000D_
5.  Aerophagia._x000D_
_x000D_
6.  Bilateral cubital osteoarthritis.</t>
  </si>
  <si>
    <t>In this case, the patient=ZZ91=s coughing could be multifactorial and related to chronic lower airway disease and/or tracheal collapse.</t>
  </si>
  <si>
    <t xml:space="preserve">
1.Mild dynamic airway disease has been detected._x000D_
2.There is no evidence of ALVEOLAR PATTERN or PULMONARY NODULES._x000D_
3.A mild perihilar infiltrate and concurrent, mild dynamic airway disease have been detected._x000D_
4.A mild interstitial pattern has been detected._x000D_
5.Moderate cardiomegaly has been detected but Heart Failure is NOT suspected.</t>
  </si>
  <si>
    <t>3 views of the torso are submitted for review._x000D_
The abdomen appears moderately distended.  There is subjective decrease serosal detail in the mid abdomen.  The liver is mild to moderately enlarged extending well beyond the costal arch with mildly rounded serosal margins.  The unobscured margins of the spleen appear within normal limits.  The renal silhouettes are not clearly visualized but appears generally normal in size.  The urinary bladder is moderately distended.  A mild amount of gas is noted in the stomach and small bowel.  A few possibly mildly fluid dilated loops of small bowel are noted in the mid abdomen.  The colon is mostly empty, containing a minimal amount of gas._x000D_
In the thorax, the cardiac silhouette and pulmonary vasculature are within normal limits.  Mild to moderate bronchointerstitial pattern is noted throughout the lung fields.  There is concern for a small pulmonary nodule summating with the cardiac silhouette on the right lateral view.  A somewhat ill-defined generally ovoid shaped opacity is noted in the left seventh intercostal space on the VD view.  No definitive pleural effusion is noted.  The trachea is normal in diameter._x000D_
Chronic intervertebral disc disease is noted in the caudal thoracic and cranial lumbar spine.  No aggressive bony changes are seen.</t>
  </si>
  <si>
    <t>Moderately pendulous abdomen with hepatomegaly.  This could be consistent with vacuolar hepatopathy associated with endogenous or exogenous corticosteroid exposure.  The appearance of the small intestine is nonspecific but could be indicative of functional ileus or possibly infiltrative disease.  The decreased serosal detail could be consistent with mild peritoneal effusion._x000D_
Suspected nodular lung disease which is consistent with pulmonary metastatic neoplasia.  Pulmonary granulomas cannot be excluded.  The appearance of the lung fields generally is consistent with chronic inflammatory airway disease or possibly artifact associated with incomplete inspiration.</t>
  </si>
  <si>
    <t>A chemistry panel is recommended if not already performed.  Abdominal ultrasound is also recommended for further evaluation.</t>
  </si>
  <si>
    <t xml:space="preserve">
1.Severe cardiomegaly has been detected but Heart Failure is NOT suspected._x000D_
2.MILD to MODERATE BRONCHOINTERSTITIAL PULMONARY PATTERN; MODERATE DYNAMIC AIRWAY COLLAPSE and/or BRONCHIECTASIS._x000D_
3.Based on these AI airway/pulmonary findings, the probability of this patient having clinically detectable respiratory signs is MEDIUM (50%)_x000D_
4.Are respiratory signs present? If YES._x000D_
5.Are respiratory signs present? If NO._x000D_
6.There is no evidence of PULMONARY NODULES or PLEURAL EFFUSION.</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</si>
  <si>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t>
  </si>
  <si>
    <t>3 views of the thorax are provided for review.  The trachea is dorsally deviated, indicating left ventricular enlargement.  A bulge is present in the region of the left atrium.  No pulmonary infiltrates are seen.  The pulmonary vasculature is normal in size.  Thin pleural fissure lines are seen on the lateral views.  The mediastinal structures are normal.  Cranial abdominal detail is adequate.</t>
  </si>
  <si>
    <t>Left-sided cardiomegaly without current evidence of cardiogenic pulmonary edema.  Scant pleural effusion.</t>
  </si>
  <si>
    <t xml:space="preserve">
1.SEVERE INTERSTITIAL TO ALVEOLAR PATTERN; SEVERE BRONCHITIS;  PULMONARY NODULES OR MASS LESION; PLEURAL FLUID or PLEURAL THICKENING; SEVERE DYNAMIC AIRWAY DISEASE._x000D_
2.Severe cardiomegaly has been detected but Heart Failure is NOT suspected._x000D_
3.Based on these AI airway/pulmonary findings, the probability of this patient having clinically detectable respiratorysigns is VERY HIGH (&gt;75%)_x000D_
4.This evaluation has detected pulmonary nodules or a mass lesion and pleural fissure lines or effusion._x000D_
5.Are respiratory signs present? If NO._x000D_
6.Given this combination of above thoracic findings, a radiologist over read may be beneficial._x000D_
7.Are respiratory signs present? If YES.</t>
  </si>
  <si>
    <t>7 views of the neck, thorax, and abdomen are submitted for review._x000D_
The larynx and ventral cervical soft tissues are within normal limits._x000D_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The stomach contains a moderate amount of food-like material.  The small bowel and colon are within normal limits.  The liver and spleen are normal in size, shape, and margination.  The bilateral renal silhouettes are within normal limits.  The urinary bladder is unremarkable.  Serosal detail is normal._x000D_
No osseous abnormalities are seen.</t>
  </si>
  <si>
    <t>Radiographically normal neck, thorax, and abdomen.  Acute infectious or allergic inflammatory airway disease is not excluded.</t>
  </si>
  <si>
    <t>Three radiographs of the thorax and three views of the abdomen are provided. There is soft tissue opacity with air bronchograms in the ventral left lungs. The left ventricle appears prominent on the VD projection, with no definitive cardiac enlargement on the lateral views. The esophagus is persistently severely gas dilated. This causes ventral displacement of the cervical trachea. Tracheal diameter remains adequate._x000D_
_x000D_
In the abdomen the liver is mildly enlarged with smooth margins. Normal-sized spleen and kidneys. There are small nephroliths bilaterally, measuring up to 0.7 cm on the left and punctate mineral density on the right. Smoothly irregular 0.9 cm mineral opaque calculus in the urinary bladder. The gastrointestinal tract is minimally filled. Mineral density overlying the L3-4 intervertebral foramen is of doubtful significance today.</t>
  </si>
  <si>
    <t>1. Megaesophagus with aspiration pneumonia. Causes for megaesophagus include myasthenia gravis, endocrinopathy (hypothyroidism, hypoadrenocorticism), idiopathic etiology, esophagitis._x000D_
2. Suspect enlarged left ventricle suggestive of acquired mitral valve disease. This is of uncertain clinical significance today._x000D_
3. Mild hepatomegaly, a nonspecific finding that may be steroid or other hepatopathy, acute inflammation, or neoplasia. No other abdominal abnormalities._x000D_
4. Cystic calculus, of a size that is likely to large the past the urethra.</t>
  </si>
  <si>
    <t>Recommend antibiotics for aspiration pneumonia, with follow-up thoracic radiographs upon completion (same three views) to ensure resolution of pneumonia and determine if the esophageal dilation is persistent. Recommend monitoring for progressive respiratory signs, as noncardiogenic pulmonary edema can occur within 24 hours of seizure activity. If the patient has a murmur, an echocardiogram should be considered.</t>
  </si>
  <si>
    <t xml:space="preserve">
1.PULMONARY NODULES or NODULAR PATTERN; MODERATE TO SEVERE INTERSTITIAL TO ALVEOLAR PATTERN; PLEURAL EFFUSION; MILD BRONCHITIS; MILD PERIHILAR INFILTRATE._x000D_
2.Based on the AI airway/pulmonary findings, the probability of this patient having clinically detectable respiratory signs is VERY HIGH (&gt;75%)_x000D_
3.Are respiratory signs present? If YES._x000D_
4.Are respiratory signs present? If NO._x000D_
5.The evaluation has a strong suspicion of soft tissue pulmonary nodules or mass lesion being present._x000D_
6.Severe cardiomegaly has been detected but Heart Failure is NOT suspected.</t>
  </si>
  <si>
    <t>Study:_x000D_
Thoracic and abdominal radiography: seven images dated September 9, 2024_x000D_
_x000D_
Findings:_x000D_
The cardiac silhouette is normal in size and shape. The pulmonary vasculature is normal in size. There is a mild generalized bronchial pulmonary pattern. No alveolar disease present. The pleural space is normal. There is no intrathoracic lymphadenopathy. There is mild narrowing of the trachea lumen at the thoracic inlet on the left lateral view in comparison to the right lateral projection. There is no lobar bronchi narrowing. The abdominal serosal detail is normal. The stomach is empty. The small intestines are normal in size, course and content. The colon contains formed fecal material with a normal diameter. The liver and spleen are normal in size and margin. The renal silhouettes are normal in size and contour. The urinary bladder is mildly distended. In the absence of any urinary signs come of this finding is likely secondary conscious retention. There is no prostatomegaly. Mild periarticular bone formation is present at the caudodistal aspect the humeral head bilaterally. The L7 vertebra is transitional. There is mild to moderate multifocal thoracolumbar spondylosis deformans. Small mineral foci are superimposed with L1-L2, L3-L4, L4-L5 and L5-L6 intervertebral foramen.</t>
  </si>
  <si>
    <t>1.  The mild generalized bronchial pulmonary pattern may indicate allergic, inflammatory, infectious, parasitic or irritant bronchitis. Airway sampling, heartworm testing and Baermann fecal flotation can be considered for further evaluation. There is no evidence of pneumonia._x000D_
2. Suspect chondromalacia and dynamic airway disease/tracheal collapse. Fluoroscopy can be considered for further evaluation._x000D_
3. Unremarkable abdomen. A cause of vomiting is not evident. There is no radiographic evidence of gastrointestinal foreign material or small intestinal mechanical obstruction. Abdominal sonography can be considered for further evaluation if clinical signs persist or worsen in spite of medical management._x000D_
4. Mild bilateral shoulder osteoarthrosis._x000D_
5. The mineral foci superimposed with the lumbar intervertebral foramen may indicate herniated mineralized intervertebral disc material or dural ossification.</t>
  </si>
  <si>
    <t xml:space="preserve">
1.Are respiratory signs present? If NO._x000D_
2.MILD to MODERATE BRONCHOINTERSTITIAL PATTERN; MILD DYNAMIC AIRWAY DISEASE._x000D_
3.Based on these AI airway/pulmonary findings, the probability of this patient having clinically detectable respiratory signs is MEDIUM (50%)_x000D_
4.Are respiratory signs present? If YES._x000D_
5.AI linked bacterial bronchitis in dogs article: https://platform.v2.vetology.net/doc/bacterial-bronchitis-in-dogs-and-cats_x000D_
6.Mild cardiomegaly has been detected but Heart Failure is NOT suspected._x000D_
7.Pleural fissure lines or small volume pleural effusion has been detected. In a mildly to moderately overweight animal, excessive pericardial fat can artifactually mimic the result of mild pleural effusion.</t>
  </si>
  <si>
    <t>Orthogonal views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  There is spondylosis deformans of the thoracic and lumbar spine.</t>
  </si>
  <si>
    <t>Three radiographs of the thorax/abdomen are provided. The cardiac silhouette is normal size and shape. There are mild age-related changes in the lungs. No pleural effusion or soft tissue pulmonary nodules. The plane of the esophagus is unremarkable. In the abdomen serosal detail is adequate. The liver, kidneys, and spleen are normal size. Small volume gas in the stomach. Small and large bowel are minimally filled. No radiopaque foreign material. The urinary bladder is mildly filled and soft tissue opaque. The uterus is not identified. Osseous structures are unremarkable.</t>
  </si>
  <si>
    <t>If vomiting persists despite supportive care, options include either a positive contrast gastrogram or strictly fasted abdominal ultrasound (as long as there is minimal gas in the stomach at the time of imaging).</t>
  </si>
  <si>
    <t xml:space="preserve">
1.A minimal to mild bronchointerstitial pulmonary pattern has been detected._x000D_
2.The cardiac silhouette size is normal.</t>
  </si>
  <si>
    <t>9 images of the spine are provided for review.  No fractures, luxations, or aggressive osseous lesions are seen.  Osteophytes present on the femoral necks bilaterally.  No mineralized intervertebral discs or consistently narrowed intervertebral disc spaces are seen.  The thoracic and abdominal structures included are normal.</t>
  </si>
  <si>
    <t>Moderate bilateral coxofemoral DJD.  Radiographically normal spine.  This does not rule out intervertebral disc herniation or other causes of spinal cord compression.</t>
  </si>
  <si>
    <t>CT or MRI could be considered in further evaluation if clinically indicated.</t>
  </si>
  <si>
    <t>THORAX (3 images):
Images are dated September 9, 2024.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</si>
  <si>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Minimal-mild diffuse bronchial pulmonary pattern such as from infectious/immune-mediated lower airway disease (mycoplasma spp., bordetella spp., parasitism, or other), inhaled allergen/irritant, fibrosis from prior disease, or unlikely other.
2. There is no current evidence of cardiomegaly.</t>
  </si>
  <si>
    <t>Consider respiratory PCR panel, airway sampling, and fecal analysis/deworming for further evaluation.  Consider behavioral or possibly heat-stress related etiologies. Routine blood work to screen for occult disease may be beneficial.  Empirical therapy as needed, especially if additional signs (cough) manifest in the interim.  Monitoring as directed or sooner if clinical signs acutely change, fail to improve or worsen.</t>
  </si>
  <si>
    <t xml:space="preserve">
1.In the PRESENCE of respiratory signs, low grade active pneumonitis (allergic, bacterial, parasitic (including heartworm disease), inhaled allergen or toxin) or upper airway disease causing pulmonary hypoinflation and/or recurrent microaspiration may be more likely._x000D_
2.MINIMAL to MILD BRONCHOINTERSTITIAL PULMONARY PATTERN; POTENTIAL FOR FOCAL ATELECTASIS._x000D_
3.MILD BRONCHOINTERSTITIAL PULMONARY PATTERN; MINIMAL to MILD PERIHILAR PATTERN._x000D_
4.Based on the AI airway/pulmonary findings, the probability of this patient having clinically detectable respiratory signs is LOW (25%)_x000D_
5.Based on these AI airway/pulmonary findings, the probability of this patient having clinically detectable respiratory signs is LOW (25%)_x000D_
6.In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7.Are respiratory signs present? If YES._x000D_
8.Are respiratory signs present? If NO._x000D_
9.The cardiac silhouette size is normal.</t>
  </si>
  <si>
    <t>Study:_x000D_
Thoracic radiography: three images dated September 9, 2024_x000D_
_x000D_
Compared to prior study dated February 9, 2019_x000D_
_x000D_
Findings:_x000D_
The cardiac silhouette and pulmonary vasculature are normal in size. There is a mild diffuse bronchointerstitial pulmonary pattern. This finding is similar in severity to the prior examination. No alveolar disease is present. The pleural space is normal. There is no intrathoracic lymphadenopathy. The trachea is normal in diameter and course. The stomach contains unstructured heterogeneous soft tissue material presumed to be ingesta. The osseous structures are unremarkable.</t>
  </si>
  <si>
    <t>The static diffuse bronchointerstitial pulmonary pattern is a nonspecific finding. This may be a benign change given the unchanged appearance since the time of the prior examination. Allergic, inflammatory, infectious, inhaled irritant or parasitic bronchitis cannot be completely excluded. Airway sampling plus/minus heartworm testing and Baermann fecal flotation can be considered to further evaluate for lower disease. Laryngeal paralysis should also be considered as a potential cause of the reported coughing.</t>
  </si>
  <si>
    <t>Opposite lateral and ventrodorsal thoracic radiographs (3 images) dated September 9, 2024 and compared to August 9, 2024._x000D_
_x000D_
_x000D_
The cardiac silhouette, pulmonary vasculature, and great vessels are within normal limits. The previously described ventral alveolar infiltrates affecting the cranial and right middle lung lobes have resolved. There is a residual bronchial pattern present. The pleural space and diaphragm are normal. No mediastinal abnormalities are appreciated. The trachea is normal in diameter and course with gas filling its lumen. No intrathoracic lymphadenopathy is evident._x000D_
The liver is unremarkable in size and shape. The stomach contains a small volume of gas. Cranial peritoneal detail is normal._x000D_
There is smooth focal thickening affecting the left 6th rib, consistent with a historical fracture that has since healed with callous formation. No aggressive osseous lesions are identified.</t>
  </si>
  <si>
    <t>1. Resolved alveolar infiltrates/pneumonia. The residual bronchial pattern likely represents and inflammatory or hyperplastic sequela from the pneumonia injury vs. less likely chronic bronchitis unrelated to and infectious cause (ex: allergic/inflammatory, chronic inhaled irritants)._x000D_
2. Historical left 6th rib fracture that has since healed with callous formation.</t>
  </si>
  <si>
    <t>Discontinue antibiotics and monitor clinical signs._x000D_
Repeat imaging as needed. Internal medicine consultation and lower airway sampling (BAL or TTW) could be considered if complications arise.</t>
  </si>
  <si>
    <t xml:space="preserve">
1.MILD INTERSTITIAL to ALVEOLAR INFILTRATE; MILD PERIHILAR INFILTRATE._x000D_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DYNAMIC AIRWAY COLLAPSE or BRONCHIECTASIS or PLEURAL EFFUSION.</t>
  </si>
  <si>
    <t>Opposite lateral and ventrodorsal thoracic radiographs (3 images) dated September 9, 2024. The patient is moderately rotated on all views, which may affect interpretation._x000D_
_x000D_
_x000D_
The cardiac silhouette, pulmonary vasculature, and great vessels are within normal limits. There is a questionable nodular soft tissue opacity measuring 0.78 cm superimposed with the left ventral lung field on the right lateral view=ZZ90= however, no corresponding nodule is identified on the VD view. The remainder of the pulmonary parenchyma is unremarkable. There is an oblong poorly marginated mass in the cranial mediastinum that measures roughly 4.1 x 3.8 x 6.0 cm. There is minimal dorsal deviation of the ventral trachea lumen on the lateral views. No sternal or tracheobronchial lymphadenopathy is evident. The pleural space, call mediastinum, and diaphragm are normal._x000D_
The liver is mildly enlarged. The visible portions of the spleen are unremarkable. The stomach contains a large amount of ingesta. Cranial peritoneal detail is normal. No aggressive or clinically significant osseous pathology is identified.</t>
  </si>
  <si>
    <t>1. Cranial mediastinal mass. Rule out malignant neoplasia (round cell neoplasia such as lymphoma or histiocytic sarcoma, less likely other) vs. fungal granulomatous disease vs. unlikely a benign lesion (such as the cystic lymph node)._x000D_
2. Equivocal nodule in the region of the left cranial lung field on the right lateral view. This is mildly suspicious for a metastatic nodule, although at that size, it is usually visible on the orthogonal VD view (not visible in this case). Therefore, superimposition artifact remains possible._x000D_
3. Mild hepatomegaly. Rule out a benign metabolic/vacuolar hepatopathy vs. less likely inflammatory and infiltrative neoplastic conditions.</t>
  </si>
  <si>
    <t>Palpation for peripheral lymphadenopathy=ZZ90= tissue sampling if identified for cytologic or histopathologic diagnosis. Fungal titers. Abdominal imaging (Ultrasound =ZZ93= radiographs)._x000D_
Ideally internal medicine consultation for further workup.</t>
  </si>
  <si>
    <t xml:space="preserve">
1.The cardiac silhouette size is normal._x000D_
2.There is no evidence of BRONCHITIS, ALVEOLAR PATTERN or DYNAMIC AIRWAY COLLAPSE or BRONCHIECTASIS._x000D_
3.A minimal perihilar infiltrate has been detected.</t>
  </si>
  <si>
    <t>10 images of the thorax, abdomen/lumbar spine, and pelvis/pelvic limbs are presented for review.  The cardiovascular structures are normal.  There is a diffuse bronchointerstitial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small.  The remaining abdominal organs are normal.  This is deformans of the lumbosacral space.  Coverage of the femoral heads by the acetabular rims is reduced bilaterally.  Osteophytes present on the femoral necks and acetabular rims.  There is lucency with surrounding sclerosis is seen in the distal left.  Mild periosteal reaction is seen at the caudal aspect of the distal left femoral diaphysis.  There is lysis of the caudal cortex of the distal left femoral metaphysis.  The joint surfaces are smoothly margined.  No stifle effusion is seen.</t>
  </si>
  <si>
    <t>Radiographically normal abdomen.  Radiographically normal thorax for patient of this age.  Degenerative change of the lumbosacral space.  Severe bilateral coxofemoral DJD with subluxation.  Aggressive lesion of the distal left femur concerning for neoplasia.</t>
  </si>
  <si>
    <t>Biopsy would be necessary for definitive diagnosis.  Consider surgical consultation.</t>
  </si>
  <si>
    <t>Three radiographs of the abdomen and three views of the thorax are provided. The cardiac silhouette is normal size and shape. There is soft tissue opacity with air bronchograms in the ventral lungs on both sides. The right lungs are more affected than the left. No pleural effusion. Small volume gas in the caudal esophagus is transient. Normal size and position of the trachea. Mild vertebral malformations in the thoracic spine are incidental today._x000D_
_x000D_
In the abdomen there is moderate volume gas in the stomach. There is smoothly lobulated curved 3.6 cm soft tissue density overlying the stomach on the right lateral and VD views. This is in the expected location of the gastric cardia. Moderate volume gas in the stomach. Small bowel are mildly fluid-filled. Formed feces in the distal colon. Normal-sized liver. The spleen and kidneys are obscured. No radiopaque urolithiasis.</t>
  </si>
  <si>
    <t>1. Bilateral ventral severe interstitial to alveolar pattern most consistent with aspiration pneumonia._x000D_
2. Soft tissue gastric contour is most likely normal gastric cardia. Gastric wall abnormality or intraluminal foreign material are given secondary consideration. Otherwise normal abdomen.</t>
  </si>
  <si>
    <t>Supportive care and antibiotics are recommended, with repeat thoracic radiographs (same three views) upon completion to ensure resolution of pneumonia. If GI signs persist, consider strictly fasted abdominal ultrasound.</t>
  </si>
  <si>
    <t xml:space="preserve">
1.MODERATE TO SEVERE INTERSTITIAL TO ALVEOLAR PATTERN; MODERATE BRONCHITIS; MILD NODULAR PULMONARY PATTERN._x000D_
2.Are respiratory signs present? If YES._x000D_
3.Are respiratory signs present? If NO._x000D_
4.Based on these AI airway/pulmonary findings, the probability of this patient having clinically detectable respiratory signs is VERY HIGH (&gt;75%)_x000D_
5.Based on the AI airway/pulmonary findings, the probability of this patient having clinically detectable respiratorysigns is VERY HIGH (&gt;75%)_x000D_
6.A severe alveolar pattern and concurrent, diffuse bronchointerstitial pulmonary pattern have been detected._x000D_
7.The evaluation has detected soft tissue pulmonary nodules._x000D_
8.A moderate perihilar infitlrate has been detected._x000D_
9.Pleural fissure lines or moderate to severe pleural effusion has been detected. An overlying skin fold or in an obese animal, excessive pericardial fat could artifactually mimic the result of severe pleural effusion._x000D_
10.Severe cardiomegaly has been detected but Heart Failure is NOT suspected._x000D_
11.SEVERE INTERSTITIAL TO ALVEOLAR PATTERN; MODERATE BRONCHIAL PATTERN; SEVERE DYNAMIC AIRWAY DISEASE.</t>
  </si>
  <si>
    <t>Three radiographs of the thorax/abdomen, and a VD view of the pelvis are provided. The heart and pulmonary vessels are normal size and shape. There are no abnormalities in the pulmonary parenchyma. No pleural effusion. Adequate tracheal diameter. Normal thoracic spine. In the abdomen serosal detail is adequate. The urinary bladder is mildly filled and well delineated. Small volume gas is present throughout the gastrointestinal tract. There is formed feces in the distal colon. No radiopaque foreign material or urolithiasis. Vertebral alignment is normal. Possible narrowed L1-2 intervertebral disc space on two of the views. No other spinal abnormalities are appreciated. The sacroiliac and coxofemoral joints are congruent. The right patella is medially displaced.</t>
  </si>
  <si>
    <t>1. The appearance of L1-2 is suggestive of intervertebral disc protrusion/extrusion. Such a lesion is the most likely cause for discomfort._x000D_
2. Medial patellar luxation on the right, of doubtful significance today._x000D_
3. Normal abdomen and thorax.</t>
  </si>
  <si>
    <t>Recommend a neurologic examination and palpation for spinal and musculoskeletal discomfort. A CBC and blood chemistry profile are also recommended to workup the hyporexia/anorexia.</t>
  </si>
  <si>
    <t>Orthogonal views of the thorax and abdomen are provided:_x000D_
_x000D_
Thorax:_x000D_
_x000D_
Cardiac silhouette shows a mild enlargement of the left atrium dorsally displacing the carina._x000D_
Pulmonary vessels are within normal limits of size and shape._x000D_
Pulmonary parenchyma is within normal limits. _x000D_
Pleural space, mediastinum, diaphragm and thoracic wall within normal limits._x000D_
_x000D_
Abdomen:_x000D_
_x000D_
The stomach is filled with food._x000D_
Small intestines are mildly gas and fluid filled, not overtly distended. _x000D_
There is a central oval soft tissue mass with preserved serosal detail._x000D_
Liver and spleen are within normal limits of size and smoothly marginated._x000D_
Kidneys and urinary bladder WNL.</t>
  </si>
  <si>
    <t>1) Left atrial enlargement secondary to chronic mitral endocardiosis without signs of CHF._x000D_
2) Lack of visualization of tracheal collapse does not exclude this differential (especially taking into account the breed). Unremarkable lungs do not exclude a bronchitis of allergic vs inflammatory/infectious or parasitic origin. _x000D_
3) Rule out splenic mass: rule out neoplasia (HS vs round cell neoplasia felt far less likely) vs benign such as lymphoid hyperplasia or hematoma. A peritoneal or eccentric GI mass is less likely.</t>
  </si>
  <si>
    <t>Consider a cardiology consultation with ECG and echocardiogram to further evaluate the left atrial enlargement and to rule out a concomitant right atrial mass._x000D_
Consider abdominal US to further evaluate the mass and the rest of the abdomen for abdominal metastases (such as in the liver). If the mass shows characteristics of an hemangiosarcoma, then a whole body contrast CT is recommended given 25% of hemangiosarcomas lead to muscular metastases, affecting prognosis of the disease._x000D_
Consider fluoroscopy (followed by tracheobronchoscopy, BAL and culture/cytology)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Pugs especifically suffer more of laryngeal collapse than LARPAR (both representing different ways of upper airway obstruction leading to cervical tracheal collapse). If negative, consider empirical treatment for chronic bronchitis.</t>
  </si>
  <si>
    <t xml:space="preserve">
1.SEVERE INTERSTITIAL TO ALVEOLAR PATTERN; SEVERE BRONCHIAL PATTERN; MODERATE DYNAMIC AIRWAY DISEASE._x000D_
2.Based on these AI airway/pulmonary findings, the probability of this patient having clinically detectable respiratory signs is VERY HIGH (&gt;75%)_x000D_
3.Are respiratory signs present? If YES._x000D_
4.Are respiratory signs present? If NO._x000D_
5.A severe perihilar infiltrate has been detected._x000D_
6.Pleural fissure lines or moderate pleural effusion has been detected. An overlying skin fold or in a moderately overweight animal, excessive pericardial fat could artifactually mimic the result of moderate pleural effusion._x000D_
7.Severe cardiomegaly has been detected but Heart Failure is NOT suspected.</t>
  </si>
  <si>
    <t>Patient name: Prince Davis. Date of study: 9/8/24. Three radiographs of the thorax and cranial abdomen are available for interpretation. No prior radiographs are available for comparison.
Thorax:
Airway/pulmonary parenchyma: The lungs are hypoinflated on all projections. Alveolar infiltrates overlie the caudal aspect of the cardiac silhouette on both lateral projections. A thin walled cavitary region is present in the caudodorsal on the left lateral projection. On the VD projection, a diffuse interstitial to alveolar infiltrate is present, most severely affecting both caudal lung lobes centrally. 
Cardiovascular: Cardiomegaly is present which is predominately right sided on the lateral projections. On the right lateral projection, a soft tissue bulge is associated with the cranioventral cardiac silhouette. On the VD projection, the cardiac silhouette has a rounded appearance. The pulmonary vasculature to the cranial lung lobes is decreased in size and there is increased soft tissue opacity dorsal to the carina, in the region of the main pulmonary artery, on the left lateral projection. On the VD projection, the caudal pulmonary arteries are partially obscured but appear enlarged bilaterally. The CVC is mildly distended. 
Mediastinum: Cranial mediastinal widening is present, likely secondary to fat deposition, based on the VD projection. Also on the VD projection, a soft tissue opacity is noted in the region of the caudal thoracic esophagus. This opacity does not persist on the lateral projections. 
Pleural space: Normal. No pleural effusion or pneumothorax is noted. 
Cranial abdomen: The liver is at the upper limits of normal. The stomach is ingesta distended. Several loops of distended small bowel are present in the cranioventral abdomen. Cranial abdominal detail is normal. 
Msk: Congenital vertebral deformity affects the mid thorax.
(amended on 09/08/2024 17:52)
Per RDVM communication, DV radiographs were submitted and not VD radiographs.</t>
  </si>
  <si>
    <t>1) Cardiomegaly with right sided enlargement. Pulmonary hypertension is likely present. DDx: secondary to heartworm disease vs. PTE affecting the cranial lung lobes resulting in overcirculation to the caudal lung lobes. 
2) CVC distention consistent with right sided cardiac insufficiency. Lack of pleural effusion and abdominal fluid makes right heart failure unlikely at this time. 
3) Alveolar infiltrate overlying the caudal lung lobes is concerning for aspiration pneumonia. Caudodorsal infiltrate may represent overcirculation edema. 
4) Soft tissue opacity overlying the diaphragm on the VD projection. Transient hiatal hernia suspected. 
5) Pulmonary hypoinflation without aerophagia. Abdominal distention causing the majority of hypoinflation is suspected. A component of upper airway partial obstruction may also be present given the breed.
(amended on 09/08/2024 14:03)
Given the breed, aberrant coronary artery causing pulmonic stenosis would be a consideration however that would be less likely to explain the small cranial pulmonary vasculature. A heart base mass is also considered less likely in this case but is a consideration given the breed.</t>
  </si>
  <si>
    <t>Oxygen therapy as needed. Initiate antibiotic therapy given the concern for concurrent aspiration pneumonia. Cardiac ultrasound, ECG and systemic blood pressure evaluation prior to initiating heart failure therapy, if available. If not available, a Lasix trial could be performed after obtaining bloodwork, urinalysis and heartworm testing. 
Gastroprotectant therapy for potential gastroesophageal reflux disease. 
Repeat thoracic radiographs in 12-24 hours after starting heart failure therapy, sooner if clinically warranted.</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</si>
  <si>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3.Are respiratory signs present? If YES._x000D_
4.AI linked pneumonia in dogs article: https://platform.v2.vetology.net/doc/pneumonia-in-dogs-and-cats_x000D_
5.Are respiratory signs present? If NO._x000D_
6.A mild perihilar infiltrate has been detected._x000D_
7.Pleural fissure lines or moderate to severe pleural effusion has been detected. An overlying skin fold or in an obese animal, excessive pericardial fat could artifactually mimic the result of severe pleural effusion._x000D_
8.Moderate cardiomegaly has been detected but Heart Failure is NOT suspected.</t>
  </si>
  <si>
    <t>Study:_x000D_
Abdominal radiography: three images dated_x000D_
_x000D_
Findings:_x000D_
There is severe peritoneal effusion. The severity of the effusion limits evaluation of the abdominal viscera. The reported hepatic mass is not radiographically evident=ZZ90= however, there is caudal to displacement of the gastric axis. There is a 4.5 cm round soft tissue opaque structure in the fundic portion of the stomach on the VD view.. The small intestines are normal in size, course and content. The colon is empty. The spleen is normal in size and margin. The renal silhouettes are normal in size and contour. The urinary bladder is normal in size and opacity. The included thorax is unremarkable=ZZ90= however, overexposure limits evaluation of the included lung fields. The patient has multiple, breed associated, congenitally anomalous vertebrae. There is multifocal thoracolumbar and lumbosacral spondylosis deformans. On the VD view, there are two small mineral bodies craniolateral to the left femoral head likely representing a gluteal enthesophyte.</t>
  </si>
  <si>
    <t>1. While there is mild evidence of hepatomegaly, the reported hepatic mass is not appreciated radiographically. Consider computed tomography of the thorax for surgical planning. A three view thoracic met check should also be considered._x000D_
2. Severe nonspecific peritoneal effusion. Consider neoplastic effusion or hemoabdomen given the reported hepatic mass. Abdominocentesis should be considered for further evaluation._x000D_
3. The round soft tissue opacity in the stomach may represent food, foreign material or, less likely, and intraluminal mass.</t>
  </si>
  <si>
    <t xml:space="preserve">
1.SEVERE INTERSTITIAL TO ALVEOLAR PATTERN; PULMONARY NODULES OR MASS LESION; PLEURAL FLUID or PLEURAL THICKENING; MILD BRONCHIAL PATTERN; MINIMAL DYNAMIC AIRWAY DISEASE._x000D_
2.Based on these AI airway/pulmonary findings, the probability of this patient having clinically detectable respiratorysigns is VERY HIGH (&gt;75%)_x000D_
3.The evaluation has come up positive for a pulmonary nodular pattern and pleural fissure lines or pleural effusion._x000D_
4.Are respiratory signs present? If YES._x000D_
5.Are respiratory signs present? If NO._x000D_
6.The cardiac silhouette size is normal.</t>
  </si>
  <si>
    <t>Study:_x000D_
Thoracic radiography: three images dated September 8, 2024_x000D_
_x000D_
Findings:_x000D_
There is severe cardiomegaly characterized by biventricular and left atrial enlargement. The pulmonary vasculature is normal in size. There is a mild perihilar/caudal dorsal unstructured interstitial pulmonary pattern. There is mild bilateral pleural effusion. There is no intrathoracic lymphadenopathy. The trachea is normal in diameter. There is no lobar bronchi narrowing. A modern amount of arborizing mineral is present throughout the liver. There is mild multifocal thoracolumbar and lumbosacral spondylosis deformans. There is severe bilateral elbow periarticular bone formation. The patient is of overweight body condition.</t>
  </si>
  <si>
    <t>1. Severe biventricular cardiomegaly with likely biventricular decompensated congestive heart failure (cardiogenic pulmonary edema and pleural effusion). Both mitral and tricuspid valve disease are suspected. Recommend echocardiography for further evaluation. Diuretic therapy with repeat radiography to monitor for response to treatment should be considered in the interim._x000D_
2. Intrahepatic cholelithiasis and/or biliary mineralization._x000D_
3. Severe bilateral elbow osteoarthrosis.</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</si>
  <si>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3.SEVERE INTERSTITIAL TO ALVEOLAR PATTERN; MODERATE BRONCHIAL PATTERN; SEVERE DYNAMIC AIRWAY DISEASE._x000D_
4.Based on these AI airway/pulmonary findings, the probability of this patient having clinically detectable respiratory signs is VERY HIGH (&gt;75%)_x000D_
5.Are respiratory signs present? If YES._x000D_
6.Are respiratory signs present? If NO._x000D_
7.The evaluation has come up positive for a pulmonary nodular pattern.</t>
  </si>
  <si>
    <t>THORAX and ABDOMEN, a total of eight images are submitted, consisting of a 6 image study from September 07, 2024, and orthogonal thoracic radiographs from September 08, 2024._x000D_
_x000D_
There is bilateral pleural effusion in both studies, slightly improved in the more current study. There is increased soft tissue opacity in the cranial thorax in both studies with dorsal displacement of the trachea. Cardiovascular evaluation is limited with no definitive abnormality. No definitive pulmonary nodules are seen. There is a patchy pulmonary interstitial pattern. In the prior day there are gastric mineral opacities but the stomach cannot completely imaged in the more current study. The small intestines are a combination of gas-filled and fluid-filled/collapsed, and all are within normal limits in diameter. There is moderate fecal material. There is mild hepatomegaly. The urinary bladder is distended and rounded with no abnormal opacity. There is appropriate abdominal serosal detail. There is incidental spondylosis deformans.</t>
  </si>
  <si>
    <t>Bilateral pleural effusion, slightly increased in the more current study. There is a possible cranial mediastinal mass though this could all just be due to collected pleural fluid. One possibility is a thymoma or cranial mediastinal lymphadenopathy with associated pleural effusion. Pleural effusion due to other causes such as dilated cardiomyopathy, right-sided cardiac dysfunction of other etiologies, or other processes is also considered._x000D_
_x000D_
Mild and nonspecific hepatomegaly may just be a metabolic hepatopathy. The paddle megaly secondary to right-sided cardiac dysfunction is not ruled out._x000D_
_x000D_
 Urinary bladder distention is most likely secondary to voluntary retention as no stranguria is reported._x000D_
_x000D_
Gastric mineral-opaque foreign bodies.</t>
  </si>
  <si>
    <t>Further workup could include thoracocentesis for cytology along with echocardiography and cranial mediastinal ultrasound.</t>
  </si>
  <si>
    <t>David Szabo</t>
  </si>
  <si>
    <t xml:space="preserve">
1.PULMONARY NODULES or NODULAR PATTERN; SEVERE INTERSTITIAL TO ALVEOLAR PATTERN; MODERATE BRONCHITIS; MILD PERIHILAR INFILTRATE._x000D_
2.Based on the AI airway/pulmonary findings, the probability of this patient having soft tissue pulmonary nodules and clinically detectable respiratory signs is VERY HIGH (&gt;75%)_x000D_
3.The evaluation has a strong suspicion of soft tissue pulmonary nodules being present._x000D_
4.A severe alveolar pattern and mild perihilar pattern have been detected._x000D_
5.SEVERE PLEURAL EFFUSION; MODERATE TO SEVERE INTERSTITIAL to ALVEOLAR PATTERN._x000D_
6.Based on the AI airway/pulmonary findings, the probability of this patient having clinically detectable respiratory signs is VERY HIGH (&gt;75%)_x000D_
7.Severe pleural effusion has been detected._x000D_
8.Are respiratory signs present? If NO._x000D_
9.Severe cardiomegaly has been detected but Heart Failure is NOT suspected.</t>
  </si>
  <si>
    <t>Study:_x000D_
Thoracic radiography: three images dated September 8, 2024_x000D_
_x000D_
Findings:_x000D_
The cardiac silhouette is normal in size and shape. The pulmonary vasculature is normal in size. There is a mild generalized bronchointerstitial pulmonary pattern. The pleural space is normal. There is no intrathoracic lymphadenopathy. On the VD view, there is widening of the cranial mediastinum without tracheal deviation on the lateral projections, likely secondary to breed associated fat deposition. The trachea is normal in diameter. There is no lobar bronchi narrowing. There is incidental breed associated redundancy of the esophagus (containing a small volume of gas in the right lateral projection) in the cranial thorax. The included abdomen is unremarkable. The patient has multiple, breed associated, congenitally anomalous vertebrae. There is severe bilateral elbow periarticular bone formation.</t>
  </si>
  <si>
    <t>1. The diffuse bronchointerstitial pulmonary pattern is a nonspecific finding. This finding may be within normal limits for patient breed and age. Allergic, inflammatory, infectious, inhaled irritant or parasitic bronchitis are also considered given the reported coughing. Airway sampling plus/minus heartworm testing and Baermann fecal flotation can be considered to further evaluate for lower airway disease. Laryngeal paralysis and/or brachycephalic airway syndrome should also be considered as a potential cause of the reported coughing._x000D_
2. Severe bilateral elbow osteoarthrosis.</t>
  </si>
  <si>
    <t xml:space="preserve">
1.Are respiratory signs present? If NO._x000D_
2.MODERATE ALVEOLAR PATTERN; CONCURRENT MILD to MODERATE BRONCHOINTERSTITIAL PATTERN; MILD DYNAMIC AIRWAY DISEASE._x000D_
3.Based on the AI airway/pulmonary findings, the probability of this patient having clinically detectable respiratory signs is MEDIUM to HIGH (50-75%)._x000D_
4.Are respiratory signs present? If YES._x000D_
5.The cardiac silhouette size is normal._x000D_
6.Pleural fissure lines or moderate to severe pleural effusion has been detected. An overlying skin fold or in an obese animal, excessive pericardial fat could artifactually mimic the result of severe pleural effusion.</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</si>
  <si>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poor in the central abdomen. _x000D_
Liver and spleen are within normal limits of size and smoothly marginated._x000D_
Kidneys and urinary bladder WNL._x000D_
_x000D_
Visible spine is unremarkable without signs of disc herniation, aggressive bone lesions, vertebral fractures or subluxations.</t>
  </si>
  <si>
    <t>1) Unremarkable thorax without signs of pulmonary metastases nor signs of thoracic lymphadenopathy._x000D_
2) Poor central serosal detail: rule out small volume of free fluid vs adhesions vs soft tissue summation. A small mass could potentially be masked under this poor serosal detail.</t>
  </si>
  <si>
    <t>Consider abdominal US to further evaluate causes of hyporexia and poor central serosal detail.</t>
  </si>
  <si>
    <t>Thorax: There are numerous punctate mineral opacities seen throughout the pulmonary parenchyma.  The remainder of the pulmonary parenchyma is unremarkable.  The cardiac silhouette and pulmonary vasculature are unremarkable.  There is no evidence of pleural effusion or lymphadenopathy.  There are regions of thoracic vertebral spondylosis deformans.</t>
  </si>
  <si>
    <t>Numerous punctate mineral opacities within the pulmonary parenchyma.  Primary differential consideration is benign pulmonary osteomas.</t>
  </si>
  <si>
    <t xml:space="preserve">
1.A minimal bronchointerstitial pulmonary pattern has been detected._x000D_
2.The cardiac silhouette size is normal._x000D_
3.There is no evidence of PERIHILAR INFILTRATE, DYNAMIC AIRWAY COLLAPSE or BRONCHIECTASIS or PLEURAL EFFUSION.</t>
  </si>
  <si>
    <t>Study:_x000D_
Thoracic/abdominal radiography: three images dated September 7,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small volume of gas. The thickness of the gastric wall and rugae are considered within normal limits for the degree of gastric distention. The small intestines are normal in size, course and content. The colon contains formed fecal material with a normal diameter. The liver and spleen are normal in size and margin. The renal silhouettes are normal in size and contour. The urinary bladder is normal in size and opacity. There is no prostatomegaly. The osseous structures are unremarkable. The patient is of overweight body condition.</t>
  </si>
  <si>
    <t>1. Unremarkable abdomen. A cause of the waxing and waning gastrointestinal signs is not evident. There is no radiographic evidence of gastrointestinal foreign material or small intestinal mechanical obstruction. Abdominal sonography can be considered for further evaluation if clinical signs persist or worsen in spite of medical management._x000D_
2. Normal thorax. There is no radiographic evidence of cardiopulmonary disease.</t>
  </si>
  <si>
    <t xml:space="preserve">
1.In the PRESENCE of respiratory signs, low grade active pneumonitis (allergic, bacterial, parasitic (including heartworm disease), inhaled allergen or toxin) or upper airway disease causing pulmonary hypoinflation and/or recurrent microaspiration may be more likely._x000D_
2.The cardiac silhouette size is normal._x000D_
3.MINIMAL to MILD BRONCHOINTERSTITIAL PULMONARY PATTERN; POTENTIAL FOR FOCAL ATELECTASIS._x000D_
4.MILD BRONCHOINTERSTITIAL PULMONARY PATTERN; MINIMAL to MILD PERIHILAR PATTERN._x000D_
5.Based on the AI airway/pulmonary findings, the probability of this patient having clinically detectable respiratory signs is LOW (25%)_x000D_
6.Based on these AI airway/pulmonary findings, the probability of this patient having clinically detectable respiratory signs is LOW (25%)_x000D_
7.In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8.Are respiratory signs present? If YES._x000D_
9.Are respiratory signs present? If NO.</t>
  </si>
  <si>
    <t>Three radiographs of the thorax, and three views of the abdomen are provided. The cardiac silhouette is normal size and shape. There is a round fairly well-delineated 7.0 cm soft tissue opaque mass in the cranioventral right thorax, with mild dorsal deviation of the trachea. There is extensive lysis of the 2nd sternal segment, which is collapsed and has no definitive remaining margins. There are mild age-related changes throughout the lungs. Linear mineral density overlying the mid heart on the right lateral view is platelike atelectasis. There is no pleural effusion. Tracheal diameter is adequate._x000D_
_x000D_
In the abdomen there is no effusion or organomegaly. Formed feces in the colon. The stomach and small bowel are minimally filled. No radiopaque urolithiasis. Narrowed T12-13 intervertebral disc space is of doubtful clinical significance today.</t>
  </si>
  <si>
    <t>1. Cranioventral right thoracic mass with aggressive lysis of the 2nd sternal segment. This is most consistent with malignant bone neoplasia such as osteosarcoma or chondrosarcoma. Pleural or lung origin neoplasia are next on the differential list. No other thoracic abnormalities._x000D_
2. Normal abdomen.</t>
  </si>
  <si>
    <t>Ultrasound guided sampling of the thoracic mass could be considered for a definitive diagnosis.</t>
  </si>
  <si>
    <t xml:space="preserve">
1.PLEURAL EFFUSION or PLEURAL FISSURE LINES; PULMONARY NODULES or NODULAR PATTERN; MODERATE TO SEVERE INTERSTITIAL TO ALVEOLAR PATTERN; MILD BRONCHITIS._x000D_
2.Based on the AI airway/pulmonary findings, the probability of this patient having clinically detectable respiratory signs is VERY HIGH (&gt;75%)_x000D_
3.Are respiratory signs present? If YES._x000D_
4.Resource: https://vsso.org/lung-tumors-canine_x000D_
5.The evaluation has a suspicion of pleural effusion and soft tissue pulmonary nodules or a mass lesion being present._x000D_
6.Are respiratory signs present? If NO._x000D_
7.The cardiac silhouette size is normal.</t>
  </si>
  <si>
    <t>Orthogonal views of the thorax are provided:_x000D_
_x000D_
Thorax:_x000D_
_x000D_
Cardiac silhouette has a normal shape and size._x000D_
Pulmonary vessels are within normal limits of size and shape._x000D_
Pulmonary parenchyma shows an alveolar pulmonary pattern with air bronchograms ventrally located in the right middle lung lobe. _x000D_
Pleural space, mediastinum, diaphragm and thoracic wall within normal limits.</t>
  </si>
  <si>
    <t>1) Alveolar pulmonary pattern with air bronchograms ventrally located in the right middle lung lobe consistent with aspiration pneumonia.</t>
  </si>
  <si>
    <t>Consider empirical treatment for pneumonia with follow up radiographs every 48/72 hours to evaluate response to treatment. Rule out any predisposing cause for vomition, regurgitation or neurological condition such as laryngeal paralysis.</t>
  </si>
  <si>
    <t xml:space="preserve">
1.The cardiac silhouette size is normal._x000D_
2.There is no evidence of DYNAMIC AIRWAY COLLAPSE or BRONCHIECTASIS or PULMONARY NODULES._x000D_
3.A minimal interstitial pattern has been detected._x000D_
4.A minimal bronchial pattern has been detected.</t>
  </si>
  <si>
    <t>Study:_x000D_
Spinal radiography (including the thorax and abdomen): three images dated September 7, 2024_x000D_
_x000D_
Findings:_x000D_
The patient has multiple, breed associated, congenitally anomalous thoracic hemivertebrae. There is variable mild to severe multifocal thoracolumbar spondylosis deformans. There is no evidence of discospondylitis. There are no vertebral fractures or luxations. The cardiac silhouette and pulmonary vasculature are normal in size. The pulmonary parenchyma is unremarkable. The pleural space is normal. There is no intrathoracic lymphadenopathy. The trachea is normal in diameter and course. The stomach contains gas with the pylorus appropriately gas-filled on the left lateral image. The small intestines are normal in size, course and content. The colon contains formed fecal material. The liver and spleen are normal in size and margin. The kidneys are normal in size and contour. The urinary bladder is normal in size and opacity. The prostate is mildly to moderately enlarged likely secondary to benign prostatic hyperplasia given the intact status of the patient.</t>
  </si>
  <si>
    <t>Congenitally anomalous thoracic hemivertebrae, typical for patient breed. The patient could have a compressive myelopathy secondary to the congenitally anomalous thoracic vertebral confirmation or intervertebral disc disease=ZZ90= however, advanced cross-sectional imaging (CT myelography or MRI) would be needed for further evaluation.</t>
  </si>
  <si>
    <t>Neurology consultation should be considered if the patient=ZZ91=s conical signs persist or worsen in spite of strict activity restriction and pain management.</t>
  </si>
  <si>
    <t xml:space="preserve">
1.A minimal bronchointerstitial pulmonary pattern has been detected._x000D_
2.The cardiac silhouette size is normal._x000D_
3.There is no evidence of PERIHILAR INFILTRATE, DYNAMIC AIRWAY COLLAPSE or BRONCHIECTASIS or PULMONARY NODULES.</t>
  </si>
  <si>
    <t>Four radiographs of the thorax/abdomen are provided. The heart and pulmonary vessels are normal size and shape. The lungs are clear. There is no pleural effusion or esophageal dilation. In the abdomen serosal detail is adequate. The stomach contains a small amount of amorphous soft tissue opacity, small volume punctate mineral opaque debris, and gas. Small intestines are minimally filled. The cecum is gas-dilated. Formed feces in the distal colon. Normal-sized liver, spleen, left kidney. The right kidney is obscured. The prostate is visible, consistent with the reproductive status of this patient. No osseous abnormalities.</t>
  </si>
  <si>
    <t>Gastric contents appears to be normal ingesta. Foreign material is not definitively ruled out but given lesser consideration in the absence of vomiting. Otherwise normal abdomen.</t>
  </si>
  <si>
    <t>A CBC, blood chemistry profile, and fasted abdominal radiographs +/- positive contrast gastrogram to rule out gastric foreign material is recommended. Strictly fasted abdominal ultrasound is another option, as long as there is minimal gas in the stomach at the time of imaging.</t>
  </si>
  <si>
    <t>Orthogonal views of the thorax are provided (poor positioning):_x000D_
_x000D_
Thorax:_x000D_
_x000D_
Cardiac silhouette has a normal shape and size._x000D_
Pulmonary vessels are within normal limits of size and shape._x000D_
Pulmonary parenchyma shows two indistinct pulmonary opacities dorsally located in the left caudal lung lobe, one dorsal to the other, with the dorsal one looking more like an alveolar patch and the ventral one being cavitated and superimposed with the CVC: this is best seen in the LL view taken at 10:51:35_x000D_
Pleural space, mediastinum, diaphragm and thoracic wall within normal limits.</t>
  </si>
  <si>
    <t>1) Caudal lung lobe lesions suspected in the left caudal lung lobe compatible with inhaled and embolized foreign bodies in the left caudal main bronchus or tertiary bronchi vs pulmonary abscesses or granulomata (parasitic vs eosinophilic) vs a lung contusions or a pulmonary neoplasm are less likely.</t>
  </si>
  <si>
    <t>Consider a CT of the thorax with bronchoscopy and +/- BAL, cytology and culture with Baermann test.</t>
  </si>
  <si>
    <t xml:space="preserve">
1.SEVERE INTERSTITIAL TO ALVEOLAR PATTERN; PULMONARY NODULES or NODULAR PATTERN; MILD DYNAMIC AIRWAY DISEASE; MILD BRONCHITIS._x000D_
2.Aspiration, bacterial pneumonia, atelectasis or recurrent microaspiration (brachycephalic dogs or laryngeal paralysis) causing lower airway inflammation with atelectasis or pneumonia is most likely._x000D_
3.The cardiac silhouette size is normal.</t>
  </si>
  <si>
    <t>THORAX (3 total radiographs for review). _x000D_
_x000D_
- In the right middle lung lobe, there is a fairly large, rounded, soft tissue opaque mass with bulging margins.  The mass measures approximately 9.8 x 8.7 cm._x000D_
- There is a mild, diffuse bronchial pulmonary pattern present._x000D_
- The trachea, pleural space, mediastinum and remaining included intrathoracic structures are normal._x000D_
- There is mild multifocal vertebral spondylosis deformans._x000D_
- Mild bilateral glenohumeral osteoarthritis._x000D_
- The stomach contains mild gas and gas stippled soft-tissue opaque material._x000D_
- The remaining cranial abdominal structures are normal._x000D_
- Right-sided cranial thoracic ventral lipomatous mass.</t>
  </si>
  <si>
    <t>1.  Right middle lung lobe soft tissue mass.  Given the bulging margins of this lesion I have concerns for a primary pulmonary neoplasm such as carcinoma.  Metastatic neoplasia is less likely due to the size of the lesion.  Nonneoplastic etiologies such as pulmonary abscess or granuloma remain possible, but are less likely.  The lesion is likely accessible to ultrasound-guided fine-needle aspiration through the thoracic body wall.  I would recommend considering this in addition to consultation with a veterinary oncologist and potential thoracic/whole-body CT for further evaluation._x000D_
_x000D_
2. Mild diffuse bronchial pattern. Most likely representing age-related lower airway changes, however a component of chronic bronchitis is possible._x000D_
_x000D_
3.  Recent meal._x000D_
_x000D_
4.  Mild bilateral shoulder osteoarthritis._x000D_
_x000D_
5.  Mild multifocal vertebral spondylosis deformans.</t>
  </si>
  <si>
    <t>Considering also the history of possible splenic mass, complete abdominal ultrasonography may be also pursued in this case if not already performed.</t>
  </si>
  <si>
    <t xml:space="preserve">
1.MILD INTERSTITIAL TO ALVEOLAR INFILTRATE; MILD PERIHILAR INFILTRATE; MINIMAL BRONCHIAL PATTERN._x000D_
2.Based on the AI airway/pulmonary findings, the probability of this patient having clinically detectable respiratory signs is LOW to MEDIUM (25%-50%)_x000D_
3.Are respiratory signs present? If YES._x000D_
4.Are respiratory signs present? If NO_x000D_
5.The cardiac silhouette size is normal.</t>
  </si>
  <si>
    <t>Five radiographs of the thorax and abdomen are provided. Images dated 5/11/2020 are available for comparison. The cardiac silhouette is normal size for this breed. There is a mild to moderate bronchial pattern throughout the lungs as before. On the left lateral view there is a curved 4.6 cm soft tissue opacity cranial to the heart. This is not definitively seen on the right lateral or VD views, however there is superimposed thoracic limb tissue and large volume mediastinal fat deposition. No pleural effusion. Gas in the caudal esophagus is transient and incidental. Mild congenital vertebral malformations in the mid thoracic spine are incidental. In the abdomen there is large volume soft tissue opaque ingesta filling the stomach. There is a curved 4.6 cm soft tissue contour along the ventral aspect of the splenic tail on two of the lateral views. Normal-sized liver and left kidney. The right kidney is incompletely visible. No radiopaque urolithiasis. Narrowed L2-3 intervertebral disc space, of uncertain significance today.</t>
  </si>
  <si>
    <t>1. Suspect cranial mediastinal mass. Artifact caused by mediastinal fat and extrathoracic tissue could potentially cause this appearance._x000D_
2. Unchanged bronchial pattern, likely due to chronic airway inflammation such as bronchitis. This should be correlated with patient history._x000D_
3. Mass-like splenic tail contour, concerning for neoplasia such as hemangiosarcoma. Hematoma/hemangioma or lymphoid hyperplasia or next on the differential list.</t>
  </si>
  <si>
    <t>Recommend a CBC, blood chemistry profile, abdominal ultrasound, and ultrasound evaluation of the cranial mediastinum. Also recommend monitoring for worsening respiratory signs, as noncardiogenic pulmonary edema can occur within 24 hours of seizure activity.</t>
  </si>
  <si>
    <t xml:space="preserve">
1.Mild cardiomegaly has been detected but Heart Failure is NOT suspected._x000D_
2.SEVERE INTERSTITIAL TO ALVEOLAR PATTERN; PULMONARY NODULES OR MASS LESION; PLEURAL FLUID or PLEURAL THICKENING; MILD BRONCHIAL PATTERN; MINIMAL DYNAMIC AIRWAY DISEASE._x000D_
3.Based on these AI airway/pulmonary findings, the probability of this patient having clinically detectable respiratorysigns is VERY HIGH (&gt;75%)_x000D_
4.The evaluation has come up positive for a pulmonary nodular pattern and pleural fissure lines or pleural effusion._x000D_
5.Are respiratory signs present? If YES._x000D_
6.Are respiratory signs present? If NO.</t>
  </si>
  <si>
    <t>Three radiographs of the thorax, and three views of the abdomen are provided. Images dated 10/27/21 are available for comparison. The cardiac silhouette is normal size and shape. There is a small area of well delineated increased opacity overlying the cranial heart on the right lateral view, with small area of moderate interstitial infiltrates in the left 4th intercostal space on the VD projection. Faint increased opacity overlying the cranial heart on the left lateral view is likely due to superimposed skinfold. No pleural effusion. Normal tracheal diameter. The plane of the esophagus is unremarkable._x000D_
_x000D_
In the abdomen there is no peritoneal or retroperitoneal effusion. Normal-sized liver, spleen, kidneys. The gastrointestinal tract and urinary bladder are minimally filled. Normal osseous structures.</t>
  </si>
  <si>
    <t>The appearance of the left cranial lung lobe is most likely mild aspiration pneumonia, however it is unexpected that the patient has no clinical signs. Artifact caused by superimposed skinfold is given secondary consideration. Otherwise normal thorax and abdomen. There is no evidence of cardiovascular disease on this study. Small valvular regurgitant jet can result in a relatively loud murmur.</t>
  </si>
  <si>
    <t>Antibiotics should be considered if the patient is febrile, hyporexic, or has elevated white blood cell count. Otherwise, there is no contraindication for general anesthesia based on this study.</t>
  </si>
  <si>
    <t>Six radiographs of the thorax and abdomen are provided. The cardiac silhouette is normal size and shape. Triangular increased opacity cranial to the heart on the VD view and seen cranioventral to the heart on the right lateral view is normal thymus. There is no pleural fluid or gas. The diaphragm is intact. The lungs are clear. No rib fractures. Normal tracheal diameter. In the abdomen serosal detail is normal. There is no effusion. Punctate mineral density overlies the ventral liver on the left lateral view. No organomegaly. Formed feces fills the distal colon. The stomach and small bowel are minimally filled. The urinary bladder is minimally filled. No lumbar spinal or pelvic abnormalities.</t>
  </si>
  <si>
    <t>Gas focus overlying the ventral liver is likely superimposed subcutaneous gas associated with the reported bite wound. The abdomen and thorax are otherwise normal.</t>
  </si>
  <si>
    <t>Recommend wound management.</t>
  </si>
  <si>
    <t xml:space="preserve">
1.Are respiratory signs present? If NO._x000D_
2.MINIMAL TO MILD BRONCHOINTERSTITIAL PULMONRAY PATTERN; MILD PERIHILAR PATTERN._x000D_
3.Based on the AI airway/pulmonary findings, the probability of this patient having clinically detectable respiratory signs is LOW (25%)_x000D_
4.Are respiratory signs present? If YES._x000D_
5.The cardiac silhouette size is normal._x000D_
6.There is no evidence of PULMONARY NODULES.</t>
  </si>
  <si>
    <t>THORAX (4 images):
Images are dated September 7, 2024.
Pulmonary parenchyma: A mild diffuse bronchial and minimal diffuse interstitial pattern is present.
Pulmonary vasculature: The pulmonary vasculature is subjectively normal in size and tapers in the periphery of the lungs.
Cardiac silhouette: The cardiac silhouette is normal in size and shape.
Mediastinum: The cranial mediastinum is symmetrically widened without obvious increased soft tissue.
Trachea: The trachea is subjectively small.
Esophagus: The esophagus is not well-identified.
Pleural space: The pleural space is normal.
Musculoskeletal: Multifocal breed-specific thoracic vertebral anomalies are present.  The remaining included musculoskeletal structures are normal.</t>
  </si>
  <si>
    <t>1. Mild diffuse bronchial and minimal interstitial pulmonary patterns.
- Differential diagnoses include infectious/immune-mediated lower airway disease, inhaled allergen/irritant, or artifact from hypoinflation or a combination of these, or unlikely other.
2. Suspected tracheal hypoplasia due to patient breed.
3. Cranial mediastinal widening due to fat deposition and/or thymus gland enlargement given patients young age, or unlikely other.</t>
  </si>
  <si>
    <t>Consider routine blood work, respiratory PCR panel, airway sampling, and fecal analysis for further evaluation.  Sedated laryngeal examination may be contributory for further evaluation of brachycephalic airway syndrome contributing to reported signs.  Abdominal imaging to screen for occult systemic disease contributing to reported signs.
Empirical therapy and supportive care in the interim as needed. Monitoring as directed or sooner if clinical signs acutely change, fail to improve or worsen.</t>
  </si>
  <si>
    <t xml:space="preserve">
1.MODERATE ALVEOLAR PATTERN; CONCURRENT MILD BRONCHOINTERSTITIAL PATTERN; MILD DYNAMIC AIRWAY DISEASE._x000D_
2.Based on the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PULMONARY NODULES.</t>
  </si>
  <si>
    <t xml:space="preserve">THORAX (3 images):
Images are dated September 7, 2024.
Pulmonary parenchyma: A minimal to mild diffuse bronchial and minimal to mild interstitial pattern is present.  The lungs are hypoinflated due to pleural space disease.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Moderate to severe pleural fluid is present, with widening of the pleural fissures between all lungs lobes, and retraction of lung margins from the thoracic body wall and diaphragmatic recesses.  
Musculoskeletal: The included musculoskeletal structures are normal.
</t>
  </si>
  <si>
    <t>1. Moderate-severe pleural fluid due to malignant effusion from occult neoplasm, vasculitis, chylous effusion, or idiopathic, malignant effusion, or unlikely other.  
2. Minimal to mild diffuse bronchial and interstitial pulmonary patterns due to hypoinflation from pleural space disease, and/or fibrosis from prior disease, age-related changes, or unlikely other.</t>
  </si>
  <si>
    <t>Consider thoracocentesis with fluid analysis, cytology, and routine blood work for further evaluation.  Abdominal imaging for further evaluation of occult systemic disease.  Consider repeat thoracic radiographs versus computed tomography for a more sensitive evaluation of the thorax. Monitoring as directed or sooner if clinical signs acutely change, fail to improve or worsen.</t>
  </si>
  <si>
    <t xml:space="preserve">
1.Are respiratory signs present? If NO._x000D_
2.Severe cardiomegaly has been detected but Heart Failure is NOT suspected._x000D_
3.SEVERE PLEURAL EFFUSION; MODERATE TO SEVERE INTERSTITIAL to ALVEOLAR PATTERN._x000D_
4.Based on the AI airway/pulmonary findings, the probability of this patient having clinically detectable respiratory signs is VERY HIGH (&gt;75%)_x000D_
5.Severe pleural effusion has been detected.</t>
  </si>
  <si>
    <t>THORAX (2 images):
Images are dated September 6, 2024.
Pulmonary parenchyma: A minimal interstitial pattern is present diffusely.  In the ventrodorsal image, the interstitial pattern is slightly more severe in the left cranial lung lobe.  A minimal to mild diffuse bronchial pattern is present.
Pulmonary vasculature: The pulmonary vasculature is subjectively normal in size and tapers in the periphery of the lungs.
Cardiac silhouette: The cardiac silhouette is tall and occupies greater than 2/3 the height of the thorax in the lateral image.  The trachea is dorsally displaced.  The caudodorsal margin of the cardiac silhouette is flattened.  Rounded increased soft tissue is present in the region of the left atrium in the ventrodorsal image.    The cardiac silhouette is widened and  and occupies 3.5-4 intercostal spaces width.  The cardiac silhouette is widened and rounded in the ventrodorsal image.
Mediastinum: The cranial mediastinum is mildly symmetrically widened, without obvious increased soft tissue.
Trachea: The trachea is normal.
Esophagus: The esophagus is not well-identified.
Pleural space: A pleural fissure between the left cranial/caudal lung lobes is slightly widened in the periphery in the ventrodorsal image.
Musculoskeletal: The included musculoskeletal structures are normal.
Cranial abdomen:  Ovoid mineral is over the right cranial liver.</t>
  </si>
  <si>
    <t>1. Moderate generalized cardiomegaly such as from myxomatous mitral with/without tricuspid valvular disease or cor pulmonale/pulmonary hypertension, or unlikely other.
2. Minimal diffuse interstitial pulmonary pattern, slightly more severe in the left cranial lung lobe.
- This is suspicious for atypical/evolving left-sided congestive heart failure, versus artifact from hypoinflation and/or fibrosis from prior disease, age-related changes, or unlikely other.
3. Slight left-sided pleural fluid is suspected over artifact or pleural thickening/folding.
- If present, consider evolving left-sided congestive heart failure versus other.
4. Minimal-mild diffuse bronchial pattern due to infectious/immune-mediated lower airway disease (such as from mycoplasma spp., bordetella spp., parasitism such as lung worms, or less likely other), fibrosis from prior disease, age-related changes, or unlikely other.</t>
  </si>
  <si>
    <t>Consider diuretic therapy and oxygen therapy, with repeat radiographs after 4-6 hours to monitor for improvement of possible evolving interstitial pattern/left-sided pleural fluid.  Echocardiography, blood pressure, and eCG for further evaluation once stable. Routine blood work and urinalysis if not recently performed.  Empirical therapy and supportive care in the interim as needed.  Monitoring as directed or sooner if clinical signs acutely change, fail to improve or worsen.</t>
  </si>
  <si>
    <t xml:space="preserve">
1.A minimal perihilar infiltrate has been detected._x000D_
2.Severe cardiomegaly has been detected but Heart Failure is NOT suspected._x000D_
3.MODERATE BRONCHOINTERSTITIAL PULMONARY PATTERN; MODERATE DYNAMIC AIRWAY DISEASE; MODERATE ALVEOLAR INFILTRATE or ATELECTASIS._x000D_
4.Based on these AI airway/pulmonary findings, the probability of this patient having clinically detectable respiratory signs is HIGH (75%)_x000D_
5.Are respiratory signs present? If YES._x000D_
6.Are respiratory signs present? If NO.</t>
  </si>
  <si>
    <t>4 images of the thorax are provided for review.  The cardiovascular structures are normal.  There is a mild bronchial pattern in all lung lobes.  The mediastinal and pleural structures are normal.  Cranial abdominal detail is adequate.  Multiple hemivertebrae are present in the thoracic spine.</t>
  </si>
  <si>
    <t>Mild bronchial pulmonary pattern=ZZ90= consider bronchitis, response to inhaled irritants, response to circulating parasites, eosinophilic bronchopneumopathy.  Congenital hemivertebrae.</t>
  </si>
  <si>
    <t xml:space="preserve">
1.MILD to MODERATE BRONCHOINTERSTITIAL PULMONARY PATTERN; MILD DYNAMIC AIRWAY DISEASE; ATELECTASIS or less likely, pneumonia._x000D_
2.Based on these AI airway/pulmonary findings, the probability of this patient having clinically detectable respiratory signs is MEDIUM (50%)_x000D_
3.Are respiratory signs present? If YES._x000D_
4.Are respiratory signs present? If NO._x000D_
5.Mild cardiomegaly has been detected but Heart Failure is NOT suspected.</t>
  </si>
  <si>
    <t>THORAX (3 total radiographs for review). _x000D_
_x000D_
- The cardiac silhouette and pulmonary vasculature are normal._x000D_
- There is a mild diffuse bronchial pattern present, with a few thickened pleural fissures._x000D_
- Multiple tiny mineral opaque foci are visualized throughout the lungs._x000D_
- There is poorly distinct mineralization in the region of the aortic root._x000D_
- The trachea, esophagus and mediastinum are normal._x000D_
- The pleural space, diaphragm and ribs are normal._x000D_
- The remaining intrathoracic structures are normal._x000D_
- The included cranial abdominal structures are normal._x000D_
- No discrete musculoskeletal abnormalities are identified.</t>
  </si>
  <si>
    <t>1. Mild diffuse bronchial pattern with a few thickened pleural fissures and multiple mineralized pulmonary foci. Most likely representing age-related lower airway changes, however a component of chronic bronchitis is possible, especially if there is a history of abnormal respiratory sounds, wheezing and/or coughing._x000D_
_x000D_
2. Mineralization in the region of the aortic root is usually incidental in older dogs.</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</si>
  <si>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DYNAMIC AIRWAY COLLAPSE or BRONCHIECTASIS.</t>
  </si>
  <si>
    <t>Study:_x000D_
Thoracic and abdominal radiography: six images dated September 6, 2024_x000D_
_x000D_
Findings:_x000D_
The cardiac silhouette and pulmonary vasculature are normal in size. The pulmonary parenchyma is unremarkable. The pleural space is normal. There is no intrathoracic lymphadenopathy. The trachea is normal in diameter and course. The serosal detail is normal. The stomach contains a small volume of gas. The small intestines are normal in size, course and content. The colon contains gas and poorly formed fecal material with a normal diameter. The liver and spleen are normal in size and margin. The kidneys are normal in size and contour. The urinary bladder is normal in size and opacity. No skeletal abnormalities are present.</t>
  </si>
  <si>
    <t>1. Normal thorax. There is no radiographic evidence of cardiopulmonary disease._x000D_
2. Unremarkable abdomen. A cause of the reported hyporexia is not evident.</t>
  </si>
  <si>
    <t>Consider abdominal sonography, a G.I. panel and resting cortisol level for further evaluation if clinical signs persist or worsen in spite of medical management.</t>
  </si>
  <si>
    <t xml:space="preserve">
1.Are respiratory signs present? If YES._x000D_
2.Are respiratory signs present? If NO._x000D_
3.The cardiac silhouette size is normal._x000D_
4.MILD BRONCHOINTERSTITIAL PULMONARY PATTERN; MILD DYNAMIC AIRWAY DISEASE; MINIMAL PERIHILAR INFILTRATE._x000D_
5.Based on these AI airway/pulmonary findings, the probability of this patient having clinically detectable respiratory signs is MEDIUM (50%)</t>
  </si>
  <si>
    <t>THORAX (3 images):
Images are dated September 6, 2024
Prior images dated August 17, 2021 are available.
Pulmonary parenchyma: A minimal to mild diffuse bronchial pattern is present.  A minimal diffuse interstitial pattern is present.
Pulmonary vasculature: The pulmonary vasculature is subjectively normal in size and tapers in the periphery of the lungs.
Cardiac silhouette: The cardiac silhouette is slightly tall in the lateral images and has a slightly flattened caudodorsal margin.
Mediastinum: The cranial mediastinum is normal.
Trachea: The trachea has a slightly undulant dorsal margin in the lateral images.  A soft tissue band partially superimposes over the dorsal aspect of the trachea.  
Esophagus: The esophagus is not well-identified.
Pleural space: The pleural space is normal.
Musculoskeletal: The included musculoskeletal structures are normal.</t>
  </si>
  <si>
    <t>1. Mild diffuse bronchial and interstitial pulmonary patterns.
- Differential diagnoses include infectious/immune-mediated lower airway disease such as from bordetella spp., mycoplasma spp., parasitism, or inhaled allergen/irritant, and/or fibrosis from prior disease, age-related changes, or unlikely other.
2. Equivocal left-sided cardiomegaly versus artifact from phase of the cardiopulmonary cycle and patient positioning.
- If present, consider evolving myxomatous mitral valvular disease, or unlikely other.
- No current evidence of left-sided congestive heart failure.  
3. Tracheal changes such as from dorsal redundant tracheal membrane and/or chondromalacia and dynamic airway disease, versus other.
- This is similar to prior.</t>
  </si>
  <si>
    <t>Consider tracheoscopy/bronchoscopy/fluoroscopy, respiratory PCR panel, airway sampling, and fecal analysis/deworming for further evaluation.  Consider echocardiography, eCG and blood pressure, especially if a murmur is later identified.  Empirical therapy and supportive care in the interim as needed for reported coughing.  Monitoring as directed or sooner if clinical signs acutely change, fail to improve or worsen.</t>
  </si>
  <si>
    <t xml:space="preserve">
1.Moderate cardiomegaly has been detected but Heart Failure is NOT suspected._x000D_
2.MODERATE BRONCHOINTERSTITIAL PULMONARY PATTERN; ALVEOLAR INFILTRATE or ATELECTASIS; DYNAMIC AIRWAY DISEASE._x000D_
3.Based on these AI airway/pulmonary findings, the probability of this patient having clinically detectable respiratory signs is HIGH (75%)_x000D_
4.Are respiratory signs present? If YES._x000D_
5.There is no evidence of PULMONARY NODULES._x000D_
6.Are respiratory signs present? If NO.</t>
  </si>
  <si>
    <t>4 images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The trachea is mildly narrowed at the thoracic inlet.  There is mild mineralization of the laryngeal cartilages, consistent with age.  The pharyngeal structures included are normal.  Cranial abdominal detail is adequate.</t>
  </si>
  <si>
    <t>Radiographically normal thorax for patient of this age.  Mild cervical tracheal narrowing suggestive of tracheal collapse.</t>
  </si>
  <si>
    <t>Fluoroscopy or bronchoscopy could be considered.</t>
  </si>
  <si>
    <t>THORAX/ABDOMEN (3 total radiographs for review). _x000D_
_x000D_
- The patient has a thin body condition._x000D_
- Mild left-sided mediastinal shift and mild unstructured interstitial pattern throughout the left lung lobes._x000D_
- The trachea is mildly subjectively narrowed and has an undulant course._x000D_
- The cardiac silhouette, pulmonary vasculature, parenchyma, pleural space are normal._x000D_
- Small volume of gas is present in the caudal portion of the thoracic esophagus._x000D_
- There is reduced peritoneal serosal detail, likely due to lack of intra-abdominal fat available for contrast._x000D_
- Moderate gas and soft-tissue opaque material within the gastric lumen._x000D_
- Small intestine is relatively diffusely distended with gas and mild soft tissue opaque material._x000D_
-The colon contains gas and formed fecal material._x000D_
- The remaining visible abdominal structures are unremarkable._x000D_
- Mid thoracic hemivertebral segments are causing a focal kyphosis and rightward scoliosis.  Multiple additional caudal thoracic wedge and butterfly-shaped hemivertebrae._x000D_
- Mild narrowing of the T11-12 intervertebral disc disease with spondylosis deformans._x000D_
- The mammary glands are prominent.</t>
  </si>
  <si>
    <t>1.  Thin body condition, as reported clinically.  A discrete radiographic cause for this is not clearly identified.  Further investigation may be considered if clinically indicated and abdominal ultrasonography and/or whole-body CT may be of utility for more generalized screening._x000D_
_x000D_
2.  While an obvious cause for the reported stertorous breathing is not distinctly noted, the trachea has a relatively thin/hypoplastic appearance which can be a component of brachiocephalic airway syndrome.  If clinically indicated, consultation with an internal medicine specialist and/or upper airway evaluation for brachiocephalic airway syndrome (including a head/thoracic CT) could be considered._x000D_
_x000D_
3.  Otherwise normal thorax with left-sided pulmonary atelectasis and mild aerophagia._x000D_
_x000D_
4.  Relatively unremarkable abdomen with aerophagia. _x000D_
_x000D_
5.  Numerous thoracic hemivertebral segments with cranial thoracic kyphoscoliosis._x000D_
_x000D_
6.  T11-12 intervertebral disc degeneration._x000D_
_x000D_
7.  Prominent mammary glands.</t>
  </si>
  <si>
    <t xml:space="preserve">
1.A moderate to severe interstitial to alveolar pattern has been detected._x000D_
2.A severe alveolar pattern has been detected._x000D_
3.A moderate perihilar infitlrate has been detected._x000D_
4.Pleural fissure lines or moderate to severe pleural effusion has been detected. An overlying skin fold or in an obese animal, excessive pericardial fat could artifactually mimic the result of severe pleural effusion._x000D_
5.Mild cardiomegaly has been detected but Heart Failure is NOT suspected._x000D_
6.A concurrent bronchial pattern has been detected.</t>
  </si>
  <si>
    <t>Study:_x000D_
Spinal, pelvic and pelvic limb radiography: seven images dated September 6, 2024_x000D_
_x000D_
Findings:_x000D_
The patient has age appropriate open physes. The dens is intact and well defined. The atlantoaxial joint space is normal. There is no intervertebral disc space or foraminal narrowing. There are no vertebral fractures or luxations. There is no evidence of aggressive osseous disease in the spine. The coxofemoral joints are normal with good coverage of the femoral head by the acetabulum bilaterally. The patella is in the correct anatomic location bilaterally. The degree of soft tissue opacity within the stifle joint spaces is within normal limits. The tibial tuberosity apophysis is age appropriate bilaterally. The bones of the tarsus and pes are unremarkable bilaterally. The included portions of the thoracic limbs are unremarkable. The included thorax is normal. The stomach contains a large amount of recently ingested food. The abdomen is otherwise unremarkable.</t>
  </si>
  <si>
    <t>There are no evident osseous abnormalities. A cause of the pelvic limb neurologic deficits is not evident. Neurology consultation and MRI should be considered for further evaluation.</t>
  </si>
  <si>
    <t>ABDOMEN (5 images):
Images are dated September 6, 2024.
Liver: The liver is subjectively small with cranial displacement of the gastric axis.  Hepatic margins are not well-identified.
Spleen: The spleen is not well-identified.  In the lateral images, the possible ventral extremity of the spleen is subtly rounded in the right lateral image, but not well-identified.  
Kidneys: The kidneys are obscured without obvious enlargement or mineral.
Retroperitoneum: Retroperitoneal detail is adequate.
Urinary bladder/Urethra: The urinary bladder is not well-identified without obvious enlargement or mineral.
Peritoneum: Cranial abdominal detail is reduced and hepatic margins are obscured.
Gastrointestinal tract: The stomach contains a moderate gas and mild fluid.  Gastric rugal folds are mildly prominent.   The stomach is within normal limits for size.
The small intestine contains mild gas and fluid or is empty with a subjectively uniform population for size. 
The colon contains mild well-defined soft tissue material and gas.  The colon is within normal limits for size.  
Musculoskeletal: Multifocal thoracolumbar and lumbosacral spondylosis deformans is present.  Dorsal articulation osteoarthrosis is at L2-3.  the patient is thin with slightly convex soft tissues between lumbar spinous processes.  The remaining  included musculoskeletal structures are normal.</t>
  </si>
  <si>
    <t>1. Suspected microhepatia versus artifact/individual variation of normal.
- If present, consider portosystemic shunt versus chronic hepatitis/cirrhosis or unlikely other.
2.  Poor cranial abdominal serosal detail due to peritoneal fluid and/or decreased body condition.
- If peritoneal fluid is present, consider peritonitis/steatitis such as from pancreatitis, occult malignancy (splenic/hepatic), or secondary to chronic hepatic disease, versus other.
3. Possible splenomegaly versus artifact/normal variation.
- If present, consider extramedullary hematopoiesis, lymphoid hyperplasia, or evolving neoplasia (primary versus metastatic/multicentric).
4. Non-specific gastrointestinal tract appearance such as from variation of normal given reported history, or unlikely other.
- This does not completely rule-out occult malabsorbtive/maldigestive disease contributing to reported weight loss.
5. Thin body condition, consistent with reported signs.</t>
  </si>
  <si>
    <t>Consider GI panel, fecal analysis/deworming, bile acid testing, urinalysis and routine blood work for further evaluation. Consider computed tomography versus ultrasonography of the abdomen for further evaluation of the liver, kidneys, spleen and urinary bladder.  Abdominocentesis with fluid analysis/cytology if confirmed.  Thoracic imaging for further evaluation of reported new heart murmur, as well as echocardiography, eCG and blood pressure.   Empirical therapy and supportive care in the interim as needed.  Monitoring with abdominal radiographs if signs fail to improve or worsen in the face of empirical therapy.</t>
  </si>
  <si>
    <t xml:space="preserve">
1.Pleural fissure lines or small volume pleural effusion has been detected. In a mildly overweight animal, excessive pericardial fat can artifactually mimic the result of minimal pleural effusion._x000D_
2.The cardiac silhouette size is normal._x000D_
3.There is no evidence of DYNAMIC AIRWAY COLLAPSE or BRONCHIECTASIS._x000D_
4.PULMONARY NODULAR PATTERN; MINIMAL BRONCHOINTERSTITIAL PULMONARY PATTERN._x000D_
5.The evaluation has come up positive for a pulmonary nodular pattern._x000D_
6.Based on these AI airway/pulmonary findings, the probability of this patient having clinically detectable respiratory signs is MEDIUM (50%)_x000D_
7.Are respiratory signs present. If YES._x000D_
8.Are respiratory signs present. If NO.</t>
  </si>
  <si>
    <t>THORAX (3 total radiographs for review). _x000D_
_x000D_
- There is moderate diffuse esophageal gas dilation and the caudal portion contains a small volume of fluid._x000D_
- Mild, diffuse bronchial pattern with thin pleural fissures._x000D_
- The cardiac silhouette and pulmonary vasculature are normal._x000D_
- The trachea and mediastinum are normal._x000D_
- The pleural space, diaphragm and ribs are normal._x000D_
- The remaining intrathoracic structures are normal._x000D_
- The stomach is moderately distended with gas and contains mild soft tissue opaque material._x000D_
- There is a small, thin, wire-like metallic foreign body present in the cranial abdomen superimposed over the liver._x000D_
- There are ill-defined granular mineral opacities superimposed over the gallbladder._x000D_
- The remaining cranial abdominal structures are normal._x000D_
- No discrete musculoskeletal abnormalities are identified.</t>
  </si>
  <si>
    <t>1.  Overall, an obvious cause for the reported coughing/sneezing episodes is not clearly identified. _x000D_
_x000D_
2.  Mild diffuse bronchial pattern and few thickened pleural fissure lines can be expected age-related lower airway degeneration or reflect chronic lower airway disease (e.g. bronchitis)._x000D_
_x000D_
3.  Moderate diffuse esophageal gas dilation with a small volume of fluid caudally.  This may be incidental and secondary to aerophagia associated with the radiographic procedure, however a primary esophageal dysmotility (e.g. megaesophagus) is not excluded.  Repeat thoracic radiographs to reassess this finding may be considered._x000D_
_x000D_
4.  Relatively large volume of mineralized gallbladder sludge._x000D_
_x000D_
5.  Likely incidental migrating cranial abdominal peritoneal wire-like metallic foreign body.</t>
  </si>
  <si>
    <t>THORAX (2 images):
Images are dated September 6, 2024.
Prior images dated June 4, 2024 and prior are available.
The images have significant repeating lucent and opaque artifact over the entire image.
Pulmonary parenchyma:  In the ventrodorsal image an ill-defined interstitial pattern is in the left and right caudal lung lobes.  A moderate diffuse bronchial pattern is present.  A minimal diffuse interstitial pattern is present.
Pulmonary vasculature: The pulmonary vasculature is obscured in the caudal lungs partially.
Cardiac silhouette: The cardiac silhouette is moderately tall and occupies greater than 2/3 the height of the thorax, with dorsal tracheal displacement.  The caudodorsal margin of the cardiac silhouette is enlarged. The cardiac silhouette is subjectively widened and occupies at least 3/5 intercostal spaces width.   the cardiac silhouette is widened and rounded in the region of the right ventricle in the ventrodorsal image.  Well-defined rounded increased soft tissue is in the region of the left atrium in the ventrodorsal image, with lateral displacement of mainstem bronchi.  
Mediastinum: The cranial mediastinum is normal.
Trachea: The trachea is normal.
Esophagus: The esophagus is not well-identified.
Pleural space: The pleural space is normal.
Musculoskeletal: The included musculoskeletal structures are normal.</t>
  </si>
  <si>
    <t xml:space="preserve">1. Moderate left- and right-sided cardiomegaly such as from myxomatous mitral valvular disease and insufficiency with/without tricuspid valvular disease or cor pulmonale/pulmonary hypertension, or unlikely other.
2. Unchanged mild interstitial pattern in the right/left caudal lungs is suspicious for persistent left-sided congestive heart failure, or less likely other.
3. Similar minimal-mild diffuse interstitial pulmonary pattern due to evolving left-sided congestive heart failure versus fibrosis from prior disease, age-related changes, artifact/technique, or unlikely other.
4. Moderate diffuse bronchial pulmonary pattern such as from infectious/immune-mediated lower airway disease, fibrosis from prior disease, age-related changes, evolving left-sided congestive heart failure, or unlikely other.
</t>
  </si>
  <si>
    <t>Echocardiography, ECG and blood pressure for further evaluation.  Consider increased diuretic/medication dosage, oxygen therapy and repeat thoracic radiographs (including a dorsoventral image) after 4-6 hours to monitor for progression/resolution of the pulmonary pattern.  Consider routine blood work and urinalysis if not recently performed.  Empirical therapy and supportive care in the interim as needed. Monitoring as directed or sooner if clinical signs acutely change, fail to improve or worsen.</t>
  </si>
  <si>
    <t xml:space="preserve">
1.A moderate perihilar infitlrate has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4.The evaluation has a strong suspicion of pulmonary nodules or mass lesion being present._x000D_
5.SEVERE INTERSTITIAL TO ALVEOLAR PATTERN; SEVERE BRONCHIAL PATTERN; SEVERE DYNAMIC AIRWAY DISEASE._x000D_
6.Based on these AI airway/pulmonary findings, the probability of this patient having clinically detectable respiratory signs is VERY HIGH (&gt;75%)_x000D_
7.Are respiratory signs present? If YES._x000D_
8.Are respiratory signs present? If NO.</t>
  </si>
  <si>
    <t>THORAX (3 total radiographs for review).  Compared to a recent examination performed 08/16/2024._x000D_
_x000D_
- Mild, diffuse, mixed bronchial and unstructured interstitial pulmonary pattern._x000D_
- The aortic root is prominent in the patient._x000D_
- The cardiac silhouette is otherwise normal and pulmonary vasculature is normal._x000D_
- The trachea, esophagus and mediastinum are normal._x000D_
- The pleural space, diaphragm and ribs are normal._x000D_
- The remaining intrathoracic structures are normal._x000D_
- The included cranial abdominal structures are normal._x000D_
- No discrete musculoskeletal abnormalities are identified.</t>
  </si>
  <si>
    <t>1.  A discrete radiographic cause for the reported hacking episodes is not clearly identified.  There is a mild, diffuse, mixed bronchial and unstructured interstitial pulmonary pattern which can be compatible with chronic lower airway disease such as bronchitis, however the changes can also be somewhat expected normal age-related airway degeneration.  There is no evidence of aspiration pneumonia present, nor additional pulmonary consolidation to suggest active pulmonary parenchymal disease, however radiographic sensitivity can be somewhat limited._x000D_
_x000D_
2.  Otherwise normal thorax.</t>
  </si>
  <si>
    <t xml:space="preserve">
1.MODERATE INTERSTITIAL TO ALVEOLAR PATTERN; MILD BRONCHITIS._x000D_
2.Based on the AI airway/pulmonary findings, the probability of this patient having clinically detectable respiratory signs is MEDIUM to HIGH (50-75%)_x000D_
3.Are respiratory signs present? If YES._x000D_
4.Are respiratory signs present? If NO._x000D_
5.The cardiac silhouette size is normal._x000D_
6.There is no evidence of DYNAMIC AIRWAY COLLAPSE or BRONCHIECTASIS._x000D_
7.Pleural fissure lines or small volume pleural effusion has been detected. In a mildly overweight animal, excessive pericardial fat can artifactually mimic the result of minimal pleural effusion.</t>
  </si>
  <si>
    <t>THORAX (2 images) and ABDOMEN (2 images):
Images are dated September 6, 2024
Pulmonary parenchyma: Numerous, well-defined, variably sized round soft tissue nodules are present throughout the lungs.  These nodules are discrete or coalescing.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obscured without obvious enlargement or mineral.
Peritoneum: Peritoneal detail is adequate.
Gastrointestinal tract: The stomach contains a moderate gas and mild fluid.   The stomach is within normal limits for size.
The small intestine contains mild fluid or is empty with a subjectively uniform population for size. 
The colon contains mild heterogeneous admixed soft tissue material and gas.  The colon is within normal limits for size.  
Musculoskeletal: T12-13, L2-3, L3-4 and L7-S1 spondylosis deformans is present.   Presumed multipartite fabellae associated with the stifle joints is incidental.  The coxofemoral joints are normal.   The remaining included musculoskeletal structures are normal.</t>
  </si>
  <si>
    <t xml:space="preserve">1. Numerous pulmonary soft tissue nodules.
- Differential diagnoses include metastatic neoplasia from an occult primary malignancy, or unlikely round cell neoplasia, or least likely granulomatous/fungal pneumonia such as from blastomycosis spp. or other.
2. No obvious hepatomegaly/masses in this examination.
3. Non-specific gastrointestinal tract appearance such as from enteritis, colitis, or individual variation of normal.
</t>
  </si>
  <si>
    <t>Consider computed tomography of the thorax and abdominal ultrasonography for further evaluation.  Coagulation testing and tissue sampling or peripherally accessible lesions (possibly pulmonary nodules) depending on results of additional imaging, and consider Oncologist consultation.  This examination does not completely rule out occult hepatic or possibly pancreatic neoplasm contributing to reported signs and current findings.  If additional diagnostics above are inconclusive, consider fungal serology, especially if the patient has an appropriate travel/exposure history.  Empirical therapy, oxygen therapy, and supportive care in the interim as needed.  Monitoring as directed or sooner if clinical signs acutely change, fail to improve or worsen.</t>
  </si>
  <si>
    <t xml:space="preserve">
1.The evaluation has a strong suspicion of pulmonary nodules or mass lesion being present._x000D_
2.Are respiratory signs present? If NO._x000D_
3.SEVERE INTERSTITIAL TO ALVEOLAR PATTERN; SEVERE BRONCHIAL PATTERN; MODERATE DYNAMIC AIRWAY DISEASE._x000D_
4.Based on these AI airway/pulmonary findings, the probability of this patient having clinically detectable respiratory signs is VERY HIGH (&gt;75%)_x000D_
5.Are respiratory signs present? If YES._x000D_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</si>
  <si>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Study:_x000D_
Thoracic and radiography: six images dated September 6,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small volume of gas with the pylorus superbly gas-filled on the left lateral image. The small intestines are normal in size, course and content. The colon contains gas and poorly formed fecal material. The liver and spleen are normal in size and margin. The renal silhouettes are normal in size and contour. The urinary bladder is normal in size and opacity. On the left lateral projection, there is a mild amount of ill-defined mineral caudal to the urinary bladder in the region of the proximal urethra just cranial to the pelvic inlet. There is variable mild to severe multifocal thoracolumbar and lumbosacral spondylosis deformans. There is moderate L2-L3 and L3-L4 spondylosis deformans.</t>
  </si>
  <si>
    <t>1. The ill-defined mineral caudal to the urinary bladder just cranial to the pelvic inlet is of unknown location and clinical significance. Rule out urethral wall mineralization, pubic bone periosteal new bone formation or mineralization of a mass in the pelvic canal. Consider orthogonal views of the caudal abdomen/pelvis the caudal abdomen/pelvis for further evaluation. Alternatively sonography or computed tomography can be considered for further evaluation._x000D_
2. The gastrointestinal tract is unremarkable. There is no radiographic evidence of gastrointestinal foreign material or small intestinal mechanical obstruction._x000D_
3. Normal thorax._x000D_
4. Moderate L2-L3 and L3-L4 articular facet osteoarthrosis.</t>
  </si>
  <si>
    <t xml:space="preserve">
1.A mild perihilar infiltrate and minimal bronchial pattern have been detected_x000D_
2.MILD BROCHOINTERSTITIAL PULMONARY PATTERN; CONCURRENT ATELECTASIS (MILD) SUSPECTED._x000D_
3.The evaluation has come up positive for a pulmonary nodular pattern._x000D_
4.Pleural fissure lines or small volume pleural effusion has been detected. In a mildly overweight animal, excessive pericardial fat can artifactually mimic the result of minimal pleural effusion._x000D_
5.The cardiac silhouette size is normal._x000D_
6.There is no evidence of DYNAMIC AIRWAY COLLAPSE or BRONCHIECTASIS._x000D_
7.Are respiratory signs present? If NO._x000D_
8.Based on these AI airway/pulmonary findings, the probability of this patient having clinically detectable respiratory signs is LOW (25%)_x000D_
9.Are respiratory signs present? If YES.</t>
  </si>
  <si>
    <t>Eleven radiographs of the thorax and thoracic limbs are provided. The cardiac silhouette and pulmonary vessels are normal size. Numerous incidental pulmonary osteomas. No pleural effusion or soft tissue pulmonary nodules. Normal cranial mediastinal width. No abnormalities in the caudal cervical spine. Spondylosis deformans at T4-5 is likely incidental. There is mild to moderate enthesophyte formation on the caudal aspect of both shoulders, worse on the right. No scapular abnormalities are appreciated. There is mild enthesophyte formation on the radial head bilaterally, and on the left humeral epicondyles. Mild soft tissue thickening dorsal to both carpi. Carpal bone alignment is normal. Possible multipartite abaxial proximal sesamoid of the 2nd digit bilaterally, typically incidental. No other metacarpal or phalangeal osseous or soft tissue abnormalities are appreciated._x000D_
_x000D_
There are multiple changes in the thoracic limbs that could be responsible for discomfort.</t>
  </si>
  <si>
    <t>1. Bilateral mild to moderate shoulder osteoarthritis, worse on the right._x000D_
2. Bilateral mild cubital osteoarthritis, worse on the left._x000D_
3. Bilateral mild carpal soft tissue swelling suggestive of soft tissue sprain/strain._x000D_
4. Normal thorax.</t>
  </si>
  <si>
    <t xml:space="preserve">
1.A minimal interstitial pulmonary pattern with a concurrent, minimal perihilar infiltrate have been detected._x000D_
2.The cardiac silhouette size is normal._x000D_
3.There is no evidence of ALVEOLAR PATTERN, DYNAMIC AIRWAY COLLAPSE or BRONCHIECTASIS, PULMONARY NODULES or PLEURAL EFFUSION.</t>
  </si>
  <si>
    <t>3 views of the thorax are presented for review.  The cardiovascular structures are normal.  There is diffuse interstitial pulmonary pattern that is considered appropriate for the age of the patient.  The esophagus is gas dilated.  The pleural and mediastinal structures are normal.  Cranial abdominal detail is adequate.</t>
  </si>
  <si>
    <t>Esophageal dilation may represent aerophagia, esophagitis, or motility disorder.</t>
  </si>
  <si>
    <t>An esophagram could be considered to evaluate motility.</t>
  </si>
  <si>
    <t>THORAX (4 total radiographs for review).  No previous examinations are available for comparison._x000D_
_x000D_
- Moderate to marked increase in soft tissue opacity in the pleural space, which causes a retraction and rounding/scalloping of the lung lobe margins._x000D_
- Large homogenous increase in soft tissue opacity in the cranial thorax.  No obvious tracheal displacement._x000D_
- The cardiac silhouette is of limited assessment due to border effacement however no distinct cardiovascular abnormalities are noted._x000D_
- Within the retracted lung lobes, there is a moderate to severe bronchial and peribronchial unstructured interstitial pulmonary pattern._x000D_
- The liver is moderately enlarged, with rounded margins._x000D_
- The spleen is moderately to markedly enlarged, with rounded margins._x000D_
- The stomach contains gas and gas stippled soft tissue opaque material._x000D_
- The patient has a thin body condition.</t>
  </si>
  <si>
    <t>1.  Moderate to marked bilateral pleural effusion._x000D_
2.  Possible cranial mediastinal mass (e.g. lymphadenopathy, thymic mass) or widening from effusion._x000D_
3.  Marked hepatomegaly and suspect splenomegaly (limited assessment)._x000D_
_x000D_
The combination of the above findings raises concern for multicentric disease such as round cell neoplasia (e.g. lymphoma), with chylothorax or fungal granulomatous disease possible but less likely.  I would recommend considering diagnostic thoracocentesis in this patient for cytologic assessment and potentially repeating the thoracic radiographs after pleural fluid removal to reevaluate the cranial mediastinal region and cardiovascular structures.  In addition, complete abdominal ultrasound with ultrasound-guided fine-needle aspiration of the hepatic parenchyma +/- spleen might be reasonable.  Consultation with a veterinary oncologist might be considered pending cytologic results.  The patient could also benefit from a whole-body CT for more generalized global staging/screening_x000D_
_x000D_
4.  There is the impression of chronic lower airway disease/bronchitis, and likely and associated pleuritis.  Reevaluation of the pulmonary parenchyma after improved inflation may be valuable._x000D_
_x000D_
5.  Thin body condition._x000D_
_x000D_
6.  Aerophagia.</t>
  </si>
  <si>
    <t xml:space="preserve">
1.Severe cardiomegaly has been detected but Heart Failure is NOT suspected._x000D_
2.Pleural fissure lines or moderate to severe pleural effusion has been detected. An overlying skin fold or in an obeseanimal, excessive pericardial fat could artifactually mimic the result of severe pleural effusion._x000D_
3.Are respiratory signs present? If YES._x000D_
4.Given this combination of above thoracic findings, a radiologist over read may be beneficial._x000D_
5.SEVERE INTERSTITIAL TO ALVEOLAR PATTERN; PULMONARY NODULES OR MASS LESION; PLEURAL FLUID or PLEURAL THICKENING; MODERATE BRONCHIAL PATTERN; DYNAMIC AIRWAY DISEASE._x000D_
6.Based on these AI airway/pulmonary findings, the probability of this patient having clinically detectable respiratorysigns is VERY HIGH (&gt;75%)_x000D_
7.This evaluation has detected pulmonary nodules or a mass lesion and pleural fissure lines or effusion._x000D_
8.A moderate perihilar infitlrate has been detected._x000D_
9.Are respiratory signs present? If NO.</t>
  </si>
  <si>
    <t>Three images are provided.
Images are dated September 6, 2024.
N.B. this patients name is listed as "Patient Urgent".  
Cranial thorax is excluded.
Pulmonary parenchyma: A minimal to mild diffuse bronchial pattern is present.
Pulmonary vasculature: The pulmonary vasculature is subjectively normal in size and tapers in the periphery of the lungs.
Cardiac silhouette: The cardiac silhouette is slightly tall and occupies 2/3 the height of the thorax in the lateral image.  The trachea is dorsally displaced.  
Mediastinum: A suspected leftward mediastinal shift is in the ventrodorsal image.
Trachea: The trachea is normal.
Esophagus: The esophagus is not well-identified.
Pleural space: The pleural space is normal.
Liver: The liver is subjectively normal in size.
Spleen: Arising from the ventral extremity of the spleen in the cranial/ventral abdomen is a large, lobular soft tissue mass with well-defined margins.  The tip of the ventral extremity of the spleen is displaced into the caudoventral abdomen.  This mass is in the left cranial to mid-abdomen in the ventrodorsal image, with caudal and rightward displacement of intestine.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The stomach is within normal limits for size.
The small intestine contains mild gas with a subjectively uniform population for size.   The intestine is displaced caudal and right ward by the splenic mass.  
The colon contains mild admixed soft tissue material and gas.  The colon is within normal limits for size.  
Musculoskeletal: The included musculoskeletal structures are normal.</t>
  </si>
  <si>
    <t>1. Large left cranial abdominal soft tissue mass arising from the spleen.
- Differential diagnoses include neoplasia such as hemangiosarcoma or unlikely hematoma/hemangioma, or least likely other.
2. Mild diffuse bronchial pulmonary pattern due to fibrosis from prior disease, age-related changes or unlikely infectious/immune-mediated lower airway disease, or other.
3. Mild left-sided cardiomegaly such as from mitral valvular disease and insufficiency.
- There is no current evidence of left-sided congestive heart failure.
4. Suspected mediastinal shift due to recumbency induced atelectasis or unlikely other.</t>
  </si>
  <si>
    <t>Consider abdominal ultrasonography for further evaluation of the splenic mass.  Consider focused thoracic radiographs, echocardiography, eCG and blood pressure for further evaluation.  Consider tissue sampling of splenic mass versus excisional biopsy and histopathology, with oncologist consultation depending on results.  Empirical therapy and supportive care in the interim as needed.  Monitoring as directed, or sooner if clinical signs acutely change, fail to improve or worsen.</t>
  </si>
  <si>
    <t xml:space="preserve">
1.A minimal to mild bronchointerstitial pulmonary pattern has been detected._x000D_
2.There is no evidence of PERIHILAR INFILTRATE, DYNAMIC AIRWAY COLLAPSE or BRONCHIECTASIS or PULMONARY NODULES._x000D_
3.Mild cardiomegaly has been detected but Heart Failure is NOT suspected.</t>
  </si>
  <si>
    <t>THORAX (3 total radiographs for review). _x000D_
_x000D_
- Very large, left-sided hemithoracic soft tissue opaque mass, causing rightward displacement of the majority of visible pulmonary segments._x000D_
- Homogenous, wedge-shaped alveolar pattern with air bronchograms in the region of the right middle lung lobe._x000D_
- The cardiac silhouette is of limited assessment due to border effacement._x000D_
- The pulmonary vasculature is within normal limits._x000D_
- There is a mild, diffuse bronchial pulmonary pattern present._x000D_
- The liver is mildly enlarged, extending caudal to the costal arch with rounded margins._x000D_
- The stomach contains mild gas and gas stippled soft-tissue opaque material._x000D_
- There is a small, well-defined, rounded mineral opacity in the region of the gallbladder._x000D_
- The remaining cranial abdominal structures are normal._x000D_
- Thin/hypoplastic ribs originating from T13._x000D_
- No additional discrete musculoskeletal abnormalities are identified.</t>
  </si>
  <si>
    <t>1.  This is a challenging case, and there may be multiple concurrent etiologies present._x000D_
_x000D_
2.  Large left-sided hemithoracic soft tissue opaque mass.  I would have primary concern for neoplasia, especially given the patient age, such as pulmonary carcinoma.  Nonneoplastic etiologies such as severe pneumonia (fungal, bacterial) might be possible but are less likely. I would recommend considering thoracic ultrasonography to further clarify the radiographic suspicion and potentially performing ultrasound-guided fine-needle aspiration to achieve a diagnosis.  The patient could benefit from a thoracic CT for more generalized global assessment/screening._x000D_
_x000D_
3.  Wedge-shaped alveolar pattern in the region of the right middle lung lobe.  While this could be the same etiology is #2, I would also have suspicion that this could represent consolidated lung parenchyma from pneumonia (e.g. either aspiration or less likely primary infectious).  Similar to #2 sonographic assessment and fine needle aspiration might help discriminate, or empirically treating the patient for pneumonia and assessing clinical response and potentially rechecking the thoracic radiographs may be helpful._x000D_
_x000D_
4. Mild diffuse bronchial pattern. Most likely representing age-related lower airway changes, however a component of chronic bronchitis is possible._x000D_
_x000D_
5.  Limited assessment of the cardiac silhouette.  Congestive heart failure is considered unlikely in this case._x000D_
_x000D_
6.  Small cholecystolith (7 x 7 mm)._x000D_
_x000D_
7. Mild hepatomegaly. Most likely vacuolar (metabolic) hepatopathy. Hepatitis, hepatic congestion or neoplasia are less likely, but possible._x000D_
_x000D_
8.  Aerophagia._x000D_
_x000D_
9.  Transitional thoracolumbar vertebral segment.</t>
  </si>
  <si>
    <t>Three radiographs of the thorax are provided. Images dated 5/18/21 are available for comparison. There is mild left atrial enlargement. The left ventricle is more prominent than before. Pulmonary vessels are normal size. There are no abnormalities in the pulmonary parenchyma. Moderate narrowed cervical trachea on the left lateral view. Incidental laryngeal mineralization. In the cranial abdomen the liver extends caudoventral to the stomach, similar to the previous study. This is of doubtful clinical significance today.</t>
  </si>
  <si>
    <t>1. Dynamic cervical tracheal collapse, the only abnormality identified that could explain the cough._x000D_
2. Mild left-sided cardiomegaly, increased in size since the previous study and consistent with progressive mitral valve disease. There is no pulmonary venous congestion or pulmonary edema. This is not responsible for the cough.</t>
  </si>
  <si>
    <t>Recommend weight management as needed and utilization of a body harness in place of a neck lead. Also consider an echocardiogram to help guide treatment.</t>
  </si>
  <si>
    <t xml:space="preserve">
1.Mild cardiomegaly has been detected but Heart Failure is NOT suspected._x000D_
2.No airway or pulmonary abnormalities have been detected. The lung parenchyma appears normal with no interstitial, alveolar, or bronchial pattern identified. No pulmonary nodules or pleural effusion detected.</t>
  </si>
  <si>
    <t>WHOLE-BODY (5 total radiographs for review). _x000D_
_x000D_
- There is moderate left-sided cardiomegaly present, characterized by straightening of the caudal cardiac margin and a rounded increase in soft tissue opacity along the caudal dorsal cardiac contour.  There is an overt bulge along the left cranial cardiac contour in the position of the left auricle._x000D_
- The pulmonary vasculature is normal._x000D_
- There is a mild diffuse bronchial pattern and multiple small mineralized foci throughout the pulmonary parenchyma._x000D_
- The pleural space and remaining included intrathoracic structures are normal._x000D_
- Peritoneal serosal detail is normal._x000D_
- The stomach contains mild gas and gas-stippled soft-tissue opaque material_x000D_
- The small intestine contains mild multifocal gas and soft-tissue opaque material_x000D_
- The colon contains gas, soft-tissue/fluid and mild formed fecal material._x000D_
- The liver, spleen, region of the kidneys and urinary bladder are normal._x000D_
- There is caudal cervical, cervicothoracic and cranial thoracic spondylosis deformans with bridging._x000D_
- Mild bilateral osteophyte formation along the caudal margins of the shoulder joints.</t>
  </si>
  <si>
    <t>1. Moderate left-sided cardiomegaly, with overt left atrial and left auricular enlargement and without pulmonary vasculature congestion or congestive heart failure. Most likely compatible with degeneration of the mitral valve. Consider consultation with a veterinary cardiologist and echocardiography/ECG for further assessment._x000D_
_x000D_
2. Mild diffuse bronchial pattern with a few small mineralized pulmonary foci.  Although these can be somewhat expected normal age-related airway degeneration, the changes could also be secondary to chronic lower airway disease (e.g. bronchitis)._x000D_
_x000D_
3.  Unremarkable postprandial abdomen._x000D_
_x000D_
4.  Bilateral mild shoulder joint osteoarthritis._x000D_
_x000D_
5.  Multifocal caudal cervical, cervicothoracic and cranial thoracic spondylosis deformans with bridging.</t>
  </si>
  <si>
    <t>In this case, the patient=ZZ91=s coughing may be multifactorial and related to chronic lower airway disease and potentially compression of the lower airways by left heart enlargement._x000D_
_x000D_
I would recommend considering initiating treatment for chronic lower airway disease in this patient and seeking cardiologist consultation for further evaluation.</t>
  </si>
  <si>
    <t xml:space="preserve">
1.Are respiratory signs present? If YES._x000D_
2.SEVERE INTERSTITIAL TO ALVEOLAR INFILTRATE; CONCURRENT MODERATE BRONCHIAL PATTERN and MILD DYNAMIC AIRWAY DISEASE._x000D_
3.Based on these AI airway/pulmonary findings, the probability of this patient having clinically detectable respiratory signs is HIGH (75%)_x000D_
4.Pleural fissure lines or moderate to severe pleural effusion has been detected. An overlying skin fold or in an obese animal, excessive pericardial fat could artifactually mimic the result of severe pleural effusion._x000D_
5.Severe cardiomegaly has been detected but Heart Failure is NOT suspected._x000D_
6.Are respiratory signs present? If NO.</t>
  </si>
  <si>
    <t xml:space="preserve">THORAX (4 images) and ABDOMEN (3 images):
Images are dated September 6, 2024.
Prior images dated August 27, 2024 are available.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and fluid.   The stomach is within normal limits for size.
In the left lateral image only, a segment of intestine in the mid and caudodorsal abdomen is enlarged with ill-defined soft tissue material and minimal gas.  Orad, this segment appears to contain gas and is suspected to be the descending limb of the duodenum.  The remainder of the small intestine contains moderate gas and fluid.  
The distal descending colon contains minimal gas and soft tissue material in the ventrodorsal image. 
Musculoskeletal: Breed-specific caudal vertebral anomalies (screw tail). The T13 vertebra is transitional with a hypoplastic right rib. </t>
  </si>
  <si>
    <t xml:space="preserve">1. Suspicious for foreign material in the descending limb of the duodenum, or less likely superimposed material in the ascending limb of the colon given the position of this segment. 
2. Minimal diffuse bronchial pulmonary pattern such as from fibrosis from prior disease, age-related changes, infectious/immune-mediated lower airway disease or unlikely other.
</t>
  </si>
  <si>
    <t>Consider compression radiographs over the mid-abdomen and/or pneumocolonogram to confirm position of the colon, and confirm suspected proximal duodenal foreign material.  Abdominal ultrasonography may also be contributory.  Consider celiotomy and decompression if mechanical ileus of the descending duodenum/small intestine is confirmed.  If ruled out, consider GI panel, fecal analysis/deworming, and routine blood work for further evaluation.  Empirical therapy and supportive care in the interim as needed.  Monitoring as directed or sooner if clinical signs acutely change, fail to improve or worsen.</t>
  </si>
  <si>
    <t>A ventral dorsal and right lateral radiograph of the thorax are provided. Images dated 12/14/22 are available for comparison. The cardiac silhouette and pulmonary vessels are normal size and shape. There is soft tissue opacity with lobar sign and air bronchograms in the left cranial lung lobe. Also suspected alveolar pattern in the right cranial lung lobe on the VD view. No pleural effusion. Possible redundant dorsal trachealis membrane in the cervical region. In the cranial abdomen the liver is enlarged. Broad-based fat opaque lipomatous mass measuring at least 15.0 x 4.3 cm in the right extrathoracic tissues, of doubtful significance today.</t>
  </si>
  <si>
    <t>1. Cranioventral alveolar pattern in the left lungs, possibly also present in the right lungs most consistent with aspiration pneumonia._x000D_
2. Possible cervical trachea collapse, could be contributing to the cough._x000D_
3. Mild hepatomegaly, a nonspecific finding that was present previously. Steroid or other hepatopathy is most likely. This should be correlated with history and blood work.</t>
  </si>
  <si>
    <t>Recommend antibiotics, with repeat thoracic radiographs (VD and both lateral views) upon completion to ensure resolution of pneumonia.</t>
  </si>
  <si>
    <t xml:space="preserve">
1.Are respiratory signs present? If YES._x000D_
2.MILD to MODERATE INTERSTITIAL to ALVEOLAR PATTERN; MILD DYNAMIC AIRWAY DISEASE; MINIMAL BRONCHIAL PATTERN._x000D_
3.Based on the AI airway/pulmonary findings, the probability of this patient having clinically detectable respiratory signs is MEDIUM (50%)._x000D_
4.AI linked canine pneumonia article https://platform.v2.vetology.net/doc/pneumonia-in-dogs-and-cats_x000D_
5.The cardiac silhouette size is normal._x000D_
6.Are respiratory signs present? If NO.</t>
  </si>
  <si>
    <t>Orthogonal views of the thorax and abdomen are provided:_x000D_
_x000D_
Thorax:_x000D_
_x000D_
Cardiac silhouette shows a moderate enlargement of the left atrium dorsally displacing the carina._x000D_
Pulmonary vessels are within normal limits of size and shape._x000D_
Pulmonary parenchyma is within normal limits. _x000D_
Pleural space, mediastinum, diaphragm and thoracic wall within normal limits._x000D_
_x000D_
Abdomen:_x000D_
_x000D_
No abnormalities seen in the trachea._x000D_
The stomach is empty._x000D_
Small intestines are mildly gas and fluid filled, not overtly distended. _x000D_
Serosal detail is preserved._x000D_
Liver and spleen are within normal limits of size and smoothly marginated._x000D_
Kidneys and urinary bladder WNL.</t>
  </si>
  <si>
    <t>1) Left atrial enlargement secondary to chronic mitral endocardiosis without signs of CHF. Rule out concomitant tricuspid endocardiosis with post-capillary pulmonary hypertension._x000D_
2) Unremarkable lungs do not exclude a bronchitis of allergic vs inflammatory/infectious or parasitic origin._x000D_
3) Unremarkable abdomen.</t>
  </si>
  <si>
    <t>Consider a cardiology consultation with ECG and echocardiogram followed by empirical treatment for chronic bronchitis evaluating response to treatment._x000D_
Consider abdominal US and full neuro exam to further evaluate causes of lethargy.</t>
  </si>
  <si>
    <t xml:space="preserve">
1.Are respiratory signs present? If YES._x000D_
2.Are respiratory signs present? If NO._x000D_
3.A moderate bronchointerstitial pattern with alveolar infiltrates has been detected._x000D_
4.A moderate interstitial to alveolar infiltrate, mild bronchial pattern and concurrent mild perihilar infiltrate have been detected._x000D_
5.Probability these AI pulmonary findings will accompany clinically detectable respiratory signs: MEDIUM (50%)_x000D_
6.Moderate cardiomegaly has been detected but Heart Failure is NOT suspected._x000D_
7.There is no evidence of PULMONARY NODULES.</t>
  </si>
  <si>
    <t>ABDOMEN (3 images):
Images are dated September 6, 2024.
Prior images dated September 4, 2024 are available.
Liver: The liver is subjectively normal in size.
Spleen: The spleen is normal in size with smooth margins and homogeneous soft tissue.
Kidneys: The left kidney is normal.  The right kidney is  partially obscured without obvious enlargement or mineral.
Retroperitoneum: Retroperitoneal detail is adequate.
Urinary bladder/Urethra: The urinary bladder is partially obscured without obvious enlargement or mineral.
Peritoneum: Peritoneal detail is adequate.
Gastrointestinal tract: The stomach contains a moderate gas, soft tissue and fluid.  The stomach is within normal limits for size. Gas is in the pylorus in the left lateral image.
The small intestine contains minimal gas and moderate fluid with a subjectively uniform population for size. 
The colon contains minimal soft tissue material and gas.  The colon is within normal limits for size.  
Musculoskeletal: The included musculoskeletal structures are normal.</t>
  </si>
  <si>
    <t>1. Non-specific gastrointestinal tract appearance such as from enteritis, colitis, or unlikely individual variation of normal given reported history.
- Differential diagnoses for enteritis/colitis include dietary indiscretion, toxin ingestion, diet/antibiotic responsive disease, inflammatory bowel disease, parasitism/primary infectious disease, or pancreatitis or occult systemic disease.
- There is no evidence of mechanical ileus.</t>
  </si>
  <si>
    <t>Consider GI panel, fecal analysis/deworming and routine blood work for further evaluation.  Empirical therapy and supportive care in the interim as needed.  Consider abdominal ultrasonography for further evaluation of the gastrointestinal tract if clinical signs fail to improve or worsen in the face of empirical therapy.  Monitoring as directed or sooner if clinical signs acutely change, fail to improve or worsen.</t>
  </si>
  <si>
    <t>Three radiographs of the thorax are provided and compared to images dated August 5, 2024. The cardiac silhouette and pulmonary vessels are normal size and shape. There are no abnormalities in the pulmonary parenchyma. Increased opacity overlying the mid left thorax on the VD projection is superimposed skinfold. No pleural effusion. The trachea is normal diameter and position.</t>
  </si>
  <si>
    <t>Normal thorax. There is no evidence of residual pneumonia.</t>
  </si>
  <si>
    <t xml:space="preserve">
1.The cardiac silhouette size is normal._x000D_
2.There is no evidence of BRONCHITIS, DYNAMIC AIRWAY COLLAPSE or BRONCHIECTASIS, PULMONARY NODULES or PLEURAL EFFUSION._x000D_
3.A minimal perihilar infiltrate has been detected.</t>
  </si>
  <si>
    <t>Six images are provided.
Images are dated September 6, 2024.
Bones/Joints:
A dens is present.  There is no evidence of atlantoaxial joint subluxation.  Possible intervertebral disc space narrowing of T11-12 and T12-13 in the ventrodorsal image is not identified in the lateral image.  In situ intervertebral disc mineral  is suspected at T13-L1.   There is no evidence of mineral over the intervertebral foramina.  There is no evidence of intervertebral dorsal articulation osteoarthrosis.
There is no evidence of medullary sclerosis, osteolysis, endosteal scalloping, or periosteal proliferation.
Soft tissues:  The included paraspinal soft tissues are normal.</t>
  </si>
  <si>
    <t xml:space="preserve">1. Suspected T13-L1 in situ intervertebral disc mineral 
2. Possible T11-12 and/or T12-13 intervertebral disc space narrowing versus artifact in positioning.
</t>
  </si>
  <si>
    <t>Etiology of reported paraparesis and suspected UMN signs to the pelvic limbs is not definitively identified.  Consider thoracic radiographs, routine blood work and urinalysis to screen for occult systemic disease.  MRI and neurologist consultation for further evaluation of acutely T3-L3 myelopathy given reported clinical signs.    Empirical therapy and supportive care in the interim as needed.  Monitoring as directed or sooner if clinical signs acutely change, fail to improve or worsen.</t>
  </si>
  <si>
    <t>Four radiographs of the thorax are provided. There is equivocal prominence of the left atrium. Cardiac to thoracic ratio and pulmonary vessel size is normal. A mild unstructured interstitial pattern and a few pulmonary osteomas is normal for the age of this patient. The appearance of thin walled round 3.1 cm lucency overlying the left 5th rib on the 2nd VD view is artifact caused by pulmonary vessels. No soft tissue pulmonary nodules or pleural effusion. Adequate tracheal diameter. Moderate to severe degenerative change in both shoulders.</t>
  </si>
  <si>
    <t>Equivocal prominent left atrium suggestive of mitral valve regurgitation. Early/mild dilated cardiomyopathy is suspected. Otherwise normal thorax. A reason for the respiratory signs is not identified. Inhaled irritants/allergens should be considered.</t>
  </si>
  <si>
    <t>Consider visual inspection of the pharyngeal/laryngeal region, and symptomatic treatment for coughing. If the patient has a murmur, follow-up echocardiogram should be considered.</t>
  </si>
  <si>
    <t>WHOLE-BODY (3 total radiographs for review). _x000D_
_x000D_
- Peritoneal serosal detail is mildly reduced._x000D_
- The stomach contains mild gas and soft-tissue opaque material_x000D_
- The small intestine is mildly to moderately diffusely distended with gas and soft-tissue/fluid.  A few segments have an appearance of mildly thickened walls._x000D_
- The colon contains gas, soft-tissue/fluid and minimal formed fecal material._x000D_
- The spleen is moderately to markedly enlarged._x000D_
- The liver, region of the kidneys and urinary bladder are normal._x000D_
- The cardiac silhouette and pulmonary vasculature are normal._x000D_
- The pulmonary parenchyma is normal_x000D_
- The trachea, esophagus and mediastinum are normal._x000D_
- The pleural space, diaphragm and ribs are normal._x000D_
- The remaining intrathoracic structures are normal._x000D_
- No musculoskeletal abnormalities are noted.</t>
  </si>
  <si>
    <t>1. The appearance of the stomach, small intestine and colon can be compatible with a combination of aerophagia and non-specific generalized functional ileus (e.g. gastroenterocolitis). There is no evidence of small intestinal foreign material or mechanical obstruction. If clinically indicated, abdominal ultrasonography might be considered._x000D_
_x000D_
2. Marked splenomegaly. DDx congestion from sedation (if used) +/-  lymphoid hyperplasia, EMH, less likely neoplasia._x000D_
_x000D_
3.  Normal thorax.</t>
  </si>
  <si>
    <t>THORAX (4 total radiographs for review). _x000D_
_x000D_
- The patient has an excessive body habitus._x000D_
- Moderate to severe dynamic collapse of the tracheal lumen at the level of the cervical region and extending through the thoracic inlet.  Caudal displacement of the hyoid apparatus and larynx._x000D_
- Mild, diffuse, mixed bronchial and peribronchial unstructured interstitial pattern._x000D_
- The cardiac silhouette and pulmonary vasculature are normal._x000D_
- The pulmonary parenchyma is normal_x000D_
- The trachea, esophagus and mediastinum are normal._x000D_
- The pleural space, diaphragm and ribs are normal._x000D_
- The remaining intrathoracic structures are normal._x000D_
- The liver is mildly enlarged, with rounded margins._x000D_
- The visible osseous structures are unremarkable.</t>
  </si>
  <si>
    <t>1.  The appearance of the trachea at the level of the thoracic inlet can be compatible with tracheal collapse, secondary to chondromalacia.  Further evaluation for this pathology might be considered with internal medicine consultation and/or fluoroscopy however empirical treatment may provide clinical benefit._x000D_
_x000D_
2.  Generalized, diffuse, mixed bronchial and peribronchial unstructured interstitial pulmonary pattern is common in cases of tracheal collapse and can represent associated chronic lower airway disease (e.g. bronchitis), but can also be partially expected due to normal age related airway degeneration._x000D_
_x000D_
3. Mild hepatomegaly. Most likely vacuolar (metabolic) hepatopathy. Hepatitis, hepatic congestion or neoplasia are less likely, but possible._x000D_
_x000D_
4.  Excessive body habitus.</t>
  </si>
  <si>
    <t xml:space="preserve">
1.Mild cardiomegaly has been detected but Heart Failure is NOT suspected._x000D_
2.There is no evidence of PULMONARY NODULES._x000D_
3.Are respiratory signs present? If NO._x000D_
4.MINIMAL to MILD BRONCHOINTERSTITIAL PULMONARY PATTERN; MILD DYNAMIC AIRWAY DISEASE; FOCAL ATELECTASIS, or less likely, ALVEOLAR INFILTRATE._x000D_
5.Based on these AI airway/pulmonary findings, the probability of this patient having clinically detectable resspiratory signs is LOW (25%)_x000D_
6.Are respiratory signs present? If YES.</t>
  </si>
  <si>
    <t>THORAX (3 total radiographs for review). _x000D_
_x000D_
- There is moderate left-sided cardiomegaly present, which is characterized by increased apical basilar length that dorsally displaces the caudal aspect of the thoracic trachea.  The pulmonary vasculature is normal._x000D_
- Mild, diffuse bronchial pulmonary pattern._x000D_
- The pleural space, mediastinum and remaining included intrathoracic structures are normal._x000D_
- The liver is moderately to markedly enlarged, extending caudal to the costal arch with rounded margins._x000D_
- There is ill-defined mineral opaque material superimposed over the region of the gallbladder._x000D_
- There is an egg-shaped soft-tissue opaque mass along the right lateral thoracic body wall measuring approximately 3.9 x 2.6 cm</t>
  </si>
  <si>
    <t>1. Moderate left-sided cardiomegaly, without pulmonary vasculature congestion or congestive heart failure. Most likely compatible with degeneration of the mitral valve. Consider consultation with a veterinary cardiologist and echocardiography/ECG for further assessment._x000D_
_x000D_
2.  Although there is no radiographic evidence of tracheal collapse, this pathology is not excluded given the reported history and patient signalment._x000D_
_x000D_
3. Mild diffuse bronchial pattern. Most likely representing age-related lower airway changes, however a component of chronic bronchitis is possible, especially if there is a history of abnormal respiratory sounds, wheezing and/or coughing._x000D_
_x000D_
4.  Right-sided thoracic body wall mass.  Consistent with the reported history of suspected neoplasia (soft-tissue sarcoma).  No evidence of pulmonary metastatic neoplasia is identified._x000D_
_x000D_
5. Moderate hepatomegaly. Most likely vacuolar (metabolic) hepatopathy. Hepatitis, hepatic congestion or neoplasia are less likely, but possible._x000D_
_x000D_
6.  Cholecystolithiasis.</t>
  </si>
  <si>
    <t xml:space="preserve">
1.MILD BRONCHOINTERSTITIAL PULMONARY PATTERN WITH ATELECTASIS or LESS LIKELY, PNEUMONIA, MILD PERIHILAR INFILTRATE._x000D_
2.Probability these AI pulmonary findings will accompany clinically detectable respiratory signs: MILD TO MODERATE (25-50%)_x000D_
3.Are respiratory signs present? If YES._x000D_
4.Are respiratory signs present? If NO._x000D_
5.Severe cardiomegaly has been detected but Heart Failure is NOT suspected.</t>
  </si>
  <si>
    <t>5 images of the thorax are presented for review.  The cardiovascular structures are normal.  There is a moderate bronchial pattern in all lung lobes.  No pulmonary nodules or enlarged intrathoracic lymph nodes are seen.  The pleural and mediastinal structures are normal.  Cranial abdominal detail is adequate.  A large fat opacity mass is present in the subcutaneous tissues along the dorsal right abdomen.  There is spondylosis deformans of the thoracic spine.</t>
  </si>
  <si>
    <t>Moderate bronchial pulmonary pattern=ZZ90= consider bronchitis, response to inhaled irritants, response to circulating parasites, eosinophilic bronchopneumopathy.  Fat opacity mass consistent with lipoma.</t>
  </si>
  <si>
    <t xml:space="preserve">
1.PULMONARY NODULAR PATTERN; MINIMAL INTERSTITIAL PULMONARY PATTERN._x000D_
2.Based on these AI airway/pulmonary findings, the probability of this patient having clinically detectablerespiratorysigns is LOW (25%)_x000D_
3.Are respiratory signs present? If YES._x000D_
4.Are respiratory signs present? If NO._x000D_
5.PULMONARY NODULAR PATTERN; MINIMAL BRONCHOINTERSTITIAL PULMONARY PATTERN._x000D_
6.A FALSE POSITIVE result for the pulmonary nodular pattern due to pulmonary osteomas, cutaneous nodules or nipples overlying the thorax, prominent costochondral junctions or end-on pulmonary vessels is suspected._x000D_
7.Based on these AI airway/pulmonary findings, the probability of this patient having clinically detectable respiratory signs is MEDIUM (50%)_x000D_
8.Are respiratory signs present. If NO._x000D_
9.The evaluation has come up positive for a pulmonary nodular pattern._x000D_
10.Are respiratory signs present. If YES._x000D_
11.A minimal to mild bronchointerstitial pulmonary pattern has been detected._x000D_
12.Pleural fissure lines or small volume pleural effusion has been detected. In a mildly overweight animal, excessive pericardial fat can artifactually mimic the result of minimal pleural effusion._x000D_
13.The cardiac silhouette size is normal._x000D_
14.There is no evidence of DYNAMIC AIRWAY COLLAPSE or BRONCHIECTASIS.</t>
  </si>
  <si>
    <t>3 views of the thorax are presented for review.  The cardiovascular structures are normal.  There is a diffuse bronchointerstitial pulmonary pattern that is considered appropriate for the age of the patient.  Previous interstitial to alveolar opacity in the right middle and left cranial lung lobes has resolved.  No pulmonary nodules or enlarged intrathoracic lymph nodes are seen.  The pleural and mediastinal structures are normal.  Cranial abdominal detail is adequate.</t>
  </si>
  <si>
    <t>Resolution of previous pneumonia.  Radiographically normal thorax for patient of this age.</t>
  </si>
  <si>
    <t xml:space="preserve">
1.MINIMAL BRONCHOINTERSITIAL PATTERN; OVERLYING CUTANEOUS NODULES or END-ON VESSELS._x000D_
2.The cardiac silhouette size is normal._x000D_
3.There is no evidence of DYNAMIC AIRWAY COLLAPSE or BRONCHIECTASIS._x000D_
4.Based on these AI airway/pulmonary findings, the probability of this patient having clinically detectable respiratorysigns due to lower airway disease is UNLIKELY (&lt;25%) with the exception of acute tracheobronchitis or PTE._x000D_
5.A minimal bronchointerstitial pattern has been detected._x000D_
6.There is detection of a few small soft tissue opacities overlying the lungs.</t>
  </si>
  <si>
    <t>Mild bronchial pulmonary pattern=ZZ90= consider viral or Bordetella type pneumonitis, bronchitis, response to inhaled irritants, response to circulating parasites, eosinophilic bronchopneumopathy.</t>
  </si>
  <si>
    <t>THORAX (4 images) and ABDOMEN (4 images):
Images are dated September 5, 2024.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slightly enlarged with a rounded caudoventral margin.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fluid and minimal gas.   Minimal granular mineral is ademixed with colon content.  The stomach is within normal limits for size.
The small intestine contains moderate heterogeneous soft tissue material admixed with gas, or is empty with a subjectively uniform population for size. 
The colon contains mild to moderate heterogeneous soft tissue material and gas.  The colon is within normal limits for size.  
Musculoskeletal: The included musculoskeletal structures are normal.</t>
  </si>
  <si>
    <t>1. Minimal diffuse bronchial pulmonary pattern such as from artifact, fibrosis from prior disease, or unlikely infectious/immune-mediated lower airway disease, inhaled allergen/irritant, or unlikely other.
2. Equivocal hepatomegaly due to vacuolar change, nodular hyperplasia, hepatitis/cholangiohepatitis, or unlikely evolving neoplasia.
3. Minimal granular gastric/colonic mineral material such as from dietary indiscretion.
4. Non-specific small intestinal appearance due to recent meal versus enteritis/functional ileus such as from dietary indiscretion, or less likely other.
- There is no current evidence of gastrointestinal mechanical ileus.
- Differential diagnoses include dietary indiscretion, toxin ingestion, diet/antibiotic responsive disease, inflammatory bowel disease, pancreatitis, occult systemic disease or unlikely other.</t>
  </si>
  <si>
    <t>Etiology of reported signs is not definitively identified, but heat stress/stroke is considered given reported history and physical exam.  Consider routine blood work and abdominal ultrasonography for further evaluation of the liver and gastrointestinal tract.  Repeat abdominal radiographs after 8-12 hours of fasting and empirical therapy/supportive care to monitor for passage of gastrointestinal material may also be contributory.  Neurologist consultation and MRI may be contributory if signs of mentation changes and anisocoria fail to improve, change or worsen.  Empirical therapy and supportive care in the interim as needed.  Monitoring as directed or sooner if clinical signs acutely change, fail to improve or worsen.</t>
  </si>
  <si>
    <t xml:space="preserve">
1.The cardiac silhouette size is normal._x000D_
2.There is no evidence of BRONCHITIS, DYNAMIC AIRWAY COLLAPSE or BRONCHIECTASIS or PLEURAL EFFUSION._x000D_
3.A mild perihilar infiltrate has been detected.</t>
  </si>
  <si>
    <t>Three radiographs of the thorax, and three views of the abdomen are provided. Images dated 7/22/24 are available for comparison. The left atrium is faintly visible on the VD projection, and the heart is slightly larger than before on the VD view. Pulmonary vessels are normal size. There is a mild bronchial pattern throughout the lungs. No pleural effusion. Redundant dorsal trachealis membrane resulting in moderate narrowed cervical trachea. No esophageal dilation. Broad-based fat opaque 5.2 x 2.2 cm lipomatous mass in the lateral left extrathoracic tissues, incidental._x000D_
_x000D_
In the abdomen the liver is mildly enlarged with smooth margins as before. The gastrointestinal tract is moderately filled. Fat opaque lipomatous tissue overlying the flanks bilaterally, incidental. No radiopaque urolithiasis. Narrowed L4-5 intervertebral disc space, unchanged.</t>
  </si>
  <si>
    <t>1. Probable dynamic cervical tracheal collapse, the most likely cause for coughing. Mild bronchial pattern may be normal age change versus allergic bronchitis which could be contributing to the cough._x000D_
2. Prominent left atrium consistent with acquired mitral valve disease. There is no pulmonary venous congestion or pulmonary edema. This is not responsible for the cough._x000D_
3. Mild hepatomegaly as before, a nonspecific finding that may be steroid or other hepatopathy. Acute inflammation or neoplasia are given lesser consideration. This should be correlated with history and blood work.</t>
  </si>
  <si>
    <t>Recommend weight management, symptomatic treatment for the cough, and utilization of a body harness in place of a neck lead. Follow-up echocardiogram could be considered to obtain baseline measurements.</t>
  </si>
  <si>
    <t xml:space="preserve">
1.Minimal cardiomegaly has been detected but Heart Failure is NOT suspected._x000D_
2.Are respiratory signs present? If NO._x000D_
3.MINIMAL to MILD BRONCHOINTERSTITIAL PULMONARY PATTERN; MINIMAL DYNAMIC AIRWAY DISEASE._x000D_
4.Based on these AI airway/pulmonary findings, the probability of this patient having clinically detectable respiratory signs are LOW (25%)_x000D_
5.There is no evidence of PERIHILAR INFILTRATE or PLEURAL EFFUSION._x000D_
6.Are respiratory signs present? If YES.</t>
  </si>
  <si>
    <t>THORAX (3 images):
Images are dated September 6, 2024.
Pulmonary parenchyma:  In the lateral images, a mild interstitial pattern is in the underinflated cranial lung lobes, which is not corroborated in the ventrodorsal image.  A mild diffuse bronchial pattern is present.
Pulmonary vasculature: The pulmonary vasculature is subjectively normal in size and tapers in the periphery of the lungs.
Cardiac silhouette: The cardiac silhouette is enlarged and subjectively has a flattened caudodorsal margin.  The cardiac silhouette occupies 2/3 the height of the thorax.  The cardiac silhouette is slightly wide in the lateral images, occupying 3.5 intercostal spaces width.  
Mediastinum: The cranial mediastinum is normal.
Trachea: The trachea is narrowed in a dorsoventral dimension in its intra-thoracic segment in the lateral images.  A soft tissue band superimposes over the dorsal aspect of the trachea.
Esophagus: The esophagus is not well-identified.
Pleural space: The pleural space is normal.
Musculoskeletal: The T5-6, T6-7, t7-8, and T8-9 spondylosis deformans is present.  The remaining included musculoskeletal structures are normal.</t>
  </si>
  <si>
    <t>1. Mild left-sided cardiomegaly such as from myxomatous mitral valvular disease and insufficiency, or unlikely other.
- There is no current evidence of left-sided congestive heart failure.
2. Tracheal narrowing and presumed redundant dorsal tracheal membrane such as from chondromalacia/dynamic airway disease.
3. Mild diffuse bronchial pulmonary pattern due to infectious/immune-mediated lower airway disease, fibrosis from prior disease, age-related changes, or less likely other.
4. Transient cranial lung lobe mild interstitial pulmonary pattern from hypoinflation/patient positioning, or unlikely other.</t>
  </si>
  <si>
    <t>Echocardiography, eCG and blood pressure for further evaluation.  Routine blood work and urinalysis if not recently performed.  Consider tracheoscopy/bronchoscopy/fluoroscopy, respiratory PCR panel, airway sampling, and fecal analysis/deworming for further evaluation of dynamic airway disease.  Empirical therapy and supportive care in the interim as needed.  Monitoring as directed or sooner if clinical signs acutely change, fail to improve or worsen.</t>
  </si>
  <si>
    <t xml:space="preserve">
1.Are respiratory signs present? If NO._x000D_
2.Are respiratory signs present? If NO._x000D_
3.MODERATE INTERSTITIAL TO ALVEOLAR INFILTRATE; CONCURRENT MODERATE BRONCHIAL PATTERN; MILD PERIHILAR INFILTRATE._x000D_
4.MODERATE BRONCHOINTERSTITIAL PULMONARY PATTERN; ALVEOLAR INFILTRATE or ATELECTASIS; DYNAMIC AIRWAY DISEASE._x000D_
5.Based on the AI airway/pulmonary findings, the probability of this patient having clinically detectable respiratorysigns is MEDIUM to HIGH (50-75%)_x000D_
6.Based on these AI airway/pulmonary findings, the probability of this patient having clinically detectable respiratory signs is HIGH (75%)_x000D_
7.Are respiratory signs present? If YES._x000D_
8.Are respiratory signs present? If YES._x000D_
9.AI linked bacterial pneumonia treatment in dogs: https://platform.v2.vetology.net/doc/pneumonia-in-dogs-and-cats_x000D_
10.Pleural fissure lines or moderate to severe pleural effusion has been detected. An overlying skin fold or in an obese animal, excessive pericardial fat could artifactually mimic the result of severe pleural effusion._x000D_
11.Severe cardiomegaly has been detected but Heart Failure is NOT suspected.</t>
  </si>
  <si>
    <t>6 images of the thorax and abdomen are presented for review.  The cardiovascular structures are normal.  Increased bronchial markings are present in all lung lobes.  No pulmonary nodules or enlarged intrathoracic lymph nodes are seen.  The pleural and mediastinal structures are normal.  Abdominal serosal detail is adequate in all quadrants.  The liver margins are rounded and extend beyond the costal arch.  The stomach contains a moderate amount of soft tissue material.  The rugal folds are prominent.  The small intestines are normal in size.  Gas and feces are present in the colon.  The urinary bladder is small.  The remaining abdominal organs are normal.  The coxofemoral joints are congruent.  No fractures or aggressive osseous lesions are seen.  Spinal alignment is normal with no consistently narrowed intervertebral disc spaces.</t>
  </si>
  <si>
    <t>Moderate bronchial pulmonary pattern=ZZ90= consider bronchitis, early bronchopneumonia, response to inhaled irritants, response to circulating parasites, eosinophilic bronchopneumopathy.  Airway sampling may be helpful in further evaluation.  Gastric contents may represent residual ingesta or foreign material.  Consider repeat radiographs following strict fasting to determine if gastric contents persist.  Prominent rugal folds consistent with gastritis.  This does not rule out underlying pancreatitis or infiltrative neoplasia.  Hepatomegaly=ZZ90= this is a nonspecific finding that may be seen with congestion, vacuolar hepatopathy, inflammation, neoplasia, etc.  Abdominal ultrasound may be helpful in further evaluation.</t>
  </si>
  <si>
    <t xml:space="preserve">
1.MODERATE INTERSTITIAL TO ALVEOLAR INFILTRATE with a MINIMAL PERIHILAR COMPONENT; MILD DYNAMIC AIRWAY DISEASE._x000D_
2.MILD to MODERATE INTERSTITIAL TO ALVEOLAR PATTERN; MILD DYNAMIC AIRWAY DISEASE._x000D_
3.Are respiratory signs present? If NO._x000D_
4.Pleural fissure lines or moderate to severe pleural effusion has been detected. An overlying skin fold or in an obese animal, excessive pericardial fat could artifactually mimic the result of severe pleural effusion._x000D_
5.Moderate cardiomegaly has been detected but Heart Failure is NOT suspected._x000D_
6.Based on these AI airway/pulmonary findings, the probability of this patient having clinically detectable respiratory signs is MEDIUM (50%)_x000D_
7.Are respiratory signs present? If YES._x000D_
8.Are respiratory signs are present? If NO._x000D_
9.Based on these AI airway/pulmonary findings, the probability this patient will have clinically detectable respiratory signs is HIGH (75%)_x000D_
10.SEVERE BRONCHITIS; MODERATE INTERSTITIAL TO ALVEOLAR PATTERN._x000D_
11.Based on the AI airway/pulmonary findings, the probability of this patient having clinically detectable respiratory signs is HIGH (75%)_x000D_
12.Are respiratory signs present? If YES._x000D_
13.Are respiratory signs present? If YES._x000D_
14.Airway collapse treatment in dogs: https://platform.v2.vetology.net/doc/canine-tracheal-collapse_x000D_
15.Are respiratory signs present? If NO.</t>
  </si>
  <si>
    <t>A ventral dorsal and both lateral radiographs of the thorax are provided. The cardiac silhouette and pulmonary vessels are normal size and shape. There is a mild unstructured interstitial pattern throughout the lungs consistent with age and superimposed subcutaneous fat. No soft tissue pulmonary nodules. Small round increased opacities overlying the heart on the right lateral view are end-on pulmonary vessels. There is no pleural effusion. Fat deposition in the cranial mediastinum. Normal tracheal diameter.</t>
  </si>
  <si>
    <t>Normal thorax. There is no evidence of nodular pulmonary metastatic disease.</t>
  </si>
  <si>
    <t xml:space="preserve">
1.A mild bronchial pattern and minimal perihilar infiltrate have been detected._x000D_
2.The cardiac silhouette size is normal._x000D_
3.There is no evidence of DYNAMIC AIRWAY COLLAPSE or BRONCHIECTASIS, PULMONARY NODULES or PLEURAL EFFUSION.</t>
  </si>
  <si>
    <t>3 views of the thorax are provided for review.  The trachea is dorsally deviated, indicating left ventricular enlargement.  A bulge is present in the region of the left atrium.  No pulmonary infiltrates are seen.  The pulmonary vasculature is normal in size.  The primary bronchi are variably narrowed.  The mediastinal and pleural structures are normal.  Cranial abdominal detail is adequate.  There is narrowing of the intervertebral discs bases and spondylosis C4-T1 and T12-L3 consistent with chronic intervertebral disc herniations.</t>
  </si>
  <si>
    <t>Left-sided cardiomegaly without current evidence of cardiogenic pulmonary edema.  Variable narrowing of the primary bronchi may be secondary to compression and / or collapse and likely accounts for the reported cough.</t>
  </si>
  <si>
    <t xml:space="preserve">
1.Severe cardiomegaly has been detected but Heart Failure is NOT suspected._x000D_
2.There is no evidence of PLEURAL EFFUSION._x000D_
3.MILD INTERSTITIAL TO ALVEOLAR INFILTRATE; MILD PERIHILAR INFILTRATE; MINIMAL BRONCHIAL PATTERN._x000D_
4.Based on the AI airway/pulmonary findings, the probability of this patient having clinically detectable respiratory signs is LOW to MEDIUM (25%-50%)_x000D_
5.Are respiratory signs present? If YES._x000D_
6.Are respiratory signs present? If NO</t>
  </si>
  <si>
    <t>Consider abdominal US to further evaluate the GI tract and pancreas.</t>
  </si>
  <si>
    <t>3 views of the thorax are provided for review.  The trachea is dorsally deviated, indicating left ventricular enlargement.  A small bulge is present in the region of the left atrium.  Moderate bronchial markings are present in all lung lobes.  No perihilar pulmonary infiltrates are seen.  The pulmonary vasculature is normal in size.  The mediastinal and pleural structures are normal.  Cranial abdominal detail is adequate.</t>
  </si>
  <si>
    <t>Moderate bronchial pulmonary pattern=ZZ90= consider bronchitis, response to inhaled irritants, response to circulating parasites, eosinophilic bronchopneumopathy.  Airway sampling may be helpful in further evaluation.  Left-sided cardiomegaly without current evidence of cardiogenic pulmonary edema.  Echocardiography may be helpful in further evaluation.</t>
  </si>
  <si>
    <t xml:space="preserve">
1.Are respiratory signs present? If YES._x000D_
2.MILD TO MODERATE BRONCHOINTERSTITIAL PULMONARY PATTERN; ATELECTASIS or ALVEOLAR INFILTRATE._x000D_
3.MILD to MODERATE BRONCHOINTERSTITIAL PATTERN; MINIMAL DYNAMIC AIRWAY DISEASE._x000D_
4.Based on these AI airway/pulmonary findings, the probability of this patient having clinically detectable respiratory signs is LOW to MEDIUM (25-50%)_x000D_
5.Based on these AI airway/pulmonary findings, the probability of this patient having clinically detectable respiratory signs is LOW to MEDIUM (25%-50%)_x000D_
6.Are respiratory signs present? If YES._x000D_
7.AI linked bacterial bronchitis in dogs article: https://platform.v2.vetology.net/doc/bacterial-bronchitis-in-dogs-and-cats_x000D_
8.A minimal perihilar infiltrate has been detected._x000D_
9.Severe cardiomegaly has been detected but Heart Failure is NOT suspected._x000D_
10.Are respiratory signs present? If NO._x000D_
11.Are respiratory signs present? If NO.</t>
  </si>
  <si>
    <t>THORAX (3 images):
Images are dated September 5, 2024.
Cranial thorax tip excluded in the ventrodorsal image.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subjectively normal.
Trachea: The trachea is normal.
Esophagus: The esophagus is not well-identified.
Pleural space: The pleural space is normal.
Musculoskeletal: Multiple prominent nipples in the ventral extra-thoracic and abdominal soft tissues, which superimpose over the right and left thorax in the 6th intercostal spaces in the ventrodorsal image.  The remaining included musculoskeletal structures are normal.
(amended on 09/07/2024 08:52)
Small mineral foci are suspected over the cranioventral lungs, best identified in the right lateral image.</t>
  </si>
  <si>
    <t>1. Minimal-mild diffuse bronchial pulmonary pattern such as from fibrosis from prior disease, age-related changes, or less likely infectious/immune-mediated lower airway disease, or unlikely other.
2. No obvious evidence of cardiomegaly.
3. No obvious pulmonary soft tissue nodules or intrathoracic lymphadenomegaly.
(amended on 09/07/2024 08:52)
4. Presumed benign pulmonary osseous metaplasia.</t>
  </si>
  <si>
    <t>Consider echocardiography, eCG and blood pressure given reported murmur.  Computed tomography of the thorax/abdomen for a more sensitive evaluation of occult systemic disease, and pre-surgical planning of mammary gland nodule resection with histopathology.  Oncologist consultation depending on results.  Empirical therapy and supportive care in the interim as needed. Monitoring as directed or sooner if clinical signs acutely change, fail to improve or worsen.</t>
  </si>
  <si>
    <t xml:space="preserve">Three images are provided.
Images are dated September 6, 2024.
Bones/Joints:
A dens is present.  There is no evidence of atlantoaxial joint subluxation.
T13 is transitional with absent ribs.  There are eight vertebrae without ribs.
T12-13 is mildly narrowed in the ventrodorsal image.
There is no evidence of mineral over the intervertebral foramina.  There is no evidence of intervertebral dorsal articulation osteoarthrosis.
The presumed left 2nd and 3rd ribs are fractured in their distal thirds, best identified in the right lateral image.  
There is no evidence of medullary sclerosis, osteolysis, endosteal scalloping, or periosteal proliferation.
Soft tissues:  The included paraspinal soft tissues are normal.
</t>
  </si>
  <si>
    <t>1. T12-13 intervertebral disc space narrowing versus artifact from positioning.
2. Left 2nd and 3rd rib fractures.
3. Transitional T13 with absent ribs.</t>
  </si>
  <si>
    <t>Consider etiology of reported pain may be due to rib fractures.  Empirical therapy and supportive care in the interim as needed. 
 Routine blood work and neurologist consultation with MRI for further evaluation if clinical signs persist or worsen in the face of empiric therapy and supportive care.  Monitoring as directed, or sooner if clinical signs acutely change, fail to improve or worsen.</t>
  </si>
  <si>
    <t xml:space="preserve">
1.The cardiac silhouette size is normal._x000D_
2.There is no evidence of PULMONARY NODULES._x000D_
3.A minimal perihilar infiltrate has been detected._x000D_
4.A minimal bronchial pattern has been detected._x000D_
5.A minimal interstitial pattern has been detected.</t>
  </si>
  <si>
    <t>Three radiographs of the thorax are provided. The cardiac silhouette is normal size, with no chamber enlargement. Pulmonary vessels are normal size. There is soft tissue opacity with small air bronchograms in the cranioventral lungs on both sides. Remaining lungs are clear. There is no pleural effusion. Normal tracheal diameter. Large volume soft tissue opaque ingesta fills the stomach.</t>
  </si>
  <si>
    <t>Bilateral severe interstitial to alveolar pattern most consistent with aspiration pneumonia. Infectious etiology is given lesser consideration.</t>
  </si>
  <si>
    <t>Antibiotics are recommended, with follow-up radiographs (same three views) upon completion to ensure resolution of pneumonia. With the elevated hepatic enzymes, abdominal ultrasound should also be considered.</t>
  </si>
  <si>
    <t xml:space="preserve">
1.MODERATE INTERSITIAL TO ALVEOLAR PATTERN; MILD PERIHILAR INFILTRATE._x000D_
2.Based on these AI airway/pulmonary findings, the probability of this patient having clinically detectable respiratory signs is MEDIUM (50%)._x000D_
3.Are respiratory signs present? If YES._x000D_
4.AI linked bacterial pneumonia treatment in dogs: https://platform.v2.vetology.net/doc/pneumonia-in-dogs-and-cats_x000D_
5.Are respiratory signs present? If NO._x000D_
6.The cardiac silhouette size is normal._x000D_
7.There is no evidence of DYNAMIC AIRWAY COLLAPSE or BRONCHIECTASIS.</t>
  </si>
  <si>
    <t>Orthogonal views of the thorax are provided:_x000D_
_x000D_
Thorax:_x000D_
_x000D_
There is cervical tracheal narrowing._x000D_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t>
  </si>
  <si>
    <t>1) No signs of pulmonary metastases nor signs of thoracic lymphadenopathy. _x000D_
2) Cervical tracheal narrowing in large breed dog (especially being labrador) is concerning for an upper airway obstruction such as LARPAR.</t>
  </si>
  <si>
    <t>Consider abdominal US to rule out abdominal metastases and laryngeal exam under sedation ruling out an upper airway obstruction such as LARPAR.</t>
  </si>
  <si>
    <t>Abdomen: There is mild diffuse hepatomegaly.  The spleen is unremarkable.  There is a mild amount of heterogeneous soft tissue opacity and faint mineral opacities within the gastric lumen without evidence of an obstruction.  There are no abnormalities involving the small intestines.  There are no abnormalities involving the visible portions of the urinary tract._x000D_
_x000D_
Thorax: The cardiac silhouette and pulmonary vasculature are unremarkable.  There are no abnormalities involving the pulmonary parenchyma.  There is no evidence of pleural effusion or lymphadenopathy._x000D_
_x000D_
Spine: Mild obliquity prevents definitive evaluation of the visible portions of the cervical, thoracic, and lumbar vertebral columns.  There is no evidence of overt disc space collapse.  There is no evidence of lysis, malalignment, or fractures.</t>
  </si>
  <si>
    <t>Diffuse hepatomegaly._x000D_
_x000D_
The material within the gastric lumen most likely represents normal ingesta however nonobstructive foreign material cannot be ruled out.</t>
  </si>
  <si>
    <t xml:space="preserve">
1.The cardiac silhouette size is normal._x000D_
2.There is no evidence of BRONCHITIS, PERIHILAR INFILTRATE, DYNAMIC AIRWAY COLLAPSE or BRONCHIECTASIS or PLEURAL EFFUSION._x000D_
3.A minimal interstitial pattern has been detected.</t>
  </si>
  <si>
    <t>Thorax: Today=ZZ91=s study is compared to a study dated 10/9/2023.  There is a soft tissue opacity within the caudal dorsal thorax along midline (previous only a faint increase in soft tissue opacity within this region).  The cardiac silhouette and pulmonary vasculature are unremarkable.  The remainder of the pulmonary parenchyma is unremarkable.  There is no evidence of pleural effusion or lymphadenopathy._x000D_
_x000D_
Abdomen: Today=ZZ91=s study is compared to a study dated 10/9/2023.  There is mild diffuse hepatomegaly with rounding of the caudal ventral margins.  There is a mineral opacity superimposed over the ventral aspects of the liver on the right side as previous.  The remainder of the abdominal viscera is unremarkable.</t>
  </si>
  <si>
    <t>The soft tissue opacity superimposed over the caudal dorsal thorax may represent a sliding hiatal hernia however a pulmonary mass along midline cannot be ruled out._x000D_
_x000D_
Mild diffuse hepatomegaly._x000D_
_x000D_
Choliliths.</t>
  </si>
  <si>
    <t xml:space="preserve">
1.The evaluation has come up positive for a pulmonary nodular pattern._x000D_
2.Are respiratory signs present. If YES._x000D_
3.PULMONARY NODULAR PATTERN; MINIMAL BRONCHOINTERSTITIAL PULMONARY PATTERN._x000D_
4.Based on these AI airway/pulmonary findings, the probability of this patient having clinically detectable respiratory signs is MEDIUM (50%)_x000D_
5.Are respiratory signs present. If NO._x000D_
6.The cardiac silhouette size is normal._x000D_
7.There is no evidence of DYNAMIC AIRWAY COLLAPSE or BRONCHIECTASIS._x000D_
8.A mild bronchointerstitial pulmonary pattern and minimal perihilar infiltrate have been detected.</t>
  </si>
  <si>
    <t>ABDOMEN (2 radiographs for review). _x000D_
_x000D_
- There are several very poorly mineralized fetal skeletons present within a homogenously fluid distended uterus.  It is very difficult to count fetal skeletons in this examination as the mineralization is minimal, however it seems there are at least 3 puppies present._x000D_
- Peritoneal serosal detail is normal._x000D_
- The stomach contains mild gas and soft-tissue opaque material._x000D_
- The small intestine and colon contain mild multifocal gas and soft tissue opaque material._x000D_
- The liver, spleen, kidneys are of limited assessment however no distinct abnormalities are noted._x000D_
- The urinary bladder is mildly to moderately distended._x000D_
- The included portions of the thorax are normal._x000D_
- Transitional lumbosacral vertebral segment characterized by fusion of the left transverse process of L7 to the wing of the left ilium.</t>
  </si>
  <si>
    <t>1.  At least 3 poorly mineralized, immature fetal skeletons and fairly homogenously fluid distended uterus.  This can be within normal appearance, with overt evidence of fetal death or distress not distinctly identified.  For a more accurate fetal skeleton count, consider radiographing the patient in late term gestation (e.g. =ZZ93= 55 days), or alternatively performing abdominal ultrasonography for further evaluation. _x000D_
_x000D_
2.  Otherwise unremarkable abdomen with mild aerophagia._x000D_
_x000D_
3.  Transitional lumbosacral vertebral segment.</t>
  </si>
  <si>
    <t>REFERENCES:_x000D_
_x000D_
Radiographic diagnosis of canine pregnancy_x000D_
Concannon + Rendano  AJVR (1983)</t>
  </si>
  <si>
    <t xml:space="preserve">
1.There is no evidence of BRONCHITIS, ALVEOLAR PATTERN, PERIHILAR INFILTRATE, PULMONARY NODULES or PLEURAL EFFUSION._x000D_
2.Mild dynamic airway disease has been detected._x000D_
3.Mild cardiomegaly has been detected but Heart Failure is NOT suspected.</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</si>
  <si>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  There is consistent narrowing of the intervertebral disc space at T11-12.  No fractures or aggressive osseous lesions are seen.</t>
  </si>
  <si>
    <t>Radiographically normal abdomen.  Radiographically normal thorax for patient of this age.  Narrowed intervertebral disc space suggestive of intervertebral disc herniation.  This does not rule out intervertebral disc herniation at another site or other causes of spinal cord compression.</t>
  </si>
  <si>
    <t xml:space="preserve">
1.Are respiratory signs present? If NO._x000D_
2.MODERATE INTERSITIAL TO ALVEOLAR PATTERN; MILD PERIHILAR INFILTRATE._x000D_
3.Based on these AI airway/pulmonary findings, the probability of this patient having clinically detectable respiratory signs is MEDIUM (50%)._x000D_
4.Are respiratory signs present? If YES._x000D_
5.AI linked bacterial pneumonia treatment in dogs: https://platform.v2.vetology.net/doc/pneumonia-in-dogs-and-cats_x000D_
6.The cardiac silhouette size is normal._x000D_
7.There is no evidence of PULMONARY NODULES.</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</si>
  <si>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t>
  </si>
  <si>
    <t>THORAX (4 total radiographs for review). _x000D_
_x000D_
- The cardiac silhouette and pulmonary vasculature are normal._x000D_
- The pulmonary parenchyma contains several fine, sharply defined mineral opaque foci_x000D_
- The trachea, esophagus and mediastinum are normal._x000D_
- The pleural space, diaphragm and ribs are normal._x000D_
- The remaining intrathoracic structures are normal._x000D_
- The cranial abdominal structures are normal._x000D_
- No discrete musculoskeletal abnormalities are identified.</t>
  </si>
  <si>
    <t>1.  Normal aged thorax with multiple incidental pulmonary osteomas.  Negative examination for evidence of thoracic metastatic neoplasia or radiographic contraindication to general anesthesia.</t>
  </si>
  <si>
    <t xml:space="preserve">
1.The evaluation has come up positive for a pulmonary nodular pattern._x000D_
2.A mild interstitial has been identified._x000D_
3.The cardiac silhouette size is normal._x000D_
4.There is no evidence of PERIHILAR INFILTRATE or DYNAMIC AIRWAY COLLAPSE or BRONCHIECTASIS.</t>
  </si>
  <si>
    <t>No radiographic contraindications to anesthesia.</t>
  </si>
  <si>
    <t>THORAX (5 total radiographs for review).  A previous examination is available for comparison from 2023._x000D_
_x000D_
- Mild, diffuse, mixed bronchial and peribronchial unstructured interstitial pattern._x000D_
- Mild multifocal peripheral airway mineralization._x000D_
- Few thickened pleural fissure lines._x000D_
- The cardiac silhouette and pulmonary vasculature are normal._x000D_
- The remaining included intrathoracic structures are unremarkable._x000D_
- The liver is mildly enlarged, extending caudal to the costal arch with rounded margins._x000D_
- The stomach contains mild gas and the pyloric outflow tract is well identified._x000D_
- The remaining cranial abdominal structures are unremarkable._x000D_
- No discrete musculoskeletal abnormalities are identified.</t>
  </si>
  <si>
    <t>1. Mild diffuse bronchial pattern with peripheral airway mineralization and few thickened pleural fissures. Most likely representing age-related lower airway changes, however a component of chronic bronchitis is possible, especially if there is a history of abnormal respiratory sounds, wheezing and/or coughing._x000D_
_x000D_
2.  Otherwise normal aged thorax._x000D_
_x000D_
3. Mild hepatomegaly. Most likely vacuolar (metabolic) hepatopathy. Hepatitis, hepatic congestion or neoplasia are less likely, but possible._x000D_
_x000D_
4.  Aerophagia.</t>
  </si>
  <si>
    <t>A discrete radiographic cause for proteinuria is not clearly identified.  Sonographic assessment of the abdomen may be reasonable for further investigation.</t>
  </si>
  <si>
    <t xml:space="preserve">
1.Based on the AI airway/pulmonary findings, the probability of this patient having clinically detectable respiratory signs is LOW to MEDIUM (25%-50%)_x000D_
2.A minimal interstitial pattern has been detected._x000D_
3.There is detection of a few small soft tissue opacities overlying the lungs._x000D_
4.Are respiratory signs present? If YES._x000D_
5.Are respiratory signs present? If NO._x000D_
6.The cardiac silhouette size is normal._x000D_
7.The evaluation has come up positive for a pulmonary nodular pattern._x000D_
8.A minimal to mild bronchointerstitial pulmonary pattern has been detected._x000D_
9.MILD BRONCHIAL PATTERN; NODULAR PULMONARY PATTERN which is likely due to overlying CUTANEOUS NODULES or MINERALIZED COSTOCHONDRAL JUNCTIONS._x000D_
10.MINIMAL INTERSITIAL PATTERN; OVERLYING CUTANEOUS NODULES or END-ON VESSELS._x000D_
11.Based on these AI airway/pulmonary findings, the probability of this patient having clinically detectable respiratory signs due to lower airway disease is UNLIKELY (&lt;25%) with the exception of acute tracheobronchitis or PTE.</t>
  </si>
  <si>
    <t>Orthogonal views of the thorax are provided:_x000D_
_x000D_
Thorax:_x000D_
_x000D_
There is a ventrolateral right sided irregular and nodular mass._x000D_
Cardiac silhouette has a normal shape and size._x000D_
Pulmonary parenchyma shows a generalized severe interstitial pattern with multiple small, indistinct and different sized pulmonary nodules throughout the different lung lobes._x000D_
Pleural space, mediastinum, diaphragm and thoracic wall within normal limits.</t>
  </si>
  <si>
    <t>1) Pulmonary changes most consistent with widespread pulmonary metastases with either inflammatory/hemorrhagic changes in the lungs._x000D_
2) Rule out neoplasm in the ventrolateral right thoracic wall.</t>
  </si>
  <si>
    <t>US guided FNAs from the mass and from the lungs and lung nodules. Abdominal US. Oncologist consultation.</t>
  </si>
  <si>
    <t xml:space="preserve">
1.Moderate cardiomegaly has been detected but Heart Failure is NOT suspected._x000D_
2.Are respiratory signs present? If YES._x000D_
3.SEVERE INTERSTITIAL TO ALVEOLAR PATTERN; PULMONARY NODULES OR MASS LESION; PLEURAL FLUID or PLEURAL THICKENING; MILD BRONCHIAL PATTERN; MINIMAL DYNAMIC AIRWAY DISEASE._x000D_
4.Based on these AI airway/pulmonary findings, the probability of this patient having clinically detectable respiratorysigns is VERY HIGH (&gt;75%)_x000D_
5.The evaluation has come up positive for a pulmonary nodular pattern and pleural fissure lines or pleural effusion._x000D_
6.Are respiratory signs present? If NO.</t>
  </si>
  <si>
    <t>THORAX (3 total radiographs for review).  A previous examination is available for comparison from 2016._x000D_
_x000D_
- The cardiac silhouette and pulmonary vasculature are normal._x000D_
- There is a mild diffuse bronchial pulmonary pattern present._x000D_
- The trachea, esophagus and mediastinum are normal._x000D_
- The pleural space, diaphragm and ribs are normal._x000D_
- The remaining intrathoracic structures are normal._x000D_
- The stomach contains mild gas stippled soft-tissue opaque material._x000D_
- The remaining cranial abdominal structures are normal._x000D_
- There is mild to moderate multifocal vertebral spondylosis deformans that is most notable in the thoracolumbar/cranial lumbar region.</t>
  </si>
  <si>
    <t>1.  Radiographically unremarkable cardiovascular structures.  Despite lack of obvious cardiomegaly or pulmonary vascular changes, given the reported recent onset heart murmur, consultation with a veterinary cardiologist, echocardiography and ECG may still be considered.  _x000D_
_x000D_
2. Mild diffuse bronchial pattern. Most likely representing age-related lower airway changes, however a component of chronic bronchitis is possible, especially if there is a history of abnormal respiratory sounds, wheezing and/or coughing._x000D_
_x000D_
3.  Multifocal vertebral spondylosis deformans most notable in the thoracolumbar/cranial lumbar region.</t>
  </si>
  <si>
    <t xml:space="preserve">
1.MINIMAL BRONCHOINTERSTITIAL PULMONARY PATTERN; POTENTIAL FOR FOCAL ATELECTASIS._x000D_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DYNAMIC AIRWAY COLLAPSE or BRONCHIECTASIS.</t>
  </si>
  <si>
    <t>WHOLE-BODY (6 total radiographs for review). _x000D_
_x000D_
- Peritoneal serosal detail is mildly decreased._x000D_
- The stomach contains mild gas and moderate gas-stippled soft-tissue opaque material_x000D_
- The small intestine contains mild multifocal gas and soft-tissue opaque material_x000D_
- The colon contains gas, soft-tissue/fluid and poorly formed fecal material._x000D_
- The liver is mildly enlarged, extending caudal to the costal arch with rounded margins._x000D_
- The spleen, region of the kidneys and urinary bladder are normal._x000D_
- There is a mild diffuse bronchial pulmonary pattern present._x000D_
- The cardiac silhouette and pulmonary vasculature are normal._x000D_
- The trachea, esophagus and mediastinum are normal._x000D_
- The pleural space, diaphragm and ribs are normal._x000D_
- The remaining intrathoracic structures are normal._x000D_
- No musculoskeletal abnormalities are noted._x000D_
- There are broad-based fat opaque nodules along the right cranial thoracic body wall and along the ventral abdominal body wall.</t>
  </si>
  <si>
    <t>1.  A discrete radiographic cause for the reported vaginal bleeding is not clearly identified.  Consider sonographic assessment of the abdomen and/or consultation with a reproductive specialist for further evaluation._x000D_
_x000D_
2. The appearance of the stomach, small intestine and colon can be compatible with a non-specific generalized functional ileus (e.g. gastroenterocolitis). There is no evidence of small intestinal foreign material or mechanical obstruction. If clinically indicated, abdominal ultrasonography might be considered._x000D_
_x000D_
3. Mild hepatomegaly. Most likely vacuolar (metabolic) hepatopathy. Hepatitis, hepatic congestion or neoplasia are less likely, but possible._x000D_
_x000D_
4. Mild diffuse bronchial pattern. Most likely representing age-related lower airway changes, however a component of chronic bronchitis is possible, especially if there is a history of abnormal respiratory sounds, wheezing and/or coughing._x000D_
_x000D_
5. Right cranial thoracic and ventral abdominal body wall lipomas.</t>
  </si>
  <si>
    <t xml:space="preserve">
1.The cardiac silhouette size is normal._x000D_
2.There is no evidence of DYNAMIC AIRWAY COLLAPSE or BRONCHIECTASIS or PLEURAL EFFUSION._x000D_
3.A mild bronchointerstitial pulmonary pattern and minimal perihilar infiltrate have been detected.</t>
  </si>
  <si>
    <t>Three lateral radiographs of the thorax, and a lateral view of the abdomen are provided. The cardiac silhouette and pulmonary vessels are normal size. There are numerous (too many to count) well-defined variably sized round soft tissue opaque masses and nodules nodules throughout the lungs, measuring up to 3.4 cm. All lung lobes are affected. There is no pleural effusion. Normal tracheal diameter. There are no osseous abnormalities._x000D_
_x000D_
In the abdomen serosal detail is adequate. The liver is mildly enlarged with smooth margins. Normal-sized spleen and kidneys. The gastrointestinal tract and urinary bladder are minimally filled.</t>
  </si>
  <si>
    <t>1. Nodules and masses throughout the lungs consistent with neoplasia. Whether this is primary pulmonary neoplasia or metastatic disease from a distant site is not known._x000D_
2. Mild hepatomegaly, a nonspecific finding that may be steroid or other hepatopathy, acute inflammation, or neoplasia. No other abdominal abnormalities.</t>
  </si>
  <si>
    <t xml:space="preserve">
1.Are respiratory signs present? If YES._x000D_
2.A severe perihilar infiltrate has been detected._x000D_
3.Are respiratory signs present? If NO._x000D_
4.Pleural fissure lines or moderate to severe pleural effusion has been detected. An overlying skin fold or in an obese animal, excessive pericardial fat could artifactually mimic the result of severe pleural effusion._x000D_
5.Severe cardiomegaly has been detected but Heart Failure is NOT suspected._x000D_
6.The evaluation has a strong suspicion of pulmonary nodules or mass lesion being present._x000D_
7.SEVERE INTERSTITIAL TO ALVEOLAR PATTERN; SEVERE BRONCHIAL PATTERN; SEVERE DYNAMIC AIRWAY DISEASE._x000D_
8.Based on these AI airway/pulmonary findings, the probability of this patient having clinically detectable respiratory signs is VERY HIGH (&gt;75%)</t>
  </si>
  <si>
    <t>Three radiographs of the thorax and three views of the abdomen are provided. There is mild left-sided cardiomegaly. The cranial lobar vein is larger than the artery. There is no loss of perihilar vessel visibility. Fat deposition encircles the heart and extends into the cranial mediastinum on the VD projection. Triangular increased opacity extending from the cardiac apex to the diaphragm on the VD view is fat in the caudoventral mediastinum. Mild unstructured interstitial pattern is consistent with age and superimposed subcutaneous fat. There is no pleural effusion. Tracheal diameter is adequate. Small volume fluid in the caudal esophagus is transient and incidental. _x000D_
_x000D_
In the abdomen serosal detail is normal. The abdomen is pendulous. Formed feces fills the distal colon. The stomach and small bowel are minimally filled. The liver, spleen, and kidneys are normal size. No radiopaque urolithiasis. Normal lumbar spine and coxofemoral joints. Broad-based fat opaque lipomatous thickening measuring at least 15.6 cm in the right inguinal region.</t>
  </si>
  <si>
    <t>1. Mild left-sided cardiomegaly suggestive of dilated cardiomyopathy. There is pulmonary venous congestion but no evidence of heart failure today. A reason for coughing is not identified. Inhaled irritants/allergens is suspected._x000D_
2. Lipomatous thickening in the inguinal region is presumably the reported mass lesion. This is most likely incidental subcutaneous lipoma. An inguinal hernia involving peritoneal fat is next on the differential list. No intra-abdominal abnormalities.</t>
  </si>
  <si>
    <t>Recommend weight management and treatment for potential allergic airway disease. If there is no improvement, airway cytology may be necessary. Fine-needle aspirates of the extra-abdominal mass could be considered for a definitive diagnosis (as the palpable area of interest may be separate from the lipomatous tissue seen on radiographs).</t>
  </si>
  <si>
    <t xml:space="preserve">
1.MILD BRONCHOINTERSTITIAL PULMONARY PATTERN._x000D_
2.Based on these AI airway/pulmonary findings, the probability of this patient having clinically detectable respiratory signs are LOW (25%)_x000D_
3.Are respiratory signs present? If YES._x000D_
4.Are respiratory signs present? If NO._x000D_
5.The evaluation has come up positive for a pulmonary nodular pattern._x000D_
6.Pleural fissure lines or moderate pleural effusion has been detected. An overlying skin fold or in a moderately overweight animal, excessive pericardial fat could artifactually mimic the result of moderate pleural effusion._x000D_
7.Mild cardiomegaly has been detected but Heart Failure is NOT suspected._x000D_
8.A moderate perihilar infitlrate has been detected.</t>
  </si>
  <si>
    <t>Orthogonal radiographs of the thorax are provided. The cardiac silhouette is normal size. There is an endotracheal tube present on the lateral view, located within the esophagus. The endotracheal tube is not definitively seen on the VD projection, and may be obscured by the spine. There is increased right lung opacity, with reduced aeration and mild ipsilateral mediastinal shift. No soft tissue pulmonary nodules. The caudal thoracic esophagus is gas dilated on the lateral view. Large volume gas in the stomach consistent with aerophagia. There is a round 5.3 cm soft tissue opacity in the mid ventral abdomen on the edge of the lateral view.</t>
  </si>
  <si>
    <t>1. Placement of the endotracheal tube into the esophagus. Increased right lung opacity is likely atelectasis. Concurrent aspiration pneumonia is given secondary consideration._x000D_
2. Soft tissue opacity in the mid ventral abdomen on the edge of the lateral abdominal view may represent distended uterus or urinary bladder.</t>
  </si>
  <si>
    <t>Recommend removal and repositioning of the endotracheal tube.</t>
  </si>
  <si>
    <t xml:space="preserve">
1.Based on the AI airway/pulmonary findings, the probability of this patient having clinically detectable respiratory signs is MEDIUM to HIGH (50-75%)._x000D_
2.Are respiratory signs present? If YES._x000D_
3.Are respiratory signs present? If NO._x000D_
4.MODERATE ALVEOLAR PATTERN; CONCURRENT MILD to MODERATE BRONCHOINTERSTITIAL PATTERN; MILD DYNAMIC AIRWAY DISEASE._x000D_
5.Pleural fissure lines or moderate to severe pleural effusion has been detected. An overlying skin fold or in an obese animal, excessive pericardial fat could artifactually mimic the result of severe pleural effusion._x000D_
6.Mild cardiomegaly has been detected but Heart Failure is NOT suspected.</t>
  </si>
  <si>
    <t>Study:_x000D_
Thoracic/abdominal radiography: three images dated September 5, 2024_x000D_
_x000D_
Findings:_x000D_
The cardiac silhouette and pulmonary vasculature are normal in size. The pulmonary parenchyma is unremarkable. The pleural space is normal. There is no intrathoracic lymphadenopathy. The trachea is normal in diameter and course. There is gas dilation of the esophagus on all three views. The stomach contains unstructured heterogeneous/granular soft tissue material. The small intestines are normal in size, course and content. The colon contains formed fecal material with few interspersed punctate mineral foci with a normal diameter. The liver and spleen are normal in size and margin. The renal silhouettes are normal in size and contour. The urinary bladder is normal in size and opacity. There is no apparent prostatomegaly. The L5-L6 intervertebral disc space appears narrowed on both lateral projections.</t>
  </si>
  <si>
    <t>1. Gastric contents likely represent ingesta. Foreign material cannot be completely excluded. The abdomen is otherwise unremarkable. Repeat fasted radiography can be considered to ensure gastric emptying if clinically relevant based on recent dietary history. Alternatively, abdominal sonography and cPLI testing can be considered to further very for sources of intra-abdominal pain._x000D_
2. The gas dilation of the esophagus may indicate aerophagia or an esophageal motility disorder/megaesophagus. Correlate with any reported regurgitation. An esophagogram can be considered for further evaluation if clinically relevant._x000D_
3. Suspected L5-L6 intervertebral disc disease. Correlate with any spinal pain and/or neurologic deficits.</t>
  </si>
  <si>
    <t>4 images of the thorax are provided for review.  The trachea is dorsally deviated, indicating left ventricular enlargement.  A bulge is present in the region of the left atrium.  No pulmonary infiltrates are seen.  The pulmonary vasculature is normal in size.  The mediastinal and pleural structures are normal.  The trachea is severely narrowed in the caudal cervical region and at the thoracic inlet.  Cranial abdominal detail is adequate.  The liver margins are rounded and extend beyond the costal arch.  A large soft tissue mass is seen in the subcutaneous tissues adjacent to the left scapula.</t>
  </si>
  <si>
    <t>Left-sided cardiomegaly without current evidence of cardiogenic pulmonary edema.  Echocardiography may be helpful in further evaluation.  Tracheal narrowing consistent with tracheal collapse.  Hepatomegaly=ZZ90= this is a nonspecific finding that may be seen with congestion, vacuolar hepatopathy, inflammation, neoplasia, etc.  Abdominal ultrasound may be helpful in further evaluation if biochemically indicated.  Large subcutaneous mass.</t>
  </si>
  <si>
    <t xml:space="preserve">
1.Are respiratory signs present? If NO._x000D_
2.Pleural fissure lines or small volume pleural effusion has been detected. In a mildly overweight animal, excessive pericardial fat can artifactually mimic the result of minimal pleural effusion._x000D_
3.Severe cardiomegaly has been detected but Heart Failure is NOT suspected._x000D_
4.SEVERE INTERSTITIAL TO ALVEOLAR PATTERN; MODERATE BRONCHIAL PATTERN; SEVERE DYNAMIC AIRWAY DISEASE._x000D_
5.Based on these AI airway/pulmonary findings, the probability of this patient having clinically detectable respiratory signs is VERY HIGH (&gt;75%)_x000D_
6.Are respiratory signs present? If YES.</t>
  </si>
  <si>
    <t>Five orthogonal radiographs of the vertebral column, pelvis and left pelvic limb dated 5th September 2024 are available for review. There are no previous radiographs available for comparison._x000D_
_x000D_
Vertebral column: No significant abnormalities are detected._x000D_
_x000D_
Pelvis: The pelvic image is obliqued. The sacroiliac joints are symmetric. Both coxofemoral joints are within normal limits._x000D_
_x000D_
Joints and long bones: There is geographical lysis of the distal left femur, with thinning of the caudal dorsal cortices, and smoothly marginated periosteal new bone formation. The zone of transition to the normal diastema is well defined._x000D_
_x000D_
Soft tissues: The left caudal thigh musculature is poor.</t>
  </si>
  <si>
    <t>1. Monostotic aggressive mixed lytic and proliferative bone lesion of the left femur.  No evidence of pathologic fracture on views. Cortical destruction, and active periosteal reaction most concerning for primary bone neoplasia (osteosarcoma).</t>
  </si>
  <si>
    <t xml:space="preserve">
1.MILD BRONCHIAL PATTERN; NODULAR PULMONARY PATTERN which is likely due to overlying CUTANEOUS NODULES or MINERALIZED COSTOCHONDRAL JUNCTIONS._x000D_
2.MILD BRONCHIAL PATTERN; MILD PERIHILAR PATTERN._x000D_
3.Based on the AI airway/pulmonary findings, the probability of this patient having clinically detectable respiratory signs is LOW to MEDIUM (25%-50%)_x000D_
4.Based on these AI airway/pulmonary findings, the probability of this patient having clinically detectable respiratorysigns is LOW (25%)_x000D_
5.The evaluation has come up positive for a pulmonary nodular pattern._x000D_
6.Are respiratory signs present? If YES._x000D_
7.Are respiratory signs present? If NO._x000D_
8.Are respiratory signs present? If YES._x000D_
9.Are respiratory signs present? If NO._x000D_
10.The cardiac silhouette size is normal._x000D_
11.There is no evidence of ALVEOLAR PATTERN or DYNAMIC AIRWAY COLLAPSE or BRONCHIECTASIS.</t>
  </si>
  <si>
    <t>3 views of the thorax are provided for review.  The cardiovascular structures are normal.  Alveolar opacity is present in the left cranial lung lobe.  The mediastinal and pleural structures are normal.  Cranial abdominal detail is adequate.</t>
  </si>
  <si>
    <t>Alveolar pulmonary pattern concerning for aspiration type pneumonia.  Hemorrhage or neoplasia cannot be completely excluded.</t>
  </si>
  <si>
    <t xml:space="preserve">
1.A minimal perihilar infiltrate has been detected._x000D_
2.A minimal interstitial pattern has been detected._x000D_
3.The cardiac silhouette size is normal._x000D_
4.There is no evidence of BRONCHITIS or DYNAMIC AIRWAY COLLAPSE or BRONCHIECTASIS.</t>
  </si>
  <si>
    <t>WHOLE-BODY (4 total radiographs for review). _x000D_
_x000D_
- Consistent with the reported history, there is a large, homogenously soft tissue opaque mass in the rectal/perineal region causing a dorsal displacement and compression of the rectum, orad to which the colon is distended with gas and desiccated formed fecal material._x000D_
- Peritoneal serosal detail is normal._x000D_
- The stomach contains mild gas and gas-stippled soft-tissue opaque material_x000D_
- The small intestine contains mild multifocal gas and soft-tissue opaque material_x000D_
- The liver, spleen, region of the kidneys and urinary bladder are normal._x000D_
- The cardiac silhouette, pulmonary vasculature, pulmonary parenchyma, trachea, pleural space, mediastinum and remaining included intrathoracic structures are normal._x000D_
- There is narrowing of the T12-13 and L1-2 intervertebral disc spaces, with endplate sclerosis and spondylosis deformans.  Mineralized material superimposed over the spinal canal at L4-5._x000D_
- The mammary glands are prominent, which is expected given the patient is reported as intact female._x000D_
- Mild bilateral coxofemoral periarticular osteophyte formation._x000D_
- Bilateral distal femoral varus angular limb deformity.  Normal positioning of the patellas.</t>
  </si>
  <si>
    <t>1.  Very large rectal/perianal mass with dorsal rectal compression and probable partial mechanical compression of the distal colon._x000D_
_x000D_
2.  No distinct radiographic evidence of metastatic neoplasia either intra-abdominal or intrathoracic identified radiographically._x000D_
_x000D_
3.  Unremarkable abdomen._x000D_
_x000D_
4.  Normal thorax._x000D_
_x000D_
5.  T12-13 and L1-2 intervertebral disc disease._x000D_
_x000D_
6.  Bilateral glenohumeral osteoarthritis._x000D_
_x000D_
7.  Distal femoral varus angular limb deformity has been reported to predispose to medial patellar luxation which is not distinctly identified in this examination.</t>
  </si>
  <si>
    <t>Consider tissue sampling of the rectal mass which may be neoplastic (e.g. soft-tissue tumor) or less likely nonneoplastic.  Complete abdominal ultrasonography with further evaluation of the sublumbar lymph nodes may be of utility for further staging/screening.  Consultation with a veterinary oncologist might be considered pending tissue sampling results.</t>
  </si>
  <si>
    <t xml:space="preserve">
1.Mild dynamic airway disease has been detected._x000D_
2.Mild cardiomegaly has been detected but Heart Failure is NOT suspected._x000D_
3.There is no evidence of BRONCHITIS, ALVEOLAR PATTERN, PERIHILAR INFILTRATE, PULMONARY NODULES or PLEURAL EFFUSION.</t>
  </si>
  <si>
    <t>THORAX (3 total radiographs for review).  Compared to recent examination dated 07/22/2024._x000D_
_x000D_
- Similar to the previous examination, there is severe left-sided cardiomegaly present which is characterized by straightening of the caudal cardiac margin, dorsal displacement of the caudal aspect of the thoracic trachea and overt surrounding in the region of the left atrium._x000D_
- Very subtle, mild perihilar unstructured interstitial pattern._x000D_
- There is again a mild diffuse distention of the pulmonary vasculature._x000D_
- There is again a diffuse bronchial pulmonary pattern present._x000D_
- The remains a soft tissue opaque band dorsally overlying the trachea in the region of the thoracic inlet._x000D_
- The liver remains moderately to markedly enlarged, extending caudal to the costal arch with rounded margins._x000D_
- The remaining cranial abdominal structures are normal._x000D_
- No discrete musculoskeletal abnormalities are again identified.</t>
  </si>
  <si>
    <t>1.  Similar, severe, left-sided cardiomegaly with overt left atrial enlargement, likely compatible with degeneration of the mitral valve.  Although it is very subtle and indistinct, there may be a perihilar unstructured interstitial pattern which in combination with the reported dyspnea may raise concern for early left-sided congestive heart failure, however admittedly I cannot confirm heart failure is present as the lungs are fairly clear overall.  _x000D_
_x000D_
Depending on the clinical condition, I would consider current management for the cardiac disease and potentially if safe IV diuretic therapy and recheck thoracic radiographs to reevaluate the appearance of the pulmonary parenchyma.  Consultation with a veterinary cardiologist, echocardiography and ECG may be considered if not recently performed._x000D_
_x000D_
2.  The appearance of the trachea is again compatible with tracheal collapse, secondary to chondromalacia._x000D_
_x000D_
3.  Similar, moderate diffuse bronchial pattern. Most likely representing age-related lower airway changes, however a component of chronic bronchitis is possible._x000D_
_x000D_
4.  Similar, moderate-to-marked hepatomegaly. Most likely vacuolar (metabolic) hepatopathy. Hepatitis, hepatic congestion or neoplasia are less likely, but possible.</t>
  </si>
  <si>
    <t xml:space="preserve">
1.Moderate dynamic airway disease has been identified._x000D_
2.A moderate to severe, diffuse mixed bronchointerstitial pattern with concurrent dynamic airway disease has been detected._x000D_
3.A mild perihilar infiltrate has been detected._x000D_
4.Pleural fissure lines or small volume pleural effusion has been detected. In a mildly to moderately overweight animal, excessive pericardial fat can artifactually mimic the result of mild pleural effusion._x000D_
5.Severe cardiomegaly has been detected but Heart Failure is NOT suspected.</t>
  </si>
  <si>
    <t>THORAX (3 total radiographs for review). _x000D_
_x000D_
- There is a soft tissue opaque band dorsally overlying the trachea in the caudal cervical region._x000D_
- There is a mild, diffuse, mixed bronchial and unstructured interstitial pulmonary pattern._x000D_
- The cardiac silhouette, pulmonary vasculature, pleural space and remaining included intrathoracic structures are normal._x000D_
- The liver is moderately enlarged, with rounded margins._x000D_
- The stomach contains mild gas stippled soft-tissue opaque material._x000D_
- The remaining included intra-abdominal structures are normal._x000D_
- Bilateral glenohumeral osteophyte formation._x000D_
- Mild multifocal cranial lumbar vertebral spondylosis deformans.</t>
  </si>
  <si>
    <t>1.  The appearance of the trachea at the level of the thoracic inlet can be compatible with tracheal collapse, secondary to chondromalacia._x000D_
_x000D_
2.  Mild, diffuse, mixed bronchial and peribronchial unstructured interstitial pulmonary pattern.  Given the reported history of coughing, this may represent chronic lower airway disease such as bronchitis which could have underlying infectious, inhaled irritant or allergic etiologies.  A component of this may be expected normal age-related airway degeneration._x000D_
_x000D_
3. Moderate hepatomegaly. Most likely vacuolar (metabolic) hepatopathy. Hepatitis, hepatic congestion or neoplasia are less likely, but possible._x000D_
_x000D_
4.  Thoracolumbar/cranial lumbar vertebral spondylosis deformans.</t>
  </si>
  <si>
    <t>In this case, the patient=ZZ91=s coughing could be multifactorial and related to tracheal collapse and/or chronic lower airway disease.  Assessment for and/or empirical treatment towards either of these pathologies may provide clinical benefit.</t>
  </si>
  <si>
    <t xml:space="preserve">
1.Mild cardiomegaly has been detected but Heart Failure is NOT suspected._x000D_
2.MILD BRONCHOINTERSTITIAL PULMONARY PATTERN; MILD DYNAMIC AIRWAY DISEASE._x000D_
3.Based on these AI airway/pulmonary findings, the probability of this patient having clinically detectable respiratory signs is LOW to MEDIUM (25-50%)_x000D_
4.Are respiratory signs present? If YES._x000D_
5.Are respiratory signs present? If NO._x000D_
6.There is no evidence of PERIHILAR INFILTRATE or PULMONARY NODULES.</t>
  </si>
  <si>
    <t>Study:_x000D_
Thoracic and abdominal radiography: six images dated September 5, 2024_x000D_
_x000D_
Findings:_x000D_
The cardiac silhouette is normal in size and shape. The pulmonary vasculature is normal in size. There mild patchy interstitial to alveolar infiltrates in the right cranial lung lobe, right middle lung lobe and caudal segment the left cranial lung lobe. The pleural space is normal. There is no intrathoracic lymphadenopathy. The trachea is normal in diameter. The stomach contains gas and amorphous soft tissue material. The pylorus is probably gas-filled on the left lateral image. The small intestines are normal in size, course and content. The colon contains poorly formed fecal material with a normal diameter. The liver and spleen are normal in size and margin. The renal silhouettes are normal in size and contour. The urinary bladder is normal in size and opacity. There is no uterine dilation. The patient has multiple, breed associated, congenitally anomalous vertebrae.</t>
  </si>
  <si>
    <t>1. The mild multifocal patchy interstitial to alveolar disease likely indicates pneumonia. Recommend empiric antibiotic therapy with repeat radiography in 10 to 14 days to monitor for response to treatment._x000D_
2. The amorphous soft tissue material in the stomach may represent food and/or foreign material. There is no evidence of small intestinal mechanical obstruction. Repeat fasted radiography can be considered to ensure gastric emptying. Alternatively, sonography can be considered if clinical signs persist or worsen in spite of medical management.</t>
  </si>
  <si>
    <t xml:space="preserve">
1.MODERATE DYNAMIC AIRWAY DISEASE; MODERATE INTERSTITIAL TO ALVEOLAR INFILTRATE, MILD BRONCHIAL PATTERN, MILD PERIHILAR INFILTRATE._x000D_
2.Based on these AI airway/pulmonary findings, the probability of this patient having clinically detectable respiratory signs is MEDIUM (50%)_x000D_
3.Are respiratory signs present? If YES._x000D_
4.Are respiratory signs present? If NO._x000D_
5.The cardiac silhouette size is normal.</t>
  </si>
  <si>
    <t>6 images of the thorax and skull are provided for review.  The cardiovascular structures are normal.  There is a marked bronchial pattern in all lung lobes.  Alveolar opacities present in the right cranial and middle lung lobes.  The mediastinal and pleural structures are normal.  Cranial abdominal detail is adequate.  Cavities are filled with normal turbinates.  No fractures or aggressive osseous lesions are seen.  The temporomandibular joints are normally aligned.  The tympanic bullae are air filled and thin-walled.</t>
  </si>
  <si>
    <t>Severe bronchial pulmonary pattern=ZZ90= consider bronchitis, response to inhaled irritants, response to circulating parasites, eosinophilic bronchopneumopathy.  Alveolar pulmonary pattern concerning for concurrent pneumonia.  Unremarkable skull on the views provided.</t>
  </si>
  <si>
    <t xml:space="preserve">
1.Are respiratory signs present? If YES._x000D_
2.Are respiratory signs present? If NO._x000D_
3.SEVERE INTERSTITIAL TO ALVEOLAR PATTERN; PULMONARY NODULES OR MASS LESION; PLEURAL FLUID or PLEURAL THICKENING; MILD BRONCHIAL PATTERN; MINIMAL DYNAMIC AIRWAY DISEASE._x000D_
4.Based on these AI airway/pulmonary findings, the probability of this patient having clinically detectable respiratorysigns is VERY HIGH (&gt;75%)_x000D_
5.The evaluation has come up positive for a pulmonary nodular pattern and pleural fissure lines or pleural effusion._x000D_
6.Moderate cardiomegaly has been detected but Heart Failure is NOT suspected.</t>
  </si>
  <si>
    <t>THORAX (4 total radiographs for review). _x000D_
_x000D_
- The patient has a large body habitus._x000D_
- There is a moderate diffuse mixed bronchial and unstructured interstitial pulmonary pattern present._x000D_
- There is a generalized widening of the cranial mediastinum.  No obvious tracheal displacement is appreciated._x000D_
- The stomach contains mild gas and gas stippled soft tissue opaque material._x000D_
- The remaining visible cranial abdominal structures are normal._x000D_
- There is bilateral elbow joint osteoarthritis.</t>
  </si>
  <si>
    <t>1.  Moderate diffuse, mixed bronchial and unstructured interstitial pulmonary pattern.  Given the reported chronic coughing and panting, most likely reflects chronic lower airway disease such as bronchitis +/- pulmonary interstitial fibrosis.  Consider treatment for chronic lower airway disease and if there is lack of improvement or worsening, internal medicine consultation and thoracic CT may be reasonable for further evaluation._x000D_
_x000D_
2.  Moderate widening of the cranial mediastinum.  Given the patient=ZZ91=s body condition as well as the lack of overt tracheal displacement I prioritized that this is secondary to excessive cranial mediastinal fat deposition however the presence of a cranial mediastinal mass or effusion are not completely excluded.  I would recommend if there is further concern for a lesion in this area, a thoracic CT for further evaluation._x000D_
_x000D_
3.  Aerophagia and recent meal._x000D_
_x000D_
4.  Mild bilateral cubital osteoarthritis._x000D_
_x000D_
5.  Excessive body habitus.</t>
  </si>
  <si>
    <t xml:space="preserve">
1.MILD BRONCHOINTERSTITIAL PULMONARY PATTERN; MILD DYNAMIC AIRWAY DISEASE; ATELECTASIS or less likely, pneumonia._x000D_
2.Based on these AI airway/pulmonary findings, the probability of this patient having clinically detectable respiratory signs is MEDIUM (50%)_x000D_
3.Are respiratory signs present? If YES._x000D_
4.The cardiac silhouette size is normal._x000D_
5.Are respiratory signs present? If NO.</t>
  </si>
  <si>
    <t>3 views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Cervical ribs are visible on C7.  There appears to be duplication of the dorsal spinous process of T1, although obliquity of the VD view limits evaluation.</t>
  </si>
  <si>
    <t>Radiographically normal thorax for patient of this age.  Suspect spina bifida at T1.</t>
  </si>
  <si>
    <t xml:space="preserve">
1.MILD to MODERATE INTERSTITIAL TO ALVEOLAR PATTERN; MILD DYNAMIC AIRWAY DISEASE._x000D_
2.Based on these AI airway/pulmonary findings, the probability of this patient having clinically detectable respiratory signs is MEDIUM (50%)_x000D_
3.Are respiratory signs present? If YES._x000D_
4.Are respiratory signs present? If NO._x000D_
5.There is no evidence of PERIHILAR INFILTRATE or PULMONARY NODULES._x000D_
6.Pleural fissure lines or small volume pleural effusion has been detected. In a mildly overweight animal, excessive pericardial fat can artifactually mimic the result of minimal pleural effusion._x000D_
7.Minimal cardiomegaly has been detected but Heart Failure is NOT suspected.</t>
  </si>
  <si>
    <t>A three view thoracoabdominal study is provided for interpretation._x000D_
_x000D_
There is a moderate bronchial pattern. The prominent bronchial markings is due to a combination of bronchial wall thickening in bronchial mineralization. There is an exceptional a subtle but possibly suspicious focal increase in alveolar opacity in the caudal dorsal costophrenic angle of the lung in the lateral views that could correspond the subtle increased opacity superimposed over the diaphragm and right 10th rib in the VD view. There is mild to moderate dynamic narrowing of the caudal cervical trachea. The heart is at the upper end of normal size range. No pleural effusion is seen. No laryngeal abnormalities are identified._x000D_
_x000D_
There is a small quantity of soft tissue dense ingesta in the stomach. Some of the ingesta in the fundic region has a formed irregular appearance. No dilation the stomach or intestine is seen. The liver is at the upper end of normal size range. The other abdominal organs are within normal limits. Serosal detail in the abdomen is normal. No mass lesions are seen._x000D_
_x000D_
There is moderate to severe spondylosis and disc space narrowing involving the caudal cervical spine. There is severe disc space narrowing and spondylosis from T11 to L1 and at L2-L3. No destructive bone lesions are identified.</t>
  </si>
  <si>
    <t>There is a moderate bronchial pattern. The appearance is compatible with chronic bronchitis of and idiopathic or allergic nature or prominent age related changes. Infectious causes are considered unlikely, but there is one very subtle focal area of opacity in the right caudal dorsal lung. This is subtle enough as to potentially be completely artifactual. However, a focal pneumonia secondary to aspiration of a foreign body such as a grass awn cannot be excluded._x000D_
_x000D_
The tracheal narrowing is not severe enough to be diagnostic for clinical tracheal collapse._x000D_
_x000D_
No significant abdominal abnormalities are identified._x000D_
_x000D_
There is evidence of chronic disc degeneration in the cervical and thoracolumbar spine.</t>
  </si>
  <si>
    <t>The focally suspicious opacity in the caudal dorsal lung is subtle enough as to potentially be artifact. CT would probably be necessary for more definitive evaluation._x000D_
_x000D_
The pulmonary pattern is consistent with chronic lower airway disease. Chronic bronchitis is suspected but relevance to the short-term history of respiratory signs is unknown._x000D_
Metabolic or systemic infectious disease should still be ruled out with appropriate labwork.</t>
  </si>
  <si>
    <t xml:space="preserve">
1.Mild cardiomegaly has been detected but Heart Failure is NOT suspected._x000D_
2.MODERATE INTERSTITIAL TO ALVEOLAR INFILTRATE; MILD BRONCHIAL PATTERN; MINIMAL PERIHILAR INFILTRATE._x000D_
3.Based on these AI airway/pulmonary findings,  the probability of this patient having clinically detectable respiratory signs is HIGH (75%)_x000D_
4.Are respiratory signs present? If YES._x000D_
5.Are respiratory signs present? If NO.</t>
  </si>
  <si>
    <t>Four radiographs of the thorax are provided. The cardiac silhouette is upper normal size. Pulmonary vessels are normal size. There are no abnormalities in the pulmonary parenchyma or pleural space. Normal tracheal diameter. No narrowed cervicothoracic intervertebral disc spaces. Vertebral alignment is normal. Normal proximal thoracic limbs. Large volume kibble-like soft tissue density and small mineral opaque debris in the stomach is likely incidental.</t>
  </si>
  <si>
    <t>Normal thorax. No definitive spinal abnormalities are appreciated. With the history provided, and a non-mineralized intervertebral disc protrusion/extrusion is most likely.</t>
  </si>
  <si>
    <t>This patient may benefit from anti-inflammatories and strict rest. If there is no improvement or the patient develops neurologic deficits, consultation with a neurologist and advanced spinal imaging with MRI should be considered.</t>
  </si>
  <si>
    <t xml:space="preserve">
1.A minimal interstitial pulmonary pattern with a concurrent, minimal perihilar infiltrate have been detected._x000D_
2.A moderate bronchointerstitial pulmonary pattern detected._x000D_
3.The cardiac silhouette size is normal._x000D_
4.There is no evidence of DYNAMIC AIRWAY COLLAPSE or BRONCHIECTASIS.</t>
  </si>
  <si>
    <t>Study:_x000D_
Thoracic and abdominal radiography: five images dated September 5,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normal. The stomach is empty. The small intestines are gas and fluid-filled and normal in size and course. The colon contains gas and poorly formed fecal material. The liver extends moderately beyond the costal arch with smooth margins. The spleen is normal in size and margin. The renal silhouettes are normal in size and shape. The urinary bladder is normal in size and opacity. There is mild bilateral elbow periarticular bone formation. The T 13 vertebra is transitional. The T 12-T 13 intervertebral disc space is narrowed with sclerotic endplates and moderate spondylosis deformans. The L3-L4 intervertebral disc space also appears narrowed on both lateral projections.</t>
  </si>
  <si>
    <t>1. The gastrointestinal tract is unremarkable. There is no radiographic evidence of gastrointestinal foreign material or small intestinal mechanical obstruction. Abdominal sonography, a G.I. panel, resting cortisol level testing and intestinal biopsies can be considered for further evaluation of the recurrent/chronic hematemesis._x000D_
2. The generalized hepatomegaly is nonspecific. Rule out metabolic/vacuolar hepatopathy, hyperplasia, hepatitis or infiltrative neoplasia. Sonography can be considered for further evaluation._x000D_
3. Normal thorax._x000D_
4. T 12-T 13 and L3-L4 intervertebral disc disease._x000D_
5. Mild bilateral shoulder osteoarthrosis.</t>
  </si>
  <si>
    <t xml:space="preserve">
1.MILD BRONCHIAL PATTERN; MILD PERIHILAR PATTERN._x000D_
2.The cardiac silhouette size is normal._x000D_
3.There is no evidence of ALVEOLAR PATTERN, DYNAMIC AIRWAY COLLAPSE or BRONCHIECTASIS, PULMONARY NODULES or PLEURAL EFFUSION._x000D_
4.Based on these AI airway/pulmonary findings, the probability of this patient having clinically detectable respiratorysigns is LOW (25%)_x000D_
5.Are respiratory signs present? If YES._x000D_
6.Are respiratory signs present? If NO.</t>
  </si>
  <si>
    <t>Three radiographs of the thorax/abdomen are provided. Images dated 6/28/22 are available for comparison. There is new development of mild generalized cardiac silhouette enlargement. Subsequent dorsal deviation of the thoracic trachea and mainstem bronchi. No definitive abnormalities in the pulmonary parenchyma. There is no pleural effusion. Mild narrowed cervical trachea on the left lateral view. In the abdomen the liver is upper normal size with smooth margins. No peritoneal effusion. Normal-sized spleen and left kidney. The right kidney is incompletely visible. No radiopaque cystic calculi. Narrowed L2-3 intervertebral disc space, with increased opacity overlying the foramen. This is more pronounced than on the previous study.</t>
  </si>
  <si>
    <t>1. Mild generalized cardiomegaly consistent with acquired mitral and tricuspid valve disease. There is no evidence of pulmonary venous congestion or heart failure today. Increased vagal tone may be responsible for syncopal episodes._x000D_
2. Possible cervical tracheal collapse._x000D_
3. Normal abdomen._x000D_
4. Progressive change at L2-3 suggestive of intervertebral disc disease.</t>
  </si>
  <si>
    <t>An ECG and echocardiogram are recommended.</t>
  </si>
  <si>
    <t xml:space="preserve">
1.Pleural fissure lines or moderate pleural effusion has been detected. An overlying skin fold or in a moderately overweight animal, excessive pericardial fat could artifactually mimic the result of moderate pleural effusion._x000D_
2.Severe cardiomegaly has been detected but Heart Failure is NOT suspected._x000D_
3.Are respiratory signs present? If NO._x000D_
4.MILD BRONCHOINTERSTITIAL PULMONARY PATTERN WITH ATELECTASIS or LESS LIKELY, PNEUMONIA, MILD PERIHILAR INFILTRATE._x000D_
5.Probability these AI pulmonary findings will accompany clinically detectable respiratory signs: MILD TO MODERATE (25-50%)_x000D_
6.Are respiratory signs present? If YES.</t>
  </si>
  <si>
    <t>THORAX (2 images) and ABDOMEN (3 images):
Images are dated September 5, 2024.
Pulmonary parenchyma: A minimal to mild diffuse bronchial and interstitial pattern is present.
Pulmonary vasculature: The pulmonary vasculature is subjectively normal in size and tapers in the periphery of the lungs.
Cardiac silhouette: The cardiac silhouette is normal in size and shape.
Mediastinum: The cranial mediastinum is widened symmetrical, exacerbated by obliquity in the ventrodorsal image.
Trachea: The trachea is normal.
Esophagus: The esophagus is not well-identified.
Pleural space: The pleural space is normal.
Liver: The liver is slightly small with cranial displacement of the gastric axis.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Gastric rugal folds are prominent.  Gas is in the pylorus in the left lateral image.  The stomach is within normal limits for size.
In the left mid-ventral abdomen a segment of presumed small intestine contains ovoid soft tissue material and mild gas.  In the right lateral image, an ovoid soft tissue structure with a subjectively thick wall and small lucent center is suspected in an intestinal segment in the mid-abdomen.  This is not definitively identified as the colon.  Some intestinal segments contain moderate gas in throughout the abdomen.
Musculoskeletal: Multifocal narrow or wedge-shaped thoracic vertebrae are present,  Spondylosis deformans is suspected atT13-L1.  T13-L1 is subjectively narrowed.  Caudal vertebral anomalies consistent with breed are present (screw tail anomaly).  The remaining included musculoskeletal structures are normal.</t>
  </si>
  <si>
    <t>1. Suspected small intestinal foreign material and mechanical ileus or given reported history unlikely colonic material.
2. Prominent gastric rugal folds such as from non-specific gastritis versus variation of normal.
3. Minimal to mild diffuse bronchial and interstitial pulmonary pattern. 
- Differential diagnoses include hypoinflation, artifact from patient conformation, fibrosis from prior disease, age-related changes, or less likely infectious/immune-mediated lower airway disease or unlikely other.
4. Microhepatia versus artifact from positioning. 
- If present, consider occult portosystemic shunting vessel or unlikely other.
5. Widened cranial mediastinum due to fat deposition and breed conformation, or unlikely lymphadenomegaly or other.</t>
  </si>
  <si>
    <t>Consider pneumocolonogram to confirm the position of the colon.  Compression radiographs over the mid-abdomen and suspicious small intestinal segments, versus abdominal ultrasonography for confirmation of suspected small intestinal mechanical ileus.  Exploratory celiotomy, routine blood work, and retrieval of suspected small intestinal material if mechanical ileus is confirmed.  Empirical therapy and supportive care in the interim as needed.  Monitoring as directed or sooner if clinical signs acutely change, fail to improve or worsen.</t>
  </si>
  <si>
    <t>3 views of the thorax are presented for review.  The cardiovascular structures are normal.  There is a diffuse interstitial pulmonary pattern that is considered appropriate for the age of the patient.  A large soft tissue mass is present in the right caudal lung lobe.  Thin pleural fissure lines are seen.  No additional pulmonary nodules or enlarged intrathoracic lymph nodes are seen.  The mediastinal structures are normal.  Cranial abdominal detail is adequate.</t>
  </si>
  <si>
    <t>Right caudal lung lobe mass concerning for primary pulmonary neoplasia.  Scant pleural effusion.</t>
  </si>
  <si>
    <t xml:space="preserve">
1.PULMONARY NODULES or NODULAR PATTERN; PLEURAL EFFUSION or PLEURAL FISSURE LINES; SEVERE INTERSTITIAL TO ALVEOLAR PATTERN; MODERATE BRONCHIAL PATTERN; DYNAMIC AIRWAY DISEASE._x000D_
2.Based on the AI airway/pulmonary findings, the probability of this patient having clinically detectable respiratory signs is VERY HIGH (&gt;75%)_x000D_
3.The evaluation has detected soft tissue pulmonary nodules and pleural fluid._x000D_
4.In older dogs, a pulmonary mass or pulmonary nodules, pulmonary hemorrhage, pleural effusion or PTE are primary considerations._x000D_
5.In the ABSENCE of respiratory signs, lung lobe collapse or severe atelectasis secondary to anesthesia or deep sedation could artifactually create this appearance._x000D_
6.If this AI evaluation is inconsistent with your assessment or the clinical picture, a Vetology AI overread may be beneficial._x000D_
7.The cardiac silhouette size is normal.</t>
  </si>
  <si>
    <t>Study:_x000D_
Thoracic radiography: three images dated September 5, 2024_x000D_
_x000D_
Findings:_x000D_
The cardiac silhouette and pulmonary vasculature are normal in size. There is a mild generalized bronchointerstitial pulmonary pattern. No pulmonary nodules or masses are present.. The pleural space is normal. There is no intrathoracic lymphadenopathy. The trachea is normal in diameter and course. There is mild to moderate multifocal spondylosis deformans. Mild periarticular information is present at the caudodistal aspect the humeral head bilaterally. There is moderate bilateral elbow periarticular bone formation.</t>
  </si>
  <si>
    <t>1. There is no radiographic evidence of pulmonary metastatic disease. _x000D_
2. In the absence of any reported respiratory signs, the mild generalized bronchointerstitial pulmonary pattern is likely a benign age-related change. Allergic, inflammatory, infectious, inhaled irritant or parasitic bronchitis cannot be completely excluded._x000D_
3. Mild bilateral shoulder and moderate bilateral elbow osteoarthrosis.</t>
  </si>
  <si>
    <t>THORAX (3 images):
Images are dated September 5, 2024.
Prior images dated September 1, 2023 are available. 
Pulmonary parenchyma: A minimal to mild diffuse bronchial pattern is present. A minimal diffuse interstitial pattern is present, and the lungs are minimally hypoinflated.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</si>
  <si>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Minimal-mild diffuse bronchial and interstitial pulmonary patterns.
- Differential diagnoses include infectious/immune-mediated lower airway disease (mycoplasma spp., bordetella spp., parasitism such as lung worms, inhaled allergen/irritant), or fibrosis from prior disease, age-related changes or a combination of these or unlikely other.</t>
  </si>
  <si>
    <t>Consider respiratory PCR panel, airway sampling, and empirical deworming/fecal analysis for further evaluation.  Empirical therapy and supportive care in the interim as needed. Monitoring as directed or sooner if clinical signs acutely change, fail to improve or worsen.</t>
  </si>
  <si>
    <t xml:space="preserve">
1.The cardiac silhouette size is normal._x000D_
2.There is no evidence of ALVEOLAR PATTERN, DYNAMIC AIRWAY COLLAPSE or BRONCHIECTASIS, PULMONARY NODULES or PLEURAL EFFUSION._x000D_
3.A minimal bronchial pattern has been detected.</t>
  </si>
  <si>
    <t>6 views of the thorax and abdomen are submitted for review.  The cardiac silhouette is normal in size and shape.  The pulmonary vasculature is normal in size and tapers as it extends into the periphery.  No significant pulmonary parenchymal abnormalities are noted.  No intrathoracic lymphadenopathy or pleural effusion is seen.  Linear soft tissue opacity summates with the lumen of the trachea on both lateral views.  The intrathoracic trachea is normal in diameter._x000D_
In the abdomen, the stomach and small bowel are within normal limits.  Formed stool is noted in the colon.  The liver is normal in size and shape.  The spleen is prominent with smooth serosal margins.  The renal silhouettes are normal.  The urinary bladder is not well-visualized.  Serosal detail is adequate._x000D_
No osseous abnormalities are seen.</t>
  </si>
  <si>
    <t>The appearance of the trachea is consistent with dynamic tracheal collapse as with chondromalacia, redundant dorsal trachealis muscle, or possibly incidental superimposition artifact.  Clinical correlation is recommended for significance._x000D_
The prominence of the spleen is likely associated with venous congestion related to anesthesia.  Otherwise, radiographically normal thorax and abdomen.</t>
  </si>
  <si>
    <t>Correlation with clinical palpation of the trachea may be helpful.</t>
  </si>
  <si>
    <t>Three radiographs of the thorax, and three views of the abdomen are provided. The heart is a normal size and shape. Pulmonary vessels are normal size. Faint bronchial markings is normal for the age of this patient. There are no soft tissue pulmonary nodules, pleural effusion, or enlarged intrathoracic lymph nodes._x000D_
_x000D_
In the abdomen there is reduced serosal detail in the cranial right quadrant on the VD projection, otherwise is normal. Moderate volume kibble-like soft tissue density in the stomach. Small intestines are minimally filled. Moderate volume of formed feces in the colon. Normal-sized liver, left kidney, spleen. The right kidney is obscured. No radiopaque cystic calculi. Mild degenerative change in the left coxofemoral joint.</t>
  </si>
  <si>
    <t>Reduced serosal detail in the cranial right quadrant is most likely due to size of the patient, with scatter artifact. Focal inflammation such as can be seen with gastritis/pancreatitis is given lesser consideration in the absence of associated clinical signs. Otherwise normal abdomen and thorax.</t>
  </si>
  <si>
    <t>Current diagnostics are appropriate.</t>
  </si>
  <si>
    <t>THORAX (3 radiographs are available for review).  No previous examinations are available for comparison._x000D_
_x000D_
- Mild, diffuse, mixed bronchial and unstructured interstitial pulmonary pattern._x000D_
- Soft tissue opaque band dorsally overlying the trachea in the caudal cervical region extending through the thoracic inlet. _x000D_
- The cardiac silhouette is within normal limits for size, shape and margins._x000D_
- The pulmonary vasculature is normal._x000D_
- The remaining included intrathoracic structures are normal._x000D_
- The liver is mildly enlarged, extending caudal to the costal arch with rounded margins._x000D_
- The remaining cranial abdominal structures are normal besides mild aerophagia._x000D_
- Minimal multifocal vertebral spondylosis deformans.</t>
  </si>
  <si>
    <t>1.  Mild, diffuse bronchointerstitial pulmonary pattern.  This is a nonspecific finding and may reflect chronic lower airway/airspace disease (such as bronchitis and potentially pulmonary interstitial fibrosis).  A component of this can be expected due to normal age-related airway degeneration._x000D_
_x000D_
2.  The appearance of the trachea at the level of the thoracic inlet can be compatible with tracheal collapse secondary to chondromalacia.  The patient is an atypical signalment (Daschund) for this pathology, however nonetheless the pathology is considered given the radiographic appearance._x000D_
_x000D_
3. Mild hepatomegaly. Most likely vacuolar (metabolic) hepatopathy. Hepatitis, hepatic congestion or neoplasia are less likely, but possible._x000D_
_x000D_
4.  Aerophagia.</t>
  </si>
  <si>
    <t xml:space="preserve">
1.Are respiratory signs present? If YES._x000D_
2.Are respiratory signs present? If NO._x000D_
3.MILD BRONCHOINTERSTITIAL PULMONARY PATTERN; MINIMAL DYNAMIC AIRWAY DISEASE._x000D_
4.Based on these AI airway/pulmonary findings, the probability of this patient having clinically detectable respiratory signs is LOW to MEDIUM (25-50%)_x000D_
5.Pleural fissure lines or small volume pleural effusion has been detected. In a mildly overweight animal, excessive pericardial fat can artifactually mimic the result of minimal pleural effusion._x000D_
6.Mild cardiomegaly has been detected but Heart Failure is NOT suspected.</t>
  </si>
  <si>
    <t>Study:_x000D_
Thoracic and abdominal radiography: six images dated September 5, 2024_x000D_
_x000D_
Findings:_x000D_
The cardiac silhouette and pulmonary vasculature are normal in size. There is a mild generalized bronchointerstitial pulmonary pattern. The pleural space is normal. There is no intrathoracic lymphadenopathy. The trachea is normal in diameter and course. The stomach and some small intestinal segments contain unstructured heterogeneous/granular soft tissue material presumed to be ingesta. The colon contains gas and formed fecal material with a normal diameter. The liver is moderately enlarged with smooth and rounded margins. The spleen is normal in size and margin. The renal silhouettes are normal in size and contour. The urinary bladder is normal in size and opacity. There is mild T8-T9, mild T9-T 10 and moderate L7-S1 spondylosis deformans.</t>
  </si>
  <si>
    <t>1. The moderate generalized hepatomegaly is nonspecific. Rule out metabolic/vacuolar hepatopathy, hyperplasia, hepatitis or infiltrative neoplasia. Sonography can be considered for further evaluation._x000D_
2. In the absence of any reported respiratory signs, the mild generalized bronchointerstitial pulmonary pattern is likely a benign age-related change. Allergic, inflammatory, infectious, inhaled irritant or parasitic bronchitis cannot be excluded. Airway sampling plus/minus heartworm testing and Baermann fecal flotation can be considered to further evaluate for lower disease if clinically relevant.</t>
  </si>
  <si>
    <t>Study:_x000D_
Thoracic radiography: six images dated September 5, 2024_x000D_
_x000D_
Findings:_x000D_
The cardiac silhouette and pulmonary vasculature are normal in size. The pulmonary parenchyma is unremarkable. The pleural space is normal. There is no intrathoracic lymphadenopathy. The soft palate appears thickened on the left lateral projection timestamped 9:44 AM and the right lateral projection timestamped 9:37 AM. The trachea is normal for patient signalment. The stomach contains unstructured heterogeneous soft tissue material presumed to be ingesta. The 13th ribs are hypoplastic.</t>
  </si>
  <si>
    <t>1. As stated above, the soft palate appears thickened. This may be secondary to inflammation/edema. Consider sedated oropharyngeal/laryngeal exam for further evaluation._x000D_
2. The thorax is unremarkable. There is no evidence of cardiopulmonary disease.</t>
  </si>
  <si>
    <t xml:space="preserve">
1.A mild to moderate, diffuse mixed bronchointerstitial pattern with concurrent dynamic airway disease have been detected._x000D_
2.Mild dynamic airway disease has been detected._x000D_
3.The cardiac silhouette size is normal.</t>
  </si>
  <si>
    <t>5 images of the thorax are provided for review.  The cardiovascular structures are normal.  Alveolar opacity is present in the right cranial and middle, and cranial subsegment of left cranial lung lobes.  The mediastinal and pleural structures are normal.  Cranial abdominal detail is adequate.</t>
  </si>
  <si>
    <t>Alveolar pulmonary pattern concerning for aspiration type pneumonia.</t>
  </si>
  <si>
    <t>Opposite lateral and ventrodorsal thoracic and abdominal radiographs (7 images) dated September 5, 2024._x000D_
_x000D_
_x000D_
_x000D_
The cardiac silhouette, pulmonary vasculature, and great vessels are within normal limits. The pulmonary parenchyma as conspicuous bronchial markings that maintain thin walls, most compatible with bronchial wall mineralization=ZZ90= this is typically considered and incidental finding in older dogs and those with endocrine disorders. No pulmonary nodules, infiltrates, or other pathology is detected. The pleural space and diaphragm are normal. No mediastinal abnormalities are appreciated. The trachea is normal in diameter and course with gas filling its lumen. No intrathoracic lymphadenopathy is evident._x000D_
_x000D_
The liver is unremarkable in size and shape. There is an oblong shaped mass effect associated with the spleen in the left central abdomen, resulting in total displacement of the small bowel. The urinary bladder is fairly fluid-filled. The kidneys are not well visualized due to superimposed viscera. The stomach contains a fair amount of heterogeneous ingesta. The small bowel is unremarkable in diameter with most segments empty or containing a small amount of ingesta and gas. The colon contains gas and poorly formed stool. Peritoneal detail is adequate. No regional lymphadenopathy is evident._x000D_
_x000D_
Both shoulders have moderate periarticular bony remodeling affecting them. Degenerative changes are evident in at least the left but likely both stifles based on the visible portions of them. Bony remodeling is affecting both lesser trochanters. The hips and remainder of the pelvis are unremarkable. There is multifocal thoracolumbar and lumbosacral spondylosis deformans without evidence of disc space narrowing. No aggressive osseous lesions are identified.</t>
  </si>
  <si>
    <t>1. Mass effect associated with the spleen. Rule out a splenic mass (malignant =ZZ93= benign) vs. less likely diffuse splenomegaly with splenic folding vs. unlikely torsion._x000D_
2. The colonic content is suggestive of loose stool/diarrhea. There is no evidence of a small intestinal mechanical obstruction. The gastric content most close resembles normal ingesta=ZZ90= clinically significant foreign material mixed in with ingesta cannot be completely ruled out._x000D_
3. Normal thorax with no evidence of metastatic neoplasia._x000D_
4. Bilateral shoulder and stifle osteoarthritis._x000D_
5. Bilateral insertional iliopsoas enthesopathy at the lesser trochanters. This can be clinically relevant._x000D_
6. Multifocal spondylosis deformans.</t>
  </si>
  <si>
    <t>Fasted and sedated abdominal ultrasound to confirm the splenic pathology and to screen for visceral metastasis._x000D_
CBC, Chem, UA, thyroid, BP, fecal._x000D_
Discuss splenectomy, mass histopathology. Oncology consultation based on results.</t>
  </si>
  <si>
    <t>Study:_x000D_
Thoracolumbar/lumbosacral spinal and pelvic radiography: 10 images dated August 15, 2024_x000D_
_x000D_
Findings:_x000D_
There is mild to moderate spondylosis deformans from L1 to L4. There is no intervertebral disc space or foraminal narrowing. There is no evidence of discospondylitis. The coxofemoral joints are unremarkable with good coverage of the femoral head by the acetabulum bilaterally. There are multiple indistinct mineral opacities adjacent to the greater trochanter of the right femur. The pelvic limb musculature is bilaterally symmetric. The included thorax and abdomen are unremarkable.</t>
  </si>
  <si>
    <t>1. The imaged spine is unremarkable. The lack of any apparent intervertebral disc space narrowing does not exclude the possibility of intervertebral disc disease. Neurology consultation and MRI can be considered for further evaluation if the clinical signs persist or worsen in spite of strict activity restriction, pain management and corticosteroid therapy._x000D_
2. Right gluteal enthesopathy.</t>
  </si>
  <si>
    <t xml:space="preserve">
1.SEVERE INTERSTITIAL TO ALVEOLAR PATTERN; PULMONARY NODULES OR MASS LESION; PLEURAL FLUID or PLEURAL THICKENING; MILD BRONCHIAL PATTERN; MINIMAL DYNAMIC AIRWAY DISEASE._x000D_
2.Based on these AI airway/pulmonary findings, the probability of this patient having clinically detectable respiratorysigns is VERY HIGH (&gt;75%)_x000D_
3.The evaluation has come up positive for a pulmonary nodular pattern and pleural fissure lines or pleural effusion._x000D_
4.The cardiac silhouette size is normal._x000D_
5.Are respiratory signs present? If YES._x000D_
6.Are respiratory signs present? If NO.</t>
  </si>
  <si>
    <t>Study:_x000D_
Thoracic radiography: three images dated September 4, 2024_x000D_
_x000D_
Findings:_x000D_
There is moderate generalized cardiomegaly (VHS approximately 12). The pulmonary vasculature is normal in size. There is a mild to moderate generalized bronchointerstitial pulmonary pattern. The pleural space is normal. There is no intrathoracic lymphadenopathy. The trachea is normal in diameter. There is no lobar bronchi narrowing. There is no esophageal dilation. The included abdomen is unremarkable. There is mild L1-L2 spondylosis deformans. The patient is of overweight body condition.</t>
  </si>
  <si>
    <t>1. Moderate generalized cardiomegaly. Rule out dilated cardiomyopathy versus degenerative valve disease. Echocardiography can be considered for further evaluation._x000D_
2. The diffuse bronchointerstitial pulmonary pattern is a nonspecific finding. This could be a benign age-related change or could indicate allergic, inflammatory, infectious, inhaled irritant or parasitic bronchitis. While heart disease is suspected, interstitial cardiogenic pulmonary edema with peribronchial cuffing is considered a less likely differential. Airway sampling plus/minus heartworm testing and Baermann fecal flotation can be considered to further evaluate for lower disease. Laryngeal paralysis should also be considered as a potential cause of the respiratory signs.</t>
  </si>
  <si>
    <t xml:space="preserve">
1.Are respiratory signs present? If YES._x000D_
2.The cardiac silhouette size is normal._x000D_
3.A mild bronchial pattern has also been detected._x000D_
4.Are respiratory signs present? If NO._x000D_
5.PLEURAL EFFUSION or less likely, OVERLYING SKIN FOLDS MIMICKING PLEURAL FLUID; PULMONARY NODULAR PATTERN likely due to END ON PULMONARY VESSELS, PROMINENT COSTOCHONDRAL JUNCTIONS or OVERLYING CUTANEOUS NODULES; MILD BRONCHIAL PATTERN._x000D_
6.Based on these AI airway/pulmonary findings, the probability of this patient having clinically detectable respiratory signs is HIGH (75%)_x000D_
7.Pleural fissure lines or moderate to severe pleural effusion has been detected._x000D_
8.The evaluation has a strong suspicion of pulmonary nodules or mass lesion being present._x000D_
9.MODERATE INTERSTITIAL to ALVEOLAR INFILTRATE; MILD BRONCHIAL PATTERN._x000D_
10.Based on the AI airway/pulmonary findings, the probability of this patient having clinically detectable respiratory signs is HIGH (75%)</t>
  </si>
  <si>
    <t>Four radiographs of the abdomen are provided. There is mild left atrial enlargement. Possible mild elongation of the left ventricle. Pulmonary arteries and veins are symmetric and taper towards the periphery. There are no abnormalities in the pulmonary parenchyma. No pleural effusion. Mild narrowed left mainstem bronchus. Redundant dorsal trachealis membrane in the cervical region on the lateral views. Normal cranial abdomen.</t>
  </si>
  <si>
    <t>1. Suspect cervical tracheal collapse, most likely cause for coughing. This should be correlated with characteristic of the cough and tracheal palpation._x000D_
2. Mild left atrial enlargement and equivocal prominent left ventricle consistent with acquired mitral valve disease. There is no pulmonary venous congestion or heart failure, however there is mainstem bronchial compression which could also be responsible for the cough.</t>
  </si>
  <si>
    <t>Recommend utilization of a body harness in place of a neck lead and an echocardiogram.</t>
  </si>
  <si>
    <t xml:space="preserve">
1.Respiratory signs: YES._x000D_
2.Respiratory signs: NO._x000D_
3.A moderate bronchointerstitial pattern with a concurrent alveolar infiltrate and perihilar opacity has been detected._x000D_
4.Probability these AI pulmonary findings will accompany clinically detectable respiratory signs: MEDIUM to HIGH (50-75%%)_x000D_
5.If left atrial enlargement is present, that could contribute to the perihilar finding (see cardiac findings below)._x000D_
6.Severe cardiomegaly has been detected but Heart Failure is NOT suspected.</t>
  </si>
  <si>
    <t>Orthogonal views of the thorax are provided:_x000D_
_x000D_
Thorax:_x000D_
_x000D_
Cardiac silhouette has a normal shape and size._x000D_
Pulmonary vessels are within normal limits of size and shape._x000D_
Pulmonary parenchyma shows an oval and poorly marginated pulmonary mass dorsally located in the right caudal lung lobe. Associated there is a concomitant pulmonary nodule in the right cranial lung lobe._x000D_
Pleural space, mediastinum, diaphragm and thoracic wall within normal limits._x000D_
_x000D_
Unremarkable abdomen. _x000D_
Multifocal signs of chronic IVDD._x000D_
Bilateral hip dysplasia with DJD.</t>
  </si>
  <si>
    <t>1) Solitary pulmonary mass in the right caudal lung lobe most consistent with a primary pulmonary neoplasia with a pulmonary metastatic nodule in the right cranial lung lobe.</t>
  </si>
  <si>
    <t>Consider a CT of the thorax to rule out other metastatic nodules and tracheobronchial lymphadenopathy with US guided FNAs of the mass.</t>
  </si>
  <si>
    <t xml:space="preserve">
1.Are respiratory signs present? If YES._x000D_
2.The cardiac silhouette size is normal._x000D_
3.There is no evidence of PLEURAL EFFUSION._x000D_
4.Are respiratory signs present? If NO._x000D_
5.MODERATE ALVEOLAR INFILTRATE; DIFFUSE BRONCHOINTERSTITIAL PATTERN; PERIHILAR OPACITY._x000D_
6.Based on the AI airway/pulmonary findings, the probability of this patient having clinically detectable respiratory signs is MEDIUM (50%)</t>
  </si>
  <si>
    <t>Oncologist consultation.</t>
  </si>
  <si>
    <t>Orthogonal views of the thorax are provided:_x000D_
_x000D_
Thorax:_x000D_
_x000D_
There is marked cervical tracheal collapse._x000D_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t>
  </si>
  <si>
    <t>1) Findings consistent with cervical tracheal collapse. Unremarkable lungs do not exclude a bronchitis of allergic vs inflammatory/infectious or parasitic origin. No signs of pulmonary metastases nor signs of thoracic lymphadenopathy.</t>
  </si>
  <si>
    <t>Consider fluoroscopy (followed by tracheobronchoscopy, BAL and culture/cytology) to rule in extrathoracic tracheal collapse and to rule in/out intrathoracic vs bronchial component, evaluating treatment options. Take advantage of the bronchoscopy to further evaluate the larynx given 30% of patients with tracheal collapse display different degrees of laryngeal paralysis.</t>
  </si>
  <si>
    <t>THORAX (5 images):
Images are dated September 4, 2024.
Pulmonary parenchyma: A mild diffuse bronchial pattern is present.  A minimal diffuse interstitial pattern is present, and the lungs are mildly hypoinflated.  
Pulmonary vasculature: The pulmonary vasculature is subjectively normal in size and tapers in the periphery of the lungs.
Cardiac silhouette: The cardiac silhouette is  tall in the lateral images with dorsal tracheal displacement.  
Mediastinum: The cranial mediastinum is normal.
Trachea: The trachea is normal.
Esophagus: The esophagus is not well-identified.
Pleural space: The pleural space is normal.
Musculoskeletal: The included musculoskeletal structures are normal.</t>
  </si>
  <si>
    <t xml:space="preserve">1. Mild left ventricular enlargement likely exacerbated by hypoinflation/obliquity.
- The primary differential diagnosis is myxomatous mitral valvular disease.
- There is no current evidence of left-sided congestive heart failure.  
2. Mild diffuse bronchial and minimal interstitial pulmonary patterns.
- Differential diagnoses include fibrosis from prior disease, age-related changes, artifact from hypoinflation, or less likely infectious/immune-mediated lower airway disease, or unlikely other.
</t>
  </si>
  <si>
    <t>Consider abdominal imaging for further evaluation of occult systemic disease.  Consider echocardiography, eCG and blood pressure as well as respiratory PCR panel, airway sampling, and fecal analysis/deworming for further evaluation.  Empirical therapy and supportive care in the interim as needed.  Monitoring as directed or sooner if clinical signs acutely change, fail to improve or worsen.</t>
  </si>
  <si>
    <t xml:space="preserve">
1.The cardiac silhouette size is normal._x000D_
2.There is no evidence of BRONCHITIS, ALVEOLAR PATTERN, PERIHILAR INFILTRATE or DYNAMIC AIRWAY COLLAPSE or BRONCHIECTASIS._x000D_
3.A minimal interstitial pattern has been detected.</t>
  </si>
  <si>
    <t>Consider abdominal US to further evaluate the liver and entire abdomen for metastatic spread.</t>
  </si>
  <si>
    <t>Orthogonal views of the thorax are provided:_x000D_
_x000D_
Thorax:_x000D_
_x000D_
No abnormalities seen in the trachea._x000D_
Cardiac silhouette shows a moderate enlargement of the left atrium dorsally displacing the carina._x000D_
Pulmonary vessels are within normal limits of size and shape._x000D_
Pulmonary parenchyma is within normal limits. No evidence of pneumonia nor signs of pulmonary nodules/masses._x000D_
Pleural space, mediastinum, diaphragm and thoracic wall within normal limits.</t>
  </si>
  <si>
    <t>1) Left atrial enlargement secondary to chronic mitral endocardiosis without signs of CHF. Rule out concomitant tricuspid endocardiosis with pulmonary hypertension. Rule out concomitant tricuspid endocardiosis with pulmonary hypertension._x000D_
2) Unremarkable lungs do not exclude a bronchitis of allergic vs inflammatory/infectious or parasitic origin.</t>
  </si>
  <si>
    <t>Consider a cardiology consultation with ECG and echocardiogram followed by empirical treatment for chronic bronchitis evaluating response to treatment.</t>
  </si>
  <si>
    <t xml:space="preserve">
1.In the PRESENCE of respiratory signs, low grade active pneumonitis (allergic, bacterial, parasitic (including heartworm disease), inhaled allergen or toxin) or upper airway disease causing pulmonary hypoinflation and/or recurrent microaspiration may be more likely._x000D_
2.Are respiratory signs present? If NO._x000D_
3.There is no evidence of PLEURAL EFFUSION._x000D_
4.Are respiratory signs present? If YES._x000D_
5.AI linked dynamic airway treatment: https://platform.v2.vetology.net/doc/canine-tracheal-collapse-treatment_x000D_
6.Severe cardiomegaly has been detected but Heart Failure is NOT suspected._x000D_
7.MODERATE DYNAMIC AIRWAY DISEASE; MILD BRONCHOINTERSTITIAL PULMONARY PATTERN +/- PULMONARY HYPOINFLATION._x000D_
8.MILD BRONCHOINTERSTITIAL PULMONARY PATTERN; MINIMAL to MILD PERIHILAR PATTERN._x000D_
9.Based on these AI airway/pulmonary findings, the probability of this patient having clinically detectable respiratory signs is MEDIUM (50%)_x000D_
10.Based on the AI airway/pulmonary findings, the probability of this patient having clinically detectable respiratory signs is LOW (25%)_x000D_
11.In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t>
  </si>
  <si>
    <t>THORAX (3 total radiographs for review). _x000D_
_x000D_
- Cardiac silhouette is moderately enlarged, characterized by straightening of the caudal cardiac margin and increased cardiac height.  There is overt left atrial enlargement identified._x000D_
- The pulmonary vasculature is normal._x000D_
- There is a mild, diffuse bronchial pulmonary pattern present._x000D_
- The trachea, mediastinum, pleural space and remaining included intrathoracic structures are normal._x000D_
- The stomach contains mild gas and gas stippled soft-tissue opaque material._x000D_
- The visible small intestinal segments are mildly distended and homogenously soft tissue opaque.  The colon contains minimal formed fecal material._x000D_
- There is a small broad-based nodule along the cranial ventral thoracic body wall._x000D_
- Poorly distinct hypoplastic ribs originating from L1 (limited assessment).</t>
  </si>
  <si>
    <t>1. Moderate left-sided cardiomegaly, without pulmonary vasculature congestion or congestive heart failure. Most likely compatible with degeneration of the mitral valve.  Radiographically, this seems to be the most likely cause of the reported episode of syncope versus seizure however I cannot completely confirm this.  Consider consultation with a veterinary cardiologist and echocardiography/ECG for further assessment._x000D_
_x000D_
2. Mild diffuse bronchial pattern. Most likely representing age-related lower airway changes, however a component of chronic bronchitis is possible, especially if there is a history of abnormal respiratory sounds, wheezing and/or coughing._x000D_
_x000D_
3.  The appearance of the small intestine and colon can be compatible with a nonspecific generalized functional ileus such as enterocolitis or infiltrative bowel disease (e.g. IBD).  If clinically indicated, imaging of the abdomen might be considered._x000D_
_x000D_
4.  Small cranial ventral thoracic body wall nodule, potentially a lipoma, granuloma or less likely other neoplasm.</t>
  </si>
  <si>
    <t xml:space="preserve">
1.Mild cardiomegaly has been detected but Heart Failure is NOT suspected._x000D_
2.MILD to MODERATE BRONCHINTERSTITIAL PATTERN with ATELECTASIS or less likely, PNEUMONIA; MINIMAL DYNAMIC AIRWAY DISEASE._x000D_
3.Based on these AI airway/pulmonary findings, the probability of this patient having clinically detectable respiratory signs is MEDIUM (50%)_x000D_
4.Are respiratory signs present? If YES._x000D_
5.Are respiratory signs present? If NO.</t>
  </si>
  <si>
    <t>THORAX (3 radiographs are available for review). A previous study is available from 2018._x000D_
_x000D_
- There is a moderate, diffuse bronchial pattern present._x000D_
- There is an indistinct, subtle soft-tissue opaque band dorsally overlying the trachea in the region of the thoracic inlet._x000D_
- The cardiac silhouette and pulmonary vasculature are normal._x000D_
- The remaining intrathoracic structures are normal._x000D_
- There are metallic surgical clips in the right cranial abdomen in the position of the right hepatic division and gallbladder._x000D_
- The spleen is enlarged (limited assessment)._x000D_
- The remaining cranial abdominal structures are normal._x000D_
- Mild multifocal vertebral spondylosis deformans.</t>
  </si>
  <si>
    <t>1. Moderate diffuse bronchial pattern. DDx chronic bronchitis (with potential underlying infectious, inhaled irritant or allergic etiologies) versus normal age-related airway degeneration. Radiographically this seems to be the most likely cause of the patient=ZZ91=s coughing, however a component of tracheal collapse is also considered._x000D_
_x000D_
2. The appearance of the trachea may support tracheal collapse, secondary to chondromalacia._x000D_
_x000D_
3. Prior cholecystectomy or right liver lobectomy._x000D_
_x000D_
4. Splenomegaly. DDx congestion from sedation, lymphoid hyperplasia, EMH, less likely neoplasia.</t>
  </si>
  <si>
    <t xml:space="preserve">
1.Severe cardiomegaly has been detected but Heart Failure is NOT suspected._x000D_
2.Pleural fissure lines or moderate to severe pleural effusion has been detected. An overlying skin fold or in an obese animal, excessive pericardial fat could artifactually mimic the result of severe pleural effusion._x000D_
3.Are respiratory signs present? If NO._x000D_
4.MODERATE DYNAMIC AIRWAY DISEASE; MILD BRONCHOINTERSTITIAL PULMONARY PATTERN +/- PULMONARY HYPOINFLATION._x000D_
5.Based on these AI airway/pulmonary findings, the probability of this patient having clinically detectable respiratory signs is MEDIUM (50%)_x000D_
6.Are respiratory signs present? If YES._x000D_
7.AI linked dynamic airway collapse in dogs: https://platform.v2.vetology.net/doc/canine-tracheal-collapse-treatment</t>
  </si>
  <si>
    <t>Orthogonal views of the thorax and abdomen are provided:_x000D_
_x000D_
Thorax:_x000D_
_x000D_
Cardiac silhouette has a normal shape and size._x000D_
Pulmonary vessels are within normal limits of size and shape._x000D_
Pulmonary parenchyma is within normal limits. No signs of pneumonia._x000D_
Pleural space, mediastinum, diaphragm and thoracic wall within normal limits._x000D_
_x000D_
Abdomen:_x000D_
_x000D_
The stomach is empty._x000D_
Small intestines are mildly gas and fluid filled, not overtly distended. _x000D_
Serosal detail is preserved._x000D_
Liver extends beyond the costal arch with rounded margins._x000D_
Spleen is within normal limits of size and smoothly marginated._x000D_
Kidneys and urinary bladder WNL.</t>
  </si>
  <si>
    <t>1) Unremarkable lungs do not exclude a pharyngitis/pharyngeal or retropharyngeal FB/tonsilitis vs bronchitis of inflammatory/infectious or parasitic origin. _x000D_
2) Hepatomegaly: Metabolic vs Vacuolar infiltration vs Hepatic nodular hyperplasia vs Inflammatory vs Toxic vs Neoplastic or a combination of these differentials.</t>
  </si>
  <si>
    <t>Consider empirical treatment for pharyngitis/tonsilitis/bronchitis (after a negative oral and pharyngeal/laryngeal exam under sedation) evaluating response to treatment._x000D_
Consider abdominal US to further evaluate the liver.</t>
  </si>
  <si>
    <t>THORAX (5 radiographs are available for review)._x000D_
_x000D_
- There is a mass-like widening of the cranial mediastinum, with rightward and mild dorsal displacement of the caudal aspect of the thoracic trachea._x000D_
- There is a moderate, diffuse, mixed bronchial and unstructured interstitial pattern._x000D_
- There is a mild dynamic narrowing of the trachea in the thoracic inlet region._x000D_
- The cardiac silhouette and pulmonary vasculature are normal._x000D_
- The pleural space and trachea are within normal limits._x000D_
- The stomach is moderately distended with gas and contains several small, granular mineral opacities._x000D_
- The remaining cranial abdominal structures are normal._x000D_
- Bilateral glenohumeral osteoarthrosis along the caudal margin of the shoulder joints._x000D_
- Multiple mid- and caudal thoracic hemivertebral segments.</t>
  </si>
  <si>
    <t>1. Mass-like widening of the cranial mediastinum. Although this appearance is somewhat expected in bulldogs due to excessive cranial mediastinal fat deposition, in this case the widening is very prominent and does raise concern for a primary mass lesion, such as a thymoma or lymphoma. For further assessment, T-FAST of the thoracic region (+/- ultrasound guided fine needle aspiration if indicated by imaging results) and/or a thoracic CT might be considered for further evaluation. Consultation with a veterinary oncologist might be reasonable in this case._x000D_
_x000D_
2. Moderate, diffuse bronchointerstitial pulmonary pattern. DDx chronic lower airway disease (e.g. bronchitis +/- pulmonary fibrosis). A component of this appearance can be due to incomplete pulmonary inflation/atelectasis. There is no evidence of pulmonary consolidation to suggest active pneumonia. For further evaluation, thoracic CT would be the preferable modality. Treating the patient for lower airway disease may provide some clinical benefit, especially if the breathing difficulties are multifactorial._x000D_
_x000D_
3. Aerophagia and mild non-specific amorphous sand-like mineral material in the stomach._x000D_
_x000D_
4. Multiple breed related mid- and caudal thoracic hemivertebrae.</t>
  </si>
  <si>
    <t xml:space="preserve">
1.Based on the AI airway/pulmonary findings, the probability of this patient having clinically detectable respiratory signs is MEDIUM to HIGH (50%-75%)_x000D_
2.Are respiratory signs present? If YES._x000D_
3.MODERATE BRONCHOINTERSTITIAL PULMONARY PATTERN; MILD DYNAMIC AIRWAY DISEASE; ATELECTASIS or less likely, pneumonia; MINIMAL PERIHILAR INFILTRATE._x000D_
4.The cardiac silhouette size is normal._x000D_
5.Are respiratory signs present? If NO.</t>
  </si>
  <si>
    <t>Three radiographs of the thorax are provided. Images dated 2/20/24 are available for comparison. The cardiac silhouette is normal size and shape. There are no abnormalities in the pulmonary parenchyma on the lateral views. Lung opacity appears increased on the VD projection due to partial expiration. Small round increased opacities overlying and adjacent to the lungs are end-on pulmonary vessels. There is no pleural effusion. Possible redundant dorsal trachealis membrane in the cervical region. No pleural effusion or esophageal abnormalities.</t>
  </si>
  <si>
    <t>The appearance of the cervical trachea is suggestive of dynamic collapse. This should be correlated with characteristic of the cough and tracheal palpation. No other abnormalities are identified to explain the cough. Inhaled irritant/allergens could be contributing. There is no evidence of cardiovascular disease or pneumonia.</t>
  </si>
  <si>
    <t>Recommend palpate for tracheal sensitivity. This patient may benefit from symptomatic treatment for the cough and utilization of a body harness in place of a neck lead.</t>
  </si>
  <si>
    <t xml:space="preserve">
1.In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2.Are respiratory signs present? If YES._x000D_
3.Pleural fissure lines or small volume pleural effusion has been detected. In a mildly overweight animal, excessive pericardial fat can artifactually mimic the result of minimal pleural effusion._x000D_
4.In the PRESENCE of respiratory signs, low grade active pneumonitis (allergic, bacterial, parasitic (including heartworm disease), inhaled allergen or toxin) or upper airway disease causing pulmonary hypoinflation and/or recurrent microaspiration may be more likely._x000D_
5.Are respiratory signs present? If NO._x000D_
6.The cardiac silhouette size is normal._x000D_
7.Are respiratory signs present? If NO._x000D_
8.Are respiratory signs present? If YES._x000D_
9.MINIMAL to MILD BRONCHOINTERSTITIAL PULMONARY PATTERN; POTENTIAL FOR FOCAL ATELECTASIS._x000D_
10.MILD BROCHIAL/BRONCHOINTERSTITIAL PULMONARY PATTERN; MINIMAL PERIHILAR INFILTRATE._x000D_
11.MILD BRONCHOINTERSTITIAL PULMONARY PATTERN; MINIMAL PERIHILAR PATTERN._x000D_
12.Based on the AI airway/pulmonary findings, the probability of this patient having clinically detectable respiratory signs is LOW (25%)_x000D_
13.Based on these AI airway/pulmonary findings, the probability of this patient having clinically detectable respiratory signs is LOW (25%)_x000D_
14.Based on these AI airway/pulmonary findings, the probability of this patient having clinically detectable respiratorysigns is LOW (25%)</t>
  </si>
  <si>
    <t>Orthogonal radiographs of the thorax/abdomen, and a lateral view of the thorax are provided. The name on the images attached to this request is =ZZ92=??=ZZ92=. There is mild right-sided cardiac silhouette enlargement. There is rounding of the main pulmonary arterial segment. Caudal pulmonary arteries are severely enlarged, tortuous, and blunted. Enlarged cranial lobar arteries as well. A mixed bronchointerstitial pattern is present in the lungs. No pleural effusion. Normal tracheal diameter._x000D_
_x000D_
In the abdomen there is a small accumulation of mineral opaque debris in the stomach, likely incidental. Small bowel and minimally filled. Normal size liver, spleen, kidneys. Formed feces in the distal colon. No radiopaque urolithiasis. Osseous structures are unremarkable.</t>
  </si>
  <si>
    <t>1. Enlarged right heart with severely dilated pulmonary arteries, most consistent with canine heartworm disease. Mixed bronchointerstitial pattern is likely eosinophilic bronchopneumopathy secondary to heartworms. Chronic allergic bronchitis with secondary pulmonary hypertension is given much lesser consideration._x000D_
2. Normal abdomen.</t>
  </si>
  <si>
    <t>Testing for heartworms is recommended.</t>
  </si>
  <si>
    <t xml:space="preserve">
1.Are respiratory signs present? If NO._x000D_
2.PULMONARY NODULES or NODULAR PATTERN; MODERATE TO SEVERE INTERSTITIAL TO ALVEOLAR PATTERN; PLEURAL EFFUSION; MILD BRONCHITIS; MILD PERIHILAR INFILTRATE._x000D_
3.Based on the AI airway/pulmonary findings, the probability of this patient having clinically detectable respiratory signs is VERY HIGH (&gt;75%)_x000D_
4.Are respiratory signs present? If YES._x000D_
5.The evaluation has a strong suspicion of soft tissue pulmonary nodules or mass lesion being present._x000D_
6.Severe cardiomegaly has been detected but Heart Failure is NOT suspected.</t>
  </si>
  <si>
    <t>Two ventral dorsal radiographs of the thorax/proximal thoracic limbs, and three views of the thoracic limbs are provided. No cervical spinal or scapular abnormalities. Both glenohumeral joints are congruent. There is a smoothly contoured thin oblong 1.3 x 0.3 cm mineral opaque fragment cranial to the left humeral greater tubercle, and overlying the cranial aspect of the right greater tubercle. There is no osseous lysis. The cubital joints are congruent. No carpal or manus osseous or soft tissue abnormalities.  In the viewable thorax cardiovascular structures are normal size. No abnormalities in the pulmonary parenchyma. No pleural effusion. Small volume fat deposition in the cranial mediastinum.</t>
  </si>
  <si>
    <t>Changes in both shoulders that is most consistent with supraspinatus tendinopathy. This is the only abnormality identified to explain the lameness. Soft tissue sprain/strain or a lateralized intervertebral disc lesion may also be present but is given lesser consideration.</t>
  </si>
  <si>
    <t>Recommend supportive care with anti-inflammatories. If there is no improvement and the lameness is localized to the shoulder, additional soft tissue imaging with MRI could be considered.</t>
  </si>
  <si>
    <t xml:space="preserve">
1.Are respiratory signs present? If NO._x000D_
2.The evaluation result has a strong suspicion of soft tissue pulmonary nodules being present._x000D_
3.Pleural fissure lines or small volume pleural effusion has been detected. In a mildly overweight animal, excessive pericardial fat can artifactually mimic the result of minimal pleural effusion._x000D_
4.Mild cardiomegaly has been detected but Heart Failure is NOT suspected._x000D_
5.PULMONARY NODULAR PATTERN likely due to END ON PULMONARY VESSELS, PULMONARY OSTEOMAS or COSTOCHONDRAL JUNCTIONS; MILD INTERSTITIAL TO ALVEOLAR PATTERN; MILD BRONCHITIS._x000D_
6.Based on the AI airway/pulmonary findings, the probability of this patient having clinically detectable respiratory signs is LOW to MEDIUM (25-50%)_x000D_
7.Are respiratory signs present? If YES.</t>
  </si>
  <si>
    <t>THORAX (4 radiographs are available for review)._x000D_
_x000D_
- There is a soft-tissue opaque band dorsally overlying the trachea at the level of the thoracic inlet._x000D_
- A mild, diffuse bronchial pattern is appreciated._x000D_
- There is the impression of mild left atrial enlargement, with rounding in the caudodorsal cardiac region and caudal to the carina on the VD image._x000D_
- The pulmonary vasculature, pleural space, and remaining intrathoracic structures are normal._x000D_
- The stomach contains moderate gas and mild gas-stippled soft-tissue opaque material._x000D_
- The remaining cranial abdominal structures are normal._x000D_
- Narrowing of L1-2 intervertebral disc space with endplate sclerosis and spondylosis deformans.</t>
  </si>
  <si>
    <t>1. The appearance of the trachea at the level of the thoracic inlet can be compatible with tracheal collapse, secondary to chondromalacia. Radiographically, this may be the main cause of the patient=ZZ91=s clinical coughing however a component of chronic lower airway disease is possible (given#2)_x000D_
_x000D_
2. Mild diffuse bronchial pattern. DDx age-related lower airway degeneration vs. chronic bronchitis._x000D_
_x000D_
3. Mild left atrial enlargement. This change is subtle and may be due to a normal patient variant however the rounding does exist radiographically and I would recommend monitoring of the cardiac size radiographically and/or considering echocardiogram, ECG and cardiologist consultation for further evaluation._x000D_
_x000D_
4. Aerophagia and relatively recent meal. _x000D_
_x000D_
5. L1-2 intervertebral disc disease (limited assessment).</t>
  </si>
  <si>
    <t xml:space="preserve">
1.Are respiratory signs present? If YES._x000D_
2.Are respiratory signs present? If NO._x000D_
3.MINIMAL BRONCHIAL PATTERN; MINIMAL DYNAMIC AIRWAY DISEASE._x000D_
4.Based on these AI airway/pulmonary findings, the probability of this patient having clinically detectable respiratory signs is LOW (25%)_x000D_
5.The cardiac silhouette size is normal._x000D_
6.There is no evidence of ALVEOLAR PATTERN, PULMONARY NODULES or PLEURAL EFFUSION.</t>
  </si>
  <si>
    <t>Three radiographs of the thorax, VD abdomen, lateral view of the caudal abdomen/pelvis, and craniocaudal view of the mid pelvic limbs are provided. The cardiac silhouette is normal size and shape. Pulmonary vessels are normal size. Mild age-related changes are present in the lungs. Redundant dorsal trachealis membrane causes severe narrowed cervical trachea. Focal mild dorsal position of the cranial thoracic trachea is incidental. No pleural effusion. Normal cervicothoracic spine. Narrowed T11-12 and T13-L1 intervertebral disc spaces. Vertebral alignment is normal. The liver is mildly enlarged with smooth margins. No peritoneal effusion. The urinary bladder is distended and soft tissue opaque. The coxofemoral joints are congruent. Pelvic limb musculature is symmetric. Patella location is normal.</t>
  </si>
  <si>
    <t>1. The appearance of T11-12 and T13-L1 are both suggestive of intervertebral disc disease. Such a lesion at these or another site is the most likely cause for neurologic deficits. No pelvic limb abnormalities are appreciated._x000D_
2. Cervical tracheal collapse. No intrathoracic abnormalities._x000D_
3. Mild hepatomegaly, likely diabetic hepatopathy.</t>
  </si>
  <si>
    <t>Consultation with a neurologist and advanced spinal imaging with MRI/CT is recommended.</t>
  </si>
  <si>
    <t xml:space="preserve">
1.The cardiac silhouette size is normal._x000D_
2.There is no evidence of PULMONARY NODULES._x000D_
3.A mild bronchointerstitial pulmonary pattern and minimal perihilar infiltrate have been detected.</t>
  </si>
  <si>
    <t>THORAX (3 images):
Images are dated August 22, 2024.
Prior images dated August 21, 2024 and previous are available.
Pulmonary parenchyma: Best identified in the left lateral image, an ovoid soft tissue nodule with ill-defined, central lucent region is present.  This lesion is suspected over the left cranial lung cranial subsegment and scapula in the ventrodorsal image.  A similar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</si>
  <si>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Left cranial lung lobe soft tissue nodule with suspected central lucency is similar to prior.
- Differential diagnoses include neoplasia such as from atypical pulmonary carcinoma versus other primary neoplasm or metastatic nodule from an occult extra-thoracic primary neoplasm, or unlikely pulmonary abscess, or least likely other such as hematocele or granulomatous/fungal disease.
2. Similar mild diffuse bronchial pattern due to fibrosis from prior disease, age-related changes, infectious/immune-mediated lower airway disease (such as from bordetella spp., mycoplasma spp., or parasitism such as lung worms, inhaled allergen/irritant), or less likely other.</t>
  </si>
  <si>
    <t>Consider computed tomography of the thorax for further evaluation and/or humanoid ventrodorsal image for further evaluation of the cranial lung lobes.  Consider oncologist consultation and possible lung lobectomy versus other tissue sampling for a definitive diagnosis.  Routine blood work if not recently performed.  Consider fungal serology if other diagnostics are inconclusive, and the patient has an appropriate travel/exposure history.  Empirical therapy and supportive care in the interim as needed.  Monitoring as directed or sooner if clinical signs acutely change, fail to improve or worsen.</t>
  </si>
  <si>
    <t>Thorax. Three radiographs (two lateral, one VD) dated September 4, 2024 are provided.
Cardiac silhouette: The cardiac silhouette is normal in size and shape.
Pulmonary vessels: The pulmonary arteries and veins are normal in size and are symmetrical.
Pulmonary parenchyma: There is a diffuse moderate bronchial pattern. Secondary and tertiary airways are diffusely thickened and visible throughout the pulmonary parenchyma.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Musculoskeletal: There is mild right shoulder osteoarthritis. There is moderate spondylosis deformans of T5-6.
Cranial abdomen: The cranial abdomen is unremarkable.</t>
  </si>
  <si>
    <t>1. Diffuse moderate bronchial pattern, consistent with lower airway inflammation. Differentials include an airway oriented disease process such as bronchitis (infectious/inflammatory, allergic, parasitic). Infiltrative neoplastic pulmonary disease is less likely.
2. Normal cardiovascular structures. There is no evidence of heart failure.</t>
  </si>
  <si>
    <t>Airway sampling is recommended to guide treatment (respiratory PCR, lavage, wash). A Baermann fecal analysis is recommended to rule out lung worms. If not already performed CBC and biochemistry are recommended to screen for systemic disease which may be contributing to clinical signs.</t>
  </si>
  <si>
    <t xml:space="preserve">
1.A minimal perihilar infiltrate has been detected._x000D_
2.Pleural fissure lines or small volume pleural effusion has been detected. In a mildly to moderately overweight animal, excessive pericardial fat can artifactually mimic the result of mild pleural effusion._x000D_
3.The evaluation has a strong suspicion of pulmonary nodules or mass lesion being present._x000D_
4.The cardiac silhouette size is normal._x000D_
5.There is no evidence of BRONCHITIS, ALVEOLAR PATTERN or DYNAMIC AIRWAY COLLAPSE or BRONCHIECTASIS.</t>
  </si>
  <si>
    <t>Six radiographs of the thorax and three views of the abdomen are provided. Images dated 4/11/24 are available for comparison. The cardiac silhouette is normal size and shape. Mild unstructured interstitial pattern is normal for the age of this patient. Increased opacity overlying extending ventral to the heart on the lateral view is pleural fat deposition. Fat deposition also noted in the cranial mediastinum. Normal tracheal diameter and position. Scant gas in the esophagus is transient and incidental. No spinal or proximal thoracic limb abnormalities._x000D_
_x000D_
In the abdomen peritoneal and retroperitoneal detail is adequate. The gastrointestinal tract is mildly filled. Loops of mildly gas-filled small bowel are superimposed on the kidneys, an incidental variant seen in larger (rounded/rotund conformation) patients. Normal-sized liver and kidneys. The spleen is not definitively seen. No radiopaque urolithiasis. Normal coxofemoral joints.</t>
  </si>
  <si>
    <t>Normal thorax and abdomen. A reason for panting is not identified. There is no evidence of cardiovascular disease on this study.</t>
  </si>
  <si>
    <t xml:space="preserve">THORAX (2 images):
Images are dated September 4, 2024.
Pulmonary parenchyma: A well-defined, severe alveolar pattern in in the mid-zone and ventral periphery of the right cranial, right middle , right caudal and cranial/caudal subsegments of the left cranial lung lobes.  This is best identified in the right lateral image, with well-defined air-bronchograms and lobar margination.  A mild diffuse bronchial pattern is present.
Pulmonary vasculature: The pulmonary vasculature is subjectively normal in size and tapers in the periphery of the lungs.
Cardiac silhouette: The cardiac silhouette is equivocally rounded in the region of the left atrium in the oblique ventrodorsal image.
Mediastinum: The cranial mediastinum is normal.
Trachea: The trachea is normal.
Esophagus: The esophagus is not well-identified.
Pleural space: The pleural space is normal.
Musculoskeletal: Multifocal thoracic spondylosis deformans is present.  The remaining included musculoskeletal structures are normal.
</t>
  </si>
  <si>
    <t>1. Severe right cranial/middle and suspected caudal, and left cranial lung lobe alveolar patterns, most likely due to bronchopneumonia/aspiration pneumonia, or unlikely atypical neoplasia or hemorrhage or other.
2. Mild diffuse bronchial pattern such as from infectious/immune-mediated lower airway disease (mycoplasma spp., bordetella spp., parasitism such as lung worms, or other) and/or inhaled allergen/irritant, fibrosis from prior disease, age-related changes, or unlikely other.
3. Equivocal left atrial enlargement versus artifact from positioing.
- If present, consider myxomatous mitral valvular disease or unlikely other.</t>
  </si>
  <si>
    <t>Therapy for suspected bronchopneumonia with broad-spectrum antibiotics and monitoring with repeat radiographs in the interim.  Consider therapy for 1-2 weeks past radiographic resolution of pulmonary patterns.  Consider respiratory PCR panel, airway sampling, routine blood work, and fecal analysis/deworming for further evaluation.  Echocardiography, eCG and blood pressure for further evaluation of reported murmur.  Monitoring as directed or sooner if clinical signs acutely change, fail to improve or worsen.</t>
  </si>
  <si>
    <t xml:space="preserve">
1.PLEURAL EFFUSION or PLEURAL FISSURE LINES; PULMONARY NODULES or NODULAR PATTERN; MODERATE TO SEVERE INTERSTITIAL TO ALVEOLAR PATTERN; MILD BRONCHITIS._x000D_
2.Based on the AI airway/pulmonary findings, the probability of this patient having clinically detectable respiratory signs is VERY HIGH (&gt;75%)_x000D_
3.Are respiratory signs present? If YES._x000D_
4.Resource: https://vsso.org/lung-tumors-canine_x000D_
5.The cardiac silhouette size is normal._x000D_
6.The evaluation has a suspicion of pleural effusion and soft tissue pulmonary nodules or a mass lesion being present._x000D_
7.Are respiratory signs present? If NO.</t>
  </si>
  <si>
    <t>3 views of the abdomen are provided for review and compared with earlier images.  The stomach contains a moderate amount of gas.  Mineral material remains visible within the small intestine.  The majority of the material appears to be located near the ileocolic junction and the ileum, cecum, and ascending colon.  Overall, segmental intestinal dilation has improved, although several segments of small intestine remain mildly distended and larger than other segments.  Fluid and mineral material are present in the colon.  No other significant changes are seen.</t>
  </si>
  <si>
    <t>Overall improvement in the intestinal pattern suggests the mineral material is likely causing a partial obstruction.  The location suggests partial obstruction at the ileocolic junction.</t>
  </si>
  <si>
    <t>Based on the improvement, consider continued supportive therapy and monitoring.</t>
  </si>
  <si>
    <t>ABDOMEN (2 images):
Images are dated September 4, 2024.
Caudal abdomen is excluded in the ventrodorsal image.
Liver: The liver is subjectively normal in size.
Spleen: The spleen is equivocal enlarged and just identified in the ventral-abdomen in the lateral images.  The spleen is subjectively folded on itself in the left cranial to mid-abdomen in the ventrodorsal image.  
Kidneys: The right kidney is slightly small in the lateral image.  The left kidney is normal subjectively.
Retroperitoneum: Retroperitoneal detail is adequate.
Urinary bladder/Urethra: The urinary bladder is normal in size, homogeneous soft tissue, and smoothly marginated.
Reproductive:
Peritoneum: Peritoneal detail is adequate.
Gastrointestinal tract: The stomach contains a mild to moderate volume of gas.   The stomach is within normal limits for size.
The small intestine contains mild gas and fluid or is empty with a subjectively uniform population for size. 
The colon contains moderate gas and mild heterogeneous soft tissue material.  The colon is within normal limits for size.  
Musculoskeletal:  Multifocal lumbar and lumbosacral spondylosis deformans is present.  The L3-4, L4-5, L5-6, L6-7 and L7-S1 intervertebral disc spaces are narrowed.  The patient is obese. The remaining included musculoskeletal structures are normal.</t>
  </si>
  <si>
    <t>1. Non-specific gastrointestinal tract appearance such as from enteritis, colitis, or variation of normal/recent bowel movement.
- There is no current evidence of gastrointestinal mechanical ileus.
- Differential diagnoses include dietary indiscretion, toxin ingestion, diet/antibiotic responsive disease, inflammatory bowel disease, pancreatitis, occult systemic disease or unlikely other.
2. Equivocal splenomegaly versus folding or artifact/normal variation.
- If present, consider passive congestion from sedation (if administered) versus extramedullary hematopoiesis, lymphoid hyperplasia, or unlikely other.
3. Equivocally small right kidney versus normal variation/artifact.
- If present, consider early chronic renal disease.
4. Multifocal lumbar and lumbosacral intervertebral disc narrowing/disc disease, as above.</t>
  </si>
  <si>
    <t>Consider GI panel, fecal analysis/deworming, abdominal ultrasonography, urinalysis, thyroid function testing, and routine blood work for further evaluation.  Empirical therapy and supportive care in the interim as needed. Monitoring as directed or sooner if clinical signs acutely change, fail to improve or worsen.</t>
  </si>
  <si>
    <t xml:space="preserve">
1.The cardiac silhouette size is normal._x000D_
2.There is no evidence of BRONCHITIS, PERIHILAR INFILTRATE, DYNAMIC AIRWAY COLLAPSE or BRONCHIECTASIS, PULMONARY NODULES or PLEURAL EFFUSION._x000D_
3.A mild interstitial to alveolar pattern has been detected.</t>
  </si>
  <si>
    <t>Three radiographs of the thorax are provided. The appearance of prominent left atrium on the left lateral view is not seen on the other projections and is likely due to summating normal anatomy. Pulmonary vessels and caudal vena cava are normal size. There is hazy soft tissue density and small air bronchograms overlying the heart on both lateral views. No pleural effusion. Adequate tracheal diameter. Normal cranial abdomen.</t>
  </si>
  <si>
    <t>Bilateral severe interstitial to alveolar pattern consistent with aspiration pneumonia.</t>
  </si>
  <si>
    <t>Recommend antibiotics, with repeat radiographs upon completion (same three views) to confirm resolution of pneumonia.</t>
  </si>
  <si>
    <t xml:space="preserve">
1.Pleural fissure lines or moderate to severe pleural effusion has been detected. An overlying skin fold or in an obese animal, excessive pericardial fat could artifactually mimic the result of severe pleural effusion._x000D_
2.A moderate to severe interstitial to alveolar pattern with a perihilar component and concurrent dynamic airway disease has been identified._x000D_
3.Dynamic airway disease has been detected._x000D_
4.The cardiac silhouette size is normal.</t>
  </si>
  <si>
    <t>Four radiographs of the thorax are provided. The heart and pulmonary vessels are normal size and shape. Crisp pleural fissure lines are normal for age. There are faint bronchial markings throughout the lungs. No pleural effusion or intrathoracic lymphadenomegaly. Normal tracheal diameter.</t>
  </si>
  <si>
    <t>Faint bronchial markings may be normal aging change. Airway inflammation due to inhaled irritants/allergens or infectious airway disease can also cause this appearance. There is no evidence of cardiovascular disease or pneumonia.</t>
  </si>
  <si>
    <t>Recommend a CBC and blood chemistry profile. Consider switching antibiotics.  If there is no improvement, airway cytology may be necessary.</t>
  </si>
  <si>
    <t>Study:_x000D_
Thoracic and abdominal radiography: four images dated September 3, 2024_x000D_
_x000D_
Findings:_x000D_
The cardiac silhouette is normal in size and shape. There is age-related mineralization of the walls of the larger caliber bronchi in the perihilar region. The pulmonary parenchyma is otherwise unremarkable. The pleural space is normal. There is no intrathoracic lymphadenopathy. The trachea is normal in diameter. The stomach contains a large amount of unstructured heterogeneous/granular soft tissue material. Similar material is present in some small intestinal segments. The colon contains gas and a small amount of poorly formed fecal material. The liver and spleen are normal in size and margin. The renal silhouettes are normal in size and contour. The urinary bladder is normal in size and opacity. There is no prostatomegaly. There is mild T 13-L1, L3-L4 and L7-S1 spondylosis deformans. There is moderate right hip dysplasia and remodeling/thickening of the femoral head and neck. The left coxofemoral joint is not included.</t>
  </si>
  <si>
    <t>1. Unremarkable thorax. A cause of wheezing is not evident. Consider laryngeal paralysis. Lack of a definitive bronchial pulmonary pattern does not exclude the possibility of allergic/inflammatory, infectious, irritant or parasitic bronchitis. Normal diameter of the trachea does not exclude the possibility of dynamic airway disease._x000D_
2. Gastrointestinal contents contents likely represent ingesta. Foreign material cannot be excluded given the reported hyporexia/anorexia. Repeat fasted radiography can be considered to monitor for gastrointestinal emptying if clinically relevant based on recent dietary history. Alternatively, abdominal sonography can be considered for further evaluation of the reported hyporexia/anorexia persists in spite of medical management._x000D_
3. There is no apparent intervertebral disc space or foraminal narrowing. This does not exclude the possibility of intervertebral disc disease. Neurology consultation and MRI can be considered for further evaluation of the reported spinal pain persists or worsens in spite of activity restriction and pain management._x000D_
4. Moderate right hip dysplasia and coxofemoral osteoarthrosis.</t>
  </si>
  <si>
    <t>4 images of the thorax and abdomen are provided for review.  The trachea is dorsally deviated, indicating left ventricular enlargement.  A bulge is present in the region of the left atrium.  The cardiac silhouette is also widened with rounding of the right ventricular border.  Mild interstitial opacity is present in the right caudal lung lobe near the hilus.  The trachea and primary bronchi are variably narrowed.  The mediastinal and pleural structures are normal.  Abdominal serosal detail is adequate in all quadrants.  The liver margins are rounded and extend beyond the costal arch, causing caudal displacement of the gastric axis.  The stomach contains a small amount of gas.  The small intestines are normal in size.  Gas and feces are present in the colon.  The urinary bladder is small.  The remaining abdominal organs are normal.</t>
  </si>
  <si>
    <t>Hepatomegaly=ZZ90= this is a nonspecific finding that may be seen with congestion, vacuolar hepatopathy, inflammation, neoplasia, etc.  Abdominal ultrasound may be helpful in further evaluation if biochemically indicated.  Tracheobronchial narrowing consistent with collapse.  Generalized cardiomegaly.  Interstitial pulmonary pattern consistent with early cardiogenic pulmonary edema.  Consider repeat radiographs following increased diuretic therapy.  Echocardiography may be helpful in further evaluation.</t>
  </si>
  <si>
    <t xml:space="preserve">
1.SEVERE INTERSTITIAL TO ALVEOLAR PATTERN; SEVERE BRONCHIAL PATTERN; MODERATE DYNAMIC AIRWAY DISEASE._x000D_
2.Based on these AI airway/pulmonary findings, the probability of this patient having clinically detectable respiratory signs is VERY HIGH (&gt;75%)_x000D_
3.Are respiratory signs present? If YES._x000D_
4.Are respiratory signs present? If NO._x000D_
5.A moderate perihilar infitlrate has been detected._x000D_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</si>
  <si>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Three radiographs of the thorax are provided. The heart and pulmonary vessels are of normal size and shape. There is a mild bronchial pattern and several punctate pulmonary osteomas. The distal aspect of several pulmonary vessels is faintly mineralized. There is no pleural effusion. The trachea is normal diameter. No esophageal abnormalities. Incidental faint mineralization in the caudal aspect of triceps tissues.</t>
  </si>
  <si>
    <t>Mild bronchial pattern is most likely normal age change. With the history of coughing, chronic airway inflammation such as bronchitis may also be present. The mineralized peripheral pulmonary vessels can be seen with heartworm disease. This may be current for prior/chronic infection.</t>
  </si>
  <si>
    <t>Recommend testing for heartworms.</t>
  </si>
  <si>
    <t xml:space="preserve">
1.The evaluation has come up positive for a pulmonary nodular pattern._x000D_
2.A mild bronchial pattern has been detected._x000D_
3.Pleural fissure lines or small volume pleural effusion has been detected. In a mildly overweight animal, excessive pericardial fat can artifactually mimic the result of minimal pleural effusion._x000D_
4.The cardiac silhouette size is normal._x000D_
5.There is no evidence of ALVEOLAR PATTERN, PERIHILAR INFILTRATE or DYNAMIC AIRWAY COLLAPSE or BRONCHIECTASIS.</t>
  </si>
  <si>
    <t>Six radiographs of the proximal thoracic limbs are provided. No scapular abnormalities are appreciated. Possible narrowed C5-6 intervertebral disc space. The glenohumeral joints are congruent. There is no fracture or subluxation. No osseous lysis. The cubital joints are congruent. In the viewable thorax cardiovascular structures are normal size and the lungs are clear. A 0.5 mm metal opaque BB noted in the tissues lateral to the caudal left ribs, incidental.</t>
  </si>
  <si>
    <t>The appearance of C5-6 is suggestive of a protruding/extruded intervertebral disc. A lateralized disc lesion may be responsible for the clinical signs. No proximal thoracic limb abnormalities are appreciated. Soft tissue sprain/strain remains possible.</t>
  </si>
  <si>
    <t>Recommend supportive care with anti-inflammatories. If there is no improvement or if the patient develops neurologic deficits, consultation with a neurologist and advanced spinal imaging with MRI would be recommended.</t>
  </si>
  <si>
    <t>A three view thoracoabdominal study is provided for interpretation._x000D_
_x000D_
Mild to moderate heart enlargement is identified. The carina is elevated and there is a bulge at the caudal heart base in the area of the left atrium. VHS = 11.7. The pulmonary vessels are unremarkable. There is a mild bronchointerstitial pulmonary pattern. No tracheal or esophageal abnormalities are identified._x000D_
_x000D_
The liver is mildly enlarged, with normal shape and smooth margins. The other included abdominal organs are within normal limits. No mass lesions or loss of detail are seen in the abdomen.</t>
  </si>
  <si>
    <t>There is mild to moderate heart enlargement. The shape of the heart is consistent with left sided chamber dilation. Chronic mitral regurgitation would be the most likely explanation. Other valve pathology should also be ruled out._x000D_
_x000D_
The mild bronchointerstitial pattern is within the limits of what might be expected as age related change. Allergic lung disease or low-grade bronchitis could appear similar._x000D_
Considering the intermittent and mild nature of the signs, allergic or viral etiologies would be most likely._x000D_
The pulmonary pattern is not suggestive of congestive heart failure._x000D_
_x000D_
No evidence of collapsing trachea is seen in the radiographs, but tracheal collapse cannot be entirely excluded on the basis of survey images._x000D_
_x000D_
There is mild hepatomegaly. This would be compatible with many types of diffuse hepatopathy. Correlation with relevant labwork abnormalities were clinical signs is recommended.</t>
  </si>
  <si>
    <t>Symptomatic therapy for the cough is recommended._x000D_
_x000D_
Left ventricle dilation is suspected based on the radiographs. Echocardiography is recommended for more definitive evaluation. Pimobendan therapy may be indicated in this patient.</t>
  </si>
  <si>
    <t xml:space="preserve">
1.SEVERE ALVEOLAR PATTERN; CONCURRENT MODERATE BRONCHOINTERSTITIAL PATTERN; MILD DYNAMIC AIRWAY DISEASE._x000D_
2.Based on these AI airway/pulmonary findings, the probability of this patient having clinically detectable respiratory signs is HIGH (75%)_x000D_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</si>
  <si>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Study:_x000D_
Thoracic radiography: three images dated September 4, 2024_x000D_
_x000D_
Compared to prior study dated November 18, 2023_x000D_
_x000D_
Findings:_x000D_
The cardiac silhouette is normal in size and shape. The pulmonary vasculature is normal in size. There is a mild generalized bronchointerstitial pulmonary pattern. This finding is unchanged from the previous examination The pleural space is normal. There is no intrathoracic lymphadenopathy. The trachea is normal in diameter. There is no lobar bronchi narrowing. There is a small volume of fluid in the caudal esophagus on the left lateral projection (normal incidental positional finding). The stomach contains heterogeneous soft tissue material presumed to be ingesta. The osseous structures are unremarkable.</t>
  </si>
  <si>
    <t>The static diffuse bronchointerstitial pulmonary pattern is a nonspecific finding. This could be a benign age-related change or may indicate allergic, inflammatory, infectious, inhaled irritant or parasitic bronchitis. Airway sampling plus/minus heartworm testing and Baermann fecal flotation can be considered to further evaluate for lower airway disease. Laryngeal paralysis should also be considered as a potential cause of the reported coughing.</t>
  </si>
  <si>
    <t xml:space="preserve">
1.A mild interstitial to alveolar infiltrate has been detected._x000D_
2.The cardiac silhouette size is normal._x000D_
3.There is no evidence of PERIHILAR INFILTRATE or DYNAMIC AIRWAY COLLAPSE or BRONCHIECTASIS.</t>
  </si>
  <si>
    <t>Three radiographs of the thorax are provided. Images dated 6/4/24 are available for comparison. The cardiac silhouette is normal size and shape. Pulmonary vessels are normal size. There are no abnormalities in the pulmonary parenchyma. No pleural effusion. Mild narrowed cervical trachea. No esophageal dilation.</t>
  </si>
  <si>
    <t>Narrowed cervical trachea as before, suggestive of dynamic collapse. Otherwise normal thorax. Inhaled irritants/allergens or infectious airway disease could be contributing to the cough.</t>
  </si>
  <si>
    <t>Recommend utilization of a body harness in place of a neck lead and symptomatic treatment for the cough.</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</si>
  <si>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beyond the costal arch.  The stomach contains a moderate amount of soft tissue material.  The small intestines are normal in size.  Gas and feces are present in the colon.  The urinary bladder is small.  The remaining abdominal organs are normal.  A mixed fat and soft tissue opacity mass is seen ventral to the cranial abdomen within the subcutaneous tissues.  The abdominal wall appears intact in this region.  Discrete intestinal structures are not seen in this mass.</t>
  </si>
  <si>
    <t>Material within the stomach may represent residual ingesta or foreign material.  Consider repeat radiographs following strict fasting to determine if gastric contents persist.  Hepatomegaly=ZZ90= this is a nonspecific finding that may be seen with congestion, vacuolar hepatopathy, inflammation, neoplasia, etc.  Abdominal ultrasound may be helpful in further evaluation if biochemically indicated.  Ventral abdominal subcutaneous mass.  Although the abdominal wall appears intact, small abdominal wall hernia cannot be completely excluded.  Ultrasonography of this area may be helpful to determine if intestine is incarcerated.  If not available, an upper GI contrast series or peritoneogram could be performed.  Radiographically normal thorax for patient of this age.</t>
  </si>
  <si>
    <t xml:space="preserve">
1.Dynamic airway disease has been detected_x000D_
2.A severe perihilar infiltrate has been detected._x000D_
3.Pleural fissure lines or moderate to severe pleural effusion has been detected. An overlying skin fold or in an obese animal, excessive pericardial fat could artifactually mimic the result of severe pleural effusion._x000D_
4.Mild cardiomegaly has been detected but Heart Failure is NOT suspected._x000D_
5.A moderate to severe interstitial to alveolar pattern with concurrent dynamic airway disease has been identified.</t>
  </si>
  <si>
    <t>Spine. Eight radiographs (five lateral, three VD) dated September 4, 2024 are provided. As requested, the spine is interpreted.
Cervical, thoracic, and lumbar spine: There are no repeatable sites of intervertebral disc space narrowing. The vertebral bodies and endplates are intact/normal. The articular process joints are unremarkable. The adjacent soft tissues are within normal limits.
Forelimbs: No significant abnormalities are identified in the proximal forelimbs.
Pelvis and pelvic limbs: The pelvis and pelvic limbs are unremarkable. The catheter is in the right pelvic limb.</t>
  </si>
  <si>
    <t>Normal spine. In agreeance with clinical suspicions, a lesion affecting the cervical spinal cord is prioritized given the reported abnormalities. Cervical intervertebral disc disease (disc protrusion/extrusion) is prioritized. Unfortunately a specific site of compression cannot be identified on plain radiographs.</t>
  </si>
  <si>
    <t>Cross-sectional imaging of the cervical +/- thoracolumbar spine and consultation with a neurologist are recommended. An MRI would be preferred; however, CT myelogram would also suffice if feasible/available. Strict cage rest and pain management are recommended in the interim.</t>
  </si>
  <si>
    <t xml:space="preserve">
1.The cardiac silhouette size is normal._x000D_
2.There is no evidence of DYNAMIC AIRWAY COLLAPSE or BRONCHIECTASIS, PULMONARY NODULES or PLEURAL EFFUSION._x000D_
3.A minimal interstitial pulmonary pattern with a concurrent, minimal perihilar infiltrate have been detected.</t>
  </si>
  <si>
    <t>SPINE/THORAX (3 radiographs are available for review)._x000D_
_x000D_
- On the VD projection, there is a focal thickening of the soft-tissues along the left lateral cervical region._x000D_
- The cervical spine, cervicothoracic junction and thoracolumbar vertebral columns are normal._x000D_
- There is a dynamic soft-tissue opaque band dorsally overlying the trachea in the caudal cervical region and at the level of the thoracic inlet._x000D_
- The cardiac silhouette, pulmonary vasculature and pleural space are normal._x000D_
- The remaining included intrathoracic structures are normal._x000D_
- The cranial abdomen is normal_x000D_
- The caudal cervical, cervicothoracic and thoracic vertebral columns are normal.</t>
  </si>
  <si>
    <t>1. Focal, left-sided cervical soft-tissue swelling, consistent with the clinical history. This is a non-specific finding, and may reflect abscess/cellulitis, less likely hematoma or a mass (e.g. lipoma, soft-tissue neoplasia). Correlate to the clinical impression, diagnostic sampling if indicated and potentially sonographic evaluation of the thickened region._x000D_
_x000D_
2. Radiographic ability to detect cervical disease (e.g. IVDD, FCE) can be limited. Given the reported history, I would recommend considering a cervical/thoracic CT examination in this patient if clinically indicated. Sonographic assessment of the cervical soft-tissues may also be useful._x000D_
_x000D_
3. The appearance of the trachea is consistent with tracheal collapse, secondary to chondromalacia._x000D_
_x000D_
4. Otherwise normal thorax._x000D_
_x000D_
5. Mild aerophagia.</t>
  </si>
  <si>
    <t>Orthogonal radiographs of the thorax/abdomen are provided. Images dated 4/30/2020 are available for comparison. The cardiac silhouette is prominent on both views. Pulmonary vessels are normal size. Mild age-related changes in the lungs. Moderate narrowed cervical trachea. No pleural effusion. Narrowed caudal cervical intervertebral disc spaces. In the abdomen there is no effusion. Moderate volume gas in the stomach consistent with aerophagia. The descending duodenum is transiently gas dilated. Remaining small bowel are mildly filled with fluid and gas. The cecum is gas dilated. Small volume formed feces in the colon. No radiopaque foreign material or urolithiasis. Normal-sized liver, kidneys, spleen. Narrowed T13-L1, L3-4, L4-5 intervertebral disc spaces. The coxofemoral joints are congruent.</t>
  </si>
  <si>
    <t>1. Narrowed intervertebral disc spaces in the caudal cervical spine and multiple sites in the lumbar spine. This is consistent with intervertebral disc disease. This may be responsible for discomfort._x000D_
2. Mild cardiomegaly suggestive of chronic degenerative mitral and tricuspid valve disease. There is no pulmonary venous congestion or heart failure. This is not felt to be responsible for the clinical signs._x000D_
3. Probable cervical tracheal collapse._x000D_
4. No intra-abdominal abnormalities.</t>
  </si>
  <si>
    <t>Recommend palpate for spinal discomfort and a neurologic examination. If the patient does not rapidly improve with supportive care, abdominal ultrasound should be considered.</t>
  </si>
  <si>
    <t xml:space="preserve">
1.Are respiratory signs present? If NO._x000D_
2.Are respiratory signs present? If YES._x000D_
3.SEVERE ALVEOLAR INFILTRATE; SEVERE DYNAMIC AIRWAY DISEASE._x000D_
4.Based on these AI airway/pulmonary findings, the probability of this patient having clinically detectable respiratory signs is HIGH (75%)_x000D_
5.Bacterial pneumonia treatment in dogs: https://platform.v2.vetology.net/doc/pneumonia-in-dogs-and-cats_x000D_
6.Severe cardiomegaly has been detected but Heart Failure is NOT suspected.</t>
  </si>
  <si>
    <t>Thorax. Four radiographs (two lateral, two VD) dated September 4, 2024 are provided.
Cardiac silhouette: The cardiac silhouette is normal in size and shape.
Pulmonary vessels: The pulmonary arteries and veins are normal in size and are symmetrical.
Pulmonary parenchyma: There is a mild diffuse bronchial pattern. There is no evidence of pulmonary nodules or consolidation.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Cranial abdomen: No significant abnormalities are identified in the cranial abdomen.
Musculoskeletal: The included skeletal and superficial soft tissue structures are within normal limits.</t>
  </si>
  <si>
    <t>1. Mild diffuse bronchial pattern. Consider age-related changes and chronic bronchitis. Differentials for chronic bronchitis include allergic, infectious/inflammatory, parasitic, and irritant etiologies.
2. There is no evidence of metastatic pulmonary disease.</t>
  </si>
  <si>
    <t>An abdominal ultrasound with fine-needle aspirates of the liver and spleen are recommended for continued staging for mast cell neoplasia.
If there are any respiratory abnormalities (i.e. coughing) respiratory PCR, lavage, wash) could be considered to guide treatment.</t>
  </si>
  <si>
    <t xml:space="preserve">
1.The cardiac silhouette size is normal._x000D_
2.There is no evidence of INTERSTITIAL or ALVEOLAR PATTERN, BRONCHITIS or DYNAMIC AIRWAY COLLAPSE or BRONCHIECTASIS.</t>
  </si>
  <si>
    <t>Study:_x000D_
Thoracic radiography: three images dated September 4, 2024_x000D_
_x000D_
Findings:_x000D_
The cardiac silhouette is overall normal in size (VHS approximately 10.25)=ZZ90= however, there is straightening of the caudal cardiac waist on both lateral projections. The pulmonary vasculature is normal in size. The pulmonary parenchymal is unremarkable. The pleural space is normal. There is no intrathoracic lymphadenopathy. The trachea is normal in diameter. The included abdomen is unremarkable. There is mild multifocal lumbar spondylosis deformans. There is a small lipomatous mass in the subcutaneous tissues of the ventral thorax.</t>
  </si>
  <si>
    <t>While the vertebral heart score is normal, straightening of the caudal cardiac waist can be an indicator of mild specific left atrial enlargement/mitral valve disease. There is no evidence of cardiac decompensation.</t>
  </si>
  <si>
    <t>Consider echocardiography for further evaluation.</t>
  </si>
  <si>
    <t>Thorax: There is left-sided cardiomegaly.  There is an alveolar pattern associated with the left caudal lung lobe (caudal lateral aspect on the ventrodorsal view).  Pleural fissure lines are noted.  There is a diffuse interstitial pattern.  There is an interstitial to alveolar pattern adjacent to the right side of the cardiac silhouette at the level of the right middle lung lobe (ventrodorsal view).  The cranial mediastinum is widened.  On the visible portions of the abdomen there is moderate diffuse hepatomegaly.</t>
  </si>
  <si>
    <t>Left-sided cardiomegaly._x000D_
_x000D_
The alveolar pattern involving the left caudal lung lobe and suspected interstitial to alveolar pattern involving the right middle lung lobe may represent pneumonia.  Neoplasia cannot be ruled out._x000D_
_x000D_
Diffuse interstitial pattern which may reflect interstitial edema, inflammation, or infection._x000D_
_x000D_
Pleural fissure lines which may be incidental or representing mild pleural effusion._x000D_
_x000D_
Widened cranial mediastinum most likely fat accumulation however lymphadenopathy or mass cannot be ruled out._x000D_
_x000D_
Diffuse hepatomegaly.</t>
  </si>
  <si>
    <t xml:space="preserve">
1.This evaluation has detected pulmonary nodules or a mass lesion and pleural fissure lines or effusion._x000D_
2.Are respiratory signs present? If YES._x000D_
3.Are respiratory signs present? If NO._x000D_
4.A moderate perihilar infitlrate has been detected._x000D_
5.Severe cardiomegaly has been detected but Heart Failure is NOT suspected._x000D_
6.SEVERE INTERSTITIAL TO ALVEOLAR PATTERN; PULMONARY NODULES OR MASS LESION; PLEURAL FLUID or PLEURAL THICKENING; MODERATE BRONCHIAL PATTERN; DYNAMIC AIRWAY DISEASE._x000D_
7.Based on these AI airway/pulmonary findings, the probability of this patient having clinically detectable respiratorysigns is VERY HIGH (&gt;75%)_x000D_
8.Pleural fissure lines or moderate to severe pleural effusion has been detected. An overlying skin fold or in an obeseanimal, excessive pericardial fat could artifactually mimic the result of severe pleural effusion._x000D_
9.Given this combination of above thoracic findings, a radiologist over read may be beneficial.</t>
  </si>
  <si>
    <t>Orthogonal views of the thorax are provided:_x000D_
_x000D_
Thorax:_x000D_
_x000D_
Cardiac silhouette has a normal shape and size._x000D_
Pulmonary vessels are within normal limits of size and shape._x000D_
Pulmonary parenchyma shows a generalized bronchial pattern along with a questionable rounded opacity that coincides with the xosto-chondral junction of the left 6th rib._x000D_
Pleural space, mediastinum, diaphragm and thoracic wall within normal limits.</t>
  </si>
  <si>
    <t>1) Rule out pulmonary nodule in the left hemithorax vs prominent xosto-chondral junction. Bronchial pattern consistent with chronic lower airway disease.</t>
  </si>
  <si>
    <t>Consider 3 new views of the thorax. If the nodular opacity is still present, then consider a CT of the thorax.</t>
  </si>
  <si>
    <t xml:space="preserve">
1.A moderate bronchointerstitial pattern with alveolar infiltrates has been detected._x000D_
2.The evaluation has a strong suspicion of pulmonary nodules or mass lesion being present._x000D_
3.The cardiac silhouette size is normal.</t>
  </si>
  <si>
    <t>Orthogonal views of the thorax are provided:_x000D_
_x000D_
Thorax:_x000D_
_x000D_
No abnormalities seen in the trachea._x000D_
Cardiac silhouette shows a mild enlargement of the left atrium dorsally displacing the carina._x000D_
Pulmonary vessels are within normal limits of size and shape._x000D_
Pulmonary parenchyma is within normal limits. No evidence of pneumonia nor signs of pulmonary nodules/masses._x000D_
Pleural space, mediastinum, diaphragm and thoracic wall within normal limits.</t>
  </si>
  <si>
    <t>1) Left atrial enlargement secondary to chronic mitral endocardiosis without signs of CHF. Rule out concomitant tricuspid endocardiosis with pulmonary hypertension._x000D_
2) Unremarkable lungs do not exclude a bronchitis of allergic vs inflammatory/infectious or parasitic origin.</t>
  </si>
  <si>
    <t xml:space="preserve">
1.Are respiratory signs present? If YES._x000D_
2.Are respiratory signs present? If NO._x000D_
3.Pleural fissure lines or moderate to severe pleural effusion has been detected. An overlying skin fold or in an obese animal, excessive pericardial fat could artifactually mimic the result of severe pleural effusion._x000D_
4.The evaluation has come up positive for a pulmonary nodular pattern._x000D_
5.The cardiac silhouette size is normal._x000D_
6.MILD BRONCHOINTERSTITIAL PULMONARY PATTERN; MILD DYNAMIC AIRWAY DISEASE; MINIMAL PERIHILAR INFILTRATE._x000D_
7.Based on these AI airway/pulmonary findings, the probability of this patient having clinically detectable respiratory signs is MEDIUM (50%)</t>
  </si>
  <si>
    <t>Orthogonal radiographs of the thorax and abdomen are provided. The cardiac silhouette and pulmonary vessels are normal size. Faint bronchial markings is normal for the age of this patient. There are no soft tissue pulmonary nodules or pleural effusion. Small volume fluid in the caudal esophagus is transient and incidental. Tracheal diameter and position are normal._x000D_
_x000D_
In the abdomen the stomach contains a moderate amount of gas and small volume amorphous soft tissue density. Several thin mineral densities overlying the liver and stomach are likely incidental choledocholiths. The liver and spleen are normal size. The kidneys are incompletely visible due to superimposed bowel loops. Round 1.1 cm soft tissue density overlying the gastric fundus is superimposed nipple. Small intestines are minimally filled. Moderate volume semi-formed feces in the colon. No radiopaque gastrointestinal foreign material. The urinary bladder is mildly filled and soft tissue opaque. The prostate is moderately enlarged, consistent with the reproductive status of this patient. No osseous abnormalities.</t>
  </si>
  <si>
    <t>1. Gastric contents appears to be normal ingesta. With the history, foreign material causing gastritis and pyloric outflow obstruction is not ruled out. There is no evidence of intestinal obstruction. The abdomen is otherwise normal._x000D_
2. Normal thorax.</t>
  </si>
  <si>
    <t>A positive contrast gastrogram should be considered to rule out gastric foreign material. Strictly fasted abdominal ultrasound is another option, with the understanding that there must be minimal gas in the stomach at the time of imaging for adequate visibility of gastric contents and gastric wall.</t>
  </si>
  <si>
    <t>Study:_x000D_
Thoracic and abdominal radiography: six images dated September 4,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heterogeneous soft tissue material with interspersed stippled mineral foci. Similar mineral foci are scattered throughout the small intestines. The small intestines are normal in size and course. The colon contains a small amount of formed fecal with interspersed stippled mineral foci. The liver and spleen are normal in size and margin. The kidneys are normal in size and contour. The urinary bladder is normal in size and opacity. The region of the prostate is not included on the lateral projections. The osseous structures are unremarkable. There is no apparent intervertebral disc space or foraminal narrowing.</t>
  </si>
  <si>
    <t>1. The heterogeneous soft tissue material in the stomach likely represents ingesta. Foreign material cannot be completely excluded. The stippled mineral foci seen throughout the gastrointestinal tract may indicate dietary indiscretion or may be an incidental finding depending on the contents of the patient=ZZ91=s normal diet and treats. Repeat fasted radiography can be considered to ensure gastric emptying if clinical relevant based on recent dietary history. Alternatively, abdominal sonography can be considered to further evaluate for any intra-abdominal causes of the clinical signs._x000D_
2. Normal thorax. There is no radiographic evidence of cardiopulmonary disease._x000D_
3. Normal appearance of the imaged spine does not exclude the possibility of intervertebral disc disease. Neurology consultation and MRI can be considered to further evaluate for possible intervertebral disc disease.</t>
  </si>
  <si>
    <t>Study:_x000D_
Thoracic radiography: three images dated September 4, 2024_x000D_
_x000D_
Findings:_x000D_
The cardiac silhouette is normal in size and shape. The pulmonary vasculature is normal in size. There is no main pulmonary or lobar arterial enlargement. There is a mild generalized bronchial pulmonary pattern The pulmonary parenchyma is unremarkable. The pleural space is normal. There is no intrathoracic lymphadenopathy. The trachea is normal in diameter and course. The included abdomen is normal. There is mild T5-T6 spondylosis deformans.</t>
  </si>
  <si>
    <t>The mild generalized bronchial pulmonary pattern likely indicates heartworm associated bronchitis. There are no cardiovascular changes associated with the reported heartworm disease. The lack of any cardiovascular changes and lack of any reported clinical signs would suggest class I heartworm disease.</t>
  </si>
  <si>
    <t>Recommend treatment as outlined by the American Heartworm Society.</t>
  </si>
  <si>
    <t>Study:_x000D_
Thoracic radiography: left lateral and orthogonal views (two images) dated September 4, 2024_x000D_
_x000D_
Compared to prior study dated May 29, 2024_x000D_
_x000D_
Findings:_x000D_
The cardiomegaly noted in the previous study is resolved. The cardiac silhouette is normal in size and shape. The pulmonary vasculature is normal in size. There is a mild to moderate generalized bronchointerstitial pulmonary pattern. No pulmonary nodules are identified in the present examination. The pleural effusion is resolved. The pleural space is now normal. There is no intrathoracic lymphadenopathy. The trachea is normal in diameter. The included abdomen is unremarkable with no evidence of hepatomegaly in the present examination. The left 13th rib is hypoplastic. The patient is of overweight body condition.</t>
  </si>
  <si>
    <t>1. Resolution of the pulmonary nodules may indicate metastatic neoplasia response to chemotherapy or fungal disease response to antifungal therapy (if applicable)._x000D_
2. Resolved pleural effusion and cardiomegaly._x000D_
3. The generalized bronchointerstitial pulmonary pattern is a nonspecific finding. This could be a benign age-related change or may indicate allergic, inflammatory, infectious, inhaled irritant or parasitic bronchitis. Airway sampling plus/minus heartworm testing and Baermann fecal flotation can be considered to further evaluate for lower airway disease._x000D_
4. Resolved hepatomegaly.</t>
  </si>
  <si>
    <t xml:space="preserve">
1.A minimal interstitial pattern has been detected._x000D_
2.The cardiac silhouette size is normal._x000D_
3.The evaluation has come up positive for a pulmonary nodular pattern._x000D_
4.There is no evidence of ALVEOLAR PATTERN or DYNAMIC AIRWAY COLLAPSE or BRONCHIECTASIS.</t>
  </si>
  <si>
    <t>WHOLE-BODY (5 radiographs for review)._x000D_
_x000D_
- The cardiac silhouette is severely enlarged, being characterized by increased cardiac height and apicobasilar length, dorsal displacement of the caudal aspect of the thoracic trachea, and a rounded opacity in the region of the left atrium. There is also the impression of concurrent right sided cardiomegaly, as the heart assumes a reverse-D appearance on the VD image._x000D_
- The pulmonary vasculature is normal._x000D_
- The pulmonary parenchyma is normal._x000D_
- Dynamic narrowing/collapse of  the intrathoracic trachea._x000D_
- The remaining intrathoracic structures are normal_x000D_
- The stomach contains a relatively large volume of gas-stippled soft-tissue opaque material._x000D_
- The small intestine and colon are normal._x000D_
- The remaining intra-abdominal structures are normal_x000D_
- No discrete musculoskeletal abnormalities are noted</t>
  </si>
  <si>
    <t>1. Severe generalized cardiomegaly with evidence of both left- and right heart enlargement. No evidence of congestive heart failure is noted, however radiographic sensitivity for subtle/early changes can be limited. The left heart enlargement is most likely secondary to degeneration of the mitral valve. The right heart enlargement may be due to cardiac remodeling from chronic pulmonary hypertension (cor pulmonale), or alternatively tricuspid valvular insufficiency. The patient=ZZ91=s coughing may be partially due to the enlarged left heart providing lower airway compression. Consider consultation with a veterinary cardiologist regarding echocardiography/ECG for further assessment._x000D_
_x000D_
2. The appearance of the trachea may be compatible with tracheal collapse, secondary to chondromalacia. This finding may be exacerbated by left heart enlargement causing compression of the carina and principal bronchi._x000D_
_x000D_
3. Recent meal. Otherwise normal abdomen.</t>
  </si>
  <si>
    <t xml:space="preserve">
1.There is no evidence of BRONCHITIS or PERIHILAR INFILTRATE._x000D_
2.A mild interstitial to alveolar pattern has been detected._x000D_
3.Mild dynamic airway disease has been detected._x000D_
4.Severe cardiomegaly has been detected but Heart Failure is NOT suspected.</t>
  </si>
  <si>
    <t>Orthogonal views of the thorax and abdomen are provided:_x000D_
_x000D_
Thorax:_x000D_
_x000D_
Cardiac silhouette has a normal shape and size._x000D_
Pulmonary vessels are within normal limits of size and shape._x000D_
Pulmonary parenchyma shows a diffuse interstitial pattern with suspected indistinct and ill defined pulmonary nodules._x000D_
Pleural space, mediastinum, diaphragm and thoracic wall within normal limits._x000D_
Questionable lytic lesions in both scapulae and dorsal spinous process of T1._x000D_
_x000D_
Abdomen:_x000D_
_x000D_
The stomach is filled with small volume of food._x000D_
Small intestines are mildly gas and fluid filled, not overtly distended. No signs of mechanical ileus._x000D_
Serosal detail is preserved._x000D_
Liver and spleen are within normal limits of size and smoothly marginated._x000D_
Kidneys and urinary bladder WNL.</t>
  </si>
  <si>
    <t>1) Diffuse interstitial pattern with suspected indistinct and ill defined pulmonary nodules compatible with widespread metastatic disease from sarcoma or carcinoma. The other differential would be peribronchial cuffing secondary to metastatic spread (lymphangitic carcinomatosis) vs immunomediated, fungal or pyogranulomatous disease is far less likely._x000D_
2) Questionable lytic lesions in both scapulae and dorsal spinous process of T1._x000D_
3) Unremarkable abdomen.</t>
  </si>
  <si>
    <t>Consider echocardiogram and abdominal US prior to a CT of the thorax (to also evaluate the scapulae and T1).</t>
  </si>
  <si>
    <t xml:space="preserve">
1.Pleural fissure lines or moderate to severe pleural effusion has been detected. An overlying skin fold or in an obese animal, excessive pericardial fat could artifactually mimic the result of severe pleural effusion._x000D_
2.The cardiac silhouette size is normal._x000D_
3.Based on the AI airway/pulmonary findings, the probability of this patient having clinically detectable respiratorysigns is MEDIUM to HIGH (50-75%)_x000D_
4.Are respiratory signs present? If NO._x000D_
5.Are respiratory signs present? If NO._x000D_
6.The evaluation has a strong suspicion of pulmonary nodules or mass lesion being present._x000D_
7.MODERATE INTERSTITIAL TO ALVEOLAR INFILTRATE; CONCURRENT MODERATE BRONCHIAL PATTERN; MILD PERIHILAR INFILTRATE._x000D_
8.MODERATE BRONCHOINTERSTITIAL PULMONARY PATTERN; ALVEOLAR INFILTRATE or ATELECTASIS; DYNAMIC AIRWAY DISEASE._x000D_
9.Based on these AI airway/pulmonary findings, the probability of this patient having clinically detectable respiratory signs is HIGH (75%)_x000D_
10.Are respiratory signs present? If YES._x000D_
11.Are respiratory signs present? If YES._x000D_
12.AI linked bacterial pneumonia treatment in dogs: https://platform.v2.vetology.net/doc/pneumonia-in-dogs-and-cats</t>
  </si>
  <si>
    <t>Study:_x000D_
Thoracic/abdominal, pelvic and pelvic limb radiography: seven images dated September 4, 2024_x000D_
_x000D_
Findings:_x000D_
_x000D_
Skeletal:_x000D_
There is narrowing of the T 12-T 13, T 13-L1 and L2-L3 intervertebral disc spaces with moderate spondylosis deformans. The coxofemoral joints are unremarkable with good coverage of the femoral head by the acetabulum bilaterally. The patella is in the correct anatomic location bilaterally. The degree of soft tissue opacity within the stifle joint spaces is bilaterally symmetric and within normal limits. No degenerative change is present in either stifle. The tarsocrural joint is normal bilaterally. The pelvic limb musculature is bilaterally symmetric._x000D_
_x000D_
Thorax/abdomen:_x000D_
The cardiac silhouette and pulmonary vasculature are normal in size. The pulmonary parenchyma is unremarkable. The pleural space is normal. There is no intrathoracic lymphadenopathy. The trachea is normal in diameter and course. The stomach contains gas. The small intestines are normal in size, course and content. The colon contains gas and poorly formed fecal material. The liver and spleen are normal in size and margin. The kidneys are normal in size and contour. The urinary bladder is normal in size and opacity. There is no prostatomegaly. Metallic surgical clips are present in the inguinal region bilaterally.</t>
  </si>
  <si>
    <t>1. T 12-T 13, T 13-L1 and L2-L3 intervertebral disc disease. Neurology consultation and MRI can be considered for further evaluation._x000D_
2. Unremarkable coxofemoral joints and stifles._x000D_
3. Normal thorax._x000D_
4. Unremarkable abdomen.</t>
  </si>
  <si>
    <t xml:space="preserve">ABDOMEN (4 images):
Images are dated September 4, 2024.
Liver: The liver is subjectively normal in size.
Spleen: The spleen is enlarged and extends into the caudoventral abdomen, with a slightly rounded, or smooth, well-defined margin.
Kidneys: The left kidney is normal.  No obvious right kidney mineral or enlargement.  
Retroperitoneum: Retroperitoneal detail is adequate.
Urinary bladder/Urethra: The urinary bladder is normal in size, homogeneous soft tissue, and smoothly marginated.
Peritoneum: Peritoneal detail is adequate.
Gastrointestinal tract: The stomach contains a moderate volume of gas.   Gastric rugal folds are prominent.  The stomach is within normal limits for size.
The small intestine contains mild to moderate gas with a subjectively uniform population for size. 
The colon contains moderate gas and mild heterogeneous soft tissue material admixed with gas.  The colon is within normal limits for size.  
Musculoskeletal: Multifocal lumbar and lumbosacral spondylosis deformans is present.  The remaining included musculoskeletal structures are normal.
Esophagus:  The caudal esophagus contains moderate gas.  </t>
  </si>
  <si>
    <t>1. Non-specific gastrointestinal tract appearance such as from enteritis, colitis, or unlikely individual variation of normal given reported history.
- There is no current evidence of gastrointestinal mechanical ileus.
- Differential diagnoses include dietary indiscretion, toxin ingestion, diet/antibiotic responsive disease, inflammatory bowel disease, pancreatitis, occult systemic disease or unlikely other.
2. Gastric rugal folds due to non-specific gastritis versus variation of normal, or unlikely other.
3. Splenomegaly due to variation of normal (German shepherd dog), passive congestion from sedation (if administered), extramedullary hematopoiesis, lymphoid hyperplasia, or evolving neoplasia.
4. Esophageal gas due to esophagitis such as from vomiting and/or esophageal reflux syndrome, and/or dysmotility or evolving megaesophagus such as from myositis or myasethnia gravis or other.</t>
  </si>
  <si>
    <t>Consider GI panel, fecal analysis/deworming, AChR-antibody serology, tensilon-testing and internist/neurologist consultation for further evaluation of esophageal dysmotility/evolving systemic disease.  Consider swallowing series and/or endoscopy/gastroscopy for further evaluation.  Empirical therapy and supportive care in the interim as needed for gastroenteritis/esophagitis with gastroprotectants and prokinetics.  Monitoring as directed or sooner if clinical signs acutely change, fail to improve or worsen.</t>
  </si>
  <si>
    <t>Orthogonal views of the thorax are provided:_x000D_
_x000D_
Thorax:_x000D_
_x000D_
Unremarkable pharynx._x000D_
No abnormalities seen in the trachea._x000D_
Cardiac silhouette shows a suspected mild enlargement of the left atrium dorsally displacing the carina._x000D_
Pulmonary vessels are within normal limits of size and shape._x000D_
Pulmonary parenchyma is within normal limits. No evidence of pneumonia nor signs of pulmonary nodules/masses._x000D_
Pleural space, mediastinum, diaphragm and thoracic wall within normal limits.</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</si>
  <si>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5.Mild cardiomegaly has been detected but Heart Failure is NOT suspected._x000D_
6.There is no evidence of PERIHILAR INFILTRATE, PULMONARY NODULES or PLEURAL EFFUSION.</t>
  </si>
  <si>
    <t>Orthogonal views of the thorax and abdomen are provided (rotated and poorly exposed radiographs precluding a proper evaluation):_x000D_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(right tSC lipoma) within normal limits._x000D_
_x000D_
Abdomen:_x000D_
_x000D_
The stomach is filled with food._x000D_
Small intestines are mildly gas and fluid filled, not overtly distended. No signs of mechanical ileus._x000D_
Serosal detail is reduced._x000D_
Liver and spleen are within normal limits of size and smoothly marginated._x000D_
Kidneys and urinary bladder WNL.</t>
  </si>
  <si>
    <t>1) Unremarkable thorax. Given the poor positioning and exposure can not exclude pulmonary metastases (also lacking a contralateral view)._x000D_
2) Unremarkable abdomen. The poor contrast likely is due to poor exposure vs a scant effusion is not excluded.</t>
  </si>
  <si>
    <t>Consdier a whole new study with proper positioning and exposure with a RL view of the thorax._x000D_
Underlying causes for panting include pain, acid-base imbalance, Cushing=ZZ91=s disease, spinal cord compression, intracranial disease, hyperthermia and PTE._x000D_
Consider work up for panting with CBC, biochemistry, abdominal US, neuro exam and upper airway exam under sedation.</t>
  </si>
  <si>
    <t xml:space="preserve">
1.PULMONARY NODULAR PATTERN likely due to END ON PULMONARY VESSELS, PULMONARY OSTEOMAS or COSTOCHONDRAL JUNCTIONS; MILD INTERSTITIAL TO ALVEOLAR PATTERN; MILD BRONCHITIS._x000D_
2.Based on the AI airway/pulmonary findings, the probability of this patient having clinically detectable respiratory signs is LOW to MEDIUM (25-50%)_x000D_
3.Are respiratory signs present? If YES._x000D_
4.MILD BRONCHOINTERSTITIAL PULMONARY PATTERN WITH ATELECTASIS or LESS LIKELY, PNEUMONIA, MILD PERIHILAR INFILTRATE._x000D_
5.Probability these AI pulmonary findings will accompany clinically detectable respiratory signs: MILD TO MODERATE (25-50%)_x000D_
6.The evaluation result has a strong suspicion of soft tissue pulmonary nodules being present._x000D_
7.Are respiratory signs present? If NO._x000D_
8.Are respiratory signs present? If YES._x000D_
9.Are respiratory signs present? If NO._x000D_
10.The cardiac silhouette size is normal.</t>
  </si>
  <si>
    <t>Study:_x000D_
Thoracic and abdominal radiography: five images dated September 4, 2024_x000D_
_x000D_
Compared to prior study dated May 23, 2022_x000D_
_x000D_
Findings:_x000D_
The cardiac silhouette (VHS approximately 10.25) is normal in size/shape and unchanged appearance from the prior examination. The pulmonary parenchyma is unremarkable. The pleural space is normal. There is no intrathoracic lymphadenopathy. The trachea is normal in diameter and course. The stomach contains a small vinyl gas. The small intestines are normal in size, course and content. The colon contains formed fecal material. The liver and spleen are normal in size and margin. The kidneys are normal in size and contour. There is a small mineral opacity in the right kidney. This finding is unchanged from the prior examination. The urinary bladder is normal in size and opacity. There is no prostatomegaly. The osseous structures are unremarkable.</t>
  </si>
  <si>
    <t>1. Normal thorax. There is no radiographic evidence of heart disease. Echocardiography can be considered for further heart disease screening._x000D_
2. A cause of the respiratory signs is not evident. Consider upper airway disease. Lack of a definitive bronchial pulmonary pattern does not exclude the possibility of allergic/inflammatory, infectious, irritant or parasitic bronchitis. Normal diameter of the trachea does not exclude the possibility of dynamic airway disease._x000D_
3. Static right nephrolith versus nephrocalcinosis. The abdomen is otherwise unremarkable.</t>
  </si>
  <si>
    <t xml:space="preserve">
1.MINIMAL TO MILD BRONCHOINTERSTITIAL PULMONRAY PATTERN; MILD PERIHILAR PATTERN._x000D_
2.Based on the AI airway/pulmonary findings, the probability of this patient having clinically detectable respiratory signs is LOW (25%)_x000D_
3.A minimal bronchointerstitial pulmonary pattern with a concurrent, minimal perihilar infiltrate have been detected._x000D_
4.There is no evidence of PULMONARY NODULES._x000D_
5.Severe cardiomegaly has been detected but Heart Failure is NOT suspected.</t>
  </si>
  <si>
    <t>Orthogonal views of the neck are provided:_x000D_
_x000D_
Pharynx and hyoid apparatus are rotated but no abnormalities are seen._x000D_
Trachea and esophagus are WNL. _x000D_
There is a ventral Penrose drain towards the right side of the neck along with focal soft tissue swelling and emphysema consistent with the reported abscess after bite wounds._x000D_
Visible cervical and thoracic spine show signs of chronic IVDD with narrowing of the IVDS. There is a suspicious/questionable transverse fracture of the right transverse process of C2 in the VD views. No signs of C1-C2 subluxation._x000D_
Right zygomatic arch is fractured._x000D_
No abnormalities are seen in the thorax. No signs of pneumomediastinum.</t>
  </si>
  <si>
    <t>1) Fracture of the right zygomatic arch._x000D_
2) Rule out transverse fracture of the right transverse process of C2 in the VD views._x000D_
3) Ventral focal soft tissue swelling and emphysema consistent with the reported abscess after bite wounds with Penrose drain._x000D_
4) Signs of pre-existing chronic IVDD.</t>
  </si>
  <si>
    <t>Based on these changes, consider a CT of the head and cervical spine/neck with +/- MRI if necessary, taking advantage of sedation for a laryngeal exam.</t>
  </si>
  <si>
    <t>Study:_x000D_
Thoracic radiography: three images dated September 3, 2024_x000D_
_x000D_
Compared two prior study dated September 8, 2023_x000D_
_x000D_
_x000D_
Findings:_x000D_
The cardiac silhouette and pulmonary vasculature are normal in size and unchanged appearance from the previous examination. The pulmonary parenchyma is unremarkable. The pleural space is normal. There is no intrathoracic lymphadenopathy. The trachea is normal in diameter and course. On the left lateral view, the soft palate appears thickened with narrowing of the nasopharynx. The stomach contains heterogeneous soft tissue material presumed to be ingesta. The liver is small with associated cranial rotation of the gastric axis. This finding is similar to prior examination. There is narrowing of the T 11-T 12 through L1-L2 intervertebral disc spaces. There is moderate spondylosis deformans from T 12 to L2. Mild periarticular bone formation is present at the caudodistal aspect the humeral head bilaterally. There is mild bilateral elbow periarticular bone formation.</t>
  </si>
  <si>
    <t>1. Thickening of the soft palate may be secondary to brachycephalic airway syndrome and inflammation/edema. Neoplasia is less likely. Sedated oropharyngeal/laryngeal exam can be considered for further evaluation._x000D_
2. Normal thorax. There is no radiographic evidence of cardiopulmonary disease._x000D_
3. Static microhepatia. Rule out normal variant, vascular anomaly or chronic hepatitis/cirrhosis. Correlate with any liver enzyme abnormalities. Abdominal sonography and bile acid testing can be considered for further evaluation if clinically relevant._x000D_
4. Mild bilateral shoulder and elbow osteoarthrosis._x000D_
5. T 11-T 12 through L1-L2 intervertebral disc disease.</t>
  </si>
  <si>
    <t xml:space="preserve">
1.Based on these AI airway/pulmonary findings, the probability of this patient having clinically detectable respiratory signs is LOW to MEDIUM (25-50%)_x000D_
2.Based on the AI airway/pulmonary findings, the probability of this patient having clinically detectable respiratory signs is LOW (25%)_x000D_
3.A mild bronchial pattern and concurrent mild dynamic airway disease have been detected._x000D_
4.MILD BRONCHOINTERSTITIAL PULMONARY PATTERN; MILD DYNAMIC AIRWAY DISEASE._x000D_
5.MILD BRONCHOINTERSTITIAL PULMONARY PATTERN; MINIMAL PERIHILAR PATTERN._x000D_
6.Mild cardiomegaly has been detected but Heart Failure is NOT suspected._x000D_
7.In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8.Are respiratory signs present? If YES._x000D_
9.In the PRESENCE of respiratory signs, low grade active pneumonitis (allergic, bacterial, parasitic (including heartworm disease), inhaled allergen or toxin) or upper airway disease causing pulmonary hypoinflation and/or recurrent microaspiration may be more likely._x000D_
10.Are respiratory signs present? If NO._x000D_
11.A minimal to mild perihilar infiltrate has been detected.</t>
  </si>
  <si>
    <t>Study:_x000D_
Spinal radiography including the thorax and abdomen: four images dated September 3, 2024_x000D_
_x000D_
Findings:_x000D_
The dens is intact and well defined. The atlantoaxial joint space is normal. There is no intervertebral disc space or foraminal narrowing. There is no evidence of discospondylitis. There are no vertebral fractures or luxations. The included appendicular skeletal structures are unremarkable.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t>
  </si>
  <si>
    <t>1. The spine is unremarkable. The lack of any apparent any apparent intervertebral disc space narrowing does not exclude the possibility of intervertebral disc disease._x000D_
2. Normal thorax._x000D_
3. Unremarkable abdomen.</t>
  </si>
  <si>
    <t>Neurology consultation and MRI can be considered for further evaluation if clinical signs persist or worsen in spite of strict activity restriction and pain management.</t>
  </si>
  <si>
    <t xml:space="preserve">
1.In the ABSENCE of respiratory signs, atelectasis secondary to heavy sedation or anesthesia or a false positive due to a combination of age-related changes, obesity, pulmonary hypoinflation/partial atelectasis and/or overlying soft tissues such as forelimb musculature overlying the cranial thorax would be most likely._x000D_
2.The cardiac silhouette size is normal._x000D_
3.There is no evidence of BRONCHITIS, DYNAMIC AIRWAY COLLAPSE or BRONCHIECTASIS or PULMONARY NODULES._x000D_
4.MODERATE INTERSTITIAL TO ALVEOLAR PATTERN; MILD PERIHILAR INFILTRATE._x000D_
5.In the PRESENCE of respiratory signs, moderate pneumonitis (aspiration or bacterial  (including Bordatella, Mycoplasma and Wolbachia), allergic, viral, fungal or parasitic (including heartworm pathosis)) would be most likely.</t>
  </si>
  <si>
    <t>Thorax: The cardiac silhouette is enlarged and misshapen.  The cardiac silhouette cannot be separated from the diaphragm.  There are no abnormalities involving the pulmonary vasculature or pulmonary parenchyma.  There is no evidence of lymphadenopathy or pleural effusion._x000D_
_x000D_
Abdomen: The liver cannot be identified.  Within the cranial abdomen the stomach and small intestines are located adjacent to the level of the diaphragm.  The head of the spleen is identified on the ventrodorsal view however the remainder of the spleen is not identified.  There are no other abnormalities involving the abdomen.</t>
  </si>
  <si>
    <t>Findings are consistent with a PPDH with suspected liver and possible portions of the spleen within the pericardial sac.</t>
  </si>
  <si>
    <t xml:space="preserve">
1.MILD BRONCHOINTERSTITIAL PULMONARY PATTERN WITH ATELECTASIS or LESS LIKELY, PNEUMONIA, MILD PERIHILAR INFILTRATE._x000D_
2.MODERATE DYNAMIC AIRWAY DISEASE; MILD BRONCHOINTERSTITIAL PULMONARY PATTERN; ATELECTASIS or ALVEOLAR INFILTRATE._x000D_
3.MODERATE DYNAMIC AIRWAY DISEASE; MILD BRONCHOINTERSTITIAL PULMONARY PATTERN; MINIMAL PERIHILAR INFILTRATE._x000D_
4.Based on these AI airway/pulmonary findings, the probability of this patient having clinically detectable respiratory signs is MEDIUM (50%)_x000D_
5.Probability these AI pulmonary findings will accompany clinically detectable respiratory signs: MILD TO MODERATE (25-50%)_x000D_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suspected._x000D_
8.Are respiratory signs present? If NO._x000D_
9.Are respiratory signs present? If NO._x000D_
10.Are respiratory signs present? If YES._x000D_
11.AI linked information on dynamic airway collapse treatment in dogs: https://platform.v2.vetology.net/doc/canine-tracheal-collapse-treatment_x000D_
12.AI linked dynamic airway treatment: https://platform.v2.vetology.net/doc/canine-tracheal-collapse-treatment_x000D_
13.Are respiratory signs present? If NO._x000D_
14.Are respiratory signs present? If YES._x000D_
15.Are respiratory signs present? If YES.</t>
  </si>
  <si>
    <t>WHOLE BODY, six images dated September 03, 2024._x000D_
_x000D_
 The patient has increased subcutaneous fat. Aside from bracyocephalic conformation and poorly developed frontal sinuses, no abnormality is noted in the head. No tracheal abnormality is noted. There is mild straightening of the caudal cardiac border. The pulmonary vasculature and parenchyma are normal. The pleural and mediastinal spaces are within normal limits. No intrathoracic lymphadenopathy is seen. The stomach contains amorphous, soft-tissue-opaque material, most consistent with food. The small intestines are a combination of gas-filled and fluid-filled/collapsed, and all are within normal limits in diameter. The colon contains a combination of gas and granular fecal material. There is borderline hepatomegaly. The remainder of the abdomen is unremarkable. There are mild shoulder degenerative changes. No elbow or antebrachial abnormality is noted. No other thoracic limb abnormality is noted. There are moderate bilateral coxofemoral degenerative changes with bilateral subluxation. No stifle effusion is seen.</t>
  </si>
  <si>
    <t>- There is potential left atrial enlargement versus an appearance related to rotation, without evidence of left-sided congestive heart failure. Otherwise normal thorax._x000D_
_x000D_
- Hepatomegaly is a nonspecific finding though is most likely secondary to a metabolic hepatopathy. Otherwise normal abdomen._x000D_
_x000D_
-Shoulder and coxofemoral degenerative joint disease with coxofemoral subluxation.</t>
  </si>
  <si>
    <t>Study:_x000D_
Abdominal radiography: right lateral survey projection and upper G.I. images (six images) dated September 3, 2024_x000D_
_x000D_
A relative projection of the thorax is also present in the study._x000D_
_x000D_
Findings:_x000D_
The cardiac silhouette and pulmonary vasculature are normal in size. The pulmonary parenchyma is unremarkable. The pleural space is normal. There is no intrathoracic lymphadenopathy. The trachea is normal in diameter and course. On the survey right lateral projection of the abdomen, there is a small mineral opacity in the pylorus. On both VD images in the upper G.I. series, there is a 3.2 cm ovoid gas lucency containing a square region of contrast medium. The small intestines are normal in size, course and content. No filling defects are present in the small intestines. The colon contains formed fecal material and a small mineral opacity with a normal diameter. The liver and spleen are normal in size and margin. The renal silhouettes are normal in size and contour. The urinary bladder is not visualized and is likely small/empty. The osseous structures are unremarkable.</t>
  </si>
  <si>
    <t>1. Gastric foreign body._x000D_
2. There is no evidence of small intestinal mechanical obstruction._x000D_
3. Normal thorax.</t>
  </si>
  <si>
    <t>Consider endoscopy versus gastrotomy.</t>
  </si>
  <si>
    <t xml:space="preserve">Two images are provided.
Images are dated September 3, 2024.
Pulmonary parenchyma: The lungs are hypoinflated in both images.  A minimal to mild diffuse bronchial and minimal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</si>
  <si>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Minimal-mild diffuse bronchial and minimal interstitial pulmonary patterns.
- Differential diagnoses include fibrosis from prior disease, age-related changes, infectious/immune-mediated lower airway disease or unlikely other.
- No obvious evidence of pneumonia in this examination.
</t>
  </si>
  <si>
    <t>Consider 3- or 4-view focused thoracic radiographs for further evaluation.  Consider continued empirical antibiotic therapy for possible prior bronchopneumonia for 1-2 weeks past radiographic resolution.  Routine blood work if not recently performed may be contributory.  Empirical therapy and supportive care in the interim as needed.  Monitoring as directed or sooner if clinical signs acutely change, fail to improve or worsen.</t>
  </si>
  <si>
    <t xml:space="preserve">
1.A minimal to mild bronchointerstitial pulmonary pattern has been detected._x000D_
2.The cardiac silhouette size is normal._x000D_
3.There is no evidence of PERIHILAR INFILTRATE.</t>
  </si>
  <si>
    <t xml:space="preserve">THORAX (3 images):
Images are dated September 3, 2024.
Pulmonary parenchyma: A mild diffuse bronchial pattern is present.
Pulmonary vasculature: The pulmonary vasculature is subjectively normal in size and tapers in the periphery of the lungs.
Cardiac silhouette: The cardiac silhouette is mildly tall in the right lateral image.  The trachea is mildly dorsally displaced in the right lateral image.  The caudodorsal margin of the cardiac silhouette is slightly flattened in the right lateral image.  
Mediastinum: The cranial mediastinum is normal.
Trachea: A soft tissue band superimposes over the dorsal aspect of the mid- and caudal cervical tracheal segments.
Esophagus: The esophagus is not well-identified.
Pleural space: The pleural space is normal.
Musculoskeletal: The included musculoskeletal structures are normal.
</t>
  </si>
  <si>
    <t xml:space="preserve">1. Mild left-sided cardiomegaly versus artifact from phase of the cardiopulmonary cycle and/or patient positioning.
- If present, consider myxomatous mitral valvular disease or unlikely other.
- There is no current evidence of left-sided congestive heart failure.  
2. Mild diffuse bronchial pulmonary pattern such as from infectious/immune-mediated lower airway disease (mycoplasma spp., bordetella spp., parasitism, or other), or inhaled allergen/irritant,  and/or fibrosis from prior disease, age-related changes, or unlikely other.
3. Redundant dorsal tracheal membrane with/without underlying dynamic airway disease, versus superimposed normal structures.
</t>
  </si>
  <si>
    <t>Consider echocardiography, blood pressure and ECG for further evaluation.  Routine blood work, fecal analysis/deworming, and respiratory PCR panel may be contributory.  Empirical therapy and supportive care in the interim as needed for reported coughing.  Monitoring as directed or sooner if clinical signs acutely change, fail to improve or worsen.</t>
  </si>
  <si>
    <t>Study:_x000D_
Abdominal radiography: five images dated September 3, 2024_x000D_
A right lateral projection of the thorax is also present in the study._x000D_
_x000D_
Findings:_x000D_
Evaluation the thorax is limited by the lack of left lateral and orthogonal views. The cardiac silhouette and pulmonary vasculature are normal in size. The pulmonary parenchyma is unremarkable. The pleural space is normal. There is no intrathoracic lymphadenopathy. The trachea is normal in diameter and course. The stomach contains a small volume of gas. Some small intestinal segments contain heterogeneous soft tissue material. There is no small intestinal dilation. The colon contains formed fecal material with interspersed granular mineral. The liver and spleen are normal in size and margin. The renal silhouettes are normal in size and contour. The urinary bladder is normal in size and opacity. The osseous structures are unremarkable.</t>
  </si>
  <si>
    <t>1. Intestinal contents may represent food (in spite of the reported fasting history) or foreign material. There is no evidence of small intestinal mechanical obstruction. Repeat fasted radiography can be considered to ensure intestinal. The abdomen is otherwise unremarkable._x000D_
2. Unremarkable incomplete thoracic study. There is no evidence of cardiopulmonary disease.</t>
  </si>
  <si>
    <t>A G.I. panel resting cortisol level can be considered to further very for cause of the patient=ZZ91=s clinical signs.</t>
  </si>
  <si>
    <t xml:space="preserve">
1.The cardiac silhouette size is normal._x000D_
2.There is no evidence of BRONCHITIS, PERIHILAR INFILTRATE or DYNAMIC AIRWAY COLLAPSE or BRONCHIECTASIS._x000D_
3.A moderate interstitial to alveolar pattern has been detected._x000D_
4.Pleural fissure lines or small volume pleural effusion has been detected. In a mildly overweight animal, excessive pericardial fat can artifactually mimic the result of minimal pleural effusion.</t>
  </si>
  <si>
    <t>ABDOMEN (2 images):
Images are dated September 3, 2024.
Prior images dated April 2, 2024 are available.
Liver: The liver is subjectively normal in size.
Spleen: The spleen is normal in size with smooth margins and homogeneous soft tissue.
Kidneys: The kidneys are obscured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The stomach is within normal limits for size.
The small intestine contains minimal gas and fluid or is empty with a subjectively uniform population for size. 
The colon contains moderate well-defined soft tissue material and gas.  The colon is within normal limits for size.  
Musculoskeletal: The included musculoskeletal structures are normal.</t>
  </si>
  <si>
    <t>1. Non-specific small intestinal tract appearance such as from variation of normal or unlikely enteritis given reported history.
- There is no current evidence of gastrointestinal mechanical ileus.</t>
  </si>
  <si>
    <t>Etiology of reported signs is not definitively identified.  Lower esophageal reflux disease cannot be ruled out, versus occult esophagitis, gastritis or enteritis such as from dietary indiscretion, toxin ingestion, diet/antibiotic responsive disease, inflammatory bowel disease, pancreatitis, occult systemic disease or unlikely other.  Consider GI panel, fecal analysis/deworming, and routine blood work for further evaluation.  Empirical therapy and supportive care in the interim as needed.  Monitoring as directed or sooner if clinical signs acutely change, fail to improve or worsen.</t>
  </si>
  <si>
    <t>3 views of the thorax are presented for review.  The cardiovascular structures are normal (VHS 9.25).  There is a diffuse interstitial pulmonary pattern that is considered appropriate for the age of the patient.  No pulmonary nodules or enlarged intrathoracic lymph nodes are seen.  The pleural and mediastinal structures are normal.  Cranial abdominal detail is adequate.  An incidental right cervical rib is present on C7.</t>
  </si>
  <si>
    <t>Echocardiography, BNP, and ECG could be considered in further evaluation of the reported murmur.</t>
  </si>
  <si>
    <t>THORAX (4 images):
Images are dated September 3, 2024.
Left lateral image is slightly overexposed with lung saturation.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</si>
  <si>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Minimal-mild diffuse bronchial pulmonary pattern.
- Differential diagnoses include infectious/immune-mediated lower airway disease such as from mycoplasma spp., bordetella spp., parasitism (lung worms), or inhaled allergen/irritant, or less likely fibrosis from prior disease, age-related changes, or a combination of these,or unlikely other.</t>
  </si>
  <si>
    <t>Etiology of reported coughing/acute hemoptysis is not definitively identified.  Consider underlying infectious airway disease given patient age and reported history.  Consider respiratory PCR panel, airway sampling, and empirical deworming/fecal analysis for further evaluation. Routine blood work to screen for occult systemic disease if not recently performed. Empirical therapy and supportive care in the interim as needed. Monitoring as directed or sooner if clinical signs acutely change, fail to improve or worsen.</t>
  </si>
  <si>
    <t>1) Left atrial enlargement secondary to chronic mitral endocardiosis without signs of CHF. Rule out concomitant tricuspid endocardiosis with pulmonary hypertension._x000D_
2) Lack of visualization of tracheal collapse does not exclude this differential (especially taking into account the breed). Unremarkable lungs do not exclude a bronchitis of allergic vs inflammatory/infectious or parasitic origin.</t>
  </si>
  <si>
    <t>Consider a cardiology consultation with ECG and echocardiogram followed by empirical treatment for chronic bronchitis evaluating response to treatment. Evaluate the convenience/benefit of a CT of the nasal cavity/thorax with bronchoscopy, BAL, culture, cytology followed (in this order) by rhinoscopy and biopsies with culture, with deworming.</t>
  </si>
  <si>
    <t>Study:_x000D_
Thoracic and abdominal radiography: six images dated September 3,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adequate. The stomach contains a small volume of gas with the pylorus appropriately gas-filled on the left lateral image. The thickness of the gastric wall and rugae are within normal limits for the degree of gastric distention. There is a thin linear metallic opacity in the mesentery of the right cranial abdomen. The small intestines are gas and fluid-filled and normal in size and course. The colon contains formed fecal material with a normal diameter. The liver and spleen are normal in size and margin. The renal silhouettes are normal in size and contour. The urinary bladder is normal in size and opacity. There is no prostatomegaly. There is narrowing of the T one intervertebral disc space with sclerotic endplates and mild spondylosis deformans. There is a lipomatous mass in the subcutaneous tissues of the caudoventral thorax.</t>
  </si>
  <si>
    <t>1. Peritoneal linear metallic foreign body, possibly wire or brush bristle. This is a relatively common incidental finding._x000D_
2. The abdomen is otherwise unremarkable. Abdominal sonography can be considered to further evaluate for sources of intra-abdominal pain._x000D_
3. T 13-L1 intervertebral disc disease. Consider referred spinal pain as a potential cause of the tense abdomen. Neurology consultation and MRI can be considered for further evaluation._x000D_
4. Normal thorax. There is no radiographic evidence of cardiopulmonary disease.</t>
  </si>
  <si>
    <t xml:space="preserve">
1.Pleural fissure lines or small volume pleural effusion has been detected. In a mildly overweight animal, excessive pericardial fat can artifactually mimic the result of minimal pleural effusion._x000D_
2.MILD BRONCHOINTERSTITIAL PULMONARY PATTERN; MILD DYNAMIC AIRWAY DISEASE; ATELECTASIS or less likely, pneumonia._x000D_
3.Based on these AI airway/pulmonary findings, the probability of this patient having clinically detectable respiratory signs is MEDIUM (50%)_x000D_
4.Mild cardiomegaly has been detected but Heart Failure is NOT suspected._x000D_
5.Are respiratory signs present? If YES._x000D_
6.Are respiratory signs present? If NO.</t>
  </si>
  <si>
    <t>THORAX (3 images):
Images are dated September 3, 2024.
Pulmonary parenchyma: A minimal to mild diffuse bronchial pattern is present.
Pulmonary vasculature: The pulmonary vasculature is subjectively normal in size and tapers in the periphery of the lungs.
Cardiac silhouette: Possible increased soft tissue in the region of the left atrium with lateral mainstem bronchial displacement in the ventrodorsal image.
Mediastinum: The cranial mediastinum is symmetrically mildly widened in the ventrodorsal image without obvious increased soft tissue.
Trachea: The trachea is normal.
Esophagus: The esophagus is not well-identified.
Pleural space: The pleural space is normal.
Musculoskeletal: The included musculoskeletal structures are normal.</t>
  </si>
  <si>
    <t>1. Minimal-mild diffuse bronchial pulmonary pattern such as from fibrosis from prior disease, age-related changes, infectious/immune-mediated lower airway disease or unlikely other.
2. Possible left atrial enlargement versus artifact from phase of the cardiopulmonary cycle and mainstem bronchial compression.
- If present, consider evolving myxomatous mitral valvular disease.
- There is no current evidence of left-sided congestive heart failure.
3. Mild cranial mediastinal widening such as from fat deposition, variation of normal, or unlikely evolving lymphadenomegaly/mass.</t>
  </si>
  <si>
    <t>Consider respiratory PCR panel, airway sampling, and empirical deworming/fecal analysis for further evaluation.  Consider echocardiography, eCG and blood pressure, especially if a murmur is later identified, or if suspicion or progressive cardiomegaly ij recheck radiographs. Monitoring as directed, or sooner if clinical signs acutely change, fail to improve or worsen.</t>
  </si>
  <si>
    <t xml:space="preserve">
1.The cardiac silhouette size is normal._x000D_
2.There is no evidence of ALVEOLAR PATTERN, DYNAMIC AIRWAY COLLAPSE or BRONCHIECTASIS or PULMONARY NODULES._x000D_
3.A mild bronchial pattern and minimal perihilar infiltrate have been detected.</t>
  </si>
  <si>
    <t>Seven radiographs of the thorax and abdomen are provided. There is mild left atrial enlargement. The left ventricle is elongated on the VD views. Pulmonary vessels are normal size. There are no abnormalities in the pulmonary parenchyma. Small volume fluid in the caudal esophagus is transient and incidental. Normal cranial mediastinal and tracheal diameter. No cervicothoracic spinal abnormalities, and the proximal thoracic limbs are normal. Smoothly marginated broad-based lipomatous thickening ventral to the cranial and caudal sternum consistent with lipomas, incidental._x000D_
_x000D_
In the abdomen peritoneal and retroperitoneal detail is adequate. The gastrointestinal tract is moderately filled. Normal-sized liver, spleen. The kidneys are incompletely visible. Narrowed T13-L1, L1-2, L2-3 intervertebral disc spaces. The coxofemoral joints are congruent.</t>
  </si>
  <si>
    <t>1. The appearance of T13-L1, L1-2, L2-3 are all suggestive of intervertebral disc disease. This is the most likely cause for discomfort._x000D_
2. Mild left-sided cardiomegaly consistent with acquired mitral valve disease. There is no pulmonary venous congestion or evidence of heart failure. Otherwise normal thorax._x000D_
3. Normal abdomen.</t>
  </si>
  <si>
    <t>If there are no neurologic deficits and discomfort can be medically managed, this patient may benefit from anti-inflammatories and strict rest. Otherwise, consultation with a neurologist and advanced spinal imaging with CT/MRI would be recommended.</t>
  </si>
  <si>
    <t>Thorax: There are numerous pulmonary nodules throughout all lung lobes.  The cardiac silhouette and pulmonary vasculature are unremarkable.  There is no evidence of pleural effusion or lymphadenopathy._x000D_
_x000D_
Abdomen: There is an increase in soft tissue opacity/thickness ventral to L6 and L7 with a mass effect causing focal ventral deviation of the distal descending colon.  On the lateral view there appears to be prostatomegaly with possible faint regions of mineralization.  The remainder of the abdominal viscera is unremarkable.</t>
  </si>
  <si>
    <t>Numerous pulmonary nodules consistent with pulmonary metastatic disease._x000D_
_x000D_
Suspect prostatomegaly with possible regions of dystrophic mineralization.  Neoplasia should be considered._x000D_
_x000D_
Suspect sublumbar lymphadenopathy which may represent metastatic neoplasia.</t>
  </si>
  <si>
    <t xml:space="preserve">
1.Are respiratory signs present. If YES._x000D_
2.The cardiac silhouette size is normal._x000D_
3.PULMONARY NODULAR PATTERN; MINIMAL BRONCHOINTERSTITIAL PULMONARY PATTERN._x000D_
4.The evaluation has come up positive for a pulmonary nodular pattern._x000D_
5.Based on these AI airway/pulmonary findings, the probability of this patient having clinically detectable respiratory signs is MEDIUM (50%)_x000D_
6.Are respiratory signs present. If NO.</t>
  </si>
  <si>
    <t>A ventral dorsal and right lateral radiograph of the thorax are provided. The cardiac silhouette and pulmonary vessels are normal size. There are several incidental pulmonary osteomas. No soft tissue pulmonary nodules or pleural effusion. Normal cranial mediastinal width. Degenerative change noted within at least one of the shoulders.</t>
  </si>
  <si>
    <t xml:space="preserve">
1.The cardiac silhouette size is normal._x000D_
2.There is no evidence of DYNAMIC AIRWAY COLLAPSE or BRONCHIECTASIS or PULMONARY NODULES._x000D_
3.A moderate interstitial to alveolar pattern has been detected._x000D_
4.A minimal perihilar infiltrate has been detected.</t>
  </si>
  <si>
    <t>5 images of the thorax and the carpi/digits are presented for review and compared with the study dated 8/5/2024.  There is straightening of the caudal cardiac waist in the region of the left atrium.  This is visible on the well-positioned right lateral view.  There is a diffuse bronchointerstitial pulmonary pattern that is considered appropriate for the age of the patient.  No pulmonary nodules or enlarged intrathoracic lymph nodes are seen.  The pleural and mediastinal structures are normal.  Cranial abdominal detail is adequate.  The joint surfaces are smooth and regular.  Periarticular osteophyte formation is seen at the right fifth metacarpophalangeal joint.  No fractures or lytic lesions are seen.  Irregular periosteal proliferation is seen at the dorsal aspect of the proximal metacarpals on the right.  This appears to be associated with the vestigial first digit and the proximal portion of the second metacarpal on the DP view.  The proliferation is extending further distally and is overall slightly more prominent than on previous images.</t>
  </si>
  <si>
    <t>Mild left atrial enlargement may represent early cardiomyopathy.  This is more definitively seen on the current view due to the well-positioned right lateral view.  Echocardiography could be considered in further evaluation.  Persistent right fifth metacarpophalangeal DJD.  Progressive periosteal proliferation of the right second metacarpal and likely first digit.  Progression is concerning for an underlying aggressive process.  Biopsy could be considered.  Imaging of the abdomen could also be considered to rule out an abdominal mass causing hypertrophic osteopathy in this region.</t>
  </si>
  <si>
    <t xml:space="preserve">
1.MINIMAL INTERSTITIAL PATTERN; MINIMAL PERIHILAR INFILTRATE._x000D_
2.Based on these AI airway/pulmonary findings, the probability of this patient having clinically detectable respiratory signs is LOW (25%)_x000D_
3.Are respiratory signs present? If YES._x000D_
4.The cardiac silhouette size is normal._x000D_
5.There is no evidence of DYNAMIC AIRWAY COLLAPSE or BRONCHIECTASIS._x000D_
6.The evaluation has come up positive for a pulmonary nodular pattern._x000D_
7.Are respiratory signs present? If NO.</t>
  </si>
  <si>
    <t>Three radiographs of the thorax are provided. The cardiac silhouette is normal size and shape, with no chamber enlargement. There is a mild unstructured interstitial pattern throughout the lungs consistent with age. No pleural effusion or soft tissue pulmonary nodules. Scant fluid in the caudal esophagus is transient and incidental. Normal tracheal diameter. Osseous structures and the cranial abdomen are unremarkable.</t>
  </si>
  <si>
    <t>Consider visual inspection of the pharyngeal/laryngeal region, and symptomatic treatment for the cough.</t>
  </si>
  <si>
    <t xml:space="preserve">
1.A mild perihilar infiltrate has been detected._x000D_
2.A moderate bronchial pattern has been detected._x000D_
3.The cardiac silhouette size is normal._x000D_
4.There is no evidence of DYNAMIC AIRWAY COLLAPSE or BRONCHIECTASIS.</t>
  </si>
  <si>
    <t>Thorax. Three radiographs (two lateral, one DV) dated September 3, 2024 are provided.
Cardiac silhouette: The cardiac silhouette is normal in size and shape.
Pulmonary vessels: The pulmonary arteries and veins are normal in size and are symmetrical.
Pulmonary parenchyma: There is mild diffuse bronchial pattern. There is an interstitial pulmonary pattern which is scattered in small patches throughout all lung lobes.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Cranial abdomen: No significant abnormalities are identified in the cranial abdomen.
Musculoskeletal: There are several congenitally anomalous thoracic vertebrae which causes rib crowding in the mid to caudal thorax, intermittent spondylosis deformans, and focal caudal thoracic kyphosis.</t>
  </si>
  <si>
    <t xml:space="preserve">1. Patchy interstitial pulmonary pattern. Differentials include thromboembolic disease, infectious pathogens, and parasitism. 
2. Mild diffuse bronchial pattern consistent with lower airway inflammation. This may be secondary to conclusion #1; however, underlying chronic bronchitis cannot be excluded.
3. Concurrent upper airway disease from brachycephalic obstructive airway syndrome (BOAS) is likely contributing to clinical signs. </t>
  </si>
  <si>
    <t xml:space="preserve">Consider respiratory PCR panel, airway sampling, CBC, biochemistry, and fecal analysis for further evaluation.  Empirical therapy and supportive care as needed in the interim. </t>
  </si>
  <si>
    <t xml:space="preserve">
1.The evaluation has detected soft tissue pulmonary nodules._x000D_
2.Pleural fissure lines or moderate to severe pleural effusion has been detected. An overlying skin fold or in an obese animal, excessive pericardial fat could artifactually mimic the result of severe pleural effusion._x000D_
3.Mild cardiomegaly has been detected but Heart Failure is NOT suspected._x000D_
4.MODERATE TO SEVERE INTERSTITIAL TO ALVEOLAR PATTERN; MODERATE BRONCHITIS; MILD NODULAR PULMONARY PATTERN._x000D_
5.SEVERE INTERSTITIAL TO ALVEOLAR PATTERN; MODERATE BRONCHIAL PATTERN; SEVERE DYNAMIC AIRWAY DISEASE._x000D_
6.Based on the AI airway/pulmonary findings, the probability of this patient having clinically detectable respiratorysigns is VERY HIGH (&gt;75%)_x000D_
7.Based on these AI airway/pulmonary findings, the probability of this patient having clinically detectable respiratory signs is VERY HIGH (&gt;75%)_x000D_
8.Are respiratory signs present? If NO._x000D_
9.A severe alveolar pattern and concurrent, diffuse bronchointerstitial pulmonary pattern have been detected._x000D_
10.Are respiratory signs present? If YES.</t>
  </si>
  <si>
    <t>THORAX (3 radiographs available for review)._x000D_
_x000D_
- Dynamic collapse of the tracheal lumen at the level of the thoracic inlet._x000D_
- Moderate, diffuse, mixed bronchial and unstructured interstitial pattern._x000D_
- Mild widening of the cranial mediastinum._x000D_
- The cardiac silhouette and pulmonary vasculature are normal._x000D_
- The stomach contains mild gas and soft-tissue opaque material._x000D_
- The remaining cranial abdominal structures are normal._x000D_
- L1-2 intervertebral disc space collapse with endplate sclerosis and spondylosis deformans._x000D_
- Bilateral cubital osteoarthritis (limited).</t>
  </si>
  <si>
    <t>1. The appearance of the trachea is compatible with tracheal collapse, secondary to chondromalacia. This may be the primary cause of the patient=ZZ91=s reported respiratory distress, however a contribution from lower airway disease is also possible._x000D_
_x000D_
2. Generalized, diffuse bronchointerstitial pattern. DDx chronic bronchitis/lower airway disease vs. age-related airway degeneration._x000D_
_x000D_
3.  Mild widening of the cranial mediastinum, likely due to incidental fat deposition. A cranial mediastinal mass or effusion is a less likely consideration._x000D_
_x000D_
4. L1-2 intervertebral disc disease._x000D_
_x000D_
5. Mild bilateral cubital osteoarthritis.</t>
  </si>
  <si>
    <t xml:space="preserve">
1.MILD to MODERATE BRONCHOINTERSTITIAL PATTERN; MINIMAL DYNAMIC AIRWAY DISEASE._x000D_
2.Based on these AI airway/pulmonary findings, the probability of this patient having clinically detectable respiratory signs is LOW to MEDIUM (25%-50%)_x000D_
3.Are respiratory signs present? If YES._x000D_
4.AI linked bacterial bronchitis in dogs article: https://platform.v2.vetology.net/doc/bacterial-bronchitis-in-dogs-and-cats_x000D_
5.The cardiac silhouette size is normal._x000D_
6.There is no evidence of PULMONARY NODULES._x000D_
7.Are respiratory signs present? If NO.</t>
  </si>
  <si>
    <t>Orthogonal views of the thorax are provided:_x000D_
_x000D_
Thorax:_x000D_
_x000D_
Cardiac silhouette has a normal shape and size. CVC is subjectively enlarged._x000D_
Pulmonary vessels are within normal limits of size and shape._x000D_
Pulmonary parenchyma shows abnormal increased opacity in the left hemithorax with a suspected mass effect or a cranial pulmonary mass and pulmonary nodules in the left cranial and caudal lung lobes._x000D_
Pleural space, mediastinum, diaphragm and thoracic wall within normal limits._x000D_
_x000D_
Liver extends beyond the costal arch with sharp margins with poor serosal margins..</t>
  </si>
  <si>
    <t>1) Rule out left cranial lung lobe mass vs mediastinal mass with suspected pulmonary nodules of metastases._x000D_
2) Hepatomegaly: right sided congestive heart failure (given the prominence of the CVC): actual cause of it is not clear in this study vs Neoplastic /metastatic is the main differential. Other concomitant differentials such as Hepatic nodular hyperplasia vs Metabolic vs Vacuolar infiltration vs Inflammatory vs Toxic or hepatopathies are not excluded._x000D_
3) Free fluid: transudate vs exudate.</t>
  </si>
  <si>
    <t>Consider CT of the thorax after echocardiogram with US guided FNAs of the pulmonary mass if present or some of the pulmonary nodules along with abdominal US to further evaluate the liver with +/- Us guided FNAs and abdominocentesis.</t>
  </si>
  <si>
    <t xml:space="preserve">
1.PULMONARY NODULES or NODULAR PATTERN; SEVERE INTERSTITIAL TO ALVEOLAR PATTERN; MODERATE BRONCHITIS; MILD PERIHILAR INFILTRATE._x000D_
2.Based on the AI airway/pulmonary findings, the probability of this patient having soft tissue pulmonary nodules and clinically detectable respiratory signs is VERY HIGH (&gt;75%)_x000D_
3.The evaluation has a strong suspicion of soft tissue pulmonary nodules being present._x000D_
4.A severe alveolar pattern and mild perihilar pattern have been detected._x000D_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</si>
  <si>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4 images of humeri are provided for review.  The joint surfaces are smooth and regular.  No fractures, luxations, or aggressive osseous lesions are seen.  There is consistent narrowing of the intervertebral disc spaces at C5-7.  The soft tissue structures are normal.</t>
  </si>
  <si>
    <t>Radiographically normal proximal thoracic limbs.  Narrowed intervertebral disc spaces in the cervical spine concerning for intervertebral disc lesions.  Consider a neurologic cause for lameness.</t>
  </si>
  <si>
    <t xml:space="preserve">
1.PULMONARY NODULES or NODULAR PATTERN; MODERATE INTERSTITIAL TO ALVEOLAR PATTERN; MILD BRONCHITIS._x000D_
2.Based on the AI airway/pulmonary findings, the probability of this patient having soft tissue pulmonary nodules and clinically detectable respiratory signs is VERY HIGH (&gt;75%)_x000D_
3.The evaluation result has a strong suspicion of soft tissue pulmonary nodules being present._x000D_
4.Are respiratory signs present? If YES._x000D_
5.Are respiratory signs present? If NO._x000D_
6.The cardiac silhouette size is normal._x000D_
7.There is no evidence of DYNAMIC AIRWAY COLLAPSE or BRONCHIECTASIS.</t>
  </si>
  <si>
    <t>Opposite lateral and VD views of the thorax and abdomen are provided._x000D_
_x000D_
In the right lateral abdomen view, there is an irregular ring of opacity measuring 3.2 x 2.2 cm that appears to be in the stomach. No corresponding shadow is seen in the other views. The gastric wall in the caudal fundic region has a thickened appearance in the VD view. Rugal folds are slightly prominent. The intestinal tract and the other abdominal organs are within normal limits. Serosal detail is within normal limits considering the thin body condition of the patient._x000D_
_x000D_
The heart and pulmonary vessels appear mildly diminished. No pulmonary infiltrates or pleural effusion are identified. The caudal thoracic esophagus is easily visible as a band of opacity dorsal to the vena cava. It does not appear distended. No mass effect or foreign bodies are seen associated with the esophagus.</t>
  </si>
  <si>
    <t>There is an unusual shadow that could potentially represent a foreign body in the stomach. Possibly something hollowing plastic such as a toy squeaker. The radiographic appearance is subtle, and clinical significance cannot be definitively determined. Rupture is relatively small, probably in the range of approximately 2 cm one accounting for radiographic magnification._x000D_
_x000D_
The esophagus is easily visible, but does not appear distended. This is probably due to the thin body condition of the patient and the margins more visible. Esophageal thickening secondary to reflux esophagitis could appear similar._x000D_
_x000D_
No other significant anatomic abnormalities are identified, aside from the thin body condition of the patient.
(amended on 09/03/2024 16:10)
NOTE:  There is a voice recognitition error in the above conclusion. The last sentence of the first paragraph should read =ZZ92=This structure is relatively small, probably in the range of approximately 2 cm when accounting for radiographic magnification.=ZZ92=  The word =ZZ92=rupture=ZZ92= in that sentence is an error.</t>
  </si>
  <si>
    <t>Endoscopy is recommended if available._x000D_
If not, contrast gastrography is recommended for additional assessment of the gastric wall and potential foreign body.
(amended on 09/03/2024 16:10)
 The appearance of gastric wall thickening is often artifactual, but an infiltrative gastric mass or ulcer should still be ruled out.</t>
  </si>
  <si>
    <t xml:space="preserve">
1.The cardiac silhouette size is normal._x000D_
2.The evaluation has come up positive for a pulmonary nodular pattern._x000D_
3.There is no evidence of BRONCHITIS, PERIHILAR INFILTRATE or DYNAMIC AIRWAY COLLAPSE or BRONCHIECTASIS.</t>
  </si>
  <si>
    <t>A three view study of the thorax is provided for interpretation._x000D_
_x000D_
The heart is at the upper end of normal size range. Pulmonary vessels are within normal limits. There is a mild interstitial pattern with a miliary component of several tiny nodules. A to cm round nodular shadow is seen just ventral to the carina in the left lateral view, but no corresponding shadow is seen in either the other views. This is suspected to be artifactual. No tracheal abnormalities are identified. Most of the larynx is visible and appears normal. The cranial abdomen is unremarkable.</t>
  </si>
  <si>
    <t>Overall pulmonary density is within the limits of what might be expected for patient age and hypoinflation artifact in this study. There are a few tiny nodules visible. The cysts suspected to represent mostly vascular artifact an age-related change. Some actual small nodules due to distal airway plugging or bronchial thickening might also be present. Neoplasia is considered unlikely at this time.</t>
  </si>
  <si>
    <t xml:space="preserve">
1.Are respiratory signs present? If YES._x000D_
2.A moderate bronchointerstitial pattern with alveolar infiltrates has been detected._x000D_
3.A moderate interstitial to alveolar infiltrate, mild bronchial pattern and concurrent mild perihilar infiltrate have been detected._x000D_
4.Probability these AI pulmonary findings will accompany clinically detectable respiratory signs: MEDIUM (50%)_x000D_
5.The cardiac silhouette size is normal._x000D_
6.Are respiratory signs present? If NO.</t>
  </si>
  <si>
    <t>Three view view study of the thorax is provided for interpretation._x000D_
The studies compared to the previous dated 11-29-23._x000D_
_x000D_
Moderate heart enlargement is identified. The shape of the heart is consistent with left ventricular and left atrial dilation. The appearance is similar to the previous radiographs. Vertebral heart score = 11.9. The pulmonary vessels are within normal limits. The previously described mild bronchial pattern is still mild and unchanged appearance. No alveolar infiltrates or edema are seen. The trachea has smooth walls and normal uniform diameter. No pulmonary nodules or pleural effusion are identified. The cranial abdomen is unremarkable.</t>
  </si>
  <si>
    <t>There is moderate left sided cardiomegaly, likely secondary to chronic mitral regurgitation. The heart appears subjectively similar to the previous radiographs made nine months ago. Vertebral heart score has increased slightly._x000D_
_x000D_
The bronchial pattern is minimal, and within the limits of typical age related change. Considering the chronic nature of the cough, this patient most likely has chronic allergic lung disease. There is no evidence of congestive heart failure at this time.</t>
  </si>
  <si>
    <t>Symptomatic therapy for the cough is recommended._x000D_
_x000D_
Pimobendan therapy could be considered due to the severity of cardiomegaly. Echocardiography is recommended for more definitive evaluation.</t>
  </si>
  <si>
    <t xml:space="preserve">
1.No airway or pulmonary abnormalities have been detected. The lung parenchyma appears normal with no interstitial, alveolar, or bronchial pattern identified. No pulmonary nodules or pleural effusion detected._x000D_
2.Severe cardiomegaly has been detected but Heart Failure is NOT suspected.</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</si>
  <si>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Gas is present within the cranial thoracic esophagus.  The cranial border of the gas appears to efface with a rounded soft tissue structure terminating at the second ribs.  However, soft tissue is also superimposed over the trachea in this region with the esophagus.  The pleural and mediastinal structures are normal.  Abdominal serosal detail is adequate in all quadrants.  The stomach contains a small amount of gas.  The small intestines are normal in size.  Gas and feces are present in the colon.  The urinary bladder is small.  The remaining abdominal organs are normal.</t>
  </si>
  <si>
    <t>Radiographically normal abdomen.  The appearance of the cervical trachea and esophageal gas are difficult to distinguish.  Changes may be due to severe tracheal collapse with incidental esophageal gas.  However, the rounded caudal border to the soft tissue is more concerning for an esophageal foreign body.</t>
  </si>
  <si>
    <t>An esophagram (with iodinated contrast if endoscopy would be considered) could be considered in confirmation.</t>
  </si>
  <si>
    <t>Three radiographs of the thorax are provided. The cardiac silhouette and pulmonary vessels are normal size. There is a mild mixed bronchointerstitial pattern throughout the lungs. No pleural effusion or soft tissue pulmonary nodules. The appearance of increased right lung opacity on the VD view is due to partial expiration and slight rotation. Increased opacity overlying the ventral heart on the right lateral view is caused by pleural fat and costochondral junctions. Fat deposition also noted in the cranial mediastinum. Tracheal diameter is adequate. No esophageal abnormalities.</t>
  </si>
  <si>
    <t>Mild mixed bronchointerstitial pattern is most likely normal age-related change. With the chronic cough, consider concurrent mild allergic bronchitis. There is no evidence of cardiovascular disease or pneumonia.</t>
  </si>
  <si>
    <t xml:space="preserve">
1.The evaluation has a strong suspicion of pulmonary nodules or mass lesion being present._x000D_
2.The cardiac silhouette size is normal._x000D_
3.There is no evidence of BRONCHITIS, ALVEOLAR PATTERN, DYNAMIC AIRWAY COLLAPSE or BRONCHIECTASIS or PLEURAL EFFUSION._x000D_
4.A mild perihilar infiltrate has been detected.</t>
  </si>
  <si>
    <t>Opposite lateral and VD views of the thorax and abdomen are provided (six images). The caudal part of the abdomen and pelvic canal not included._x000D_
_x000D_
In both lateral views, and irregular partially mineralized nodular structure measuring approximately 1.5 cm is identified at the level of the second rib. This does not appear to be associated with the costochondral junction. This area is not included in the VD view. The other lung fields are within normal limits for age and breed. The cardiovascular structures are unremarkable._x000D_
_x000D_
The abdominal organs are within normal size and shape limits. No mass lesions are seen in the abdomen. Abdominal serosal detail is normal._x000D_
No destructive or productive bone lesions are identified.</t>
  </si>
  <si>
    <t>There is one unusual shadow in the cranial thorax that appears to be a partially mineralized irregular nodule. The appearance is most suspicious for a granuloma that is likely incidental, but clinical significance cannot be definitively determined. No other significant thoracic abnormalities are identified._x000D_
No significant abdominal abnormalities are identified.</t>
  </si>
  <si>
    <t>CBC, serum chemistry, and urinalysis is recommended to help blood metabolic or systemic infectious disease as a cause of the presenting complaint._x000D_
The nodular shadow seen in the cranial thorax is suspected to be incidental, but etiology cannot be definitively determined. CT could be helpful for more complete evaluation.</t>
  </si>
  <si>
    <t xml:space="preserve">
1.The cardiac silhouette size is normal._x000D_
2.There is no evidence of BRONCHITIS or DYNAMIC AIRWAY COLLAPSE or BRONCHIECTASIS._x000D_
3.A mild perihilar infiltrate has been detected._x000D_
4.A minimal interstitial pattern has been detected.</t>
  </si>
  <si>
    <t>Study:_x000D_
Thoracic radiography: four images dated September 2, 2024_x000D_
_x000D_
Findings:_x000D_
There is severe left ventricular, left auricular and left atrial enlargement. The pulmonary vasculature is normal in size. On the VD view, there is a mild unstructured interstitial pulmonary pattern in the caudal lung fields. The pleural space is normal. There is no intrathoracic lymphadenopathy. The trachea is normal in diameter. The larynx is unremarkable. There is no apparent lobar bronchi narrowing. The liver extends beyond the costal arch with smooth margins. There is a thin linear metallic opacity in the mesentery of the right cranial abdomen. The osseous structures are unremarkable.</t>
  </si>
  <si>
    <t>1. Severe left-sided cardiomegaly, indicative of mitral valve disease, with suspected mild cardiogenic pulmonary edema/decompensated congestive heart failure. Recommend echocardiography for further evaluation. Diuretic therapy with repeat radiography to monitor for response to treatment can be considered in the interim._x000D_
2. The generalized hepatomegaly is nonspecific. Rule out metabolic/vacuolar hepatopathy, hyperplasia, hepatitis, congestion or infiltrative neoplasia. Sonography can be considered for further evaluation._x000D_
3. Peritoneal linear metallic, possibly wire or brush bristle, foreign body. This is a relatively common incidental finding.</t>
  </si>
  <si>
    <t xml:space="preserve">
1.Are respiratory signs present? If NO._x000D_
2.A moderate perihilar infitlrate has been detected._x000D_
3.SEVERE ALVEOLAR PATTERN; CONCURRENT MODERATE BRONCHOINTERSTITIAL PATTERN; MILD DYNAMIC AIRWAY DISEASE._x000D_
4.Based on these AI airway/pulmonary findings, the probability of this patient having clinically detectable respiratory signs is HIGH (75%)_x000D_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suspected._x000D_
7.Are respiratory signs present? If YES.</t>
  </si>
  <si>
    <t>Two dorsopalmar radiographs of the right manus, and three views of the thorax are provided. There is severe lysis involving the entire 3rd phalanx of the 5th digit, with only a small amount of the base of the phalanx remaining. No definitive lysis in the adjacent 2nd phalanx, however there are two punctate mineral foci along the abaxial margin of the 2nd phalanx. Moderate soft tissue swelling encircles the distal aspect of this digit. No other abnormalities in the manus._x000D_
_x000D_
In the thorax, the cardiac silhouette and pulmonary vessels are normal size and shape. There are numerous punctate mineral opaque foci in the lungs consistent with benign osteomas. No soft tissue pulmonary nodules. No pleural effusion or intrathoracic lymphadenomegaly. In the cranial abdomen the liver is upper normal size.</t>
  </si>
  <si>
    <t>Aggressive lytic lesion in the 3rd phalanx of the right thoracic limb 5th digit. Possible involvement of the 2nd phalanx. Neoplasia is most likely. Paronychia is given secondary consideration. Normal thorax.</t>
  </si>
  <si>
    <t>Histopathology of the digit is recommended.</t>
  </si>
  <si>
    <t>Three radiographs of the thorax are provided and compared to images obtained earlier on the same date. The cardiac silhouette is slightly smaller than before consistent with diuretic administration. There is diffuse severe interstitial to alveolar pattern in the lungs. This continues to be most significant in the ventral lungs. I do not appreciate any significant improvement compared to the previous study. There is no pleural effusion. Normal tracheal diameter. The cranial abdomen is normal.</t>
  </si>
  <si>
    <t>The severe interstitial to alveolar pattern is essentially unchanged since the previous study. Aspiration pneumonia remains the most likely diagnosis. Noncardiogenic pulmonary edema is given secondary consideration. Since the patient did not improve clinically or radiographically following diuretic administration, cardiogenic edema is ruled out.</t>
  </si>
  <si>
    <t>Recommend continued medical support and antibiotics.</t>
  </si>
  <si>
    <t xml:space="preserve">
1.MODERATE INTERSTITIAL TO ALVEOLAR INFILTRATE; MILD BRONCHIAL PATTERN; MILD PERIHILAR INFILTRATE._x000D_
2.Based on the AI airway/pulmonary findings, the probability of this patient having clinically detectable respiratory signs is HIGH (75%)_x000D_
3.Are respiratory signs present? If YES._x000D_
4.Pleural fissure lines or moderate to severe pleural effusion has been detected. An overlying skin fold or in an obese animal, excessive pericardial fat could artifactually mimic the result of severe pleural effusion._x000D_
5.Mild cardiomegaly has been detected but Heart Failure is NOT suspected._x000D_
6.Are respiratory signs present? If NO._x000D_
7.A mild perihilar infiltrate has been detected.</t>
  </si>
  <si>
    <t>Study:_x000D_
Thoracic and abdominal radiography: 10 images dated September 3, 2024_x000D_
_x000D_
Findings:_x000D_
The cardiac silhouette and pulmonary vasculature are normal in size. There is a mild generalized bronchial pulmonary pattern. The pleural space is normal. There is no intrathoracic lymphadenopathy. The trachea is normal in diameter and course. The serosal detail is normal. The stomach contains a small volume of gas with the pylorus appropriately gas-filled on the left lateral image. The small intestines are normal in size, course and content. The colon contains formed fecal material with a normal diameter. The liver and spleen are normal in size and margin. The kidneys are normal in size and contour. The urinary bladder is normal in size and opacity. There is no prostatomegaly. There is moderate bilateral hip dysplasia and remodeling/thickening of the femoral head and neck. There is mild bilateral acetabular periarticular bone formation. The patient is of overweight body condition.</t>
  </si>
  <si>
    <t>1. The mild generalized bronchial pulmonary pattern may indicate allergic, inflammatory, infectious, parasitic or irritant bronchitis. Infectious respiratory disease PCR testing, airway sampling scratch that plus/minus heartworm testing and Baermann fecal flotation can be considered for further evaluation._x000D_
2. Unremarkable abdomen._x000D_
3. Moderate bilateral hip dysplasia and coxofemoral osteoarthrosis.</t>
  </si>
  <si>
    <t>Six radiographs of the thorax and abdomen are provided. Images dated 7/23/24 and earlier were reviewed. The cardiac silhouette and pulmonary vessels are normal size and shape. There are no abnormalities in the pulmonary parenchyma. No pleural effusion. Cranial mediastinal width is normal._x000D_
_x000D_
In the abdomen moderate volume of formed feces fills the colon. Small bowel are minimally filled. Small volume of gas in the stomach. Serosal detail is normal. The liver, kidneys, and spleen are normal size. Narrowed T10-11 intervertebral disc space is a normal anatomic variant. No other definitive narrowed intervertebral disc spaces or foramina.</t>
  </si>
  <si>
    <t>Normal thorax and abdomen. A reason for lethargy is not identified.</t>
  </si>
  <si>
    <t>Current diagnostics are appropriate. If lethargy persists and/or there are abnormalities confirmed on lab work, abdominal ultrasound should be considered at that time.</t>
  </si>
  <si>
    <t>Opposite lateral and VD views of the thorax and abdomen and a lateral neck view are provided for interpretation._x000D_
_x000D_
No laryngeal/pharyngeal or tracheal abnormalities are identified. There is marked persistent gas dilation of the esophagus in all views._x000D_
There is a mild to moderate regional interstitial pattern in the caudal ventral lung around the apex of the heart. Small patches of alveolar infiltrates are also suspected in this area._x000D_
_x000D_
 No foreign bodies are seen. The stomach and intestinal tract are within normal limits. The spleen is mildly enlarged. The shape is normal and the margins are smooth. Serosal detail in the abdomen is normal.</t>
  </si>
  <si>
    <t>There is persistent marked gas dilation of the esophagus consistent with megaesophagus. No mass lesions, foreign body, or other specific underlying cause are identified. Neurologic/neuromuscular pathology should be ruled out._x000D_
_x000D_
The pulmonary changes are mild but would be compatible with a milder version of secondary aspiration pneumonia. This a potential explanation for the leukocytosis. Systemic infectious disease should still be ruled out._x000D_
_x000D_
The spleen is mildly enlarged. This is a nonspecific finding, that is most commonly seen as a reactive change secondary to inflammatory disease. Lymphoreticular neoplasia should still be ruled out, including leukemia.</t>
  </si>
  <si>
    <t>Antibiotic therapy for suspected mild aspiration pneumonia is recommended._x000D_
_x000D_
Acquired causes of megaesophagus should be ruled out._x000D_
_x000D_
FNA of the spleen for cytologic evaluation to help lymphoreticular neoplasia should be considered.</t>
  </si>
  <si>
    <t xml:space="preserve">
1.The evaluation result has a strong suspicion of soft tissue pulmonary nodules being present._x000D_
2.Minimal dynamic airway disease has been detected._x000D_
3.Pleural fissure lines or small volume pleural effusion has been detected. In a mildly overweight animal, excessive pericardial fat can artifactually mimic the result of minimal pleural effusion._x000D_
4.PULMONARY NODULES or NODULAR PATTERN; MODERATE to SEVERE INTERSTITIAL TO ALVEOLAR PATTERN; MILD BRONCHITIS._x000D_
5.Based on the AI airway/pulmonary findings, the probability of this patient having soft tissue pulmonary nodules and clinically detectable respiratory signs is VERY HIGH (&gt;75%)_x000D_
6.Are respiratory signs present? If YES._x000D_
7.Are respiratory signs present? If NO._x000D_
8.A diffuse bronchointerstitial pattern with area(s) of alveolar infiltrate and concurrent dynamic airway disease have been detected._x000D_
9.The cardiac silhouette size is normal.</t>
  </si>
  <si>
    <t>6 views are submitted.  There is equivocal narrowing of the C2-3 intervertebral disc space.  Mild spondylosis deformans is noted in the caudal cervical spine.  No definitively narrowed intervertebral to spaces are noted in the thoracic or lumbar spine._x000D_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moderate amount of food-like material.  The small bowel is normal in uniform diameter.  The colon contains a moderate amount of stool.  The liver is moderately enlarged with smooth serosal margins.  The spleen, renal silhouettes, and urinary bladder appear within normal limits.  Serosal detail is adequate._x000D_
The bilateral femoral heads are well-seated in the acetabula.  The coxofemoral joint spaces are congruent.  No degenerative changes are noted in either hip.  The sacroiliac joints are within normal limits.  No abnormalities are noted in either stifle or tarsus.</t>
  </si>
  <si>
    <t>Equivocal evidence of intervertebral disc disease in the cervical spine.  This is not definitive.  No obvious intervertebral disc disease is noted in the thoracolumbar spine although this cannot be excluded._x000D_
Moderate hepatomegaly.  Differentials include vacuolar hepatopathy, inflammation, venous congestion, or neoplasia._x000D_
Radiographically normal geriatric thorax.  The appearance of the lung fields are most consistent with incidental age-related change or possibly chronic inflammatory airway disease.</t>
  </si>
  <si>
    <t>Correlation with neurologic exam findings is recommended.  If neurologic deficits are present, cross-sectional imaging of the vertebral column would be indicated for more definitive diagnosis.  Otherwise, symptomatic/supportive medical management may be helpful._x000D_
Correlation of the findings in the liver with blood work and abdominal ultrasound could be considered.</t>
  </si>
  <si>
    <t xml:space="preserve">
1.There is no evidence of ALVEOLAR PATTERN, DYNAMIC AIRWAY COLLAPSE or BRONCHIECTASIS, PULMONARY NODULES or PLEURAL EFFUSION._x000D_
2.A minimal bronchial pattern has been detected._x000D_
3.Mild cardiomegaly has been detected but Heart Failure is NOT suspected.</t>
  </si>
  <si>
    <t>A two view study of the thorax is provided for interpretation._x000D_
_x000D_
Moderate heart enlargement is identified. The shape of the heart suggests bilateral chamber dilation is likely present. There is subtle contour abnormalities involving the left lateral margin of the descending aorta suggest possible presence of PDA. The pulmonary vasculature appears significantly diminished overall. The trachea is moderately narrowed. The cranial abdomen is unremarkable.</t>
  </si>
  <si>
    <t>There is moderate cardiomegaly which is suspected to be bilateral, and pulmonary undercirculation indicative of a right to left shunt._x000D_
A congenital defect such as a VSD or PDA is likely present, with probable congenital pulmonary hypertension causing right to left shunting.</t>
  </si>
  <si>
    <t>Eisenmenger complex or similar cardiac and pulmonary pathology (Eisenmenger Syndrome) is likely responsible for the radiographic and clinical findings._x000D_
Consultation with a cardiologist regarding treatment options and prognosis is recommended.</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</si>
  <si>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5.Moderate dynamic airway disease has been detected._x000D_
6.Severe cardiomegaly has been detected but Heart Failure is NOT suspected.</t>
  </si>
  <si>
    <t>3 views of the thorax are provided for review.  The cardiovascular structures are normal.  There is a mild bronchial pattern in all lung lobes.  The mediastinal and pleural structures are normal.  Cranial abdominal detail is adequate.</t>
  </si>
  <si>
    <t xml:space="preserve">
1.A minimal perihilar infiltrate has been detected._x000D_
2.A mild interstitial pattern has been detected._x000D_
3.Severe cardiomegaly has been detected but Heart Failure is NOT suspected._x000D_
4.There is no evidence of PULMONARY NODULES or PLEURAL EFFUSION.</t>
  </si>
  <si>
    <t>Opposite lateral and VD views of the thorax and abdomen are provided. There are six images total._x000D_
_x000D_
The cardiovascular structures are within normal limits. There is mild bronchial mineralization, which is more prominent than expected given the relatively young age of the patient. No alveolar infiltrates or pleural effusion are seen. The trachea is normal. No esophageal abnormalities are identified._x000D_
_x000D_
There is a moderate quantity of amorphous ingesta visible in the GI tract. No foreign bodies are seen. No dilation the stomach or intestine is identified. The other organs are within normal size and shape limits. Serosal detail in the abdomen is normal._x000D_
_x000D_
There is mild narrowing of the T13-L1 intervertebral disc space. L4-L5 also appears mildly narrowed. No destructive or productive bone lesions are identified.</t>
  </si>
  <si>
    <t>Pulmonary density is mild increased over what is expected for the age of the patient. However, this is still likely to be an incidental finding in the absence of relevant clinical signs. If coughing is a concern, the appearance would be most compatible with idiopathic or allergic chronic low-grade bronchitis._x000D_
No other thoracic abnormalities are seen._x000D_
No abdominal abnormalities are identified._x000D_
There is suspicion of disc degeneration at the thoracolumbar junction. Relevance to the clinical signs is probably limited.</t>
  </si>
  <si>
    <t>Symptomatic therapy and supportive care is recommended.</t>
  </si>
  <si>
    <t xml:space="preserve">
1.The cardiac silhouette size is normal._x000D_
2.There is no evidence of ALVEOLAR PATTERN, PERIHILAR INFILTRATE, DYNAMIC AIRWAY COLLAPSE or BRONCHIECTASIS or PLEURAL EFFUSION._x000D_
3.A minimal bronchial pattern has been detected.</t>
  </si>
  <si>
    <t>Study:_x000D_
Thoracic and right thoracic limb radiography: five images dated September 3, 2024_x000D_
_x000D_
Findings:_x000D_
_x000D_
Right thoracic limb_x000D_
There is moderate moth-eaten lysis and patchy sclerosis of the distal metaphyseal region extending proximally to the level of the mid-diaphysis of the right radius. A moderate amount of mixed irregular and palisading periosteal new bone formation is present in this region. On the CC view, there is a Codman=ZZ91=s triangle along the medial cortex of the mid-diaphysis of the right radius. There is severe soft tissue swelling along the dorsal aspect of the distal antebrachium. The elbow joint is congruent. The medial coronoid process is blunted. There is a large mineral body adjacent to the medial coronoid. There is severe elbow periarticular new bone formation. Severe degenerative change is also noted in the left elbow on the thoracic images._x000D_
_x000D_
Thorax:_x000D_
The cardiac silhouette is normal in size and shape. There is a mild generalized bronchointerstitial pulmonary pattern. No pulmonary nodules or masses are present. The pleural space is normal. There is no intrathoracic lymphadenopathy. The trachea is normal in diameter. The included abdomen is unremarkable. There is variable mild to severe multifocal thoracolumbar spondylosis deformans.</t>
  </si>
  <si>
    <t>1. Right radial aggressive osseous disease. A primary bone tumor (osteosarcoma) is prioritized. Fungal osteomyelitis cannot be completely excluded. Consider biopsy of the soft tissue component of the lesion._x000D_
2. There is no evidence of pulmonary metastatic disease._x000D_
3. The mild generalized bronchointerstitial pulmonary pattern could be a benign age-related change or secondary to the previous heartworm disease. Allergic, inflammatory, infectious or inhaled irritant bronchitis are also possible. Correlate with any reported coughing._x000D_
4. Severe bilateral elbow degenerative joint disease. Underlying medial coronoid disease/medial compartment syndrome is suspected.</t>
  </si>
  <si>
    <t xml:space="preserve">
1.The evaluation has a strong suspicion of pulmonary nodules or mass lesion being present._x000D_
2.The cardiac silhouette size is normal._x000D_
3.There is no evidence of ALVEOLAR PATTERN or DYNAMIC AIRWAY COLLAPSE or BRONCHIECTASIS._x000D_
4.A minimal perihilar infiltrate has been detected._x000D_
5.A mild interstitial pattern has been detected.</t>
  </si>
  <si>
    <t>Study:_x000D_
Thoracic radiography: three images dated September 3, 2024_x000D_
_x000D_
Findings:_x000D_
The cardiac silhouette is normal in size and shape. The pulmonary vasculature is normal in size. The pulmonary parenchyma is unremarkable. The pleural space is normal. There is no intrathoracic lymphadenopathy. There is a broad-based soft tissue opaque band superimposed with the dorsal aspect of the cervical trachea lumen representing either a redundant dorsal tracheal membrane or superimposition of the esophagus. The tracheal diameter is normal. There is no lobar bronchi narrowing. A small volume of fluid is present in the caudal esophagus on both lateral views. The liver extends beyond the costal arch with smooth margins. The osseous structures are unremarkable.</t>
  </si>
  <si>
    <t>1. The fluid in the caudal esophagus may be an incidental finding or may indicate gastroesophageal reflux disease and/or esophagitis. An esophagogram can be considered for further evaluation if clinically relevant._x000D_
2. Normal thorax.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airway sampling plus/minus heartworm testing and Baermann fecal flotation can be considered to further evaluate the reported coughing._x000D_
3. The generalized hepatomegaly is nonspecific. Rule out metabolic/vacuolar hepatopathy, hyperplasia, hepatitis or infiltrative neoplasia. Sonography can be considered for further evaluation.</t>
  </si>
  <si>
    <t xml:space="preserve">Thorax. Five radiographs of the thorax (two lateral, three VD) dated September 3, 2024 are provided. Radiographs of the forelimbs are concurrently submitted but not interpreted.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t>
  </si>
  <si>
    <t xml:space="preserve">Normal thorax. There is no radiographic evidence of metastatic pulmonary disease.
</t>
  </si>
  <si>
    <t>A thoracic CT could be considered as this is more sensitive for tiny metastatic pulmonary nodules. Fine-needle aspirates or biopsy of the left humeral lesion is recommended for definitive diagnosis and to guide treatment options.</t>
  </si>
  <si>
    <t>THORAX (4 images):
Images are dated September 3, 2024.
Prior images dated August 26, 2024 are available.  
Pulmonary parenchyma:  In the left caudal lung lobe is a well-defined, ovoid, soft tissue mass.   This is subjectively progressive in size compared to prior in the ventrodorsal images.  A minimal to mild diffuse bronchial pattern is present.  Multiple small mineral foci are in the cranioventral lungs.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A slight pleural fissure between the right middle/caudal lungs in the ventrodorsal images is present that does not widen in the periphery of the lungs.  
Musculoskeletal: T3-4 spondylosis deformans is present.  The remaining included musculoskeletal structures are normal.</t>
  </si>
  <si>
    <t>1. Progressive left caudal lung lobe soft tissue mass.
- Differential diagnoses include neoplasia such as primary pulmonary carcinoma or unlikely metastatic disease from a distant site, or least likely pulmonary abscess of fungal granuloma (blastomycosis spp.).  
2. Minimal to mild diffuse bronchial pattern due to fibrosis from prior disease, age-related changes, infectious/immune-mediated lower airway disease, or unlikely other.
3. Multiple small mineral foci in the cranioventral lungs such as from pulmonary osteomas or unlikely granuloma or other.
4. Thin pleural fissure line from tangential beam artifact/patient positioning, pleural folding/thickening, or unlikely other.</t>
  </si>
  <si>
    <t>A pulmonary abscess is unlikely, especially given lack of fever, leukocytosis and pleural fluid in the left hemi-thorac in this and prior examinations.  Consider computed tomography of the thorax for further evaluation of the left caudal lung lobe mass.  Tissue sampling with lung lobectomy or possibly percutaneous sampling if accessible (such as via ultrasound guidance).   Oncologist consultation may be contributory depending on results.  Empirical therapy and supportive care in the interim as needed.  Monitoring as directed or sooner if clinical signs acutely change, fail to improve or worsen.</t>
  </si>
  <si>
    <t xml:space="preserve">
1.The cardiac silhouette size is normal._x000D_
2.There is no evidence of BRONCHITIS, ALVEOLAR PATTERN, PERIHILAR INFILTRATE or DYNAMIC AIRWAY COLLAPSE or BRONCHIECTASIS._x000D_
3.The evaluation has come up positive for a pulmonary nodular pattern.</t>
  </si>
  <si>
    <t>Echocardiography could be considered in further evaluation of the reported murmur.</t>
  </si>
  <si>
    <t xml:space="preserve">
1.There is no evidence of BRONCHITIS, PERIHILAR INFILTRATE, PULMONARY NODULES or PLEURAL EFFUSION._x000D_
2.A mild interstitial to alveolar pattern has been detected._x000D_
3.Mild dynamic airway disease has been detected._x000D_
4.Mild cardiomegaly has been detected but Heart Failure is NOT suspected.</t>
  </si>
  <si>
    <t>Abdominal radiographs (4 images) dated September 3, 2024._x000D_
_x000D_
The liver and spleen are unremarkable in size and shape. Both kidneys are normal in size and shape. The urinary bladder is small and poorly visualized. There is a large roughly ovoid soft tissue opaque mass effect in the central and caudal abdomen, resulting in the medial displacement of the mostly gas-filled bowel. On the lateral views, this mass effect of somewhat tubular appearance. However, on the VD view it has a bilobed appearance with an ovoid mass on each side of the abdomen. The stomach contains a fair amount of gas and a small amount of fluid. The small bowel is mostly empty/collapsed. The colon contains a small amount of stool mixed with gas. Peritoneal detail is adequate considering the degree of serosal crowding. Retroperitoneal detail is normal. No regional lymphadenopathy is evident._x000D_
No aggressive or clinically significant osseous pathology is identified.</t>
  </si>
  <si>
    <t>1. Middle and caudal abdominal mass effect. Uterine distention is considered most likely (pyometra =ZZ93= early pregnancy =ZZ93==ZZ93= other metra types [hydrometra, mucometra, hematometra]). A neoplastic uterine tumor is unlikely. A mass of non-uterine origin (ex: splenic tail mass) is unlikely._x000D_
2. The appearance of the gastrointestinal tract is suspicious for gastroenteritis.</t>
  </si>
  <si>
    <t>Exploratory laparotomy. Ultrasound could be considered of expediently available prior to surgery._x000D_
Three-view thoracic radiographs for preanesthetic screening.</t>
  </si>
  <si>
    <t>Three radiographs of the thorax are provided. The cardiac silhouette and pulmonary vessels are normal size. A mild mixed bronchointerstitial pattern is present in the lungs. Focal moderate interstitial pattern in the lateral aspect of the left 4th intercostal space on the VD projection. No pleural effusion. The trachea is normal diameter. No esophageal dilation. Osseous structures are age-appropriate.</t>
  </si>
  <si>
    <t>Mild mixed bronchointerstitial pattern with focal moderate interstitial infiltrates in the caudal segment of the left cranial lung, most consistent with improving but not completely resolved bronchopneumonia.</t>
  </si>
  <si>
    <t>Recommend continued antibiotics.</t>
  </si>
  <si>
    <t>A three view study of the thorax that includes the cranial abdomen is provided for interpretation._x000D_
_x000D_
There is a mild bronchial pulmonary pattern. No pulmonary nodules or pleural effusion are seen. No thoracic lymphadenopathy or mass effect is identified. The cardiovascular structures are within normal limits._x000D_
The cranial abdominal organs are within normal size and shape limits. No mass lesions or loss of detail are seen in the cranial abdomen._x000D_
There is slight caudal thoracic spondylosis. No destructive bone lesions are identified.</t>
  </si>
  <si>
    <t>The mild bronchial pattern is within the limits of what might be seen as age and breed associated changes. Low-grade bronchitis could appear similar if supported by relevant clinical signs._x000D_
No evidence of neoplasia or cardiac disease is identified.</t>
  </si>
  <si>
    <t>No specific recommendations.</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</si>
  <si>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beyond the costal arch.  The spleen is smoothly margined and normal in size.  No distinct splenic mass is seen.  The stomach contains a small amount of ingesta.  The small intestines are normal in size.  Gas and feces are present in the colon.  The urinary bladder is small.  The remaining abdominal organs are normal.</t>
  </si>
  <si>
    <t>Hepatomegaly=ZZ90= this is a nonspecific finding that may be seen with congestion, vacuolar hepatopathy, inflammation, neoplasia, etc.  Abdominal ultrasound may be helpful in further evaluation if biochemically indicated.  Radiographically normal thorax for patient of this age.</t>
  </si>
  <si>
    <t xml:space="preserve">
1.In the PRESENCE of respiratory signs, low grade active pneumonitis (allergic, bacterial, parasitic (including heartworm disease), inhaled allergen or toxin) or upper airway disease causing pulmonary hypoinflation and/or recurrent microaspiration may be more likely._x000D_
2.MINIMAL to MILD BRONCHOINTERSTITIAL PULMONARY PATTERN; POTENTIAL FOR FOCAL ATELECTASIS._x000D_
3.MILD BRONCHOINTERSTITIAL PULMONARY PATTERN; MINIMAL to MILD PERIHILAR PATTERN._x000D_
4.Based on these AI airway/pulmonary findings, the probability of this patient having clinically detectable respiratory signs is LOW (25%)_x000D_
5.Based on the AI airway/pulmonary findings, the probability of this patient having clinically detectable respiratory signs is LOW (25%)_x000D_
6.Are respiratory signs present? If NO._x000D_
7.The cardiac silhouette size is normal._x000D_
8.There is no evidence of PULMONARY NODULES or PLEURAL EFFUSION._x000D_
9.In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10.Are respiratory signs present? If YES.</t>
  </si>
  <si>
    <t xml:space="preserve">
1.Are respiratory signs present? If YES._x000D_
2.Are respiratory signs present? If NO._x000D_
3.MILD BRONCHOINTERSTITIAL PULMONARY PATTERN; MILD DYNAMIC AIRWAY DISEASE._x000D_
4.Based on these AI airway/pulmonary findings, the probability of this patient having clinically detectable respiratory signs is LOW to MEDIUM (25-50%)_x000D_
5.The cardiac silhouette size is normal._x000D_
6.There is no evidence of PERIHILAR INFILTRATE.</t>
  </si>
  <si>
    <t>THORAX (6 images):
Images are dated September 3, 2024.
Pulmonary parenchyma:  In the ventral periphery of the right middle lung lobe is a well-defined, ovoid soft tissue mass.   A minimal to mild diffuse bronchial pattern is present.  Few small mineral foci are in the periphery of the lungs.  
Pulmonary vasculature: The pulmonary vasculature is subjectively normal in size and tapers in the periphery of the lungs.
Cardiac silhouette: The cardiac silhouette is normal in size and shape.
Mediastinum: Increased lobular soft tissue is suspected in the cranial/dorsal mediastinum, with suspected ventral/caudal displacement of left cranial lung lobe margins.  The cranial mediastinum is not obviously widened in the ventrodorsal images.  
Trachea: The trachea is normal.
Esophagus: The esophagus is not well-identified.
Pleural space: The pleural space is normal.
Musculoskeletal: The included musculoskeletal structures are normal.
Limited abdomen:  Hepatomegaly and cranial abdominal mass(es) are suspected.</t>
  </si>
  <si>
    <t xml:space="preserve">1. Right middle lung lobe soft tissue mass.
- Differential diagnoses include neoplasia such as histiocytic sarcoma given its position, or less likely atypical primary pulmonary carcinoma or other, or least likely granulomatous/fungal disease such as from blastomycosis spp. or unlikely other.
2. Suspected cranial/dorsal mediastinal mass versus superimposed normal structures.
- Differential diagnoses include soft tissue neoplasm such as a soft tissue sarcoma, or less likely peripheral nerve sheath tumor or other.
3. Minimal-mild diffuse bronchial pulmonary pattern due to fibrosis from prior disease, age-related changes or unlikely infectious/immune-mediated lower airway disease, artifact/technique, or other.
4. Presumed few pulmonary osteomas or granuloma from prior disease.
</t>
  </si>
  <si>
    <t>Consider computed tomography of the thorax and abdomen for further evaluation given the size of this patient.  Routine blood work and coagulation testing if not recently performed, with pulmonary and/or hepatic/splenic tissue sampling depending on results.  Oncologist consultation depending on results.  Consider fungal serology if the patient has an appropriate travel/exposure history, especially if neoplasia is ruled out.  Empirical therapy and supportive care in the interim as needed.  Monitoring as directed or sooner if clinical signs acutely change, fail to improve or worsen.</t>
  </si>
  <si>
    <t xml:space="preserve">
1.There is no evidence of PERIHILAR INFILTRATE or DYNAMIC AIRWAY COLLAPSE or BRONCHIECTASIS._x000D_
2.A mild interstitial to alveolar infiltrate has been detected._x000D_
3.The cardiac silhouette size is normal.</t>
  </si>
  <si>
    <t>Study:_x000D_
Thoracic radiography: three images dated September 3, 2024 will will will_x000D_
_x000D_
Findings:_x000D_
The cardiac silhouette is normal in size and shape. The pulmonary vasculature is normal in size. There is a moderate to severe generalized bronchial pulmonary pattern. The pleural space is normal. There is no intrathoracic lymphadenopathy. The trachea is normal in diameter. The included abdomen is normal. The osseous structures are unremarkable.</t>
  </si>
  <si>
    <t>1. The generalized bronchial pulmonary pattern may indicate allergic, inflammatory, infectious, parasitic or irritant bronchitis. Airway sampling, heartworm testing and Baermann fecal flotation can be considered for further evaluation._x000D_
2. There is no radiographic evidence of heart disease. Consider echocardiography for further evaluation of the reported heart murmur.</t>
  </si>
  <si>
    <t xml:space="preserve">
1.A mild perihilar infiltrate has been detected._x000D_
2.Pleural fissure lines or moderate to severe pleural effusion has been detected. An overlying skin fold or in an obese animal, excessive pericardial fat could artifactually mimic the result of severe pleural effusion._x000D_
3.Moderate cardiomegaly has been detected but Heart Failure is NOT suspected._x000D_
4.Are respiratory signs present? If NO._x000D_
5.The evaluation has a strong suspicion of pulmonary nodules or mass lesion being present._x000D_
6.SEVERE INTERSTITIAL TO ALVEOLAR PATTERN; MODERATE BRONCHIAL PATTERN; MODERATE DYNAMIC AIRWAY DISEASE._x000D_
7.Based on these AI airway/pulmonary findings, the probability of this patient having clinically detectable repsiratory signs is VERY HIGH (&gt;75%)_x000D_
8.Are respiratory signs present? If YES._x000D_
9.AI linked pneumonia in dogs article: https://platform.v2.vetology.net/doc/pneumonia-in-dogs-and-cats</t>
  </si>
  <si>
    <t>A three view study of the thorax is provided for interpretation._x000D_
_x000D_
There is a severe diffuse bronchointerstitial pulmonary pattern. The heart is shifted to the left thoracic wall, in the left cranial lung field is mostly obscured with soft tissue opacity in the VD view. Discrete air bronchograms cannot be seen in this area. There are a few small areas of mild patchy alveolar infiltrates in the other lung fields._x000D_
The heart is within normal size and shape limits. Pulmonary vessels are unremarkable. No tracheal or esophageal abnormalities are identified._x000D_
The cranial abdominal organs are within normal limits. There is narrowing and mildly abnormal angulation involving the mid sternum from S4 to S6. Endplates at the fourth intersternebral space are markedly sclerotic. The appearance is suspected to be the result of a combination of congenital deformity in previous traumatic injury. The possibility of an infectious process at the fourth intersternebral space cannot be excluded.</t>
  </si>
  <si>
    <t>There is a severe diffuse bronchointerstitial lung pattern, with small areas of patchy alveolar infiltrates._x000D_
The appearance of the lungs is consistent with severe airway associated inflammatory/infectious disease such as infectious bronchitis or fungal pneumonia. Parasitic infection such as lungworms would be less likely._x000D_
_x000D_
The leftward mediastinal shift and opacity obscuring the left cranial lung fields suspected to be the result of left cranial lobe atelectasis, probably secondary to bronchial obstruction. Bronchial production could occur secondary to exudate accumulation, mucosal swelling, or a pathologic growth such as a tumor or polyp.</t>
  </si>
  <si>
    <t>The radiographic appearance is consistent with severe bronchitis, likely of infectious nature. Bacterial infection should be ruled out primarily. Fungal infection should be considered as a secondary differential._x000D_
_x000D_
Immune mediated lung disease or neoplasia would be less likely based on appearance, but should still be considered due to the lack of abnormalities in the CBC._x000D_
_x000D_
Supportive care and antibiotic therapy is recommended, with recheck radiographs in 7 to 10 days._x000D_
Fungal titers and respiratory panel for other potential infectious agents is also recommended.</t>
  </si>
  <si>
    <t xml:space="preserve">
1.Severe pleural effusion has been detected._x000D_
2.If NO respiratory signs are present, lung lobe collapse or severe atelectasis secondary to anesthesia or deep sedation could create this appearance._x000D_
3.The evaluation has a strong suspicion of pulmonary nodules or mass lesion being present._x000D_
4.A moderate perihilar infitlrate has been detected._x000D_
5.SEVERE PLEURAL EFFUSION; MODERATE TO SEVERE INTERSTITIAL to ALVEOLAR PATTERN; MODERATE DYNAMIC AIRWAY DISEASE._x000D_
6.Based on the AI airway/pulmonary findings, the probability of this patient having clinically detectable respiratory signs is VERY HIGH (&gt;75%)_x000D_
7.The cardiac silhouette size is normal.</t>
  </si>
  <si>
    <t>Three radiographs of the thorax are provided. The left atrium is prominent. Cardiac to thoracic ratio is normal. On the lateral views there is curved 1.5 cm bulge along the cranioventral aspect of the cranial heart waist. This is not seen on the VD projection. Pulmonary vessels are normal size. There are no abnormalities in the pulmonary parenchyma. Crisp pleural fissure lines are likely normal age change. Redundant dorsal trachealis membrane causes moderate narrowed cervical trachea. No esophageal abnormalities. Narrowed caudal cervical intervertebral disc spaces, of doubtful clinical significance today.</t>
  </si>
  <si>
    <t>1. Probable cervical tracheal collapse, the most likely cause for coughing._x000D_
2. Soft tissue bulge along the cranioventral heart is most likely incidental fat deposition. A heart based mass lesion or lymphadenopathy are next on the differential list._x000D_
3. Prominent left atrium consistent with acquired mitral valve disease. There is no pulmonary venous congestion or evidence of heart failure. This is of doubtful clinical significance, and not responsible for the cough.</t>
  </si>
  <si>
    <t>Current treatment is appropriate. Consider ultrasound evaluation of the cranioventral heart/mediastinum.</t>
  </si>
  <si>
    <t xml:space="preserve">
1.A mild bronchial pattern and concurrent mild dynamic airway disease have been detected._x000D_
2.MILD BRONCHOINTERSTITIAL PULMONARY PATTERN; MILD DYNAMIC AIRWAY DISEASE._x000D_
3.Based on these AI airway/pulmonary findings, the probability of this patient having clinically detectable respiratory signs is LOW to MEDIUM (25-50%)_x000D_
4.In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5.Moderate cardiomegaly has been detected but Heart Failure is NOT suspected._x000D_
6.There is no evidence of PULMONARY NODULES._x000D_
7.Are respiratory signs present? If YES._x000D_
8.In the PRESENCE of respiratory signs, low grade active pneumonitis (allergic, bacterial, parasitic (including heartworm disease), inhaled allergen or toxin) or upper airway disease causing pulmonary hypoinflation and/or recurrent microaspiration may be more likely._x000D_
9.Are respiratory signs present? If NO._x000D_
10.A minimal to mild perihilar infiltrate has been detected._x000D_
11.MILD BRONCHOINTERSTITIAL PULMONARY PATTERN; MINIMAL PERIHILAR PATTERN._x000D_
12.Based on the AI airway/pulmonary findings, the probability of this patient having clinically detectable respiratory signs is LOW (25%)</t>
  </si>
  <si>
    <t>Three radiographs of the thorax, and three views of the abdomen are provided. Images dated 8/24/22 are available for comparison. The cardiac silhouette is normal size and shape, with no chamber enlargement. There are several incidental pulmonary osteomas in the lungs. No soft tissue pulmonary nodules or pleural effusion. Incidental laryngeal mineralization. There is smoothly irregular round 1.6 cm soft tissue opacity overlying the pharynx on the right lateral view, not definitively seen on the left lateral projection but this area may not be included on the 2nd view. Tracheal diameter and position are normal. No esophageal dilation._x000D_
_x000D_
In the abdomen, there is no effusion. Semi-formed feces in the distal colon. The stomach and small bowel are minimally filled. Normal-sized spleen, kidneys, liver. No radiopaque cystic calculi.</t>
  </si>
  <si>
    <t>Soft tissue opacity overlying the pharyngeal region is concerning for a polyp/mass lesion, however is unexpected with the absence of increased respiratory noise or cough/gag. This could be incidental superimposed external tissue. No thoracic abnormalities, and the abdomen is normal.</t>
  </si>
  <si>
    <t>Recommend oropharyngeal evaluation.</t>
  </si>
  <si>
    <t xml:space="preserve">
1.There is no evidence of PERIHILAR INFILTRATE, DYNAMIC AIRWAY COLLAPSE or BRONCHIECTASIS or PLEURAL EFFUSION._x000D_
2.A minimal interstitial pattern has been detected._x000D_
3.A minimal bronchial pattern has been detected._x000D_
4.Mild cardiomegaly has been detected but Heart Failure is NOT suspected.</t>
  </si>
  <si>
    <t>Three radiographs of the thorax, and three views of the abdomen are provided. The cardiac silhouette and pulmonary vessels are normal size. Small area of suspect severe interstitial pattern in the right cranial lung lobe on the left lateral view. There is faint stippled to linear mineral density following the mid and caudal lobar bronchioles, and two ovoid 2.0 x 0.3 cm and 0.7 x 0.5 cm mineral densities in the perihilar region. No pleural effusion. Tracheal diameter is normal. Elbow degenerative changes, of doubtful clinical significance today._x000D_
_x000D_
In the abdomen there is moderate volume soft tissue density stippled with gas filling the stomach. There is scant ventral peritoneal effusion best seen on the right lateral view. Small bowel are minimally filled with fluid and gas. Small volume gas and semi-formed feces in the colon. No radiopaque urolithiasis. Normal-sized liver, spleen, left kidney. The right kidney is obscured. No radiopaque cystic calculi. Mild osteoarthritis in the proximal joints.</t>
  </si>
  <si>
    <t>1. Gastric content appears to be normal ingesta, however it is unexpected with the history provided. If confirmed the patient has been completely anorexic for at least 12 hours, this would be concerning for foreign material although vomiting is typically present. There is mild peritoneal effusion which may be inflammatory, neoplastic, or due to metabolic abnormality._x000D_
2. Possible mild aspiration pneumonia in the right cranial lung lobe. The mineral opacities within the lungs and region of the tracheobronchial lymph nodes is consistent with previous barium aspiration. This is an incidental finding, which will remain indefinitely.</t>
  </si>
  <si>
    <t>Recommend antibiotics and fasting abdominal ultrasound.</t>
  </si>
  <si>
    <t xml:space="preserve">
1.MILD BRONCHOINTERSTITIAL PULMONARY PATTERN with ATELECTASIS or less likely, PNEUMONIA; MILD PERIHILAR INFILTRATE._x000D_
2.MILD BRONCHOINTERSTITIAL PULMONARY PATTERN; MILD DYNAMIC AIRWAY DISEASE; MINIMAL PERIHILAR INFILTRATE._x000D_
3.Mild cardiomegaly has been detected but Heart Failure is NOT suspected._x000D_
4.Based on the AI airway/pulmonary findings, the probability of this patient having clinically detectable respiratory signs is LOW to MEDIUM (25%-50%)_x000D_
5.Based on these AI airway/pulmonary findings, the probability of this patient having clinically detectable respiratory signs is MEDIUM (50%)_x000D_
6.Are respiratory signs present? If YES._x000D_
7.Are respiratory signs present? If YES._x000D_
8.Are respiratory signs present? If NO_x000D_
9.Are respiratory signs present? If NO.</t>
  </si>
  <si>
    <t>Full body. Six radiographs (four lateral, two VD) of a skeletally mature patient dated September 3, 2024 are provided.
Cardiac silhouette: There is mild cardiomegaly with no specific chamber enlargement. This is most apparent on the left lateral and VD views.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Gastrointestinal tract: The stomach is mildly distended with heterogeneous ingesta admixed with gas. The small intestine is diffusely within normal limits of diameter and primarily gas-filled. The colon contains gas and feces.
Liver: The liver is normal in size and shape.
Spleen: The spleen is within normal limits.
Urinary: The visible margins of the kidneys are unremarkable. The urinary bladder is small in size and normal in opacity.
Peritoneal space: There is adequate serosal detail.
Musculoskeletal: There is moderate intervertebral disc space narrowing at T12-13. There is moderate spondylosis deformans of T12-13, T13-L1, and L1-2.</t>
  </si>
  <si>
    <t>1. Mild cardiomegaly. Differentials include valvular disease and dilated cardiomyopathy. There is no evidence of heart failure.
2. Unremarkable abdomen. Pancreatitis is likely contributing to weight loss, despite no vomiting or diarrhea. 
3. There is evidence of thoracolumbar intervertebral disc disease.</t>
  </si>
  <si>
    <t>Echocardiography, ECG, and blood pressure for further evaluation of the heart. Medical management and supportive care for pancreatitis is recommended. If clinical signs persist despite treatment, an abdominal ultrasound could be considered to further evaluate the pancreas and urinary tract.</t>
  </si>
  <si>
    <t xml:space="preserve">
1.A mild perihilar infiltrate and minimal bronchial pattern have been detected_x000D_
2.The cardiac silhouette size is normal._x000D_
3.There is no evidence of ALVEOLAR PATTERN or DYNAMIC AIRWAY COLLAPSE or BRONCHIECTASIS.</t>
  </si>
  <si>
    <t>Six images are provided.
Images are dated September 3, 2024.
Bones/Joints:
A dens is present.   Suspected in situ intervertebral disc mineral at T10-11.
There is no evidence of intervertebral disc space narrowing, or mineral over the intervertebral foramina.  There is no evidence of intervertebral dorsal articulation osteoarthrosis.
There is no evidence of medullary sclerosis, osteolysis, endosteal scalloping, or periosteal proliferation.
Soft tissues:  The included paraspinal soft tissues are normal.</t>
  </si>
  <si>
    <t>1. No evidence of intervertebral disc space narrowing, or mineral over the intervertebral foramina.
2. Suspected in situ intervertebral disc mineral at T10-11.</t>
  </si>
  <si>
    <t xml:space="preserve">Consider routine blood work and thoracic/abdominal imaging, as well as digital rectal examination for further evaluation.  Empirical therapy and supportive care in the interim as needed.  Consider neurologist consultation and possibly MRI depending on results of additional diagnostics.  </t>
  </si>
  <si>
    <t xml:space="preserve">
1.MINIMAL TO MILD BRONCHOINTERSTITIAL PULMONRAY PATTERN; MILD PERIHILAR PATTERN._x000D_
2.Based on the AI airway/pulmonary findings, the probability of this patient having clinically detectable respiratory signs is LOW (25%)_x000D_
3.A minimal bronchointerstitial pulmonary pattern with a concurrent, minimal perihilar infiltrate have been detected._x000D_
4.The cardiac silhouette size is normal._x000D_
5.There is no evidence of DYNAMIC AIRWAY COLLAPSE or BRONCHIECTASIS, PULMONARY NODULES or PLEURAL EFFUSION.</t>
  </si>
  <si>
    <t xml:space="preserve">THORAX (3 images):
Images are dated September 3, 2024.
Pulmonary parenchyma: A mild to moderate interstitial pattern is in the cranial lungs which are reduced in size.  A minimal to mild interstitial pattern is in the remainder of the lungs.  A minimal to mild diffuse bronchial pattern is present.
Pulmonary vasculature: The pulmonary vasculature is subjectively normal in size and tapers in the periphery of the lungs.
Cardiac silhouette: The cardiac silhouette is normal in size and shape.
Mediastinum:  Increased soft tissue is present in the cranial mediastinum, with caudal dispalcement of cranial lung lobe margins in the lateral image.  This is more enlarged in the left thorax in the ventrodorsal image.  The carina is caudally displaced to the level of T6.  
Trachea: The trachea is normal.
Esophagus: The esophagus is not well-identified.
Pleural space:  In the ventrodorsal image, the pleural fissures between the right cranial/middle and middle/caudal lung lobes are slightly enlarged in the periphery of the lungs, and the caudoventral right lung margin is rounded in the diaphragmatic recess.
Musculoskeletal: The included musculoskeletal structures are normal.
</t>
  </si>
  <si>
    <t xml:space="preserve">1. Cranial mediastinal mass versus lymphadenomegaly.
- Differential diagnoses include primary neoplasia (thymoma/ectopic thyroid carcinoma) versus lymphadenomegaly (metastatic/multicentric neoplasia such as lymphosarcoma or primary hepatic neoplasm versus other).
2. Mild-moderate interstitial and minimal-mild bronchial pulmonary patterns.
- Differential diagnoses include artifact from hypoinflation/cranial mediastinal changes and/or fibrosis from prior disease, age-related changes, or less likely underlying infectious/immune-mediated lower airway disease or unlikely other.
3. Scant right-sided pleural fluid is suspected, such as from evolving thoracic malignancy or unlikely other.  
</t>
  </si>
  <si>
    <t>Consider computed tomography of the thorax/cranial mediastinum versus ultrasonography for further evaluation.  Abdominal computed tomography/ultrasonography may be contributory.  Routine blood work and coagulation testing prior to advanced imaging.  Consider guided sampling if a cranial mediastinal mass is identified and thoracocentesis with fluid analysis/cytology.  Oncologist consultation depending on results.  Empirical therapy and supportive care in the interim as needed.  Monitoring as directed or sooner if clinical signs acutely change, fail to improve or worsen.</t>
  </si>
  <si>
    <t xml:space="preserve">
1.Are respiratory signs present? If NO._x000D_
2.Based on these AI airway/pulmonary findings, the probability this patient will have clinically detectable respiratory signs is NEAR CERTAINTY (&gt;99%)_x000D_
3.Mild cardiomegaly has been detected but Heart Failure is NOT suspected._x000D_
4.The evaluation has a suspicion of pleural effusion and soft tissue pulmonary nodules or a mass lesion being present._x000D_
5.Are respiratory signs present? If YES._x000D_
6.Are respiratory signs present? If NO._x000D_
7.PLEURAL EFFUSION or PLEURAL FISSURE LINES; PULMONARY NODULES or NODULAR PATTERN; MODERATE TO SEVERE INTERSTITIAL TO ALVEOLAR PATTERN; MILD BRONCHITIS._x000D_
8.Based on the AI airway/pulmonary findings, the probability of this patient having clinically detectable respiratory signs is VERY HIGH (&gt;75%)_x000D_
9.Are respiratory signs present? If YES._x000D_
10.Resource: https://vsso.org/lung-tumors-canine_x000D_
11.SEVERE INTERSTITIAL TO ALVEOLAR INFILTRATE, MODERATE DYNAMIC AIRWAY DISEASE, MILD BRONCHIAL PATTERN, MILD PERIHILAR INFILTRATE.</t>
  </si>
  <si>
    <t xml:space="preserve">ABDOMEN (3 images):
Images are dated September 3, 2024.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gas.  Gastric rugal folds are prominent.   The stomach is within normal limits for size.  Gas is in the pylorus in the left lateral image.  
In the right mid to caudal and ventral abdomen is a segment of small intestine that is moderate to severely enlarged with heterogeneous soft tissue material admixed with gas.  This segment is ventral and rightward of the descending colon.  Small intestinal segment sin the mid-ventral abdomen contain mild fluid or are empty.
The colon contains mild heterogeneous soft tissue material and gas.  The colon is within normal limits for size.  
Musculoskeletal: The included musculoskeletal structures are normal.
</t>
  </si>
  <si>
    <t>1. Moderate-severe small intestinal segmental enlargement with heterogeneous soft tissue and gas with two populations of small intestine.
- This is most suspicious for atypical foreign material and mechanical ileus.
2. Prominent gastric rugal folds such as from non-specific gastritis versus  variation of normal.</t>
  </si>
  <si>
    <t xml:space="preserve">Coinsider celiotomy for decompression of enlarged small intestinal segment and presumed mechanical ileus.  Given lack of reported vomiting, empirical therapy/supportive care and repeat imaging for monitor passage of this material could be considered.    Empirical therapy and supportive care in the interim as needed.  </t>
  </si>
  <si>
    <t>Three radiographs of the abdomen are provided. The liver is moderately enlarged with smooth margins. Normal sized kidneys and spleen. There is no effusion. The stomach contains gas. Small and large bowel are minimally filled. The urinary bladder is minimally distended. On both lateral views there is a poorly delineated area of increased opacity overlying the central aspect of the bladder, however there is also superimposed bowel loops at this level. No evidence of medial iliac lymphadenomegaly. The plane of the urethra is unremarkable. Punctate mineral density overlies the L4-5 intervertebral foramen. Normal caudal thorax. Multiple small round soft tissue opaque nodules in the dorsal cutaneous tissues, of uncertain significance today.</t>
  </si>
  <si>
    <t>1. Moderate hepatomegaly, a nonspecific finding that may be due to steroid or other hepatopathy, or neoplasia. An inflammatory process is given lesser consideration._x000D_
2. The appearance of L4-5 is suggestive of intervertebral disc disease. This may be responsible for discomfort and pelvic limb deficits._x000D_
3. No definitive urinary bladder abnormalities on this study. Increased opacities overlying the bladder is likely superimposed bowel loops.</t>
  </si>
  <si>
    <t>Ultrasound evaluation of the abdomen is recommended to further evaluate the liver, urinary tract, and adrenal glands.</t>
  </si>
  <si>
    <t xml:space="preserve">
1.MILD BROCHIAL/BRONCHOINTERSTITIAL PULMONARY PATTERN; MINIMAL PERIHILAR INFILTRATE._x000D_
2.Based on these AI airway/pulmonary findings, the probability of this patient having clinically detectable respiratorysigns is LOW (25%)_x000D_
3.Are respiratory signs present? If YES._x000D_
4.Are respiratory signs present? If NO._x000D_
5.The cardiac silhouette size is normal._x000D_
6.There is no evidence of DYNAMIC AIRWAY COLLAPSE or BRONCHIECTASIS, PULMONARY NODULES or PLEURAL EFFUSION.</t>
  </si>
  <si>
    <t>Three radiographs of the thorax, two lateral views of the proximal right thoracic limb, and three views of the abdomen are provided. The cardiac silhouette and pulmonary vessels are normal size and shape. There is a mild bronchial pattern consistent with the patient=ZZ91=s age. Thin walled round 1.1 cm lucency overlying the caudal heart on the left lateral view is likely end-on bronchiole. No soft tissue pulmonary nodules or pleural effusion. There are several incidental pulmonary osteomas. Adequate tracheal diameter. Narrowed C7-T1 intervertebral disc space with spondylosis deformans. No scapular abnormalities are appreciated. The right glenohumeral joint is congruent. There is mild enthesophyte formation on the right anconeal process and medial coronoid process. Smoothly irregular osseous remodeling between the mid diaphysis of the right radius and ulna is normal interosseous ligament attachment site. Smoothly marginated soft tissue opaque round 2.5 cm nodule in the superficial tissues cranial to the mid right radius, with no adjacent lysis. Enthesophyte formation along the palmarolateral aspect of the right 5th metacarpal bone._x000D_
_x000D_
In the abdomen there is no effusion. The liver, kidneys, and spleen are normal size. The gastrointestinal tract is mildly filled. Small volume mineral and metal opaque debris in the gastrointestinal tract is likely incidental. No radiopaque urolithiasis. No lumbar spinal abnormalities.</t>
  </si>
  <si>
    <t>1. The appearance of C7-T1 is suggestive of intervertebral disc protrusion/extrusion. Such a lesion at this or another site is the most likely cause for discomfort. Soft tissue sprain/strain may also be present._x000D_
2. Mild right cubital and metacarpal osteoarthritis. This could be contributing to discomfort._x000D_
3. Cranial right antebrachial soft tissue nodule, of uncertain significance. There is no adjacent osseous involvement._x000D_
4. Normal thorax and abdomen.</t>
  </si>
  <si>
    <t>Ideally, palpation for discomfort and neurologic examination would be performed, however is not likely possible due to patient aggression. Cross-sectional soft tissue imaging of the spine and limbs with MRI should be considered.</t>
  </si>
  <si>
    <t xml:space="preserve">
1.A minimal perihilar infiltrate has been detected._x000D_
2.The cardiac silhouette size is normal._x000D_
3.There is no evidence of BRONCHITIS, ALVEOLAR PATTERN or DYNAMIC AIRWAY COLLAPSE or BRONCHIECTASIS.</t>
  </si>
  <si>
    <t>7 views of the thorax and abdomen, and pelvis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moderate amount of ingesta.  The small bowel is normal in uniform diameter.  Formed stool is noted in the colon.  The liver and spleen are normal in size, shape, and margination.  The bilateral renal silhouettes are within normal limits.  The urinary bladder is unremarkable.  Serosal detail is normal._x000D_
The bilateral femoral heads are well-seated in the acetabula.  The coxofemoral joint spaces are congruent.  No degenerative changes are noted in either hip.  The sacroiliac joints are within normal limits.  Metallic implants are noted in the right stifle, consistent with historical surgery.  Mild degenerative changes are also noted in the right stifle. No aggressive bony changes are seen. The limited view of the left stifle is within normal limits.</t>
  </si>
  <si>
    <t>Radiographically normal thorax and postprandial abdomen.  Mild degenerative joint disease and metallic implants noted in the right stifle, consistent with historical surgery.</t>
  </si>
  <si>
    <t xml:space="preserve">Patient name: Lola Rozell. Date of study: 9/3/24. Six radiographs of the thorax and abdomen are available for interpretation. No prior radiographs are available for comparison. Thoracic evaluation has been requested.
Image evaluation: The lateral projections are mildly oblique. 
Thorax:
Airway/pulmonary parenchyma: The lungs are hypoinflated on all projections. No soft tissue pulmonary nodules are noted. Mineral dense nodules are present along with a mild bronchial pattern. On the lateral projections, subtle alveolar infiltrates overlie the heart. No left caudal lobar bronchial narrowing associated with the left atrial enlargement is noted on the VD projection. 
Cardiovascular: Mild cardiomegaly is present with varying degrees of vessel enlargement on the lateral projections. On the VD projection, minimal to mild left atrial enlargement is present. 
Mediastinum: Mild widening to the cranial mediastinum is present with a fat opacity to this region. 
Pleural space: Normal
Cranial abdomen: The liver is minimally enlarged and has a slightly rounded ventral margin. Two thin wire foreign bodies overlie the gastric lumen on the lateral projection along with a third potential wire foreign body overlying the liver. A lucent region overlies the liver in the region adjacent to the wire foreign body on the left lateral projection. Mineral dense material overlies the pyloric region. Cranioventral abdominal detail is mildly decreased. 
Msk: The dog is overweight and has 2 soft tissue nodules associated with the right hemithorax on the VD projection. </t>
  </si>
  <si>
    <t>1) No conclusive soft tissue pulmonary nodules noted. Mineral dense nodules are likely benign.
2) Wire foreign body overlying the liver and potential hepatic abscess based on the left lateral projection. Decreased cranial abdominal detail is also consistent with regional inflammation.
3) Subtle alveolar infiltrates overlying the heart. DDx: atelectasis vs. aspiration pneumonia. 
4) Mild cardiomegaly and pulmonary venous distention. No evidence of heart failure noted on this study.</t>
  </si>
  <si>
    <t>Abdominal ultrasound to assess for hepatic gas with abdominal fluid collection if a fluid pocket can be identified and safely sampled. If fluid is present but insufficient to sample, a diagnostic peritoneal lavage should be considered if there is concern for septic peritonitis.  Assess bloodwork and body temperature for evidence of infection. If coughing, consider antibiotic therapy and recheck thoracic radiographs in 5-7 days. If not coughing, recheck thoracic radiographs in 5-7 days to reassess, sooner if clinically warranted. 
Cardiac ultrasound, ECG and systemic blood pressure evaluation prior to anesthesia.</t>
  </si>
  <si>
    <t>Three radiographs of the thorax, and three views of the abdomen are provided. The cardiac silhouette is normal size on all views. The appearance of increased cardiac sternal contact on the lateral views is due to thoracic conformation. The cranial pulmonary vein is prominent on the left lateral view, and other pulmonary vessels are poorly visible due to a diffuse severe unstructured interstitial to alveolar pattern that is present throughout the lungs. There are air bronchograms in the ventral lungs. No pleural effusion. Mild narrowed caudal cervical trachea. No esophageal dilation. Narrowed C6-7 intervertebral disc space, of doubtful significance today._x000D_
_x000D_
In the abdomen the stomach contains moderate volume of gas and small amount of formed soft tissue density. Small intestines are moderately filled with a mixture of fluid and gas. Formed feces in the distal colon. Normal-sized liver, spleen, kidneys. Mild degenerative change in the coxofemoral joints.</t>
  </si>
  <si>
    <t>1. Diffuse severe interstitial to alveolar pattern, most significantly involving the ventral lungs. Aspiration pneumonia is most likely with this distribution pattern. Noncardiogenic pulmonary edema (electrocution, heat stroke, choking, seizure activity, near-drowning, head trauma, Bufo toad toxicity) is next on the differential list. Hemorrhage is felt to be unlikely in the absence of other signs such as petechia. Heart failure is also felt to be unlikely in the absence of more significant cardiovascular abnormalities._x000D_
2. Gastric contents appears to be normal ingesta. Foreign material is given lesser consideration in the absence of vomiting. The abdomen is otherwise normal.</t>
  </si>
  <si>
    <t>Recommend a CBC, blood chemistry profile, antibiotics, and supportive care. Also consider a single dose of Lasix, monitoring for rapid clinical and radiographic improvement that would support a diagnosis of cardiac decompensation.</t>
  </si>
  <si>
    <t xml:space="preserve">
1.A mild perihilar infiltrate has been identified._x000D_
2.A moderate to severe interstitial to alveolar infiltrate with a mild perihilar infiltrate has been identified._x000D_
3.Pleural fissure lines or small volume pleural effusion has been detected. In a mildly overweight animal, excessive pericardial fat can artifactually mimic the result of minimal pleural effusion._x000D_
4.Mild cardiomegaly has been detected but Heart Failure is NOT suspected.</t>
  </si>
  <si>
    <t>Orthogonal radiographs of the thorax, abdomen, pelvis, and three lateral stifle views are provided. The cardiac silhouette is normal size. Pulmonary vessels are normal size. There is small volume pleural fluid and scant pleural gas. There is a severe unstructured interstitial pattern in the left cranial lungs. No rib fractures, and the diaphragm is intact. No thoracic spinal abnormalities._x000D_
_x000D_
In the abdomen there is equivocal scant caudal peritoneal fluid. The urinary bladder is minimally distended. Stippled mineral density overlying the urinary bladder is most likely an artifact on the plate/table. Normal-sized liver, spleen. The kidneys are obscured. The gastrointestinal tract is minimally filled. No narrowed lumbar intervertebral disc spaces are appreciated. There is mild to moderate degenerative change in the right coxofemoral joint. Normal left coxofemoral joint. The sacroiliac joints are congruent. No pelvic fractures. Pelvic limb musculature is reduced on the right. Patella location is normal. Small volume fluid in the cranial and caudal aspect of the left stifle joint. Scant fluid in the right stifle. No stifle degenerative change. No popliteal lymphadenomegaly.</t>
  </si>
  <si>
    <t>1. Mild left stifle effusion, and scant right stifle effusion most consistent with partial cranial cruciate ligament tear. This is the most likely cause for lameness. Right coxofemoral osteoarthritis is of doubtful clinical significance today._x000D_
2. Scant pleural effusion that is likely hemorrhagic, mild pulmonary contusions on the left, and scant pneumothorax. This is consistent with blunt trauma._x000D_
3. Equivocal scant caudal peritoneal fluid, consider inflammation/hemorrhage or less likely urinary bladder tear. No other intra-abdominal abnormalities.</t>
  </si>
  <si>
    <t>Recommend supportive care and palpate for stifle instability. If there is confirmed stifle instability, surgical stabilization would be recommended. Also recommend monitoring urine output. If there is concern for bladder integrity based on clinical signs or follow-up imaging, evaluation of peritoneal fluid or a cystogram study could be performed.</t>
  </si>
  <si>
    <t xml:space="preserve">
1.A minimal interstitial pulmonary pattern with a concurrent, mild perihilar infiltrate have been detected._x000D_
2.The cardiac silhouette size is normal._x000D_
3.There is no evidence of DYNAMIC AIRWAY COLLAPSE or BRONCHIECTASIS.</t>
  </si>
  <si>
    <t>Three radiographs of the thorax, and orthogonal views of the abdomen are provided. Images dated 8/19/23 are available for comparison. The cardiac silhouette and pulmonary vessels are normal size. There are no abnormalities in the pulmonary parenchyma. Small volume fluid in the caudal esophagus is transient and incidental. No esophageal foreign material or pleural effusion. Tracheal diameter and position are normal._x000D_
_x000D_
In the abdomen there is small volume amorphous soft tissue opacity in stomach. Small intestines are mildly filled with fluid and gas. The cecum is gas dilated. Formed feces filled the distal colon. There is no effusion. The kidneys, spleen, and liver are normal size. No radiopaque cystic calculi. The uterus is not identified. Osseous structures are unremarkable.</t>
  </si>
  <si>
    <t>Normal thorax and abdomen. A reason for the cough/gag is not identified. There is no evidence of pneumonia or megaesophagus. Gastric contents appears to be normal ingesta. Foreign material is given lesser consideration in the absence of persistent vomiting.</t>
  </si>
  <si>
    <t>Recommend oropharyngeal/laryngeal evaluation.</t>
  </si>
  <si>
    <t xml:space="preserve">Patient name: Ducky Teran. Date of study: 9/2/24. Eight radiographs of the neck, thorax and abdomen are available for interpretation. Spine review has been requested. A separate document has been sent to the RDVM about the severe laryngeal trauma.
C-spine: On all lateral projections, the space between dorsal C1 and ventral C2 is subjectively increased but the dens location overlying C1 appears normal. On the VD projection, mild torticollis affects the cervical spine and the curvature corresponds with the unilateral soft tissue swelling and subcutaneous emphysema. On the lateral projection, disc space width is normal from C2-3 through C7-T1. No overt cervical vertebral fracture is identified as the lucent region between the C4 through C7 dorsal spinous process and lamina is symmetric and attributed to artifact. On both VD projections, there is a slight asymmetry to the foraminal opacity at C5-6 with the foraminal opacity ipsilateral on the side of more severe subcutaneous emphysema being more opaque. 
The hypaxial musculature and soft tissues are thickened resulting in ventral displacement to the cervical trachea. 
As mentioned in the document, severe soft tissue swelling is present in the pharyngeal region and the hyoid bones are cranially displaced with the thyrohyoid bones detached from the laryngeal cartilages. Subcutaneous emphysema is present in the mandibular, retropharyngeal, cervical and thoracic inlet regions extending into the cranial mediastinum. 
T-spine: No vertebral fracture or malalignment is noted. No rib lesions are noted. Cranial mediastinal widening is present along with a pneumomediastinum. 
L-spine: No vertebral fracture or malalignment is noted. </t>
  </si>
  <si>
    <t>1) No overt cervical vertebral fracture or malalignment noted however the space between dorsal C1 and ventral C2 is increased on all lateral projections which could be secondary to C1-2 instability vs. positioning of radiographs.
2) Cervical torticollis. DDx: secondary to soft tissue trauma only vs. lateralized disc potentially at C5-6 creating the asymmetric appearance to the lateral foramina.
3) Severe soft tissue swelling in the pharyngeal region and hyoid bone dislocation resulting in an upper airway obstruction. 
4) Cervical soft tissue swelling and subcutaneous emphysema consistent with historical bite wounds resulting in secondary tracheal narrowing. Concurrent esophageal trauma may be present along with mediastinitis in addition to the pneumomediastinum. 
5) No rib lesions noted. 
6) Normal T-L spine.</t>
  </si>
  <si>
    <t xml:space="preserve">Tracheostomy is likely warranted and prior to scoping of the pharynx, larynx and esophagus. Wound treatment. 
Cervical MRI would be necessary to assess for any spinal cord and/or foraminal lesions. </t>
  </si>
  <si>
    <t xml:space="preserve">
1.The cardiac silhouette size is normal._x000D_
2.There is no evidence of BRONCHITIS, PULMONARY NODULES or PLEURAL EFFUSION._x000D_
3.A mild perihilar infiltrate has been detected.</t>
  </si>
  <si>
    <t>Study:_x000D_
Thoracic radiography: three images dated September 2, 2024_x000D_
_x000D_
Findings:_x000D_
The cardiac silhouette is normal in size and shape. The pulmonary vasculature is normal in size. There is a mild generalized bronchointerstitial pulmonary pattern. The pleural space is normal. There is no intrathoracic lymphadenopathy. On the right lateral view, there is a broad-based soft tissue opaque band superimposed with the cervical trachea lumen representing other redundant dorsal tracheal membrane or superimposition of the esophagus. The trachea is normal in diameter. There is no lobar bronchi narrowing. The stomach contains heterogeneous soft tissue material presumed to be ingesta. The small intestines are normal in size, course and content. The colon contains formed fecal material. The liver extends mildly beyond the costal arch with smooth margins. The spleen is normal in size and margin. The renal silhouettes are normal in size and contour. At least two mineral opaque calculi are present in the urinary bladder. There is mild T 11-T 12 and T 12-T 13 spondylosis deformans. The T 13 vertebra is transitional with bilateral hypoplastic ribs. There is moderate bilateral elbow periarticular bone formation. The patient is of overweight body condition.</t>
  </si>
  <si>
    <t>1. The mild diffuse bronchointerstitial pulmonary pattern is a nonspecific finding. This could be a benign age-related change or may indicate allergic, inflammatory, infectious, inhaled irritant or parasitic bronchitis. Airway sampling plus/minus heartworm testing and Baermann fecal flotation be considered to further evaluate for lower airway disease._x000D_
2. There is no radiographic evidence of heart disease._x000D_
3. The generalized hepatomegaly is nonspecific. Rule out metabolic/vacuolar hepatopathy, hyperplasia, hepatitis or infiltrative neoplasia. Sonography can be considered for further evaluation._x000D_
4. Cystolithiasis. Recommend urinalysis for further evaluation._x000D_
5. Moderate bilateral elbow osteoarthrosis.</t>
  </si>
  <si>
    <t xml:space="preserve">
1.MODERATE INTERSTITIAL TO ALVEOLAR INFILTRATE; MILD BRONCHIAL PATTERN; MINIMAL PERIHILAR INFILTRATE._x000D_
2.Based on these AI airway/pulmonary findings,  the probability of this patient having clinically detectable respiratory signs is HIGH (75%)_x000D_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6.Minimal cardiomegaly has been detected but Heart Failure is NOT suspected.</t>
  </si>
  <si>
    <t>Study:_x000D_
Abdominal radiography: four images dated September 2, 2024_x000D_
_x000D_
Findings:_x000D_
The serosal detail is adequate. The stomach contains a small volume of gas. The small intestines are normal in size, course and content. The colon contains formed fecal material. The liver extends mildly beyond the costal arch with smooth margins. There is associated caudal displacement the gastric axis. The spleen is moderately enlarged with smooth margins.. The kidneys are normal in size and contour. The urinary bladder is normal in size and opacity. The T 13 vertebra is transitional with bilateral hypoplastic ribs. There is mild T2-T3 and moderate T4-T5 spondylosis deformans. The included thorax is unremarkable.</t>
  </si>
  <si>
    <t>1. The generalized hepatomegaly is nonspecific. Rule out metabolic/vacuolar hepatopathy, hyperplasia, hepatitis or infiltrative neoplasia. _x000D_
2. The generalized splenomegaly is also nonspecific. Rule out extramedullary hematopoiesis, lymphoid hyperplasia, splenitis or infiltrative neoplasia.</t>
  </si>
  <si>
    <t>Abdominal sonography should be considered for further evaluation of the hepatomegaly, splenomegaly and CBC abnormalities.</t>
  </si>
  <si>
    <t>THORAX and ABDOMEN, nine images dated September 02, 2024._x000D_
_x000D_
 The cardiovascular structures and pulmonary parenchyma are within normal limits. The pleural and mediastinal spaces are within normal limits. No intrathoracic lymphadenopathy is seen. The liver extends beyond the costal arch with a rounded caudal margin. No gastrointestinal distention or other gastrointestinal abnormalities are seen. No suggestion of sublumbar lymphadenopathy is seen. The spleen, visible portions of the kidneys, urinary bladder, and abdominal serosal detail are all within normal limits. There is lumbosacral spondylosis deformans. There are mild coxofemoral degenerative changes.</t>
  </si>
  <si>
    <t>- Normal thorax with no evidence of pulmonary metastatic disease._x000D_
_x000D_
- Hepatomegaly is a nonspecific finding though is most likely secondary to a metabolic hepatopathy. Otherwise normal abdomen._x000D_
_x000D_
-Mild coxofemoral degenerative changes.</t>
  </si>
  <si>
    <t>Sampling of the swelling is recommended along with abdominal ultrasound for staging.</t>
  </si>
  <si>
    <t>Study:_x000D_
Thoracic radiography: left lateral and orthogonal views (two images) dated September 2, 2024_x000D_
_x000D_
Findings:_x000D_
The cardiac silhouette and pulmonary vasculature are normal in size. There is a mild bronchial pulmonary pattern in the caudodorsal lung fields. The pleural space is normal. There is no intrathoracic lymphadenopathy. The trachea is normal in diameter and course. The stomach contains heterogeneous soft tissue material presumed to be ingesta. The osseous structures are unremarkable/age appropriate.</t>
  </si>
  <si>
    <t>The mild caudal dorsal bronchial pulmonary pattern may indicate infectious bronchitis given the possibility of community exposure. Allergic/inflammatory bronchitis (asthma) is also possible. Parasitic and inhaled irritant etiologies are considered less likely. There is no evidence of pneumonia. Infectious respiratory disease PCR testing and airway sampling can be considered for further evaluation.</t>
  </si>
  <si>
    <t xml:space="preserve">
1.MODERATE INTERSTITIAL TO ALVEOLAR PATTERN; MILD DYNAMIC AIRWAY DISEASE._x000D_
2.Based on these AI airway/pulmonary findings, the probability of this patient having clinically detectable respiratory signs is MEDIUM (50%)_x000D_
3.Bacterial pneumonia treatment in dogs: https://platform.v2.vetology.net/doc/pneumonia-in-dogs-and-cats_x000D_
4.The cardiac silhouette size is normal._x000D_
5.There is no evidence of PERIHILAR INFILTRATE, PULMONARY NODULES or PLEURAL EFFUSION._x000D_
6.Are respiratory signs present? If YES._x000D_
7.Are respiratory signs present? If NO.</t>
  </si>
  <si>
    <t>THORAX and ABDOMEN, three images dated September 02, 2024._x000D_
_x000D_
 The cardiovascular structures and pulmonary parenchyma are within normal limits. The pleural and mediastinal spaces are within normal limits. No intrathoracic lymphadenopathy is seen. There is a small amount of gas in the stomach. The intestines are a combination of gas-filled and fluid-filled/collapsed, and all are within normal limits in diameter. The liver is slightly small. No renal abnormality is noted. The urinary bladder is of appropriate size. The remainder of the abdomen is unremarkable. No osseous abnormalities are noted.</t>
  </si>
  <si>
    <t>Normal thorax._x000D_
_x000D_
 Potential microhepatia could just be positioning/normal patient variation though causes such as microvascular dysplasia and portosystemic shunting cannot be ruled out.</t>
  </si>
  <si>
    <t>Given the history, consider abdominal ultrasound for further workup.</t>
  </si>
  <si>
    <t>Study:_x000D_
Thoracic radiography: three images dated September 2, 2024_x000D_
_x000D_
Findings:_x000D_
There is severe left, left auricular and left atrial enlargement. The pulmonary vasculature is normal in size. The pulmonary parenchyma is unremarkable. The pleural space is normal. There is no intrathoracic lymphadenopathy. The trachea is normal in diameter. The left caudal lobar bronchus appears narrowed on the left lateral view in comparison to the right lateral projection. The liver extends beyond the costal arch with smooth and sharp margins. There is mild T 13-L1 spondylosis deformans. Mild periarticular bone formation is present at the caudodistal aspect the humeral head bilaterally. There is mild left elbow periarticular bone formation.</t>
  </si>
  <si>
    <t>1. Severe left-sided cardiomegaly, indicative of mitral valve disease, without evidence of decompensation. Echocardiography should be considered for further evaluation._x000D_
2. Suspect bronchomalacia and dynamic bronchial compression/collapse. Normal diameter of the trachea does not exclude positive concurrent tracheal collapse. Fluoroscopy can be considered for further evaluation._x000D_
3. The generalized hepatomegaly is nonspecific. Rule out metabolic/vacuolar hepatopathy, hyperplasia, hepatitis or infiltrative neoplasia. Sonography can be considered for further evaluation._x000D_
4. Mild bilateral shoulder and left elbow osteoarthrosis.</t>
  </si>
  <si>
    <t xml:space="preserve">
1.Are respiratory signs present? If YES._x000D_
2.Pleural fissure lines or small volume pleural effusion has been detected. In a mildly overweight animal, excessive pericardial fat can artifactually mimic the result of minimal pleural effusion._x000D_
3.Severe cardiomegaly has been detected but Heart Failure is NOT suspected._x000D_
4.MODERATE to SEVERE BRONCHOINTERSTITIAL PULMONARY PATTERN; DYNAMIC AIRWAY COLLAPSE and/or BRONCHIECTASIS; ALVEOLAR INFILTRATE or ATELECTASIS._x000D_
5.Based on these AI airway/pulmonary findings, the probability of this patient having clinically detectable repsiratory signs is VERY HIGH (&gt;75%)_x000D_
6.AI link to canine airway collapse treatment article: https://platform.v2.vetology.net/doc/canine-tracheal-collapse-treatment</t>
  </si>
  <si>
    <t>Study:_x000D_
Thoracic radiography: three images dated September 2, 2024_x000D_
_x000D_
Findings:_x000D_
The cardiac silhouette and pulmonary vasculature are normal in size. Is a mild generalized bronchial pulmonary pattern. No alveolar disease is present.  The pleural space is normal. There is no intrathoracic lymphadenopathy. The trachea is normal in diameter and course. The stomach contains unstructured heterogeneous soft tissue material presumed to be ingesta. The osseous structures are normal.</t>
  </si>
  <si>
    <t>The mild generalized bronchial pulmonary pattern may indicate infectious bronchitis given the patient=ZZ91=s history of prior pneumonia. Allergic, inflammatory, inhaled irritant and parasitic etiologies are also possible. There is no evidence of pneumonia.</t>
  </si>
  <si>
    <t>Airway sampling plus/minus heartworm testing and Baermann fecal flotation can be if the patient=ZZ91=s residual coughing persists in spite of continued antibiotic therapy.</t>
  </si>
  <si>
    <t>Study:_x000D_
Thoracic/abdominal radiography: four images images dated September 2, 2024_x000D_
_x000D_
One of the lateral views is timestamped approximately two hours after the initial three projections._x000D_
_x000D_
Findings:_x000D_
The cardiac silhouette and pulmonary vasculature are normal in size. The pulmonary parenchyma is unremarkable. The pleural space is normal. There is no intrathoracic lymphadenopathy. The trachea is normal in diameter and course. The larynx is unremarkable. There is no esophageal dilation. The abdominal serosal detail is age appropriate. In the initial images, the stomach contains a small amount of heterogeneous soft tissue material. There is a small amount of granular soft tissue and granular mineral material in the small intestines. The small intestines are normal in size and course. The colon contains formed fecal material with interspersed granular mineral. In the later image, the stomach is empty. The small intestines are normal in size, course and content. The colon contains formed fecal material with a normal diameter. The liver and spleen are normal in size and margin. The renal silhouettes are poorly visualized due to visceral crowding but appear normal in size and contour. The urinary bladder is normal in size and opacity. The osseous structures are unremarkable/age appropriate.</t>
  </si>
  <si>
    <t>1. The heterogeneous soft tissue material in the stomach and granular soft tissue material in the small intestines in the initial images likely represents ingesta. The granular mineral in the small intestines in the initial images and an the colon in at both time points may indicate dietary indiscretion or may be an incidental finding depending on the contents of the patient=ZZ91=s normal diet. There is no evidence of small intestinal mechanical obstruction._x000D_
2. Normal thorax. There is no evidence of pneumonia.</t>
  </si>
  <si>
    <t>Abdominal sonography can be considered for further evaluation if the clinical signs persist or worsen in spite of medical management.</t>
  </si>
  <si>
    <t xml:space="preserve">
1.MILD DYNAMIC AIRWAY DISEASE; MINIMAL INTERSTITIAL TO ALVEOLAR PATTERN._x000D_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PERIHILAR INFILTRATE, PULMONARY NODULES or PLEURAL EFFUSION.</t>
  </si>
  <si>
    <t>Study:_x000D_
Thoracic, cervical and abdominal radiography: seven images dated September 2, 2024_x000D_
_x000D_
Findings:_x000D_
The cardiac silhouette is normal in size and shape. The pulmonary vasculature is normal in size. The pulmonary parenchyma is unremarkable. No pulmonary nodules or masses are present. The pleural space is normal. There is no intrathoracic lymphadenopathy. The larynx is unremarkable. The reported cervical mass is not appreciated radiographically. The trachea is normal in diameter. The abdominal serosal detail is normal. The stomach contains heterogeneous soft tissue material presumed to be ingesta. The small intestines are normal in size, course and content. The colon contains formed fecal materia with a small amount of interspersed granular mineral l. The liver and spleen are normal in size and margin. The kidneys are normal in size and contour. The urinary bladder is normal in size and opacity. Suture material is present in the mid-ventral abdominal body wall. There is mild multifocal thoracolumbar and severe lumbosacral spondylosis deformans. The patient is of overweight body condition.</t>
  </si>
  <si>
    <t>1. Normal thorax. There is no radiographic evidence of pulmonary metastatic disease._x000D_
2. Postprandial stomach=ZZ90= otherwise, unremarkable abdomen._x000D_
3. The reported cervical mass is not appreciated radiographically. Consider computed tomography of the head and neck for further evaluation/surgical planning.</t>
  </si>
  <si>
    <t xml:space="preserve">
1.A minimal perihilar infiltrate has been detected._x000D_
2.A moderate bronchial pattern has been detected._x000D_
3.The cardiac silhouette size is normal._x000D_
4.There is no evidence of ALVEOLAR PATTERN, DYNAMIC AIRWAY COLLAPSE or BRONCHIECTASIS or PLEURAL EFFUSION.</t>
  </si>
  <si>
    <t>THORAX (3 images) and ABDOMEN (2 images):
Images are dated September 2, 2024.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slightly small with cranial gastric axis displacement in the lateral image but normal in size in the ventrodorsal image.
Spleen: The spleen is normal in size with smooth margins and homogeneous soft tissue.
Kidneys: The left kidney has mildly rounded or undulant, well-defined margins.  The right kidney is partially obscured without obvious enlargement or mineral.
Retroperitoneum: Retroperitoneal detail is adequate.
Urinary bladder/Urethra: The urinary bladder is normal in size, homogeneous soft tissue, and smoothly marginated.
Peritoneum: Peritoneal detail is adequate.
Reproductive:  No obvious uterine enlargement is identified.  
Gastrointestinal tract: The stomach contains a mild volume of gas.  Gastric rugal folds are mildly prominent. The stomach is within normal limits for size.
The small intestine contains minimal gas, mild fluid or is empty with a subjectively uniform population for size. 
The colon contains mild to moderate well-defined soft tissue material and gas.  The colon is within normal limits for size.  
Musculoskeletal: Prominent nipples are present, consistent with intact status of this patient.  The remaining included musculoskeletal structures are normal.</t>
  </si>
  <si>
    <t>1. Minimal-mild diffuse bronchial pulmonary pattern such as from fibrosis from prior disease, age-related changes, or unlikely infectious/immune-mediated lower airway disease or other.
2. Prominent gastric rugal folds due to non-specific gastritis versus variation of normal.
3. Mild microhepatia versus artifact from positioning or variation of normal.
  - If present, consider occult portosystemic shunting vessel or unlikely other.
4. Left renal changes such as from chronic renal disease or unlikely other.</t>
  </si>
  <si>
    <t>Etiology of reported event is not identified in this examination.  Syncope is suspected given seizure activity is considered unlikely. 
 This examination does not rule out arrhythmia/dysrhythmia contributing to signs, such as from sick sinus syndrome or other.  Consider echocardiography, eCG and blood pressure, with/without Holter-monitoring for further evaluation.  Routine blood work if not recently performed. Empirical therapy and supportive care in the interim as needed.  Monitoring as directed, or sooner if clinical signs acutely change, fail to improve or worsen.</t>
  </si>
  <si>
    <t>WHOLE-BODY (3 total radiographs for review). _x000D_
_x000D_
- The cardiac silhouette is moderately to markedly enlarged, with a straightening of the caudal cardiac margin and dorsal displacement of the caudal aspect of the thoracic trachea_x000D_
- The pulmonary vasculature is normal._x000D_
- There is a mild diffuse unstructured interstitial pulmonary pattern._x000D_
- The trachea, esophagus and mediastinum are normal._x000D_
- The pleural space, diaphragm and ribs are normal._x000D_
- The remaining intrathoracic structures are normal._x000D_
- The cranial abdominal structures are normal._x000D_
- There is mild mid lumbar spondylosis deformans.</t>
  </si>
  <si>
    <t>1. Moderate to marked left-sided cardiomegaly, without pulmonary vasculature congestion or congestive heart failure. Most likely compatible with degeneration of the mitral valve.  Enlargement of the left atrium may be causing airway compression and contributing to the reported clinical signs. Consider consultation with a veterinary cardiologist and echocardiography/ECG for further assessment._x000D_
_x000D_
2.  Mild, diffuse unstructured interstitial pulmonary pattern.  This can be incidental/artifactual or reflect chronic lower airway/airspace disease such as bronchitis or pulmonary fibrosis._x000D_
_x000D_
3.  Mild mid lumbar degenerative spondylosis deformans.</t>
  </si>
  <si>
    <t>Study:_x000D_
Abdominal radiography: three images dated September 1, 2024_x000D_
_x000D_
Findings:_x000D_
The stomach contains a small volume of gas with the pylorus appropriately gas-filled on the left lateral image. The small intestines are normal in size, course and content. The colon contains formed fecal material with a normal diameter. The liver and spleen are normal in size and margin. The kidneys are normal in size and contour. The urinary bladder is normal in size and opacity. No mineral opaque calculi are present in the bladder or region the urethra. The included thorax is unremarkable. The T 13 vertebra is transitional with bilateral hypoplastic ribs. There is a healed fracture of the proximal aspect of the right 13th rib.</t>
  </si>
  <si>
    <t>Unremarkable abdomen. Test negative for urocystolithiasis. Consider urine culture plus/minus abdominal sonography for further evaluation of the reported hematuria.</t>
  </si>
  <si>
    <t>Eight survey radiographs of the vertebral column, pelvis and pelvic limbs dated 1st September 2024 are available for review. There are no previous radiographs available for comparison. _x000D_
_x000D_
Vertebral column: The thoracic and lumbar vertebral column are normal. The cervical vertebral column is obliqued, however no clear abnormalities are seen._x000D_
_x000D_
Pelvis: There is bilateral mild cranial acetabular sclerosis, with some enthesiophytic modelling. There is widening of both coxofemoral joint spaces. The femoral head is normal. There is minimal osteophyte formation of both femoral necks. Both limbs are abducted and externally rotated. The patella are in an anatomic position considering limb position._x000D_
_x000D_
Joints and long bones: There is mild enthesiophytic modelling of the left patella. Minimal soft tissue attenuation of the left stifle joint space is present. Minimal soft tissue opacification of the right stifle joint is also present. The position of the tibia relative to the femoral condyles is normal. Both included tarsi are normal._x000D_
_x000D_
Abdomen: The hepatic silhouette is normal in size with smooth borders. The spleen is normal in shape, size and position. The kidneys are partially obscured by gastrointestinal contents, but the visible aspect are normal. The stomach contains some gas and a moderate amount of heterogenous food material. The gastric axis is normal.. The small intestines are distributed evenly and are within normal limits for shape, size and contents. The ascending, transverse and descending colon have a normal position and contain gradually more formed faeces. The urinary bladder is filled. The serosal detail is normal._x000D_
_x000D_
Soft tissues: The caudal thigh musculature is symmetric.</t>
  </si>
  <si>
    <t>1. Normal vertebral column. Occult intervertebral disease such as intervertebral disk protrusion or other spinal cord pathology including embolic (FCE), high velocity disk, inflammatory or neoplastic disease or degenerative myelopathy is not excluded . _x000D_
2. Bilateral mild coxofemoral osteoarthritis. This is unlikely to be causing the clinical signs. The widening of the joint space is most likely positional._x000D_
3. Mild left stifle osteoarthritis this may be primary, or secondary to intermittent patellar luxation, or intra-articular soft tissue pathology such as a partial cranial cruciate ligament tear._x000D_
4. Unremarkable abdomen.</t>
  </si>
  <si>
    <t>Full neurologic examination if not already performed. If no proprioceptive deficits or patients back pain is mild, consider treating for intervertebral disk disease/arthritis (exercise restriction, NSAIDs with supportive bloodwork, +/- multimodal analgesia). If no response to therapy, patient has proprioceptive deficits or is worsening in general, referral to a neurologist for discussion regarding feasibility of MRI vs. CT of the spine can be considered. _x000D_
Full blood work to eliminate any metabolic abnormalities or GI problems. Consider an abdominal ultrasound.</t>
  </si>
  <si>
    <t>Three orthogonal thoracic radiographs dated 1st September 2024 are available for review. There are no previous radiographs available for comparison. _x000D_
_x000D_
Airway findings: The cervical and thoracic trachea have a normal size, outline and position. The carina, tracheal bifurcation and mainstem bronchi are normal. There is interstitial opacification of the dorsal aspect of the right middle lung lobe in the region of the rib 5. There is no evidence for pneumothorax._x000D_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There is a segmental rib fracture of the right fifth rib. Subcutaneous gas loculations are present along the right thoracic wall. There is swelling of the dorsal aspect of the neck region. No gas loculations are seen. No gas is visible within the fascial planes of the neck. The body wall is normal._x000D_
_x000D_
Included abdomen: There is no evidence for abdominal effusion.</t>
  </si>
  <si>
    <t>1. Right fifth rib segmental fracture with pulmonary contusion. There is no evidence of pulmonary haemorrhage or pneumothorax. Potential neck contusion, without evidence of penetrating wounds.</t>
  </si>
  <si>
    <t>Empiric management with monitoring for any respiratory distress, and oxygen therapy and repeat radiographs when clinically indicated.</t>
  </si>
  <si>
    <t xml:space="preserve">
1.A mild perihilar infiltrate and more diffuse, minimal interstitial pulmonary pattern have been detected._x000D_
2.The cardiac silhouette size is normal._x000D_
3.There is no evidence of DYNAMIC AIRWAY COLLAPSE or BRONCHIECTASIS, PULMONARY NODULES or PLEURAL EFFUSION.</t>
  </si>
  <si>
    <t>Study:_x000D_
Thoracic radiography: three images dated September 1, 2024_x000D_
_x000D_
Findings:_x000D_
The cardiac silhouette and pulmonary vasculature are normal in size. The pulmonary parenchyma is unremarkable. The pleural space is normal. There is widening of the cranial mediastinum secondary to breed associated fat deposition. There is no intrathoracic lymphadenopathy. The trachea is normal in diameter and course. The stomach contains heterogeneous soft tissue material presumed to be ingesta. The patient has multiple, breed associated, congenitally anomalous thoracic vertebrae. There is mild to moderate multifocal thoracic spondylosis deformans.</t>
  </si>
  <si>
    <t>Normal thorax. There is no evidence of pneumonia. A cause of the reported wheezing is not evident.  A cause of wheezing is not evident. Consider upper airway disease/brachycephalic airway syndrome. Lack of a definitive bronchial pulmonary pattern does not exclude the possibility of allergic/inflammatory, infectious, irritant or parasitic bronchitis.</t>
  </si>
  <si>
    <t>Sedated oropharyngeal/laryngeal exam, airway sampling plus/minus heartworm testing and Baermann fecal flotation can be considered for further evaluation if the clinical signs persist or worsen in spite of symptomatic care.</t>
  </si>
  <si>
    <t xml:space="preserve">
1.Are respiratory signs present? If YES._x000D_
2.Are respiratory signs present? If YES._x000D_
3.Are respiratory signs present? If NO._x000D_
4.Are respiratory signs present? If NO._x000D_
5.The cardiac silhouette size is normal._x000D_
6.MILD to MODERATE BRONCHINTERSTITIAL PATTERN with ATELECTASIS or less likely, PNEUMONIA; MILD DYNAMIC AIRWAY DISEASE._x000D_
7.MILD INTERSTITIAL TO ALVEOLAR PATTERN; MILD DYNAMIC AIRWAY DISEASE; MILD PERIHILAR INFILTRATE._x000D_
8.Based on these AI airway/pulmonary findings, the probability of this patient having clinically detectable respiratory signs is MEDIUM to HIGH (50-75%)_x000D_
9.Based on the AI airway/pulmonary findings, the probability of this patient having clinically detectable respiratory signs is MEDIUM (50%)</t>
  </si>
  <si>
    <t>Orthogonal views of the thorax are provided:_x000D_
_x000D_
Thorax:_x000D_
_x000D_
There is moderate to severe left atrium enlargement that dorsally displaces the carina, producing an overall severe cardiomegaly._x000D_
The pulmonary veins are normal sized. However, there is questionable peri-hilar ill defined interstitial pulmonary pattern potentially extending in to the right caudal lung lobe._x000D_
Bilateral thin pleural fissure lines._x000D_
Normal mediastinum, diaphragm and thoracic wall.</t>
  </si>
  <si>
    <t>1) Cardiomegaly (left sided) with suspected peri-hilar ill defined interstitial pulmonary pattern potentially extending in to the right caudal lung lobe. Rule out left sided congestive heart failure secondary to chronic mitral endocardiosis. Rule out tricuspid endocardiosis with post-capillary pulmonary hypertension._x000D_
2) Bilateral thin pleural fissure lines. Rule out scant pleural effusion vs tangential beam.</t>
  </si>
  <si>
    <t>Consider a cardiology consultation with ECG and echocardiogram to help rule in/out an early LSCHF with +/- oxygen supplementation, pro bnp, BP and lasix trial (prior evaluation of the renal function) with recheck radiographs in 12 hours (or sooner if clinically indicated) to re-evaluate and to monitor the response to treatment.</t>
  </si>
  <si>
    <t xml:space="preserve">
1.Are respiratory signs present? If YES._x000D_
2.Are respiratory signs present? If NO._x000D_
3.MINIMAL TO MILD BRONCHOINTERSTITIAL PULMONRAY PATTERN; MILD PERIHILAR PATTERN._x000D_
4.Based on the AI airway/pulmonary findings, the probability of this patient having clinically detectable respiratory signs is LOW (25%)_x000D_
5.Moderate dynamic airway disease has been detected._x000D_
6.Severe cardiomegaly has been detected but Heart Failure is NOT suspected.</t>
  </si>
  <si>
    <t>Orthogonal views of the thorax are provided:_x000D_
_x000D_
Thorax:_x000D_
_x000D_
No abnormalities seen in the trachea._x000D_
Cardiac silhouette has a normal shape and size._x000D_
Pulmonary vessels are within normal limits of size and shape._x000D_
Pulmonary parenchyma shows a generalized and diffuse broncho-interstitial lung pattern with some multifocal small alveolar patches, the caudal lung lobes being more severely affected._x000D_
Pleural space, mediastinum, diaphragm and thoracic wall within normal limits.</t>
  </si>
  <si>
    <t>1) Generalized and diffuse broncho-interstitial lung pattern with some multifocal small alveolar patches compatible with a chronic lower airway disease such as eosinophilic bronchopneumopathy vs parasitic/protozoal bronchitis/bronchopneumonia vs pyogranulomatous bronchitis/bronchopneumonia. A neoplastic process is unlikely. Any of the aforementioned differentials could have led to some degree of interstitial affection and some degree of idiopathic pulmonary fibrosis is not excluded.</t>
  </si>
  <si>
    <t>Consider a. CT of the thorax followed by a bronchoscopy with BAL, culture, cytology, Baermann test and deworming.</t>
  </si>
  <si>
    <t xml:space="preserve">
1.Are respiratory signs present? If NO._x000D_
2.PLEURAL EFFUSION or PLEURAL FISSURE LINES; PULMONARY NODULES or NODULAR PATTERN; MODERATE TO SEVERE INTERSTITIAL TO ALVEOLAR PATTERN; MILD BRONCHITIS._x000D_
3.Based on the AI airway/pulmonary findings, the probability of this patient having clinically detectable respiratory signs is VERY HIGH (&gt;75%)_x000D_
4.The evaluation has a suspicion of pleural effusion and soft tissue pulmonary nodules or a mass lesion being present._x000D_
5.Are respiratory signs present? If YES._x000D_
6.Resource: https://vsso.org/lung-tumors-canine_x000D_
7.Moderate cardiomegaly has been detected but Heart Failure is NOT suspected.</t>
  </si>
  <si>
    <t>Study:_x000D_
Thoracic/cervical radiography: four images dated August 31, 2024_x000D_
_x000D_
Findings:_x000D_
The cardiac silhouette and pulmonary vasculature are normal in size. The pulmonary parenchyma is unremarkable. The pleural space is normal. There is no intrathoracic lymphadenopathy. The larynx is unremarkable. The trachea is normal in diameter and course. The larynx is unremarkable. There is no esophageal dilation. The stomach contains unstructured heterogeneous soft tissue material presumed to be ingesta. The osseous structures are unremarkable.</t>
  </si>
  <si>
    <t>Normal thorax and unremarkable cervical region. The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t>
  </si>
  <si>
    <t>Infectious respiratory disease PCR testing, airway sampling plus/minus heartworm testing and Baermann fecal flotation can be considered to further evaluate the reported coughing.</t>
  </si>
  <si>
    <t>Study:_x000D_
Thoracic, abdominal and pelvic radiography: five images dated August 31, 2024_x000D_
_x000D_
Findings:_x000D_
_x000D_
Thorax:_x000D_
The cardiac silhouette and pulmonary vasculature are normal in size. The pulmonary parenchyma is unremarkable. The pleural space is normal. There is no intrathoracic lymphadenopathy. The trachea is normal in diameter and course._x000D_
_x000D_
Abdomen:_x000D_
The stomach contains granular soft tissue material presumed to be ingesta. A small amount of injustice also present in a small intestinal segment in the mid abdomen. The small intestines are normal in size and course. The colon contains formed fecal material. The liver and spleen are normal in size and margin. The kidneys are normal in size and contour. The urinary bladder is normal in size and opacity._x000D_
_x000D_
Skeletal:_x000D_
The cervical spine is unremarkable. There is variable mild to severe multifocal caudal thoracic/cranial lumbar spondylosis deformans. There is no apparent intervertebral disc space narrowing. There is no evidence of discospondylitis. The coxofemoral joints are normal with good coverage of the femoral head by the acetabulum bilaterally. There is moderate to severe right stifle periarticular bone formation.</t>
  </si>
  <si>
    <t>1. Multifocal spondylosis deformans. The spine is otherwise unremarkable. Lack of any apparent intervertebral disc space narrowing does not exclude possibly of intervertebral disc disease. Neurology consultation and MRI can be considered for further evaluation of the reported ataxia._x000D_
2. Moderate to severe right stifle osteoarthrosis. Consider underlying cranial cruciate and/or meniscal injury._x000D_
3. Normal thorax._x000D_
4. Postprandial gastrointestinal tract=ZZ90= otherwise, unremarkable abdomen.</t>
  </si>
  <si>
    <t xml:space="preserve">
1.MINIMAL INTERSITIAL PATTERN; OVERLYING CUTANEOUS NODULES or END-ON VESSELS._x000D_
2.Based on these AI airway/pulmonary findings, the probability of this patient having clinically detectable respiratory signs due to lower airway disease is UNLIKELY (&lt;25%) with the exception of acute tracheobronchitis or PTE._x000D_
3.A minimal interstitial pattern has been detected._x000D_
4.There is detection of a few small soft tissue opacities overlying the lungs._x000D_
5.The cardiac silhouette size is normal._x000D_
6.There is no evidence of ALVEOLAR PATTERN, PERIHILAR INFILTRATE or DYNAMIC AIRWAY COLLAPSE or BRONCHIECTASIS.</t>
  </si>
  <si>
    <t>Study:_x000D_
The study contains seven images of the thorax and cervical region as JPEG photos_x000D_
_x000D_
Findings:_x000D_
The non-DICOM nature of the images limits evaluation. The cardiac silhouette and pulmonary vasculature are normal in size. The pulmonary parenchyma is unremarkable. The pleural space is normal. The width of the claim is synonymous within normal limits. There is no intrathoracic lymphadenopathy. There is gas dilation and retraction of the larynx. The trachea is normal in diameter and course. There is indistinct increased soft tissue opacity caudoventral to the hyoid apparatus. The included abdomen is unremarkable. There is narrowing of the T 12-T 13 intervertebral disc space.</t>
  </si>
  <si>
    <t>1. The gas dilation and retraction of the larynx is a nonspecific finding. This can be secondary to laryngeal dysfunction, dynamic airway disease, chronic lower airway disease or nasal disease._x000D_
2. The indistinct increased opacity caudal ventral to the carina could represent a mass (e.g. thyroid or ectopic thyroid mass, granuloma, abscess, lymphadenopathy). Computed tomography of the neck can be considered for further evaluation._x000D_
3. Normal thorax. There is no radiographic evidence of cardiopulmonary disease. There is no evidence of a cranial mediastinal mass._x000D_
4. T 12-T 13 intervertebral disc disease.</t>
  </si>
  <si>
    <t>9 images of the thorax and thoracic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Irregular periosteal proliferation surrounds the proximal diaphysis metaphysis of the left humerus.  Patchy lysis is seen within the medullary canal.  The cranial cortex is thinned.  The joint surfaces are smooth and regular.</t>
  </si>
  <si>
    <t>Radiographically normal thorax for patient of this age.  Aggressive lesion of the proximal left humerus concerning for neoplasia.</t>
  </si>
  <si>
    <t>Biopsy would be necessary for definitive diagnosis.</t>
  </si>
  <si>
    <t xml:space="preserve">
1.A minimal interstitial pulmonary pattern with a concurrent, mild perihilar infiltrate have been detected._x000D_
2.The cardiac silhouette size is normal._x000D_
3.There is no evidence of ALVEOLAR PATTERN or DYNAMIC AIRWAY COLLAPSE or BRONCHIECTASIS.</t>
  </si>
  <si>
    <t>Study:_x000D_
Thoracic radiography: three images dated August 31, 2024_x000D_
_x000D_
Findings:_x000D_
The cardiac silhouette is normal in size and shape. The pulmonary vasculature is normal in size. Evaluation of the cranial ventral lung fields is limited on the lateral projections due to superimposition of the thoracic limb soft tissues with mediastinal fat. All lung fields appear clear on the VD view. There is indistinct increased opacity within the ventral thorax obscuring the ventral margin of the cardiac silhouette. There is no apparent intrathoracic lymphadenopathy. The patient is intubated. The trachea lumen is narrowed. The soft palate is elongating appears mildly thickened. There is gas dilation of the esophagus. The patient has multiple, breed associated congenitally anomalous thoracic vertebrae. The included thorax is normal.</t>
  </si>
  <si>
    <t>1. The indistinct increased opacity in the ventral thorax obscuring the ventral margin of the cardiac silhouette may indicate trace pleural effusion given the reported TFAST exam findings. A cause is not radiographically evident._x000D_
2. The diffuse narrowing of the trachea lumen is suggestive of tracheal hypoplasia=ZZ90= however, this finding may normalize as the patient approaches skeletal maturity._x000D_
3. Elongated soft palate.</t>
  </si>
  <si>
    <t>Computed tomography of the thorax can be considered to further evaluate for a cause of pleural effusion pending fluid analysis of the thoracocentesis sample.</t>
  </si>
  <si>
    <t xml:space="preserve">
1.Pleural fissure lines or moderate pleural effusion has been detected. An overlying skin fold or in a moderately overweight animal, excessive pericardial fat could artifactually mimic the result of moderate pleural effusion._x000D_
2.Are respiratory signs present? If NO._x000D_
3.MODERATE BRONCHOINTERSTITIAL PULMONARY PATTERN; MODERATE DYNAMIC AIRWAY DISEASE; MODERATE ALVEOLAR INFILTRATE or ATELECTASIS._x000D_
4.MODERATE INTERSTITIAL TO ALVEOLAR INFILTRATE; CONCURRENT MODERATE BRONCHIAL PATTERN; MILD PERIHILAR INFILTRATE._x000D_
5.Based on the AI airway/pulmonary findings, the probability of this patient having clinically detectable respiratorysigns is MEDIUM to HIGH (50-75%)_x000D_
6.Based on these AI airway/pulmonary findings, the probability of this patient having clinically detectable respiratory signs is HIGH (75%)_x000D_
7.Are respiratory signs present? If YES._x000D_
8.Are respiratory signs present? If YES._x000D_
9.Are respiratory signs present? If NO._x000D_
10.AI linked bacterial pneumonia treatment in dogs: https://platform.v2.vetology.net/doc/pneumonia-in-dogs-and-cats_x000D_
11.The cardiac silhouette size is normal.</t>
  </si>
  <si>
    <t>Study:_x000D_
Thoracic radiography: five images dated August 31, 2024_x000D_
_x000D_
Findings:_x000D_
The cardiac silhouette is normal in size and shape. There is a moderate generalized bronchial pulmonary pattern. The pleural space is normal. On both lateral projections, but more evident on the left lateral view, there is widening and rounding of the cranial mediastinum just cranial to the heart base. The patient has a redundant dorsal tracheal membrane. There is slight trachea lumen narrowing at the thoracic inlet on both lateral projections. There is dilation and retraction of the larynx. There is no lobar bronchi narrowing. The included abdomen is unremarkable. Mild periarticular bone formation is present at the caudodistal aspect the humeral head bilaterally.</t>
  </si>
  <si>
    <t>1. Suspected cranial mediastinal or heart base mass. Rule out cranial mediastinal lymphadenopathy, thymoma, thymic lymphoma, ectopic thyroid carcinoma or chemodectoma. Consider thoracic sonography or computed tomography for further evaluation._x000D_
2. The mild generalized bronchial pulmonary pattern may indicate allergic, inflammatory, inhaled irritant, infectious or parasitic. Airway sampling, heartworm testing and Baermann fecal flotation can be considered for further evaluation._x000D_
3. Suspect trachea chondromalacia and dynamic airway disease/tracheal collapse. Fluoroscopy can be considered for further evaluation._x000D_
4. The dilation retraction of the larynx is a nonspecific finding. This can be secondary to chronic lower airway disease, dynamic airway disease, laryngeal dysfunction or nasal disease._x000D_
5. Mild bilateral shoulder osteoarthrosis.</t>
  </si>
  <si>
    <t xml:space="preserve">
1.SEVERE INTERSTITIAL TO ALVEOLAR PATTERN; MODERATE BRONCHIAL PATTERN; MILD DYNAMIC AIRWAY DISEASE._x000D_
2.Based on these AI airway/pulmonary findings, the probability of this patient having clinically detectable repsiratory signs is VERY HIGH (&gt;75%)_x000D_
3.Are respiratory signs present? If YES._x000D_
4.AI linked canine pnuemonia treatment: https://platform.v2.vetology.net/doc/pneumonia-in-dogs-and-cats_x000D_
5.The cardiac silhouette size is normal._x000D_
6.Are respiratory signs present? If NO._x000D_
7.Pleural fissure lines or small volume pleural effusion has been detected. In a mildly overweight animal, excessive pericardial fat can artifactually mimic the result of minimal pleural effusion.</t>
  </si>
  <si>
    <t>Study:_x000D_
Thoracic and radiography: six images_x000D_
_x000D_
Findings:_x000D_
The cardiac silhouette and pulmonary vasculature are normal in size. The pulmonary parenchyma is unremarkable. The pleural space is normal. There is no intrathoracic lymphadenopathy. The trachea is normal in diameter and course. There is mild mid abdominal effusion. The stomach contains a small volume of gas. The thickness of the gastric wall is within normal in his for the degree of gastric distention. The small intestines are normal in size, course and content. The colon contains formed fecal material with a normal diameter. The liver and spleen are normal in size and margin. The renal silhouettes are normal in size and contour. The urinary bladder is normal in size and opacity. There is mild L3-L4 spondylosis deformans. TPLO implants are present in the proximal aspect of the left tibia. The osteotomy is healed. There is no peri-implant lucency. There is mild left stifle osteoarthrosis.</t>
  </si>
  <si>
    <t>1. Mild peritoneal effusion. A cause is not radiographically evident._x000D_
2.There is no radiographic evidence of gastrointestinal foreign material or small intestinal mechanical obstruction. _x000D_
3. Normal thorax._x000D_
4. Healed left TPLO with stable implants and mild left stifle osteoarthrosis.</t>
  </si>
  <si>
    <t>CPLI testing, abdominal sonography and abdominocentesis can be considered to further evaluate the peritoneal effusion.</t>
  </si>
  <si>
    <t>Thorax: On the left lateral view there is a thin-walled lucent region superimposed over the dorsal diaphragm near the level of the esophagus.  This is not identified on the other views.  There is no evidence of pulmonary metastatic disease.  The pulmonary parenchyma, cardiac silhouette, and pulmonary vasculature are unremarkable.  There is no evidence of pleural effusion or lymphadenopathy.  There is an ovoid mineral opacity associated with the cutaneous/subcutaneous tissues of the dorsal thorax dorsal to the spinous process of T3.</t>
  </si>
  <si>
    <t>The thin-walled lucent region superimposed over the diaphragm on the left lateral view may represent an incidental finding of gas within the esophagus, sliding hiatal hernia, or possible incidental._x000D_
_x000D_
The mineral opacity within the cutaneous/subcutaneous tissues dorsal to the thorax most likely represents a mineralized granuloma from previous injection site.</t>
  </si>
  <si>
    <t>Study:_x000D_
Left pelvic limb radiography: orthogonal views (two images dated August 30, 2024_x000D_
A left lateral projection of the thorax is also present in the study._x000D_
_x000D_
Findings:_x000D_
The left coxofemoral joint is unremarkable. The degree of soft tissue opacity within the left stifle joint space is normal. No degenerative change is present in the stifle. The bones of the left tarsus and pes are unremarkable. There are no fractures or luxations. There is no evidence of aggressive osseous disease. There is severe soft circumferential tissue swelling of the left crus, hock and pes. The patient is of overweight body condition._x000D_
_x000D_
Evaluation of the thorax is limited by the lack of right lateral and orthogonal views. The cardiac silhouette and pulmonary vasculature are normal in size. There is a mild generalized bronchointerstitial pulmonary pattern, considered within normal limits for the age of the patient. The pleural space is normal. There is no intrathoracic lymphadenopathy. There is a broad-based soft tissue opaque band superimposed with the cervical trachea lumen representing either a redundant dorsal tracheal membrane or superimposition of the esophagus. The trachea is normal in diameter and course. The included abdomen is unremarkable. The osseous structures included in the thoracic image are unremarkable.</t>
  </si>
  <si>
    <t>1. Severe left pelvic limb soft tissue swelling without evidence of skull injury or aggressive osseous disease. Consider cellulitis, edema secondary to infection, inflammation, trauma or, less likely neoplasia._x000D_
2. Unremarkable incomplete thoracic study.</t>
  </si>
  <si>
    <t>Computed tomography/angiography of the left pelvic limb can be considered if the left pelvic limb soft tissue swelling persists or worsens in spite of medical management.</t>
  </si>
  <si>
    <t xml:space="preserve">
1.Moderate cardiomegaly has been detected but Heart Failure is NOT suspected._x000D_
2.SEVERE BROCHIAL PATTERN; MILD INTERSTITIAL INFILTRATE with ATELECTASIS or less likely, PNEUMONIA; MILD DYNAMIC AIRWAY DISEASE._x000D_
3.Based on these AI airway/pulmonary findings, the probability of this patient having clinically detectabe respiratory signs is HIGH (75%)_x000D_
4.Are respirartory signs present? If YES._x000D_
5.Are respiratory signs preesnt? If NO.</t>
  </si>
  <si>
    <t>3 views of the thorax are provided for review and compared with the study dated 8/19/2024.  The lung lobes are retracted from the thoracic wall and fluid is present in the pleural space.  The cardiac silhouette cannot be fully visualized due to silhouetting but appears grossly normal in size.  The visible pulmonary vasculature is normal in size.  Patchy mineralization is seen in the area of the caudal subsegment of the left cranial lung lobe.  A vesicular gas pattern is seen in the area of the right middle lung lobe.  The bronchi are normal and direction with no evidence of narrowing or attenuation..  Cranial abdominal detail is adequate.  Linear branching mineralization remains present in the liver.  Granular mineralization is seen in the right ventral liver in the area of the gallbladder.</t>
  </si>
  <si>
    <t>Pleural effusion.  Mineralization in the caudal subsegment of the left cranial lung lobe is concerning for underlying neoplasia, although chronic granulomatous change with dystrophic mineralization cannot be excluded.  The vesicular appearance of the right middle lung lobe is most concerning for lung lobe torsion, although definitive evidence of bronchial compression or mild direction is not identified radiographically.  CT may be ideal for further evaluation.  Alternatively, thoracic ultrasound including color Doppler evaluation of the lung lobe may be helpful.  Ultrasonography may also be helpful in sampling of pleural fluid.  Unchanged biliary tract mineralization and cholelithiasis.</t>
  </si>
  <si>
    <t xml:space="preserve">
1.The cardiac silhouette size is normal._x000D_
2.Are respiratory signs present? If NO._x000D_
3.MILD INTERSTITIAL to ALVEOLAR INFILTRATE; MILD PERIHILAR INFILTRATE._x000D_
4.Based on these AI airway/pulmonary findings, the probability of this patient having clinically detectable respiratory signs is MEDIUM (50%)_x000D_
5.Are respiratory signs present? If YES._x000D_
6.A moderate bronchial pattern and concurrent mild interstitial pattern with potential regions of alveolar infiltrate have been detected._x000D_
7.Pleural fissure lines or moderate to severe pleural effusion has been detected. An overlying skin fold or in an obese animal, excessive pericardial fat could artifactually mimic the result of severe pleural effusion.</t>
  </si>
  <si>
    <t>WHOLE-BODY (3 total radiographs for review). _x000D_
_x000D_
- Peritoneal serosal detail is normal._x000D_
- The stomach contains moderate gas-stippled soft-tissue opaque material_x000D_
- The small intestine contains mild multifocal gas and soft-tissue opaque material_x000D_
- The colon contains gas, soft-tissue/fluid and mild formed fecal material._x000D_
- The liver, spleen, region of the kidneys and urinary bladder are normal._x000D_
- There is mild left-sided cardiomegaly with overt left atrial enlargement characterized by a rounding along the caudal dorsal aspect of the cardiac silhouette._x000D_
-The pulmonary vasculature, parenchyma, pleural space, trachea, mediastinum and remaining included intrathoracic structures are normal._x000D_
- L4-5 intervertebral disc space narrowing with endplate sclerosis and spondylosis deformans.</t>
  </si>
  <si>
    <t>1.  A discrete radiographic cause for the reported decreased appetite is not clearly identified.  The abdomen has a relatively unremarkable postprandial appearance.  For further evaluation, abdominal ultrasonography may be considered._x000D_
_x000D_
2. Mild left-sided cardiomegaly, with overt left atrial enlargement and without pulmonary vasculature congestion or congestive heart failure. Most likely compatible with degeneration of the mitral valve. Consider veterinary cardiologist consultation regarding echocardiography/ECG for further assessment._x000D_
_x000D_
3. L4-5 intervertebral disc disease.</t>
  </si>
  <si>
    <t xml:space="preserve">Patient name: 30542925. Date of study: 8/29/24. Three radiographs of the neck, thorax and abdomen are available for interpretation. No prior radiographs are available for comparison. Thorax review has been requested.
Thorax: 
Airway/pulmonary parenchyma: The trachea appears slightly narrowed along the entire length with more severe narrowing at the carina. The lungs are hypoinflated on all projections and a diffuse bronchointerstitial pattern is present on both lateral projections, right worse than left. On the right lateral projection, the pulmonary infiltrate in the perihilar region has a nodular appearance. On the left lateral projection, a linear pulmonary opacity is noted in the caudodorsal thorax which may represent vascular enlargement and/or bronchial plugging. On the VD projection, the left cranial lung lobe has decreased vessel size. 
Cardiovascular: On the right lateral projection, rounding to the right heart and CVC distention are present. On the VD projection, the cardiac apex is shifted to the left and there is rounding to both the right and left ventricular margins. 
Mediastinum: Mild widening to the mediastinum is present cranial to the heart on the VD projection which may represent thymic tissue. 
Pleural space: No pleural fluid is noted.
Cranial abdomen: Increased soft tissue is present in the cranial abdomen secondary to silhouetting of the liver and a distended stomach with the majority of the soft tissue opacity attributed to a distended stomach. The small bowel is displaced caudally by the gastric distention. Minimal to mild hepatomegaly is present. 
Msk: No abnormalities noted. </t>
  </si>
  <si>
    <t xml:space="preserve">1) Primary consideration is PTE to the left cranial lung lobe and overcirculation +/- arteritis affecting the remaining lung lobes with secondary overcirculation edema causing the caudal pulmonary infiltrate and concurrent pulmonary hypertension causing CVC distention. Other consideration for the pulmonary appearance is bronchial plugs and pulmonary parenchymal disease.
2) Mild hepatomegaly. Rule out hepatic venous distention associated with right heart disease vs. other cause. 
3) Gastric distention. Rule out functional ileus. </t>
  </si>
  <si>
    <t xml:space="preserve">Cardiac ultrasound, ECG and systemic blood pressure evaluation prior to initiating heart failure therapy. Oxygen therapy if needed. Bloodwork and urinalysis if not recently performed.
Await cardiac ultrasound results and repeat thoracic radiographs in 12-24 hours after starting heart failure therapy, sooner if clinically warranted. Also consider abdominal ultrasound to assess the liver and gastric distention. 
Thoracic CT with contrast could be performed to confirm suspected PTE. </t>
  </si>
  <si>
    <t xml:space="preserve">
1.The evaluation has come up positive for a pulmonary nodular pattern._x000D_
2.MODERATE BRONCHOINTERSTITIAL PULMONARY PATTERN; MODERATE ALVEOLAR INFILTRATE or ATELECTASIS; MODERATE DYNAMIC AIRWAY DISEASE._x000D_
3.Based on these AI airway/pulmonary findings, the probability of this patient having clinically detectable respiratory signs is HIGH (75%)_x000D_
4.Are respiratory signs present? If YES._x000D_
5.Are respiratory signs present? If NO._x000D_
6.Pleural fissure lines or moderate pleural effusion has been detected. An overlying skin fold or in a moderately overweight animal, excessive pericardial fat could artifactually mimic the result of moderate pleural effusion._x000D_
7.The cardiac silhouette size is normal.</t>
  </si>
  <si>
    <t>3 views of the thorax are provided for review.  The trachea is dorsally deviated, indicating left ventricular enlargement.  A bulge is present in the region of the left atrium.  Interstitial to alveolar opacity is present in the caudal lung lobes near the hilus.  Thin pleural fissure lines are present.  The mediastinal structures are normal.  Cranial abdominal detail is adequate.</t>
  </si>
  <si>
    <t>Left-sided cardiomegaly.  Interstitial to alveolar pulmonary pattern consistent with cardiogenic pulmonary edema.  Mild pleural effusion.</t>
  </si>
  <si>
    <t>Consider repeat radiographs following lowing diuretic therapy.  Echocardiography may be helpful in further evaluation.</t>
  </si>
  <si>
    <t xml:space="preserve">
1.SEVERE BROCHIAL PATTERN; SEVERE DYNAMIC AIRWAY DISEASE; MODERATE INTERSTITIAL INFILTRATE with ATELECTASIS or less likely, PNEUMONIA._x000D_
2.AI link to canine airway collapse treatment article: https://platform.v2.vetology.net/doc/canine-tracheal-collapse-treatment_x000D_
3.Based on these AI airway/pulmonary findings, the probability of this patient having clinically detectable respiratory signs is VERY HIGH (&gt;75%)_x000D_
4.Are respiratory signs present? If NO._x000D_
5.The evaluation has come up positive for a pulmonary nodular pattern._x000D_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</si>
  <si>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THORAX (3 total radiographs for review). 
- There is a soft tissue opaque band dorsally overlying the trachea in the region of the thoracic inlet.
- There is a mild, diffuse bronchial pulmonary pattern present.
- The mediastinum, pleural space and remaining intrathoracic structures are normal.
- The cranial abdominal structures are unremarkable.
- T 13 is a transitional vertebral segment, which is characterized by a thickened right rib and a thin/hypoplastic left rib.
- There is the impression of a mildly small liver, resulting in cranial transposition of the gastric axis.</t>
  </si>
  <si>
    <t>1.  The appearance of the trachea can be consistent with tracheal collapse, secondary to chondromalacia.
2.  There is a mild diffuse bronchial pulmonary pattern, which can be normal age-related airway degeneration however given the history of coughing could also indicate chronic bronchitis
3.  Impression of mild micro-hepatica may be a normal patient variant or less likely reflect chronic hepatitis or hepatic fibrosis/cirrhosis.
4.  Transitional T13 vertebral segment.</t>
  </si>
  <si>
    <t>In this case, the patient=ZZ91=s coughing could be multifactorial and related to tracheal collapse and/or chronic lower airway disease.  If clinically indicated, consider consultation with a veterinary internal medicine specialist and/or thoracic CT for further evaluation.</t>
  </si>
  <si>
    <t>Abdomen: There is a mild diffuse bronchointerstitial pattern.  There is mild left-sided cardiomegaly.  There is no evidence of cardiogenic pulmonary edema.  There is no evidence of pleural effusion.  The pulmonary vasculature is unremarkable.  There are no abnormalities involving the trachea.</t>
  </si>
  <si>
    <t>Mild left-sided cardiomegaly without evidence of decompensation._x000D_
_x000D_
Mild diffuse bronchointerstitial pattern which may represent age-related changes or bronchitis.</t>
  </si>
  <si>
    <t xml:space="preserve">
1.MILD BRONCHOINTERSTITIAL PULMONARY PATTERN; MINIMAL PERIHILAR PATTERN._x000D_
2.Based on the AI airway/pulmonary findings, the probability of this patient having clinically detectable respiratory signs is LOW (25%)_x000D_
3.In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4.The cardiac silhouette size is normal._x000D_
5.In the PRESENCE of respiratory signs, low grade active pneumonitis (allergic, bacterial, parasitic (including heartworm disease), inhaled allergen or toxin) or upper airway disease causing pulmonary hypoinflation and/or recurrent microaspiration may be more likely.</t>
  </si>
  <si>
    <t>A three view study of the thorax and orthogonal abdomen views are provided._x000D_
_x000D_
Moderate to severe heart enlargement is identified. The shape of the heart is consistent with left sided chamber distention. The pulmonary vessels and parenchyma are within normal limits._x000D_
_x000D_
The liver is mildly enlarged overall. In the lateral thorax views, there is irregular margination of a shadow at the caudal aspect of the liver suspected to represent the spleen. However, in the lateral abdomen view this is not visible. There are wispy strands of soft tissue opacity in the ventral abdomen and around the spleen suspicious for slight peritoneal effusion. The other abdominal organs are within normal limits._x000D_
_x000D_
There is severe spondylosis and mild focal lordosis of the spine at the lumbosacral junction. The disc space is narrowed. Mild narrowing is also present at L6-L7. No destructive bone lesions are seen.</t>
  </si>
  <si>
    <t>There is moderate to severe left cardiomegaly. Considering the low intensity of the heart murmur relative to the size of the heart, Dilated Cardiomyopathy would be a primary differential for this patient._x000D_
No evidence of left sided heart failure is seen. Early right heart failure could be considered as a possible explanation for the suspicion of mild peritoneal effusion and possibly the hepatomegaly._x000D_
_x000D_
Neoplasia is also a concern, because the spleen shadow has a nodular appearance in the lateral thorax views and the liver is enlarged. Serosal detail around the spleen is slightly reduced._x000D_
Is also possible the spleen changes are due to benign scarring or regenerative nodules in the hepatomegaly is due to hyperadrenocorticism as a cause of the polyphagia and polydipsia.</t>
  </si>
  <si>
    <t>Pimobendan therapy is indicated due to the severity of cardiomegaly._x000D_
Echocardiography is recommended._x000D_
_x000D_
Follow up imaging of the abdomen with ultrasound or CT is also recommended due to the abnormal appearance of the liver and spleen and the slightly reduced peritoneal detail.</t>
  </si>
  <si>
    <t xml:space="preserve">
1.Are respiratory signs present? If YES._x000D_
2.Are respiratory signs present? If NO._x000D_
3.The evaluation has a suspicion of soft tissue pulmonary nodules or mass lesion being present._x000D_
4.Based on the AI airway/pulmonary findings, the probability of this patient having clinically detectablerespiratorysigns is MEDIUM to HIGH (50-75%)_x000D_
5.Are respiratory signs present? If YES._x000D_
6.The evaluation has detected a soft tissue pulmonary nodule, a few nodules or mass lesion._x000D_
7.PULMONARY NODULES OR NODULAR PATTERN; PLEURAL FISSURE LINES or PLEURAL EFFUSION; MODERATE INTERSTITIAL TO ALVEOLAR PATTERN; MILD PERIHILAR INFILTRATE._x000D_
8.MODERATE INTERSTITIAL TO ALVEOLAR PATTERN; PLEURAL EFFUSION or PLEURAL FISSURE LINES; PULMONARY NODULES or NODULAR PATTERN; MILD BRONCHITIS._x000D_
9.MODERATE DYNAMIC AIRWAY DISEASE; MODERATE INTERSTITIAL TO ALVEOLAR INFILTRATE, MILD BRONCHIAL PATTERN, MILD PERIHILAR INFILTRATE._x000D_
10.Based on the AI airway/pulmonary findings, the probability of this patient having clinically detectable respiratory signs is VERY HIGH (&gt;75%)_x000D_
11.Based on these AI airway/pulmonary findings, the probability of this patient having clinically detectable respiratory signs is MEDIUM (50%)_x000D_
12.Severe cardiomegaly has been detected but Heart Failure is NOT suspected._x000D_
13.Are respiratory signs present? If NO._x000D_
14.Are respiratory signs present? If YES._x000D_
15.Are respiratory signs present? If NO.</t>
  </si>
  <si>
    <t>3 views of the thorax are provided for review.  The cardiovascular structures are normal.  There is a moderate bronchial pattern in all lung lobes.  This is unchanged from previous images dated 7/18/2024.  Previous images show soft tissue superimposed over the dorsal portion of the cervical trachea on both lateral views.  The mediastinal and pleural structures are normal.  Cranial abdominal detail is adequate.</t>
  </si>
  <si>
    <t>Moderate bronchial pulmonary pattern=ZZ90= consider bronchitis, response to inhaled irritants, response to circulating parasites, eosinophilic bronchopneumopathy.  Airway sampling may be helpful in further evaluation.  The appearance of the trachea on previous images may indicate tracheal collapse or redundant tracheal membrane.  Fluoroscopy or bronchoscopy could be considered.</t>
  </si>
  <si>
    <t xml:space="preserve">
1.The cardiac silhouette size is normal._x000D_
2.There is no evidence of ALVEOLAR PATTERN, DYNAMIC AIRWAY COLLAPSE or BRONCHIECTASIS, PULMONARY NODULES or PLEURAL EFFUSION._x000D_
3.A mild bronchial pattern and minimal perihilar infiltrate have been detected.</t>
  </si>
  <si>
    <t>Four radiographs of the cervical spine, and three views of the thorax are provided and compared to images obtained earlier on the same date. The C7 vertebra continues to be markedly shortened (approximately 2.1 cm, versus 2.9 cm C6 and 2.6 cm T1). The cranioventral margin of C7 is poorly delineated, with suspect small thin osseous fragment ventral to the disc space on the 1st new lateral view. The caudal aspect of C7 continues to appear slightly ventrally located with respect to T1. No other vertebral abnormalities are appreciated._x000D_
_x000D_
In the thorax the cardiac silhouette is normal size and shape on the VD and left lateral views. The cranial heart waist has a bulbous and focally indented contour on the right lateral view. There is fat deposition separating the ventral lungs from the sternum on the lateral views. No abnormalities in the pulmonary parenchyma. No pleural effusion. Normal thoracic spine.</t>
  </si>
  <si>
    <t>1. C7 compression fracture with mild C7-T1 subluxation. This is likely traumatic and associated with the recent fall and the cause for the recent discomfort._x000D_
2. The appearance of the cranial heart waist is concerning for a heart based mass lesion. Since the more dorsal bulging contour is in the expected location of the aortic arch, normal heart contour that is increased in conspicuity due to abundant pericardial fat is not ruled out. There is no evidence of nodular pulmonary metastatic disease.</t>
  </si>
  <si>
    <t>Recommend evaluating the heart base with ultrasound to rule out a mass lesion, followed by consultation with a neurologist and advanced spinal imaging with CT/MRI.</t>
  </si>
  <si>
    <t>A ventral dorsal and both lateral radiographs of the thorax/abdomen are provided. The cardiac silhouette is normal size and shape, with no chamber enlargement. There are a few faint peripheral bronchial markings. On the right lateral view there is a poorly delineated ovoid 0.9 x 0.4 cm overlying the cardiac apex. This is not seen on the other views. There is no pleural effusion. Linear increased opacity overlying the right thorax on the VD projection is superimposed skinfold. Adequate tracheal diameter. No esophageal dilation. In the abdomen peritoneal and retroperitoneal detail is adequate. Formed feces fills the colon. The stomach and small bowel are minimally filled. The liver, spleen, and left kidney are normal size. The right kidney is obscured. The urinary bladder is minimally filled and soft tissue opaque. Osseous structures are unremarkable.</t>
  </si>
  <si>
    <t>1. Faint bronchial markings. Airway inflammation due to inhaled irritant/allergens is suspected. Infectious airway disease is given lesser consideration with the history provided._x000D_
2. The small increased opacity overlying the ventral left lung is most likely superimposed extrathoracic tissue. Focal early/mild aspiration pneumonia is given secondary consideration in the absence of pyrexia, lethargy, or hyporexia. A discrete pulmonary nodule is felt to be highly unlikely with the size of the contour and age of this patient._x000D_
3. Normal abdomen.</t>
  </si>
  <si>
    <t>Recommend symptomatic treatment for the cough. If the patient becomes febrile or hyporexia, there would be increased concern for pneumonia at that time, and antibiotics would be recommended.</t>
  </si>
  <si>
    <t>Opposite lateral and ventrodorsal thoracic radiographs (3 images) dated August 30, 2024._x000D_
_x000D_
The cardiac silhouette, pulmonary vasculature, and great vessels are within normal limits. The pulmonary parenchyma has diffuse mixed bronchial and unstructured interstitial changes. No pulmonary nodules, alveolar infiltrates, or other pathology is detected. The pleural space and diaphragm are normal. No mediastinal abnormalities are appreciated. The trachea is normal in diameter and course with gas filling its lumen=ZZ90= a horizontal soft tissue band is superimposed with the dorsal half of the thoracic inlet trachea on the lateral views, consistent with a superimposed esophagus or a redundant dorsal tracheal membrane. No intrathoracic lymphadenopathy is evident._x000D_
The liver, visible portions of the spleen, and ingesta-filled stomach are unremarkable. Cranial peritoneal detail is normal. There is thoracic and thoracolumbar spondylosis without disc space narrowing. _x000D_
No aggressive osseous lesions are identified.</t>
  </si>
  <si>
    <t>A diffuse bronchointerstitial pulmonary changes are suspicious for bronchitis. Rule out allergic/inflammatory vs. infectious (bacterial or parasitic) vs. chronic inhaled irritants.</t>
  </si>
  <si>
    <t>Airway sampling may be needed for definitive diagnosis (bronchoalveolar lavage or transtracheal wash).  Heartworm testing and fecal parasite screening (float and Baermann) +/- empirical deworming.  Empirical antibiotic or anti-inflammatory steroidal therapy is reasonable to consider.  Internal medicine consultation if the patient remains clinical despite treatment and the cause remains unknown.</t>
  </si>
  <si>
    <t xml:space="preserve">
1.Pleural fissure lines or small volume pleural effusion has been detected. In a mildly overweight animal, excessive pericardial fat can artifactually mimic the result of minimal pleural effusion._x000D_
2.MILD BRONCHOINTERSTITIAL PULMONARY PATTERN; MINIMAL PERIHILAR PATTERN._x000D_
3.Based on the AI airway/pulmonary findings, the probability of this patient having clinically detectable respiratory signs is LOW (25%)_x000D_
4.In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5.In the PRESENCE of respiratory signs, low grade active pneumonitis (allergic, bacterial, parasitic (including heartworm disease), inhaled allergen or toxin) or upper airway disease causing pulmonary hypoinflation and/or recurrent microaspiration may be more likely._x000D_
6.The cardiac silhouette size is normal.</t>
  </si>
  <si>
    <t xml:space="preserve">THORAX (3 images):
Images are dated August 30, 2024.
The ventrodorsal image is mislabeled with a "R" on the left of the patient given position of the cardiac apex and caudal venca cava.
Pulmonary parenchyma: A mild diffuse interstitial pattern is present. A minimal diffuse bronchial pattern is present.
Pulmonary vasculature: The pulmonary vasculature as slightly ill-defined.  Pulmonary veins are suspiciously enlarged in the periphery of the lungs, subjectively.
Cardiac silhouette: The cardiac silhouette is mildly tall and occupies 2/3 the height of the thorax.  The trachea is slightly dorsally displaced.  The caudodorsal margin of the cardiac silhouette is flattened.  Rounded increased soft tissue is suspected in the region of the left atrium in the ventrodorsal image.
Mediastinum: The cranial mediastinum is normal.
Trachea: The trachea is normal.
Esophagus: The esophagus is not well-identified.
Pleural space: The pleural space is normal.
Musculoskeletal: Bilateral shoulder osteoarthrosis is present.  The remaining included musculoskeletal structures are normal.
</t>
  </si>
  <si>
    <t>1. Mild left-sided cardiomegaly such as from myxomatous mitral valvular disease and insufficiency or unlikely other.
2. Suspicious for mild pulmonary venous enlargement versus artifact/technique.
3. Minimal diffuse interstitial pulmonary patterns may be due to evolving left-sided congestive heart failure, or less likely fibrosis or hypoinflation, or other.
4. Minimal diffuse bronchial pattern due to evolving left-sided congestive heart failure, fibrosis from prior disease, age-related changes, unlikely infectious/immune-mediated lower airway disease or other.
5. Bilateral shoulder osteoarthrosis.</t>
  </si>
  <si>
    <t>Diuretic therapy and repeat 4-view thoracic radiographs after 4-6 hours of oxygen therapy to monitor for progression/resolution of the pulmonary pattern.  Consider echocardiography, eCG and blood pressure for further evaluation once stable.  Routine blood work and urinalysis if not recently performed.  Empirical therapy and supportive care in the interim as needed. Monitoring as directed or sooner if clinical signs acutely change, fail to improve or worsen.</t>
  </si>
  <si>
    <t xml:space="preserve">
1.MODERATE INTERSTITIAL TO ALVEOLAR INFILTRATE with a MINIMAL PERIHILAR COMPONENT; MILD DYNAMIC AIRWAY DISEASE._x000D_
2.MODERATE BRONCHOINTERSTITIAL PATTERN, MILD DYNAMIC AIRWAY DISEASE._x000D_
3.Based on these AI airway/pulmonary findings, the probability this patient will have clinically detectable respiratory signs is HIGH (75%)_x000D_
4.Based on these AI airway/pulmonary findings, the probability of this patient having clinically detectable respiratory signs is MEDIUM (50%)_x000D_
5.Are respiratory signs present? If YES._x000D_
6.AI link to dynamic airway disease treatment in dogs: https://platform.v2.vetology.net/doc/canine-tracheal-collapse-treatment_x000D_
7.Airway collapse treatment in dogs: https://platform.v2.vetology.net/doc/canine-tracheal-collapse_x000D_
8.Are respiratory signs present? If YES._x000D_
9.Severe cardiomegaly has been detected but Heart Failure is NOT suspected._x000D_
10.Are respiratory signs present? If NO._x000D_
11.Are respiratory signs are present? If NO.</t>
  </si>
  <si>
    <t xml:space="preserve">THORAX (5 images):
Images are dated August 30, 2024.
Pulmonary parenchyma: A minimal to mild diffuse bronchial pattern is present.
Pulmonary vasculature: The pulmonary vasculature is subjectively normal in size and tapers in the periphery of the lungs.
Cardiac silhouette: The cardiac silhouette is widened and occupies the width of 3.5-4 intercostal spaces in the lateral image.  Greater than 2/3 the cardiac silhouette is cranial to the carina in the lateral image.  The right side of the cardiac silhouette is rounded and has a slight "reverse D" shape.  
Mediastinum: The cranial mediastinum is normal.
Trachea: The trachea is normal.
Esophagus: The esophagus is not well-identified.  No obvious esophageal enlargement or foreign material is identified.  
Pleural space: The pleural space is normal.
Musculoskeletal: T3-4, T5-6, T6-7 and suspected L3-4 spondylosis deformans is present.  The remaining included musculoskeletal structures are normal.
</t>
  </si>
  <si>
    <t>1. Mild right-sided cardiomegaly or less likely artifact from patient conformation.
- Consider cor pulmonale/pulmonary hypertension and/or tricuspid valvular disease, or unlikely other.
2. Minimal diffuse bronchial pulmonary pattern due to fibrosis from prior disease, age-related changes, infectious/immune-mediated lower airway disease (such as from bordetella spp., mycoplasma spp., parasitism, or inhaled allergen/irritant), or unlikely other
3. No obvious esophageal enlargement or foreign material is identified.</t>
  </si>
  <si>
    <t>This examination does not rule out pharyngitis/laryngitis or esophagitis contributing to reported clinical signs, especially given reported history.  No obvious evidence of esophageal obstruction or pneumomediastinum.
Consider echocardiography, cCG and blood pressure for further evaluation especially if a murmur is later identified.  Consider routine blood work if not recently performed. Empirical therapy and supportive care in the interim as needed for clinical signs, and consider feeding a soft diet in the interim.  Monitoring as directed or sooner if clinical signs acutely change, fail to improve or worsen.</t>
  </si>
  <si>
    <t xml:space="preserve">
1.Are respiratory signs present? If YES._x000D_
2.Are respiratory signs present? If NO._x000D_
3.The cardiac silhouette size is normal._x000D_
4.SEVERE ALVEOLAR INFILTRATE; MILD PERIHILAR PATTERN; MORE DIFFUSE MILD BRONCHOINTERSTITIAL PULMONARY PATTERN._x000D_
5.Based on the AI airway/pulmonary findings, the probability of this patient having clinically detectable respiratory signs is HIGH (75%)</t>
  </si>
  <si>
    <t>THORAX (3 total radiographs for review). _x000D_
_x000D_
- The previously described rounded soft tissue opaque mass in the caudal dorsal thorax is no longer identified.  The esophagus is no longer distended with fluid._x000D_
- The remains a lobular widening of the cranial mediastinum_x000D_
- The remains a mild diffuse bronchial pulmonary pattern._x000D_
- Today, mild enlargement of the left atrium is detected with a rounded soft tissue opacity along the caudal dorsal cardiac contour.- The remaining cranial abdominal structures are normal._x000D_
- No discrete musculoskeletal abnormalities are again identified</t>
  </si>
  <si>
    <t>1.  Resolution of the previously described caudodorsal thoracic soft-tissue mass supports that it was/is most likely a dynamic, sliding gastric hiatal hernia._x000D_
_x000D_
2.  Unchanged cranial mediastinal mass.  Differential diagnosis would include thymoma, cranial mediastinal lymphoma or ectopic thyroid carcinoma.  Nonneoplastic granulomatous disease, large cranial mediastinal cyst or abscess less likely.  Consider thoracic CT and/or serial radiographic examination for further characterization.  Consultation with a veterinary oncologist may be reasonable._x000D_
_x000D_
3.  Mild left atrial enlargement.  Most likely compatible with degeneration of the mitral valve._x000D_
_x000D_
4.  Similar, mild diffuse bronchial pattern. Most likely representing age-related lower airway changes, however a component of chronic bronchitis is possible, especially if there is a history of abnormal respiratory sounds, wheezing and/or coughing.</t>
  </si>
  <si>
    <t>If clinically indicated (such as if there is a history of regurgitation) it may be reasonable to consider further evaluation of the stomach for hiatal hernia with fluoroscopy and/or abdominal ultrasonography.</t>
  </si>
  <si>
    <t>Orthogonal views of the thorax are provided:_x000D_
_x000D_
Thorax:_x000D_
_x000D_
There is marked cervical tracheal collapse in the LL view._x000D_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t>
  </si>
  <si>
    <t>1) Marked cervical tracheal collapse: rule out upper airway obstruction such as LARPAR vs primary chondromalacia far less likely._x000D_
2) No signs of pulmonary metastases nor signs of thoracic lymphadenopathy.</t>
  </si>
  <si>
    <t>Laryngeal exam under sedation.</t>
  </si>
  <si>
    <t>6 images of the thorax and right thoracic limb are presented for review.  The cardiovascular structures are normal.  There is a diffuse interstitial pulmonary pattern that is considered appropriate for the age of the patient.  Rounded soft tissue is seen dorsal to the second and third sternal segments in the area of the sternal lymph nodes.  On the right lateral view, a rounded soft tissue structure is seen in the ventral aspect of the third intercostal space.  On the VD view, this appears to correspond with a fat opacity subcutaneous mass along the right lateral aspect of the scapula near this level.  The pleural structures are normal.  Cranial abdominal detail is adequate.  The joint surfaces are smooth and regular.  Osteophytes present on the anterior process, proximal radius, and humeral epicondyles.  There is sclerosis of the semilunar notch of the ulna.  Mild osteophyte formation is seen at the caudal aspect of the femoral head.  Periarticular osteophyte formation is seen at the proximal interphalangeal joints of the 3rd through 5th digits.</t>
  </si>
  <si>
    <t>Suspect the nodule seen is due to superimposition of a subcutaneous fat opacity mass.  Sternal lymphadenopathy, however, it appears to be a real finding and is concerning for abdominal inflammatory or neoplastic disease.  Ultrasound-guided aspirate could be considered if clinically indicated.  Abdominal imaging could also be considered if clinically indicated.  Degenerative changes of the proximal interphalangeal joints, elbow, and shoulder.  Consider supportive therapy for osteoarthritis.</t>
  </si>
  <si>
    <t xml:space="preserve">
1.A minimal interstitial pulmonary pattern with a concurrent, minimal perihilar infiltrate have been detected._x000D_
2.The cardiac silhouette size is normal._x000D_
3.There is no evidence of DYNAMIC AIRWAY COLLAPSE or BRONCHIECTASIS.</t>
  </si>
  <si>
    <t>Right lateral views of the thorax and abdomen, a VD view of the hips, and lateral views of the left stifle are provided._x000D_
_x000D_
There is mild swelling of the left stifle joint capsule. No bony abnormalities are seen involving the stifle joint. There is moderate chronic remodeling with exostosis involving the distal margin of the tibial crest at the area of semitendinosus insertion. There is moderate to severe muscle atrophy involving left hind limb._x000D_
Both hip joints are within normal limits. No patellar luxation is seen in the VD view._x000D_
No abnormalities are identified involving the lumbar spine. No destructive or productive bone lesions are seen._x000D_
_x000D_
The heart is elevated from the sternum by excess retrosternal fat. The heart is within normal size and shape limits. No pulmonary abnormalities or pleural effusion are seen._x000D_
_x000D_
There is a small quantity of fragmented mineral/metal density in the cranial abdomen, which appears as if it might be within a small intestinal loop along with some formed soft tissue density. There is a small quantity of fragmented mineral/metal density that is definitely in the fecal material in the colon. The rest of the GI tract is unremarkable. The other abdominal organs are within normal limits.</t>
  </si>
  <si>
    <t>1) There is mild left stifle joint effusion. Intra-articular injury such as a ligament or meniscal tear should be ruled out as a cause of lameness._x000D_
_x000D_
2) There is chronic remodeling at the insertion of the semitendinosus tendon at the distal aspect of the tibial crest. This finding is typically seen secondary to chronic strain involving the semitendinosus tendon, although clinical relevance with regard to lameness is often limited. Clinical significance in this case is unknown._x000D_
_x000D_
3) Some of the foreign material seen in the cranial abdomen appears as if it might be within a small intestinal loop, and associated with some other formed soft tissue density. Partial small bowel obstruction with foreign material should be ruled out as a possible cause of the hyporexia and weight loss.</t>
  </si>
  <si>
    <t>Sedated orthopedic exam is recommended to best assess stifle joint stability and meniscal integrity._x000D_
_x000D_
Follow up imaging of the abdomen such as a more complete three view radiographic study after fasting is recommended.</t>
  </si>
  <si>
    <t>7 views of the skull and thorax are submitted for review.  No definitive abnormalities are noted in the nasal passages.  The temporomandibular joints are normal.  No abnormalities noted in the mandibles.  No other abnormalities are noted in the skull.  The limited view of the laryngeal region appears normal._x000D_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t>
  </si>
  <si>
    <t>Radiographically normal skull and thorax.  I cannot rule the possibility of chronic rhinitis or neoplasia in the nasal cavity.</t>
  </si>
  <si>
    <t>A CT scan of the skull is recommended for further evaluation.</t>
  </si>
  <si>
    <t xml:space="preserve">
1.A mild perihilar infiltrate has been detected._x000D_
2.The cardiac silhouette size is normal._x000D_
3.There is no evidence of BRONCHITIS or DYNAMIC AIRWAY COLLAPSE or BRONCHIECTASIS.</t>
  </si>
  <si>
    <t>Opposite lateral and VD views that include the neck, thorax, and abdomen are provided._x000D_
_x000D_
The heart is at the upper end of normal size range. No chamber distention is evident. Pulmonary vessels are normal. There is a mild unstructured interstitial pattern. No tracheal or laryngeal abnormalities are identified._x000D_
The abdominal organs are within normal limits. No mass effect or loss of detail are seen in the abdomen.</t>
  </si>
  <si>
    <t>Heart size is borderline at the upper end of normal range. No specific treatment is indicated at this time._x000D_
_x000D_
The mild interstitial pattern is within the limits of what might be expected as a combination of age related change and hypoinflation artifact._x000D_
_x000D_
No abdominal abnormalities are identified.</t>
  </si>
  <si>
    <t>Recheck thoracic radiographs are recommended in 6 to 12 months.</t>
  </si>
  <si>
    <t>SPINE (4 images):
Images are dated August 30, 2024.
Prior images dated May 8, 2024 and prior are available.  
Bones/Joints:
T4-5, T5-6 and T8-9 spondylosis deformans is present.  T13 is transitional with hypoplastic ribs.  Only six lumbar vertebrae without ribs are present.  T12-13 intervertebral disc space narrowing is suspected in the ventrodorsal image.
A dens is present.  There is no evidence of atlantoaxial joint subluxation.
There is no evidence of intervertebral disc space narrowing, or mineral over the intervertebral foramina.  There is no evidence of intervertebral dorsal articulation osteoarthrosis.
Bilateral moderate coxofemoral joint osteoarthrosis is present.
There is no evidence of medullary sclerosis, osteolysis, endosteal scalloping, or periosteal proliferation.
Soft tissues:  The included soft tissues are normal.</t>
  </si>
  <si>
    <t>1. T12-13 intervertebral disc space narrowing/disc disease is suspected.
2. Transitional T13 with hypoplastic ribs, and six lumbar vertebrae without ribs.
3. Bilateral moderate coxofemoral joint osteoarthrosis.</t>
  </si>
  <si>
    <t>Consider neurologist consultation and MRI.  Thoracic imaging and routine blood work to screen for occult systemic disease if not recently performed.  Empirical therapy and supportive care as needed in the interim. Monitoring as directed or sooner if clinical signs acutely change, fail to improve or worsen.</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</si>
  <si>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t>
  </si>
  <si>
    <t>Given the lack of cardiomegaly but audible murmur, consider a cardiology consultation with ECG and echocardiogram followed by an abdominal US with bile acids prior to an MRI of the brain with CSF tap.</t>
  </si>
  <si>
    <t>5 views of the thorax and abdomen are submitted for review._x000D_
In the thorax, the cardiac silhouette is normal in size and shape.  The pulmonary vasculature is not enlarged.  Mild bronchointerstitial markings are noted in the lung fields.  No pleural effusion or intrathoracic lymphadenopathy is noted.  A minimal amount of gas is noted in the intrathoracic esophagus._x000D_
In the abdomen, the stomach contains a mild amount of gas.  The small bowel is diffusely mildly gas-filled but no definitively overtly dilated loops of small intestine are seen.  The intestines appear to be generally mildly displaced toward the left side.  A large amount of formed stool is noted in the colon.  The liver and spleen are subjectively, mildly prominent.  The renal silhouettes are not visualized.  The urinary bladder is minimally distended.  Faint wispy soft tissue opacities noted in the mid abdomen, consistent with scant volume peritoneal effusion.  Mild to moderate spondylosis deformans is noted in the lumbar spine.</t>
  </si>
  <si>
    <t>The appearance of the small intestine is most consistent with functional ileus as with gastroenteritis, pancreatitis, extra alimentary disease, or possibly diffuse infiltrative disease.  I do not see convincing evidence of mechanical obstruction.  There is scant volume peritoneal effusion suspected which could be associated with inflammation, neoplasia, hypoalbuminemia, or less likely hemorrhage._x000D_
Essentially radiographically normal thorax.  The mild amount of gas in the esophagus is likely transient and incidental.  Esophageal dysmotility cannot be definitively excluded.</t>
  </si>
  <si>
    <t>Correlation with blood work may be helpful.  Otherwise, symptomatic/supportive medical management with repeat abdominal radiographs after 12-24-hour fast could be considered to monitor for improvement in the intestinal gas.  Otherwise, an abdominal ultrasound could be considered.</t>
  </si>
  <si>
    <t xml:space="preserve">
1.The evaluation has a strong suspicion of soft tissue pulmonary nodules or mass lesion being present._x000D_
2.Pleural fissure lines or small volume pleural effusion has been detected. In a mildly overweight animal, excessive pericardial fat can artifactually mimic the result of minimal pleural effusion._x000D_
3.PULMONARY NODULES or NODULAR PATTERN; MODERATE INTERSTITIAL TO ALVEOLAR PATTERN._x000D_
4.Based on these AI airway/pulmonary findings, the probability of this patient havingclinically detectable respiratory signs is HIGH (75%)_x000D_
5.Are respiratory signs present? If YES._x000D_
6.Are respiratory signs present? If NO._x000D_
7.The cardiac silhouette size is normal._x000D_
8.There is no evidence of PERIHILAR INFILTRATE or DYNAMIC AIRWAY COLLAPSE or BRONCHIECTASIS.</t>
  </si>
  <si>
    <t xml:space="preserve">Three images are provided.
Images are dated August 30, 2024.
Bones/Joints:
There is no evidence of consistent intervertebral disc space narrowing, or mineral over the intervertebral foramina.  There is no evidence of intervertebral dorsal articulation osteoarthrosis.
There is no evidence of medullary sclerosis, osteolysis, endosteal scalloping, or periosteal proliferation.
Soft tissues:  The included soft tissues are normal.
</t>
  </si>
  <si>
    <t>1. No evidence of intervertebral disc disease  or vertebral fracture/luxation.</t>
  </si>
  <si>
    <t xml:space="preserve">Etiology of reported acute onset paraplegia is not definitively identified.  This does not rule out non-mineralized intervertebral disc extrusion and compression versus other myelopathy/myelitis.  Consider routine blood work and thoracic imaging to screen for occult systemic disease.  Consider neurologist consultation and MRI for further evaluation.  Empirical therapy in the interim while awaiting additional diagnostics.  </t>
  </si>
  <si>
    <t>Opposite lateral and VD views of the thorax and abdomen are provided._x000D_
_x000D_
Rugal folds in the stomach are moderately prominent. No foreign bodies are identified. The stomach is not dilated or malpositioned. Small intestinal gas is mildly increased. No dilation or plication the intestine is seen. The other organs are within normal limits. Serosal detail is normal._x000D_
_x000D_
The cardiovascular structures are within normal limits. No pulmonary infiltrates are seen. No tracheal or esophageal abnormalities are identified._x000D_
_x000D_
No spinal abnormalities are identified.</t>
  </si>
  <si>
    <t>The appearance of the abdomen is compatible with gastroenteritis. No foreign bodies or obstructive pattern are identified._x000D_
_x000D_
No thoracic abnormalities are identified.</t>
  </si>
  <si>
    <t>Symptomatic therapy and supportive care for gastroenteritis/pancreatitis is recommended.</t>
  </si>
  <si>
    <t>3 views of the thorax are provided for review.  The trachea is dorsally deviated, indicating left ventricular enlargement.  A bulge is present in the region of the left atrium.  Cardiac size is progressive from previous images dated 1/9/2024.  Interstitial to alveolar opacity is present in the caudal lung lobes near the hilus.  The mediastinal and pleural structures are normal.  Cranial abdominal detail is adequate.</t>
  </si>
  <si>
    <t>Progressive left-sided cardiomegaly.  Interstitial to alveolar pulmonary pattern consistent with cardiogenic pulmonary edema.</t>
  </si>
  <si>
    <t>Consider repeat radiographs following diuretic therapy.  Echocardiography may be helpful in further evaluation.</t>
  </si>
  <si>
    <t xml:space="preserve">
1.Moderate dynamic airway disease has been detected._x000D_
2.A moderate perihilar infitlrate has been detected._x000D_
3.Pleural fissure lines or moderate to severe pleural effusion has been detected. An overlying skin fold or in an obese animal, excessive pericardial fat could artifactually mimic the result of severe pleural effusion._x000D_
4.Severe cardiomegaly has been detected but Heart Failure is NOT suspected._x000D_
5.A severe alveolar pattern has been detected._x000D_
6.A moderate to severe interstitial to alveolar pattern has been detected._x000D_
7.MODERATE DYNAMIC AIRWAY DISEASE; MILD BRONCHIAL PATTERN._x000D_
8.MILD BRONCHIAL PATTERN; NODULAR PULMONARY PATTERN which is likely due to overlying CUTANEOUS NODULES or MINERALIZED COSTOCHONDRAL JUNCTIONS._x000D_
9.There is no detection of an INTERSTITIAL or ALVEOLAR PATTERN, BRONCHIAL PATTERN or PERIHILAR INFILTRATE. Intrathoracic LYMPH NODE ENLARGEMENT and PLEURAL EFFUSION are also not detected._x000D_
10.Are respiratory signs present? If NO._x000D_
11.Are respiratory signs present? If YES._x000D_
12.Are respiratory signs present? If NO._x000D_
13.The evaluation has come up positive for a pulmonary nodular pattern._x000D_
14.Are respiratory signs present? If YES._x000D_
15.There is a questionable detection of soft tissue pulmonary nodules._x000D_
16.Based on the AI airway/pulmonary findings, the probability of this patient having clinically detectable respiratory signs is LOW to MEDIUM (25%-50%)_x000D_
17.Based on these AI airway/pulmonary findings, the probability of this patient having clinically detectable respiratory signs is MEDIUM (50%)_x000D_
18.A concurrent bronchial pattern has been detected.</t>
  </si>
  <si>
    <t>6 images of the thorax and abdomen are provided for review.  The trachea is dorsally deviated, indicating left ventricular enlargement.  A bulge is present in the region of the left atrium.  No pulmonary infiltrates are seen.  The pulmonary vasculature is normal in size.  The mediastinal and pleural structures are normal.  Abdominal serosal detail is adequate in all quadrants.  The liver margins are rounded and extend beyond the costal arch, causing caudal displacement of the gastric axis.  The stomach contains a moderate amount of soft tissue material.  The small intestines are normal in size.  Gas and feces are present in the colon.  The urinary bladder contains multiple irregular mineral structures.  Mineral is present in the renal diverticula and the kidneys are slightly small.  The remaining abdominal organs are normal.  Spinal alignment is normal with no consistently narrowed intervertebral disc spaces.  No fractures or aggressive osseous lesions are seen.</t>
  </si>
  <si>
    <t>Material within the stomach may represent residual ingesta or foreign material.  Consider repeat radiographs following strict fasting to determine if gastric contents persist.  Hepatomegaly=ZZ90= this is a nonspecific finding that may be seen with congestion, vacuolar hepatopathy, inflammation, neoplasia, etc.  Abdominal ultrasound may be helpful in further evaluation if biochemically indicated.  Cystic calculi.  Chronic renal changes.  Left-sided cardiomegaly without current evidence of cardiogenic pulmonary edema.  Echocardiography may be helpful in further evaluation.</t>
  </si>
  <si>
    <t xml:space="preserve">
1.MODERATE BRONCHOINTERSTITIAL PULMONARY PATTERN; MILD PERIHILAR INFILTRATE; MILD DYNAMIC AIRWAY DISEASE; ATELECTASIS or less likely, pneumonia._x000D_
2.Based on the AI airway/pulmonary findings, the probability of this patient having clinically detectable respiratory signs is MEDIUM to HIGH (50%-75%)_x000D_
3.Are respiratory signs present? If YES._x000D_
4.Are respiratory signs present? If NO._x000D_
5.Severe cardiomegaly has been detected but Heart Failure is NOT suspected.</t>
  </si>
  <si>
    <t xml:space="preserve">11 Images are provided.
Images are dated August 30, 2024.
Pulmonary parenchyma: A mild diffuse bronchial pattern is present.
Pulmonary vasculature: In the ventrodorsal image of the abdomen, a right caudal pulmonary artery may be enlarged in the periphery of the lung.  In the lateral image, the pulmonary vasculature is subjectively normal in size and tapers in the periphery of the lungs.
Cardiac silhouette: The cardiac silhouette is subjectively enlarged in the ventrodorsal image, with a slight "reverse D" shape.  The cardiac silhouette is equivocal tall in the lateral image.
Mediastinum: The cranial mediastinum is normal.
Trachea: The trachea is normal.
Esophagus: The esophagus is not well-identified.
Pleural space: The pleural space is normal.
Musculoskeletal: The included musculoskeletal structures are normal.
</t>
  </si>
  <si>
    <t>1. Equivocal right-sided cardiomegaly versus artifact in positioning or phase of the cardiopulmonary cycle.
- If present, differential diagnoses include occult heartworm disease/pulmonary hypertension/cor pulmonale or less likely congenital anomaly given patient age or other.
2. Possible right caudal pulmonary arterial enlargement versus artifact/normal variation.
3. Mild diffuse bronchial pulmonary pattern.
- Differential diagnoses include infectious/immune-mediated lower airway disease, inhaled allergen/irritant, fibrosis from prior disease, age-related changes, or unlikely other.</t>
  </si>
  <si>
    <t>Consider heartworm disease testing depending on preventative status, and consider echocardiography, eCG and blood pressure - especially if a murmur is later identified.  Holter-monitoring may also be contributory given possible syncopal events.  Routine blood work and urinalysis if not recently performed.  Consider respiratory PCR panel, airway sampling, and fecal analysis/deworming for further evaluation. Empirical therapy and supportive care in the interim as needed.  Monitoring as directed or sooner if clinical signs acutely change, fail to improve or worsen.</t>
  </si>
  <si>
    <t xml:space="preserve">
1.A minimal interstitial pattern has been detected._x000D_
2.The cardiac silhouette size is normal._x000D_
3.There is no evidence of PERIHILAR INFILTRATE, DYNAMIC AIRWAY COLLAPSE or BRONCHIECTASIS, PULMONARY NODULES or PLEURAL EFFUSION.</t>
  </si>
  <si>
    <t>Nine radiographs of the thorax and abdomen are provided. The heart and pulmonary vessels are normal size. There are several small smoothly marginated variably sized soft tissue opaque nodules measuring up to 1.3 cm within the lungs. Several miliary nodules also noted. No pleural effusion. Small volume fat deposition in the cranial mediastinum._x000D_
_x000D_
In the abdomen serosal detail is poor consistent with mild effusion. The spleen has smoothly lobulated margins. The liver is normal size. The gastrointestinal tract is mildly filled. No radiopaque urolithiasis. The kidneys are partially visible, with no abnormalities appreciated.</t>
  </si>
  <si>
    <t>Lobulated spleen with mild peritoneal effusion and pulmonary metastatic disease. Neoplasia such as hemangiosarcoma is most likely. The effusion may be hemorrhagic.</t>
  </si>
  <si>
    <t>Peritoneal fluid evaluation could be considered to determine if the effusion is hemorrhagic. Since there is confirmed pulmonary metastatic disease, complete surgical resection is not possible.</t>
  </si>
  <si>
    <t xml:space="preserve">
1.Are respiratory signs present? If YES._x000D_
2.Are respiratory signs present? If NO._x000D_
3.MODERATE INTERSTITIAL TO ALVEOLAR PATTERN; PULMONARY NODULES or NODULAR PATTERN; MILD BRONCHITIS_x000D_
4.Based on the AI airway/pulmonary findings, the probability of this patient having clinically detectable respiratory signs is MEDIUM (50%). A few (&lt;5) soft tissue pulmonary nodules may be present._x000D_
5.The cardiac silhouette size is normal._x000D_
6.There is no evidence of DYNAMIC AIRWAY COLLAPSE or BRONCHIECTASIS._x000D_
7.The evaluation has detected soft tissue pulmonary nodules.</t>
  </si>
  <si>
    <t xml:space="preserve">THORAX (4 images):
Images are dated August 30, 2024.
Pulmonary parenchyma: A mild diffuse bronchial pattern is present.
Pulmonary vasculature: The pulmonary vasculature is subjectively normal in size and tapers in the periphery of the lungs.
Cardiac silhouette: The cardiac silhouette moderately enlarged and tall, occupying at least 2/3 the height of the thorax.  The trachea is dorsally displaced.  The caudodorsal margin of the cardiac silhouette is enlarged and rounded.  The lobar mainstem bronchi are dorsally displaced in the left lateral image.  Rounded increased soft tissue is in the region of the left atrium, with lateral displacement of lobar bronchi in the ventrodorsal image.  The cardiac silhouette is rounded at the 2-3 o'clock position in the region of the left auricular appendage.  
Mediastinum: The cranial mediastinum is normal.
Trachea: The trachea is normal.
Esophagus: The esophagus is not well-identified.
Pleural space: The pleural space is normal.
Musculoskeletal: The included musculoskeletal structures are normal.
</t>
  </si>
  <si>
    <t>1. Moderate left-sided cardiomegaly such as from myxomatous mitral valvular disease and insufficiency or unlikely other.
- There is no current evidence of left-sided congestive heart failure.  
2. Mild diffuse bronchial pulmonary pattern due to fibrosis from prior disease, age-related changes, infectious/immune-mediated lower airway disease or unlikely other.</t>
  </si>
  <si>
    <t>Echocardiography, eCG and blood pressure for further evaluation.  Routine blood work and urinalysis if not recently performed.  Empirical therapy and supportive care in the interim as needed. Monitoring as directed or sooner if clinical signs acutely change, fail to improve or worsen.</t>
  </si>
  <si>
    <t xml:space="preserve">
1.Pleural fissure lines or small volume pleural effusion has been detected. In a mildly overweight animal, excessive pericardial fat can artifactually mimic the result of minimal pleural effusion._x000D_
2.Severe cardiomegaly has been detected but Heart Failure is NOT suspected._x000D_
3.Are respiratory signs present? If YES._x000D_
4.Are respiratory signs present? If NO._x000D_
5.MILD BRONCHOINTERSTITIAL PULMONARY PATTERN; MILD PERIHILAR INFILTRATE; MILD DYNAMIC AIRWAY DISEASE; ATELECTASIS or less likely, pneumonia._x000D_
6.Based on the AI airway/pulmonary findings, the probability of this patient having clinically detectable respiratory signs is MEDIUM (50%)</t>
  </si>
  <si>
    <t>THORAX (3 images):
Images are dated August 30, 2024.
Prior images dated MArch 11, 2024 and previous areavilable.
Pulmonary parenchyma:  A mild interstitial pattern is present, most severe in the right caudal lung in the ventrodorsal image.  This interstitial pattern is somewhat peri-hilar in the lateral images.  A mild diffuse bronchial pattern is present.
Pulmonary vasculature: The pulmonary vasculature is partially obscured in the caudal lungs.  
Cardiac silhouette: The cardiac silhouette is moderately enlarged and tall in the lateral images, with dorsal dispalcement of the trachea.  The caudodorsal margin of the cardiac silhouette is flattened.  Rounded increased soft tissue is in the region of the left atrium, with lateral displacement of mainstem bronchi.  
Mediastinum: The cranial mediastinum is normal.
Trachea: The trachea is normal.
Esophagus: The esophagus is not well-identified.
Pleural space: The pleural space is normal.
Musculoskeletal: The included musculoskeletal structures are normal.</t>
  </si>
  <si>
    <t xml:space="preserve">1. Moderate left-sided cardiomegaly such as from myxomatous mitral valvular disease and insufficiency, consistent with reported history.
- This is similar to prior.
2. Mild diffuse interstitial pulmonary pattern, most severe in the right caudal lung lobe.
- Differential diagnoses include evolving left-sided congestive heart failure or unlikely other.
- This is progressive compared to prior images.
3. Similar mild diffuse bronchial pattern due to fibrosis from prior disease, age-related changes, evolving left-sided congestive heart failure, or less likely infectious/immune-mediated lower airway disease or unlikely other.
</t>
  </si>
  <si>
    <t xml:space="preserve">Increased diuretic therapy and oxygen therapy, with repeat 4-view thoracic radiographs to monitor for progression/resolution of the interstitial pulmonary pattern.  Consider echocardiography, eCG and blood pressure if not recently performed.  Routine blood work and urinalysis may be contributory if not recently performed.  Empirical therapy and supportive care in the interim as needed.  </t>
  </si>
  <si>
    <t xml:space="preserve">
1.Pleural fissure lines or moderate to severe pleural effusion has been detected. An overlying skin fold or in an obese animal, excessive pericardial fat could artifactually mimic the result of severe pleural effusion._x000D_
2.SEVERE INTERSTITIAL TO ALVEOLAR PATTERN; MODERATE BRONCHIAL PATTERN; MODERATE DYNAMIC AIRWAY DISEASE._x000D_
3.Based on these AI airway/pulmonary findings, the probability of this patient having clinically detectable repsiratory signs is VERY HIGH (&gt;75%)_x000D_
4.Are respiratory signs present? If YES._x000D_
5.Are respiratory signs present? If NO._x000D_
6.Severe cardiomegaly has been detected but Heart Failure is NOT suspected.</t>
  </si>
  <si>
    <t xml:space="preserve">THORAX (3 images):
Images are dated August 30, 2024.
Pulmonary parenchyma: A minimal to mild diffuse interstitial pattern is present, and the lungs are hypoinflated.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A well-defined broad-based soft tissue nodule arises from the right extra-thoracic soft tissues are the level of the 5th ribs in the ventrodorsal image.  This superimposes over the mid-thorax in the right lateral image.  The remaining included musculoskeletal structures are normal.
</t>
  </si>
  <si>
    <t>1. Minimal-mild diffuse interstitial and mild bronchial pulmonary patterns.
- Differential diagnoses include fibrosis from prior disease, age-related changes, and/or infectious/immune-mediated lower airway disease (such as from mycoplasma spp., bordetella spp., parasitism, or inhaled allergen/irritant), or unlikely other.
2. Right extra-thoracic body wall soft tissue nodule.
- Consistent with reported mast cell tumor at this position.
3. No obvious intra-thoracic lymphadenomegaly or pulmonary nodules.</t>
  </si>
  <si>
    <t>Consider airway sampling, respiratory PCR panel, and fecal analysis/deworming for further evaluation if clinically indicated.  Abdominal imaging, coagulation testing and hepatic/splenic tissue sampling depending on results of additional imaging, especially if mast cell tumor is grade 2 or higher.  Oncologist consultation may be contributory.  Empirical therapy and supportive care in the interim as needed.  Monitoring as directed, or sooner if clinical signs acutely change, fail to improve or worsen.</t>
  </si>
  <si>
    <t xml:space="preserve">
1.Are respiratory signs present? If YES._x000D_
2.Are respiratory signs present? If YES._x000D_
3.Are respiratory signs present? If NO._x000D_
4.Are respiratory signs present? If NO._x000D_
5.In the PRESENCE of respiratory signs, low grade active pneumonitis (allergic, bacterial, parasitic (including heartworm disease), inhaled allergen or toxin) or upper airway disease causing pulmonary hypoinflation and/or recurrent microaspiration may be more likely._x000D_
6.The evaluation has come up positive for a pulmonary nodular pattern._x000D_
7.The cardiac silhouette size is normal._x000D_
8.MINIMAL to MILD BRONCHOINTERSTITIAL PULMONARY PATTERN; POTENTIAL FOR FOCAL ATELECTASIS._x000D_
9.MILD BROCHIAL/BRONCHOINTERSTITIAL PULMONARY PATTERN; MINIMAL PERIHILAR INFILTRATE._x000D_
10.MILD BRONCHOINTERSTITIAL PULMONARY PATTERN; MINIMAL PERIHILAR PATTERN._x000D_
11.Based on the AI airway/pulmonary findings, the probability of this patient having clinically detectable respiratory signs is LOW (25%)_x000D_
12.Based on these AI airway/pulmonary findings, the probability of this patient having clinically detectable respiratory signs is LOW (25%)_x000D_
13.Based on these AI airway/pulmonary findings, the probability of this patient having clinically detectable respiratorysigns is LOW (25%)_x000D_
14.In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t>
  </si>
  <si>
    <t>A three view study of the thorax is provided for interpretation. This study is compared to the previous dated 5-2-24._x000D_
_x000D_
There is moderate to severe heart enlargement. The appearance is similar to the previous radiographs. The shape of the heart is most compatible with left sided chamber dilation. The pulmonary vessels and parenchyma are within normal limits. There is moderate narrowing of the cervical trachea, due to ventral displacement of the dorsal tracheal wall. No laryngeal abnormalities are identified.</t>
  </si>
  <si>
    <t>There is moderate to severe left sided cardiomegaly, but no evidence of congestive heart failure. There is also no evidence of significant pulmonary or pleural disease in this study._x000D_
There is moderate narrowing of the cervical trachea. The appearance is suggestive of collapsing trachea as a likely explanation for the cough._x000D_
Considering the appearance is similar in both lateral views with ventral displacement of the dorsal tracheal wall, the possibility of an extra luminal mass effect causing tracheal compression cannot be excluded. This is also not suspected.</t>
  </si>
  <si>
    <t>Symptomatic therapy for the cough is recommended._x000D_
_x000D_
If the cough progresses or symptomatic therapy is ineffective, recheck radiographs of the cervical region are recommended to rule out a progressive mass effect.</t>
  </si>
  <si>
    <t xml:space="preserve">
1.Are respiratory signs present? If NO._x000D_
2.Are respiratory signs present? If NO._x000D_
3.MILD BRONCHOINTERSTITIAL PULMONARY PATTERN WITH ATELECTASIS or LESS LIKELY, PNEUMONIA, MILD PERIHILAR INFILTRATE._x000D_
4.MODERATE DYNAMIC AIRWAY DISEASE; MILD BRONCHOINTERSTITIAL PULMONARY PATTERN; ATELECTASIS or ALVEOLAR INFILTRATE._x000D_
5.MODERATE DYNAMIC AIRWAY DISEASE; MILD BRONCHOINTERSTITIAL PULMONARY PATTERN; MINIMAL PERIHILAR INFILTRATE._x000D_
6.Based on these AI airway/pulmonary findings, the probability of this patient having clinically detectable respiratory signs is MEDIUM (50%)_x000D_
7.Probability these AI pulmonary findings will accompany clinically detectable respiratory signs: MILD TO MODERATE (25-50%)_x000D_
8.AI linked information on dynamic airway collapse treatment in dogs: https://platform.v2.vetology.net/doc/canine-tracheal-collapse-treatment_x000D_
9.AI linked dynamic airway treatment: https://platform.v2.vetology.net/doc/canine-tracheal-collapse-treatment_x000D_
10.Are respiratory signs present? If YES._x000D_
11.Are respiratory signs present? If YES._x000D_
12.Are respiratory signs present? If YES._x000D_
13.Pleural fissure lines or moderate pleural effusion has been detected. An overlying skin fold or in a moderately overweight animal, excessive pericardial fat could artifactually mimic the result of moderate pleural effusion._x000D_
14.Severe cardiomegaly has been detected but Heart Failure is NOT suspected._x000D_
15.Are respiratory signs present? If NO.</t>
  </si>
  <si>
    <t>Orthogonal views of the abdomen are provided:_x000D_
_x000D_
Abdomen:_x000D_
_x000D_
The stomach is filled with food, foreign mineral particles and a metallic straight foreign body. Some mineral particles are also seen mixed with the feces in the colon._x000D_
Small intestines are mildly gas and fluid filled, not overtly distended but showing irregular gas lucencies. No signs of mechanical ileus._x000D_
Serosal detail is preserved._x000D_
Liver extends beyond the costal arch with sharp margins._x000D_
Spleen is within normal limits of size and smoothly marginated._x000D_
Kidneys and urinary bladder WNL.</t>
  </si>
  <si>
    <t>1) Gastric foreign material and signs of enteritis. An early or partialmechanical ileus can not be excluded._x000D_
2) Hepatomegaly: Metabolic vs Vacuolar infiltration vs Hepatic nodular hyperplasia vs Inflammatory vs Toxic vs Neoplastic or a combination of these differentials.</t>
  </si>
  <si>
    <t>Consider abdominal US to further evaluate cause of pica, the entire GI tract and the liver.</t>
  </si>
  <si>
    <t xml:space="preserve">
1.Mild cardiomegaly has been detected but Heart Failure is NOT suspected._x000D_
2.MILD BROCHIAL/BRONCHOINTERSTITIAL PULMONARY PATTERN._x000D_
3.Based on these AI airway/pulmonary findings, the probability of this patient having clinically detectable respiratory signs is LOW (25%)_x000D_
4.Are respiratory signs present? If YES._x000D_
5.Are respiratory signs present? If NO._x000D_
6.There is no evidence of PERIHILAR INFILTRATE, DYNAMIC AIRWAY COLLAPSE or BRONCHIECTASIS, PULMONARY NODULES or PLEURAL EFFUSION.</t>
  </si>
  <si>
    <t>Opposite lateral and VD views of the thorax and abdomen are provided._x000D_
_x000D_
The heart is within normal size and shape limits. Vertebral Heart Score is normal at 9.7. There is mild bronchial mineralization, within the limits of age related change. No alveolar infiltrates or pleural effusion are seen. In the VD view, there is one small subtle nodular shadow in the left sixth intercostal space. This is adjacent to the costochondral junction and could be artifactual. It cannot be corroborated in the lateral views. No significant tracheal abnormalities are identified._x000D_
_x000D_
The abdominal organs are within normal limits. No mass effect or loss of detail are seen in the abdomen._x000D_
No spinal abnormalities are identified.</t>
  </si>
  <si>
    <t>No evidence of significant cardiovascular disease is identified in the radiographs. The other organs are within normal limits._x000D_
_x000D_
A cardiac rhythm abnormality should still be ruled out if clinically indicated.</t>
  </si>
  <si>
    <t>The radiographic appearance of the heart is normal. Echocardiography should still be considered given the complaint of syncope. Electrocardiography is also recommended.</t>
  </si>
  <si>
    <t xml:space="preserve">
1.Are respiratory signs present? If YES._x000D_
2.Are respiratory signs present? If YES._x000D_
3.Are respiratory signs present? If NO._x000D_
4.Are respiratory signs present? If NO._x000D_
5.There is no evidence of ALVEOLAR PATTERN or PLEURAL EFFUSION._x000D_
6.Mild cardiomegaly has been detected but Heart Failure is NOT suspected._x000D_
7.MILD BRONCHIAL PATTERN; MINIMAL DYNAMIC AIRWAY DISEASE._x000D_
8.MILD BRONCHIAL PATTERN; MILD PERIHILAR PATTERN._x000D_
9.Based on these AI airway/pulmonary findings, the probability of this patient having clinically detectable respiratory signs is LOW (25%)_x000D_
10.Based on these AI airway/pulmonary findings, the probability of this patient having clinically detectable respiratorysigns is LOW (25%)</t>
  </si>
  <si>
    <t>Orthogonal views of the left fore antebrachium are provided:_x000D_
_x000D_
There is a distal medial metaphysical/epiphyseal complete radial articular fracture with mild proximal and medial displacement of the fragment associated with a transverse complete and non displaced fracture of the styloid process of the ulna. These fractures are associated with focal soft tissue swelling._x000D_
Left carpus, manus and proximal limb unremarkable._x000D_
Unremarkable RL view of the thorax.</t>
  </si>
  <si>
    <t>1) Distal left radial and ulnar fractures as described.</t>
  </si>
  <si>
    <t>Consider orthopedic consultation regarding surgical options for stabilization.</t>
  </si>
  <si>
    <t xml:space="preserve">
1.A minimal interstitial pattern has been detected._x000D_
2.The cardiac silhouette size is normal._x000D_
3.There is no evidence of BRONCHITIS, PERIHILAR INFILTRATE or DYNAMIC AIRWAY COLLAPSE or BRONCHIECTASIS.</t>
  </si>
  <si>
    <t>Three radiographs of the thorax and three views of the abdomen are provided. The cardiac silhouette is normal size and shape. A mild bronchial pattern is present throughout the lungs. No pleural effusion. Adequate tracheal diameter. Mild congenital vertebral malformations in the mid thoracic spine, of doubtful significance today._x000D_
_x000D_
In the abdomen the urinary bladder is distended and soft tissue opaque. There is a tubular 3.0 cm fluid dilated structure in the caudoventral abdomen overlying the bladder on the lateral views. This structure is seen extending lateral to the left kidney on the VD projection. The gastrointestinal tract is mildly filled. The liver, spleen, and left kidney are normal size. The right kidney is obscured. Narrowed T13-L1 intervertebral disc space. Both femoral necks are thickened. There is degenerative change in the stifles.</t>
  </si>
  <si>
    <t>1. Dilated left uterine horn. Coupled with the clinical signs, this is most consistent with pyometra. No other intra-abdominal abnormalities._x000D_
2. The apparent to 13-L1 is suggestive of intervertebral disc disease. There is also bilateral coxofemoral and stifle osteoarthritis. Any of these may be responsible for lameness._x000D_
3. Bronchial pattern suggestive of chronic airway inflammation such as bronchitis. In the absence of a chronic cough, significance is doubtful. Otherwise normal thorax.</t>
  </si>
  <si>
    <t>Surgical intervention for pyometra is recommended.</t>
  </si>
  <si>
    <t xml:space="preserve">
1.Are respiratory signs present? If NO._x000D_
2.Are respiratory signs present? If YES._x000D_
3.MODERATE DYNAMIC AIRWAY DISEASE; MODERATE INTERSTITIAL TO ALVEOLAR INFILTRATE, MILD BRONCHIAL PATTERN, MILD PERIHILAR INFILTRATE._x000D_
4.Based on these AI airway/pulmonary findings, the probability of this patient having clinically detectable respiratory signs is MEDIUM (50%)_x000D_
5.Pleural fissure lines or small volume pleural effusion has been detected. In a mildly overweight animal, excessive pericardial fat can artifactually mimic the result of minimal pleural effusion._x000D_
6.The cardiac silhouette size is normal.</t>
  </si>
  <si>
    <t>Orthogonal views of the thorax are provided (cranial most thorax not included in the lateral views):_x000D_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t>
  </si>
  <si>
    <t>Consider abdominal US to further evaluate causes of chronic GI disease and low albumin, with FNAs of the liver and spleen to rule out MCT infiltration (if not done).</t>
  </si>
  <si>
    <t xml:space="preserve">
1.Are respiratory signs present? If NO._x000D_
2.Minimal cardiomegaly has been detected but Heart Failure is NOT suspected._x000D_
3.MODERATE BRONCHOINTERSTITIAL PULMONARY PATTERN; MILD DYNAMIC AIRWAY DISEASE; ATELECTASIS or less likely, pneumonia; MINIMAL PERIHILAR INFILTRATE._x000D_
4.Based on the AI airway/pulmonary findings, the probability of this patient having clinically detectable respiratory signs is MEDIUM to HIGH (50%-75%)_x000D_
5.Are respiratory signs present? If YES.</t>
  </si>
  <si>
    <t>Orthogonal views of the thorax are provided:_x000D_
_x000D_
Thorax:_x000D_
_x000D_
No abnormalities seen in the trachea._x000D_
Cardiac silhouette shows a mild enlargement of the left atrium dorsally displacing the carina._x000D_
Pulmonary vessels are within normal limits of size and shape._x000D_
Pulmonary parenchyma shows a mild bronchial pattern. No evidence of pneumonia nor signs of pulmonary nodules/masses._x000D_
Pleural space, mediastinum, diaphragm and thoracic wall within normal limits._x000D_
_x000D_
Liver extends beyond the costal arch with sharp margins._x000D_
Gastric mineral foreign bodies.</t>
  </si>
  <si>
    <t>1) Left atrial enlargement secondary to chronic mitral endocardiosis without signs of CHF._x000D_
2) Unremarkable lungs do not exclude a bronchitis of allergic vs inflammatory/infectious or parasitic origin._x000D_
3) Hepatomegaly: Metabolic vs Vacuolar infiltration vs Hepatic nodular hyperplasia vs Inflammatory vs Toxic vs Neoplastic or a combination of these differentials.</t>
  </si>
  <si>
    <t>Consider a cardiology consultation with ECG and echocardiogram and abdominal US to further evaluate the liver prior to an empirical treatment for chronic bronchitis evaluating response to treatment.</t>
  </si>
  <si>
    <t xml:space="preserve">
1.MINIMAL BRONCHOINTERSTITIAL PULMONARY PATTERN; MINIMAL DYNAMIC AIRWAY DISEASE; MILD PERIHILAR INFILTRATE._x000D_
2.Based on these AI airway/pulmonary findings, the probability of this patient having clinically detectable respiratory signs is LOW (25%)_x000D_
3.Are respiratory signs present? If YES._x000D_
4.Are respiratory signs present? If NO._x000D_
5.The cardiac silhouette size is normal.</t>
  </si>
  <si>
    <t>Orthogonal views of the abdomen are provided:_x000D_
_x000D_
Abdomen:_x000D_
_x000D_
The stomach is distended with food._x000D_
Small intestines are mildly gas and fluid filled, not overtly distended. No signs of mechanical ileus._x000D_
Unformed feces in the colon._x000D_
Serosal detail is preserved._x000D_
Liver shows rounded margins._x000D_
Spleen is within normal limits of size and smoothly marginated._x000D_
Kidneys and urinary bladder WNL.</t>
  </si>
  <si>
    <t>1) Hepatomegaly: Metabolic vs Vacuolar infiltration vs Hepatic nodular hyperplasia vs Inflammatory vs Toxic vs Neoplastic or a combination of these differentials._x000D_
2) Unformed feces in the colon. Rule out IBD vs colitis of allergic/inflammatory/idiopathic origin vs subjacent/ocult GI neoplasm not excluded.</t>
  </si>
  <si>
    <t>Consider abdominal US to further evaluate the liver (with +/- Us guided FNAs) and GI tract evaluating causes of diarrhea._x000D_
Consider three views of the thorax.</t>
  </si>
  <si>
    <t>Orthogonal views of the thorax are provided:_x000D_
_x000D_
Thorax:_x000D_
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t>
  </si>
  <si>
    <t>1) Left atrial enlargement secondary to chronic mitral endocardiosis without signs of CHF. Rule out concomitant tricuspid endocardiosis with pulmonary hypertension._x000D_
2) Hepatomegaly: Metabolic vs Vacuolar infiltration vs Hepatic nodular hyperplasia vs Inflammatory vs Toxic vs Neoplastic or a combination of these differentials.</t>
  </si>
  <si>
    <t>Consider a cardiology consultation with ECG and echocardiogram and abdominal US to further evaluate the liver with +/- US guided FNAs.</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</si>
  <si>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5.There is no evidence of PULMONARY NODULES._x000D_
6.Mild cardiomegaly has been detected but Heart Failure is NOT suspected.</t>
  </si>
  <si>
    <t xml:space="preserve">
1.A mild interstitial to alveolar infiltrate has been detected._x000D_
2.MINIMAL INTERSITIAL PATTERN; OVERLYING CUTANEOUS NODULES or END-ON VESSELS._x000D_
3.The cardiac silhouette size is normal._x000D_
4.There is no evidence of PERIHILAR INFILTRATE or DYNAMIC AIRWAY COLLAPSE or BRONCHIECTASIS._x000D_
5.Based on these AI airway/pulmonary findings, the probability of this patient having clinically detectable respiratory signs due to lower airway disease is UNLIKELY (&lt;25%) with the exception of acute tracheobronchitis or PTE._x000D_
6.A minimal interstitial pattern has been detected._x000D_
7.There is detection of a few small soft tissue opacities overlying the lungs.</t>
  </si>
  <si>
    <t>3 views of the entire body are presented for review.  The cardiovascular and pulmonary structures are normal.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</si>
  <si>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Radiographically normal thorax and abdomen.  Lack of specific changes does not rule out viral or Bordetella type pneumonitis.</t>
  </si>
  <si>
    <t>11 images of the thorax and thoracic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There is spondylosis deformans of the thoracolumbar spine.  The joint surfaces are smooth and regular.  Osteophytes are present at the caudal aspect of the humeral heads bilaterally.  Increased soft tissue surrounds the distal left antebrachium.  There is moth-eaten lysis within the distal diaphysis metaphysis of the left radius.  Patchy sclerosis extends to the proximal diaphysis.  The cortices remain intact.</t>
  </si>
  <si>
    <t>Radiographically normal thorax for patient of this age.  Mild bilateral shoulder DJD.  Degenerative changes of the spine.  Progressive lesion of the distal left radius with associated soft tissue swelling.  Neoplasia is considered most likely.</t>
  </si>
  <si>
    <t xml:space="preserve">
1.MINIMAL TO MILD BRONCHOINTERSTITIAL PULMONRAY PATTERN; MILD PERIHILAR PATTERN._x000D_
2.Based on the AI airway/pulmonary findings, the probability of this patient having clinically detectable respiratory signs is LOW (25%)_x000D_
3.The cardiac silhouette size is normal._x000D_
4.There is no evidence of DYNAMIC AIRWAY COLLAPSE or BRONCHIECTASIS._x000D_
5.Are respiratory signs present? If YES._x000D_
6.Are respiratory signs present? If NO.</t>
  </si>
  <si>
    <t xml:space="preserve">Two images are provided.
Images are dated August 30, 2024.
Lateral views only.  The thorax/pectoral/neck region is partially obscured by superimposed harness.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Bones/Joints:
A dens is present.  There is no evidence of atlantoaxial joint subluxation.
There is no evidence of intervertebral disc space narrowing, or mineral over the intervertebral foramina.  There is no evidence of intervertebral dorsal articulation osteoarthrosis.
There is no evidence of medullary sclerosis, osteolysis, endosteal scalloping, or periosteal proliferation.
Soft tissues:  Presumed external material/harness superimposed over the soft tissues just cranial to the thoracic inlet in the lateral image of the neck.  The remaining included soft tissues are normal.
</t>
  </si>
  <si>
    <t xml:space="preserve">1. Minimal diffuse bronchial pulmonary pattern such as from artifact, fibrosis from prior disease, age-related changes, or unlikely infectious/immune-mediated lower airway disease or other.
</t>
  </si>
  <si>
    <t>Etiology of reported non-specific clinical signs is not definitively identified.  This does not excluded evolving pharyngeal/laryngeal disease or occult esophageal disease.  Consider internist consultatoin and laryngoscopy/pharyngoscopy, esophagoscopy, and/or swallowing study/esophagram for further evaluation.   Orthogonal thoracic/abdominal imaging and routine blood work to screen for occult systemic disease. Empirical therapy and supportive care as needed in the interim.  Monitoring as directed or sooner if clinical signs acutely change, fail to improve or worsen.</t>
  </si>
  <si>
    <t xml:space="preserve">
1.Pleural fissure lines or small volume pleural effusion has been detected. In a mildly overweight animal, excessive pericardial fat can artifactually mimic the result of minimal pleural effusion._x000D_
2.A minimal to mild bronchointerstitial pulmonary pattern has been detected._x000D_
3.The cardiac silhouette size is normal._x000D_
4.There is no evidence of PERIHILAR INFILTRATE or DYNAMIC AIRWAY COLLAPSE or BRONCHIECTASIS.</t>
  </si>
  <si>
    <t>Four radiographs of the thoracic limbs are provided. On the lateral view of the right shoulder, the majority of the cervical spine is included. C7 is reduced in size, with poorly delineated mid and cranial vertebral margins. The caudal ventral aspect of C7 also appears ventrally positioned with respect to T1. The right shoulder, cubital, and carpal joints are congruent and without degenerative change. No metacarpal or phalangeal osseous abnormalities. No limb soft tissue swelling. The distal left thoracic limb is included on the dorsopalmar projection, and there are no abnormalities.</t>
  </si>
  <si>
    <t>1. Highly suspect fractured C7 vertebral body. With the recent fall, traumatic fracture is the top differential. Lysis with pathologic fracture is next on the differential list. Artifact caused by obliquity and incidental vertebral congenital variant is given lesser consideration._x000D_
2. No right thoracic limb abnormalities are appreciated.</t>
  </si>
  <si>
    <t>Recommend additional imaging centered on the caudal cervical spine. Thoracic radiographs should also be considered. Recommend using caution when lifting/manipulating this patient due to suspect spinal fracture.</t>
  </si>
  <si>
    <t>Three radiographs of the thorax are provided. There is prominence of the left atrium on the VD projection, seen as curved increased opacity between the mainstem bronchi. Cardiac to thoracic ratio remains normal. Fat deposition seen on the right side of the heart and extending to the cranial mediastinum on the VD view. Pulmonary vessels are normal size. No abnormalities in the pulmonary parenchyma on the VD and right lateral views. The lungs appear more opaque on the left lateral view due to expiration. There is severe narrowed trachea and mainstem bronchi on the left lateral view. Moderate narrowed cervical trachea on the right lateral view. No pleural effusion or esophageal dilation. Normal laryngeal region. The patient is overweight, with moderate volume subcutaneous fat. In the cranial abdomen the liver is prominent.</t>
  </si>
  <si>
    <t>1. Severe, dynamic tracheal and mainstem bronchial collapse, the most likely cause for coughing. Although no pulmonary parenchymal abnormalities are appreciated, infectious airway disease is not definitively ruled out._x000D_
2. Prominent left atrium consistent with acquired mitral valve disease. There is no pulmonary venous congestion or pulmonary edema. This is not responsible for the cough._x000D_
3. Mild hepatomegaly, a nonspecific finding that may be steroid or other hepatopathy. Acute inflammation or neoplasia are next on the differential list. Should be correlated with history and blood work.</t>
  </si>
  <si>
    <t>Current treatment is appropriate. Going forward, also recommend symptomatic treatment for the cough, weight management, and utilization of a body harness in place of a neck lead.</t>
  </si>
  <si>
    <t xml:space="preserve">
1.Are respiratory signs present? If YES._x000D_
2.Are respiratory signs present? If NO._x000D_
3.MILD to MODERATE BRONCHOINTERSTITIAL PATTERN; MILD DYNAMIC AIRWAY DISEASE._x000D_
4.Based on these AI airway/pulmonary findings, the probability of this patient having clinically detectable respiratory signs is MEDIUM (50%)_x000D_
5.AI linked bacterial bronchitis in dogs article: https://platform.v2.vetology.net/doc/bacterial-bronchitis-in-dogs-and-cats_x000D_
6.The cardiac silhouette size is normal._x000D_
7.There is no evidence of PULMONARY NODULES or PLEURAL EFFUSION.</t>
  </si>
  <si>
    <t xml:space="preserve">THORAX (3 images):
Images are dated August 30, 2024.
Prior images dated August 15, 2024 are available.
Positioning and respiratory motion artifact.
Pulmonary parenchyma:  In the mid-zone to ventral periphery of the suspected right and left cranial lung lobes is an interstitial to minimally alveolar pattern.  Faint air-bronchograms are suspected.  The interstitial, alveolar pattern is best identified in the right crainallung in the ventrodorsal image.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</si>
  <si>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Right and left cranial lung lobe interstitial to alveolar patterns, mildly improved compared to prior.
- Differential diagnoses include bronchopneumonia/aspiration pneumonia or unlikely other.
2. Similar mild to moderate diffuse bronchial pattern due to infectious/immune-mediated lower airway disease (such as from mycoplasma spp., bordetella spp., parasitism, or other), or less likely inhaled allergen/irritant or other.
</t>
  </si>
  <si>
    <t>Consider broad-spectrum antibiotic therapy with/without respiratory PCR panel, airway sampling and routine blood work for further evaluation.  Fecal analysis/deworming may be contributory.  Consider therapy for 1-2 weeks past radiographic resolution of presumed pneumonia.  Monitoring as directed or sooner if clinical signs acutely change, fail to improve or worsen.</t>
  </si>
  <si>
    <t xml:space="preserve">
1.Minimal dynamic airway disease has been detected._x000D_
2.A diffuse bronchointerstitial pattern with area(s) of alveolar infiltrate and concurrent dynamic airway disease have been detected._x000D_
3.The cardiac silhouette size is normal.</t>
  </si>
  <si>
    <t>A three view study of the thorax is provided for interpretation._x000D_
_x000D_
There is a moderate diffuse bronchial pattern, and increased interstitial lung opacity. No alveolar infiltrates are seen. No pulmonary nodules or pleural effusion are identified. The heart is within normal size and shape limits. Pulmonary vessels are normal. No tracheal abnormalities are identified. The cranial abdomen is unremarkable.</t>
  </si>
  <si>
    <t>No cardiovascular abnormalities are identified._x000D_
_x000D_
There is a bronchointerstitial pulmonary pattern that is more prominent than expected for age related change. The appearance is consistent with bronchitis._x000D_
Allergic vs. infectious causes should be ruled out. Parasitic infection such as lungworms or heartworm disease could appear similar.</t>
  </si>
  <si>
    <t>Relevance of the bronchial pattern in the absence of associated clinical signs or labwork abnormalities is unknown. This may represent prominent age related change, but the appearance is still considered radiographically abnormal._x000D_
Bronchoscopy would likely be necessary for more definitive evaluation.</t>
  </si>
  <si>
    <t>THORAX (3 views):
Images are dated August 29, 2024.
Pulmonary parenchyma: A mild diffuse bronchial pattern is present.  A mild diffuse interstitial pattern is present and the lungs are hypoinflated.  
Pulmonary vasculature: The pulmonary vasculature is subjectively normal in size and tapers in the periphery of the lungs.
Cardiac silhouette: The cardiac silhouette is moderately tall and occupies approximately 2/3 the height of the thorax.  The trachea is mildly dorsally displaced.  The caudodorsal margin of the cardiac silhouette is flattened.  Rounded increased soft tissue is present in the region of the left atrium.  
Mediastinum: The cranial mediastinum is normal.
Trachea: The trachea is normal.
Esophagus: The esophagus is not well-identified.
Pleural space: The pleural space is normal.
Musculoskeletal: The patient is obese.  The remaining musculoskeletal structures are normal.</t>
  </si>
  <si>
    <t>1. Mild-moderate left-sided cardiomegaly such as from myxomatous mitral valvular disease and insufficiency or unlikely other.
- There is no current evidence of left-sided congestive heart failure.  
2. Mild diffuse bronchial and interstitial pulmonary patterns due to hypoinflation, fibrosis from prior disease, age-related changes, infectious/immune-mediated lower airway disease or unlikely other.
3. Obesity.</t>
  </si>
  <si>
    <t>Echocardiography, ECG and blood pressure for further evaluation, especially if a murmur is identified.  Consider respiratory PCR panel, airway sampling, and fecal analysis/deworming for further evaluation of cough.  Abdominal imaging for further evaluation of gastrointestinal signs if clinically indicated.  Monitoring as directed or sooner if clinical signs acutely change, fail to improve or worsen.</t>
  </si>
  <si>
    <t xml:space="preserve">
1.Moderate cardiomegaly has been detected but Heart Failure is NOT suspected._x000D_
2.A minimal to mild bronchointerstitial pulmonary pattern has been detected._x000D_
3.There is no evidence of PERIHILAR INFILTRATE or DYNAMIC AIRWAY COLLAPSE or BRONCHIECTASIS.</t>
  </si>
  <si>
    <t>WHOLE-BODY (6 total radiographs for review). _x000D_
_x000D_
- Large, rounded, right-sided soft tissue opaque intrathoracic mass._x000D_
- Rounded enlargement of the cranial mediastinum._x000D_
- Soft tissue opacity in the perihilar region causing compression of the carina principal bronchi._x000D_
- The cardiac silhouette, pulmonary vasculature and remaining intrathoracic structures are normal._x000D_
- Peritoneal serosal detail is normal._x000D_
- The stomach contains moderate gas-stippled soft-tissue opaque material_x000D_
- The small intestine contains mild multifocal gas and soft-tissue opaque material_x000D_
- The colon contains gas, soft-tissue/fluid and moderate formed fecal material._x000D_
- The liver, spleen, region of the kidneys and urinary bladder are normal._x000D_
- Narrowing of the L4-5 intervertebral disc space with endplate sclerosis and spondylosis deformans.</t>
  </si>
  <si>
    <t>1.  Large right-sided hemithoracic soft-tissue mass, either originating from the right cranial lung lobe or the pleural space/thoracic body wall._x000D_
_x000D_
2. Suspected cranial mediastinal and tracheobronchial lymphadenopathy._x000D_
_x000D_
The primary consideration for the above findings is multicentric and/or metastatic neoplasia. DDx would include histiocytic sarcoma, pulmonary lymphoma or atypical pulmonary carcinoma. Non-neoplastic etiologies are less likely.  The lesion in the right hemithorax is likely amenable to ultrasound-guided fine-needle aspiration.  Ultimately, consultation with a veterinary oncologist and/or thoracic/whole-body CT may be recommended in this case._x000D_
_x000D_
3. Unremarkable postprandial abdomen.  _x000D_
_x000D_
4. L4-5 intervertebral disc disease</t>
  </si>
  <si>
    <t xml:space="preserve">
1.A minimal perihilar infiltrate has been detected._x000D_
2.Pleural fissure lines or moderate to severe pleural effusion has been detected. An overlying skin fold or in an obese animal, excessive pericardial fat could artifactually mimic the result of severe pleural effusion._x000D_
3.Moderate cardiomegaly has been detected but Heart Failure is NOT suspected._x000D_
4.A moderate interstitial to alveolar pattern has been detected._x000D_
5.MODERATE INTERSTITIAL TO ALVEOLAR PATTERN with PNEUMONIA or ATELECTASIS; MINIMAL DYNAMIC AIRWAY DISEASE._x000D_
6.Based on these AI airway/pulmonary findings, the probability this patient will have clinically detectable respiratory signs is LOW to MEDIUM (25-50%)_x000D_
7.Are respiratory signs present? If YES._x000D_
8.Are respiratory signs present? If NO.</t>
  </si>
  <si>
    <t>Six orthogonal survey radiographs of the thorax and abdomen dated 29th August 2024 are available for review. There are no previous radiographs available for comparison. _x000D_
_x000D_
Thorax: _x000D_
Airway findings: The thorax is mildly hypoinflated. The trachea has a normal position, shape and size. The carina and tracheal bifurcation are normal. There is a mild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Abdomen: There is moderate-severe hepatomegaly with rounded is slightly lobular borders the stomach contains kibble, and has a caudally displaced axis. There is mild widening of the pyloroduodenal angle. The small intestines are diffusely mildly distended with gas and fluid. The descending colon contains gas and poorly formed faeces. The urinary bladder is filled. The kidneys are partially obscured by gastrointestinal contents, but the visible aspect are normal. The spleen is normal._x000D_
_x000D_
Musculoskeletal findings: The patient is obese.</t>
  </si>
  <si>
    <t>1.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 In light of severe enlargement of the left lateral lobe of the liver, neoplasia needs to be excluded._x000D_
2. The fluid and gas filling of the small intestines may still be post-prandial, however a mild ileus secondary to pancreatitis is possible._x000D_
3 Diffuse mild bronchial pattern: Consideration should be given to normal ageing, allergic bronchitis, chronic bacterial /viral bronchitis +/- parasitic bronchitis. Less likely are heart worm, hyperardenocorticism, neoplasia (such a lymphoma) or idiopathic pulmonary fibrosis.</t>
  </si>
  <si>
    <t>A complete abdominal ultrasonographic examination is advised, with a view to FNA of abnormal organs, after complete blood work, and a normal coagulation panel._x000D_
_x000D_
Respiratory workup including CBC, serum chemistry, urinalysis, Baermann faecal testing, 4DX, +/- respiratory panel may be considered.</t>
  </si>
  <si>
    <t xml:space="preserve">
1.Are respiratory signs present? If YES._x000D_
2.Are respiratory signs present? If NO._x000D_
3.MILD to MODERATE BRONCHOINTERSTITIAL PATTERN; MILD DYNAMIC AIRWAY DISEASE._x000D_
4.Based on these AI airway/pulmonary findings, the probability of this patient having clinically detectable respiratory signs is MEDIUM (50%)_x000D_
5.A minimal perihilar infiltrate has been detected._x000D_
6.Mild cardiomegaly has been detected but Heart Failure is NOT suspected.</t>
  </si>
  <si>
    <t>THORAX (2 total radiographs for review)._x000D_
_x000D_
- There is a soft tissue opaque band dorsally overlying the trachea in the region of the thoracic inlet._x000D_
-  A mild leftward mediastinal shift is noted._x000D_
- An unstructured interstitial pattern is present in the cranial subsegment of the left cranial lung lobe._x000D_
- There is mild left-sided cardiomegaly, characterized by dorsal displacement of the caudal aspect of the thoracic trachea and a rounding in the region of the left atrium._x000D_
- The pulmonary vasculature is normal._x000D_
- The remaining included intrathoracic structures are normal._x000D_
- The stomach contains mild gas and soft-tissue opaque material._x000D_
- The remaining cranial abdominal structures are normal._x000D_
- No discrete musculoskeletal abnormalities are noted.</t>
  </si>
  <si>
    <t>1.  The appearance of the trachea at the level of the thoracic inlet can be compatible with tracheal collapse, secondary to chondromalacia._x000D_
_x000D_
2. Mild left-sided cardiomegaly, without pulmonary vasculature congestion or congestive heart failure. Most likely compatible with degeneration of the mitral valve. Consider echocardiography/ECG for further assessment.</t>
  </si>
  <si>
    <t>Radiographically, the primary cause of the reported coughing seems more likely to be related to tracheal collapse rather than left heart enlargement.  Continued/further treatment for tracheal collapse with potential workup including internal medicine consultation and/or fluoroscopy might be considered if clinically indicated.</t>
  </si>
  <si>
    <t xml:space="preserve">
1.Are respiratory signs present? If YES._x000D_
2.Are respiratory signs present? If NO._x000D_
3.MILD INTERSTITIAL TO ALVEOLAR PATTERN; MILD DYNAMIC AIRWAY DISEASE; MILD PERIHILAR INFILTRATE._x000D_
4.Based on the AI airway/pulmonary findings, the probability of this patient having clinically detectable respiratory signs is MEDIUM (50%)_x000D_
5.There is no evidence of PLEURAL EFFUSION._x000D_
6.Severe cardiomegaly has been detected but Heart Failure is NOT suspected.</t>
  </si>
  <si>
    <t>Three orthogonal thoracic radiographs dated 29th August 2024 are available for review. There are no previous radiographs available for comparison. _x000D_
_x000D_
Airway findings: The larynx is caudally displaced. There is near complete obstruction of the cervical and cranial thoracic trachea. The thoracic trachea is mildly elevated. There is widening of the tracheal bifurcation. The thorax is hypoinflated. A mild bronchial pattern is present._x000D_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increased cranial mediastinal fat._x000D_
_x000D_
Musculoskeletal findings: No significant abnormalities are detected._x000D_
_x000D_
Included abdomen: There is mild smoothly marginated hepatomegaly.</t>
  </si>
  <si>
    <t>1. The dorsal attenuation of the trachea is consistent with tracheomalacia, and/or redundant trachealis membrane. The extent of attenuation would be expected to cause coughing, or in severe case like this, partial respiratory obstruction. The caudal displacement of the larynx is consistent with the near complete respiratory obstruction and increased respiratory effort._x000D_
2. Diffuse mild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t>
  </si>
  <si>
    <t>Management of tracheal collapse either medically or surgically is advised.  _x000D_
 Respiratory workup including CBC, serum chemistry, urinalysis, Baermann faecal testing, 4DX, +/- respiratory panel as indicated may be considered.</t>
  </si>
  <si>
    <t xml:space="preserve">
1.MILD BRONCHOINTERSTITIAL PULMONARY PATTERN; MILD DYNAMIC AIRWAY DISEASE; ATELECTASIS or less likely, pneumonia._x000D_
2.Based on these AI airway/pulmonary findings, the probability of this patient having clinically detectable respiratory signs is MEDIUM (50%)_x000D_
3.Are respiratory signs present? If YES._x000D_
4.The cardiac silhouette size is normal._x000D_
5.There is no evidence of PULMONARY NODULES or PLEURAL EFFUSION._x000D_
6.Are respiratory signs present? If NO.</t>
  </si>
  <si>
    <t>Study:_x000D_
Thoracic and abdominal radiography: six images dated August 28,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small volume of gas. The small intestines are normal in size, course and content. The colon contains formed fecal material with a normal diameter. The liver and spleen are normal in size and margin. The renal silhouettes are normal in size and shape. The urinary bladder is normal in size and opacity. There is a metallic ballistics in the subcutaneous or superficial soft tissues dorsal to the sacrum. The T 11-T 12 intervertebral disc space appears mildly narrowed on all lateral projections.</t>
  </si>
  <si>
    <t>1. Normal thorax. There is no radiographic evidence of cardiopulmonary disease._x000D_
2. Unremarkable abdomen._x000D_
3. Suspected T 11-T 12 intervertebral disc disease. Correlate with any liver enzyme abnormalities and/or neurologic deficits.</t>
  </si>
  <si>
    <t>Abdominal sonography can be certain to further evaluate for any changes suggestive of kidney disease.</t>
  </si>
  <si>
    <t>Study:_x000D_
Thoracic/abdominal radiography: three images dated August 29, 2024_x000D_
_x000D_
Findings:_x000D_
The cardiac silhouette is normal in size and shape. The pulmonary vasculature is normal in size. There is a mild generalized bronchial pulmonary pattern. The pleural space is normal. There is no intrathoracic lymphadenopathy. There is slight narrowing of the trachea lumen at the thoracic inlet. There is dilation and retraction of the larynx. The stomach contains a small amount of heterogeneous soft tissue material presumed to be ingesta. The small intestines are normal in size, course and content. The colon contains formed fecal material. The liver extends mildly beyond the costal arch with smooth margins. The kidneys are normal in size and contour. The urinary bladder is normal in size and opacity. There is narrowing of the L1-L2 intervertebral disc space with mild spondylosis deformans. The patient is of overweight body condition.</t>
  </si>
  <si>
    <t>1. The mild generalized bronchial pulmonary pattern may indicate allergic, inflammatory, infectious, parasitic or irritant bronchitis. Airway sampling, heartworm testing and Baermann fecal flotation can be considered for further evaluation._x000D_
2. There is no radiographic evidence of heart disease. Consider echocardiography for further evaluation of the reported heart murmur._x000D_
3. Suspect chondromalacia and dynamic airway disease/tracheal collapse. Fluoroscopy can be considered for further evaluation._x000D_
4. The generalized hepatomegaly is nonspecific. Rule out metabolic/vacuolar hepatopathy, hyperplasia, hepatitis or infiltrative neoplasia. Sonography can be considered for further evaluation._x000D_
5. L1-L2 intervertebral disc disease.</t>
  </si>
  <si>
    <t xml:space="preserve">
1.Are respiratory signs preesnt? If NO._x000D_
2.Are respirartory signs present? If YES._x000D_
3.Severe cardiomegaly has been detected but Heart Failure is NOT suspected._x000D_
4.MODERATE BROCHIAL PATTERN; MODERATE DYNAMIC AIRWAY DISEASE; MILD INTERSTITIAL INFILTRATE with ATELECTASIS or less likely, PNEUMONIA._x000D_
5.Based on these AI airway/pulmonary findings, the probability of this patient having clinically detectabe respiratory signs is MEDIUM (50%)_x000D_
6.AI linked collapsing airway disease in dogs: https://platform.v2.vetology.net/doc/canine-tracheal-collapse-treatment</t>
  </si>
  <si>
    <t xml:space="preserve">Nine images are provided.
Images are dated August 29, 2024.
Pulmonary parenchyma: A mild to moderate diffuse bronchial and minimal diffuse interstitial pattern is present.
Pulmonary vasculature: The pulmonary vasculature is subjectively normal in size and tapers in the periphery of the lungs.
Cardiac silhouette: The cardiac silhouette is mildly tall and occupies 2/3 the height of the thorax in the latera images.  The trachea is mildly dorsally displaced.  The caudodorsal margin of the cardiac silhouette is flattened, and rounded increased soft tissue is present in the region of the left atrium.  Slight soft tissue bulge is present at the 2-3 o'clock region of the cardiac silhouette.
Mediastinum: The cranial mediastinum is normal.
Trachea: A slight soft tissue band partially superimposes over the dorsal aspect of the cervical trachea.  
Esophagus: The esophagus is not well-identified.
Pleural space: The pleural space is normal.
Musculoskeletal: T10-11 spondylosis deformans is present.  The remaining included musculoskeletal structures are normal.
</t>
  </si>
  <si>
    <t>1. Mild-moderate left-sided cardiomegaly such as from myxomatous mitral valvular disease and insufficiency versus other.
2. Mild-moderate  diffuse bronchial and minimal interstitial pulmonary patterns due to fibrosis from prior disease, age-related changes, infectious/immune-mediated lower airway disease, or less likely early/evolving left-sided congestive heart failure or unlikely other.
3. Redundant dorsal tracheal membrane disease with/without underlying lower airway disease, versus superimposed normal structures.</t>
  </si>
  <si>
    <t>Echocardiography, ECG and blood pressure for further evaluation.  Routine blood work and urinalysis if not recently performed.  Consider respiratory PCR panel, fecal analysis/deworming, and empirical therapy for cough in the interim.  If dyspnea manifests, oxygen therapy, diuretic therapy and repeat thoracic radiographs (4 views) in 4-6 hours to monitor for progression/resolution of the pulmonary pattern.  Fluoroscopy/bronchoscopy/tracheoscopy may be contributory.  Monitoring as directed or sooner if clinical signs acutely change, fail to improve or worsen.</t>
  </si>
  <si>
    <t xml:space="preserve">
1.MODERATE INTERSTITIAL TO ALVEOLAR PATTERN; MILD BRONCHITIS._x000D_
2.Based on the AI airway/pulmonary findings, the probability of this patient having clinically detectable respiratory signs is MEDIUM to HIGH (50-75%)_x000D_
3.The cardiac silhouette size is normal._x000D_
4.Are respiratory signs present? If YES._x000D_
5.Are respiratory signs present? If NO.</t>
  </si>
  <si>
    <t>Study:_x000D_
Cervical spinal radiography (including the thorax): three images dated August 29, 2024_x000D_
_x000D_
Findings:_x000D_
The dens is intact and well defined. The atlantoaxial joint space is normal. The C2-C3 through C5-C6 intervertebral disc spaces appear narrowed on both lateral projections. There is mild T4-T5 and T 13-L1 spondylosis deformans. There is mild periarticular information the caudodistal aspect the humeral head bilaterally. The cardiac silhouette and pulmonary vasculature are normal in size. The pulmonary parenchyma is unremarkable. The pleural space is normal. There is no intrathoracic lymphadenopathy. The trachea is normal in diameter and course. Multiple indistinct punctate mineral foci are present in the kidneys.</t>
  </si>
  <si>
    <t>1. Suspected C2-C3 through C5-C6 intervertebral disc disease. The perceived intervertebral disc space narrowing could be overestimated by beam distortion._x000D_
2. Normal thorax._x000D_
3. Bilateral nephrolithiasis and/or nephrocalcinosis._x000D_
4. Mild bilateral shoulder osteoarthrosis.</t>
  </si>
  <si>
    <t xml:space="preserve">
1.A minimal perihilar infiltrate has been detected._x000D_
2.Minimal dynamic airway disease has been detected._x000D_
3.The cardiac silhouette size is normal._x000D_
4.There is no evidence of BRONCHITIS, ALVEOLAR PATTERN, PULMONARY NODULES or PLEURAL EFFUSION.</t>
  </si>
  <si>
    <t>Six  orthogonal survey radiographs of the thorax and abdomen dated 29th August 2024 are available for review. There are no previous radiographs available for comparison. _x000D_
_x000D_
Thorax: _x000D_
Airway findings: The thorax is mildly hypoinflated. A smoothly marginated soft tissue opacity is variably present overlying the dorsal aspect of the trachea at the thoracic inlet. This opacity reduces approximately 40% of the dorsoventral diameter of the trachea. The intrathoracic trachea is normal. A moderate bronchointerstitial opacification is present in predominantly the caudal dorsal lung fields._x000D_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increased cranial mediastinal fat and some ventral pleural fat._x000D_
_x000D_
Abdomen: Within the central aspect of the abdomen there is a large smoothly marginated soft tissue mass. The head of the spleen is enlarged in the ventrodorsal image. The hepatic silhouette is normal. The stomach is mainly empty with a normal axis. The small intestines are caudally and to the right displaced. They are normal for size and contents. The descending colon is ventrally and to the left displaced, with formed faeces. The urinary bladder is small. There is mild loss of serosal detail. The kidneys are caudally displaced._x000D_
_x000D_
Musculoskeletal findings: There is multisite spondylosis deformans.</t>
  </si>
  <si>
    <t>1. The dorsal attenuation of the trachea is consistent with redundant trachealis membrane or overlying musculature._x000D_
2. Moderate bronchointerstitial pattern: Some consideration should be given to normal ageing/fibrosis from previous disease. Allergic bronchitis, chronic bacterial /viral bronchitis +/- parasitic bronchitis is likely concurrent. Heart worm is possible. Fungal pneumonia is considered unlikely. Less likely are hyperardenocorticism, neoplasia (such a lymphoma) or idiopathic pulmonary fibrosis.  _x000D_
3. Most likely splenic mass: Differentials include haematoma, haemangioma, haemangiosarcoma, metastatic neoplasia. The loss of serosal detail may be due to paraneoplastic transudate, or some haemorrhage.</t>
  </si>
  <si>
    <t>Correlate with palpation testing for upper respiratory disease.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 _x000D_
A complete abdominal ultrasonographic examination is advised, with a view to FNA of abnormal organs, after complete blood work, and a normal coagulation panel. Depending on results, an explorative laparotomy may be considered.</t>
  </si>
  <si>
    <t xml:space="preserve">
1.PULMONARY NODULES or NODULAR PATTERN; MODERATE INTERSTITIAL TO ALVEOLAR PATTERN; MILD BRONCHITIS._x000D_
2.Based on the AI airway/pulmonary findings, the probability of this patient having soft tissue pulmonary nodules and clinically detectable respiratory signs is MEDIUM (&gt;50%)_x000D_
3.The cardiac silhouette size is normal._x000D_
4.There is no evidence of DYNAMIC AIRWAY COLLAPSE or BRONCHIECTASIS._x000D_
5.Concurrent bronchointerstitial lung disease (bacterial vs allergic vs parasitic lung disease, including heartworm patholsis), atelectasis, pneumonia or pulmonary hemorrhage may be present._x000D_
6.The evaluation result has a strong suspicion of soft tissue pulmonary nodules being present.</t>
  </si>
  <si>
    <t>Four radiographs of the thorax are provided. A previous study dated 3/28/22 was identified under case ID number 194-3809. The cardiac silhouette is normal size and shape. There is a moderate bronchial pattern, more pronounced than on the previous study. The cranial lobar bronchus is dilated on the left lateral views. There is a small area of severe interstitial infiltrates overlying the mid heart on the left lateral views, with hazy soft tissue density to the right of the mid heart on the DV projection. No pleural effusion. Severe narrowed cervical trachea. Osteoarthritis in both shoulders. In the cranial abdomen the liver is mildly enlarged with rounded ventral margins. This is increased in size compared to the previous study. The patient is overweight.</t>
  </si>
  <si>
    <t>1. Moderate bronchial pattern, progressed since the previous study. Cranial lobar bronchiectasis. This is consistent with chronic airway inflammation such as allergic bronchitis._x000D_
2. Focal severe interstitial pattern in the right middle lung lobe, concerning for aspiration pneumonia._x000D_
3. Severe cervical tracheal collapse._x000D_
4. Mild hepatomegaly, a nonspecific finding that may be steroid or other hepatopathy, acute inflammation, or less likely neoplasia.</t>
  </si>
  <si>
    <t>If the patient is febrile or has elevated white blood cell count, antibiotics would be recommended. Recommend weight management and utilization of a body harness in place of a neck lead. Treatment for allergic bronchitis may be necessary. Routine blood work should be considered to workup the hepatomegaly.</t>
  </si>
  <si>
    <t xml:space="preserve">
1.Are respiratory signs present? If YES._x000D_
2.Are respiratory signs present? If NO._x000D_
3.MILD to MODERATE BRONCHOINTERSTITIAL PATTERN; MILD DYNAMIC AIRWAY DISEASE._x000D_
4.Based on these AI airway/pulmonary findings, the probability of this patient having clinically detectable respiratory signs is MEDIUM (50%)_x000D_
5.Pleural fissure lines or moderate to severe pleural effusion has been detected. An overlying skin fold or in an obese animal, excessive pericardial fat could artifactually mimic the result of severe pleural effusion._x000D_
6.Moderate cardiomegaly has been detected but Heart Failure is NOT suspected.</t>
  </si>
  <si>
    <t>THORAX (3 images) and ABDOMEN (3 images):
Images are dated August 29, 2024.
The left lateral abdominal image is under/overexposed severely, and non-diagnostic.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mildly small with cranial dispalcement of the gastric axis.
Spleen: The spleen is normal in size with smooth margins and homogeneous soft tissue.
Kidneys:  Multiple small mineral foci superimpose over the kidneys.
Retroperitoneum: Retroperitoneal detail is adequate.
Urinary bladder/Urethra: The urinary bladder is normal in size, homogeneous soft tissue, and smoothly marginated.
Peritoneum: Peritoneal detail is adequate.
Gastrointestinal tract: The stomach contains minimal gas or is empty.   The stomach is within normal limits for size.
The small intestine contains mild gas with a subjectively uniform population for size. 
The colon contains mild gas.  The colon wall is mild to moderately spastic.  The colon is within normal limits for size.  
Musculoskeletal: T5-6 spondylosis deformans is present.  Bilateral femoral trochlear hypoplasia is present.  The remaining included musculoskeletal structures are normal.</t>
  </si>
  <si>
    <t xml:space="preserve">1. Non-specific gastrointestinal tract appearance such as from enteritis/colitis or given repotd history, less likely normal variation/recent bowel movement.
- There is no current evidence of gastrointestinal mechanical ileus.
- Differential diagnoses include dietary indiscretion, toxin ingestion, diet/antibiotic responsive disease, inflammatory bowel disease, pancreatitis, occult systemic disease or unlikely other.
2. Mild microhepatia versus artifact from positioning/technique or patient body confirmation.
- If present, consider occult portosystemic shunting vessel or unlikely chronic hepatitis/cirrhosis.
3. Bilateral nephroliths and chronic renal disease is suspected.
4. Minimal diffuse bronchial pulmonary pattern such as from fibrosis from prior disease, age-related changes, or unlikely infectious/immune-mediated lower airway disease or other.
</t>
  </si>
  <si>
    <t xml:space="preserve">Consider GI panel, bile acid testing, fecal analysis/deworming, and routine blood work for further evaluation.   Abdominal ultrasonography for further evaluation of the liver, kidneys and gastrointestinal tract. This examination does not rule out orthopedic/neurologic etiology contributing to clinical signs. Empirical therapy and supportive care in the interim as needed.  Monitoring as directed or sooner if clinical signs acutely change, fail to improve or worsen.  </t>
  </si>
  <si>
    <t>Opposite lateral and VD views of the thorax are provided._x000D_
_x000D_
The cardiovascular structures are within normal limits. There is a mild airway pattern that seems to involve only the smallest visible airways. Interstitial lung opacity is mildly increased. No alveolar infiltrates or pleural effusion are seen. No pulmonary nodules or thoracic mass lesions are identified. No tracheal abnormalities are identified. The heart is within normal size and shape limits._x000D_
No destructive or productive bone lesions are seen. There is an incidental finding of what appears to be a previous traumatic mild subluxation of the sternum at the level of the third intersternebral space.</t>
  </si>
  <si>
    <t>No evidence of metastatic neoplasia is identified._x000D_
_x000D_
There is a mild bronchial pattern and mildly increased interstitial opacity. The overall appearance is within the limits of what might be seen as age related change, but considering the clinical complaint of coughing allergic or viral pneumonitis should be ruled out.</t>
  </si>
  <si>
    <t>CBC and heartworm testing is recommended._x000D_
_x000D_
Symptomatic therapy for the cough is recommended, unless there is other clinical evidence concerning for infectious disease.</t>
  </si>
  <si>
    <t>Three orthogonal thoracic radiographs dated 29th August 2024 are available for review. There are no previous radiographs available for comparison. The lateral images are overexposed._x000D_
_x000D_
Airway findings: The cervical and thoracic trachea have a normal size, outline and position. The carina, tracheal bifurcation and mainstem bronchi are normal. There is some mineralisation of the mainstem bronchi. There is a moderate diffuse bronchointerstitial opacification._x000D_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</si>
  <si>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Diffuse moderate bronchointerstitial pattern:  Allergic bronchitis, chronic bacterial /viral bronchitis +/- parasitic bronchitis should be considered. Less likely are hyperardenocorticism, neoplasia (such a lymphoma) or idiopathic pulmonary fibrosis. Heart worm is considered unlikely. Fungal lower airway disease is possible. Considering previous radiographs are not available, improvement cannot be ascertained.</t>
  </si>
  <si>
    <t>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t>
  </si>
  <si>
    <t xml:space="preserve">
1.A minimal interstitial pulmonary pattern with a concurrent, mild perihilar infiltrate have been detected._x000D_
2.The cardiac silhouette size is normal._x000D_
3.There is no evidence of DYNAMIC AIRWAY COLLAPSE or BRONCHIECTASIS or PLEURAL EFFUSION.</t>
  </si>
  <si>
    <t>Three radiographs of the thorax, and three views of the abdomen are provided. A study dated September 10, 2021 is available for comparison. The cardiac silhouette is normal size and shape. There is soft tissue opacity with air bronchograms in the ventral lungs bilaterally. Cranial lobar bronchioles are dilated. Curved 2.2 cm soft tissue opacity ventral to the tracheal bifurcation on the left lateral view is not seen on the other projections. There is no pleural effusion. A mild bronchial pattern is present as before. Adequate tracheal diameter._x000D_
_x000D_
In the abdomen there is no peritoneal or retroperitoneal effusion. Small volume soft tissue opaque ingesta in the stomach. Small bowel are mildly gas-filled. All volume formed feces in the distal colon. The liver is normal size but ventral hepatic margins are smoothly irregular on the lateral views. Normal-sized spleen and kidneys. Wispy thickened soft tissue opacity in the inguinal region.</t>
  </si>
  <si>
    <t>1. Bilateral ventral alveolar pattern most consistent with aspiration pneumonia. Secondary mild bronchiectasis._x000D_
2. Round soft tissue contour overlying the heart only on the left lateral view is most likely a combination of the lung pattern and end-on right main pulmonary artery. A solitary pulmonary nodule is given lesser consideration at this time. This could be reevaluated on follow-up images._x000D_
3. Irregular ventral hepatic margins, concerning for parenchymal nodules which may be benign or malignant. No other intra-abdominal abnormalities._x000D_
4. Thickened wispy inguinal tissue may represent inflammation associated with a general dermatologic abnormality. Neoplasia such as mammary carcinoma is not ruled out.</t>
  </si>
  <si>
    <t>A CBC, blood chemistry profile, and antibiotics are recommended, with repeat thoracic radiographs (same three views) upon completion to ensure resolution of pneumonia and to determine if the nodular structure is persistent. Ultrasound evaluation of the liver could also be considered.</t>
  </si>
  <si>
    <t xml:space="preserve">
1.A moderate to severe interstitial to alveolar pattern with concurrent dynamic airway disease has been identified._x000D_
2.Dynamic airway disease has been detected_x000D_
3.A severe perihilar infiltrate has been detected._x000D_
4.Pleural fissure lines or moderate to severe pleural effusion has been detected. An overlying skin fold or in an obese animal, excessive pericardial fat could artifactually mimic the result of severe pleural effusion._x000D_
5.Minimal cardiomegaly has been detected but Heart Failure is NOT suspected.</t>
  </si>
  <si>
    <t>Five images are provided.
Images are dated August 29, 2024.
Pulmonary parenchyma: A minimal to mild diffuse bronchial pattern is present.  A minimal diffuse interstitial pattern is present i the ventrodorsal image.  Ill-defined interstitial soft tissue in the right middle/cranial lung lobe in the ventrodorsal image.
Pulmonary vasculature: The pulmonary vasculature is subjectively normal in size and tapers in the periphery of the lungs.
Cardiac silhouette: The cardiac silhouette is widened and enlarged in the region of the cardiac base. The carina is positioned at the level of T5-6 with greater than 2/3 of the cardiac silhouette cranial to this level.  
Mediastinum: A slight rightward mediastinal shift is suspected in the ventrodorsal image.  The cranial mediastinum is symmetrically widened without obvious increased soft tissue.
Trachea: The trachea is normal.
Esophagus: The esophagus is not well-identified.
Pleural space: The pleural space is normal.
Bones/Joints:
T7-8 intervertebral disc space is narrowed.  T13-L1 spondylosis deformans is suspected.
The coxofemoral joints have no obvious osteoarthrosis.  There is adequate coverage of the femoral heads by the acetabulums.
Mild to moderate left stifle osteoarthrosis is present, with osteophytes at the apex/base of the patella, fabellae, medial/lateral tibial condyles and femoral trochlear ridges.  Moderate increased soft tissue obscures the left infrapatellar fat pad.  A metal surgical pin is in the left proximal tibial metaphysis oriented in a craniocaudal dimension. An ill-defined halo of lucency is suspected around the cranial aspect of this pin in the lateral image, but no obvious osteolysis/sclerosis is adjacent.  A lucent drill tract is in the left proximal tibial diaphysis in the lateral image.
The included left tarsus, metatarsus and digits are normal.
Mild right stifle osteoarthrosis is present with osteophytes at the femoral trochlear ridges and lateral tibial condyle.  The right patella is medially luxated.  
There is no evidence of medullary sclerosis, osteolysis, endosteal scalloping, or periosteal proliferation.
Soft tissues:  In the craniocaudal images, the soft tissues craniolateral to the left stifle are mildly enlarged.  The remaining included soft tissues are normal.</t>
  </si>
  <si>
    <t>1. Suspected right-sided cardiomegaly or unlikely evolving heart-base mass.
- Right sided cardiomegaly from cor pulmonale/pulmonary hypertension or less likely tricuspid valvular disease, versus cardiac base mass such as from chemodectoma/paraganglioma.
2. Mild right cranial/middle lung lobe interstitial pattern due to atelectasis or unlikely evolving pneumonitis/pneumonia or other.
3. Minimal diffuse bronchial and interstitial pulmonary patterns due to fibrosis from prior disease, age-related changes, or less likely infectious/inflammatory lower airway disease, or unlikely other.
4. Widened cranial mediastinum due to fat deposition, breed-related changes or evolving lymphadenomegaly/mass.
5. Prior left stifle surgical intervention (presumed tibial tuberosity transposition) and suspected mild implant motion, or unlikely evolving osteomyelitis.
6. Moderate left stifle osteoarthrosis and synovial effusion/proliferation such as from cranial cruciate ligament injury/tear, versus other.
- No obvious evidence of left stifle septic arthritis or osteomyelitis in this examination.
7. Enlarged soft tissues craniolateral to the left stifle due to evolving dermatitis/cellulitis or less likely extension of left stifle disease (arthritis, recent injury) or unlikely other.
8.  Right medial patella luxation.
9.  Mild right stifle osteoarthrosis.
10.  T7-8 intervertebral disc disease.</t>
  </si>
  <si>
    <t>Consider echocardiography, blood pressure and eCG for further evaluation of the heart and cranial mediastinum.  4-view thoracic radiographs may be contributory. Routine blood work if not recently performed.    Consider orthopedist consultation for further evaluation of the left stifle, and possible cranial cruciate ligament injury, versus other.  Consider explantation of left tibial metal pin if concern for evolving left tibial osteomyelitis in repeat imaging, and culture/sensitivity testing as needed.  Empirical therapy and supportive care in the interim as needed. Monitoring with routine blood work, thoracic imaging and neurologic examination if not recently performed.</t>
  </si>
  <si>
    <t xml:space="preserve">
1.Are respiratory signs present? If YES._x000D_
2.Are respiratory signs present? If NO._x000D_
3.MODERATE INTERSTITIAL TO ALVEOLAR INFILTRATE; CONCURRENT MODERATE BRONCHIAL PATTERN; MILD PERIHILAR INFILTRATE._x000D_
4.Based on the AI airway/pulmonary findings, the probability of this patient having clinically detectable respiratorysigns is HIGH (75%)_x000D_
5.AI linked bacterial pneumonia treatment in dogs: https://platform.v2.vetology.net/doc/pneumonia-in-dogs-and-cats_x000D_
6.Pleural fissure lines or small volume pleural effusion has been detected. In a mildly to moderately overweight animal, excessive pericardial fat can artifactually mimic the result of mild pleural effusion._x000D_
7.Severe cardiomegaly has been detected but Heart Failure is NOT suspected.</t>
  </si>
  <si>
    <t>23 images of the thorax, abdomen, pelvis, and pelvic limbs are presented for review.  The cardiovascular structures are normal.  There is a moderate bronchial pattern in all lung lobes.  No pulmonary nodules or enlarged intrathoracic lymph nodes are seen.  The pleural and mediastinal structures are normal.  Abdominal serosal detail is adequate in all quadrants.  The stomach contains a small amount of ingesta.  The small intestines are normal in size.  Gas and feces are present in the colon.  The urinary bladder is small.  The remaining abdominal organs are normal.  There is spondylosis deformans of the thoracic and lumbosacral spine.  Small osteophytes are present at the caudal aspect of the humeral heads bilaterally.  The coxofemoral joints are congruent.  The fat opacity mass is seen in the subcutaneous tissues cranial to the right stifle.  Increased soft tissue is present in the left stifle joint.  Osteophytes are present on the femoral trochlear ridges, tibial plateau, and patella on the left.</t>
  </si>
  <si>
    <t>Radiographically normal abdomen.  Moderate bronchial pulmonary pattern=ZZ90= consider bronchitis, response to inhaled irritants, response to circulating parasites, eosinophilic bronchopneumopathy.  Airway sampling may be helpful in further evaluation.  Mild bilateral shoulder DJD.  Degenerative changes of the spine.  This does not rule out intervertebral disc herniation or other causes of spinal cord compression.  CT or MRI could be considered in further evaluation.  Right stifle lipoma.  Severe left stifle effusion with mild DJD consistent with chronic soft tissue injury such as to the cranial cruciate ligament or meniscus.</t>
  </si>
  <si>
    <t xml:space="preserve">
1.The evaluation has come up positive for a pulmonary nodular pattern._x000D_
2.The cardiac silhouette size is normal._x000D_
3.There is no evidence of PERIHILAR INFILTRATE or DYNAMIC AIRWAY COLLAPSE or BRONCHIECTASIS._x000D_
4.A moderate interstitial to alveolar pattern has been detected.</t>
  </si>
  <si>
    <t>A two view thoracoabdominal study is provided for interpretation._x000D_
_x000D_
In the lateral view, there is a discrete round mixed opacity shadow that is highly suspicious for a foreign body in the range of 1.5 cm such as a nut/pit, ball type toy, or button. This is not definitively corroborated in the VD view, but there is a more subtle similar shadow just right of the 13th vertebra in the gastric antrum area. The stomach is not dilated. There is a normal volume of small intestinal gas, and no intestinal dilation or plication is seen. Abdominal serosal detail is normal. The other organs are unremarkable._x000D_
_x000D_
There is a subtle increase in opacity in the area of the caudal esophagus that is suspicious for gastroesophageal reflux. No pulmonary infiltrates or pleural effusion are seen. The cardiovascular structures are within normal limits.</t>
  </si>
  <si>
    <t>There is high suspicion of a small gastric foreign body. No obstructive pattern is seen.</t>
  </si>
  <si>
    <t>Endoscopy is recommended if available._x000D_
_x000D_
The size of the foreign body is questionable as to whether it could possibly pass depending on its composition. Removal is likely to be indicated._x000D_
_x000D_
If endoscopy is not an option and gastrotomy is being considered, follow up imaging such as a contrast gastrogram (positive or negative) is recommended to verify persistence of the suspected foreign material._x000D_
_x000D_
If the patient=ZZ91=s clinical condition worsens, movement of the suspected foreign body into the intestinal tract and subsequent obstruction should be ruled out with follow up imaging. This may include ultrasound or barium study depending on the appearance of follow up survey radiographs.</t>
  </si>
  <si>
    <t>Seven radiographs are provided, with images of the thorax, abdomen, pelvis, proximal pelvic limbs. There is prominence of the left atrium on the left lateral and VD views. Cardiac to thoracic ratio and pulmonary vessel size is normal. There are mild age-related changes in the lungs. No soft tissue pulmonary nodules or pleural effusion. Normal tracheal diameter._x000D_
_x000D_
In the abdomen there is no effusion. The gastrointestinal tract is moderately filled. No radiopaque urolithiasis. Small ovoid soft tissue density ventral to L5 is end-on deep circumflex iliac vessel. Normal size liver, spleen, kidneys. No lumbar spinal abnormalities. There is mild thickened left femoral neck. Pelvic limb musculature is reduced on the left. There is moderate volume fluid in the cranial aspect of the left stifle joint, with mild periarticular osseous remodeling. No right stifle joint abnormalities.</t>
  </si>
  <si>
    <t>1. Moderate left stifle effusion most consistent with cranial cruciate ligament tear/rupture. This is the cause for lameness. Normal right stifle._x000D_
2. Mild left coxofemoral osteoarthritis. This could be contributing to discomfort. Normal right coxofemoral joint._x000D_
3. Prominent left atrium consistent with mitral valve regurgitation. In this particular breed this may be due to chronic valvular disease or early dilated cardiomyopathy. There is no evidence of pulmonary venous congestion or heart failure at this time. This is of doubtful clinical significance today. Otherwise normal thorax and abdomen.</t>
  </si>
  <si>
    <t>Surgical stabilization of the left stifle is recommended.</t>
  </si>
  <si>
    <t xml:space="preserve">
1.MINIMAL to MILD BRONCHOINTERSTITIAL PULMONARY PATTERN; POTENTIAL FOR FOCAL ATELECTASIS._x000D_
2.MILD BRONCHOINTERSTITIAL PULMONARY PATTERN; MINIMAL to MILD PERIHILAR PATTERN._x000D_
3.Based on the AI airway/pulmonary findings, the probability of this patient having clinically detectable respiratory signs is LOW (25%)_x000D_
4.Based on these AI airway/pulmonary findings, the probability of this patient having clinically detectable respiratory signs is LOW (25%)_x000D_
5.In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6.Are respiratory signs present? If YES._x000D_
7.Are respiratory signs present? If NO._x000D_
8.In the PRESENCE of respiratory signs, low grade active pneumonitis (allergic, bacterial, parasitic (including heartworm disease), inhaled allergen or toxin) or upper airway disease causing pulmonary hypoinflation and/or recurrent microaspiration may be more likely._x000D_
9.The cardiac silhouette size is normal.</t>
  </si>
  <si>
    <t>Study:_x000D_
Thoracic radiography: three images dated August 29, 2024_x000D_
_x000D_
Findings:_x000D_
There is moderate left ventricular and left atrial enlargement (VHS approximately 11.5). The pulmonary vasculature is normal in size. The pulmonary parenchyma is unremarkable. The pleural space is normal. There is no intrathoracic lymphadenopathy. The larynx is unremarkable. The trachea is normal in diameter. The caudal lobar bronchi are narrowed on the right lateral projection in comparison to the left lateral view. The liver extends moderately beyond the costal arch with smooth margins. The stomach contains unstructured heterogeneous soft tissue material presumed to be ingesta. Mild periarticular bone formation is present at the caudodistal aspect of the humeral head bilaterally. The T 13 vertebra is transitional with bilateral hypoplastic ribs. There is narrowing of the T 11-T 12 through L1-L2 intervertebral disc spaces with mildly sclerotic endplates. There is variable mild to severe spondylosis deformans from T 11 to L3.</t>
  </si>
  <si>
    <t>1. Moderate left-sided cardiomegaly, indicative of mitral valve disease, without evidence of decompensation. Echocardiography should be considered for further evaluation._x000D_
2. Bronchomalacia and dynamic bronchial compression/collapse. Normal diameter of the trachea does not exclude the possibility of concurrent tracheal collapse. Fluoroscopy can be considered to further evaluate for tracheal collapse given the reported tracheal sensitivity on physical exam._x000D_
3. The generalized hepatomegaly is nonspecific. Rule out metabolic/vacuolar hepatopathy, hyperplasia, hepatitis or infiltrative neoplasia. Sonography can be considered for further evaluation._x000D_
4. T 11-T 12 through L1-L2 intervertebral disc disease._x000D_
5. Mild bilateral shoulder osteoarthrosis.</t>
  </si>
  <si>
    <t xml:space="preserve">
1.Severe cardiomegaly has been detected but Heart Failure is NOT suspected._x000D_
2.MILD BRONCHOINTERSTITIAL PULMONARY PATTERN; MILD DYNAMIC AIRWAY DISEASE._x000D_
3.Based on these AI airway/pulmonary findings, the probability of this patient having clinically detectable respiratory signs is LOW to MEDIUM (25-50%)_x000D_
4.Are respiratory signs present? If YES._x000D_
5.Are respiratory signs present? If NO.</t>
  </si>
  <si>
    <t>Eight radiographs of the thorax and abdomen are provided. The cardiac silhouette and pulmonary vessels are normal size and shape. There are several incidental pulmonary osteomas. Rounded soft tissue opaque 5.7 cm mass dorsal to the cranial sternum on the lateral views, causing widened cranial mediastinum on the VD projection. Faint curved 2.2 cm soft tissue opacity dorsal to the tracheal bifurcation. Curved 2.4 cm soft tissue opacity overlying the lateral aspect of the right 6th intercostal space is likely superimposed extrathoracic lipomatous lesion, incidental. No pleural effusion. Adequate tracheal diameter. No osseous abnormalities._x000D_
_x000D_
In the abdomen there is no effusion. The liver is upper normal size. Normal-sized kidneys and spleen. The gastrointestinal tract is mildly filled. No radiopaque urolithiasis. Spondylosis deformans is likely incidental. There is hazy oblong 6.1 x 2.8 cm soft tissue opacity in inguinal region. The coxofemoral joints are normal.</t>
  </si>
  <si>
    <t>Cranioventral mediastinal mass, inguinal lymphadenopathy, and probable tracheobronchial lymphadenopathy. Coupled with the additional described peripheral lymphadenopathy, neoplasia such as lymphoma is most likely.</t>
  </si>
  <si>
    <t xml:space="preserve">
1.A diffuse, minimal to mild interstitial pulmonary pattern and minimal perihilar infiltrate have been detected._x000D_
2.The cardiac silhouette size is normal._x000D_
3.There is no evidence of DYNAMIC AIRWAY COLLAPSE or BRONCHIECTASIS.</t>
  </si>
  <si>
    <t>Six orthogonal thoracic radiographs dated 29th August 2024 are available for review. There are no previous radiographs available for comparison. _x000D_
_x000D_
Airway findings: The cervical and thoracic trachea have a normal size, outline and position. The intrathoracic trachea is normal. There is thickening of the choana and moderate to severe thickening of the mainstem bronchi and a diffuse bronchial pattern. Several mineralised spherical opacities are present in the region of the costochondral junctions._x000D_
_x000D_
Cardiovascular findings: The right atrium is mildly prominent in the lateral images. This is not present in the ventrodorsal. The overall cardiac silhouette is within normal limits for size. The  pulmonary vasculature and mainstem vessels are normal._x000D_
_x000D_
Mediastinum and pleural space: No significant abnormalities are detected._x000D_
_x000D_
Musculoskeletal findings: There is shoulder osteoarthritis and spondylosis deformans._x000D_
_x000D_
Included abdomen: No significant abnormalities are detected.</t>
  </si>
  <si>
    <t>1. Moderate to severe bronchial pattern is consistent with environmental, allergic, chronic infectious (viral-bacterial, parasitic) bronchitis. Heart worm is considered unlikely, however considering prominent right atrium should be considered. Fungal lower airway disease is unlikely._x000D_
2. Suspect right atrial enlargement: This may be positional artefact, alternatively tricuspid insufficiency, heart worm, highly unlikely ventricular septal defect should be considered.</t>
  </si>
  <si>
    <t>Respiratory workup including CBC, serum chemistry, urinalysis, Baermann faecal testing, 4DX, +/- respiratory panel or fungal testing as indicated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t>
  </si>
  <si>
    <t xml:space="preserve">
1.Pleural fissure lines or moderate pleural effusion has been detected. An overlying skin fold or in a moderately overweight animal, excessive pericardial fat could artifactually mimic the result of moderate pleural effusion._x000D_
2.The cardiac silhouette size is normal._x000D_
3.PULMONARY NODULES or NODULAR PATTERN; MILD to MODERATE BRONCHOINTERSTITIAL PATTERN with an ALVEOLAR COMPONENT; MILD PERIHILAR INFILTRATE._x000D_
4.Based on the AI airway/pulmonary findings, the probability of this patient having soft tissue pulmonary nodules and clinically detectable respiratory signs is MEDIUM to HIGH (50-75%)_x000D_
5.The evaluation has a strong suspicion of soft tissue pulmonary nodules being present._x000D_
6.Are respiratory signs present? If YES._x000D_
7.Are respiratory signs present? If NO.</t>
  </si>
  <si>
    <t>Study:_x000D_
Thoracic, abdominal and cervical/skull radiography: six images dated August 29, 2024_x000D_
_x000D_
Findings:_x000D_
The cardiac silhouette is normal in size and shape. There is a mild to moderate alveolar pattern in the ventral aspects of the left cranial lung lobe (both segments) and left caudal lung lobe. On the right lateral projection, there is a small gas lucency in the cranial ventral lung field. A larger gas lucency with an indistinct soft tissue opaque rim overlies the cardiac silhouette on the right lateral view. There is no intrathoracic lymphadenopathy. The trachea is normal in diameter. There is a mild amount of peritoneal effusion. The stomach contains unstructured heterogeneous soft tissue material presumed to be ingesta. The small intestines are normal in size, course and content. The colon contains formed fecal material. The liver and spleen are normal in size and margin. The renal silhouettes are normal in size and contour. The urinary bladder is small poorly visualized cranial to the pelvic inlet on both lateral projections. The 13th ribs are hypoplastic. There are no other evident osseous abnormalities. There are no apparent fractures or luxations.</t>
  </si>
  <si>
    <t>1. The alveolar pattern in the ventral aspect of the left lung lobes likely indicates pulmonic contusions secondary to recent trauma. Repeat radiography in 48 to 72 hours can be considered to monitor these findings._x000D_
2. The small gas lucency seen in the cranioventral lung field on the right lateral projection may indicate a small volume traumatic pneumothorax. Superimposition of subcutaneous emphysema is also possible. This finding should also be monitored on the recheck study._x000D_
3. The larger gas lucency overlying the cardiac silhouette on the right lateral projection may also indicate gas within the pleural space, a traumatic pneumatocele or pulmonary bulla._x000D_
4. Mild nonspecific peritoneal effusion. Consider traumatic hemoabdomen or uroabdomen. Recommend point-of-care abdominal sonography and abdominocentesis with fluid analysis for further evaluation.</t>
  </si>
  <si>
    <t xml:space="preserve">
1.A minimal interstitial pulmonary pattern with a concurrent, mild perihilar infiltrate have been detected._x000D_
2.The cardiac silhouette size is normal._x000D_
3.There is no evidence of PULMONARY NODULES._x000D_
4.A severe alveolar infiltrate or pulmonary mass has been identified._x000D_
5.Minimal dynamic airway disease has been detected._x000D_
6.Pleural fissure lines or small volume pleural effusion has been detected. In a mildly overweight animal, excessive pericardial fat can artifactually mimic the result of minimal pleural effusion.</t>
  </si>
  <si>
    <t>Orthogonal views of the thorax are provided:_x000D_
_x000D_
Thorax:_x000D_
_x000D_
Cardiac silhouette shows questionable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Unremarkable visible abdomen and spine.</t>
  </si>
  <si>
    <t>1) Rule out left atrial enlargement secondary to chronic mitral endocardiosis without signs of CHF. Rule out concomitant tricuspid endocardiosis with pulmonary hypertension._x000D_
2) Unremarkable lungs do not exclude a canine infectious respiratory disease complex vs bronchitis of allergic vs inflammatory/infectious or parasitic origin.</t>
  </si>
  <si>
    <t>Consider a cardiology consultation with ECG and echocardiogram evaluating the need/benefit of an empirical treatment for canine infectious respiratory disease complex or chronic bronchitis evaluating response to treatment.</t>
  </si>
  <si>
    <t>Four orthogonal thoracic radiographs dated 29th August 2024 are available for review. There are no previous radiographs available for comparison. _x000D_
_x000D_
Airway findings: The intrathoracic trachea is elevated. The tracheal bifurcation is ventrally oriented. A diffuse interstitial opacification is present, most severe in the right caudal dorsal lung fields._x000D_
_x000D_
Cardiovascular findings: The cardiac silhouette is globoid and enlarged in all images. The outline is very distinct. The pulmonary vasculature is normal. The mainstem vessels are poorly visible._x000D_
_x000D_
Mediastinum and pleural space: In the ventral thorax there is well delineated soft tissue opacification which extends along the costochondral margins caudally to the diaphragmatic reflections. The ventral aspect of the diaphragm is poorly visible._x000D_
_x000D_
Musculoskeletal findings: No significant abnormalities are detected._x000D_
_x000D_
Included abdomen: No significant abnormalities are detected.</t>
  </si>
  <si>
    <t>1. Generalized cardiomegaly with pulmonary venous distension and cardiogenic pulmonary edema consistent with left sided congestive heart failure. Ddx: myxomatous degeneration of the mitral and tricuspid valves with post-capillary pulmonary hypertension vs systolic dysfunction (DCM). Considering the very globoid nature, pericardial effusion (haemopericardium, septic pericarditis, haemangiosarcoma) should be considered. A congenital cardiac abnormality is unlikely, but cannot be excluded._x000D_
2. The interstitial opacification is most likely due to cardiogenic pulmonary oedema. Lower airway infectious/inflammatory disease is less likely. The ventral opacification is most likely pleural effusion secondary to cardiac insufficiency, however the smooth slight outline is mildly atypical. A ventral diaphragmatic hernia is considered highly unlikely.</t>
  </si>
  <si>
    <t>Complete bloodwork if not already performed. Management for left sided congestive heart failure including diuretic therapy with oxygen support as needed. ECG and systemic blood pressure monitoring. Recommend repeat thoracic radiographs after 24-48 hours of therapy, sooner if clinically indicated. Continued monitoring of renal values and urinalysis._x000D_
_x000D_
Once stabilized, an echocardiogram is indicated.</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</si>
  <si>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3.A severe perihilar infiltrate has been detected._x000D_
4.MODERATE DYNAMIC AIRWAY DISEASE; MILD BRONCHOINTERSTITIAL PULMONARY PATTERN +/- PULMONARY HYPOINFLATION._x000D_
5.Based on these AI airway/pulmonary findings, the probability of this patient having clinically detectable respiratory signs is MEDIUM (50%)_x000D_
6.Are respiratory signs present? If YES._x000D_
7.AI linked dynamic airway collapse in dogs: https://platform.v2.vetology.net/doc/canine-tracheal-collapse-treatment_x000D_
8.Are respiratory signs present? If NO.</t>
  </si>
  <si>
    <t>Orthogonal views of the thorax are provided:_x000D_
_x000D_
Thorax:_x000D_
_x000D_
No abnormalities seen in the trachea._x000D_
Cardiac silhouette has a normal shape and size. VHS in the non rotated LL view is 9.6._x000D_
Pulmonary vessels are within normal limits of size and shape._x000D_
Pulmonary parenchyma is within normal limits. No evidence of pulmonary nodules/masses._x000D_
Pleural space, mediastinum, diaphragm and thoracic wall within normal limits.</t>
  </si>
  <si>
    <t>1) Unremarkable thorax without signs of cardiomegaly (this does not exclude a cardiac disease), pulmonary metastases nor signs of thoracic lymphadenopathy. _x000D_
2) Unremarkable lungs do not exclude a bronchitis of allergic origin vs inflammatory/infectious or parasitic origin.</t>
  </si>
  <si>
    <t>Given the lack of cardiomegaly but audible murmur, consider a cardiology consultation with ECG and echocardiogram prior to an empirical treatment for chronic bronchitis evaluating response to treatment. If clinical signs persist, consider a bronchoscopy with BAL, culture, cytology, Baermann test and deworming.</t>
  </si>
  <si>
    <t xml:space="preserve">
1.A minimal interstitial pattern has been detected._x000D_
2.The cardiac silhouette size is normal._x000D_
3.There is no evidence of BRONCHITIS, ALVEOLAR PATTERN, PERIHILAR INFILTRATE or DYNAMIC AIRWAY COLLAPSE or BRONCHIECTASIS.</t>
  </si>
  <si>
    <t>Orthogonal views of the thorax are provided and compared to the previous exam on the 08/12/24:_x000D_
_x000D_
Thorax:_x000D_
_x000D_
No abnormalities seen in the trachea._x000D_
Cardiac silhouette is unchanged with questionable reverse D shape in the VD view._x000D_
Pulmonary vessels are within normal limits of size and shape._x000D_
Pulmonary parenchyma is unchanged without evidence of pneumonia._x000D_
Pleural space, mediastinum, diaphragm and thoracic wall within normal limits._x000D_
_x000D_
On todays radiographs there is a curvilinear shape in the abdomen (suspected mid abdominal mass in the prior study).</t>
  </si>
  <si>
    <t>1) Cardiac silhouette: rule out pulmonary hypertension._x000D_
2) Unremarkable lungs do not exclude a bronchitis of allergic origin vs inflammatory/infectious or parasitic origin. _x000D_
3) Rule out abdominal mass.</t>
  </si>
  <si>
    <t>Consider a cardiology consultation with ECG and echocardiogram. Consultate with the clinician in charge the possibility/benefit of an empirical treatment for chronic bronchitis evaluating response to treatment vs bronchoscopy with BAL, culture, cytology, Baermann test and deworming._x000D_
Abdominal US to better evaluate the curvilinear opacity and the suspected mass in the study on the 08/12/24.</t>
  </si>
  <si>
    <t xml:space="preserve">
1.A moderate BRONCHIAL PATTERN has been detected._x000D_
2.Moderate bronchointerstitial pulmonary pattern detected._x000D_
3.Minimal DYNAMIC AIRWAY DISEASE has been detected._x000D_
4.There is no evidence of INTERSTITIAL or ALVEOLAR DISEASE; or PERIHILAR INFILTRATE detected. The PLEURAL SPACE and THORACIC LYMPH NODES are suspected to be normal._x000D_
5.A minimal perihilar infiltrate has been detected._x000D_
6.Pleural fissure lines or small volume pleural effusion has been detected. In a mildly overweight animal, excessive pericardial fat can artifactually mimic the result of minimal pleural effusion._x000D_
7.Minimal cardiomegaly has been detected but Heart Failure is NOT suspected.</t>
  </si>
  <si>
    <t>Nine radiographs of the thorax and abdomen are provided. The cardiac silhouette is normal size and shape. There is a smoothly marginated round 2.8 cm soft tissue opaque nodule in the left caudal lung lobe. No other pulmonary nodules are present. Round soft tissue opacity ventral to the tracheal bifurcation on the left lateral view is end-on right main pulmonary artery. There is ovoid 5.0 x 2.4 cm soft tissue opacity dorsal to the cranial sternum. No pleural effusion. Adequate tracheal diameter._x000D_
_x000D_
In the abdomen, the liver is mildly enlarged with caudal deviation of the gastric axis. Rounded soft tissue contour overlying the ventral aspect of the lesser gastric curvature on the left lateral views is likely due to the enlarged liver. Normal-sized spleen. The kidneys are partially visible and appear to be normal size. On the lateral views there are three curved soft tissue opacities overlying the cranial retroperitoneal space. Two of these represent the kidneys. The 3rd contour may be normal splenic head or a mass lesion. The gastrointestinal tract is minimally filled. No radiopaque cystic calculi. Mid abdominal detail is reduced.</t>
  </si>
  <si>
    <t>1. Solitary pulmonary nodule in the left caudal lung, most consistent with malignant neoplasia. Whether this is primary pulmonary neoplasia or metastatic disease from a distant site is not known._x000D_
2. Sternal lymphadenopathy, typically indicative of a disease process (neoplasia versus inflammatory process) originating from the cranial abdomen._x000D_
3. Mild hepatomegaly, suspect scant mid abdominal effusion, and possible cranial retroperitoneal mass. Neoplasia is of concern. An inflammatory process is given much lesser consideration.</t>
  </si>
  <si>
    <t xml:space="preserve">
1.A mild perihilar infiltrate has been detected._x000D_
2.A minimal interstitial pattern has been detected._x000D_
3.The cardiac silhouette size is normal._x000D_
4.There is no evidence of BRONCHITIS, DYNAMIC AIRWAY COLLAPSE or BRONCHIECTASIS or PLEURAL EFFUSION.</t>
  </si>
  <si>
    <t xml:space="preserve">THORAX (2 images):
Images are dated August 29, 2024.
Pulmonary parenchyma: A mild diffuse bronchial pattern is present.  A minimal to mild diffuse interstitial pattern is present and the lungs are hypoinflated.  
Pulmonary vasculature: The pulmonary vasculature is subjectively normal in size and tapers in the periphery of the lungs.
Cardiac silhouette: The cardiac silhouette is slightly tall in the lateral image with dorsal tracheal displacement.  The caudodorsal margin of the cardiac silhouette is mildly flat.
Mediastinum: The cranial mediastinum is normal.
Trachea: The trachea has a soft tissue band superimposed over its dorsal aspect.  
Esophagus: The esophagus is not well-identified.
Pleural space: The pleural space is normal.
Musculoskeletal: The included musculoskeletal structures are normal.
</t>
  </si>
  <si>
    <t>1. Equivocal left-sided cardiomegaly such as from myxomatous mitral valvular disease and insufficiency or unlikely other.
2. Mild diffuse bronchial and interstitial pulmonary patterns due to infectious/immune-mediated lower airway disease (such as from bordetella spp., mycoplasma spp., or parasitism such, or inhaled allergen/irritant), and/or fibrosis from prior disease, age-related changes, artifact from hypoinflation, a combination of these or unlikely other.
3. Redundant dorsal tracheal membrane with/without underlying dynamic airway disease, versus superimposed normal structures.</t>
  </si>
  <si>
    <t>Consider echocardiography, ECG and blood pressure for further evaluation especially if a murmur is later identified.  Routine blood work and fecal analysis/deworming may be contributory.   Consider tracheoscopy/bronchoscopy/fluoroscopy, airway sampling, respiratory PCR panel for further evaluation. Empirical therapy and supportive care in the interim as needed.  Monitoring as directed or sooner if clinical signs acutely change, fail to improve or worsen.</t>
  </si>
  <si>
    <t xml:space="preserve">
1.Severe cardiomegaly has been detected but Heart Failure is NOT suspected._x000D_
2.There is no evidence of PULMONARY NODULES._x000D_
3.MODERATE BRONCHIAL PATTERN; MODERATE DYNAMIC AIRWAY DISEASE._x000D_
4.Based on these AI airway/pulmonary findings, the probability of this patient having clinically detectable respiratory signs is HIGH (75%)_x000D_
5.Are respiratory signs present? If YES._x000D_
6.Are respiratory signs present? If NO.</t>
  </si>
  <si>
    <t>Opposite lateral and ventrodorsal abdominal radiographs (3 images) dated August 29, 2024._x000D_
_x000D_
_x000D_
The liver and spleen are unremarkable in size and shape. Both kidneys are normal in size and shape. The urinary bladder is small and fluid opaque. The stomach is dilated with a large amount of homogeneous soft tissue/fluid content and a smaller volume of gas. This material is mobile between views, and the pyloric antrum and a portion of the gastric body are gas-filled on the left lateral view. The duodenum is visible and appears empty or minimally distended with fluid. The remaining small bowel is similar in appearance, appearing soft tissue opaque and either empty or minimally distended with fluid. The course of the small bowel is unremarkable. The colon contains a small amount of poorly formed stool. Retroperitoneal and peritoneal detail are normal. No regional lymphadenopathy is evident._x000D_
The included osseous structures and thorax are unremarkable.</t>
  </si>
  <si>
    <t>1. Gastric dilatation with mobile soft tissue/fluid is most suggestive of a functional gastric stasis/severe gastritis. Pancreatitis remains possible. The gastric material most likely were represents fluid vs. less likely a mixture of fluid and foreign material._x000D_
2. A pyloric outflow obstruction or small intestinal mechanical obstruction is not identified in this study._x000D_
3. The colonic content is consistent with the reported loose stool/diarrhea.</t>
  </si>
  <si>
    <t>Hospitalized supportive care with fluid rehydration, antiemetics, gastroprotectants/omeprazole, and bland diet.  General health profile (CBC, chemistry, UA, fecal) +/- spec cPL and baseline cortisol to screen for underlying causes. Abdominal ultrasound to be considered to further scrutinize the gastric content=ZZ90= if no concerning foreign material is detected, a prokinetic can be used.</t>
  </si>
  <si>
    <t xml:space="preserve">THORAX (4 images):
Images are dated August 29, 2024.
Prior images dated August 28, 2024 are available.  
Pulmonary parenchyma: A minimal to mild diffuse bronchial pattern is present.  Presumed end-on vasculature as small ovoid soft tissue foci in the right caudal lung in the ventrodorsal image.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Presumed lipoma in the caudoventral extra-thoracic soft tissues. T6-7 and T9-10 spondylosis deformans is present.  The remaining included musculoskeletal structures are normal.
</t>
  </si>
  <si>
    <t>1. Presumed end-on vasculature/artifact in the right caudal lung or unlikely osteomas, granulomas or least likely evolving metastatic neoplasia.
2. Minimal-mild diffuse bronchial pulmonary pattern such as from fibrosis from prior disease, age-related changes, or less likely infectious/immune-mediated lower airway disease or unlikely other.</t>
  </si>
  <si>
    <t>Consider computed tomography for a more sensitive evaluation of the thorax. Alternatively monitoring as directed with repeat thoracic radiographs.  Empirical therapy and supportive care in the interim as needed.  Monitoring as directed or sooner if clinical signs acutely change, fail to improve or worsen.</t>
  </si>
  <si>
    <t>THORAX (2 total radiographs for review). _x000D_
_x000D_
_x000D_
- Mild to moderate left-sided cardiomegaly, characterized by straightening of the caudal cardiac margin and dorsal displacement of the caudal aspect of the thoracic trachea._x000D_
- The pulmonary vasculature is normal._x000D_
- There is a mild, diffuse bronchial and unstructured interstitial pulmonary pattern._x000D_
- The trachea, pleural space, mediastinum and remaining included intrathoracic structures are normal._x000D_
-The stomach contains mild gas and gas stippled soft-tissue opaque material_x000D_
- The remaining cranial abdominal structures are normal._x000D_
- No discrete musculoskeletal abnormalities identified.</t>
  </si>
  <si>
    <t>1.  Moderate left-sided cardiomegaly, without pulmonary vascular congestion or congestive heart failure.  Most likely compatible with degeneration of the mitral valve.  Consider consultation with a veterinary cardiologist and echocardiography/ECG for further assessment._x000D_
_x000D_
2. Mild diffuse broncho-interstitial pattern. Most likely representing age-related lower airway changes, however a component of chronic bronchitis is possible, especially if there is a history of abnormal respiratory sounds, wheezing and/or coughing._x000D_
_x000D_
3.  Aerophagia.</t>
  </si>
  <si>
    <t xml:space="preserve">
1.MILD BRONCHOINTERSTITIAL PULMONARY PATTERN; MILD DYNAMIC AIRWAY DISEASE; ATELECTASIS or less likely, pneumonia._x000D_
2.MILD BRONCHOINTERSTITIAL PULMONARY PATTERN; MILD DYNAMIC AIRWAY DISEASE; MILD PERIHILAR INFILTRATE._x000D_
3.Based on these AI airway/pulmonary findings, the probability of this patient having clinically detectable respiratory signs is MEDIUM (50%)_x000D_
4.Pleural fissure lines or moderate pleural effusion has been detected. An overlying skin fold or in a moderately overweight animal, excessive pericardial fat could artifactually mimic the result of moderate pleural effusion._x000D_
5.Severe cardiomegaly has been detected but Heart Failure is NOT suspected._x000D_
6.Are respiratory signs present? If YES._x000D_
7.Are respiratory signs present? If NO._x000D_
8.Are respiratory signs present? If NO._x000D_
9.Are respiratory signs present? If YES.</t>
  </si>
  <si>
    <t>Study:_x000D_
Spinal radiography (including the thorax and abdomen) dated August 29, 2024_x000D_
_x000D_
Findings:_x000D_
There is narrowing of the L1-L2 through L5-L6 intervertebral disc spaces with variable mild to severe spondylosis deformans. The L3-L4 through L5-L6 intervertebral space endplates are sclerotic. The included appendicular skeletal structures are unremarkable.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with a normal diameter. The liver and spleen are normal in size and margin. The kidneys are normal in size and contour. The urinary bladder is normal in size and opacity.</t>
  </si>
  <si>
    <t>1. L1-L2 through L5-L6 intervertebral disc disease._x000D_
2. Normal thorax._x000D_
3. Unremarkable abdomen.</t>
  </si>
  <si>
    <t>Neurology consultation and MRI can be considered for further evaluation if the clinical signs persist or worsen in spite of strict activity restriction and pain management.</t>
  </si>
  <si>
    <t>Orthogonal radiographs of the thorax/abdomen are provided. The cardiac silhouette and pulmonary vessels are normal size and shape. There are no abnormalities in the pulmonary parenchyma or pleural space. No rib fractures. The diaphragm is intact. Normal proximal thoracic limbs. In the abdomen serosal detail is normal. The gastrointestinal tract and urinary bladder are minimally filled. No organomegaly. Vertebral alignment is normal. The L2-3 intervertebral foramen is slightly more opaque than those on either side. No other spinal abnormalities.</t>
  </si>
  <si>
    <t>The appearance of L2-3 is suggestive of a protruding/extruded intervertebral disc. Such a lesion at this or another site is the most likely cause for discomfort. Otherwise normal abdomen and thorax.</t>
  </si>
  <si>
    <t>This patient may benefit from anti-inflammatories and strict rest.</t>
  </si>
  <si>
    <t>6 views of the thorax, abdomen, and thoracic limbs are submitted for review._x000D_
In the thorax, the cardiac silhouette and pulmonary vasculature are within normal limits.  Multiple punctate mineral opacities consistent with pulmonary osteomas are noted throughout the lung fields.  Mild bronchointerstitial markings are also noted in the lung fields.  No pleural effusion or intra-thoracic of adenopathy is seen.  The trachea is normal in diameter._x000D_
In the limited view of the abdomen, the stomach contains a moderate amount of food-like material.  The small bowel and colon are within normal limits.  The liver, spleen, unobscured margins of the renal silhouettes, and visible portion of urinary bladder are normal.  Serosal detail is adequate._x000D_
Very mild osteophytes are noted at the caudal aspect of both humeral heads.  Mild periarticular osteophytosis and bony remodeling is noted at the distal humerus and proximal radius on both sides.  Medial coronoid process of the right elbow is not well-delineated.  No definitive abnormalities are noted in the distal antebrachium in either limb. Moderate degenerative changes are noted in the lumbar spine.</t>
  </si>
  <si>
    <t>Essentially radiographically normal geriatric thorax.  No evidence of pulmonary metastatic neoplasia is seen._x000D_
Mild degenerative changes in the bilateral shoulders and elbows.  No aggressive bony changes are noted._x000D_
Subjectively radiographically normal postprandial abdomen.</t>
  </si>
  <si>
    <t>Study:_x000D_
Thoracic radiography: three images dated August 29, 2024_x000D_
_x000D_
Findings:_x000D_
The cardiac silhouette is normal in size and shape. The pulmonary vasculature is normal in size. There is increased conspicuity of the vessels in the cranial mediastinum secondary to decreased mediastinal fat. The pulmonary parenchyma is unremarkable. The pleural space is normal. There is no intrathoracic lymphadenopathy. The trachea is normal in diameter. The stomach contains heterogeneous soft tissue material presumed to be ingesta. There is moderate T4-T5 and severe T 11-T 12 spondylosis deformans.</t>
  </si>
  <si>
    <t>Normal thorax. There is no radiographic evidence of cardiopulmonary disease.</t>
  </si>
  <si>
    <t>Consider computed tomography of the head and rhinoscopy for further evaluation of the reported epistaxis._x000D_
_x000D_
 Consider echocardiography for further evaluation of the reported heart murmur.</t>
  </si>
  <si>
    <t xml:space="preserve">
1.The cardiac silhouette size is normal._x000D_
2.There is no evidence of BRONCHITIS or DYNAMIC AIRWAY COLLAPSE or BRONCHIECTASIS._x000D_
3.A minimal perihilar infiltrate has been detected.</t>
  </si>
  <si>
    <t>Four radiographs of the thorax are provided and are compared to images dated August 28, 2024. There is slight reduced pleural fluid volume compared to the previous study, but the diffuse severe unstructured interstitial pattern is similar to before. Cranial lobar veins remain enlarged. The cardiac silhouette is upper normal size. No other changes.</t>
  </si>
  <si>
    <t>There is slight improved pleural effusion but otherwise the severe interstitial pattern is essentially unchanged. No definitive cardiomegaly today, however pulmonary veins remain enlarged consistent with venous congestion.</t>
  </si>
  <si>
    <t>Since there is no clinical improvement, minimal radiographic improvement with diuretics, and the patient did not improve previously with antibiotics, additional diagnostics such as pleural space ultrasound with fluid sampling, and airway cytology should be considered.</t>
  </si>
  <si>
    <t xml:space="preserve">
1.The evaluation result has a strong suspicion of soft tissue pulmonary nodules being present._x000D_
2.PULMONARY NODULES or NODULAR PATTERN; MODERATE INTERSTITIAL TO ALVEOLAR PATTERN; MILD BRONCHITIS._x000D_
3.Based on the AI airway/pulmonary findings, the probability of this patient having soft tissue pulmonary nodules and clinically detectable respiratory signs is VERY HIGH (&gt;75%)_x000D_
4.A severe alveolar pattern has been detected._x000D_
5.Pleural fissure lines or moderate to severe pleural effusion has been detected. An overlying skin fold or in an obese animal, excessive pericardial fat could artifactually mimic the result of severe pleural effusion._x000D_
6.The cardiac silhouette size is normal.</t>
  </si>
  <si>
    <t>Three radiographs of the thorax and three views of the abdomen are provided. Images dated 3/14/17 are available for comparison. The cardiac silhouette is normal size and shape. The lungs are clear. There is no pleural effusion and the trachea is normal diameter. Mild soft tissue thickening with a few punctate gas lucencies dorsal to the scapulae is likely recent subcutaneous fluid injection site._x000D_
_x000D_
In the abdomen there is moderate volume of formed feces in the colon. Small intestines are mildly fluid-filled. Small volume soft tissue density in the stomach. There are a few punctate mineral densities in the stomach and distal colon, likely incidental. No severe intestinal distention. Normal size kidneys, spleen, liver. No radiopaque cystic calculi. L2-3 intervertebral foramen is slightly reduced in size. No other lumbar spinal abnormalities. The coxofemoral joints are congruent and patella position is normal.</t>
  </si>
  <si>
    <t>The appearance of L2-3 is suggestive of a protruding/extruded intervertebral disc. Such a lesion at this or another site could be responsible for the discomfort. Gastric contents appears to be normal ingesta. Foreign material is felt to be unlikely in the absence of vomiting. Otherwise normal postprandial abdomen and thorax.</t>
  </si>
  <si>
    <t>Recommend a CBC, blood chemistry profile, and palpation paraspinal discomfort. If there is no spinal pain with palpation, fasted abdominal ultrasound should be considered.</t>
  </si>
  <si>
    <t>8 images of the thorax, abdomen, pelvis, and pelvic limbs are provided for review.  The cardiovascular structures are normal.  There is a moderate bronchial pattern in all lung lobes.  The mediastinal and pleural structures are normal.  The trachea is mildly narrowed in the cervical region.  Abdominal serosal detail is adequate in all quadrants.  The liver margins are rounded and extend beyond the costal arch, causing caudal displacement of the gastric axis.  The stomach contains a moderate amount of gas.  The small intestines are normal in size.  Gas and feces are present in the colon.  The urinary bladder is small.  The remaining abdominal organs are normal.  The coxofemoral joints are congruent.  The patellae are medially located.  No fractures or aggressive osseous lesions are seen.  Osteophytes are seen at the dorsal aspects of the distal intertarsal and tarsometatarsal joints bilaterally.</t>
  </si>
  <si>
    <t>Hepatomegaly=ZZ90= this is a nonspecific finding that may be seen with congestion, vacuolar hepatopathy, inflammation, neoplasia, etc.  Abdominal ultrasound may be helpful in further evaluation if biochemically indicated.  Moderate bronchial pulmonary pattern=ZZ90= consider bronchitis, response to inhaled irritants, response to circulating parasites, eosinophilic bronchopneumopathy.  Airway sampling may be helpful in further evaluation.  Tracheal narrowing suggestive of tracheal collapse.  Bilateral medial patellar luxation.  Bilateral tarsal DJD.</t>
  </si>
  <si>
    <t>Study:_x000D_
Thoracic radiography: three images dated August 29, 2024_x000D_
_x000D_
Findings:_x000D_
The cardiac silhouette and pulmonary vasculature are normal in size. The pulmonary parenchyma is unremarkable. The pleural space is normal. There is no intrathoracic lymphadenopathy. The trachea is normal in diameter and course. There is no esophageal dilation. The included abdomen is unremarkable. No skeletal abnormalities present.</t>
  </si>
  <si>
    <t>Normal thorax. There is no radiographic evidence of cardiopulmonary disease. A cause of coughing is not evident. Consider esophagitis or tracheitis secondary to vomiting and micro-aspiration. The lack of a bronchial pulmonary pattern does not exclude the possibility of allergic, inflammatory, infectious, inhaled irritant or parasitic bronchitis.</t>
  </si>
  <si>
    <t>Infectious respiratory disease PCR testing, airway sampling plus/minus heartworm testing and Baermann fecal flotation can be considered to further evaluate the reported coughing if the clinical signs persist or worsen.</t>
  </si>
  <si>
    <t>5 images of the thorax and abdomen are presented for review.  The cardiovascular and pulmonary structures are normal.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small.  The remaining abdominal organs are normal.  Multiple hemivertebrae are present in the thoracic and sacrocaudal spine.</t>
  </si>
  <si>
    <t>Radiographically normal thorax and abdomen.  Congenital hemivertebrae.</t>
  </si>
  <si>
    <t>Study:_x000D_
Abdominal radiography: survey radiographs and upper G.I. series: 15 images dated August 29, 2024_x000D_
_x000D_
Findings:_x000D_
In the survey radiographs, the stomach contains a small volume of gas. The small intestines are normal in size, course and content. The colon contains formed fecal material. Evaluation of the upper G.I. series is limited by the lack of orthogonal views. There no filling defects within the stomach are small intestines on the upper G.I. series. There is no small intestinal dilation of the upper G.I. series. Throughout the course of the upper G.I. series, there is progressive gastric emptying and progressive small intestinal filling. The gastric transit time appears within normal limits. The contrast medium has not reached the colon by the end of the examination. The liver is mildly enlarged with smooth margins. The spleen is normal in size and margin. The renal silhouettes are normal in size and contour. There is multifocal vessel wall mineralization in the retro-peritoneal space. There is a punctate mineral opacity in the urinary bladder on all lateral projections. The prostate is mildly enlarged with smooth margins. The included thorax is normal. The T 13 vertebra is transitional with bilateral hypoplastic ribs. The L7 vertebra is also transitional. There is moderate L6-L7 spondylosis deformans. There is mild right stifle periarticular bone formation.</t>
  </si>
  <si>
    <t>1. The gastrointestinal tract is unremarkable.There is no radiographic evidence of gastrointestinal foreign material or small intestinal mechanical obstruction. Abdominal sonography can be considered for further evaluation if clinical signs persist or worsen in spite of medical management._x000D_
2. The retroperitoneal vessel wall mineralization is suggestive of metastatic calcification. Correlate with any hypercalcemia._x000D_
3. The generalized hepatomegaly is nonspecific. Rule out metabolic/vacuolar hepatopathy, hyperplasia, hepatitis or infiltrative neoplasia. Sonography can be considered for further evaluation._x000D_
4. Cystolith. Recommend urinalysis for further evaluation._x000D_
5. Mild prostatomegaly. Rule out intact normal variant, benign prostatic hyperplasia and/or prostatitis._x000D_
6. Mild right stifle osteoarthrosis.</t>
  </si>
  <si>
    <t>Thorax: There is mild left-sided cardiomegaly.  The pulmonary vasculature and pulmonary parenchyma are unremarkable.  There is no evidence of lymphadenopathy or pleural effusion._x000D_
_x000D_
Abdomen: The liver and spleen are unremarkable.  There are no abnormalities involving the visible portions of the gastrointestinal tract or urinary tract.  Serosal detail is normal._x000D_
_x000D_
Spine: It is difficult to assess the cervical portion of the spine on the lateral view due to obliquity however on the ventrodorsal view there is possible narrowing of intervertebral disc spaces C5-6 and C6-7 there are no abnormalities involving the thoracolumbar spine.  There are no abnormalities involving the pelvis.</t>
  </si>
  <si>
    <t>Left-sided cardiomegaly without evidence of decompensation._x000D_
_x000D_
Possible narrowing of intervertebral disc spaces C5-6 and C6-7.</t>
  </si>
  <si>
    <t xml:space="preserve">
1.A moderate to severe interstitial to alveolar infiltrate with a mild perihilar infiltrate has been identified._x000D_
2.Are respiratory signs present? If YES._x000D_
3.Are respiratory signs present? If NO._x000D_
4.The cardiac silhouette size is normal._x000D_
5.Severe pleural effusion has been detected._x000D_
6.SEVERE PLEURAL EFFUSION; MODERATE TO SEVERE INTERSTITIAL to ALVEOLAR PATTERN; MILD BRONCHIAL PATTERN._x000D_
7.Based on the AI airway/pulmonary findings, the probability of this patient having clinically detectable respiratory signs is VERY HIGH (&gt;75%)</t>
  </si>
  <si>
    <t>3 views of the thorax are submitted for review.  The left atrium is mild to moderately enlarged.  The pulmonary vasculature is normal in size and tapers as it extends into the periphery.  Mild bronchointerstitial markings are noted in the lung fields.  No evidence of cardiogenic pulmonary edema is seen.  The trachea is generally normal in diameter.  There is possible mild narrowing of the mainstem bronchi on the left lateral view.  No pleural effusion or intrathoracic lymphadenopathy is noted.  The visible cranial abdomen is unremarkable.  No aggressive bony changes are noted.</t>
  </si>
  <si>
    <t>The appearance of the lung fields is most consistent with chronic inflammatory airway disease and/or incidental age-related change.  The appearance of the heart is consistent with stage B2 myxomatous mitral valve disease.  No evidence of left-sided congestive heart failure is noted.  Dynamic mainstem bronchial collapse cannot be excluded.</t>
  </si>
  <si>
    <t>Underlying acute or chronic respiratory disease is thought to be most likely cause of the cough, possibly complicated by dynamic mainstem bronchial collapse or compression._x000D_
_x000D_
Symptomatic medical management may be helpful.  An echocardiogram could be considered for further evaluate cardiac size and function.  Pimobendan is likely indicated based on the radiographic appearance of the heart.</t>
  </si>
  <si>
    <t xml:space="preserve">
1.Are respiratory signs present? If YES._x000D_
2.Are respiratory signs present? If YES._x000D_
3.Are respiratory signs present? If NO._x000D_
4.Are respiratory signs present? If NO._x000D_
5.MILD BRONCHOINTERSTITIAL PULMONARY PATTERN; MILD DYNAMIC AIRWAY DISEASE; ATELECTASIS or less likely, pneumonia._x000D_
6.MILD BRONCHOINTERSTITIAL PULMONARY PATTERN; MILD DYNAMIC AIRWAY DISEASE; MILD PERIHILAR INFILTRATE._x000D_
7.Based on these AI airway/pulmonary findings, the probability of this patient having clinically detectable respiratory signs is MEDIUM (50%)_x000D_
8.Severe cardiomegaly has been detected but Heart Failure is NOT suspected.</t>
  </si>
  <si>
    <t>Six orthogonal survey radiographs of the thorax and abdomen dated 28th August 2024 are available for review. There are no previous radiographs available for comparison. _x000D_
_x000D_
Thorax:_x000D_
Airway findings: The trachea is elevated within the thorax. There is narrowing of the mainstem bronchi. There is widening of the tracheal bifurcation. There is a mild interstitial opacification in the region of the tracheal bifurcation. No nodules or masses are seen._x000D_
_x000D_
Cardiovascular findings: There is a moderate sized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80% of the width of the thoracic volume. The cranial and caudal pulmonary vasculature are normal. The caudal vena cava is enlarged._x000D_
_x000D_
Mediastinum and pleural space: There is mild ventral soft tissue attenuation consistent with mild pleural effusion._x000D_
: _x000D_
Abdomen: The abdomen is severely enlarged. The hepatic silhouette is enlarged, with a lobular appearance. There is near complete loss of serosal detail in the abdomen, with the falciform fat more lucent. The spleen is poorly visible. The kidneys are poorly visible. The intestines are poorly visible, however no segmental dilation is noted. The urinary bladder is poorly visible._x000D_
_x000D_
Musculoskeletal findings: The patient is overweight.</t>
  </si>
  <si>
    <t>1.Mainly left sided cardiomegaly most likely due to mitral valve insufficiency, or a mitral and tricuspid valve insufficiency. The evidence for cardiac insufficiency is equivocal, the interstitial opacification may be due to superimposition of tissues, or due to early cardiogenic pulmonary oedema._x000D_
2. Likely tracheomalacia, dynamic bronchial compression due to the cardiomegaly. This may cause the coughing. Early cardiogenic pulmonary oedema may also cause coughing._x000D_
3. Loss of serosal detail may be due to ascites secondary to right heart failure. Paraneoplastic transudate is possible._x000D_
4. The hepatomegaly may be due to congestion secondary to cardiac insufficiency, however considering size, hepatic neoplasia needs to be excluded. A splenic neoplasm is also possible.</t>
  </si>
  <si>
    <t>Management for left sided congestive heart failure including diuretic therapy with oxygen support as needed. ECG and systemic blood pressure monitoring. Recommend repeat thoracic radiographs after 24-48 hours of therapy, sooner if clinically indicated. Continued monitoring of renal values and urinalysis._x000D_
_x000D_
Once stabilized, an echocardiogram is recommended, as well as an abdominal ultrasound with abdominocentesis of any free fluid, and FNA of any abnormal organs, after normal blood work and coagulation testing.</t>
  </si>
  <si>
    <t xml:space="preserve">
1.AI linked information on dynamic airway collapse treatment in dogs: https://platform.v2.vetology.net/doc/canine-tracheal-collapse-treatment_x000D_
2.Are respiratory signs present? If NO._x000D_
3.Are respiratory signs present? If YES._x000D_
4.MILD BRONCHOINTERSTITIAL PULMONARY PATTERN WITH ATELECTASIS or LESS LIKELY, PNEUMONIA, MILD PERIHILAR INFILTRATE._x000D_
5.MODERATE DYNAMIC AIRWAY DISEASE; MILD BRONCHOINTERSTITIAL PULMONARY PATTERN; ATELECTASIS or ALVEOLAR INFILTRATE._x000D_
6.Based on these AI airway/pulmonary findings, the probability of this patient having clinically detectable respiratory signs is MEDIUM (50%)_x000D_
7.Probability these AI pulmonary findings will accompany clinically detectable respiratory signs: MILD TO MODERATE (25-50%)_x000D_
8.Are respiratory signs present? If YES._x000D_
9.Are respiratory signs present? If NO._x000D_
10.Severe cardiomegaly has been detected but Heart Failure is NOT suspected.</t>
  </si>
  <si>
    <t>Orthogonal views of the thorax and abdomen and a lateral neck view are provided._x000D_
_x000D_
The heart is within normal size and shape limits. The pulmonary vessels and parenchyma are within normal limits for patient age._x000D_
The spleen is mildly enlarged. The margins are smooth. The other abdominal organs are within normal limits._x000D_
_x000D_
There is irregularity of the endplate contour at the thoracolumbar junction, with a concave shape seen involving the caudal endplate of T13. All the disc spaces from T12 to L3 are narrowed. Marked narrowing is also seen at C3-C4 and C6-C7. L4-L5 is moderately narrowed Moderate spondylosis is present in the caudal cervical and thoracolumbar spine.</t>
  </si>
  <si>
    <t>1) The endplate changes at T13-L1 are concerning for discospondylitis. This appears chronic._x000D_
_x000D_
2) Disc space narrowing at multiple locations in the cervical and thoracolumbar spine is also present consistent with disc degeneration. Clinical relevance would depend on results of neurologic exam._x000D_
_x000D_
3) The cardiovascular structures are within normal limits. No findings concerning for significant cardiac chamber dilation or heart failure are identified. Chronic valve disease is most likely responsible for the murmur._x000D_
_x000D_
4) There is mild splenomegaly. This is suspected to be a reactive change, possibly in response to suspected discospondylitis. Lymphoreticular neoplasia can also result in splenomegaly but is not likely in the absence of more apparent systemic illness.</t>
  </si>
  <si>
    <t>CBC, serum chemistry, urinalysis, and urine culture is recommended. Blood culture should also be considered due to the suspicion of discospondylitis._x000D_
Cross sectional imaging or nuclear scintigraphy would be ideal to help determine if the appearance of endplate destruction is due to active for previous disease.</t>
  </si>
  <si>
    <t xml:space="preserve">
1.Pleural fissure lines or small volume pleural effusion has been detected. In a mildly overweight animal, excessive pericardial fat can artifactually mimic the result of minimal pleural effusion._x000D_
2.Severe cardiomegaly has been detected but Heart Failure is NOT suspected._x000D_
3.Are respiratory signs present? If NO._x000D_
4.MODERATE BRONCHOINTERSTITIAL PULMONARY PATTERN; MILD DYNAMIC AIRWAY DISEASE; ATELECTASIS or less likely, pneumonia; MINIMAL PERIHILAR INFILTRATE._x000D_
5.Based on the AI airway/pulmonary findings, the probability of this patient having clinically detectable respiratory signs is MEDIUM to HIGH (50%-75%)_x000D_
6.Are respiratory signs present? If YES.</t>
  </si>
  <si>
    <t>A three view study of the thorax that includes most of the abdomen is provided for interpretation._x000D_
A previous study made 6-19-24 by ELC Veterinary Clinic is also provided for comparison._x000D_
_x000D_
The previous study shows a moderate bronchointerstitial pulmonary pattern. No alveolar infiltrates are seen. There is also borderline liver size, at the upper end of normal range, with moderate rounding of the caudal liver margin._x000D_
_x000D_
The current study shows a similar diffuse moderate bronchointerstitial pattern. No new abnormalities are seen in the thorax=ZZ90= the appearance is unchanged. The cardiovascular structures are within normal limits. No tracheal or laryngeal abnormalities are identified._x000D_
The liver is at the upper end of normal size range, with moderate rounding of the caudal ventral margin similar to the previous radiographs. The other abdominal organs are unremarkable.</t>
  </si>
  <si>
    <t>There is a moderate diffuse bronchointerstitial pattern. The appearance is consistent with bronchitis, most likely chronic bronchitis of and idiopathic or allergic nature. There is a possibility of secondary viral or bacterial infection, but no alveolar infiltrates that would specifically be indicative of infectious causes or pneumonia are identified. No evidence of tracheal collapse or cardiac disease is identified._x000D_
_x000D_
The liver changes are minor, and would be compatible with hyperplastic change. This does not rule out neoplasia. The rest of the abdomen is unremarkable.</t>
  </si>
  <si>
    <t>Considering the difficult control of the cough, bronchoscopy should be considered to assist definitive diagnosis of the pulmonary disease.</t>
  </si>
  <si>
    <t xml:space="preserve">
1.Are respiratory signs present? If NO._x000D_
2.MODERATE INTERSTITIAL TO ALVEOLAR INFILTRATE; MILD BRONCHIAL PATTERN; MILD PERIHILAR INFILTRATE._x000D_
3.Based on these AI airway/pulmonary findings,  the probability of this patient having clinically detectable respiratory signs is HIGH (75%)_x000D_
4.Are respiratory signs present? If YES._x000D_
5.Minimal cardiomegaly has been detected but Heart Failure is NOT suspected.</t>
  </si>
  <si>
    <t>Four radiographs of the thorax are provided. The cardiac silhouette is upper normal size. Pulmonary arteries and veins are symmetric and taper as expected. There is a mild mixed bronchointerstitial pattern throughout the lungs. Fat deposition separates the heart from the sternum on the lateral views. There is no pleural effusion or soft tissue pulmonary nodules. Round increased opacity overlying the caudal lateral left thorax on the VD projection is superimposed costochondral junction. Normal cranial mediastinum and tracheal diameter.</t>
  </si>
  <si>
    <t>Mild mixed bronchointerstitial pattern is most likely normal age change. Chronic airway inflammation such as allergic bronchitis can also cause this appearance. No other abnormalities are identified to explain the coughing. The cardiac silhouette is upper normal size. Early/mild cardiomyopathy is not ruled out. There is no evidence of heart failure. This is not felt to be responsible for coughing.</t>
  </si>
  <si>
    <t>With the progressive murmur and respiratory signs, an echocardiogram is recommended.</t>
  </si>
  <si>
    <t>Three radiographs of the thorax, dorsopalmar projection of both distal thoracic limbs, and a lateral view of the right manus are provided. In the thorax the cardiac silhouette is mildly enlarged. Pulmonary vessels are normal size. There are several incidental pulmonary osteomas. No soft tissue pulmonary nodules or pleural effusion. Normal tracheal diameter. There is poorly defined increased opacity overlying the greater tubercle of the cranially positioned humerus and mild enthesophyte formation on the caudal aspect of the contralateral shoulder on the left lateral view. There is enthesophyte formation noted in the right bicipital groove on the VD projection._x000D_
_x000D_
There is a well delineated smoothly irregular round 4.0 x 3.9 cm mineralized mass encircling the mid and distal aspect of the right 4th and 5th metacarpal bones, also partially overlying the 3rd metacarpal bone. No definitive lysis is appreciated. There is mild adjacent soft tissue swelling. Incidental bipartite abaxial proximal sesamoid in the right 2nd digit. No abnormalities in the left manus.</t>
  </si>
  <si>
    <t>1. Mineralized mass in the lateral right manus, most likely malignant neoplasia such as osteosarcoma. With the smoothly irregular margins and lack of definitive lysis, a benign lesion such as osteochondroma is not ruled out._x000D_
2. Mild cardiomegaly, concerning for cardiomyopathy. There is no evidence of heart failure or nodular pulmonary metastatic disease._x000D_
3. Evidence of bicipital tendinopathy on the right. Mild shoulder osteoarthritis on the left.</t>
  </si>
  <si>
    <t>If the patient has a murmur or arrhythmia, an echocardiogram would be recommended. Otherwise cardiac proBNP evaluation could be considered. Histopathology of the right manus mass would be necessary for a definitive diagnosis.</t>
  </si>
  <si>
    <t xml:space="preserve">
1.A minimal bronchointerstitial pulmonary pattern has been detected._x000D_
2.The cardiac silhouette size is normal._x000D_
3.There is no evidence of PERIHILAR INFILTRATE or DYNAMIC AIRWAY COLLAPSE or BRONCHIECTASIS._x000D_
4.Pleural fissure lines or moderate to severe pleural effusion has been detected. An overlying skin fold or in an obese animal, excessive pericardial fat could artifactually mimic the result of severe pleural effusion.</t>
  </si>
  <si>
    <t>Thorax: There is focal collapse of the distal portion of the extrathoracic trachea near the thoracic inlet.  There is mild generalized cardiomegaly.  On the lateral view there is a interstitial pattern within the caudal dorsal thorax.  This is not identified on the ventrodorsal view and is augmented by pulmonary underinflation.  There is no evidence of pleural effusion or lymphadenopathy.  There is a soft tissue opacity within the gastric lumen.</t>
  </si>
  <si>
    <t>Focal collapse of the extrathoracic trachea._x000D_
_x000D_
Mild generalized cardiomegaly without evidence of decompensation._x000D_
_x000D_
The appearance of the pulmonary parenchyma within the caudal dorsal thorax is most likely artifactual and due to underinflation._x000D_
_x000D_
The soft tissue opacity within the gastric lumen most likely represents normal ingesta however foreign material cannot be ruled out.</t>
  </si>
  <si>
    <t xml:space="preserve">
1.MODERATE BRONCHOINTERSTITIAL PULMONARY PATTERN; MODERATE DYNAMIC AIRWAY DISEASE; MODERATE ALVEOLAR INFILTRATE or ATELECTASIS._x000D_
2.MODERATE INTERSTITIAL TO ALVEOLAR INFILTRATE; CONCURRENT MODERATE BRONCHIAL PATTERN; MILD PERIHILAR INFILTRATE._x000D_
3.Based on the AI airway/pulmonary findings, the probability of this patient having clinically detectable respiratorysigns is MEDIUM to HIGH (50-75%)_x000D_
4.Based on these AI airway/pulmonary findings, the probability of this patient having clinically detectable respiratory signs is HIGH (75%)_x000D_
5.Severe cardiomegaly has been detected but Heart Failure is NOT suspected._x000D_
6.Are respiratory signs present? If YES._x000D_
7.AI linked bacterial pneumonia treatment in dogs: https://platform.v2.vetology.net/doc/pneumonia-in-dogs-and-cats_x000D_
8.Are respiratory signs present? If NO._x000D_
9.Are respiratory signs present? If YES._x000D_
10.Are respiratory signs present? If NO._x000D_
11.The evaluation has come up positive for a pulmonary nodular pattern.</t>
  </si>
  <si>
    <t>Opposite lateral and VD views that include the thorax and abdomen are provided. There are four images total._x000D_
_x000D_
The heart is within normal size and shape limits. Pulmonary vessels are normal. There is a mild overall increase in unstructured interstitial lung opacity. No edema pattern is seen. The abdominal organs are all within normal size and shape limits. Mild chronic remodeling changes are identified involving both shoulders. No spinal abnormalities are identified. The pelvis and hips are within normal limits.</t>
  </si>
  <si>
    <t>No evidence of significant cardiac chamber dilation or heart failure is identified._x000D_
_x000D_
Interstitial lung opacity is slightly more prominent than expected. However, in the absence of relevant clinical signs is still is most likely the result of age related change. Viral or allergic pneumonitis should be ruled out if coughing is a clinical problem._x000D_
_x000D_
No abdominal abnormalities are identified.</t>
  </si>
  <si>
    <t>There is no indication for cardiac medical management at this time. Recheck radiographs are recommended in 6 to 12 months.</t>
  </si>
  <si>
    <t>Six images are provided.  
Images are dated August 26, 2024.
One image is non-diagnostic and contains only noise.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soft tissue band superimposes over the dorsal aspect of the mid-cervical trachea.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mild to moderate volume of soft tissue admixed with gas.   The stomach is within normal limits for size.
The small intestine contains mild gas and fluid or is empty with a subjectively uniform population for size. 
The colon contains mild well-defined soft tissue material and gas.  The colon is within normal limits for size.  
Musculoskeletal: The included musculoskeletal structures are normal.</t>
  </si>
  <si>
    <t xml:space="preserve">1. Minimal diffuse bronchial pulmonary pattern such as from fibrosis from prior disease, age-related changes, infectious/immune-mediated lower airway disease, or unlikely other.
2. Dorsal redundant tracheal membrane with/without underlying dynamic airway disease, or less likely superimposed normal structures.
3. Mild gastric material due to recent meal and/or gastritis/delayed gastric emptying, or unlikely other.  
4. Non-specific small intestinal appearance due to normal variation or non-specific enteritis.
- There is no current evidence of gastrointestinal mechanical ileus.
- Differential diagnoses include dietary indiscretion, toxin ingestion, diet/antibiotic responsive disease, inflammatory bowel disease, pancreatitis, occult systemic disease or unlikely other.
</t>
  </si>
  <si>
    <t>Consider airway sampling, respiratory PCR panel, tracheoscopy/bronchoscopy/fluoroscopy for further evaluation of dynamic airway disease.  Consider routine blood work, GI panel, empirical deworming/fecal analysis  for further evaluation of reported gastrointestinal clinical signs. Abdominal ultrasonography may be contributory.  Monitoring as directed or sooner if clinical signs acutely change, fail to improve or worsen.</t>
  </si>
  <si>
    <t>Study:_x000D_
Thoracic radiography: four images dated August 28, 2024_x000D_
_x000D_
Findings:_x000D_
The cardiac silhouette and pulmonary vasculature are normal in size. There is a mild diffuse bronchointerstitial pulmonary pattern. The pleural space is normal. There is no intrathoracic lymphadenopathy. The trachea is normal in diameter and course. There is gas dilation of the laryngeal ventricles. The stomach contains unstructured heterogeneous soft tissue material presumed to be ingesta. Minimal periarticular bone formation is present at the caudodistal aspect the humeral head bilaterally. There is mild T6-T7 spondylosis deformans.</t>
  </si>
  <si>
    <t>1. Gas dilation of the laryngeal ventricles can be an indicator of laryngeal paralysis. Sedated laryngeal exam can be considered for further evaluation._x000D_
2. The diffuse bronchointerstitial pulmonary pattern is a nonspecific finding. This is most likely a benign age-related change. Allergic, inflammatory, infectious, inhaled irritant or parasitic bronchitis cannot be completely excluded. Airway sampling plus/minus heartworm testing and Baermann fecal flotation can be considered to further evaluate for lower disease._x000D_
3. Minimal bilateral shoulder osteoarthrosis.</t>
  </si>
  <si>
    <t>Study:_x000D_
Thoracic radiography: three images dated August 28, 2024_x000D_
_x000D_
Findings:_x000D_
The cardiac silhouette and pulmonary vasculature are normal in size. There is a mild generalized bronchointerstitial pulmonary pattern. The pleural space is normal. There is no intrathoracic lymphadenopathy. The trachea is normal in diameter and course. There is no lobar bronchi narrowing. There is no esophageal dilation. The included abdomen is unremarkable. No skeletal abnormalities are present.</t>
  </si>
  <si>
    <t>The diffuse bronchointerstitial pulmonary pattern is a nonspecific finding. This could be a benign age-related change or may indicate allergic, inflammatory, infectious, inhaled irritant or parasitic bronchitis. Airway sampling plus/minus heartworm testing and Baermann fecal flotation can be considered to further evaluate for lower airway disease. Laryngeal paralysis should also be considered as a potential cause of the reported coughing.</t>
  </si>
  <si>
    <t xml:space="preserve">
1.Based on these AI airway/pulmonary findings, the probability of this patient having clinically detectable respiratory signs is MEDIUM (50%)_x000D_
2.Are respiratory signs present? If YES._x000D_
3.AI linked bacterial pneumonia treatment in dogs: https://platform.v2.vetology.net/doc/pneumonia-in-dogs-and-cats_x000D_
4.Are respiratory signs present? If NO._x000D_
5.The evaluation has come up positive for a pulmonary nodular pattern._x000D_
6.The cardiac silhouette size is normal._x000D_
7.A moderate bronchointerstitial pattern with alveolar infiltrates has been detected._x000D_
8.MODERATE INTERSITIAL TO ALVEOLAR PATTERN; MINIMAL PERIHILAR INFILTRATE.</t>
  </si>
  <si>
    <t>A lateral radiograph of the thorax, and four views of the abdomen are provided. The cardiac silhouette and pulmonary vessels are normal size. There are no abnormalities in the pulmonary parenchyma. No pleural effusion. Fat deposition separates the heart and lungs from the sternum. Adequate tracheal diameter. Narrowed T9-10 intervertebral disc space, of doubtful significance today._x000D_
_x000D_
In the abdomen minimally formed feces is present in the distal descending colon. The stomach and small bowel are minimally distended. Small volume gas and scant amorphous soft tissue density in the stomach. The liver is mildly enlarged with rounded margins. Normal-sized spleen and kidneys. No radiopaque cystic calculi.</t>
  </si>
  <si>
    <t>1. Diarrhea. Enterocolitis secondary to dietary indiscretion or infectious etiology is most likely. There is no evidence of an obstructive process._x000D_
2. Mild hepatomegaly, a nonspecific finding that may be due to acute inflammation, hepatopathy, or neoplasia._x000D_
3. Normal thorax.</t>
  </si>
  <si>
    <t>Recommend a CBC, blood chemistry profile, fecal examination, and supportive care. Depending on blood work results, further investigation with abdominal ultrasound could be considered.</t>
  </si>
  <si>
    <t xml:space="preserve">
1.A mild perihilar infiltrate and minimal bronchial pattern have been detected_x000D_
2.The cardiac silhouette size is normal._x000D_
3.There is no evidence of ALVEOLAR PATTERN, DYNAMIC AIRWAY COLLAPSE or BRONCHIECTASIS or PLEURAL EFFUSION.</t>
  </si>
  <si>
    <t>Study:_x000D_
Abdominal radiography: five images dated August 28, 2024_x000D_
_x000D_
Findings:_x000D_
The VD view timestamped 3:54 PM is mislabeled. The serosal detail is adequate. On all three VD projections, gas outlines the lateral margin of an indistinct ovoid soft tissue opacity in the fundic portion of the stomach. The pylorus is probably gas-filled on the left lateral image. The small intestines are gas and fluid-filled and normal in size and course. The colon contains gas and formed fecal material. The liver and spleen are normal in size and margin. The renal silhouettes are normal in size and contour. The urinary bladder is normal in size and opacity. The included thorax is unremarkable. No skeletal abnormalities are present.</t>
  </si>
  <si>
    <t>The ovoid soft tissue opacity in the stomach may represent food, foreign material or and intraluminal mass. The abdomen is otherwise unremarkable. There is no evidence of small intestinal mechanical obstruction.</t>
  </si>
  <si>
    <t>Repeat facet radiography can be considered to monitor for persistence or resolution of the soft tissue material in the stomach. Alternatively, sonography can be considered for further evaluation if clinical signs persist or worsen in spite of medical management.</t>
  </si>
  <si>
    <t xml:space="preserve">Six images are provided.
Images are dated August 28, 2024.
Bones/Joints:
Atypical osteoma versus other at the distolateral cortex of the right ulna.
The included right carpus, metacarpus and digits are normal.
Left elbow osteoarthrosis is suspected.  The left medial coronoid process is not well-identified. Osteophytes are in the region of the left medial coronoid process in the craniocaudal image.
Osteophytes are present at the craniodistal margin of the left radius, suspected at the dorsal margin of the left radial carpal bone, and suspected at the dorsal margins of the distal row of carpal bones, and proximal/dorsal margins of the metacarpal bones.  Osteophytes/enthesophytes are at the proximal and distal margins of the left accessory carpal bone.  Articular surfaces are partially obscured, presumably from positioning and osteoarthrosis, but visible surfaces are smooth and well-defined.
The presumed intra-capsular soft tissues of the left carpus are enlarged circumferentially surrounding this region.  
The included left carpus, metacarpus and digits are normal. 
There is no evidence of medullary sclerosis, osteolysis, endosteal scalloping, or periosteal proliferation.
Soft tissues:  The included soft tissues are normal.
</t>
  </si>
  <si>
    <t xml:space="preserve">1. Moderate left antebrachiocarpal, intercarpal and carpometacarpal joint osteoarthrosis is suspected.
2. Presumed left carpus synovial effusion/proliferation from chronic osteoarthrosis, or less likely evolving active synovitis/arthritis  (immune-mediated arthritis or unlikely septic arthritis versus other erosive arthritis), or evolving neoplasia (synovial cell sarcoma or unlikely other).
3. Left elbow osteoarthrosis and presumed medial coronoid process disease.
4. Atypical right ulna distolateral cortex osteoma versus other, likely incidental to current presentation.
</t>
  </si>
  <si>
    <t>Consider orthopedic consultation and cross-sectional imaging of the bilateral manus/antebrachium/elbows +/- shoulders for further evaluation.  Consider arthrocentesis or synovial biopsy depending on results. Empirical therapy and supportive care in the interim as needed.  Monitoring as directed or sooner if clinical signs acutely change, fail to improve or worsen.</t>
  </si>
  <si>
    <t xml:space="preserve">
1.A mild perihilar infiltrate has been detected._x000D_
2.The cardiac silhouette size is normal._x000D_
3.There is no evidence of BRONCHITIS, DYNAMIC AIRWAY COLLAPSE or BRONCHIECTASIS, PULMONARY NODULES or PLEURAL EFFUSION.</t>
  </si>
  <si>
    <t>Three orthogonal thoracic radiographs dated 28th August 2024 are available for review. There are no previous radiographs available for comparison. _x000D_
_x000D_
Airway findings: The cervical and thoracic trachea have a normal size, outline and position. The carina, tracheal bifurcation and mainstem bronchi are normal. Throughout the lung parenchyma there are miliary nodular opacities and small masses._x000D_
_x000D_
Cardiovascular findings: There is a moderate sized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No significant abnormalities are detected._x000D_
_x000D_
Musculoskeletal findings: No significant abnormalities are detected._x000D_
_x000D_
Included abdomen: No significant abnormalities are detected.</t>
  </si>
  <si>
    <t>1. Considering history, the miliary nodular opacities are most likely consistent with haemangiosarcoma metastases._x000D_
2. Left atrial dilation. This is most likely due to mixoid degeneration of the mitral valve. There is no evidence for cardiac insufficiency.</t>
  </si>
  <si>
    <t>Complete bloodwork, thoracic CT or ultrasound with aspirates if a peripheral lesion identified, and abdominal ultrasound are recommended for further staging. Alternatively, end-of-life and palliative therapy may be discussed.</t>
  </si>
  <si>
    <t xml:space="preserve">
1.SEVERE INTERSTITIAL TO ALVEOLAR PATTERN; SEVERE BRONCHIAL PATTERN; MODERATE DYNAMIC AIRWAY DISEASE._x000D_
2.Based on these AI airway/pulmonary findings, the probability of this patient having clinically detectable respiratory signs is VERY HIGH (&gt;75%)_x000D_
3.Are respiratory signs present? If YES._x000D_
4.A mild perihilar infiltrate has been detected._x000D_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suspected._x000D_
7.Are respiratory signs present? If NO._x000D_
8.The evaluation has a strong suspicion of pulmonary nodules or mass lesion being present.</t>
  </si>
  <si>
    <t>Nine orthogonal survey radiographs of the thorax and abdomen dated 28th August 2024 are available for review. There are no previous radiographs available for comparison. _x000D_
_x000D_
Thorax: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Abdomen: The hepatic silhouette is normal in size with smooth borders. The spleen is normal in shape, size and position. The kidneys are partially obscured by gastrointestinal contents, but the visible aspect are normal. The stomach contains some gas with some swelling soft tissue opaque material. There is appropriate gas in the pyloric region on the left lateral image. The small intestines are distributed evenly and are within normal limits for shape, size and contents. The ascending, transverse and descending colon have a normal position and contain an increased amount of formed faeces. The urinary bladder is filled. The serosal detail is normal.</t>
  </si>
  <si>
    <t>1.Diffuse mild bronchial pattern: Primary consideration should be given to normal ageing/fibrosis from previous disease. Allergic bronchitis, chronic bacterial /viral bronchitis +/- parasitic bronchitis should also be considered._x000D_
2. The amount of faeces in the colon is still within upper normal limits. A diet, and activity may play a role. It may be secondary to a mild diffuse enteritis, pancreatitis, or other abdominal inflammatory disease.</t>
  </si>
  <si>
    <t>Repeat 3-view post fasting radiographs depending on clinical progression or consider an abdominal ultrasound. Consider empiric management of mild constipation. Consider CPL testing.</t>
  </si>
  <si>
    <t>Eight orthogonal survey radiographs of the thorax and abdomen dated 28 August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hepatic silhouette is enlarged, with rounded ventral borders. The head of the spleen is normal. The tail of the spleen is poorly visible. There is loss of serosal detail in the cranial dorsal aspect of the abdomen. The stomach contains some gas and a mild amount of soft tissue opaque material. The small intestines are at cranially and to the right displaced. They contain a mixture of gas, fluid and soft tissue opaque material. The size and shape is within normal limits. The descending colon contains gas and some formed faeces. The urinary bladder is severely enlarged, causing a mass effect within the abdomen.</t>
  </si>
  <si>
    <t>1. Severely distended urinary bladder: This may be a voluntary retention. Alternatively non-radiopaque cystolithiasis, peripheral neuropathy should be considered._x000D_
2.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 Considering the mildly lobular aspect, neoplasia needs to be excluded._x000D_
3. Loss of serosal detail and potential mass effect in the cranial dorsal abdomen: This may be due to a splenic mass, crowding of the intestines, a localised inflammatory response such as from pancreatitis, hepatitis.</t>
  </si>
  <si>
    <t>Discriminate between neurologic bladder and voluntary retention, and obstruction. Urinalysis and culture is advised._x000D_
A complete abdominal ultrasonographic examination is advised, with a view to FNA of abnormal organs, after complete blood work, and a normal coagulation panel.</t>
  </si>
  <si>
    <t>A ventral dorsal and right lateral radiograph of the thorax are provided. There is prominence of the left atrium. The cranial pulmonary vein is larger than the artery but remains within expected size parameters. Caudal vena cava size is normal. A mild unstructured interstitial pattern is normal for the age of this patient. Round soft tissue density ventral to the tracheal bifurcation is end-on right main pulmonary artery. There is no pleural effusion. Probable redundant dorsal trachealis membrane in the cervical region. Normal cranial abdomen.</t>
  </si>
  <si>
    <t>1. Probable dynamic cervical tracheal collapse, the most likely cause for coughing. This should be correlated with characteristic of the cough and tracheal palpation. No other abnormalities are identified to explain the cough. Inhaled irritant/allergies remains possible._x000D_
2. Prominent left atrium consistent with acquired mitral valve disease. There is no evidence of heart failure. This is not responsible for the cough.</t>
  </si>
  <si>
    <t>This patient may benefit from utilization of a body harness in place of a neck lead, and symptomatic treatment for the cough.</t>
  </si>
  <si>
    <t>Study:_x000D_
Thoracic and abdominal radiography: seven images dated August 28, 2024_x000D_
_x000D_
Findings:_x000D_
The cardiac silhouette is normal in size and shape. There is a severe alveolar pattern in the right middle lung lobe and a mild alveolar pattern in the ventral aspect of the right cranial lung lobe and caudal segment of the left cranial lung lobe. The pleural space is normal. There is no apparent intrathoracic lymphadenopathy. The trachea is normal in diameter. There is a small amount of ingested the gastrointestinal tract. The small intestines are normal in size and course. The colon contains formed fecal material. The liver extends mildly beyond the costal arch with smooth margins. The spleen is normal in size and margin. The renal silhouettes are normal in size and contour. The urinary bladder is normal in size and opacity. The osseous structures are unremarkable.</t>
  </si>
  <si>
    <t>1. The multifocal alveolar pattern likely indicates pneumonia. Recommend empiric antibiotic therapy with repeat radiography in 10 to 14 days to monitor for response to treatment._x000D_
2. Postprandial gastrointestinal tract=ZZ90= otherwise, unremarkable abdomen.</t>
  </si>
  <si>
    <t xml:space="preserve">
1.MODERATE INTERSTITIAL TO ALVEOLAR INFILTRATE; MILD BRONCHIAL PATTERN; MILD PERIHILAR INFILTRATE._x000D_
2.Based on the AI airway/pulmonary findings, the probability of this patient having clinically detectable respiratory signs is HIGH (75%)_x000D_
3.Pleural fissure lines or moderate pleural effusion has been detected. An overlying skin fold or in a moderately overweight animal, excessive pericardial fat could artifactually mimic the result of moderate pleural effusion._x000D_
4.The cardiac silhouette size is normal._x000D_
5.Are respiratory signs present? If NO._x000D_
6.A mild perihilar infiltrate has been detected._x000D_
7.The evaluation has a strong suspicion of pulmonary nodules or mass lesion being present._x000D_
8.Are respiratory signs present? If YES.</t>
  </si>
  <si>
    <t>Three radiographs of the thorax are provided. There is moderate left-sided cardiac silhouette enlargement. The cranial lobar vein is prominent on the left lateral view. Perihilar vessels have crisp margins. The caudal thoracic trachea and mainstem bronchi are deviated dorsally by the enlarged heart. There are no abnormalities in the pulmonary parenchyma. No pleural effusion. Normal cranial mediastinal width. Tracheal diameter is adequate. The cranial abdomen is unremarkable.</t>
  </si>
  <si>
    <t>Moderate left-sided cardiomegaly consistent with acquired mitral valve disease. There is pulmonary venous congestion but no evidence of heart failure. The thorax is otherwise normal. The reason for coughing is not identified. Dynamic tracheal collapse remains possible, as it may not be imaged on a static radiographic study. Inhaled irritant/allergens could be contributing.</t>
  </si>
  <si>
    <t>Recommend utilization of a body harness in place of a neck lead.</t>
  </si>
  <si>
    <t xml:space="preserve">
1.SEVERE INTERSTITIAL TO ALVEOLAR PATTERN; MODERATE BRONCHIAL PATTERN; MILD DYNAMIC AIRWAY DISEASE._x000D_
2.Based on these AI airway/pulmonary findings, the probability of this patient having clinically detectable repsiratory signs is VERY HIGH (&gt;75%)_x000D_
3.Are respiratory signs present? If YES._x000D_
4.AI linked canine pnuemonia treatment: https://platform.v2.vetology.net/doc/pneumonia-in-dogs-and-cats_x000D_
5.Are respiratory signs present? If NO._x000D_
6.Severe cardiomegaly has been detected but Heart Failure is NOT suspected.</t>
  </si>
  <si>
    <t>Three radiographs of the thorax are provided. There is mild to moderate generalized cardiac silhouette enlargement. The cranial pulmonary vein is larger than the artery. There are no abnormalities in the pulmonary parenchyma. Several incidental pulmonary osteomas. Small volume fluid in the caudal esophagus is transient and incidental. Adequate tracheal diameter. Two round mineral opacities measuring 2.3 cm and 2.0 cm dorsal to the thoracic spine are likely incidental granulomas or cutaneous lesions, of uncertain significance today. One of these structures causes the round increased opacity overlying the caudal lateral right heart on the VD projection.</t>
  </si>
  <si>
    <t>Mild to moderate generalized cardiomegaly consistent with acquired mitral and tricuspid valve disease. There is pulmonary venous congestion but no evidence of heart failure at this time.</t>
  </si>
  <si>
    <t xml:space="preserve">
1.Severe cardiomegaly has been detected but Heart Failure is NOT suspected._x000D_
2.Are respiratory signs present? If NO._x000D_
3.There is no evidence of PULMONARY NODULES._x000D_
4.MILD BRONCHOINTERSTITIAL PULMONARY PATTERN; MILD DYNAMIC AIRWAY DISEASE; MINIMAL PERIHILAR INFILTRATE._x000D_
5.Based on these AI airway/pulmonary findings, the probability of this patient having clinically detectable respiratory signs is MEDIUM (50%)_x000D_
6.Are respiratory signs present? If YES.</t>
  </si>
  <si>
    <t>Study:_x000D_
Abdominal radiography: four images dated August 28, 2024_x000D_
_x000D_
Findings:_x000D_
There mild indistinct wispy soft tissue opacities superimposed with the bowel of the mid-ventral abdomen. The stomach contains a small volume of gas with the pylorus probably gas-filled on the left lateral image. There is heterogeneous soft tissue material with interspersed mineral foci in a small intestinal segment in the mid-ventral abdomen. On the left lateral view, there is an approximately 6 cm ovoid soft tissue opaque structure containing three small gas lucencies in the caudoventral abdomen. This finding is not visible on the right lateral orthogonal views. The colon contains formed fecal material with a normal diameter. The liver and spleen are normal in size and margin. The renal silhouettes are normal in size and contour. The urinary bladder is normal in size and opacity. There is no prostatomegaly. The included thorax is normal. No skeletal abnormalities are present.</t>
  </si>
  <si>
    <t>1. There is concern for a caudal abdominal mass on the right lateral projection. The gas lucencies within the lesion would suggest an intestinal origin. Consider round cell neoplasia, carcinoma or smooth muscle tumor. _x000D_
2. Mild nonspecific peritoneal effusion._x000D_
3. The heterogeneous soft tissue material seen in the small intestinal segment in the mid-ventral abdomen may represent food and/or foreign material.</t>
  </si>
  <si>
    <t>Recommend abdominal sonography plus/minus abdominocentesis and a three view thoracic met check for further evaluation.</t>
  </si>
  <si>
    <t>Three lateral survey radiographs of the vertebral column are available for review. The patient identity is not recorded._x000D_
_x000D_
Vertebral column: The vertebral body alignment is normal. No mineral opaque material is seen within, or dorsal to the intervertebral disc spaces. The intervertebral disc width is within normal limits. The size of the lateral foramina is within normal limits. The thoracic and lumbar vertebral column is normal. No lytic or expansile bony lesions are seen.</t>
  </si>
  <si>
    <t>Normal vertebral column: Occult intervertebral disease such as intervertebral disk protrusion or other spinal cord pathology including embolic (FCE), high velocity disk, inflammatory or neoplastic disease or degenerative myelopathy is not excluded .</t>
  </si>
  <si>
    <t>Full neurologic examination if not already performed. Considering severe proprioceptive deficits and general condition, referral to a neurologist for discussion regarding feasibility of MRI vs. CT of the spine can be considered. Alternatively, consider treating for intervertebral disk disease/arthritis (exercise restriction, NSAIDs with supportive bloodwork, +/- multimodal analgesia).</t>
  </si>
  <si>
    <t xml:space="preserve">
1.A mild perihilar infiltrate has been detected._x000D_
2.A mild interstitial pattern has been detected._x000D_
3.The cardiac silhouette size is normal._x000D_
4.There is no evidence of ALVEOLAR PATTERN or PULMONARY NODULES.</t>
  </si>
  <si>
    <t>Study:_x000D_
Thoracic/abdominal radiography: three images dated August 28,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The liver extends mildly beyond the costal arch with smooth and sharp margins. The spleen is moderately to severely enlarged coursing along the ventral abdomen with smooth margins. The renal silhouettes are normal in size and contour. The urinary bladder is normal in size and opacity. There is mild right elbow periarticular bone formation. There is narrowing of the T 11-T 12 intervertebral disc space. The patient is of overweight body condition.</t>
  </si>
  <si>
    <t>1. The generalized hepatomegaly is nonspecific. Rule out metabolic/vacuolar hepatopathy, hyperplasia, hepatitis or infiltrative neoplasia. Sonography can be considered for further evaluation._x000D_
2.  The generalized splenomegaly is also nonspecific. Rule out extramedullary hematopoiesis, lymphoid hyperplasia, splenitis, congestion (of higher priority if sedated for radiographs) or infiltrative neoplasia. Sonography can be considered for further evaluation._x000D_
3. Normal thorax. There is no radiographic evidence of cardiopulmonary disease._x000D_
4. Suspect T 11-T 12 intervertebral disc disease._x000D_
4. Mild right elbow osteoarthrosis.</t>
  </si>
  <si>
    <t xml:space="preserve">
1.A mild bronchointerstitial pulmonary pattern and minimal perihilar infiltrate have been detected._x000D_
2.The cardiac silhouette size is normal._x000D_
3.There is no evidence of PULMONARY NODULES or PLEURAL EFFUSION.</t>
  </si>
  <si>
    <t>Spine: There is collapse of the intervertebral disc space at L2-3.  The endplates appear sclerotic.  Spondylosis deformans is noted at this level.  Spondylosis deformans is noted at C6-7.  The remainder of the visible portions of the spine are unremarkable._x000D_
_x000D_
Pelvis: There are no abnormalities identified._x000D_
_x000D_
Thorax: The pulmonary parenchyma, cardiac silhouette, and pulmonary vasculature are unremarkable.  There is no evidence of pleural effusion or lymphadenopathy._x000D_
_x000D_
Abdomen: The liver and spleen are unremarkable.  There are no abnormalities involving the visible portions of the gastrointestinal tract or urinary tract.  Serosal detail is normal.</t>
  </si>
  <si>
    <t>Intervertebral disc disease at L2-3._x000D_
_x000D_
Spondylosis deformans at C6-7 and L2-3.</t>
  </si>
  <si>
    <t>Six radiographs of the thorax are provided. The cardiac silhouette is normal size and shape. There are a few incidental pulmonary osteomas. Otherwise the lungs are clear. There is no pleural effusion or intrathoracic lymphadenomegaly. The trachea is normal diameter and position. No esophageal dilation. Mineral densities cranial to both humeral greater tubercles suggestive of supraspinatus tendinopathy, of doubtful significance today.</t>
  </si>
  <si>
    <t>Normal thorax. A reason for persistent cough is not identified. Inhaled irritants/allergens is suspected.</t>
  </si>
  <si>
    <t>Current diagnostics are appropriate. Also consider visual inspection of the laryngeal region.</t>
  </si>
  <si>
    <t>Four radiographs of the thorax are provided. The heart and pulmonary vessels are normal size and shape. There are no abnormalities in the pulmonary parenchyma. No pleural effusion. No esophageal dilation. The trachea is normal diameter and position. The larynx is partially visible, with no abnormalities appreciated.</t>
  </si>
  <si>
    <t>Normal thorax. The reason for the acute cough is not identified. Infectious airway disease is suspected. Inhaled irritant/allergens is next on the differential list.</t>
  </si>
  <si>
    <t>Recommend symptomatic treatment for the cough.</t>
  </si>
  <si>
    <t xml:space="preserve">
1.The cardiac silhouette size is normal._x000D_
2.There is no evidence of PERIHILAR INFILTRATE, DYNAMIC AIRWAY COLLAPSE or BRONCHIECTASIS, PULMONARY NODULES or PLEURAL EFFUSION._x000D_
3.A minimal bronchial pattern has been detected.</t>
  </si>
  <si>
    <t>8 views of the thoracic limbs, throax, abdomen, and pelvis are submitted for review.  No definitive abnormalities are noted in either shoulder.  Moderate to severe periarticular osteophytosis and enthesiopathy is seen associated with both elbow joints.  The distal thoracic limbs and front feet are radiographically unremarkable on both sides._x000D_
There is mild straightening of the caudal cardiac waist, consistent with mild to moderate left atrial enlargement.  The pulmonary vasculature is not enlarged.  Mild bronchointerstitial markings are noted in the lung fields.  No pleural or mediastinal abnormalities are noted._x000D_
In the abdomen, the liver is mildly prominent with rounded serosal margins.  The tail of the spleen is within normal limits.  The renal silhouettes appear normal.  The urinary bladder is moderately distended.  A small mineral opacity calculus is noted at the gravity-dependent portion of the bladder on the lateral view.  The stomach contains a moderate amount of food-like material.  The small bowel and colon are within normal limits.  Serosal detail is adequate._x000D_
Moderate to severe degenerative joint disease in subluxation is seen associated with both coxofemoral joints, worse on the left side.  There is mild medial displacement of the left, and possibly the right patella.  Mild periarticular osteophytosis and enthesiopathy is seen at the distal femur and proximal tibia on both sides.</t>
  </si>
  <si>
    <t>1.  Moderate to severe degenerative joint disease in the bilateral elbows.  This appears to be consistent with the presenting clinical signs._x000D_
2.  Moderate bilateral coxofemoral DJD._x000D_
3.  Mild bilateral stifle DJD and suspected bilateral medial patellar luxation._x000D_
4.  Suspect mild to moderate left-sided cardiomegaly, consistent with stage B2 myxomatous mitral valve disease._x000D_
5.  Mild to moderate hepatomegaly.  Differentials include vacuolar hepatopathy, neoplasia, venous congestion, or inflammation._x000D_
6.  Small cystic calculus.</t>
  </si>
  <si>
    <t>Symptomatic/supportive medical management for generalized osteoarthritis appears appropriate.  Correlation with urinalysis is also recommended.  An echocardiogram and abdominal ultrasound also appear indicated.</t>
  </si>
  <si>
    <t xml:space="preserve">
1.A minimal to mild bronchointerstitial pulmonary pattern has been detected._x000D_
2.There is no evidence of PULMONARY NODULES or PLEURAL EFFUSION._x000D_
3.Mild cardiomegaly has been detected but Heart Failure is NOT suspected.</t>
  </si>
  <si>
    <t>THORAX (3 total radiographs for review). _x000D_
_x000D_
- The cardiac silhouette and pulmonary vasculature are normal._x000D_
- The pulmonary parenchyma is normal_x000D_
- The trachea, esophagus and remainder of the mediastinum are normal._x000D_
- The pleural space and remaining intrathoracic structures are normal._x000D_
- The stomach is moderately distended with gas._x000D_
- The remaining cranial abdominal structures are normal._x000D_
- There is a recent dorsal extrathoracic subcutaneous injection._x000D_
- Multiple tiny soft tissue opaque subcutaneous nodules noted dorsally._x000D_
- The remaining musculoskeletal structures are normal.</t>
  </si>
  <si>
    <t>1.  Normal thorax.  Negative examination for evidence of thoracic metastatic neoplasia or radiographic contraindication to general anesthesia._x000D_
_x000D_
2.  Aerophagia._x000D_
_x000D_
3.  Few small dorsal subcutaneous nodules._x000D_
_x000D_
4.  Recent dorsal subcutaneous injection.</t>
  </si>
  <si>
    <t>Patient Name : Rossi Sisson, Date of study: Aug 28, 2024
2 images are provided for review
Canine Thorax (2 Images) - 1 Lateral, 1 Vd
Prior images dated January 23, 2024 and prior are available.
Pulmonary parenchyma: A mild to moderate diffuse bronchial pattern is present.
Pulmonary vasculature: The pulmonary vasculature is subjectively normal in size and tapers in the periphery of the lungs.
Cardiac silhouette: The cardiac silhouette is tall and occupies over the 2/3 the height of the thorax.  the caudodorsal margin of the cardiac silhouette is flattened or enlarged in the lateral image.  Rounded increased soft tissue in the region of the left atrium in the ventrodorsal image.
Mediastinum: The cranial mediastinum is normal.
Trachea: The trachea is normal.
Esophagus: The esophagus is not well-identified.
Pleural space: The pleural space is normal.
Musculoskeletal: T4-5 spondylosis deformans is present.  The remaining included musculoskeletal structures are normal.</t>
  </si>
  <si>
    <t>1. Moderate left-sided cardiomegaly such as from myxomatous mitral valvular disease or unlikely other.
2. Mild-moderate diffuse bronchial pulmonary pattern.
- Differential diagnoses include infectious/immune-mediated lower airway disease such as from mycoplasma spp., bordetella spp., parasitism, or inhaled allergen/irritant, versus early/evolving left-sided congestive heart failure, and/or fibrosis from prior disease, age-related changes, or unlikely other.
3. No obvious pulmonary nodules or intra-thoracic lymphadenomegaly.</t>
  </si>
  <si>
    <t>Consider echocardiography, eCG and blood pressure for further evaluation.  Routine blood work, urinalysis, respiratory PCR panel, airway sampling, and  fecal analysis/empirical deworming may be contributory for further evaluation of coughing.   If dyspnea manifests, diuretic and oxygen therapy with repeat 4-view thoracic radiographs to monitor for progression/resolution of the pulmonary pattern.  Empirical therapy and supportive care in the interim as needed.  Monitoring as directed or sooner if clinical signs acutely change, fail to improve or worsen.</t>
  </si>
  <si>
    <t xml:space="preserve">
1.Are respirartory signs present? If YES._x000D_
2.AI linked collapsing airway disease in dogs: https://platform.v2.vetology.net/doc/canine-tracheal-collapse-treatment_x000D_
3.Are respiratory signs preesnt? If NO._x000D_
4.MODERATE BROCHIAL PATTERN; MODERATE DYNAMIC AIRWAY DISEASE; MILD INTERSTITIAL INFILTRATE with ATELECTASIS or less likely, PNEUMONIA._x000D_
5.Based on these AI airway/pulmonary findings, the probability of this patient having clinically detectabe respiratory signs is MEDIUM (50%)_x000D_
6.Pleural fissure lines or moderate pleural effusion has been detected. An overlying skin fold or in a moderately overweight animal, excessive pericardial fat could artifactually mimic the result of moderate pleural effusion._x000D_
7.Severe cardiomegaly has been detected but Heart Failure is NOT suspected.</t>
  </si>
  <si>
    <t xml:space="preserve">THORAX (3 images) and ABDOMEN (3 images):
Images are dated August 28, 2024.
Prior images dated April 9, 2021 are available.
Pulmonary parenchyma: A minimal to mild diffuse bronchial pattern is present, similar to prior.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equivocally small and occupies the width of approximately 2 intercostal spaces.
Spleen: The spleen is equivocally enlarged in the ventrodorsal image, and positioned in the right cranial abdomen, with smooth, well-defined margins.
Kidneys: The kidneys are partially obscured without obvious enlargement or mineral.  
Retroperitoneum: Retroperitoneal detail is adequate.
Urinary bladder/Urethra: The urinary bladder is not well identified without obvious enlargement or mineral.
Peritoneum: Peritoneal detail is adequate.
Gastrointestinal tract: The stomach contains a moderate to mild gas.  Gastric rugal folds are mildly prominent.  Gas is in the pylorus in the left lateral image.   The stomach is within normal limits for size.
The small intestine contains mild fluid or is empty with a subjectively uniform population for size. 
The colon contains mild fluid and gas or is empty.  The colon is within normal limits for size.  
Musculoskeletal: The nipples are diffusely prominent.  These superimpose over the right and left mid and caudal thorax in the ventrodorsal images.  The multifocal thoracic and caudal vertebral anomalies are unchanged, and consistent with patient breed.  The remaining included musculoskeletal structures are normal.
</t>
  </si>
  <si>
    <t>1. Minimal-mild diffuse bronchial pulmonary pattern, similar to prior.
- Differential diagnoses include infectious/immune-mediated lower airway disease (such as from mycoplasma spp., bordetella spp., parasitism, or inhaled allergen/irritant), fibrosis from prior disease, age-related changes, or unlikely other.
2. Non-specific gastrointestinal tract appearance due to gastritis/enteritis/colitis or unlikely given reported history variation of normal and/or recent bowel movement.
- There is no current evidence of gastrointestinal mechanical ileus.
- Differential diagnoses include dietary indiscretion, toxin ingestion, diet/antibiotic responsive disease, inflammatory bowel disease, pancreatitis, occult systemic disease or unlikely other.
3. Equivocal microhepatia versus artifact from positioning or variation of normal.
- If present, differential diagnoses include portosystemic shunting vessel or unlikely chronic hepatitis/cirrhosis.
4. Equivocal splenomegaly versus artifact from positioning.
- If present, differential diagnoses include extramedullary hematopoiesis, lymphoid hyperplasia, passive congestion from concurrent sedation (if administered), or unlikely other.
5. Prominent nipples progressive from prior are atypical given signalment is reported as "female/spayed".
6. Unchanged thoracic and caudal vertebral anomalies consistent with patient breed.</t>
  </si>
  <si>
    <t>Consider fecal analysis/empirical deworming for further evaluation.  Abdominal ultrasonography may be contributory for further evaluation of the ovarian pedicle/uterine pedicle regions, liver and spleen as well as the gastrointestinal tract.  Computed tomography may also be beneficial for further evaluation of the abdomen.  Empirical therapy and supportive care as needed in the interim.  Monitoring as directed or sooner if clinical signs acutely change, fail to improve or worsen.</t>
  </si>
  <si>
    <t>Two lateral thoracic radiographs dated 28th August 2024 are are available for review. There are no previous radiographs available for comparison. _x000D_
_x000D_
Airway findings: The cervical and thoracic trachea have a normal size, outline and position. The carina, tracheal bifurcation and mainstem bronchi are normal. There is focal alveolar opacification in the cranial left aspect of the pulmonary parenchyma. Some increased bronchial markings and bronchointerstitial opacification is also present in the cranial right aspect of the thorax._x000D_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gas in the thoracic oesophagus._x000D_
_x000D_
Musculoskeletal findings: Congenital vertebral abnormalities are present consistent with breed._x000D_
_x000D_
Included abdomen: Cystoliths are removed. The spleen is prominent, likely secondary to sedation.</t>
  </si>
  <si>
    <t>1. Likely mild aspiration pneumonia in the cranioventral lungs. The gas in the thoracic oesophagus may be due to sedation/anaesthesia, or due to reflux oesophagitis.</t>
  </si>
  <si>
    <t>Treat for aspiration ammonia, and repeat radiographs prior to end of therapy. A ventrodorsal image is required for correlation. Monitor for oesophagitis/regurgitation.</t>
  </si>
  <si>
    <t xml:space="preserve">
1.A mild interstitial to alveolar infiltrate has been detected._x000D_
2.The cardiac silhouette size is normal._x000D_
3.There is no evidence of PERIHILAR INFILTRATE, DYNAMIC AIRWAY COLLAPSE or BRONCHIECTASIS, PULMONARY NODULES or PLEURAL EFFUSION.</t>
  </si>
  <si>
    <t>THORAX (3 radiographs are provided for review). A prior examination is available from 06/24/24._x000D_
_x000D_
- There is again a mild, diffuse, mixed bronchointerstitial pulmonary pattern present._x000D_
- There is mild left-sided cardiomegaly, with straightening of the caudal cardiac margin and dorsal displacement of the caudal aspect of the thoracic trachea._x000D_
- The pulmonary vasculature and pleural space are normal._x000D_
- The trachea, mediastinum and remaining intrathoracic structures are normal._x000D_
- The liver is mildly to moderately enlarged, with rounded margins._x000D_
- There are three small rock foreign bodies in the descending colon, and one in the small intestine_x000D_
- A small fat opaque nodule is present along the caudoventral thoracic body wall.</t>
  </si>
  <si>
    <t>1. Mild, diffuse bronchointerstitial pattern. May reflect incidental, age-related lower airway degeneration or chronic lower airway disease (e.g. bronchitis)._x000D_
_x000D_
2. Negative examination for evidence of thoracic metastatic neoplasia._x000D_
_x000D_
3. Mild to moderate, likely benign hepatomegaly (e.g. vacuolar/metabolic) hepatopathy, less likely congestion, hepatitis or neoplasia._x000D_
_x000D_
4. Three small rock foreign bodies in the descending colon and one in the small intestine._x000D_
_x000D_
5. Small caudoventral thoracic body wall lipoma.</t>
  </si>
  <si>
    <t xml:space="preserve">
1.MODERATE BRONCHIAL PATTERN, MILD DYNAMIC AIRWAY DISEASE, MILD, DIFFUSE INTERSTITIAL PATTERN WITH A SLIGHTLY MORE PRONOUNCED PERIHILAR INFILTRATE._x000D_
2.Based on these AI airway/pulmonary findings, the probability of this patient having clinically detectable respiratorysigns is MEDIUM (50%)_x000D_
3.Are respiratory signs present? If YES._x000D_
4.AI linked bronchitis disease treatment in dogs and cats: https://platform.v2.vetology.net/doc/bacterial-bronchitis-in-dogs-and-cats_x000D_
5.Are respiratory signs present? If NO._x000D_
6.Severe cardiomegaly has been detected but Heart Failure is NOT suspected.</t>
  </si>
  <si>
    <t>5 views of the thorax and abdomen are submitted for review.  The stomach contains a moderate amount of gas.  The small bowel is normal in uniform diameter.  A mild amount of stool is noted in the colon.  A rounded soft tissue opacity structure is noted in the cranioventral abdomen on the right lateral view.  This is likely associated with fluid in the pylorus.  A mass in the liver cannot be definitively excluded.  The liver appears otherwise normal in size.  The spleen is within normal limits.  The renal silhouettes and urinary bladder are normal.  Serosal detail is adequate._x000D_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No significant osseous abnormalities are seen.</t>
  </si>
  <si>
    <t>Suspect fluid-filled pylorus on the right lateral view versus possible liver mass.  Otherwise, radiographically normal abdomen and thorax.</t>
  </si>
  <si>
    <t>An abdominal ultrasound is recommended for further evaluation.</t>
  </si>
  <si>
    <t>THORAX (3 total radiographs for review). _x000D_
_x000D_
- Moderate left-sided cardiomegaly, characterized by straightening of the caudal cardiac margin and dorsal displacement of the caudal aspect of the thoracic trachea_x000D_
- The pulmonary vasculature is normal._x000D_
- The pulmonary parenchyma is normal_x000D_
- The trachea, esophagus and remainder of the mediastinum are normal._x000D_
- The pleural space and remaining intrathoracic structures are normal._x000D_
- The stomach contains moderate gas and mild gas stippled soft-tissue opaque material_x000D_
- The cranial abdominal structures are normal._x000D_
- No discrete musculoskeletal abnormalities are identified besides mild multifocal spondylosis deformans.</t>
  </si>
  <si>
    <t>1. Moderate left-sided cardiomegaly, without pulmonary vasculature congestion or congestive heart failure. Most likely compatible with degeneration of the mitral valve. Consider careful cardiac auscultation and echocardiography/ECG and cardiologist consultation for further assessment.</t>
  </si>
  <si>
    <t xml:space="preserve">
1.Are respiratory signs present? If NO._x000D_
2.Moderate cardiomegaly has been detected but Heart Failure is NOT suspected._x000D_
3.There is no evidence of ALVEOLAR PATTERN, PERIHILAR INFILTRATE or PULMONARY NODULES._x000D_
4.MILD BRONCHIAL PATTERN; MILD DYNAMIC AIRWAY DISEASE._x000D_
5.Based on these AI airway/pulmonary findings, the probability of this patient having clinically detectable respiratory signs is LOW to MEDIUM (25-50%)_x000D_
6.Are respiratory signs present? If YES.</t>
  </si>
  <si>
    <t>Five orthogonal radiographs of the proximal thoracic limbs dated 28th August 2024 are available for review. There are no previous radiographs available for comparison. _x000D_
_x000D_
Shoulder joints: The right shoulder is normal. A mediolateral image of the left shoulder is not available._x000D_
_x000D_
Elbow joints: Both elbow joints are normal (craniocaudal image only)_x000D_
_x000D_
No localised or diffuse soft tissue swelling is noted. The patient is overweight.</t>
  </si>
  <si>
    <t>Normal right shoulder. Bicipital tendinopathy, supraspinatus enthesiopathy is still possible.</t>
  </si>
  <si>
    <t>Consider survey radiographs of the other joints. Careful empirical management, including controlled exercise, non-steroidal anti-inflammatories, or multimodal analgesia, after normal blood work may be considered. If pain can be localised to a particular region, centred orthogonal images, or musculoskeletal ultrasound may be considered.</t>
  </si>
  <si>
    <t>THORAX (3 total radiographs for review). _x000D_
_x000D_
- The cardiac silhouette and pulmonary vasculature are normal._x000D_
- The pulmonary parenchyma is normal_x000D_
- The trachea, esophagus and remainder of the mediastinum are normal._x000D_
- The pleural space and remaining intrathoracic structures are normal._x000D_
- The stomach contains moderate gas stippled soft-tissue opaque material._x000D_
- The remaining cranial abdominal structures are normal._x000D_
- No discrete musculoskeletal abnormalities are identified.</t>
  </si>
  <si>
    <t>1.  Normal thorax.  There is no evidence of radiographic contraindication to general anesthesia or metastatic neoplasia._x000D_
_x000D_
2.  Recent meal.</t>
  </si>
  <si>
    <t>Five radiographs of the thorax are provided. There is small to moderate volume pleural fluid. The cardiac silhouette is upper normal size to mildly enlarged. Cranial pulmonary vessels are prominent. There is a severe unstructured interstitial pattern throughout the lungs. Normal tracheal diameter and position.</t>
  </si>
  <si>
    <t>Suspect mild cardiomegaly with pleural effusion and diffuse severe unstructured interstitial pattern. Valvular insufficiency (dilated cardiomyopathy versus chronic valvular disease) with heart failure is suspected. An inflammatory or neoplastic process are next on the differential list.</t>
  </si>
  <si>
    <t>Recommend diuretic administration, with repeat radiographs monitoring for rapid clinical and radiographic improvement which would support a diagnosis of heart failure. If no rapid improvement, recommend thoracic ultrasound and pleural fluid evaluation.</t>
  </si>
  <si>
    <t xml:space="preserve">
1.A mixed pulmonary pattern consisting of a severe interstitial to alveolar pattern, moderate bronchial pattern, dynamic airway disease and perihilar infiltrate have been detected._x000D_
2.Based on these AI airway/pulmonary findings, the probability of this patient having clinically detectable respiratory signs is VERY HIGH (&gt;75%)_x000D_
3.Are respiratory signs are present? If YES._x000D_
4.Are respiratory signs are present? If NO._x000D_
5.The evaluation has a strong suspicion of pulmonary nodules or mass lesion being present._x000D_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</si>
  <si>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Study:_x000D_
Thoracic and cervical radiography: seven images dated August 28, 2024_x000D_
_x000D_
Findings:_x000D_
The cardiac silhouette and pulmonary vasculature are normal in size. There is a mild generalized bronchointerstitial pulmonary pattern. No pulmonary nodules or masses are present. The pleural space is normal. There is no intrathoracic lymphadenopathy. The soft palate appears mildly thickened. There is gas dilation laryngeal ventricles. The trachea is normal in diameter and course. There is a thin linear metallic opacity superimposed with the cranial aspect of the liver on the lateral projections. On the left lateral view, there is an approximately 10 cm round soft tissue opaque structure in the cranial ventral abdomen caudal to the liver.. Mild periarticular bone formation is present at the caudodistal aspect the humeral head and infraglenoid process of the scapula. There is in situ mineralization of the T 12-T 13 intervertebral disc. The nasal passages and frontal sinuses appear clear. The nasopharynx is unremarkable. The tympanic bullae are appropriately gas filled and normal in thickness. There are no apparent dental abnormalities. There is no apparent submandibular soft tissue swelling.</t>
  </si>
  <si>
    <t>1. A cranial abdominal mass is suspected. Rule out splenic mass (e.g. neoplasia, hyperplasia or hematoma versus pedunculated liver mass (e.g. neoplasia or hyperplasia). Recommend abdominal radiography or sonography for further evaluation._x000D_
2. Gas dilation of the laryngeal ventricles can be an indicator of laryngeal paralysis. Repeat laryngeal exam can be considered for further evaluation of this finding._x000D_
2. The suspected thickening of the soft palate may be secondary to inflammation and/or edema. Neoplasia is less likely. Laryngeal exam can also be considered for further evaluation of this finding._x000D_
3. The mild generalized bronchointerstitial pulmonary pattern is a nonspecific finding. This could be a benign age-related change or may indicate allergic, inflammatory, infectious, inhaled irritant or parasitic bronchitis. Airway sampling plus/minus heartworm testing and Baermann fecal flotation can be considered to further evaluate for lower disease._x000D_
4. Mild bilateral shoulder osteoarthrosis._x000D_
5. T 12-T 13 in situ degenerative disc disease.</t>
  </si>
  <si>
    <t>Three radiographs of the thorax are provided. There is mild to moderate left-sided cardiomegaly. There is a severe interstitial pattern throughout the lungs, causing pulmonary vessels to be poorly visible on all views. Small volume pleural fluid. Tracheal diameter is adequate. No abnormalities in the cranial abdomen.</t>
  </si>
  <si>
    <t>Mild to moderate left-sided cardiomegaly most consistent with acquired mitral valve disease. Diffuse moderate to severe interstitial pattern and mild pleural effusion is most likely due to cardiac decompensation. Cardiac disease with concurrent pneumonia is next on the differential list.</t>
  </si>
  <si>
    <t>Current treatment is appropriate. If clinical signs and radiographic lung appearance rapidly improves following Lasix administration and there is no significant white blood cell elevation, heart failure is most likely and continued treatment for heart failure and follow-up echocardiogram would be recommended. Otherwise, recommend antibiotics for pneumonia.</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</si>
  <si>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3.Are respiratory signs present? If NO._x000D_
4.The evaluation has come up positive for a pulmonary nodular pattern._x000D_
5.SEVERE INTERSTITIAL TO ALVEOLAR PATTERN; MODERATE BRONCHIAL PATTERN; SEVERE DYNAMIC AIRWAY DISEASE._x000D_
6.Based on these AI airway/pulmonary findings, the probability of this patient having clinically detectable respiratory signs is VERY HIGH (&gt;75%)_x000D_
7.Are respiratory signs present? If YES.</t>
  </si>
  <si>
    <t>Study:_x000D_
Thoracic radiography: three images dated August 28, 2024_x000D_
_x000D_
Compared to prior studies dated August 16, 2024 and February 2, 2024_x000D_
_x000D_
Findings:_x000D_
The cardiac silhouette is normal in size/shape and unchanged appearance from the prior examinations. There is a mild generalized bronchointerstitial pulmonary pattern. The left lateral views or expiratory and the lungs are hypoinflated on this image. This leads to a generalized increase in opacity of the pulmonary parenchyma on this image relative to the right lateral and orthogonal views. No alveolar disease is present. There no pulmonary nodules or masses are present. The pleural space is normal. There is widening of the cranial mediastinum without tracheal deviation on the lateral projections likely secondary to breed associated fat deposition. The tracheal diameter is normal. There is no lobar bronchi narrowing. The stomach contains heterogeneous soft tissue material presumed to be ingesta. The included and was otherwise unremarkable. The patient has multiple, breed associated, congenitally normal thoracic vertebrae. There is mild multifocal thoracic and severe lumbosacral spondylosis deformans. There is severe bilateral elbow periarticular bone formation.</t>
  </si>
  <si>
    <t>1. There is no radiographic evidence of pneumonia or heart disease/congestive heart failure._x000D_
2. The diffuse bronchointerstitial pulmonary pattern is a nonspecific finding. This finding could be of no clinical significance secondary to breed normal variation and benign age-related change or may indicate allergic, inflammatory, infectious, inhaled irritant or parasitic bronchitis. Airway sampling plus/minus heartworm testing and Baermann fecal flotation can be considered to further evaluate for lower disease._x000D_
3. Severe bilateral elbow osteoarthrosis.</t>
  </si>
  <si>
    <t xml:space="preserve">
1.Are respiratory signs present? If YES._x000D_
2.AI linked pneumonia in dogs article: https://platform.v2.vetology.net/doc/pneumonia-in-dogs-and-cats_x000D_
3.Are respiratory signs present? If NO._x000D_
4.SEVERE INTERSTITIAL TO ALVEOLAR PATTERN; MODERATE BRONCHIAL PATTERN; MODERATE DYNAMIC AIRWAY DISEASE._x000D_
5.Based on these AI airway/pulmonary findings, the probability of this patient having clinically detectable repsiratory signs is VERY HIGH (&gt;75%)_x000D_
6.A mild perihilar infiltrate has been detected._x000D_
7.Pleural fissure lines or moderate to severe pleural effusion has been detected. An overlying skin fold or in an obese animal, excessive pericardial fat could artifactually mimic the result of severe pleural effusion._x000D_
8.Mild cardiomegaly has been detected but Heart Failure is NOT suspected.</t>
  </si>
  <si>
    <t>Three radiographs of the thorax are provided. There is mild left atrial enlargement, seen as increased distance between the caudal heart waist and tracheal bifurcation. Equivocal prominence of the left ventricle. Pulmonary vessels are normal size. There are mild age-related changes in the lungs. The left mainstem bronchus is compressed. No pleural effusion or soft tissue pulmonary nodules. Redundant dorsal trachealis membrane in the cervical region. Narrowed C3-4 intervertebral disc space, of doubtful today.</t>
  </si>
  <si>
    <t>Mild left atrial enlargement and equivocal prominent left ventricle, consistent with acquired mitral valve disease. There is no pulmonary venous congestion or pulmonary edema. There is mainstem bronchial compression and probable cervical tracheal collapse.</t>
  </si>
  <si>
    <t>There is no contraindication for general anesthesia based on this study. Recommend utilization of a body harness in place of a neck lead.</t>
  </si>
  <si>
    <t>A ventral dorsal radiograph of the thorax/proximal thoracic limbs, and a lateral view of the proximal left thoracic limb are provided. The cardiac silhouette and pulmonary vessels are normal size and shape. There are no abnormalities in the pulmonary parenchyma or pleural space. Narrowed C6-7 intervertebral disc space. No scapular abnormalities. The left shoulder joint is congruent. There is moderate degenerative change in the left cubital joint.</t>
  </si>
  <si>
    <t>1. Moderate left cubital osteoarthritis. This, coupled with soft tissue sprain/strain is the most likely cause for lameness._x000D_
2. The appearance of C6-7 may represent a protruded/extruded intervertebral disc versus artifact caused by normal neck curvature._x000D_
3. Normal thorax.</t>
  </si>
  <si>
    <t>Recommend palpate for cervical spinal discomfort, and a neurologic examination. This patient may benefit from anti-inflammatories.</t>
  </si>
  <si>
    <t xml:space="preserve">
1.No airway or pulmonary abnormalities have been detected. The lung parenchyma appears normal with no interstitial, alveolar, or bronchial pattern identified. No pulmonary nodules or pleural effusion detected._x000D_
2.Mild cardiomegaly has been detected but Heart Failure is NOT suspected.</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</si>
  <si>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pneumonia._x000D_
Pleural space, mediastinum, diaphragm and thoracic wall within normal limits._x000D_
_x000D_
Abdomen:_x000D_
_x000D_
The stomach is filled with some food._x000D_
Small intestines show  heterogeneous foreign material in the left hemiabdomen medial to the descending colon. Associated there is segmental dilation of the small intestines with one small intestinal bowel loop being abnormally gas distended in the right cranial abdomen with a reversed C shape in the right cranial abdomen. The rest of the abdomen shows abnormal shaped gas lucencies in some of the small intestinal bowel loops abnormally gathered._x000D_
Serosal detail is decreased._x000D_
Liver and spleen are within normal limits of size and smoothly marginated._x000D_
Kidneys and urinary bladder WNL.</t>
  </si>
  <si>
    <t>1) Unremarkable thorax._x000D_
2) Findings consistent with small intestinal mechanical ileus secondary to a solid foreign body/material in the jejunum and likely linear foreign body in som other small intestinal bowel loops. Can not exclude foreign linear material lodge in the pyloric antrum extending into the duodenum._x000D_
3) Decreased serosal detail compatible with scant effusion: rule out exudate vs modified transudate.</t>
  </si>
  <si>
    <t>Abdominal US to confirm this suspicion prior to exploratory laparotomy.</t>
  </si>
  <si>
    <t xml:space="preserve">Seven images are provided.
Images are dates August 27, 2024.
Prior images dated October 17, 2023 are available.
Bones/Joints:
There is no evidence of intervertebral disc space narrowing, or mineral over the intervertebral foramina.  There is no evidence of intervertebral dorsal articulation osteoarthrosis.
Mildly progressive osteophytes are at the  cranial aspect of the right distal radius, progressive from prior.
Changes for previously suspected right 5th metacarpophalangeal joint osteoarthrosis are not identified in this examination.
The right elbow is normal.  
The right shoulder is normal.
The left elbow is normal.  
Possible ill-defined mineral is superimposed over the left greater tubercle in the lateral image. 
Minimal osteophyte is suspected cranial to the left distal radius.
Unchanged pin-point mineral is axial to the left 5th metacarpophalangeal joint.
There is no evidence of medullary sclerosis, osteolysis, endosteal scalloping, or periosteal proliferation.
Soft tissues:  The included soft tissues are normal.
</t>
  </si>
  <si>
    <t>1. Mild-moderate, progressive right antebrachiocarpal joint osteoarthrosis is suspected.
2. Mild left antebrachiocarpal joint osteoarthrosis is suspected.
3. Possible mineral of the left intertubercular groove due to supraspinatus/infraspinatus enthesopathy or biceps brachii changes, or superimposed normal structures/artifact.
4. Unchanged left 5th metacarpophalangeal joint mineral/osteophyte or unlikely superimposed external mineral or other.
5. No obvious evidence of intervertebral disc disease.</t>
  </si>
  <si>
    <t>Consider orthopedist consultation and empirical therapy/supportive care in the interim as needed.  Monitoring as directed or sooner if clinical signs acutely change, fail to improve or worsen.</t>
  </si>
  <si>
    <t xml:space="preserve">
1.The evaluation result has a strong suspicion of soft tissue pulmonary nodules being present._x000D_
2.PULMONARY NODULES or NODULAR PATTERN; MODERATE to SEVERE INTERSTITIAL TO ALVEOLAR PATTERN; MILD BRONCHITIS._x000D_
3.Based on the AI airway/pulmonary findings, the probability of this patient having soft tissue pulmonary nodules and clinically detectable respiratory signs is VERY HIGH (&gt;75%)_x000D_
4.Are respiratory signs present? If NO._x000D_
5.SEVERE ALVEOLAR PATTERN; MILD, DIFFUSE BRONCHOINTERSTITIAL PULMONARY PATTERN; MILD DYNAMIC AIRWAY DISEASE._x000D_
6.Based on these AI airway/pulmonary findings, the probability of this patient having clinically detectable respiratory signs is VERY HIGH (&gt;75%)_x000D_
7.Are respiratory signs present? If YES._x000D_
8.Are respiratory signs present? If NO._x000D_
9.The cardiac silhouette size is normal._x000D_
10.Are respiratory signs present? If YES.</t>
  </si>
  <si>
    <t>Seven orthogonal vertebral column radiographs of 27th August 2024 are available for review. There are no previous radiographs available for comparison. _x000D_
_x000D_
Vertebral column: The cervical vertebral body alignment is normal. No mineral opaque material is seen within, or dorsal to the intervertebral disc spaces. The intervertebral disc width is within normal limits. The size of the lateral foramina is within normal limits. Multiple mild congenital vertebral abnormalities consistent with breed are present in the thoracic vertebral column. T4-T7 are either a wedge or butterfly shaped. The intervertebral disc spaces of T3-T4 and T6-T7 and T7-T8 are narrowed, with smooth vertebral endplates._x000D_
There is mineralisation of the nucleus pulposus of T13-L1. This does not protrude beyond the dorsal borders. The lumbar vertebral column is normal. The lumbosacral junction is normal. Both sacroiliac joints are normal. There is mild bilateral osteophyte formation of the cranial acetabular rim. There is good coverage of the femoral head by the acetabuli. The coxofemoral joint spaces are subjectively mildly wide. The patella are in an anatomical position.</t>
  </si>
  <si>
    <t>1. T13-L1 nucleus pulposus mineralisation: This is most like incidental. Occult intervertebral disease such as intervertebral disk protrusion or other spinal cord pathology including embolic (FCE), high velocity disk, inflammatory or neoplastic disease or degenerative myelopathy is not excluded . _x000D_
2. T3-T7 congenital vertebral abnormalities with intervertebral disc narrowing: Considering breed, these are still mild-moderate. Extradural compression from the site cannot be ascertained, but is unlikely._x000D_
3. Mild bilateral coxofemoral osteoarthritis with potential laxity. This is unlikely to be causing the clinical signs.</t>
  </si>
  <si>
    <t>Full neurologic examination if not already performed. If no proprioceptive deficits or patients clinical signs are mild, consider treating for intervertebral disk disease/arthritis (exercise restriction, NSAIDs with supportive bloodwork, +/- multimodal analgesia). If no response to therapy, patient has clear proprioceptive deficits or is worsening in general, referral to a neurologist for discussion regarding feasibility of MRI vs. CT of the spine is advised.</t>
  </si>
  <si>
    <t xml:space="preserve">
1.The cardiac silhouette size is normal._x000D_
2.There is no evidence of BRONCHITIS, PERIHILAR INFILTRATE, DYNAMIC AIRWAY COLLAPSE or BRONCHIECTASIS or PULMONARY NODULES._x000D_
3.A moderate interstitial to alveolar pattern has been detected.</t>
  </si>
  <si>
    <t>THORAX (3 total radiographs for review). 
- Moderate to severe left-sided cardiomegaly is present, characterized by dorsal displacement of the caudal aspect of the thoracic trachea, straightening of the caudal cardiac margin and a rounding region of the left atrium.  There is overt compression of the left principle bronchus by the enlarged left atrium.
- The pulmonary vasculature is within normal limits.
- There is a very minimal, questionable diffuse unstructured interstitial pattern that is likely partially artifactual due to overlying thoracic body wall fat.
- Dynamic soft-tissue opacification overlying the dorsal trachea in the region of the thoracic inlet.
- The liver is moderately enlarged, extending caudal to the costal arch with rounded margins.
- The stomach contains mild gas and gas stippled soft tissue opaque material.
- The remaining cranial abdominal structures are normal.
- No discrete osseous abnormalities are identified.
- The patient has a large body habitus.</t>
  </si>
  <si>
    <t>1.  Severe left-sided cardiomegaly, with overt left atrial enlargement and left principal bronchial compression, likely compatible with changes secondary to degeneration of the mitral valve.  Although there is a very poorly-defined diffuse unstructured interstitial pattern that may indicate resolving or mild cardiogenic pulmonary edema (from left-sided congestive heart failure), the changes are subtle and could be secondary to hypoinflation of the pulmonary parenchyma and the overlying fat opacity=ZZ90= as no alveolar regions are noted. 
As dictated by the clinical picture, consider continuation of therapy for congestive heart failure and oxygen as well as consultation with a veterinary cardiologist, echocardiography and ECG for further assessment.
2.  The appearance of the trachea at the level of the thoracic inlet can be compatible with tracheal collapse, secondary to chondromalacia.
3. Moderate hepatomegaly. Most likely vacuolar (metabolic) hepatopathy. Hepatic congestion, hepatitis or neoplasia are less likely, but possible.
4.  Excessive body habitus.</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</si>
  <si>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3.SEVERE INTERSTITIAL TO ALVEOLAR INFILTRATE; CONCURRENT MODERATE BRONCHIAL PATTERN and MILD DYNAMIC AIRWAY DISEASE._x000D_
4.Based on these AI airway/pulmonary findings, the probability of this patient having clinically detectable respiratory signs is HIGH (75%)_x000D_
5.Are respiratory signs present? If YES._x000D_
6.Are respiratory signs present? If NO.</t>
  </si>
  <si>
    <t>THORAX (3 total radiographs for review).  A previous examinations available for comparison from 5/23._x000D_
_x000D_
- Mild, diffuse bronchial pattern._x000D_
- There is a mild rounding of the cardiac silhouette in the region of the left atrium._x000D_
- The pulmonary vasculature and parenchyma are normal._x000D_
- The pleural space, trachea, mediastinum and remaining intrathoracic structures are normal._x000D_
- The liver is again mildly enlarged, with rounded margins._x000D_
- The stomach contains a small volume of gas and soft tissue opaque material and is otherwise unremarkable._x000D_
- The remaining cranial abdominal structures are normal._x000D_
- There is mild bilateral cubital osteoarthritis present_x000D_
- Minimal multifocal vertebral spondylosis deformans.</t>
  </si>
  <si>
    <t>1.  An obvious cause for the reported clinical signs of increased panting is not clearly identified._x000D_
_x000D_
2.  Mild diffuse bronchial pattern. Most likely representing age-related lower airway changes, however a component of chronic bronchitis is possible, especially if there is a history of abnormal respiratory sounds, wheezing and/or coughing._x000D_
_x000D_
3. Mild left atrial enlargement, without pulmonary vasculature congestion or congestive heart failure. Most likely compatible with degeneration of the mitral valve. Consider echocardiography/ECG and cardiologist consultation for further assessment._x000D_
_x000D_
4.  Similar mild hepatomegaly, likely benign etiology such as vacuolar (metabolic) hepatopathy._x000D_
_x000D_
5.  Bilateral cubital osteo-arthritis.</t>
  </si>
  <si>
    <t xml:space="preserve">THORAX (6 images):
Images are dated August 27, 2024.
Prior images dated August 5, 2024 and prior are available.
Pulmonary parenchyma: A mild to moderate diffuse bronchial pattern is present.  No obvious alveolar patterns, specifically in the right cranial/middle lung lobes.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</si>
  <si>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Mild-moderate diffuse bronchial pulmonary pattern.
- Differential diagnoses include infectious/immune-mediated lower airway disease such as from mycoplasma spp., bordetella spp., parasitism (lung worms), or inhaled allergen/irritant, or fibrosis from prior disease, age-related changes, or unlikely other.
2. There is no current evidence of right cranial lung lobe alveolar pattern, but radiographic appearance may lag behind clinical signs.</t>
  </si>
  <si>
    <t>Consider respiratory PCR panel, airway sampling, and fecal analysis/empirical deworming for further evaluation.  Consider routine blood work and abdominal imaging to screen for occult systemic disease contributing to recurrent cough.  Empirical therapy and supportive care in the interim as needed for infectious/immune-mediated lower airway disease.  Monitoring with repeat radiographs in 1-2 weeks, or sooner if signs acutely change or worsen in the face of empirical therapy/supportive care.</t>
  </si>
  <si>
    <t>Study:_x000D_
Thoracic radiography: three images dated August 27, 2024_x000D_
_x000D_
Findings:_x000D_
There is moderate left ventricular and left atrial enlargement. The pulmonary vasculature is normal in size. The pulmonary parenchyma is unremarkable. The pleural space is normal. There is no intrathoracic lymphadenopathy. On the lateral projection, there is a broad base band superimposed with the dorsal aspect of the cervical trachea lumen. The trachea lumen appears narrowed in this region. The liver is mildly enlarged causing caudal displacement of the gastric axis but has smooth and sharp margins. The stomach contains heterogeneous soft tissue material presumed to be ingesta. There is narrowing of the T 12-T 13 intervertebral disc space with sclerotic endplates and moderate spondylosis deformans.</t>
  </si>
  <si>
    <t>1. Moderate left-sided cardiomegaly, indicative of mitral valve disease, without evidence of decompensation. Echocardiography should be considered for further evaluation._x000D_
2. Suspect chondromalacia and dynamic airway disease/tracheal collapse. Fluoroscopy can be considered for further evaluation._x000D_
3. The generalized hepatomegaly is nonspecific. Rule out metabolic/vacuolar hepatopathy, hyperplasia, hepatitis or infiltrative neoplasia. Sonography can be considered for further evaluation._x000D_
4. Chronic T 12-T 13 intervertebral disc disease.</t>
  </si>
  <si>
    <t xml:space="preserve">
1.Moderate cardiomegaly has been detected but Heart Failure is NOT suspected._x000D_
2.MINIMAL to MILD BRONCHOINTERSTITIAL PULMONARY PATTERN; MILD DYNAMIC AIRWAY DISEASE; MILD PERIHILAR INFILTRATE._x000D_
3.Based on these AI airway/pulmonary findings, the probability of this patient having clinically detectable respiratory signs is LOW to MEDIUM (25-50%)_x000D_
4.Are respiratory signs present? If YES._x000D_
5.Are respiratory signs present? If NO.</t>
  </si>
  <si>
    <t xml:space="preserve">THORAX (2 images):
Images are dated August 27, 2024.
N.B. patient age is listed as "0 years, 1 month"
Pulmonary parenchyma: A minimal to mild diffuse bronchial pattern is present.
Pulmonary vasculature: The pulmonary vasculature is subjectively normal in size and tapers in the periphery of the lungs.
Cardiac silhouette: The cardiac silhouette  has a flattened caudodorsal margin in the lateral image.  Rounded increased soft tissue is in the region of the left atrium in the ventrodorsal image.
Mediastinum: The cranial mediastinum is normal.
Trachea: A slight soft tissue band is superimposed over the dorsal trachea in the lateral image.  
Esophagus: The esophagus is not well-identified.
Pleural space: A thin pleural fissure line is present between the left cranial/caudal lung in the ventrodorsal image.
Musculoskeletal: The included musculoskeletal structures are normal.
</t>
  </si>
  <si>
    <t xml:space="preserve">1. Mild left-sided cardiomegaly such as from congenital etiology given patient age versus acquired cardiac disease such as myxomatous mitral valvular disease and insufficiency.
- No current evidence of left-sided congestive heart failure.  
2. Minimal diffuse bronchial pulmonary pattern due to fibrosis from prior disease, age-related changes, or less likely infectious/immune-mediated lower airway disease, or unlikely other.
3. Thin pleural fissure line due to tangential beam artifact/patient positioning or pleural thickening/folding or unlikely scant pleural fluid.
4. Dorsal redundant tracheal membrane with/without underlying dynamic airway disease, versus superimposed normal structures.  </t>
  </si>
  <si>
    <t>Consider echocardiography, ECG and blood pressure for further evaluation.  Routine blood work if not recently performed.  Respiratory PCR panel, airway sampling, and fecal analysis/deworming for further evaluation of the reported coughing may be contributory. Empirical therapy and supportive care in the interim as needed. Monitoring as directed or sooner if clinical signs acutely change, fail to improve or worsen.</t>
  </si>
  <si>
    <t xml:space="preserve">
1.MILD BRONCHOINTERSTITIAL PULMONARY PATTERN; MILD DYNAMIC AIRWAY DISEASE; MILD PERIHILAR INFILTRATE._x000D_
2.Based on these AI airway/pulmonary findings, the probability of this patient having clinically detectable respiratory signs is MEDIUM (50%)_x000D_
3.Are respiratory signs present? If YES._x000D_
4.Are respiratory signs present? If NO._x000D_
5.Severe cardiomegaly has been detected but Heart Failure is NOT suspected._x000D_
6.There is no evidence of PULMONARY NODULES or PLEURAL EFFUSION.</t>
  </si>
  <si>
    <t>Orthogonal views of the thorax and abdomen are provided:_x000D_
_x000D_
Thorax:_x000D_
_x000D_
Cardiac silhouette shows a mild enlargement of the left atrium dorsally displacing the carina._x000D_
Pulmonary vessels are within normal limits of size and shape._x000D_
Pulmonary parenchyma shows an ill defined alveolo-interstitial patch caudodorsally located in the right caudal lung lobe. 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show bilateral retnoliths._x000D_
Urinary bladder shows questionably tiny cystic calculus.</t>
  </si>
  <si>
    <t>1) Left atrial enlargement with ill defined alveolo-interstitial patch caudodorsally located in the right caudal lung lobe consistent with persistent cariogenic pulmonary edema._x000D_
2) Bilateral renoliths along with questionably tiny cystic calculus.</t>
  </si>
  <si>
    <t>Consider a cardiology consultation with ECG and echocardiogram to help rule in/out an early LSCHF with +/- oxygen supplementation, pro bnp, BP and lasix trial (prior evaluation of the renal function) with recheck radiographs in 12 hours (or sooner if clinically indicated) to re-evaluate and to monitor the response to treatment._x000D_
Consider abdominal US to further evaluate the urinary tract with renal function test, urinalysis, UPC and urine culture.</t>
  </si>
  <si>
    <t xml:space="preserve">
1.Moderate cardiomegaly has been detected but Heart Failure is NOT suspected._x000D_
2.A minimal interstitial pulmonary and concurrent, mild dynamic airway disease have been detected._x000D_
3.Mild dynamic airway disease has been detected._x000D_
4.There is no evidence of PULMONARY NODULES._x000D_
5.A minimal interstitial pulmonary pattern with a concurrent, minimal perihilar infiltrate have been detected.</t>
  </si>
  <si>
    <t>9 views of the thorax, abdomen, pelvis, and pelvic limbs are submitted for review.  The bilateral femoral heads are well-seated in the acetabula.  The coxofemoral joint spaces are congruent.  No degenerative changes are noted in either hip.  The sacroiliac joints are within normal limits.  No intracapsular effusion or degenerative changes noted in either stifle.  The bilateral patellas are in a normal anatomic location.  No abnormalities are noted in either tarsus.  The bilateral hindfeet are also radiographically normal._x000D_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stone contains a mild amount of gas and ingesta.  The small bowel is normal in uniform diameter.  Formed stool is noted in the colon.  The liver and spleen are normal in size, shape, and margination.  The bilateral renal silhouettes are within normal limits.  The urinary bladder is unremarkable.  Serosal detail is normal.</t>
  </si>
  <si>
    <t>No abnormalities are noted in the pelvis or pelvic limbs to explain the clinical signs.  Soft tissue injury is not ruled out._x000D_
Radiographically normal thorax and abdomen.</t>
  </si>
  <si>
    <t>Symptomatic/supportive medical management may be helpful.</t>
  </si>
  <si>
    <t>Study:_x000D_
Thoracic/abdominal radiography: four images dated August 27, 2024_x000D_
_x000D_
Findings:_x000D_
The T 13 vertebra is transitional with a hypoplastic rib on the right an absent rib on the left. There is no intervertebral disc space or foraminal narrowing. There is no evidence of discospondylitis. There is mild bilateral coxofemoral incongruency. This finding may be overestimated by patient positioning. The cardiac silhouette and pulmonary vasculature are normal in size. The pulmonary parenchyma is unremarkable. The pleural space is normal. There is no intrathoracic lymphadenopathy. The trachea is normal in diameter and course. The stomach and some small intestinal segments contain unstructured heterogeneous/granular soft tissue material presumed to be ingesta. The colon contains formed fecal material. The liver and spleen are normal in size and margin. The kidneys are normal in size and contour. The urinary bladder is normal in size and opacity. No mineral opaque calculi are present in the bladder or region the urethra. There is no prostatomegaly. The patient has a small umbilical hernia containing fat.</t>
  </si>
  <si>
    <t>1. Mild bilateral hip laxity is suspected. This finding is considered unlikely to be a significant source of pain._x000D_
2. The spine is unremarkable. The lack of any apparent intervertebral disc space narrowing does not exclude the possibility of intervertebral disc disease. Neurology consultation and MRI can be considered for further evaluation of the lumbar pain persists or worsens in spite of activity research and pain management._x000D_
3. Normal thorax._x000D_
4. Postprandial gastrointestinal tract=ZZ90= otherwise, unremarkable abdomen.</t>
  </si>
  <si>
    <t xml:space="preserve">
1.The cardiac silhouette size is normal._x000D_
2.There is no evidence of INTERSTITIAL or ALVEOLAR PATTERN, BRONCHITIS, DYNAMIC AIRWAY COLLAPSE or BRONCHIECTASIS or PULMONARY NODULES.</t>
  </si>
  <si>
    <t>Orthogonal views of the thorax are provided:_x000D_
_x000D_
Thorax:_x000D_
_x000D_
No signs of tracheal collapse._x000D_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limits._x000D_
_x000D_
Liver extends beyond the costal arch with sharp margins.</t>
  </si>
  <si>
    <t>1) Unremarkable lungs do not exclude a bronchitis of allergic vs inflammatory/infectious or parasitic origin. No signs of pulmonary metastases nor signs of thoracic lymphadenopathy. _x000D_
2) Hepatomegaly: Metabolic vs Vacuolar infiltration vs Hepatic nodular hyperplasia vs Inflammatory vs Toxic vs Neoplastic or a combination of these differentials.</t>
  </si>
  <si>
    <t>Consider empirical treatment for allergic bronchitis evaluating response to treatment._x000D_
Consider abdominal US to further evaluate the liver.</t>
  </si>
  <si>
    <t xml:space="preserve">
1.A mild bronchial pattern and minimal perihilar infiltrate have been detected._x000D_
2.The cardiac silhouette size is normal._x000D_
3.There is no evidence of ALVEOLAR PATTERN, DYNAMIC AIRWAY COLLAPSE or BRONCHIECTASIS, PULMONARY NODULES or PLEURAL EFFUSION.</t>
  </si>
  <si>
    <t>THORAX (2 total radiographs for review)._x000D_
_x000D_
- Moderate to marked left-sided cardiomegaly (VHS: 12.5), characterized by dorsal displacement of the caudal aspect of the thoracic trachea and straightening of the caudal cardiac margin. There is elevation and compression of the left principle bronchus mildly enlarged left atrium._x000D_
- The pulmonary vasculature is normal._x000D_
- Ill-defined soft tissue opacity dorsally imposing over the trachea at the level of the thoracic inlet._x000D_
- The pulmonary parenchyma, pleural space, mediastinum and remaining included intrathoracic structures are unremarkable._x000D_
- No discrete cranial abdominal abnormalities are noted._x000D_
- The included musculoskeletal structures are normal.</t>
  </si>
  <si>
    <t>1. Moderate-to-marked left-sided cardiomegaly (VHS: 12.5), without pulmonary vasculature congestion or congestive heart failure. Most likely compatible with degeneration of the mitral valve. Consider echocardiography/ECG and cardiologist consultation for further assessment._x000D_
_x000D_
2. The appearance of the trachea at the level of the thoracic inlet can be compatible with tracheal collapse, secondary to chondromalacia._x000D_
_x000D_
3. Negative examination for evidence of thoracic metastatic neoplasia.</t>
  </si>
  <si>
    <t xml:space="preserve">
1.Mild dynamic airway disease has been detected._x000D_
2.A minimal interstitial pulmonary and concurrent, mild dynamic airway disease have been detected._x000D_
3.Mild dynamic airway disease has been detected._x000D_
4.There is no evidence of PULMONARY NODULES or PLEURAL EFFUSION._x000D_
5.A minimal interstitial pulmonary pattern with a concurrent, mild perihilar infiltrate have been detected._x000D_
6.A mild perihilar infiltrate and concurrent, mild dynamic airway disease have been detected._x000D_
7.Severe cardiomegaly has been detected but Heart Failure is NOT suspected.</t>
  </si>
  <si>
    <t>Three orthogonal thoracic radiographs dated 27th August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No significant abnormalities are detected.</t>
  </si>
  <si>
    <t>Normal thorax. This does not preclude the presence of a tracheitis, or partially resolved tracheobronchitis.</t>
  </si>
  <si>
    <t>Observational/supportive management be considered. Depending on clinical progression, continue to empiric management may be considered.</t>
  </si>
  <si>
    <t>Thorax: There is no evidence of pulmonary metastatic disease.  The pulmonary parenchyma, cardiac silhouette, and pulmonary vasculature are unremarkable.  There is no evidence of pleural effusion or lymphadenopathy.  There are no abnormalities involving the visible portions of the abdominal viscera.  There is narrowing of the intervertebral disc space at L4-5.  Spondylosis deformans is also noted at this level.</t>
  </si>
  <si>
    <t>Unremarkable thorax._x000D_
_x000D_
Suspect intervertebral disc disease at L4-5.</t>
  </si>
  <si>
    <t xml:space="preserve">
1.A moderate bronchointerstitial pattern with a concurrent alveolar infiltrate and perihilar opacity has been detected._x000D_
2.Probability these AI pulmonary findings will accompany clinically detectable respiratory signs: MEDIUM to HIGH (50-75%%)_x000D_
3.Respiratory signs: YES._x000D_
4.Respiratory signs: NO._x000D_
5.If left atrial enlargement is present, that could contribute to the perihilar finding (see cardiac findings below)._x000D_
6.The cardiac silhouette size is normal._x000D_
7.There is no evidence of PULMONARY NODULES.</t>
  </si>
  <si>
    <t>Three radiographs of the thorax and three views of the abdomen are provided. There is large volume pleural fluid. The cardiac silhouette is partially visible and does not appear enlarged. Lung opacity is diffusely increased due to poor lung aeration. No mediastinal shift. No rib lesions. Tracheal diameter and position is adequate._x000D_
_x000D_
In the abdomen there is no peritoneal or retroperitoneal effusion. The liver is mildly enlarged. There is a smoothly marginated round 3.4 cm soft tissue opacity lateral to the left kidney on the VD projection, seen in the mid ventral abdomen on the 2nd lateral view. The gastrointestinal tract is mildly filled. No radiopaque urolithiasis. Nondistended uterus is questionably visible on the lateral views. Normal osseous structures. Large fat opaque lipomatous mass measuring at least 10.3 cm in the caudoventral extra-abdominal tissues, incidental.</t>
  </si>
  <si>
    <t>1. Severe pleural effusion. With the chronicity and lack of cardiac enlargement, of neoplasia is of concern. An inflammatory process or metabolic abnormality is next on the differential list._x000D_
2. Ventral left abdominal mass, most likely neoplasia originating from the spleen such as hemangiosarcoma. Lymphoid hyperplasia is given secondary consideration._x000D_
3. Mild hepatomegaly, a nonspecific finding that may be steroid or other hepatopathy, inflammation, or neoplasia.</t>
  </si>
  <si>
    <t>Abdominal ultrasound, pleural fluid evaluation, CBC and blood chemistry profile are recommended. The thorax could also be evaluated with ultrasound prior to pleurocentesis to rule in/out intrathoracic neoplasia.</t>
  </si>
  <si>
    <t xml:space="preserve">
1.A moderate perihilar infitlrate has been detected._x000D_
2.Severe cardiomegaly has been detected but Heart Failure is NOT suspected._x000D_
3.SEVERE INTERSTITIAL TO ALVEOLAR PATTERN; PULMONARY NODULES OR MASS LESION; PLEURAL FLUID or PLEURAL THICKENING; MODERATE BRONCHIAL PATTERN; DYNAMIC AIRWAY DISEASE._x000D_
4.This evaluation has detected pulmonary nodules or a mass lesion and pleural fissure lines or effusion._x000D_
5.Are respiratory signs present? If YES._x000D_
6.Are respiratory signs present? If NO._x000D_
7.Pleural fissure lines or moderate to severe pleural effusion has been detected. An overlying skin fold or in an obeseanimal, excessive pericardial fat could artifactually mimic the result of severe pleural effusion._x000D_
8.Given this combination of above thoracic findings, a radiologist over read may be beneficial._x000D_
9.Based on these AI airway/pulmonary findings, the probability of this patient having clinically detectable respiratorysigns is VERY HIGH (&gt;75%)</t>
  </si>
  <si>
    <t xml:space="preserve">THORAX (2 images):
Images are dated August 27, 2024.
Ungloved human digits primary beam.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minimal gas.
Pleural space: The pleural space is normal.
Musculoskeletal:  Spondylosis deformans is at T8-9, L1-2, L2-3, L5-6 and L6-7.  L7 is partially sacralized on the left and L7-S1 has a narrowed intervertebral disc space.  The patient is obese. Bilateral elbow osteoarthrosis is suspected in the ventrodorsal image.  The remaining included musculoskeletal structures are normal.
Limited abdomen:  Suspicious for gallbladder enlargement, with rounded/convex ventral liver margin.  
</t>
  </si>
  <si>
    <t>1. Mild-moderate diffuse bronchial pulmonary pattern.
- Differential diagnoses include infectious/immune-mediated lower airway disease such as from feline asthma and/or mycoplasma spp., bordetella spp., parasitism, or fibrosis from prior disease, age-related changes, a combination of these, or unlikely other.
2. No obvious cardiomegaly is identified.
3. Suspicious for gallbladder enlargement due to normal variation/fasting or less likely biliary tract obstruction, or unlikely evolving hepatomegaly/mass.</t>
  </si>
  <si>
    <t>Etiology of reported tachypnea is not definitively identified.  Consider cyanosis/tachypnea and occult V/Q mismatch driving respiratory alkalosis and hypokalemia.  Oxygen therapy, bronchodilators, supportive care, and repeat thoracic radiographs in 4-6 hours for monitoring. 
Consider acid/base testing, cardiac proBNP for further evaluation.  Consider  echocardiography, eCG and blood pressure, especially if results of cardiac proBNP are abnormal and/or a murmur is later identified.  No obvious cardiomegaly in this examination, but this does not rule out early/evolving disease.  No obvious evidence of bronchopneumonia/aspiration pneumonia given reported vomiting, but radiographic manifestation may lag behind clinical signs.  Empirical therapy and supportive care in the interim as needed.  Monitoring as directed or sooner if clinical signs acutely change, fail to improve or worsen.</t>
  </si>
  <si>
    <t xml:space="preserve">
1.A mild perihilar infiltrate has been detected._x000D_
2.The cardiac silhouette size is normal._x000D_
3.There is no evidence of BRONCHITIS, DYNAMIC AIRWAY COLLAPSE or BRONCHIECTASIS, PULMONARY NODULES or PLEURAL EFFUSION._x000D_
4.A mild interstitial to alveolar pattern has been detected.</t>
  </si>
  <si>
    <t>Three orthogonal thoracic radiographs dated 27th August 2024 are available for review. There are no previous radiographs available for comparison. _x000D_
_x000D_
Airway findings: The cervical and thoracic trachea have a normal size, outline and position. The carina, tracheal bifurcation and mainstem bronchi are normal. There is relatively poor tapering of the mainstem bronchi. A diffuse bronchial pattern is present._x000D_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</si>
  <si>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Diffuse mild bronchial pattern: Partial consideration should be given to normal ageing/fibrosis from previous disease. Allergic bronchitis, chronic bacterial /viral bronchitis +/- parasitic bronchitis is likely concurrent. Heart worm is considered unlikely. Fungal lower airway disease cannot be excluded. Less likely are hyperardenocorticism, neoplasia (such a lymphoma) or idiopathic pulmonary fibrosis.</t>
  </si>
  <si>
    <t xml:space="preserve">
1.MILD to MODERATE BRONCHOINTERSTITIAL PATTERN; MINIMAL DYNAMIC AIRWAY DISEASE._x000D_
2.Based on these AI airway/pulmonary findings, the probability of this patient having clinically detectable respiratory signs is LOW to MEDIUM (25%-50%)_x000D_
3.Are respiratory signs present? If YES._x000D_
4.AI linked bacterial bronchitis in dogs article: https://platform.v2.vetology.net/doc/bacterial-bronchitis-in-dogs-and-cats_x000D_
5.Are respiratory signs present? If NO._x000D_
6.There is no evidence of PERIHILAR INFILTRATE or PLEURAL EFFUSION._x000D_
7.Mild cardiomegaly has been detected but Heart Failure is NOT suspected.</t>
  </si>
  <si>
    <t xml:space="preserve">THORAX (4 images) and ABDOMEN (4 images):
Images are dated August 27, 2024.
Cranial abdomen excluded in the ventrodorsal images.  One ventrodorsal image contains "L" labels on both sides of the patient.  
N.B. Patient signalment is listed as "M/intact"
Pulmonary parenchyma: A minimal to mild diffuse bronchial pattern is present.  Motion artifact is present in some images.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enlarged with a partially ill-defined, rounded caudoventral margin, and caudal/dorsal displacement of the gastric axis.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minimally decreased in the cranioventral abdomen with few fluid opaque striations.  
Gastrointestinal tract: The stomach contains a moderate heterogeneous soft tissue admixed with gas.  The stomach is within normal limits for size.
The small intestine contains mild fluid, gas and soft tissue material, or is empty with a subjectively uniform population for size. 
The colon contains mild heterogeneous admixed soft tissue material and gas.  The colon is within normal limits for size.  
Musculoskeletal: Moderate bilateral coxofemoral joint osteoarthrosis is present. Metal vascular clips are in the inguinal soft tissues.  L1-2 spondylosis deformans is present.  The remaining included musculoskeletal structures are normal.
</t>
  </si>
  <si>
    <t>1. Moderate diffuse hepatomegaly due to evolving neoplasia (primary hepatocellular carcinoma versus other), or hepatitis/cholangiohepatitis, or unlikely vacuolar change such as from hyperadrenocorticism, or a combination of these.
2. Minimal peritoneal effusion such as from hepatic malignancy/hepatitis or less likely other.
3. Minimal-mild diffuse bronchial pulmonary pattern due to fibrosis from prior disease, age-related changes, infectious/immune-mediated lower airway disease, or unlikely other.
4.  Moderate bilateral coxofemoral joint osteoarthrosis.</t>
  </si>
  <si>
    <t>Consider coagulation testing and abdominal ultrasonography versus computed tomography for further evaluation of the liver/peritoneum.  Consider abdominocentesis with fluid analysis/cytology and hepatic tissue sampling depending on results. Empirical therapy and supportive care in the interim as needed.  Monitoring as directed or sooner if clinical signs acutely change, fail to improve or worsen.</t>
  </si>
  <si>
    <t xml:space="preserve">
1.AI linked bacterial pneumonia treatment in dogs: https://platform.v2.vetology.net/doc/pneumonia-in-dogs-and-cats_x000D_
2.Are respiratory signs present? If NO._x000D_
3.Are respiratory signs present? If YES._x000D_
4.MODERATE INTERSITIAL TO ALVEOLAR PATTERN; MILD BRONCHITIS; MINIMAL PERIHILAR INFILTRATE._x000D_
5.Probability these AI pulmonary findings will accompany clinically detectable respiratory signs: MEDIUM to HIGH (50-75%%)_x000D_
6.Pleural fissure lines or small volume pleural effusion has been detected. In a mildly overweight animal, excessive pericardial fat can artifactually mimic the result of minimal pleural effusion._x000D_
7.The cardiac silhouette size is normal.</t>
  </si>
  <si>
    <t>Eight orthogonal thoracic radiographs dated 27th August 2024 are available for review. There are no previous radiographs available for comparison. All images are underexposed, limiting interpretation._x000D_
_x000D_
Airway findings: The cervical and thoracic trachea have a normal size, outline and position. The carina, tracheal bifurcation and mainstem bronchi are normal. Throughout the lung parenchyma there is a mild bronchointerstitial opacification. This is most prominent in the perihilar and right caudal region. Mild mineralisation of the mainstem bronchi is present. There is some rounding of the peripheral lung biopsy._x000D_
_x000D_
Cardiovascular findings: The cardiac silhouette has a globoid appearance in the ventrodorsal image. There is increased cardiac sternal contact. The caudal cardiac contour is upright. The pulmonary vasculature is normal. The caudal vena cava is prominent._x000D_
_x000D_
Mediastinum and pleural space: There is mild ventral soft tissue opacification consistent with some mild pleural fluid._x000D_
_x000D_
Musculoskeletal findings: There is severe bilateral elbow osteoarthritis. Multisite spondylosis deformans is present._x000D_
_x000D_
Included abdomen: There is smoothly marginated hepatomegaly.</t>
  </si>
  <si>
    <t>1. Mild-moderate generalised cardiomegaly: This is most consistent with early dilated cardiomyopathy. The faint interstitial opacification is most likely due to early cardiogenic pulmonary oedema. Some opacification can be due to body habitus and underexposure._x000D_
2.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 In this case, congestion may be prioritised.</t>
  </si>
  <si>
    <t xml:space="preserve">
1.The evaluation has a strong suspicion of soft tissue pulmonary nodules being present._x000D_
2.PULMONARY NODULES or NODULAR PATTERN; MILD to MODERATE BRONCHOINTERSTITIAL PATTERN with an ALVEOLAR COMPONENT; MILD PERIHILAR INFILTRATE._x000D_
3.Based on the AI airway/pulmonary findings, the probability of this patient having soft tissue pulmonary nodules and clinically detectable respiratory signs is MEDIUM to HIGH (50-75%)_x000D_
4.Are respiratory signs present? If YES._x000D_
5.Are respiratory signs present? If NO._x000D_
6.Mild cardiomegaly has been detected but Heart Failure is NOT suspected.</t>
  </si>
  <si>
    <t>Four images are provided.
Images are dated August 27, 2024.
Prior images dated May 13, 2024 (2657522) and January 1, 2021 are available.
N.B. Patient signalment is listed as "FS", contradictory to reported history.
Pulmonary parenchyma:  Motion artifact is present.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Reproductive:  Small tubular structures are suspected over the urinary bladder and between the colon/urinary bladder in the lateral image.
Peritoneum: Peritoneal detail is adequate.
Gastrointestinal tract: The stomach contains a moderate to large volume of gas.   The stomach is within normal limits for size.
The small intestine contains mild to moderate fluid, mild gas, or is empty with a subjectively uniform population for size. 
The colon contains moderate soft tissue material and gas. Minimal granular mineral is admixed with colon content. The colon is within normal limits for size.  
Musculoskeletal: Unchanged caudal vertebral anomalies due to breed.  The remaining included musculoskeletal structures are normal.</t>
  </si>
  <si>
    <t>1. Suspected small uterine horns versus superimposed small intestine in the caudal abdomen.
- If open pyometra is present, uterine enlargement in radiographs does not always manifest.
2. Non-specific gastrointestinal tract appearance such as from gastritis, enteritis, colitis, or variation of normal.
- There is no current evidence of gastrointestinal mechanical ileus.
- Differential diagnoses include dietary indiscretion (such as from passing granular colonic mineral), toxin ingestion, diet/antibiotic responsive disease, inflammatory bowel disease, pancreatitis, occult systemic disease or unlikely other.
3. Similar mild diffuse bronchial pulmonary pattern due to fibrosis from prior disease, age-related changes, infectious/immune-mediated lower airway disease (such as from mycoplasma spp., bordetella spp., parasitism, or inhaled allergen/irritant), or unlikely other.</t>
  </si>
  <si>
    <t>Consider abdominal ultrasonography for further evaluation of the uterus, versus celiotomy and ovariohysterectomy given signs consistent with chronic open pyometra.  Consider fecal analysis/empirical deworming and routine blood work for further evaluation.  Empirical therapy and supportive care as needed in the interim.  Monitoring with repeat radiographs if signs fail to improve or worsen, or if clinical signs manifest.</t>
  </si>
  <si>
    <t xml:space="preserve">
1.Minimal dynamic airway disease has been detected._x000D_
2.A mild bronchointerstitial pulmonary pattern and minimal dynamic airway disease have been detected._x000D_
3.The cardiac silhouette size is normal._x000D_
4.There is no evidence of PULMONARY NODULES.</t>
  </si>
  <si>
    <t xml:space="preserve">Four images are provided.
Images are dated August 27, 2024.
Images are mottled/grainy.  Ventrodorsal image excludes partially cranial thorax.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minimal gas.
Pleural space: The pleural space is normal.
Musculoskeletal: Osteoarthrosis of one shoulder is suspected.  The remaining included musculoskeletal structures are normal.
</t>
  </si>
  <si>
    <t>1. Minimal-mild diffuse bronchial pulmonary pattern.
- Differential diagnoses include fibrosis from prior disease, age-related changes, artifact, infectious/immune-mediated lower airway disease, inhaled allergen/irritant or unlikely other.
2. Suspected unilateral shoulder osteoarthrosis versus artifact.</t>
  </si>
  <si>
    <t>Consider routine blood work, respiratory PCR panel, airway sampling, and fecal analysis for further evaluation.  Empirical therapy and supportive care in the interim as needed for reported cough.  Consider computed tomography/rhinoscopy for further evaluation of nasal discharge.  Consider sedated laryngeal examination/laryngoscopy for further evaluation of laryngitis/pharyngitis contributing to reported signs.  Monitoring as directed or sooner if clinical signs acutely change, fail to improve or worsen.</t>
  </si>
  <si>
    <t xml:space="preserve">
1.MODERATE INTERSTITIAL TO ALVEOLAR INFILTRATE; MILD PERIHILAR INFILTRATE; MINIMAL BRONCHIAL PATTERN._x000D_
2.Based on these AI airway/pulmonary findings,  the probability of this patient having clinically detectable respiratory signs is HIGH (75%)_x000D_
3.Pleural fissure lines or small volume pleural effusion has been detected. In a mildly to moderately overweight animal, excessive pericardial fat can artifactually mimic the result of mild pleural effusion._x000D_
4.The cardiac silhouette size is normal._x000D_
5.Are respiratory signs present?  If YES._x000D_
6.Are respiratory signs present? If NO._x000D_
7.The evaluation has come up positive for a pulmonary nodular pattern.</t>
  </si>
  <si>
    <t>3 views centered over the thorax are submitted for review.  The cardiac silhouette appears prominent in size and rounded in shape.  An unstructured interstitial to coalescing alveolar pattern is noted in the region of the left caudal lung lobe and the caudal dorsal thorax.  There is also subjectively increased opacity in the left cranial thorax.  The pulmonary vasculature is not clearly visualized.  No pleural effusion is noted.  The visible cranial abdomen is unremarkable._x000D_
Multiple congenital hemivertebra are noted in the thoracic spine, typical for the breed.</t>
  </si>
  <si>
    <t>Suspect generalized cardiomegaly.  This could be consistent with right and/or left sided heart enlargement and/or pericardial effusion.  The appearance of the lung fields could be consistent with cardiogenic pulmonary edema or possibly bronchopneumonia. Pulmonary neoplasia cannot be excluded but is thought to be less likely.</t>
  </si>
  <si>
    <t>A chemistry and CBC should be considered if not already performed.  An ultrasound of the heart is recommended to rule out pericardial effusion or other structural heart disease.</t>
  </si>
  <si>
    <t xml:space="preserve">
1.Are respiratory signs present? If NO._x000D_
2.The evaluation has a strong suspicion of pulmonary nodules or mass lesion being present._x000D_
3.Are respiratory signs present? If YES._x000D_
4.SEVERE INTERSTITIAL TO ALVEOLAR PATTERN; MODERATE BRONCHIAL PATTERN; SEVERE DYNAMIC AIRWAY DISEASE._x000D_
5.Based on these AI airway/pulmonary findings, the probability of this patient having clinically detectable respiratory signs is VERY HIGH (&gt;75%)_x000D_
6.Pleural fissure lines or moderate to severe pleural effusion has been detected. An overlying skin fold or in an obese animal, excessive pericardial fat could artifactually mimic the result of severe pleural effusion._x000D_
7.Moderate cardiomegaly has been detected but Heart Failure is NOT suspected.</t>
  </si>
  <si>
    <t>Five orthogonal radiographs of the thoracal lumbar vertebral column dated 27th August 2024 are available for review. There are no previous radiographs available for comparison. _x000D_
_x000D_
Vertebral column: The cervical vertebral column is obliqued on all images limiting interpretation. There are multiple mild thoracic vertebral abnormalities from T4-T12 including some wedge vertebrae, butterfly vertebrae. The intervertebral disc spaces are within normal limits are mildly narrowed, with smooth vertebral endplates. There is mild dorsal narrowing of the intervertebral disc space at T12-T13, however obliquity is present in the image. The T13-L1 intervertebral disc space is minimally narrowed, with some irregularity of the caudal vertebral and plate of T13, however obliquity is present.</t>
  </si>
  <si>
    <t>1. Thoracolumbar mild intervertebral disc disease: This is unlikely associated with extradural compression. Occult intervertebral disease such as intervertebral disk protrusion or other spinal cord pathology including embolic (FCE), high velocity disk, inflammatory or neoplastic disease or degenerative myelopathy is not excluded ._x000D_
2. Mid thoracic mild congenital vertebral abnormalities consistent with breed. This is unlikely to be causing the clinical signs.</t>
  </si>
  <si>
    <t>Three radiographs of the thorax are provided. There is moderate generalized cardiomegaly. The cranial pulmonary vessels are normal size. There is a severe interstitial to alveolar pattern in the right perihilar region. The caudal thoracic trachea and mainstem bronchi are dorsally deviated, with severe compression of the mainstem bronchi. Moderate narrowed caudal cervical trachea and mild narrowed thoracic trachea on the right lateral view. No pleural effusion. In the cranial abdomen there is round 2.2 cm soft tissue contour overlying the cranial right quadrant on the VD projection. This area is not definitively included on the lateral views.</t>
  </si>
  <si>
    <t>1. Moderate generalized cardiomegaly consistent with acquired mitral and tricuspid valve disease. There is pulmonary edema indicating left-sided heart failure. Concurrent mainstem bronchial compression and probable dynamic tracheal collapse, likely contributing to the clinical signs._x000D_
2. Round soft tissue contour overlying the cranial abdomen may represent a superimposed extra-abdominal lesion such as a lipoma. This should be correlated with palpation and potentially additional abdominal imaging.</t>
  </si>
  <si>
    <t xml:space="preserve">
1.Are respiratory signs present? If NO._x000D_
2.Are respiratory signs present? If NO._x000D_
3.Are respiratory signs present? If YES._x000D_
4.MILD to MODERATE BRONCHOINTERSTITIAL PULMONARY PATTERN; MODERATE DYNAMIC AIRWAY COLLAPSE and/or BRONCHIECTASIS._x000D_
5.MILD TO MODERATE BRONCHOINTERSTITIAL PULMONARY PATTERN; ATELECTASIS or ALVEOLAR INFILTRATE._x000D_
6.Based on these AI airway/pulmonary findings, the probability of this patient having clinically detectable respiratory signs is LOW to MEDIUM (25-50%)_x000D_
7.Based on these AI airway/pulmonary findings, the probability of this patient having clinically detectable respiratory signs is MEDIUM (50%)_x000D_
8.Are respiratory signs present? If YES._x000D_
9.Severe cardiomegaly has been detected but Heart Failure is NOT suspected._x000D_
10.A mild perihilar infiltrate has been detected._x000D_
11.Pleural fissure lines or moderate pleural effusion has been detected. An overlying skin fold or in a moderately overweight animal, excessive pericardial fat could artifactually mimic the result of moderate pleural effusion.</t>
  </si>
  <si>
    <t>Four orthogonal thoracic radiographs and orthogonal left shoulder radiographs dated 27th August 2024 are available for review. There are no previous radiographs available for comparison. _x000D_
_x000D_
Left shoulder: There is a moth-eaten to geographic lysis of the proximal diaphysis of the left humerus. There is near complete lysis of the proximal caudal cortex. Periosteal new bone formation is present, as well as some soft tissues swelling. The transition to the normal bone is poorly demarcated._x000D_
_x000D_
Thorax: _x000D_
Airway findings: No nodules, masses, or lymphadenomegaly is visible. The trachea has a normal position, shape and size. The pulmonary parenchyma is normal. _x000D_
_x000D_
Cardiovascular findings: The cardiac silhouette, and pulmonary vasculature is within normal limits._x000D_
_x000D_
Mediastinum and pleura: There is no evidence of pleural effusion, _x000D_
_x000D_
Included abdomen: No significant abnormalities are detected. _x000D_
_x000D_
Musculoskeletal system: No significant abnormalities are detected.</t>
  </si>
  <si>
    <t>1. Monostotic aggressive mixed lytic and proliferative bone lesion of the left humerus.  Extended transitional zone, cortical destruction, and active periosteal reaction most concerning for primary bone neoplasia (osteosarcoma). Caudal pathologic fracture is likely present._x000D_
2. Negative metastasis check, normal thorax.</t>
  </si>
  <si>
    <t>Fine needle aspirate of the lesion or surrounding soft-tissues vs. bone biopsy are recommended for definitive diagnosis. Consultation with oncology based on results._x000D_
Computed tomography has a higher resolution capability to detect small pulmonary parenchyma nodules and may be considered.</t>
  </si>
  <si>
    <t>5 images of the thorax are provided for review.  The trachea is dorsally deviated, indicating left ventricular enlargement.  A bulge is present in the region of the left atrium.  No pulmonary infiltrates are seen.  The pulmonary vasculature is normal in size.  The mediastinal and pleural structures are normal.  The cervical trachea is mildly variable in diameter.  Cranial abdominal detail is adequate.  The liver margins are rounded and extend beyond the costal arch.</t>
  </si>
  <si>
    <t>Left-sided cardiomegaly without current evidence of cardiogenic pulmonary edema.  Echocardiography may be helpful in further evaluation.  Variation in tracheal diameter suggestive of dynamic tracheal collapse.  Fluoroscopy or bronchoscopy could be considered.  Hepatomegaly=ZZ90= this is a nonspecific finding that may be seen with congestion, vacuolar hepatopathy, inflammation, neoplasia, etc.  Abdominal ultrasound may be helpful in further evaluation if biochemically indicated.</t>
  </si>
  <si>
    <t xml:space="preserve">
1.Severe cardiomegaly has been detected but Heart Failure is NOT suspected._x000D_
2.MILD BRONCHOINTERSTITIAL PULMONARY PATTERN WITH ATELECTASIS or LESS LIKELY, PNEUMONIA, MILD PERIHILAR INFILTRATE._x000D_
3.Probability these AI pulmonary findings will accompany clinically detectable respiratory signs: MILD TO MODERATE (25-50%)_x000D_
4.Are respiratory signs present? If YES._x000D_
5.Are respiratory signs present? If NO.</t>
  </si>
  <si>
    <t>Study:_x000D_
Thoracic and abdominal radiography: six images dated August 27, 2024_x000D_
_x000D_
Findings:_x000D_
The cardiac silhouette is normal in size and shape. The pulmonary parenchyma is unremarkable. No nodules or masses are present. There is a thin pleural fissure line in the left fifth intercostal space on the VD view. There is no intrathoracic lymphadenopathy. The trachea is normal in diameter. There is a large (at least 10 cm) soft tissue opaque mass in the mid-ventral abdomen, confluent with the spleen. There is moderate peritoneal effusion. The stomach contains a small volume of gas. The small intestines are normal in size and content. The colon contains poorly formed fecal material. The liver is normal in size and margin. The renal silhouettes are normal in size and contour. The urinary bladder is normal in size and opacity. The osseous structures are unremarkable.</t>
  </si>
  <si>
    <t>1. There is no radiographic evidence of pulmonary metastatic disease._x000D_
2. The thin pleural fissure line is seen on the VD view may indicate incidental tangential visualization, pleural thickening or, less likely, trace nonspecific pleural effusion._x000D_
3. Splenic mass with moderate peritoneal effusion, concerning for a hemoabdomen. Rule out neoplasia, hyperplasia or hematoma.</t>
  </si>
  <si>
    <t>If not already performed, abdominal sonography can be considered for further staging prior to splenectomy.</t>
  </si>
  <si>
    <t xml:space="preserve">
1.The cardiac silhouette size is normal._x000D_
2.There is no evidence of DYNAMIC AIRWAY COLLAPSE or BRONCHIECTASIS._x000D_
3.A mild bronchointerstitial pulmonary pattern and minimal perihilar infiltrate have been detected.</t>
  </si>
  <si>
    <t>4 images of the thorax are provided for review.  The trachea is dorsally deviated, indicating left ventricular enlargement.  A bulge is present in the region of the left atrium.  The cardiac silhouette is also widened with rounding of the right ventricular border.  Interstitial to early alveolar opacity is present in the caudal lung lobes near the hilus.  The mediastinal and pleural structures are normal.  Cranial abdominal detail is adequate.</t>
  </si>
  <si>
    <t>Generalized cardiomegaly.  Interstitial to alveolar pulmonary pattern consistent with cardiogenic pulmonary edema.</t>
  </si>
  <si>
    <t>Recommend repeat radiographs following diuretic therapy.  Echocardiography may be helpful in further evaluation.</t>
  </si>
  <si>
    <t xml:space="preserve">
1.Moderate dynamic airway disease has been detected._x000D_
2.SEVERE ALVEOLAR PATTERN; PLEURAL EFFUSION or PLEURAL FISSURE LINES; MODERATE DYNAMIC AIRWAY DISEASE; MILD, DIFFUSE BRONCHOINTERSTITIAL PULMONARY PATTERN._x000D_
3.Based on the AI airway/pulmonary findings, the probability of this patient having clinically detectable respiratory signs is VERY HIGH (&gt;75%)_x000D_
4.Are respiratory signs present? If YES._x000D_
5.A moderate bronchointerstitial pattern, regions of alveolar infiltrate, a mild perihilar infiltrate and concurrent dynamic airway disease (see #2) have been detected._x000D_
6.Severe cardiomegaly has been detected but Heart Failure is NOT suspected._x000D_
7.Are respiratory signs present? If NO.</t>
  </si>
  <si>
    <t>THORAX (4 images):
Images are dated August 27, 2024.
Prior images dated September 11, 2023 are available.  
Pulmonary parenchyma: A minimal to mild diffuse bronchial pattern is present.  A minimal diffuse interstitial pattern is present.  
Pulmonary vasculature: The pulmonary vasculature is subjectively normal in size and tapers in the periphery of the lungs.
Cardiac silhouette: The cardiac silhouette has a slightly flattened caudodorsal margin.  Slight rounded increased soft tissue is suspected in the region of the left atrium in the ventrodorsal image.
Mediastinum: The cranial mediastinum is normal.
Trachea: The trachea is normal.
Esophagus: The esophagus is not well-identified.
Pleural space: The pleural space is normal.
Musculoskeletal: The included musculoskeletal structures are normal.</t>
  </si>
  <si>
    <t>1. Equivocal left atrial enlargement  or less likely artifact from phase of the cardiopulmonary cycle.
- If present, consider myxomatous mitral valvular disease and insufficiency.
- There is no current evidence of left-sided congestive heart failure.
2. Minimal diffuse bronchial and interstitial pulmonary patterns due to artifact, hypoinflation, and/or fibrosis from prior disease, age-related changes, infectious/immune-mediated lower airway disease, or unlikely other.</t>
  </si>
  <si>
    <t>Echocardiography, eCG and blood pressure for further evaluation, especially if a murmur is later identified.  Routine blood work and urinalysis to screen for occult systemic disease if not recently performed.  Consider respiratory PCR panel, airway sampling, and fecal analysis/deworming for further evaluation.  Empirical therapy and supportive care in the interim as needed for reported coughing.  Monitoring as directed or sooner if clinical signs acutely change, fail to improve or worsen.</t>
  </si>
  <si>
    <t>Thorax: There is a mild bronchial pattern.  The remainder of the pulmonary parenchyma is unremarkable.  The cardiac silhouette and pulmonary vasculature are unremarkable.  There is no evidence of pleural effusion or lymphadenopathy._x000D_
_x000D_
Abdomen: There is a moderate amount of heterogeneous soft tissue opacity within the gastric lumen consistent with normal ingesta.  The remainder of the gastrointestinal tract is unremarkable.  The liver and spleen are unremarkable.  The urinary tract is unremarkable.  Serosal detail is normal.  There are regions of punctate mineralization of within the intervertebral disc bases at T13-L1, L5-6, and L6-7.</t>
  </si>
  <si>
    <t>Mild bronchial pattern which may be age-related or bronchitis._x000D_
_x000D_
Suspect small regions of intervertebral disc mineralization at T13-L1, L5-6, L6-7.</t>
  </si>
  <si>
    <t>Orthogonal views of the thorax are provided:_x000D_
_x000D_
Thorax:_x000D_
_x000D_
There is cervical tracheal collapse more marked at the thoracic inlet._x000D_
Cardiac silhouette shows a mild enlargement of the left atrium dorsally displacing the carina._x000D_
Pulmonary vessels are within normal limits of size and shape._x000D_
Pulmonary parenchyma shows an equivocal alveolar patch in the caudal segment of the left cranial lung lobe._x000D_
Pleural space, mediastinum, diaphragm and thoracic wall within normal limits.</t>
  </si>
  <si>
    <t>1) Findings consistent with cervical tracheal collapse._x000D_
2) Left atrial enlargement secondary to chronic mitral endocardiosis without signs of CHF._x000D_
3) Equivocal alveolar patch in the caudal segment of the left cranial lung lobe. Rule out aspiration pneumonia vs position lung atelectasis.</t>
  </si>
  <si>
    <t>Consider a cardiology consultation with ECG and echocardiogram followed by empirical treatment for pneumonia with follow up radiographs every 48/72 hours to evaluate response to treatment. _x000D_
Consider also an abdominal Us to further evaluate causes for weight loss and lethargy.</t>
  </si>
  <si>
    <t xml:space="preserve">
1.MILD BRONCHOINTERSTITIAL PULMONARY PATTERN._x000D_
2.Based on these AI airway/pulmonary findings, the probability of this patient having clinically detectable respiratory signs are LOW (25%)_x000D_
3.Are respiratory signs present? If YES._x000D_
4.Are respiratory signs present? If NO._x000D_
5.The cardiac silhouette size is normal._x000D_
6.There is no evidence of PERIHILAR INFILTRATE, DYNAMIC AIRWAY COLLAPSE or BRONCHIECTASIS or PLEURAL EFFUSION.</t>
  </si>
  <si>
    <t>Four orthogonal thoracic radiographs dated 27th August 2024 are available for review. These are compared with previous radiographs dated 15th September 2020._x000D_
_x000D_
Airway findings: A smoothly marginated soft tissue opacity is variably present overlying the dorsal aspect of the trachea at the thoracic inlet. This opacity reduces approximately 60% of the dorsoventral diameter of the trachea. The intrathoracic trachea is dorsally elevated. Throughout the lung parenchyma there is a bronchial pattern._x000D_
_x000D_
Cardiovascular findings: The overall cardiac silhouette is enlarged. There is a large soft tissue opacity contiguous with the caudal cardiac border. In the ventrodorsal image, a soft tissue opacity is visible superimposed on the caudal cardiac silhouette. There is increased cardiac sternal contact. In the ventrodorsal image, the right atrium is bulging dorsally and towards the left. The cranial pulmonary vessels are still within normal limits. The caudal pulmonary vessels are normal._x000D_
_x000D_
Mediastinum and pleural space: No significant abnormalities are detected._x000D_
_x000D_
Musculoskeletal findings: No significant abnormalities are detected._x000D_
_x000D_
Included abdomen: No significant abnormalities are detected.</t>
  </si>
  <si>
    <t>1. Severe generalised cardiomegaly: This is most likely due to degeneration of both mitral and tricuspid valves. Dilated cardiomyopathy is possible. The signs for cardiac insufficiency are equivocal with no evidence of cardiogenic pulmonary oedema. This is a severe deterioration in comparison with previous radiographs._x000D_
2. The bronchial pattern has progressed: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The coughing is most likely a combination of mainstem bronchial compression due to the cardiomegaly, redundant trachealis membrane, and suspected tracheal collapse._x000D_
3. The dorsal attenuation of the trachea is consistent with redundant trachealis membrane/overlying musculature or tracheal collapse.</t>
  </si>
  <si>
    <t>Consider evaluation for airway collapse (fluoroscopy vs. right lateral inspiratory and expiratory radiographs vs. CT with virtual bronchoscopy)._x000D_
Radiography is insensitive for early cardiac insufficiency, therefore ECG, blood pressure measurements, and echocardiography are advised._x000D_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</si>
  <si>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3.A mild perihilar infiltrate has been detected._x000D_
4.SEVERE INTERSTITIAL TO ALVEOLAR PATTERN; MODERATE BRONCHIAL PATTERN; MODERATE DYNAMIC AIRWAY DISEASE._x000D_
5.Based on these AI airway/pulmonary findings, the probability of this patient having clinically detectable repsiratory signs is VERY HIGH (&gt;75%)_x000D_
6.Are respiratory signs present? If YES._x000D_
7.AI linked pneumonia in dogs article: https://platform.v2.vetology.net/doc/pneumonia-in-dogs-and-cats_x000D_
8.Are respiratory signs present? If NO.</t>
  </si>
  <si>
    <t>Orthogonal views of the thorax are provided and compared to the previous study on the 08/06/24:_x000D_
_x000D_
Thorax:_x000D_
_x000D_
Cardiac silhouette has a normal shape and size._x000D_
Pulmonary vessels are within normal limits of size and shape._x000D_
Pulmonary parenchyma is unchanged, within normal limits. No evidence of pulmonary nodules/masses._x000D_
Pleural space, mediastinum, diaphragm and thoracic wall within normal limits._x000D_
_x000D_
Liver extends beyond the costal arch with sharp margins.</t>
  </si>
  <si>
    <t>Consider empirical treatment for allergic tracheobronchitis evaluating response to treatment. Evaluate the convenience of a CT of the nasal cavity/thorax with bronchoscopy, BAL, culture, cytology followed (in this order) by rhinoscopy and biopsies with culture, with deworming._x000D_
Consider abdominal US to further evaluate the liver.</t>
  </si>
  <si>
    <t>3 views of the thorax are provided for review.  The trachea is dorsally deviated, indicating left ventricular enlargement.  A bulge is present in the region of the left atrium.  Interstitial to alveolar opacity is present in the caudal lung lobes near the hilus.  The mediastinal and pleural structures are normal.  Cranial abdominal detail is adequate.</t>
  </si>
  <si>
    <t xml:space="preserve">
1.Based on the AI airway/pulmonary findings, the probability of this patient having clinically detectable respiratorysigns is VERY HIGH (&gt;75%)_x000D_
2.A severe alveolar pattern and concurrent, diffuse bronchointerstitial pulmonary pattern have been detected._x000D_
3.Are respiratory signs present? If YES._x000D_
4.Based on these AI airway/pulmonary findings, the probability of this patient having clinically detectable respiratory signs is VERY HIGH (&gt;75%)_x000D_
5.MODERATE TO SEVERE INTERSTITIAL TO ALVEOLAR PATTERN; MODERATE BRONCHITIS; MILD NODULAR PULMONARY PATTERN._x000D_
6.SEVERE INTERSTITIAL TO ALVEOLAR PATTERN; MODERATE BRONCHIAL PATTERN; SEVERE DYNAMIC AIRWAY DISEASE._x000D_
7.The evaluation has detected soft tissue pulmonary nodules._x000D_
8.Are respiratory signs present? If NO._x000D_
9.Pleural fissure lines or moderate to severe pleural effusion has been detected. An overlying skin fold or in an obese animal, excessive pericardial fat could artifactually mimic the result of severe pleural effusion._x000D_
10.Severe cardiomegaly has been detected but Heart Failure is NOT suspected.</t>
  </si>
  <si>
    <t>Three orthogonal thoracic radiographs dated 26th August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has a mild caudal dorsal bronchial pattern. The mainstem bronchi are mildly mineralised._x000D_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No significant abnormalities are detected.</t>
  </si>
  <si>
    <t>Normal thorax. The mild bronchial pattern in absence of clinical signs is consistent with normal ageing/fibrosis from previous disease. Bulla are not seen.</t>
  </si>
  <si>
    <t xml:space="preserve">
1.A minimal interstitial pattern has been detected._x000D_
2.The evaluation has a strong suspicion of pulmonary nodules or mass lesion being present._x000D_
3.The cardiac silhouette size is normal._x000D_
4.There is no evidence of PERIHILAR INFILTRATE or DYNAMIC AIRWAY COLLAPSE or BRONCHIECTASIS.</t>
  </si>
  <si>
    <t>Three orthogonal thoracic radiographs dated 27th August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50% of the dorsoventral diameter of the trachea. The intrathoracic trachea is normal. The pulmonary parenchyma has a faint interstitial opacification._x000D_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Thin pleural fissure lines are present._x000D_
_x000D_
Musculoskeletal findings: The patient is obese._x000D_
_x000D_
Included abdomen: No significant abnormalities are detected.</t>
  </si>
  <si>
    <t>1. The dorsal attenuation of the trachea is consistent with redundant trachealis membrane or overlying musculature. This is unlikely to be causing the clinical signs._x000D_
2. The interstitial opacification is consistent with hypoinflation and body habitus. Viral pneumonia, pulmonary oedema is highly unlikely. The reported clinical signs may be due to a (allergic) rhinitis/tracheatis. Tracheal collapse should be considered.</t>
  </si>
  <si>
    <t>Consider evaluation for airway collapse (fluoroscopy vs. right lateral inspiratory and expiratory radiographs vs. CT with virtual bronchoscopy). _x000D_
Obesity predisposes for airway collapse, and reduction of thoracic volume (pickwickian syndrome), reducing pulmonary clearance, therefore weight management is advised._x000D_
Respiratory workup including CBC, serum chemistry, urinalysis, Baermann faecal testing, 4DX, +/- respiratory panel or fungal testing may be considered.</t>
  </si>
  <si>
    <t>Three radiographs of the thorax are provided. The cardiac silhouette and pulmonary vessels are normal size. There are faint peripheral bronchial markings. No pleural effusion or intrathoracic lymphadenomegaly. Normal tracheal diameter. Round 0.5 cm metal opaque BB adjacent to the xiphoid process is incidental today. Normal cranial abdomen.</t>
  </si>
  <si>
    <t>Faint bronchial markings may be normal age change. Airway inflammation such as can be seen with inhaled irritant/allergens or infectious airway disease is not ruled out and would be suspected if the cough is chronic. No tracheal abnormalities are appreciated. Dynamic tracheal collapse is not ruled out. Otherwise normal thorax.</t>
  </si>
  <si>
    <t>If the cough persists, consider symptomatic treatment, and utilization of a body harness in place of a neck lead.</t>
  </si>
  <si>
    <t>6 images of the entire body are presented for review.  The cardiovascular and pulmonary structures are normal.  No esophageal dilation or foreign material is seen.  The trachea is normal in diameter.  The laryngeal and pharyngeal structures included are normal.  The pleural and mediastinal structures are normal.  Abdominal serosal detail is adequate in all quadrants.  The stomach contains a moderate amount of amorphous soft tissue.  The small intestines are normal in size.  Gas and feces are present in the colon.  The urinary bladder is small.  The remaining abdominal organs are normal.</t>
  </si>
  <si>
    <t>Radiographically normal thorax.  Material within the stomach may represent residual ingesta or foreign material.</t>
  </si>
  <si>
    <t>Study:_x000D_
Thoracic radiography: three images dated August 27, 2024_x000D_
_x000D_
Findings:_x000D_
The cardiac silhouette and pulmonary vasculature are normal in size. The pulmonary parenchyma is unremarkable. The pleural space is normal. There is no intrathoracic lymphadenopathy. The trachea is normal in diameter and course. There is no lobar bronchi narrowing. There is no esophageal dilation. The included abdomen is normal. No skeletal abnormalities are present.</t>
  </si>
  <si>
    <t>Normal thorax.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t>
  </si>
  <si>
    <t>Sedated laryngeal exam, fluoroscopy, airway sampling plus/minus heartworm testing and Baermann fecal flotation can be considered to further evaluate the reported coughing.</t>
  </si>
  <si>
    <t xml:space="preserve">
1.A minimal bronchointerstitial pulmonary pattern has been detected._x000D_
2.The cardiac silhouette size is normal._x000D_
3.There is no evidence of DYNAMIC AIRWAY COLLAPSE or BRONCHIECTASIS, PULMONARY NODULES or PLEURAL EFFUSION.</t>
  </si>
  <si>
    <t>Orthogonal views of the torso are submitted for review.  The heart is generally markedly enlarged with severe left atrial enlargement.  The intrathoracic trachea is dorsally deviated.  The pulmonary vasculature is not overtly distended.  Mild to moderate bronchointerstitial markings are noted throughout the lung fields.  No pleural effusion or intrathoracic lymphadenopathy is noted.  There is compression of the mainstem bronchi on the lateral view.  Linear soft tissue opacity summates of the dorsal aspect of the cervical trachea._x000D_
In the abdomen, the stomach contains a moderate amount of ingesta.  The small bowel is normal in uniform diameter.  The liver is moderately enlarged with smooth margins.  The spleen, unobscured margins of the renal silhouettes, and urinary bladder are normal.  Serosal detail is adequate._x000D_
No aggressive bony changes are noted.</t>
  </si>
  <si>
    <t>The appearance of the heart is consistent with advanced myxomatous mitral and likely tricuspid valve endocardiosis.  No evidence of cardiogenic pulmonary edema is noted.  The appearance of the lung field is most consistent with chronic inflammatory airway disease and/or incidental age-related change.  There does appear to be mainstem bronchial compression associated with severe left atrial enlargement.  The appearance of the trachea could be consistent with dynamic tracheal collapse, redundant dorsal trachealis muscle, or superimposition artifact._x000D_
Moderate hepatomegaly.  Differentials include vacuolar hepatopathy, venous congestion, or less likely inflammation or neoplasia.</t>
  </si>
  <si>
    <t>Medical management with Pimobendan and potentially a diuretic may be indicated.  A repeat echocardiogram could be considered.  Correlation of the findings in the liver with blood work and an abdominal ultrasound may be indicated.</t>
  </si>
  <si>
    <t xml:space="preserve">
1.Severe dynamic airway disease has been identified._x000D_
2.A moderate to severe, diffuse mixed bronchointerstitial pattern with concurrent dynamic airway disease has been detected._x000D_
3.Pleural fissure lines or moderate to severe pleural effusion has been detected. An overlying skin fold or in an obese animal, excessive pericardial fat could artifactually mimic the result of severe pleural effusion._x000D_
4.Severe cardiomegaly has been detected but Heart Failure is NOT suspected.</t>
  </si>
  <si>
    <t>Orthogonal views of the thorax and abdomen are provided:_x000D_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are mildly gas and fluid filled, not overtly distended. _x000D_
Unformed feces in the colon._x000D_
Serosal detail is decreased with mottling._x000D_
Liver and spleen are within normal limits of size and smoothly marginated._x000D_
Kidneys and urinary bladder WNL.</t>
  </si>
  <si>
    <t>1) Unremarkable thorax._x000D_
2) Suspected free fluid. Along with the reported leukocytosis, main rule out is peritonitis vs dehydration with more severe hypoalbuminemia (lower than 1.5) leading to pure transudate.</t>
  </si>
  <si>
    <t>Abdominal US for further evaluation.</t>
  </si>
  <si>
    <t>Four radiographs of the thorax are provided. The cardiac silhouette is normal size and shape lower normal size on the lateral views, and appears relatively small on DV projections. Faint bronchial markings in the lungs. No pleural effusion. Caudal vena cava size is normal. The cranial abdomen is unremarkable.</t>
  </si>
  <si>
    <t>Enlarged caudal pulmonary arteries and mild bronchial pattern, most consistent with canine heartworm disease and secondary eosinophilic bronchopneumopathy. Reduced cardiac silhouette size, likely hypovolemia.</t>
  </si>
  <si>
    <t>This is class I heartworm disease.</t>
  </si>
  <si>
    <t xml:space="preserve">
1.This evaluation has a strong suspicion of soft tissue pulmonary nodules or mass lesion being present._x000D_
2.PULMONARY NODULES or NODULAR PATTERN; PLEURAL EFFUSION; MODERATE INTERSTITIAL TO ALVEOLAR PATTERN._x000D_
3.Based on these AI airway/pulmonary findings, the probability of this patient having clinically detectable respiratory signs is HIGH (75%)_x000D_
4.Are respiratory signs present? If YES._x000D_
5.If left atrial enlargement is present, that could contribute to the perihilar finding (see cardiac findings below)._x000D_
6.The cardiac silhouette size is normal._x000D_
7.Are respiratory signs present? If NO._x000D_
8.A moderate bronchointerstitial pattern with a concurrent alveolar infiltrate and perihilar opacity has been detected._x000D_
9.Probability these AI pulmonary findings will accompany clinically detectable respiratory signs: MEDIUM to HIGH (50-75%%)_x000D_
10.Respiratory signs: YES._x000D_
11.Respiratory signs: NO.</t>
  </si>
  <si>
    <t>Three radiographs of the thorax are provided. Images dated 3/6/23 and earlier are available for comparison. There is mild left atrial enlargement, similar to the study from February 9, 2021. Pulmonary vessels are normal size. There are mild age-related changes in the lungs. No pleural effusion or soft tissue pulmonary nodules. Possible redundant dorsal trachealis membrane on the edge of the left lateral view. No esophageal dilation. Normal cranial abdomen.</t>
  </si>
  <si>
    <t>Prominent left atrium consistent with acquired mitral valve disease. There is no pulmonary venous congestion or pulmonary edema. This is of doubtful clinical significance today. Otherwise normal thorax.</t>
  </si>
  <si>
    <t>Recommend CBC, blood chemistry profile, ECG, and cranial nerve assessment.</t>
  </si>
  <si>
    <t xml:space="preserve">
1.A mild bronchointerstitial pulmonary pattern and minimal perihilar infiltrate have been detected._x000D_
2.There is no evidence of DYNAMIC AIRWAY COLLAPSE or BRONCHIECTASIS._x000D_
3.Severe cardiomegaly has been detected but Heart Failure is NOT suspected.</t>
  </si>
  <si>
    <t>Four radiographs of the thorax are provided. The cardiac silhouette and pulmonary vessels are normal size. There is a mild mixed bronchointerstitial pattern in the lungs. There is no pleural effusion. Caudal vena cava size is normal. No intrathoracic lymphadenomegaly. Tracheal diameter is adequate. There is a 1.0 cm metal opaque pellet in the tissues lateral to the left scapula, incidental.</t>
  </si>
  <si>
    <t>Mild mixed bronchointerstitial pattern, consider chronic airway inflammation such as bronchitis, versus eosinophilic bronchopneumopathy secondary to heartworm disease. Otherwise normal thorax.</t>
  </si>
  <si>
    <t xml:space="preserve">
1.The cardiac silhouette size is normal._x000D_
2.There is no evidence of PERIHILAR INFILTRATE or DYNAMIC AIRWAY COLLAPSE or BRONCHIECTASIS._x000D_
3.A mild interstitial to alveolar infiltrate has been detected.</t>
  </si>
  <si>
    <t>Three radiographs of the thorax and of the abdomen are provided. The cardiac silhouette is normal size on the lateral views. A halo of fat encircles the heart and extends into the cranial mediastinum on the VD projection. There are no abnormalities in the pulmonary parenchyma. Small round increased opacities adjacent to the heart is caused by end-on pulmonary vessels. Normal tracheal diameter._x000D_
_x000D_
In the abdomen the liver is mildly enlarged with smooth margins. The spleen and kidneys are normal size. The gastrointestinal tract is moderately filled. No radiopaque urolithiasis. Osseous structures are unremarkable.</t>
  </si>
  <si>
    <t>Mild hepatomegaly. With the history, steroid hepatopathy is suspected. Acute inflammation or neoplasia are next on the differential list. Otherwise normal postprandial abdomen and thorax.</t>
  </si>
  <si>
    <t>A CBC and blood chemistry profile are recommended. Strictly fasted abdominal ultrasound could be considered to further evaluate the liver, adrenal glands, and gastrointestinal tract.</t>
  </si>
  <si>
    <t xml:space="preserve">
1.Are respiratory signs present? If YES._x000D_
2.AI linked bacterial bronchitis in dogs article: https://platform.v2.vetology.net/doc/bacterial-bronchitis-in-dogs-and-cats_x000D_
3.Are respiratory signs present? If NO._x000D_
4.Are respiratory signs present? If NO._x000D_
5.The cardiac silhouette size is normal._x000D_
6.There is no evidence of PULMONARY NODULES._x000D_
7.MILD TO MODERATE BRONCHOINTERSTITIAL PULMONARY PATTERN; ATELECTASIS or ALVEOLAR INFILTRATE._x000D_
8.MILD to MODERATE BRONCHOINTERSTITIAL PATTERN; MINIMAL DYNAMIC AIRWAY DISEASE._x000D_
9.Based on these AI airway/pulmonary findings, the probability of this patient having clinically detectable respiratory signs is LOW to MEDIUM (25-50%)_x000D_
10.Based on these AI airway/pulmonary findings, the probability of this patient having clinically detectable respiratory signs is LOW to MEDIUM (25%-50%)_x000D_
11.Are respiratory signs present? If YES.</t>
  </si>
  <si>
    <t>5 images of the thorax are provided for review.  The cardiovascular structures are normal.  There is a marked bronchial pattern in all lung lobes.  The mediastinal and pleural structures are normal.  Cranial abdominal detail is adequate.  There is spondylosis deformans of the thoracolumbar spine.</t>
  </si>
  <si>
    <t>Study:_x000D_
Thoracic and abdominal radiography: six images dated August 27, 2024_x000D_
_x000D_
Findings:_x000D_
There is moderate generalized cardiomegaly (VHS approximately 12). The pulmonary vasculature is normal in size. There is a mild generalized bronchointerstitial pulmonary pattern. No pulmonary nodules or masses are present. The pleural space is normal. There is no apparent intrathoracic lymphadenopathy. The trachea is normal in diameter. Evaluation the abdomen is limited on the DV image due to the inherent visceral crowding of this projection. The stomach contains a small volume of gas. The pylorus is seen endon is a round soft tissue opaque structure in the cranioventral abdomen on the lateral projection timestamped 9:25 AM. The small intestines are normal in size, course and content. The colon contains gas with poorly formed fecal material. The liver extends beyond the costal arch with smooth margins. The spleen is normal in size and margin. The left kidney is normal in size and contour. The right kidney is not clearly visualized due to visceral crowding. The urinary bladder is normal in size and opacity. The prostate is severely enlarged with smooth margins. There is variable mild to severe multifocal thoracolumbar spondylosis deformans. There is severe bilateral coxofemoral degenerative change. There is mild left stifle periarticular bone formation.</t>
  </si>
  <si>
    <t>1. The gastrointestinal tract is unremarkable. There is no radiographic evidence of gastrointestinal foreign material or small intestinal mechanical obstruction. Abdominal sonography can be considered for further evaluation if clinical signs persist or worsen in spite of medical management._x000D_
2. The generalized hepatomegaly is nonspecific. Rule out metabolic/vacuolar hepatopathy, hyperplasia, hepatitis or infiltrative neoplasia. Sonography can be considered for further evaluation._x000D_
3. Severe prostatomegaly. Rule out benign prostatic hyperplasia plus/minus prostatitis, prostatic abscess formation or para-prostatic cyst._x000D_
4. Moderate generalized cardiomegaly without evidence of decompensation. Rule out degenerative valve disease or dilated cardiomyopathy. Echocardiography can be considered for further evaluation._x000D_
5. In the absence of any reported respiratory signs, the mild generalized bronchointerstitial pulmonary pattern is likely a benign age-related change. Allergic, inflammatory, infectious, inhaled irritant or parasitic bronchitis cannot be excluded._x000D_
6. Severe bilateral coxofemoral osteoarthrosis._x000D_
7. Mild left stifle osteoarthrosis. Consider underlying cranial cruciate and/or meniscal injury.</t>
  </si>
  <si>
    <t xml:space="preserve">
1.Pleural fissure lines or moderate pleural effusion has been detected. An overlying skin fold or in a moderately overweight animal, excessive pericardial fat could artifactually mimic the result of moderate pleural effusion._x000D_
2.The cardiac silhouette size is normal._x000D_
3.MILD BRONCHOINTERSTITIAL PULMONARY PATTERN with ATELECTASIS or less likely, PNEUMONIA; MILD PERIHILAR INFILTRATE._x000D_
4.MILD BRONCHOINTERSTITIAL PULMONARY PATTERN; MILD DYNAMIC AIRWAY DISEASE; MINIMAL PERIHILAR INFILTRATE._x000D_
5.Based on the AI airway/pulmonary findings, the probability of this patient having clinically detectable respiratory signs is LOW to MEDIUM (25%-50%)_x000D_
6.Based on these AI airway/pulmonary findings, the probability of this patient having clinically detectable respiratory signs is MEDIUM (50%)_x000D_
7.Are respiratory signs present? If YES._x000D_
8.Are respiratory signs present? If YES._x000D_
9.Are respiratory signs present? If NO_x000D_
10.Are respiratory signs present? If NO.</t>
  </si>
  <si>
    <t>Four images are provided.
Images are dated August 27, 2024.
Ungloved human digits primary beam. Caudal abdomen excluded.
Pulmonary parenchyma: A minimal to mild diffuse interstitial pattern is present, exacerbated by hypoinflation in the lateral images.  
Pulmonary vasculature: The pulmonary vasculature is subjectively normal in size and tapers in the periphery of the lungs.  Lobar bronchi are not well-identified in one left lateral image compared to the alternate.
Cardiac silhouette: The cardiac silhouette is equivocal tall in the lateral images, and subjectively normal in the ventrodorsal images.
Mediastinum: The cranial mediastinum is mildly symmetrically widened without obvious increased soft tissue.
Trachea: The trachea is narrowed in a dorsoventral dimension with an undulant, well-defined wall.  In the lateral images, soft tissue band(s) superimpose over the dorsal or dorsal and mid-portions of the tracheal lumen, likely exacerbated by patient obliquity.  
Esophagus: The esophagus is not well-identified.
Pleural space: The pleural space is normal.
Liver: The liver is subjectively normal in size.
Spleen: The spleen is normal in size with smooth margins and homogeneous soft tissue.
Kidneys: The right kidney is not well-identified without obvious mineral or enlargement.  The left kidney is normal.
Retroperitoneum: Retroperitoneal detail is adequate.
Urinary bladder/Urethra: The urinary bladder is excluded.
Peritoneum: Peritoneal detail is adequate.
Gastrointestinal tract: The stomach contains a moderate gas, soft tissue material, and fluid.   The stomach is within normal limits for size.
The duodenum contains mild gas in the ventrodorsal image.
The small intestine contains mild gas with a subjectively uniform population for size. 
The colon contains mild heterogeneous soft tissue material and gas.  The colon is within normal limits for size.  
Musculoskeletal: The included musculoskeletal structures are normal.</t>
  </si>
  <si>
    <t>1. Tracheal narrowing with redundant dorsal tracheal membrane, and suspected lobar bronchial narrowing/dynamic airway disease.
- Underlying chondromalacia is suspected.
2. Minimal-mild diffuse interstitial pulmonary pattern due to hypoinflation, fibrosis from prior disease, age-related changes, infectious/immune-mediated lower airway disease or unlikely other.
3. Equivocal left ventricular enlargement versus artifact from phase of the cardiopulmonary cycle/patient confirmation.
- If present, consider myxomatous mitral valvular disease or unlikely other.
- No current evidence of left-sided congestive heart failure.
4. Mild cranial mediastinal widening due to fat deposition or unlikely occult lymphadenomegaly or other.
5. Gastric material from recent meal or unlikely gastritis/delayed emptying or other given reported history.
6. Non-specific gastrointestinal tract changes such as from variation of normal or unlikely given reported history gastritis/enteritis.</t>
  </si>
  <si>
    <t>Consider tracheoscopy/bronchoscopy/fluoroscopy for further evaluation of dynamic airway disease.  Tracheal stenting versus surgical intervention and internist consultation may be contributory.  Consider airway sampling, respiratory PCR panel for further evaluation of lower airway disease contributing to clinical signs. Echocardiography if a murmur is later identified.  Routine blood work and fecal analysis may be contributory.  Empirical therapy and supportive care as needed in the interim. Monitoring as directed or sooner if clinical signs acutely change, fail to improve or worsen.</t>
  </si>
  <si>
    <t xml:space="preserve">
1.Are respiratory signs present? If YES._x000D_
2.A bronchointerstitial pulmonary pattern and concurrent severe dynamic airway disease have been detected._x000D_
3.Based on the AI airway/pulmonary findings, the probability of this patient having clinically detectable respiratory signs is MEDIUM to HIGH (50-75%)_x000D_
4.Severe dynamic airway disease has been detected._x000D_
5.Are respiratory signs present? If NO._x000D_
6.MODERATE INTERSTITIAL TO ALVEOLAR PATTERN; MILD BRONCHITIS._x000D_
7.Pleural fissure lines or small volume pleural effusion has been detected. In a mildly overweight animal, excessive pericardial fat can artifactually mimic the result of minimal pleural effusion._x000D_
8.Mild cardiomegaly has been detected but Heart Failure is NOT suspected.</t>
  </si>
  <si>
    <t>Study:_x000D_
Thoracic and abdominal radiography: six images dated August 26,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small volume of gas with the pylorus probably gas-filled on the left lateral image. The small intestines are normal in size, course and content. The colon contains formed fecal material with a normal diameter. The liver and spleen are normal in size and margin. The kidneys are normal in size and contour. The urinary bladder is normal in size and opacity. The T 13 vertebra is transitional with bilateral hypoplastic ribs. There is mild bilateral stifle periarticular bone formation.</t>
  </si>
  <si>
    <t>1. Normal thorax. There is no radiographic evidence of cardiopulmonary disease or intrathoracic neoplasia._x000D_
2. Unremarkable abdomen._x000D_
3. Mild bilateral stifle osteoarthrosis.</t>
  </si>
  <si>
    <t>Neurology consultation and MRI can be considered for further evaluation of the reported possible seizure.</t>
  </si>
  <si>
    <t>WHOLE-BODY (3 total radiographs for review)._x000D_
_x000D_
- There is a heterogeneous loss in caudal abdominal peritoneal detail with wispy soft tissue opacities that border efface the margins of the urinary bladder._x000D_
- The urinary bladder is moderately distended and homogenously soft tissue opaque._x000D_
- There is an atypical rounded soft tissue opacity cranio-dorsal to the urinary bladder on the lateral projection._x000D_
- The prostate gland is not distinctly identified._x000D_
- The margins of at least one kidney are within normal. The right kidney is of limited assessment on the VD image due to superimposition._x000D_
- The gastrointestinal tract contains mild soft tissue opaque material and gas and is otherwise unremarkable._x000D_
- The liver, spleen are normal._x000D_
- Rounded soft-tissue opacity dorsal to the 2nd sternal segment on the lateral projections and a widening of the cranial mediastinum._x000D_
- The cardiac silhouette and pulmonary vasculature are normal._x000D_
- The pulmonary parenchyma is normal_x000D_
- The trachea, esophagus and remainder of the mediastinum are normal._x000D_
- The pleural space and remaining intrathoracic structures are normal.</t>
  </si>
  <si>
    <t>1. There is focal peritoneal effusion/peritonitis in the caudal abdomen that border effaces the urinary bladder, and an atypical rounded soft tissue opacity cranio-dorsal to the bladder. In combination with a history of hematuria and azotemia, there is some concern for a mass (e.g. neoplasia) associated with the urinary tract such as the ureters, urinary bladder or kidneys and the peritoneal effusion might be inflammatory or uroperitoneum. I would recommend considering complete abdominal ultrasonography (or CT) in this patient for further evaluation._x000D_
_x000D_
2. Sternal lymphadenopathy (reactive or metastatic and likely associate with #1)_x000D_
_x000D_
3. Cranial lumbar spondylosis deformans</t>
  </si>
  <si>
    <t xml:space="preserve">Four images are provided.
Images are dated August 26, 2024.
Lateral images exclude the caudal abdomen.
This examination complements reports 2744559, 2744552, and2744609.
Pulmonary parenchyma:  A mild interstitial pattern is over the left caudal lung in the right lateral image.  A mild to moderate interstitial pattern is over the ventral periphery of the cranial subsegment of the left cranial lung lobe.  A minimal diffuse interstitial pattern is present and the lungs are hypoinflated.  
Pulmonary vasculature: The pulmonary vasculature is subjectively normal in size and tapers in the periphery of the lungs.
Cardiac silhouette: The cardiac silhouette is normal in size and shape.
Mediastinum: The cranial mediastinum is mildly widened.
Trachea: The trachea is normal.
Esophagus: The esophagus contains minimal gas or is empty.
Pleural space: The pleural space is normal.
Liver: The liver is slightly enlarged with a rounded caudoventral margin and normal position of the gastric axis.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mild volume of fluid and gas.   The stomach is within normal limits for size.
The small intestine contains mild fluid or is empty with a subjectively uniform population for size. 
The colon contains minimal soft tissue material and gas.  Minimal mineral is admixed with colon content.  The colon is within normal limits for size.  
Musculoskeletal: The left extra-thoracic soft tissues are mildly enlarged with ill-defined fluid striations admixed with fat.  Mild left and right shoulder osteoarthrosis is present.  A left 5th rib fracture is present in its dorsal third.  The remaining included musculoskeletal structures are normal.
</t>
  </si>
  <si>
    <t>1. Mild-moderate interstitial pulmonary patterns in the left cranial and left caudal lung lobes.
- Given reported history pulmonary contusion is the primary differential diagnosis.
- No obvious pleural fluid/gas in this examination.
2. Minimal diffuse interstitial pulmonary pattern due to hypoinflation, fibrosis from prior disease, age-related changes or unlikely other.
3. Left 5th rib fracture and left extra-thoracic soft tissue edema/hemorrhage, likely from recent trauma.
4. Equivocal hepatomegaly versus variation of normal/artifact in positioning.
- If present, consider vacuolar change, nodular hyperplasia, hepatitis/cholangiohepatitis, or unlikely other.
5. Minimal colon mineral such as from dietary indiscretion.
6. Mild right and left shoulder osteoarthrosis.</t>
  </si>
  <si>
    <t>Consider empirical therapy for trauma and pulmonary contusions as needed (oxygen therapy, bronchodilators, pain medications, etc).  Routine blood work may be contributory.  Monitoring as directed, or sooner if clinical signs acutely change, fail to improve or worsen.</t>
  </si>
  <si>
    <t xml:space="preserve">
1.Are respiratory signs present? If YES._x000D_
2.Are respiratory signs present? If NO._x000D_
3.Mild cardiomegaly has been detected but Heart Failure is NOT suspected._x000D_
4.MILD BRONCHOINTERSTITIAL PULMONARY PATTERN; MILD DYNAMIC AIRWAY DISEASE; MINIMAL PERIHILAR INFILTRATE._x000D_
5.Based on these AI airway/pulmonary findings, the probability of this patient having clinically detectable respiratory signs is MEDIUM (50%)</t>
  </si>
  <si>
    <t xml:space="preserve">
ABDOMEN (7 images):
Images are dated August 26, 2024.
Additional images dated the same day attached to case 2744658.
Liver: The liver has a slightly rounded caudoventral margin a cranially centered right lateral image, and is otherwise normal in size.
Spleen: The spleen is normal in size with smooth margins and homogeneous soft tissue.
Kidneys: The kidneys are normal in size and shape without obvious mineral.
Retroperitoneum: Retroperitoneal detail is adequate.
Urinary bladder/Urethra: The urinary bladder is not well-identified without obvious enlargement or mineral.
Peritoneum: Peritoneal detail is slightly reduced with ill-defined fluid striations suspected in cranioventral mesenteric fat.
Gastrointestinal tract: The stomach contains a moderate volume of heterogeneous soft tissue material admixed with gas.   The stomach is within normal limits for size.
The small intestine contains mild fluid and gas, or is empty with a subjectively uniform population for size.   Some small intestinal segments in the caudal abdomen contain mild mineral.  
The colon contains mild heterogeneous soft tissue material and gas.  Minimal mineral is suspected admixed with distal descending colon content. 
 The colon is within normal limits for size.  
Musculoskeletal: T13 is transitional with thin hypoplastic ribs.  The remaining included musculoskeletal structures are normal.
</t>
  </si>
  <si>
    <t>1. Gastric material due to recent meal, versus gastritis/delayed gastric emptying or unlikely pyloric outflow tract obstruction given progression of clinical signs in reported history.
2. Non-specific small intestinal and colon appearance such as from enteritis, colitis, or individual variation of normal.
- There is no current evidence of gastrointestinal mechanical ileus.
- Differential diagnoses include dietary indiscretion (such as from small intestinal/colonic granular mineral), toxin ingestion, diet/antibiotic responsive disease, inflammatory bowel disease, pancreatitis, occult systemic disease or unlikely other.
3. Mild peritoneal effusion is suspected such as from peritonitis/steatitis and regional pancreatitis, hepatitis or gastroenterocolitis, or combination of these, or less likely systemic coagulopathy given reported anemia, or malignant effusion given patient age.
4. Equivocal hepatomegaly versus artifact from patient positioning.
- If present, consider hepatitis/cholangiohepatitis, or less likely vacuolar hepatopathy, nodular hyperplasia, neoplasia or other.</t>
  </si>
  <si>
    <t>Consider repeat abdominal radiographs after 8-12 hours of fasting and empirical therapy to monitor for passage of gastric content.  Consider abdominal ultrasonography versus computed tomography of the abdomen given patient size, and abdominocentesis with fluid analysis/cytology, as well as coagulation testing and hepatic tissue sampling depending on results.  Empirical therapy/deworming and supportive care in the interim as needed for gastroenterocolitis/hemorrhagic colitis.  Monitoring as directed or sooner if clinical signs acutely change, fail to improve or worsen.</t>
  </si>
  <si>
    <t xml:space="preserve">
1.SEVERE ALVEOLAR INFILTRATE; MILD BRONCHOINTERSTITIAL PATTERN._x000D_
2.Based on the AI airway/pulmonary findings, the probability of this patient having clinically detectable respiratory signs is VERY HIGH (&gt;75%)_x000D_
3.Are respiratory signs present? If YES._x000D_
4.AI linked canine pneumonia treatment: https://platform.v2.vetology.net/doc/pneumonia-in-dogs-and-cats_x000D_
5.The cardiac silhouette size is normal._x000D_
6.There is no evidence of DYNAMIC AIRWAY COLLAPSE or BRONCHIECTASIS._x000D_
7.Are respiratory signs present? If NO.</t>
  </si>
  <si>
    <t>Orthogonal views of the thorax are provided:_x000D_
_x000D_
Thorax:_x000D_
_x000D_
No abnormalities seen in the trachea._x000D_
Cardiac silhouette shows questionable mild enlargement of the left atrium dorsally displacing the carina._x000D_
Some of the cranial lobar pulmonary arteries and the right caudal lobar pulmonary artery are enlarged._x000D_
Pulmonary parenchyma shows a mild bronchial pattern. No evidence of pneumonia nor signs of pulmonary nodules/masses._x000D_
Pleural space, mediastinum, diaphragm and thoracic wall within normal limits._x000D_
_x000D_
Liver extends beyond the costal arch with sharp margins.</t>
  </si>
  <si>
    <t>1) Rule out left atrial enlargement secondary to chronic mitral endocardiosis without signs of CHF._x000D_
2) Enlarged pulmonary arteries consistent with HW diseease._x000D_
3) Unremarkable lungs do not exclude a bronchitis of allergic vs inflammatory/infectious or parasitic origin._x000D_
3) Hepatomegaly: Metabolic vs Vacuolar infiltration vs Hepatic nodular hyperplasia vs Inflammatory vs Toxic vs Neoplastic or a combination of these differentials.</t>
  </si>
  <si>
    <t>Consider a cardiology consultation with ECG and echocardiogram to stage the HW disease and rule in/out left atrial enlargement along with abdominal US to further evaluate the liver prior to an empirical treatment for chronic bronchitis evaluating response to treatment.</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</si>
  <si>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5.Pleural fissure lines or moderate pleural effusion has been detected. An overlying skin fold or in a moderately overweight animal, excessive pericardial fat could artifactually mimic the result of moderate pleural effusion._x000D_
6.Mild cardiomegaly has been detected but Heart Failure is NOT suspected.</t>
  </si>
  <si>
    <t>Three radiographs of the thorax are provided. The cardiac silhouette and pulmonary vessels are normal size and shape. Faint bronchial markings is normal for the age of this patient. There are no soft tissue pulmonary nodules or pleural effusion. No enlarged intrathoracic lymph nodes. Tracheal diameter is adequate. Mild congenital vertebral malformations need mid thoracic spine, of doubtful significance today.</t>
  </si>
  <si>
    <t>THORAX (3 total radiographs for review). _x000D_
_x000D_
- The left side of the cardiac silhouette is mildly to moderately enlarged, characterized by straightening of the caudal cardiac margin, dorsal displacement of the caudal aspect of the thoracic trachea and a rounding in the region of the left atrium._x000D_
- The pulmonary vasculature and parenchyma are normal._x000D_
- There is a soft tissue opaque band dorsally overlying the trachea in the caudal cervical region and at the level of the thoracic inlet._x000D_
- The esophagus and remainder of the mediastinum are normal._x000D_
- The pleural space and remaining intrathoracic structures are normal._x000D_
- The stomach is mildly distended with gas.  The remaining cranial abdominal structures are normal_x000D_
- No discrete musculoskeletal abnormalities are identified.</t>
  </si>
  <si>
    <t>1. Mild to moderate left-sided cardiomegaly with overt left atrial enlargement, without pulmonary vasculature congestion or congestive heart failure. Most likely compatible with degeneration of the mitral valve. Consider careful cardiac auscultation and echocardiography/ECG for further assessment._x000D_
_x000D_
2.  The appearance of the trachea at the level of the thoracic inlet can be compatible with tracheal collapse, secondary to chondromalacia._x000D_
_x000D_
3.  Aerophagia.</t>
  </si>
  <si>
    <t xml:space="preserve">
1.MILD BRONCHOINTERSTITIAL PULMONARY PATTERN; MILD DYNAMIC AIRWAY DISEASE; ATELECTASIS or less likely, pneumonia._x000D_
2.Based on these AI airway/pulmonary findings, the probability of this patient having clinically detectable respiratory signs is MEDIUM (50%)_x000D_
3.Are respiratory signs present? If YES._x000D_
4.Are respiratory signs present? If NO._x000D_
5.Severe cardiomegaly has been detected but Heart Failure is NOT suspected.</t>
  </si>
  <si>
    <t>Two ventrodorsal thoracic images dated 26th August 2024 are available for review. There are no previous radiographs available for comparison. _x000D_
_x000D_
Airway findings: The position of the trachea cannot be ascertained due absence of the lateral images. There is interstitial opacification of the left hemithorax. A cortical step is visible at the base of the fifth right rib with minimal cortical displacement._x000D_
_x000D_
Cardiovascular findings: The cardiac silhouette is normal in shape and size from the ventrodorsal perspective. The cranial pulmonary vasculature and mainstem vessels cannot be assessed. The caudal pulmonary vasculature is normal._x000D_
_x000D_
Mediastinum and pleural space: There is some opacification of the caudal mediastinal reflection._x000D_
_x000D_
Musculoskeletal findings: There is wispy opacification of the left axial region and subcutaneous fat._x000D_
_x000D_
Included abdomen: Only the cranial aspect of the abdomen is included. The hepatic silhouette is normal.</t>
  </si>
  <si>
    <t>1. Fifth right rib fracture. Subcutaneous contusion/haemorrhage._x000D_
2. Left pulmonary contusion and possible haemorrhage. The opacification of the mediastinal reflection is likely due to fat, however some haemorrhage may also be present.</t>
  </si>
  <si>
    <t>The study is non-diagnostic due to absence of the caudal aspect of the abdomen, and absence of any lateral images. A complete radiographic series is advised. include images of the thoracic limbs._x000D_
Very close monitoring is indicated to evaluate onset of respiratory distress, and appropriate intensive management. Repeat radiographs as clinically indicated.</t>
  </si>
  <si>
    <t xml:space="preserve">
1.MINIMAL to MILD BRONCHOINTERSTITIAL PULMONARY PATTERN; MILD DYNAMIC AIRWAY DISEASE; FOCAL ATELECTASIS, or less likely, ALVEOLAR INFILTRATE._x000D_
2.Based on these AI airway/pulmonary findings, the probability of this patient having clinically detectable resspiratory signs is LOW (25%)_x000D_
3.Minimal cardiomegaly has been detected but Heart Failure is NOT suspected._x000D_
4.There is no evidence of PULMONARY NODULES._x000D_
5.Are respiratory signs present? If YES._x000D_
6.Are respiratory signs present? If NO.</t>
  </si>
  <si>
    <t>Study:_x000D_
Thoracic radiography: three images dated August 26, 2024_x000D_
_x000D_
Findings:_x000D_
The cardiac silhouette is overall normal in size. There is moderate enlargement of the main pulmonary artery on the VD view. The lobar vasculature is normal in size. There is a mild caudodorsal bronchial pulmonary pattern. The pleural space is normal. There is no intrathoracic lymphadenopathy. The trachea is normal in diameter. The stomach contains unstructured heterogeneous soft tissue material presumed to be ingesta. No skeletal abnormalities are present.</t>
  </si>
  <si>
    <t>1. The mild caudodorsal bronchial pulmonary pattern may indicate allergic, inflammatory, infectious, parasitic or irritant bronchitis. Airway sampling, heartworm testing and Baermann fecal flotation can be considered for further evaluation._x000D_
2. Main pulmonary arterial enlargement secondary to the reported pulmonic stenosis.</t>
  </si>
  <si>
    <t>Study:_x000D_
Abdominal radiography: seven images dated August 26, 2024_x000D_
_x000D_
Findings:_x000D_
The serosal detail is adequate. The stomach contains unstructured heterogeneous soft tissue material presumed to be ingesta. The small intestines are gas-filled and normal in size and course. The colon and rectum are mildly dilated with formed fecal material. The course of the rectum appears within normal limits. The liver and spleen are normal in size and margin. The renal silhouettes are normal in size and contour. The urinary bladder is normal in size and opacity. The prostate is mildly enlarged with smooth margins. The included thorax is normal. No skeletal abnormalities are present.</t>
  </si>
  <si>
    <t>Constipation. A mechanical cause is not evident and the reported abnormality noted on rectal exam is not appreciated radiographically.</t>
  </si>
  <si>
    <t>The reported pocket on rectal examination may indicate of perineal hernia or perianal fistula. Sonography of the perineal region or a barium enema can be considered for further evaluation if the clinical signs persist in spite of medical management.</t>
  </si>
  <si>
    <t>Study:_x000D_
Thoracic radiography: three images dated August 26,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included abdomen is unremarkable. There is severe T 12-T 13 through L1-L2 articular facet periarticular bone formation. There is variable mild to severe multifocal spondylosis deformans. Mild periarticular bone formation is present at the caudodistal aspect of the humeral head and infraglenoid tubercle of the scapula bilaterally. On the left lateral projection, there is a large (approximately 6.5 cm) soft tissue opaque mass superimposed with the included scapula, likely representing the suspected myxosarcoma.</t>
  </si>
  <si>
    <t>1. Normal thorax. There is no radiographic evidence of pulmonary metastatic disease._x000D_
2. Mild bilateral shoulder osteoarthrosis._x000D_
3. Severe T 12-T 13 through L1-L2 articular facet osteoarthrosis.</t>
  </si>
  <si>
    <t xml:space="preserve">
1.PULMONARY NODULAR PATTERN; MINIMAL BRONCHOINTERSTITIAL PULMONARY PATTERN._x000D_
2.The evaluation has come up positive for a pulmonary nodular pattern._x000D_
3.Based on these AI airway/pulmonary findings, the probability of this patient having clinically detectable respiratory signs is MEDIUM (50%)_x000D_
4.Are respiratory signs present. If YES._x000D_
5.Are respiratory signs present. If NO._x000D_
6.MINIMAL TO MILD BRONCHOINTERSTITIAL PULMONRAY PATTERN; MILD PERIHILAR PATTERN._x000D_
7.Based on the AI airway/pulmonary findings, the probability of this patient having clinically detectable respiratory signs is LOW (25%)_x000D_
8.Are respiratory signs present? If YES._x000D_
9.Are respiratory signs present? If NO._x000D_
10.The cardiac silhouette size is normal.</t>
  </si>
  <si>
    <t>Study:_x000D_
Thoracic radiography: three images dated August 26, 2024_x000D_
_x000D_
Findings:_x000D_
There is moderate to severe left ventricular and left atrial enlargement. The pulmonary vasculature is normal in size. The pulmonary parenchyma is unremarkable. The pleural space is normal. There is no intrathoracic lymphadenopathy. The trachea is normal in diameter. There is no lobar bronchi narrowing. There multiple punctate indistinct mineral foci in each kidney. The T 13 vertebra is transitional with bilateral vestigial ribs.</t>
  </si>
  <si>
    <t>Moderate to severe left-sided cardiomegaly, indicative of mitral valve disease, without evidence of decompensation. Echocardiography should be considered for further evaluation.</t>
  </si>
  <si>
    <t xml:space="preserve">
1.MODERATE INTERSTITIAL TO ALVEOLAR PATTERN; PLEURAL FISSURE LINES or PLEURAL EFFUSION; MILD BRONCHITIS; MILD DYNAMIIC AIRWAY DISEASE._x000D_
2.MODERATE BRONCHOINTERSTITIAL PULMONARY PATTERN; MILD PERIHILAR INFILTRATE; MILD DYNAMIC AIRWAY DISEASE; ATELECTASIS or less likely, pneumonia._x000D_
3.Based on the AI airway/pulmonary findings, the probability of this patient having clinically detectable respiratory signs is MEDIUM to HIGH (50-75%)_x000D_
4.Based on the AI airway/pulmonary findings, the probability of this patient having clinically detectable respiratory signs is MEDIUM to HIGH (50%-75%)_x000D_
5.Are respiratory signs present? If YES._x000D_
6.In the PRESENCE of respiratory signs, active pneumonitis (aspiration or bacterial (including Bordatella, Mycoplasma and Wolbachia), allergic, viral, fungal or parasitic (including heartworm pathosis) would be most likely._x000D_
7.Are respiratory signs present? If NO._x000D_
8.In the ABSENCE of respiratory signs, atelectasis secondary to heavy sedation or anesthesia or a false positive due to a combination of age-related changes and/or overlying soft tissues such as forelimb musculature overlying the cranial thorax would be most likely._x000D_
9.Severe cardiomegaly has been detected but Heart Failure is NOT suspected.</t>
  </si>
  <si>
    <t>Thorax: There is a mild bronchointerstitial pattern.  There is mild left-sided cardiomegaly.  There is no evidence of cardiogenic pulmonary edema or pleural effusion.  The pulmonary vasculature is unremarkable.  There is no evidence of lymphadenopathy.  On the lateral view there is moderate osteoarthrosis involving a elbow (lateral of the uncertain)._x000D_
_x000D_
Abdomen: There is moderate amount of heterogeneous soft tissue opacity within the gastric lumen.  There is no evidence of a small intestinal foreign body or obstruction.  The liver and spleen are unremarkable.  There are no abnormalities involving the visible portions of the urinary tract.  Serosal detail is normal.</t>
  </si>
  <si>
    <t>Mild left-sided cardiomegaly without evidence of decompensation._x000D_
_x000D_
Diffuse bronchointerstitial pattern which may be age-related or bronchitis._x000D_
_x000D_
Elbow osteoarthrosis._x000D_
_x000D_
The soft tissue opacity within the gastric lumen most likely represents normal ingesta.</t>
  </si>
  <si>
    <t xml:space="preserve">
1.Are respiratory signs present? If NO._x000D_
2.The evaluation has come up positive for a pulmonary nodular pattern._x000D_
3.The cardiac silhouette size is normal._x000D_
4.MODERATE BRONCHOINTERSTITIAL PULMONARY PATTERN; ALVEOLAR INFILTRATE or ATELECTASIS; DYNAMIC AIRWAY DISEASE._x000D_
5.Based on these AI airway/pulmonary findings, the probability of this patient having clinically detectable respiratory signs is HIGH (75%)_x000D_
6.Are respiratory signs present? If YES.</t>
  </si>
  <si>
    <t>Thorax: There is a mild parabronchial pattern.  The cardiac silhouette and pulmonary vasculature are unremarkable.  There is no evidence of pleural effusion or lymphadenopathy.  There are no abnormalities involving the lumbar vertebral column._x000D_
_x000D_
Abdomen: The liver and spleen are unremarkable.  There are no abnormalities involving the visible portions of the urinary tract or gastrointestinal tract.  Serosal detail is normal.  There are regions of lumbar spondylosis deformans.</t>
  </si>
  <si>
    <t>Mild bronchial pattern which may be age-related or bronchitis.</t>
  </si>
  <si>
    <t>Abdomen: There is a large mineral opacity (rock) within a segment of bowel within the caudal ventral left abdomen.  There is no evidence of dilation of the small intestines.  There is no evidence of a gastric foreign body.  The liver and spleen are unremarkable.  The visible portions of the urinary tract are unremarkable.  Serosal detail is normal.</t>
  </si>
  <si>
    <t>Foreign body (rock) within a segment of bowel.  This is believed to be located within the jejunum.</t>
  </si>
  <si>
    <t>Although the foreign body is believed to be of jejunal origin, a pneumocolon may be considered for confirmation.</t>
  </si>
  <si>
    <t>CT, images of the thorax dated August 26, 2024._x000D_
_x000D_
There is a soft-tissue-opaque mass within the left caudal lung lobe that measures at least 7.6 cm. In the lateral views this could be one large mass or two lobulated masses adjacent to each other. No cardiovascular abnormality is seen. The pleural and mediastinal spaces are within normal limits. No intrathoracic lymphadenopathy is seen. The visible abdomen is within normal limits. There is incidental spondylosis deformans.</t>
  </si>
  <si>
    <t>Left caudal lung lobe mass, most concerning for a primary pulmonary carcinoma versus other neoplastic processes.</t>
  </si>
  <si>
    <t>Consider ultrasound guided sampling and/or CT. Ultrasound of the abdomen is recommended for staging.</t>
  </si>
  <si>
    <t>THORAX and ABDOMEN, six images dated August 26, 2024._x000D_
_x000D_
 There is an increased soft tissue opacity superimposed over the dorsal aspect of the trachea. The cardiovascular structures and pulmonary parenchyma are within normal limits. The pleural and mediastinal spaces are within normal limits. No intrathoracic lymphadenopathy is seen. There is moderate gas in the stomach along with likely food there is gas and presumed ingesta throughout the intestinal tract. There is unformed colonic feces. The liver, spleen, visible portions of the kidneys, urinary bladder, and abdominal serosal detail are all within normal limits. No vertebral column abnormality is appreciated. The pelvis and coxofemoral joints are normal.</t>
  </si>
  <si>
    <t>No cause for pain is seen. Both back pain and referred abdominal pain are main considerations._x000D_
_x000D_
 The increased soft tissue opacity superimposed over the trachea could be an incidental redundant dorsal tracheal membrane, superimposed esophagus, or potentially suggest tracheal collapse._x000D_
_x000D_
Presumed gastrointestinal food.</t>
  </si>
  <si>
    <t>Supportive care can be considered. If signs persist, an abdominal ultrasound can be considered if an abdominal etiology is suspected versus neurosurgical consultation if back pain is suspected.</t>
  </si>
  <si>
    <t>Thorax: There is an ill-defined focal alveolar pattern with faint air bronchograms involving the cranial ventral portions of the left cranial lung lobe.  There is a mild diffuse bronchointerstitial pattern.  The cardiac silhouette and pulmonary vasculature are unremarkable.  There is no evidence of lymphadenopathy or pleural effusion.  The intrathoracic esophagus is gas dilated.  On the visible portions of the cranial abdomen there are mineral opacities of various sizes and shapes located within the stomach and small intestines.  An obstructive process is not identified.</t>
  </si>
  <si>
    <t>Suspect pneumonia within the left cranial lung lobe._x000D_
_x000D_
Diffuse bronchointerstitial pattern which may be age-related or bronchitis._x000D_
_x000D_
Gas dilated intrathoracic esophagus which may be secondary to aerophagia or possible esophagitis._x000D_
_x000D_
Gastrointestinal foreign bodies suspected to be nonobstructive.</t>
  </si>
  <si>
    <t>6 views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moderate amount of gas.  The small bowel is normal and uniform in diameter and contains a mild amount of gas.  A moderate amount of gas and stool is noted in the colon.  The liver, spleen, renal silhouettes, and urinary bladder appear within normal limits.  Serosal detail is normal._x000D_
No osseous abnormalities are seen.</t>
  </si>
  <si>
    <t>The appearance of the GI tract is most consistent with mild functional ileus as with gastroenteritis, pancreatitis, or possibly extra alimentary disease.  No evidence of mechanical obstruction is seen._x000D_
Radiographically normal thorax.</t>
  </si>
  <si>
    <t>Correlation with pending blood work may be helpful.  An abdominal ultrasound may be indicated as well.</t>
  </si>
  <si>
    <t>Three orthogonal thoracic radiographs dated 26th August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60% of the dorsoventral diameter of the trachea. The intrathoracic trachea is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The patient is severely obese._x000D_
_x000D_
Included abdomen: There is smoothly marginated hepatomegaly.</t>
  </si>
  <si>
    <t>1. The dorsal attenuation of the trachea is consistent with redundant trachealis membrane or overlying musculature. Concurrent tracheomalacia is likely._x000D_
2. The hepatomegaly is most likely due to vacuolar hepatopathy, or underlying endocrine disease.</t>
  </si>
  <si>
    <t>Consider evaluation for airway collapse (fluoroscopy vs. right lateral inspiratory and expiratory radiographs vs. CT with virtual bronchoscopy). _x000D_
Obesity predisposes for airway collapse, and reduction of thoracic volume (pickwickian syndrome), reducing pulmonary clearance, therefore weight management is indicated.</t>
  </si>
  <si>
    <t xml:space="preserve">
1.MILD BRONCHOINTERSTITIAL PULMONARY PATTERN; MILD DYNAMIC AIRWAY DISEASE; MINIMAL PERIHILAR INFILTRATE._x000D_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PULMONARY NODULES or PLEURAL EFFUSION.</t>
  </si>
  <si>
    <t>THORAX (2 total radiographs for review). _x000D_
_x000D_
- Mild, diffuse bronchial pulmonary pattern._x000D_
- The cardiac silhouette and pulmonary vasculature are normal._x000D_
- The trachea, esophagus and remainder of the mediastinum are normal._x000D_
- The pleural space and remaining intrathoracic structures are normal._x000D_
- The stomach contains moderate gas stippled soft-tissue opaque material resembling recent ingesta and a small volume of gas._x000D_
- There is the impression of generalized splenomegaly and there may be a rounded soft tissue opacity sharing broad margins with the splenic tail seen at the periphery of collimation on the right lateral projection._x000D_
- The remaining cranial abdominal structures are normal._x000D_
- Multifocal intervertebral disc space narrowing and spondylosis deformans in the cranial lumbar and thoracolumbar regions.</t>
  </si>
  <si>
    <t>1.  Negative examination for evidence of thoracic metastatic neoplasia_x000D_
_x000D_
2. Mild diffuse bronchial pattern. Most likely representing age-related lower airway changes, however a component of chronic bronchitis is possible, especially given there is increased panting reported in the history._x000D_
_x000D_
3.  Possible splenic mass.  Limited assessment as the spleen is at the caudal periphery of collimation.  I would recommend considering POCUS/A-FAST, complete abdominal ultrasonography or collimated abdominal radiographs for further evaluation of the spleen_x000D_
_x000D_
4.  Multifocal cranial lumbar intervertebral disc degeneration with spondylosis deformans.</t>
  </si>
  <si>
    <t>5 views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and small bowel and a mild amount of gas and ingested.  Formed stool is noted in the colon.  The liver is slightly prominent extending beyond the costal arch.  The spleen is normal in size and shape.  The renal silhouettes are subjectively normal in size and shape.  The urinary bladder is moderately distended.  There is suspected faint punctate mineral opacities at the gravity-dependent portion of the bladder on the lateral view.  Serosal detail is adequate._x000D_
Narrowing of the intervertebral disc space with ventral spondylosis deformans is noted at T13-L1.</t>
  </si>
  <si>
    <t>Radiographically normal thorax.  Mild myxomatous mitral valve disease is not ruled out.  No evidence of congestive heart failure seen.  Upper respiratory infection is not excluded as a cause of the current clinical signs._x000D_
Equivocal hepatomegaly.  Differentials include normal variation possibly mild vacuolar change.  The clinical significance is unknown._x000D_
Possible small bladder stones._x000D_
Chronic intervertebral disc disease at T13-L1.</t>
  </si>
  <si>
    <t>Empirical medical management for upper respiratory infection may be helpful._x000D_
An abdominal ultrasound could also be considered for further evaluation of the findings in the abdomen.</t>
  </si>
  <si>
    <t>Two orthogonal thoracic radiographs dated 26th August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30% of the dorsoventral diameter of the trachea. The intrathoracic trachea is normal. The previously reported interstitial to alveolar opacification in the right middle and caudal lung lobes is no longer visible._x000D_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 cranial mediastinum is comparable in size, likely due to some fat accumulation. There is also no fluid within the caudal oesophagus present._x000D_
_x000D_
Musculoskeletal findings: The patient is overweight. The axially positioned mineralisation adjacent to the ninth rib is no longer visible._x000D_
_x000D_
Included abdomen: No significant abnormalities are detected.</t>
  </si>
  <si>
    <t>1. The dorsal attenuation of the trachea is consistent with redundant trachealis membrane or overlying musculature. This is likely incidental, may be predisposed due to head positioning, or due to body habitus._x000D_
2. Resolved pneumonia. The mild bronchial pattern is most likely due to normal ageing/fibrosis from previous disease. Allergic bronchitis, chronic bacterial /viral bronchitis +/- parasitic bronchitis should also be considered.</t>
  </si>
  <si>
    <t>Correlate with clinical signs. Discontinuation of antibiotic therapy needs to be based on clinical signs, laboratory pathology, and imaging findings. The imaging findings may lag the clinical improvement.</t>
  </si>
  <si>
    <t xml:space="preserve">
1.There is no evidence of BRONCHITIS, ALVEOLAR PATTERN, PERIHILAR INFILTRATE, DYNAMIC AIRWAY COLLAPSE or BRONCHIECTASIS or PLEURAL EFFUSION._x000D_
2.The evaluation has come up positive for a pulmonary nodular pattern._x000D_
3.The cardiac silhouette size is normal.</t>
  </si>
  <si>
    <t>Three orthogonal thoracic radiographs dated 26th August 2024 are available for review. There are no previous radiographs available for comparison. The images are mildly underexposed and grainy._x000D_
_x000D_
Airway findings: The cervical and thoracic trachea have a normal size, outline and position. The carina, tracheal bifurcation and mainstem bronchi are normal. Throughout the lung parenchyma there is a mild bronchial pattern._x000D_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There is mild thoracolumbar spondylosis deformans._x000D_
_x000D_
Included abdomen: The liver is moderately enlarged with rounded borders.</t>
  </si>
  <si>
    <t>1.Diffuse mild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_x000D_
2. The murmur reported is most likely a physiologic murmur, or a compensated valvular disease such as myxoid degeneration of the mitral valve. _x000D_
3.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t>
  </si>
  <si>
    <t>Correlate with palpation testing for upper respiratory disease. Respiratory workup including CBC, serum chemistry, urinalysis, Baermann faecal testing, 4DX, +/- respiratory panel as indicated may be considered.  _x000D_
In absence of clinical signs indicative of cardiac disease, conservative management may be considered, alternatively with an acute onset murmur, and signs of exercise intolerance, echocardiography may be considered.</t>
  </si>
  <si>
    <t xml:space="preserve">
1.Pleural fissure lines or small volume pleural effusion has been detected. In a mildly overweight animal, excessive pericardial fat can artifactually mimic the result of minimal pleural effusion._x000D_
2.Severe cardiomegaly has been detected but Heart Failure is NOT suspected._x000D_
3.SEVERE DYNAMIC AIRWAY DISEASE; MODERATE BROCHIAL PATTERN; MILD INTERSTITIAL INFILTRATE with ATELECTASIS or less likely, PNEUMONIA._x000D_
4.Based on these AI airway/pulmonary findings, the probability of this patient having clinically detectabe respiratory signs is MEDIUM (50%)_x000D_
5.Are respirartory signs present? If YES._x000D_
6.Are respiratory signs present? If NO.</t>
  </si>
  <si>
    <t>3 views of the thorax are provided for review and compared with the study dated 1/13/2023.  The trachea is dorsally deviated, indicating left ventricular enlargement.  A bulge is present in the region of the left atrium.  Cardiac size is overall similar to previous images.  No pulmonary infiltrates are seen.  The pulmonary vasculature is normal in size.  The mediastinal and pleural structures are normal.  Cranial abdominal detail is adequate.  The liver extends beyond the costal arch.  The previous mid abdominal mass is not visible on these images.</t>
  </si>
  <si>
    <t>Static left-sided cardiomegaly without current evidence of cardiogenic pulmonary edema.  Echocardiography may be helpful in further staging.  Hepatomegaly=ZZ90= this is a nonspecific finding that may be seen with congestion, vacuolar hepatopathy, inflammation, neoplasia, etc.  Abdominal ultrasound may be helpful in further evaluation if biochemically indicated.</t>
  </si>
  <si>
    <t xml:space="preserve">
1.There is no evidence of BRONCHITIS, ALVEOLAR PATTERN, PULMONARY NODULES or PLEURAL EFFUSION._x000D_
2.Mild cardiomegaly has been detected but Heart Failure is NOT suspected._x000D_
3.Minimal dynamic airway disease has been detected.</t>
  </si>
  <si>
    <t>Three orthogonal thoracic radiographs dated 26th August 2024 are available for review. There are no previous radiographs available for comparison. _x000D_
_x000D_
Airway findings: The cervical and thoracic trachea have a normal size, outline and position. The carina, tracheal bifurcation and mainstem bronchi are normal. In the caudal dorsal lung parenchyma there is a very mild bronchointerstitial opacification. No intensive interstitial or alveolar opacification is visible._x000D_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There is some foamy material within the stomach combined with some gas.</t>
  </si>
  <si>
    <t>1. The very mild bronchointerstitial opacification may be associated with some minimal pulmonary oedema. This is unlikely cardiogenic. Non-cardiogenic pulmonary oedema is possible. Early microaspiration, mixed tracheobronchitis is unlikely._x000D_
2. The foamy material in the stomach may be mucous secondary to the repeated water vomiting. A gastritis secondary to dietary indiscretion is possible.</t>
  </si>
  <si>
    <t>Radiographic signs often lag clinical signs, therefore close monitoring, and repeat radiographs if respiratory signs continue or deteriorate is indicated. Observational supportive management in the meantime. Emperic preventative management may be considered._x000D_
Monitor for any developing signs of enteritis/enterocolitis. Consider full abdominal radiographs if so.</t>
  </si>
  <si>
    <t>Three radiographs of the thorax and four views of the abdomen are provided. Images dated 11/19/22 are available for comparison. The cardiac silhouette is normal size and shape for this breed. There are mild age-related changes throughout the lungs. Fat deposition noted in the cranial mediastinum. Tracheal diameter is adequate._x000D_
_x000D_
In the abdomen the spleen, liver, and left kidney are normal size. The right kidney is obscured by superimposed bowel loops. The gastrointestinal tract is mildly filled. No radiopaque cystic calculi. The T12-13 and L2-3 intervertebral foramina are smaller than those on either side. Moderate degenerative change and subluxation in both coxofemoral joints as before. No other proximal pelvic limb abnormalities.</t>
  </si>
  <si>
    <t>1. The appearance of T12-13 and L2-3 are both suggestive of intervertebral disc disease. This is the most likely cause for the clinical signs._x000D_
2. Bilateral hip dysplasia with osteoarthritis and subluxation as before, likely contributing to mobility difficulties._x000D_
3. Normal abdomen and thorax.</t>
  </si>
  <si>
    <t>Current treatment is appropriate.</t>
  </si>
  <si>
    <t xml:space="preserve">
1.Are respiratory signs present? If NO._x000D_
2.In the ABSENCE of respiratory signs, atelectasis secondary to heavy sedation or anesthesia or a false positive due to a combination of age-related changes and/or overlying soft tissues such as forelimb musculature overlying the cranial thorax would be most likely._x000D_
3.Based on the AI airway/pulmonary findings, the probability of this patient having clinically detectable respiratory signs is MEDIUM to HIGH (50-75%)_x000D_
4.Based on the AI airway/pulmonary findings, the probability of this patient having clinically detectable respiratory signs is MEDIUM to HIGH (50%-75%)_x000D_
5.Are respiratory signs present? If YES._x000D_
6.In the PRESENCE of respiratory signs, active pneumonitis (aspiration or bacterial (including Bordatella, Mycoplasma and Wolbachia), allergic, viral, fungal or parasitic (including heartworm pathosis) would be most likely._x000D_
7.MODERATE BRONCHOINTERSTITIAL PULMONARY PATTERN; MILD PERIHILAR INFILTRATE; MILD DYNAMIC AIRWAY DISEASE; ATELECTASIS or less likely, pneumonia._x000D_
8.MODERATE INTERSTITIAL TO ALVEOLAR PATTERN; PLEURAL FISSURE LINES or PLEURAL EFFUSION; MILD BRONCHITIS; MILD DYNAMIIC AIRWAY DISEASE._x000D_
9.Moderate cardiomegaly has been detected but Heart Failure is NOT suspected.</t>
  </si>
  <si>
    <t xml:space="preserve">Four images are provided.
Images are dated August 26, 2024.
Pulmonary parenchyma: A minimal to mild diffuse bronchial pattern is present.  a minimal to mild diffuse interstitial pattern is present and the lungs are minimally or mildly hypoinflated.  
Pulmonary vasculature: The pulmonary vasculature is subjectively normal in size and tapers in the periphery of the lungs.
Cardiac silhouette: The cardiac silhouette is has a prominent contour at the 1-2 o'clock position (main pulmonary artery) in the ventrodorsal image.
Mediastinum: The cranial mediastinum is normal.
Trachea: A slight soft tissue band partially superimposes over the  id-cervical trachea in the right lateral image.
Esophagus: The esophagus is not well-identified.
Pleural space: The pleural space is normal.
Musculoskeletal: The included musculoskeletal structures are normal.
</t>
  </si>
  <si>
    <t>1. Mild diffuse bronchial and interstitial pulmonary patterns with minimal hypoinflation.
- Differential diagnoses include infectious/immune-mediated lower airway disease such as from mycoplasma spp., bordetella spp., parasitism, or inhaled allergen/irritant, versus fibrosis from prior disease, age-related changes, a combination of these, or unlikely other.
2.  Presumed artifact from phase of the cardiopulmonary cycle or patient positioning or given reported history unlikely main pulmonary artery enlargement.
- If present, differential diagnoses include heartworm disease, pulmonary hypertension, or unlikely other.
3. Slight dorsal redundant tracheal membrane with/without underlying dynamic airway disease, versus superimposed normal structures.</t>
  </si>
  <si>
    <t>Consider fecal analysis/empirical deworming, respiratory panel PCR, and/or airway sampling for further evaluation if clinically indicated.  consider tracheoscopy/bronchoscopy/fluoroscopy for further evaluation of dynamic airway disease if clinically indicated.  Empirical therapy and supportive care in the interim as needed.   This examination does not rule out laryngitis/pharyngitis contributing to reported clinical signs.   Monitoring as directed or sooner if clinical signs acutely change, fail to improve or worsen.</t>
  </si>
  <si>
    <t>8 images of the thorax, pelvis, and stifles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Intervertebral disc space narrowing remains visible at C6-7.  The coxofemoral joints are congruent.  A TPLO has been previously performed on the right.  No fractures or aggressive osseous lesions are seen.</t>
  </si>
  <si>
    <t>Radiographically normal thorax for patient of this age.  Previous right TPLO.  Unremarkable pelvis and left stifle.  Persistent intervertebral disc space narrowing at C6-7 suggestive of intervertebral disc herniation.</t>
  </si>
  <si>
    <t xml:space="preserve">
1.MILD BRONCHOINTERSTITIAL PATTERN; MILD PERIHILAR INFILTRATE._x000D_
2.Based on the AI airway/pulmonary findings, the probability of this patient having clinically detectable respiratory signs is LOW to MEDIUM (25%-50%)_x000D_
3.Are respiratory signs present? If YES._x000D_
4.Are respiratory signs present? If NO._x000D_
5.The cardiac silhouette size is normal.</t>
  </si>
  <si>
    <t>THORAX (3 total radiographs for review). _x000D_
_x000D_
- The cardiac silhouette and pulmonary vasculature are normal._x000D_
- The pulmonary parenchyma is normal_x000D_
- The trachea, esophagus and remainder of the mediastinum are normal._x000D_
- The pleural space and remaining intrathoracic structures are normal._x000D_
- The stomach is moderately distended with gas and contains mild gas stippled soft-tissue opaque material._x000D_
- The spleen is moderately enlarged, with rounded margins._x000D_
- The remaining cranial abdominal structures are unremarkable._x000D_
- No discrete musculoskeletal abnormalities are noted.</t>
  </si>
  <si>
    <t>1.  Normal thorax. There is no distinct radiographic manifestations or evidence of the reported heartworm disease appreciated._x000D_
_x000D_
2.  Aerophagia and mild gastric intraluminal fluid can be within normal or can support a diagnosis of gastritis.  Correlate to clinical impression.  _x000D_
_x000D_
3.  Moderate splenomegaly   DDx congestion from sedation, lymphoid hyperplasia, EMH, less likely neoplasia.</t>
  </si>
  <si>
    <t xml:space="preserve">
1.MILD BRONCHOINTERSTITIAL PULMONARY PATTERN; MINIMAL PERIHILAR PATTERN._x000D_
2.Based on the AI airway/pulmonary findings, the probability of this patient having clinically detectable respiratory signs is LOW (25%)_x000D_
3.In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4.In the PRESENCE of respiratory signs, low grade active pneumonitis (allergic, bacterial, parasitic (including heartworm disease), inhaled allergen or toxin) or upper airway disease causing pulmonary hypoinflation and/or recurrent microaspiration may be more likely._x000D_
5.The cardiac silhouette size is normal.</t>
  </si>
  <si>
    <t>A lateral radiograph of the thorax, and a lateral view of the abdomen are provided. The cardiac silhouette is normal size and shape. Pulmonary vessels are normal size. There are no abnormalities in the pulmonary parenchyma. The caudal sternum is severely dorsally angled and overlies the mid aspect of the heart, incidental. There is no pleural effusion or intrathoracic lymphadenomegaly. Adequate tracheal diameter. In the abdomen serosal detail is poor. The patient is thin. There is a hazy round 7.8 cm soft tissue opacity in the cranioventral peritoneal space. The gastric axis is in normal position. Small volume gas in the stomach and intestines. No radiopaque urolithiasis. Vertebral alignment is normal. No definitive narrowed intervertebral disc spaces or foramina. There is mild ventral spondylosis deformans in the mid thoracic spine and at T13-L1. No endplate lysis.</t>
  </si>
  <si>
    <t>1. Cranioventral abdominal mass-effect with probable mild effusion. Neoplasia originating from the spleen such as hemangiosarcoma is of concern. Incidental appearance of the splenic tail, due to patient rotation is next on the differential list._x000D_
2. No definitive spinal abnormalities are appreciated. With the described discomfort, intervertebral disc protrusion/extrusion is suspected._x000D_
3. Normal thorax.</t>
  </si>
  <si>
    <t>Abdominal ultrasound is recommended. If the patient has neurologic deficits, consultation with a neurologist and advanced spinal imaging with CT/MRI should also be considered.</t>
  </si>
  <si>
    <t xml:space="preserve">
1.MILD BRONCHOINTERSTITIAL PULMONARY PATTERN; MINIMAL to MILD PERIHILAR PATTERN._x000D_
2.Based on the AI airway/pulmonary findings, the probability of this patient having clinically detectable respiratory signs is LOW (25%)_x000D_
3.In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4.Pleural fissure lines or moderate to severe pleural effusion has been detected. An overlying skin fold or in an obese animal, excessive pericardial fat could artifactually mimic the result of severe pleural effusion._x000D_
5.Moderate cardiomegaly has been detected but Heart Failure is NOT suspected._x000D_
6.In the PRESENCE of respiratory signs, low grade active pneumonitis (allergic, bacterial, parasitic (including heartworm disease), inhaled allergen or toxin) or upper airway disease causing pulmonary hypoinflation and/or recurrent microaspiration may be more likely.</t>
  </si>
  <si>
    <t>THORAX (3 total radiographs for review). _x000D_
_x000D_
- Moderate, diffuse bronchial pulmonary pattern with peripheral airway mineralization._x000D_
- Non-persistent unstructured interstitial pattern in the region of the right middle lung lobe._x000D_
- Mild right-sided mediastinal shift._x000D_
- The cardiac silhouette and pulmonary vasculature are normal._x000D_
- The pulmonary parenchyma is normal_x000D_
- The trachea, esophagus and remainder of the mediastinum are normal._x000D_
- The pleural space and remaining intrathoracic structures are normal._x000D_
- The cranial abdominal structures are normal._x000D_
- There is mild mid thoracic spondylosis deformans.</t>
  </si>
  <si>
    <t>1. Moderate diffuse bronchial pattern with peripheral airway mineralization can support chronic lower airway disease, such as bronchitis, which may have a component of infectious, allergic or inhaled irritant etiologies. A portion of this can be due to expected normal age-related airway degeneration._x000D_
_x000D_
2. The unstructured interstitial pattern in the region of the right middle lung lobe is likely due to atelectasis, given the associated rightward mediastinal shift._x000D_
_x000D_
3. No evidence of pulmonary metastatic neoplasia is appreciated, given the reported history._x000D_
_x000D_
4. Mild mid thoracic vertebral spondylosis deformans.</t>
  </si>
  <si>
    <t>Thorax: There is a mild bronchointerstitial pattern.  There is no evidence of pulmonary metastatic disease.  The cardiac silhouette and pulmonary vasculature are unremarkable.  There is no evidence of lymphadenopathy or pleural effusion._x000D_
_x000D_
Right elbow (lateral view): There are no osseous or soft tissue abnormalities identified.</t>
  </si>
  <si>
    <t>Mild bronchointerstitial pattern which may be age-related or bronchitis.</t>
  </si>
  <si>
    <t xml:space="preserve">
1.A minimal interstitial pattern has been detected._x000D_
2.Pleural fissure lines or small volume pleural effusion has been detected. In a mildly overweight animal, excessive pericardial fat can artifactually mimic the result of minimal pleural effusion._x000D_
3.The cardiac silhouette size is normal._x000D_
4.There is no evidence of ALVEOLAR PATTERN, PERIHILAR INFILTRATE or DYNAMIC AIRWAY COLLAPSE or BRONCHIECTASIS.</t>
  </si>
  <si>
    <t>Three radiographs of the thorax and three views of the abdomen are provided. Images dated May 21, 2024 and earlier are available for comparison. Prominent left atrium as before. Pulmonary vessels are normal size. There is a severe interstitial pattern in the cranial lungs bilaterally that was not present before. There is the appearance of a well delineated curved 2.8 cm soft tissue opacity cranioventral to the heart on the left lateral view. This blends with the cranial heart waist on this projection, but is not seen on the other two views. There is a curved fat opaque lipomatous 3.4 cm mass ventral to the mid sternum on the right lateral view, present previously and of doubtful significance. Normal tracheal diameter._x000D_
_x000D_
In the abdomen there is new development of moderate peritoneal effusion. No organomegaly. The gastrointestinal tract is moderately filled. The urinary bladder is mildly filled and soft tissue opaque. No radiopaque cystic calculi. Punctate nephroliths as before, of doubtful significance.</t>
  </si>
  <si>
    <t>1. Moderate peritoneal effusion, a new development that is of uncertain etiology. An inflammatory process or metabolic abnormality should be considered. Neoplasia is not ruled out. No other abdominal abnormalities._x000D_
2. Severe cranial interstitial pattern, most likely aspiration pneumonia. Atelectasis could also cause this appearance and would be suspected if patient were sedated or recumbent prior to imaging. The soft tissue opacity cranial to the heart on the left lateral view is most likely summating extrathoracic lesion and/or fat. I would expect an opacity of this size to be readily visible on both lateral views if there was a true intrathoracic mass lesion._x000D_
3. Prominent left atrium as before consistent with acquired mitral valve disease. There is no evidence of heart failure.</t>
  </si>
  <si>
    <t>Recommend a CBC, blood chemistry profile, antibiotics for suspected pneumonia, and abdominal ultrasound.</t>
  </si>
  <si>
    <t xml:space="preserve">
1.Pleural fissure lines or moderate to severe pleural effusion has been detected. An overlying skin fold or in an obese animal, excessive pericardial fat could artifactually mimic the result of severe pleural effusion._x000D_
2.Moderate cardiomegaly has been detected but Heart Failure is NOT suspected._x000D_
3.SEVERE ALVEOLAR INFILTRATE; MINIMAL DYNAMIC AIRWAY DISEASE._x000D_
4.Based on these AI airway/pulmonary findings, the probability of this patient having clinically detectable respiratory signs is VERY HIGH (&gt;75%)_x000D_
5.Are respiratory signs present? If YES._x000D_
6.AI link to bacterial pneumonia treatment in dogs: https://platform.v2.vetology.net/doc/pneumonia-in-dogs-and-cats_x000D_
7.Are respiratory signs present? If NO.</t>
  </si>
  <si>
    <t>Orthogonal views of the thorax and abdomen are provided:_x000D_
_x000D_
Thorax:_x000D_
_x000D_
The soft palate is abnormally thickened and elongated obstructing the pharyngeal lumen._x000D_
No abnormalities are seen in the trachea._x000D_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Liver extends beyond the costal arch with sharp margins, reaching the mid abdomen and contributing to the abdominal distension._x000D_
The stomach is filled with food with a tiny mineral particle._x000D_
Small intestines are mildly gas and fluid filled, not overtly distended. No signs of mechanical ileus._x000D_
Serosal detail is preserved._x000D_
Spleen shows irregular margins in the VD view._x000D_
Kidneys and urinary bladder WNL._x000D_
_x000D_
The prostate gland is enlarged protruding in the caudal abdomen pushing the bladder cranially</t>
  </si>
  <si>
    <t>1) Thickened and elongated soft palate: part of BOAS._x000D_
2) Unremarkable thorax without signs of cardiomegaly, pulmonary metastases nor signs of thoracic lymphadenopathy._x000D_
3) Hepatomegaly: Metabolic (Cushings) vs Vacuolar infiltration vs Hepatic nodular hyperplasia vs Inflammatory vs Toxic vs Neoplastic or a combination of these differentials._x000D_
4) Irregular spleen: lymphoid hyperplasia vs EMh vs salenitis vs neoplasia less likely._x000D_
5) Prostatomegaly compatible with BPH. Prostatitis less likely. Prostatic neoplasia unlikely.</t>
  </si>
  <si>
    <t>BOAS exam under sedation evaluating the soft palate and larynx with +/- CT of this region. Abdominal US if necessary with evaluation of the liver and the urinary tract with renal function test, urinalysis, UPC and urine culture.</t>
  </si>
  <si>
    <t xml:space="preserve">
1.Pleural fissure lines or moderate to severe pleural effusion has been detected. An overlying skin fold or in an obese animal, excessive pericardial fat could artifactually mimic the result of severe pleural effusion._x000D_
2.Moderate cardiomegaly has been detected but Heart Failure is NOT suspected._x000D_
3.SEVERE INTERSTITIAL TO ALVEOLAR PATTERN; MODERATE BRONCHIAL PATTERN; SEVERE DYNAMIC AIRWAY DISEASE._x000D_
4.Based on these AI airway/pulmonary findings, the probability of this patient having clinically detectable respiratory signs is VERY HIGH (&gt;75%)_x000D_
5.Are respiratory signs present? If YES._x000D_
6.Are respiratory signs present? If NO.</t>
  </si>
  <si>
    <t>Study:_x000D_
Thoracic radiography: three images dated August 25, 2024_x000D_
_x000D_
Findings:_x000D_
The cardiac silhouette and pulmonary vasculature are normal in size. There is a mild generalized bronchial palmar a pattern. The pleural space is normal. There is no intrathoracic lymphadenopathy. The trachea is normal in diameter and course. The stomach contains  heterogeneous soft tissue material presumed to be ingesta. The osseous structures are unremarkable.
(amended on 08/26/2024 15:38)
Addendum for correction of dictation error:_x000D_
_x000D_
Study:_x000D_
Thoracic radiography: three images dated August 25, 2024_x000D_
_x000D_
Findings:_x000D_
The cardiac silhouette and pulmonary vasculature are normal in size. There is a mild generalized bronchial pulmonary pattern. The pleural space is normal. There is no intrathoracic lymphadenopathy. The trachea is normal in diameter and course. The stomach contains heterogeneous soft tissue material presumed to be ingesta. The osseous structures are unremarkable.</t>
  </si>
  <si>
    <t>The mild generalized bronchial pulmonary pattern may indicate allergic, inflammatory, infectious, parasitic or irritant bronchitis. Airway sampling, heartworm testing and Baermann fecal flotation can be considered for further evaluation.</t>
  </si>
  <si>
    <t xml:space="preserve">
1.The cardiac silhouette size is normal._x000D_
2.There is no evidence of BRONCHITIS, PERIHILAR INFILTRATE or DYNAMIC AIRWAY COLLAPSE or BRONCHIECTASIS._x000D_
3.A moderate interstitial to alveolar pattern has been detected.</t>
  </si>
  <si>
    <t>Study:_x000D_
Thoracic radiography: four images dated August 26, 2024_x000D_
_x000D_
Findings:_x000D_
The cardiac silhouette and pulmonary vasculature are normal in size. There multiple pinpoint mineral opacities scattered throughout the pulmonary parenchyma thought to represent both end-on pulmonary vessels and incidental pulmonary osteomas. The pulmonary parenchyma is otherwise unremarkable. No pulmonary nodules or masses are present. The pleural space is normal. There is no intrathoracic lymphadenopathy. The trachea is normal in diameter and course. The stomach contains heterogeneous soft tissue material presumed to be ingesta. There is mild T6-T7 spondylosis deformans. The patient is of overweight body condition.</t>
  </si>
  <si>
    <t>Incidental pulmonary osseous metaplasia=ZZ90= otherwise, unremarkable thorax. There is no radiographic evidence of intrathoracic multicentric/metastatic mast cell disease.</t>
  </si>
  <si>
    <t>N/A</t>
  </si>
  <si>
    <t xml:space="preserve">
1.PULMONARY NODULAR PATTERN likely due to END ON PULMONARY VESSELS, PULMONARY OSTEOMAS or COSTOCHONDRAL JUNCTIONS; MILD INTERSTITIAL TO ALVEOLAR PATTERN; MILD BRONCHITIS._x000D_
2.Based on the AI airway/pulmonary findings, the probability of this patient having clinically detectable respiratory signs is LOW to MEDIUM (25-50%)_x000D_
3.Are respiratory signs present? If YES._x000D_
4.Are respiratory signs present? If NO._x000D_
5.MILD BRONCHOINTERSTITIAL PULMONARY PATTERN WITH ATELECTASIS or LESS LIKELY, PNEUMONIA, MILD PERIHILAR INFILTRATE._x000D_
6.Probability these AI pulmonary findings will accompany clinically detectable respiratory signs: MILD TO MODERATE (25-50%)_x000D_
7.Are respiratory signs present? If NO._x000D_
8.The cardiac silhouette size is normal._x000D_
9.Are respiratory signs present? If YES._x000D_
10.The evaluation result has a strong suspicion of soft tissue pulmonary nodules being present.</t>
  </si>
  <si>
    <t>Four radiographs of the thorax are provided. There is moderate left atrial enlargement. The left ventricle is prominent as well. Pulmonary vessels are normal size. The left mainstem bronchus is deviated dorsolaterally and compressed by the enlarged heart. There are a few incidental pulmonary osteomas. No pleural effusion. Adequate tracheal diameter. In the abdomen the liver is mildly enlarged. Broad-based fat opaque 4.8 x 1.9 cm lipomatous mass in the caudal lateral left extrathoracic tissues is of doubtful clinical significance today. Narrowed C5-6 and C6-7 intervertebral disc spaces.</t>
  </si>
  <si>
    <t>Mild to moderate left-sided cardiomegaly consistent with acquired mitral valve disease. There is no pulmonary venous congestion or heart failure, however there is mainstem bronchial compression.</t>
  </si>
  <si>
    <t>An echocardiogram should be considered to help guide treatment and anesthetic protocol.</t>
  </si>
  <si>
    <t xml:space="preserve">
1.A mild perihilar infiltrate has been detected._x000D_
2.Pleural fissure lines or moderate pleural effusion has been detected. An overlying skin fold or in a moderately overweight animal, excessive pericardial fat could artifactually mimic the result of moderate pleural effusion._x000D_
3.Severe cardiomegaly has been detected but Heart Failure is NOT suspected._x000D_
4.A moderate to severe, diffuse mixed bronchointerstitial pattern with concurrent dynamic airway disease has been detected._x000D_
5.Moderate dynamic airway disease has been identified.</t>
  </si>
  <si>
    <t>Nine radiographs are provided, with images of the thorax, abdomen, and pelvic limbs. The cardiac silhouette is normal size on the lateral view. Fat deposition encircles the heart and extends into the cranial mediastinum on the VD projection. Pulmonary vessels are normal size. There are mild age-related changes in the lungs. No pleural effusion. Adequate tracheal diameter._x000D_
_x000D_
In the abdomen there is no peritoneal or retroperitoneal effusion. The gastrointestinal tract is mildly filled. No radiopaque urolithiasis. Normal size liver, kidneys, spleen. Mineral density caudal to the pelvis on the right lateral and VD views is not persistent on the pelvic limb views and is either superficial debris or artifact on the plate/table. Possible narrowed T13-L1 intervertebral disc space. The coxofemoral joints are congruent. Pelvic limb musculature is symmetric. Patellar location is normal. There is no stifle joint effusion or popliteal lymphadenomegaly. The tarsi are unremarkable.</t>
  </si>
  <si>
    <t>The appearance of T 13-L1 is suggestive of a protruding/extruded intervertebral disc. There is a lesion at this or another site is the most likely cause for the clinical signs. Soft tissue sprain/strain is given months or consideration. No other pelvic limb abnormalities. The abdomen and thorax are normal.</t>
  </si>
  <si>
    <t>Recommend routine blood work and a neurologic examination. This patient may benefit from anti-inflammatories and strict rest.</t>
  </si>
  <si>
    <t xml:space="preserve">THORAX (3 images):
Images are dated August 26, 2024.
Pulmonary parenchyma: A minimal to mild diffuse bronchial and minimal interstitial pattern is present.
Pulmonary vasculature: The pulmonary vasculature is subjectively normal in size and tapers in the periphery of the lungs.
Cardiac silhouette: The cardiac silhouette is mildly tall and occupies 2/3 the height of the thorax, with dorsal tracheal displacement.  The caudodorsal margin of the cardiac silhouette is slightly flattened.
Mediastinum: The cranial mediastinum is normal.
Trachea: A slight soft tissue band superimposes over the mid- to caudal cervical trachea.
Esophagus: The esophagus is not well-identified.
Pleural space: The pleural space is normal.
Musculoskeletal: The included musculoskeletal structures are normal.
</t>
  </si>
  <si>
    <t xml:space="preserve">1. Mild left-sided cardiomegaly such as from myxomatous mitral valvular disease and insufficiency or unlikely other.
- There is no current evidence of left-sided congestive heart failure.
2. Minimal diffuse bronchial and interstitial pulmonary patterns due to fibrosis from prior disease, age-related changes, infectious/immune-mediated lower airway disease, artifact, a combination of these, or unlikely other.
3. Slight dorsal redundant tracheal membrane with/without underlying dynamic airway disease, versus superimposed normal structures.  </t>
  </si>
  <si>
    <t>Echocardiography, ECG and blood pressure for further evaluation, especially if a murmur is identified.  Routine blood work, urinalysis, airway sampling, respiratory PCR panel and fecal analysis/empirical deworming may be contributory for further evaluation of coughing.  Monitoring as directed or sooner if clinical signs acutely change, fail to improve or worsen.</t>
  </si>
  <si>
    <t xml:space="preserve">
1.Mild cardiomegaly has been detected but Heart Failure is NOT suspected._x000D_
2.Are respiratory signs present? If YES._x000D_
3.Are respiratory signs present? If NO._x000D_
4.There is no evidence of DYNAMIC AIRWAY COLLAPSE or BRONCHIECTASIS, PULMONARY NODULES or PLEURAL EFFUSION._x000D_
5.MINIMAL to MILD BRONCHOINTERSTITIAL PULMONARY PATTERN; POTENTIAL FOR FOCAL ATELECTASIS._x000D_
6.Based on these AI airway/pulmonary findings, the probability of this patient having clinically detectable respiratory signs is LOW (25%)</t>
  </si>
  <si>
    <t>Three radiographs of the thorax and three views of the abdomen are provided. The cardiac silhouette and pulmonary vessels are normal size and shape. There are mild age-related changes in the lungs. No pleural effusion or soft tissue pulmonary nodules. There is a smoothly irregular round 1.1 cm metal opaque pellet in the cranial left extrathoracic tissues, incidental._x000D_
_x000D_
In the abdomen there is no effusion. There is a round 9.3 cm soft tissue opacity in the mid abdomen on both of the lateral views, not seen on the VD projection. On the VD view, the splenic head is folded upon itself, an incidental finding. The liver and kidneys are normal size. The gastrointestinal tract is mildly filled. No radiopaque urolithiasis.</t>
  </si>
  <si>
    <t>Midabdominal mass-effect. Neoplasia originating from the spleen is of concern. Summating normal anatomy is given secondary consideration. Otherwise normal abdomen and thorax.</t>
  </si>
  <si>
    <t>Full abdominal ultrasound is recommended. Premedication with diphenhydramine and fine-needle aspirates of splenic abnormalities could be considered for a definitive diagnosis.</t>
  </si>
  <si>
    <t xml:space="preserve">
1.Are respiratory signs present? If NO._x000D_
2.The evaluation has come up positive for a pulmonary nodular pattern._x000D_
3.Are respiratory signs present? If YES._x000D_
4.A moderate interstitial to alveolar infiltrate, mild bronchial pattern and concurrent mild perihilar infiltrate have been detected._x000D_
5.Probability these AI pulmonary findings will accompany clinically detectable respiratory signs: MEDIUM (50%)_x000D_
6.Pleural fissure lines or small volume pleural effusion has been detected. In a mildly overweight animal, excessive pericardial fat can artifactually mimic the result of minimal pleural effusion._x000D_
7.The cardiac silhouette size is normal.</t>
  </si>
  <si>
    <t>Three radiographs of the thorax and three views of the abdomen are provided. Images dated 3/7/23 are available for comparison. There is mild left atrial and auricular enlargement. This is slightly larger than on the previous study. Pulmonary vessels are normal size. There are no abnormalities in the pulmonary parenchyma. No pleural effusion. Possible redundant dorsal trachealis membrane in the cervical region, of uncertain significance today. Narrowed caudal cervical intervertebral disc spaces versus normal dependent sloping/curvature of the neck._x000D_
_x000D_
In the abdomen there is gas in the cecum and proximal colon, with formed feces distally. The stomach and small bowel are minimally filled. Normal-sized liver. The left kidney is partially visible and is reduced in size. The right kidney and spleen are obscured. No radiopaque urolithiasis. Narrowed T12-13 intervertebral disc space and punctate mineral density overlying the L4-5 intervertebral foramen as before. Punctate gas lucencies dorsal to the tail base is likely recent injection site.</t>
  </si>
  <si>
    <t>1. Reduced left renal size suggestive of chronic renal disease. Otherwise normal abdomen._x000D_
2. Mild left-sided cardiomegaly, progressed since the previous study and consistent with acquired mitral valve disease. There is no evidence of heart failure. The reason for the clinical signs is not identified.</t>
  </si>
  <si>
    <t>Recommend cranial nerve assessment. Consultation with a neurologist would be recommended if there are confirmed deficits.</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</si>
  <si>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DYNAMIC AIRWAY COLLAPSE or BRONCHIECTASIS, PULMONARY NODULES or PLEURAL EFFUSION.</t>
  </si>
  <si>
    <t>Three images are provided.
Images are dated August 26, 2024.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has a slight rounded caudoventral margin.  The gastric axis is normal.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The stomach contains a moderate volume of soft tissue material and mild admixed gas.  Soft tissue with minimal gas is in the pylorus in the left lateral image.  The small intestine contains mild to moderate fluid, minimal gas, or is empty.  The small intestine has a subjectively uniform population for size. 
The colon contains mild heterogeneous admixed soft tissue material and gas.  The colon is within normal limits for size.  
Musculoskeletal: The included musculoskeletal structures are normal.</t>
  </si>
  <si>
    <t xml:space="preserve">1. Minimal-mild diffuse bronchial pulmonary pattern due to infectious/immune-mediated lower airway disease (such as from mycoplasma spp., bordetella spp., parasitism, or inhaled allergen/irritant), versus fibrosis from prior disease, age-related changes, or less likely a combination of these, or unlikely other.
2. Equivocal hepatomegaly versus artifact/variation of normal.
- If present, consider vacuolar change, nodular hyperplasia, or unlikely cholangiohepatitis/hepatitis, or other.
3. Gastric material due to recent meal, versus gastritis/delayed gastric emptying or given reported history, unlikely pyloric outflow tract obstruction.
4. Non-specific small intestinal appearance such as from variation of normal, or given reported history, unlikely enteritis or other.
</t>
  </si>
  <si>
    <t>Consider respiratory PCR panel, airway sampling, fecal analysis/empirical deworming and routine blood work for further evaluation. Empirical therapy for cough in the interim as needed for reported coughing.  Monitoring as directed, or sooner if clinical signs acutely change, fail to improve or worsen.</t>
  </si>
  <si>
    <t xml:space="preserve">
1.A minimal bronchial pattern has been detected._x000D_
2.The cardiac silhouette size is normal._x000D_
3.There is no evidence of ALVEOLAR PATTERN, PERIHILAR INFILTRATE, PULMONARY NODULES or PLEURAL EFFUSION.</t>
  </si>
  <si>
    <t>Orthogonal radiographs of the thorax and of the abdomen are provided. The cardiac silhouette and pulmonary vessels are normal size. Round soft tissue density ventral to the tracheal bifurcation on the lateral view is end-on right main pulmonary artery. The lungs are clear. No pleural effusion. Fat deposition in the cranial mediastinum. Normal tracheal diameter. There is T2-3 intervertebral disc space. No thoracic spinal abnormalities. Normal proximal thoracic limbs._x000D_
_x000D_
In the abdomen there is no effusion or organomegaly. The cecum is gas dilated.=ZZ90= Feces fills the descending colon. The stomach and small bowel are minimally filled. There is no radiopaque urolithiasis. Small round soft tissue density ventral to L6 is end-on deep circumflex iliac vessels. Punctate mineral density overlies the L2-3 intervertebral foramen. Mineralized intervertebral disc material in situ at L5-6 is incidental. Normal proximal pelvic limbs.</t>
  </si>
  <si>
    <t>The appearance of T2-3 and L2-3 are both suggestive of intervertebral disc disease. Such a lesion at these or another site is the most likely cause for discomfort. Otherwise normal abdomen and thorax.</t>
  </si>
  <si>
    <t>Recommend a neurologic examination. Consultation with a neurologist and advanced spinal imaging with CT/MRI should be considered if there are confirmed deficits.</t>
  </si>
  <si>
    <t xml:space="preserve">Three images are provided.
Images are dated August 26, 2024.
Bones/Joints:
The T11-12, T12-13 and suspected L3-4 intervertebral disc spaces are slightly narrow in the ventrodorsal image.
There is no evidence of mineral over the intervertebral foramina.  There is no evidence of intervertebral dorsal articulation osteoarthrosis.
There is no evidence of medullary sclerosis, osteolysis, endosteal scalloping, or periosteal proliferation.
Soft tissues:  The included soft tissues are normal.
</t>
  </si>
  <si>
    <t xml:space="preserve">1. Suspected T11-12, T12-13 and L3-4 intervertebral disc space narrowing/disc disease.
</t>
  </si>
  <si>
    <t>Consider neurologist consultation and MRI for further evaluation of the thoracolumbar spine, especially given reported decline in the face of empirical therapy/supportive care.  Routine blood work and thoracic imaging to screen for occult systemic disease prior to referral and advanced imaging if not recently performed.  Empirical therapy and supportive care in the interim.</t>
  </si>
  <si>
    <t>Study:_x000D_
Spinal radiography (including the thorax and abdomen): seven images dated August 26, 2024_x000D_
_x000D_
Findings:_x000D_
The atlantooccipital junction is normal. The dens is intact and well defined. The the atlantoaxial joint space is normal. There is no cervical intervertebral disc space or foraminal narrowing. There is narrowing of the T 10-T 11 intervertebral disc space and mild spondylosis deformans. There is no other apparent intervertebral disc space or foraminal narrowing. There is in situ mineralization of the L6-L7 intervertebral discs. There is no evidence of discospondylitis. The included appendicular skeletal structures are normal. The patient is of overweight body condition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t>
  </si>
  <si>
    <t>1. The intervertebral disc space narrowing at T 10-T 11 may indicate intervertebral disc disease or may be within normal limits for the variation of intervertebral disc space narrowing which can occur at the anticlinal intervertebral disc space._x000D_
2. L6-L7 in situ degenerative disc disease.</t>
  </si>
  <si>
    <t>Neurology consultation and MRI should be considered for further evaluation of the patient=ZZ91=s clinical signs persist or worsen in spite of strict activity restriction and pain management.</t>
  </si>
  <si>
    <t>5 images of the thorax are provided for review.  The cardiovascular structures are normal.  Alveolar opacity is present in the right middle lung lobe.  A thin pleural fissure line is seen.  There is lack of visualization of the right fifth intercostal space with apparent air-filled lung extending into the subcutaneous space.  Small amount of subcutaneous gas is also present in this region.  The mediastinal structures are normal.  Cranial abdominal detail is adequate.</t>
  </si>
  <si>
    <t>Alveolar pulmonary pattern consistent with contusion.  Scant pleural effusion.  Disruption of the right thoracic wall with concern for partial herniation of lung lobe.  Subcutaneous emphysema consistent with bite wounds.</t>
  </si>
  <si>
    <t>7 images of the entire body and spine are presented for review.  The cardiovascular and pulmonary structures are normal.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  There is persistent narrowing of the intervertebral disc space at T12-13.  A femoral head and neck ostectomy has been previously performed on the right.  The left coxofemoral joint is congruent.  No fractures or aggressive osseous lesions are seen.</t>
  </si>
  <si>
    <t>Radiographically normal thorax and abdomen.  Previous right FHO.  Narrowed intervertebral disc space suggestive of intervertebral disc herniation.  This does not rule out intervertebral disc herniation at another site or other causes of spinal cord compression.</t>
  </si>
  <si>
    <t xml:space="preserve">
1.MODERATE BRONCHIAL PATTERN; MODERATE DYNAMIC AIRWAY DISEASE._x000D_
2.Based on these AI airway/pulmonary findings, the probability of this patient having clinically detectable respiratory signs is HIGH (75%)_x000D_
3.Are respiratory signs present? If YES._x000D_
4.Are respiratory signs present? If NO._x000D_
5.The cardiac silhouette size is normal._x000D_
6.There is no evidence of PERIHILAR INFILTRATE or PULMONARY NODULES.</t>
  </si>
  <si>
    <t>3 images of the cervical thoracic spine are provided for review.  No fractures, luxations, or aggressive osseous lesions are seen.  No mineralized intervertebral discs or overtly narrowed intervertebral disc spaces are seen.  The soft tissue structures included are normal.</t>
  </si>
  <si>
    <t>Radiographically normal cervical thoracic spine.  This does not rule out intervertebral disc herniation, meningitis, or other causes of cervical pain.</t>
  </si>
  <si>
    <t xml:space="preserve">
1.The evaluation has a strong suspicion of pulmonary nodules or mass lesion being present._x000D_
2.The cardiac silhouette size is normal._x000D_
3.There is no evidence of BRONCHITIS, PERIHILAR INFILTRATE or DYNAMIC AIRWAY COLLAPSE or BRONCHIECTASIS._x000D_
4.A moderate interstitial to alveolar pattern has been detected.</t>
  </si>
  <si>
    <t>Study:_x000D_
Abdominal radiography: three images dated August 26, 2024_x000D_
_x000D_
Findings:_x000D_
The stomach contains gas with the pylorus appropriately gas-filled on the left lateral image. There is heterogeneous soft tissue material in a bowel segment in the mid-ventral abdomen just cranial to the urinary bladder. The remaining balance gas-filled. Some small intestinal loops are on the upper limits of normal for diameter. The descending colon is gas filled. The liver and spleen are normal in size and margin. The renal silhouettes are normal in size and contour. The urinary bladder is unremarkable. There is no prostatomegaly. The included thorax is normal. The patient has multiple, breed associated, congenitally anomalous vertebrae.</t>
  </si>
  <si>
    <t>It is difficult to discern if the heterogeneous soft tissue material seen in the bowel segment cranial to the urinary bladder represents enteric foreign material and/or ingesta versus formed fecal material within the ascending colon. Consider pneumocolonography to better evaluate the course of the colon. Additionally, in-hospital supportive care with repeat radiography in 4 to 6 hours to monitor for persistence or resolution of this finding can be considered. Alternatively, abdominal sonography can be considered for further evaluation.</t>
  </si>
  <si>
    <t xml:space="preserve">
1.The cardiac silhouette size is normal._x000D_
2.The evaluation has come up positive for a pulmonary nodular pattern and pleural fissure lines or pleural effusion._x000D_
3.Are respiratory signs present? If YES._x000D_
4.SEVERE INTERSTITIAL TO ALVEOLAR PATTERN; PULMONARY NODULES OR MASS LESION; PLEURAL FLUID or PLEURAL THICKENING; MILD BRONCHIAL PATTERN; MINIMAL DYNAMIC AIRWAY DISEASE._x000D_
5.Based on these AI airway/pulmonary findings, the probability of this patient having clinically detectable respiratorysigns is VERY HIGH (&gt;75%)_x000D_
6.Are respiratory signs present? If NO.</t>
  </si>
  <si>
    <t>Three radiographs of the thorax/abdomen are provided. The cardiac silhouette and pulmonary vessels are normal size and shape. No abnormalities in the pulmonary parenchyma. There is no pleural effusion or intrathoracic lymphadenomegaly. Increased opacity overlying the mid lungs on the VD projection is superimposed extrathoracic tissue. In the abdomen serosal detail is adequate. Large volume soft tissue opaque ingesta fills the stomach. Small bowel are mildly filled with stippled soft tissue density. The cecum is gas dilated. Normal-sized liver and spleen. The left kidney is normal size. The right kidney is obscured. The urinary bladder is incompletely included but appears to be minimally distended. Osseous structures are unremarkable.</t>
  </si>
  <si>
    <t>Normal thorax and postprandial abdomen. A reason for hypercalcemia is not identified.</t>
  </si>
  <si>
    <t>Recommend digital rectal examination and abdominal ultrasound. Parathyroid glands could be evaluated with ultrasound at the same time.</t>
  </si>
  <si>
    <t xml:space="preserve">
1.The cardiac silhouette size is normal._x000D_
2.MODERATE INTERSTITIAL TO ALVEOLAR INFILTRATE; MILD BRONCHIAL PATTERN; MINIMAL PERIHILAR INFILTRATE._x000D_
3.Based on these AI airway/pulmonary findings,  the probability of this patient having clinically detectable respiratory signs is HIGH (75%)_x000D_
4.Are respiratory signs present? If YES._x000D_
5.Are respiratory signs present? If NO._x000D_
6.Pleural fissure lines or small volume pleural effusion has been detected. In a mildly overweight animal, excessive pericardial fat can artifactually mimic the result of minimal pleural effusion.</t>
  </si>
  <si>
    <t xml:space="preserve">Three images.
Images are dated August 26, 2024.
Bones/Joints:
The T11-12, T12-13 intervertebral disc spaces are subjectively slightly narrow.  In situ intervertebral disc mineralization is present at T11-12, T12-13, T13-L1, L3-4, L5-6, L6-7 and L7-S1.
There is no evidence of mineral over the intervertebral foramina.  There is no evidence of intervertebral dorsal articulation osteoarthrosis.
There is no evidence of medullary sclerosis, osteolysis, endosteal scalloping, or periosteal proliferation.
Soft tissues:  The included soft tissues are normal.
</t>
  </si>
  <si>
    <t>1. Suspected T11-12, and T12-13 intervertebral disc space narrowing/disc disease.
2. Multifocal in situ intervertebral disc mineralization as above.</t>
  </si>
  <si>
    <t>Consider neurologist consultation and MRI for further evaluation, especially if clinical signs fail to improve or worsen in the face of empiric therapy and supportive care.  Routine blood work and thoracic imaging prior to advanced imaging and referral if not recently performed. Monitoring as directed, or sooner if clinical signs acutely change, fail to improve or worsen.</t>
  </si>
  <si>
    <t xml:space="preserve">Six images are provided.
Images are dated August 26, 2024.
Bones/Joints:
A small osseous, well-defined body is dorsal to the T10 spinous process.
A dens is present.  There is no evidence of atlantoaxial joint subluxation.
There is no evidence of intervertebral disc space narrowing, or mineral over the intervertebral foramina.  There is no evidence of intervertebral dorsal articulation osteoarthrosis.
Moderate bilateral coxofemoral joint osteoarthrosis.
There is no evidence of medullary sclerosis, osteolysis, endosteal scalloping, or periosteal proliferation.
Soft tissues:  The included soft tissues are normal.
</t>
  </si>
  <si>
    <t>1. Moderate bilateral coxofemoral joint osteoarthrosis.
2. No obvious evidence of intervertebral disc disease.
3.  Mineral body dorsal to T10 due to secondary center of ossification, osteoma/chondroma, dorsal longitudinal ligament mineralization or unlikely other.
- Likely incidental to current presentation.</t>
  </si>
  <si>
    <t>Consider neurologist consultation and MRI for further evaluation of the reported clinical signs if they reoccur, progress or worsen.  Empirical therapy and supportive care in the interim as needed.  Routine blood work and thoracic imaging prior to referral and advanced imaging.  Monitoring as directed or sooner if clinical signs acutely change, fail to improve or worsen.</t>
  </si>
  <si>
    <t xml:space="preserve">
1.A severe alveolar pattern has been detected._x000D_
2.The evaluation has a strong suspicion of pulmonary nodules or mass lesion being present._x000D_
3.The cardiac silhouette size is normal._x000D_
4.There is no evidence of PERIHILAR INFILTRATE or DYNAMIC AIRWAY COLLAPSE or BRONCHIECTASIS._x000D_
5.Pleural fissure lines or moderate to severe pleural effusion has been detected. An overlying skin fold or in an obese animal, excessive pericardial fat could artifactually mimic the result of severe pleural effusion.</t>
  </si>
  <si>
    <t>Three radiographs of the thorax, and three views of the abdomen are provided. The cardiac silhouette is normal size and shape. There is soft tissue opacity with air bronchograms in the ventral lungs, worse on the left side. The appearance of a round 0.9 cm soft tissue density overlying the ventral lungs/diaphragm on the right lateral abdominal view is not persistent on the thoracic views and is likely coalescing interstitial infiltrates. No pleural effusion. The plane of the esophagus is unremarkable. Normal tracheal diameter._x000D_
_x000D_
In the abdomen serosal detail is adequate. There is moderate volume gas and small volume fluid in the stomach. Small bowel are diffusely mildly filled with fluid and gas. Gas and scant fluid in the colon. No radiopaque gastrointestinal foreign material is appreciated. Equivocal scant peritoneal fluid. Normal-sized liver, spleen, left kidney. The right kidney is obscured.</t>
  </si>
  <si>
    <t>1. Bilateral ventral alveolar pattern consistent with aspiration pneumonia._x000D_
2. Mild diarrhea. Equivocal scant peritoneal fluid, likely inflammatory. Gastroenteritis secondary to dietary indiscretion is most likely. There is no evidence of an obstructive process. Small radiolucent gastric foreign material is not definitively ruled out.</t>
  </si>
  <si>
    <t>Recommend antibiotics for aspiration pneumonia, and repeat thoracic radiographs (same three views) upon completion to confirm resolution of pneumonia. If GI signs persist, fasted abdominal ultrasound should be considered. If ultrasound is not available, an upper GI series is another option.</t>
  </si>
  <si>
    <t xml:space="preserve">
1.Pleural fissure lines or moderate pleural effusion has been detected. An overlying skin fold or in a moderately overweight animal, excessive pericardial fat could artifactually mimic the result of moderate pleural effusion._x000D_
2.AI linked canine bacterial pneumonia treatment: https://platform.v2.vetology.net/doc/pneumonia-in-dogs-and-cats_x000D_
3.Are respiratory signs present? If NO._x000D_
4.The cardiac silhouette size is normal._x000D_
5.SEVERE ALVEOLAR INFILTRATE; MILD PERIHILAR PATTERN; MORE DIFFUSE MILD BRONCHOINTERSTITIAL PULMONARY PATTERN._x000D_
6.Based on the AI airway/pulmonary findings, the probability of this patient having clinically detectable respiratory signs is VERY HIGH (&gt;75%)_x000D_
7.Are respiratory signs present? If YES.</t>
  </si>
  <si>
    <t>Study:_x000D_
Thoracic/abdominal radiography: three images dated August 26, 2024_x000D_
_x000D_
Findings:_x000D_
The cardiac silhouette and pulmonary vasculature are normal in size. The pulmonary parenchyma is unremarkable. The pleural space is normal. There is no intrathoracic lymphadenopathy. The trachea is normal in diameter and course. The esophagus is gas dilated. The stomach contains gas and ill-defined granular soft tissue material presumed to be ingesta. On the left lateral projection, there is a rounded soft tissue opacity the ventral aspect of the pylorus. The small intestines are normal in size, course and content. The colon contains formed fecal material with a normal diameter. The liver and spleen are normal in size and margin. The renal silhouettes are normal in size and contour. The urinary bladder is normal in size and opacity. There is no prostatomegaly. The osseous structures are unremarkable._x000D_
_x000D_
Human digits are present in the primary beam on the VD view.</t>
  </si>
  <si>
    <t>1. The round soft tissue opacity ventral aspect of the pylorus on the left lateral projection may represent food, foreign material or and intraluminal mass._x000D_
2. The remainder of the abdomen is unremarkable. There is no evidence of small intestinal mechanical obstruction._x000D_
3. Gas dilation of the esophagus may be secondary to aerophagia. An esophageal motility disorder cannot be completely excluded. Correlate with any history of regurgitation.</t>
  </si>
  <si>
    <t>Repeat fasted radiography can be considered to monitor for persistence or resolution of the soft tissue opacity in the pylorus. Alternatively, sonography can be considered if clinical signs persist or worsen in spite of medical management.</t>
  </si>
  <si>
    <t>Study:_x000D_
Thoracic radiography: seven images dated August 26, 2024_x000D_
_x000D_
Findings:_x000D_
The cardiac silhouette is normal in size and shape. The pulmonic vasculature is normal in size. There is a mild diffuse bronchointerstitial pulmonary pattern. No pulmonary nodules or masses are present. The pleural space is normal. There is no intrathoracic lymphadenopathy. There is a broad-based soft tissue opaque band superimposed with the dorsal aspect of the cervical trachea lumen representing either a redundant dorsal tracheal membrane or superimposition of the esophagus. The tracheal diameter is normal. The included abdomen is normal. There is mild to moderate bilateral elbow periarticular bone formation. The patient is of overweight body condition.</t>
  </si>
  <si>
    <t>1. There is no evidence of pulmonary metastatic disease._x000D_
2. The absence of any respiratory signs, the mild generalized bronchointerstitial pulmonary pattern is likely a benign age-related change. Allergic, inflammatory, infectious, inhaled irritant or parasitic bronchitis cannot be completely excluded._x000D_
3. Mild to moderate bilateral elbow osteoarthrosis.</t>
  </si>
  <si>
    <t xml:space="preserve">
1.MILD DIFFUSE MIXED BRONCHOINTERSTITIAL PULMONARY PATTERN; ATELECTASIS or less likely, PNEUMONIA._x000D_
2.Probability these AI pulmonary findings will accompany clinically detectable respiratory signs: LOW (25%)_x000D_
3.Are respiratory signs present? If YES._x000D_
4.Are respiratory signs present? If NO._x000D_
5.The cardiac silhouette size is normal._x000D_
6.There is no evidence of DYNAMIC AIRWAY COLLAPSE or BRONCHIECTASIS.</t>
  </si>
  <si>
    <t>3 views of the entire body are provided for review.  The trachea is severely narrowed.  The cardiac silhouette is widened with rounding of the right ventricular border.  No pulmonary infiltrates are seen.  The pulmonary vasculature is normal in size.  The mediastinal and pleural structures are normal.  Abdominal serosal detail is adequate in all quadrants.  The liver margins are rounded and extend beyond the costal arch, causing caudal displacement of the gastric axis.  The stomach contains a small amount of gas.  The small intestines are normal in size.  Gas and feces are present in the colon.  The urinary bladder is small.  The remaining abdominal organs are normal.  There is spondylosis deformans of the lumbar spine.</t>
  </si>
  <si>
    <t>Hepatomegaly=ZZ90= this is a nonspecific finding that may be seen with congestion, vacuolar hepatopathy, inflammation, neoplasia, etc.  Abdominal ultrasound may be helpful in further evaluation if biochemically indicated.  Severe tracheal narrowing consistent with tracheal collapse.  Right-sided cardiomegaly concerning for pulmonary hypertension.  Echocardiography may be helpful in further evaluation.</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</si>
  <si>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3.A moderate interstitial to alveolar pattern with a concurrent mild bronchial pattern and dynamic airway disease has been detected._x000D_
4.Moderate dynamic airway disease has been detected._x000D_
5.The evaluation has come up positive for a pulmonary nodular pattern.</t>
  </si>
  <si>
    <t>Study:_x000D_
Cervical and thoracic/abdominal radiography: five images dated August 26, 2024_x000D_
_x000D_
Findings:_x000D_
The dens is intact and well defined. The atlantoaxial joint space is normal. There is variable mild to severe cervical and thoracolumbar spondylosis deformans. There is no apparent intervertebral disc space or foraminal narrowing. There is no evidence of discospondylitis. The coxofemoral joints are normal with good coverage of the femoral head by the acetabulum bilaterally. There is mild right stifle periarticular bone formation. There is mild bilateral elbow periarticular bone formation. The cardiac silhouette and pulmonary vasculature are normal in size. The pulmonary parenchyma is unremarkable. The pleural space is normal. There is no intrathoracic lymphadenopathy. The trachea is normal in diameter and course. The stomach contains unstructured heterogeneous/granular soft tissue material presumed to be ingesta. Similar material is present in some small intestinal segments. The small intestines are normal in size and course. The liver extends mildly beyond the costal arch with smooth and sharp margins. The spleen is moderately enlarged with smooth margins. The renal silhouettes are normal in size and contour. Numerous mineral opaque calculi measuring up to 0.75 cm are present in the urinary bladder. The patient is of overweight body condition. Multiple lipomatous masses distorts the subcutaneous tissues.</t>
  </si>
  <si>
    <t>1. Multifocal spondylosis deformans. The spine is otherwise unremarkable. The lack of any apparent intervertebral disc space narrowing does not exclude the possibility of intervertebral disc disease. Neurology consultation and MRI can be considered for further evaluation if the clinical signs persist in spite of ongoing pain management and strict activity restriction._x000D_
2. The generalized hepatomegaly is nonspecific. Rule out metabolic/vacuolar hepatopathy, hyperplasia, hepatitis or infiltrative neoplasia. Sonography can be considered for further evaluation._x000D_
3. The generalized splenomegaly is nonspecific. Rule out extramedullary hematopoiesis, lymphoid hyperplasia, splenitis, congestion (of higher priority if sedated for radiographs) or infiltrative neoplasia. Sonography can be considered for further evaluation._x000D_
4. Cystolithiasis. Recommend urinalysis for further evaluation._x000D_
5. Mild bilateral elbow osteoarthrosis._x000D_
6. Mild right stifle osteoarthrosis.</t>
  </si>
  <si>
    <t xml:space="preserve">
1.Moderate dynamic airway disease has been detected._x000D_
2.Mild cardiomegaly has been detected but Heart Failure is NOT suspected._x000D_
3.There is no evidence of BRONCHITIS, ALVEOLAR PATTERN, PERIHILAR INFILTRATE, PULMONARY NODULES or PLEURAL EFFUSION.</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</si>
  <si>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Skin nodule in the left thoracic wall at the level of the 5th intercostal space (superimposed with the lung parenchyma in the lateral views)._x000D_
_x000D_
Liver extends beyond the costal arch with irregular ventral margins.</t>
  </si>
  <si>
    <t>1) Unremarkable thorax without signs of pulmonary metastases nor signs of thoracic lymphadenopathy._x000D_
2) Hepatomegaly: Neoplastic /metastatic is the main differential. Other concomitant differentials such as Hepatic nodular hyperplasia vs Metabolic vs Vacuolar infiltration vs Inflammatory vs Toxic or hepatopathies are not excluded.</t>
  </si>
  <si>
    <t>Consider abdominal US to further evaluate the liver with US guided FNAs along with oncologist consultation.</t>
  </si>
  <si>
    <t>Three radiographs of the thorax and of the abdomen are provided. Images dated 11/22/21 are available for comparison. There is equivocal prominence of the left atrium, not present previously. Pulmonary vessels are normal size. Mild age-related changes are present in the lungs. There is no pleural effusion. Normal tracheal diameter. Soft tissue thickening dorsal to the scapulae is consistent with subcutaneous fluid administration._x000D_
_x000D_
In the abdomen the liver is mildly enlarged as before. Caudal hepatic margins are rounded. Normal size kidneys, with punctate nephroliths as before. The spleen is normal size. Punctate cystic calculus. The gastrointestinal tract is minimally filled. There are no vertebral abnormalities. One of the patellas is likely medially displaced.</t>
  </si>
  <si>
    <t>1. The liver is mildly enlarged as before. New development, hepatic margins are rounded. Chronic hepatopathy is most likely. Acute inflammation or neoplasia are given lesser consideration. This should be correlated with blood work._x000D_
2. Punctate cystic calculus, of a size that should be able to pass the urethra._x000D_
3. Equivocal mild left atrial enlargement suggestive of acquired mitral valve disease. This is of doubtful clinical significance today. Otherwise normal thorax._x000D_
4. Probable medial patellar luxation.</t>
  </si>
  <si>
    <t>Recommend a CBC and blood chemistry profile to further workup the enlarged/rounded liver.</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</si>
  <si>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5.Severe cardiomegaly has been detected but Heart Failure is NOT suspected._x000D_
6.There is no evidence of PLEURAL EFFUSION.</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</si>
  <si>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 Multiple pulmonary osteomata._x000D_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are WNL. The bladder is moderately distended with multiple cystic calculi seen in the urinary bladder along with a distal urethral calculus just cranial to the ischiadic tuberosities superimposed with the caudal aspect of the obturator foramen.</t>
  </si>
  <si>
    <t>1) Unremarkable thorax without signs of pulmonary metastases nor signs of thoracic lymphadenopathy._x000D_
2) Multiple cystic calculi seen in the urinary bladder and a solitary calculus in the distal urethra leading to a likely partial or complete urethral obstruction.</t>
  </si>
  <si>
    <t>Consider abdominal US to further evaluate the urinary tract with renal function test, urinalysis, UPC and urine culture with retrograde hydropulsion evaluating treatment options.</t>
  </si>
  <si>
    <t xml:space="preserve">
1.SEVERE BRONCHIAL PATTERN; MINIMAL DYNAMIC AIRWAY DISEASE._x000D_
2.Based on these AI airway/pulmonary findings, the probability of this patient having clinically detectable respiratory signs is MEDIUM to HIGH (50-75%)_x000D_
3.Are respiratory signs present? If YES._x000D_
4.Are respiratory signs present? If NO._x000D_
5.Severe bronchial and severe alveolar pattern._x000D_
6.A severe interstitial to alveolar pattern has been detected._x000D_
7.A moderate to severe bronchointerstitial pulmonary pattern is present._x000D_
8.The cardiac silhouette size is normal._x000D_
9.A moderate perihilar infitlrate has been detected.</t>
  </si>
  <si>
    <t>Three orthogonal thoracic radiographs dated 25th August 2024 are available for review. There are no previous radiographs available for comparison. _x000D_
_x000D_
Airway findings: The cervical and thoracic trachea have a normal size, outline and position. The carina, tracheal bifurcation and mainstem bronchi are normal. The right middle lung lobe is nearly completely soft tissue opacified with air bronchograms. A lobar sign with the other right lung lobes is present. There is alveolar opacification of the cranial ventral aspect of the left cranial lung lobe. There is an increased bronchointerstitial opacification in the remainder of the lung parenchyma._x000D_
_x000D_
Cardiovascular findings: The cardiac silhouette is partially border effaced. The overall size is within normal limits. The pulmonary vasculature is poorly visible. The caudal vena cava is prominent._x000D_
_x000D_
Mediastinum and pleural space: There is increased ventral soft tissue opacification consistent with some pleural effusion._x000D_
_x000D_
Musculoskeletal findings: No significant abnormalities are detected._x000D_
_x000D_
Included abdomen: No significant abnormalities are detected. An incidental BB pellet is present in the hepatic silhouette.</t>
  </si>
  <si>
    <t>The findings are consistent with of bacterial bronchopneumonia,  aspiration pneumonia or both. The effusion is most likely a infectious transudate or infectious-inflammatory transudate.</t>
  </si>
  <si>
    <t>Empiric management of bronchopneumonia/aspiration pneumonia is advised, with repeat radiographs prior to end of therapy. Correlate with any clinical signs for dysphagia. Repeat radiographs prior to end of therapy.</t>
  </si>
  <si>
    <t xml:space="preserve">
1.SEVERE PLEURAL EFFUSION; MODERATE TO SEVERE INTERSTITIAL to ALVEOLAR PATTERN; MILD BRONCHIAL PATTERN._x000D_
2.Based on the AI airway/pulmonary findings, the probability of this patient having clinically detectable respiratory signs is VERY HIGH (&gt;75%)_x000D_
3.Severe pleural effusion has been detected._x000D_
4.A moderate to severe interstitial to alveolar infiltrate with a mild perihilar infiltrate has been identified._x000D_
5.Are respiratory signs present? If NO._x000D_
6.The cardiac silhouette size is normal._x000D_
7.Are respiratory signs present? If YES.</t>
  </si>
  <si>
    <t>1) Unremarkable thorax without signs of cardiomegaly (this does not exclude a cardiac disease or hypovolemia), pulmonary metastases nor signs of thoracic lymphadenopathy.</t>
  </si>
  <si>
    <t>Given the lack of cardiomegaly but audible murmur, consider a cardiology consultation with ECG and echocardiogram prior to a CT of the nasal cavity/thorax with bronchoscopy, BAL, culture, cytology followed (in this order) by rhinoscopy and biopsies with culture, with deworming.</t>
  </si>
  <si>
    <t>Consider abdominal US to further evaluate causes of weight loss and hyporexia. Full neuro exam with +/- MRI of the brain.</t>
  </si>
  <si>
    <t xml:space="preserve">
1.Pleural fissure lines or small volume pleural effusion has been detected. In a mildly overweight animal, excessive pericardial fat can artifactually mimic the result of minimal pleural effusion._x000D_
2.A mild perihilar infiltrate and more diffuse, minimal interstitial pulmonary pattern have been detected._x000D_
3.MINIMAL TO MILD BRONCHOINTERSTITIAL PULMONRAY PATTERN; MILD PERIHILAR PATTERN._x000D_
4.MINIMAL BRONCHOINTERSTITIAL PULMONARY PATTERN; POTENTIAL FOR FOCAL ATELECTASIS._x000D_
5.Based on the AI airway/pulmonary findings, the probability of this patient having clinically detectable respiratory signs is LOW (25%)_x000D_
6.Based on these AI airway/pulmonary findings, the probability of this patient having clinically detectable respiratory signs is LOW (25%)_x000D_
7.Are respiratory signs present? If NO._x000D_
8.The cardiac silhouette size is normal._x000D_
9.There is no evidence of PULMONARY NODULES._x000D_
10.Are respiratory signs present? If NO._x000D_
11.Are respiratory signs present? If YES._x000D_
12.Are respiratory signs present? If YES.</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</si>
  <si>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Adominal distension consistent with the reported free fluid.</t>
  </si>
  <si>
    <t>US guided FNAs from the reported masses.</t>
  </si>
  <si>
    <t xml:space="preserve">
1.Based on the AI airway/pulmonary findings, the probability of this patient having clinically detectable respiratory signs is MEDIUM to HIGH (50-75%)._x000D_
2.Are respiratory signs present? If YES._x000D_
3.Are respiratory signs present? If NO._x000D_
4.The evaluation has a strong suspicion of pulmonary nodules or mass lesion being present._x000D_
5.The cardiac silhouette size is normal._x000D_
6.MODERATE ALVEOLAR PATTERN; CONCURRENT MILD to MODERATE BRONCHOINTERSTITIAL PATTERN; MILD DYNAMIC AIRWAY DISEASE.</t>
  </si>
  <si>
    <t>1) Left atrial enlargement secondary to chronic mitral endocardiosis without signs of CHF. Rule out concomitant tricuspid endocardiosis with pulmonary hypertension._x000D_
2) Unremarkable lungs do not exclude a tracheobronchitis of allergic vs inflammatory/infectious or parasitic origin.</t>
  </si>
  <si>
    <t>Consider a cardiology consultation with ECG and echocardiogram followed by empirical treatment for chronic tracheobronchitis evaluating response to treatment.</t>
  </si>
  <si>
    <t xml:space="preserve">
1.MODERATE DYNAMIC AIRWAY DISEASE; MILD BRONCHITIS; MINIMAL INTERSTITIAL PATTERN WITH ATELECTASIS or less likely, PNEUMONIA._x000D_
2.Based on the AI airway/pulmonary findings, the probability of this patient having clinically detectable respiratory signs is MEDIUM to HIGH (50-75%)._x000D_
3.Are respiratory signs present? If YES._x000D_
4.AI linked collapsing airway disease treatment in dogs: https://platform.v2.vetology.net/doc/canine-tracheal-collapse-treatment_x000D_
5.Mild cardiomegaly has been detected but Heart Failure is NOT suspected._x000D_
6.Are respiratory signs present? If NO.</t>
  </si>
  <si>
    <t>1) Left atrial enlargement secondary to chronic mitral endocardiosis without signs of CHF._x000D_
2) Hepatomegaly: Metabolic vs Vacuolar infiltration vs Hepatic nodular hyperplasia vs Inflammatory vs Toxic vs Neoplastic or a combination of these differentials.</t>
  </si>
  <si>
    <t>Consider a cardiology consultation with ECG and echocardiogram and abdominal US to further evaluate the liver.</t>
  </si>
  <si>
    <t xml:space="preserve">THORAX (3 images):
Images are dated August 24, 2024.
Prior images dated August 17, 2024 are available.
Pulmonary parenchyma: A mild diffuse bronchial pattern is present, similar to prior.  Multiple small mineral foci are suspected in the lungs, most numerous in the cranioventral lungs.
Pulmonary vasculature:  No obvious enlargement or pulmonary vasculature is identified.
Cardiac silhouette: The cardiac silhouette has a slightly flat caudodorsal margin.  Slight rounded soft tissue is suspected in the region of the left atrium, possibly exacerbated by obliquity.
Mediastinum: The cranial mediastinum is mildly wide in the ventrodorsal image, exacerbated by obliquity.
Trachea: A soft tissue band superimposes over the dorsal portion of the cervical trachea.  
Esophagus: The esophagus is not well-identified.
Pleural space: The pleural space is normal.
Musculoskeletal: C6-7 spondylosis deformans is present.  Unilateral elbow osteoarthrosis is suspected in a lateral image. The remaining included musculoskeletal structures are normal.
</t>
  </si>
  <si>
    <t>1. Similar mild diffuse bronchial pulmonary pattern due to infectious/immune-mediated lower airway disease, inhaled allergen/irritant, fibrosis from prior disease, age-related changes, or unlikely other.
2. Presumed benign pulmonary osteomas or unlikely granuloma from prior disease or other.
3. Equivocal left atrial enlargement versus artifact from patient positioning/technique and phase of the cardiopulmonary cycle.
- No current evidence of left-sided congestive heart failure.
4. Dorsal redundant tracheal membrane or unlikely other, with/without underlying dynamic airway disease.
5. Widened cranial mediastinum due to fat deposition or unlikely lymphadenomegaly or other.</t>
  </si>
  <si>
    <t>Consider echocardiography, ECG and blood pressure for further evaluation if a murmur is identified.  Consider respiratory PCR panel, fecal analysis/deworming, and airway sampling for further evaluation. Consider tracheoscopy/bronchoscopy/fluoroscopy for further evaluation of dynamic airway disease contributing to reported signs. Abdominal imaging to screen for occult systemic disease if not recently performed. Empirical therapy and supportive care in the interim as needed.  Monitoring with serial thoracic radiographs as directed, or sooner if clinical signs acutely change, fail to improve or worsen.</t>
  </si>
  <si>
    <t xml:space="preserve">
1.Are respiratory signs present? If NO._x000D_
2.Are respiratory signs present? If NO._x000D_
3.Are respiratory signs present? If NO_x000D_
4.Based on the AI airway/pulmonary findings, the probability of this patient having clinically detectable respiratory signs is LOW to MEDIUM (25%-50%)_x000D_
5.Based on these AI airway/pulmonary findings, the probability of this patient having clinically detectable respiratory signs is MEDIUM (50%)_x000D_
6.Are respiratory signs present? If YES._x000D_
7.Are respiratory signs present? If YES._x000D_
8.Are respiratory signs present? If YES._x000D_
9.MILD BRONCHOINTERSTITIAL PULMONARY PATTERN; MILD DYNAMIC AIRWAY DISEASE; ATELECTASIS or less likely, pneumonia._x000D_
10.MINIMAL to MILD INTERSTITIAL TO ALVEOLAR INFILTRATE; MILD BRONCHIAL PATTERN; MINIMAL PERIHILAR INFILTRATE._x000D_
11.MILD BRONCHOINTERSTITIAL PULMONARY PATTERN; MILD DYNAMIC AIRWAY DISEASE; MINIMAL PERIHILAR INFILTRATE._x000D_
12.Mild cardiomegaly has been detected but Heart Failure is NOT suspected.</t>
  </si>
  <si>
    <t>Two orthogonal thoracic radiographs dated 24th August 2024 are available for review. There are no previous radiographs available for comparison. _x000D_
_x000D_
Airway findings: The thorax is well inflated in the images. The trachea has a normal position, shape and size. The carina and tracheal bifurcation are normal. There is a minimal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</si>
  <si>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1.Diffuse minimal bronchial pattern: Primary consideration should be given to normal ageing/fibrosis from previous disease. Allergic bronchitis, chronic bacterial /viral bronchitis +/- parasitic bronchitis should also be considered.</t>
  </si>
  <si>
    <t>Respiratory workup including CBC, serum chemistry, urinalysis, Baermann faecal testing, 4DX, +/- respiratory panel as indicated is advised. If the patient=ZZ91=s signs continue , bronchoscopy/BAL vs. endotracheal wash +/- consultation with an Internist should be considered. Evaluate for upper airway disease as clinically indicated</t>
  </si>
  <si>
    <t>Four orthogonal thoracic radiographs dated 24th August 2024 are available for review. There are no previous radiographs available for comparison. _x000D_
_x000D_
Airway findings: There is mild elevation of the thoracic trachea. There is widening of the tracheal bifurcation. Throughout the lung parenchyma there is a moderate bronchointerstitial opacification._x000D_
_x000D_
Cardiovascular findings: There is a moderate sized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_x000D_
_x000D_
Mediastinum and pleural space: No significant abnormalities are detected._x000D_
_x000D_
Musculoskeletal findings: No significant abnormalities are detected._x000D_
_x000D_
Included abdomen: No significant abnormalities are detected.</t>
  </si>
  <si>
    <t>1.Diffuse bronchointerstitial pattern: Consideration should be given to normal ageing, allergic bronchitis, chronic bacterial /viral or environmental bronchitis +/- parasitic bronchitis. Less likely are heart worm, hyperardenocorticism, eosinophilic bronchopneumopathy, fungal bronchitis, neoplasia (such a lymphoma) or idiopathic pulmonary fibrosis._x000D_
2. Left atrial dilation with mild left-sided cardiomegaly. This is most likely due to mixoid degeneration of the mitral valve. There is no evidence for cardiac insufficiency.</t>
  </si>
  <si>
    <t>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 Evaluate for upper airway disease as clinically indicated._x000D_
Radiography is insensitive for early cardiac insufficiency, therefore ECG, blood pressure measurements, and echocardiography may be considered for further evaluation, or baseline measurements.</t>
  </si>
  <si>
    <t>Four radiographs of the thorax, and a VD view of the pelvis are provided. The cardiac silhouette is normal size for this breed. There is fat deposition in the cranial mediastinum, adjacent to the heart, and extending caudal lateral to the right of the heart on the VD view. Curved soft tissue density in the left 9th intercostal space is superimposed nipple. A mild bronchial pattern is normal for the age of this patient. No pleural effusion. Adequate tracheal diameter. Small volume gas in the caudal esophagus is transient and incidental. Breed-related congenital vertebral malformations in the thoracic spine are also of doubtful significance. Normal cranial abdomen. Both coxofemoral joints are wedged in shape, with poor coverage of the femoral heads by the dorsal acetabular rims. Mild thickened femoral neck on one side (no laterality marker present).</t>
  </si>
  <si>
    <t>1. Normal thorax, with no evidence of nodular pulmonary metastatic disease._x000D_
2. Bilateral hip dysplasia with subluxation and mild osteoarthritis.</t>
  </si>
  <si>
    <t xml:space="preserve">
1.Are respiratory signs present? If YES._x000D_
2.Are respiratory signs present? If NO._x000D_
3.Pleural fissure lines or moderate to severe pleural effusion has been detected. An overlying skin fold or in an obeseanimal, excessive pericardial fat could artifactually mimic the result of severe pleural effusion._x000D_
4.Given this combination of above thoracic findings, a radiologist over read may be beneficial._x000D_
5.The cardiac silhouette size is normal._x000D_
6.This evaluation has detected pulmonary nodules or a mass lesion and pleural fissure lines or effusion._x000D_
7.SEVERE INTERSTITIAL TO ALVEOLAR PATTERN; PULMONARY NODULES OR MASS LESION; PLEURAL FLUID or PLEURAL THICKENING; MODERATE BRONCHIAL PATTERN; DYNAMIC AIRWAY DISEASE._x000D_
8.Based on these AI airway/pulmonary findings, the probability of this patient having clinically detectable respiratorysigns is VERY HIGH (&gt;75%)</t>
  </si>
  <si>
    <t>WHOLE-BODY (4 total radiographs for review). _x000D_
_x000D_
- Peritoneal serosal detail is reduced, particularly in the cranial abdomen_x000D_
- The liver is mildly enlarged, with rounded margins._x000D_
- The spleen is mildly to moderately enlarged, with rounded margins._x000D_
- The stomach contains mild gas and gas-stippled soft-tissue opaque material_x000D_
- The small intestine contains mild multifocal gas and soft-tissue opaque material_x000D_
- The colon contains gas, soft-tissue/fluid and moderate formed fecal material._x000D_
- The region of the kidneys and urinary bladder are normal._x000D_
- The region of the sublumbar lymph nodes is normal._x000D_
- There is a ventrally distributed, wedge-shaped alveolar pattern in the region of the caudal subsegment of the left cranial lung lobe._x000D_
- On the VD projection, there is a moderate widening of the cranial aspect of the cranial mediastinum._x000D_
- Very mild, questionable increase in soft tissue opacity in the region of the carina/tracheobronchial lymph nodes._x000D_
- Mild multifocal vertebral spondylosis deformans._x000D_
- Moderate lumbosacral spondylosis deformans._x000D_
- Bilateral stifle osteoarthritis (limited assessment).</t>
  </si>
  <si>
    <t>1.  In combination with the history of marked peripheral lymphadenopathy, there are multiple findings in this examination that raise concern for multicentric round cell neoplasia (such as lymphoma):_x000D_
_x000D_
2.  Hepatosplenomegaly can indicate neoplastic infiltration of these organs or alternatively represent benign etiologies, such as for the liver vacuolar/metabolic hepatopathy and for the spleen congestion from sedation or lymphoid hyperplasia.  I would recommend considering abdominal ultrasonography and ultrasound-guided fine-needle aspiration of the parenchyma of these organs for further evaluation._x000D_
_x000D_
3.  Widening of the cranial mediastinum raises concern for cranial mediastinal lymphadenopathy._x000D_
_x000D_
4.  Questionable, mild tracheobronchial lymphadenopathy._x000D_
_x000D_
5.  Ventrally distributed alveolar pulmonary pattern in the left cranial lung lobe radiographically would be most compatible with aspiration pneumonia, especially given there is a history of vomiting.  I would recommend considering treating this patient for pneumonia and rechecking the thoracic radiographs to reevaluate the degree of pulmonary opacification with therapy._x000D_
_x000D_
6. Lumbosacral and multifocal vertebral spondylosis deformans._x000D_
_x000D_
7. Stifle osteoarthritis (limited)</t>
  </si>
  <si>
    <t>Consultation with a veterinary oncologist may be of high clinical benefit in this case.  A whole-body CT may be useful for global staging/screening.</t>
  </si>
  <si>
    <t xml:space="preserve">
1.Are respiratory signs present? If YES._x000D_
2.Are respiratory signs present? If NO._x000D_
3.Are respiratory signs present? If YES._x000D_
4.Are respiratory signs present? If NO._x000D_
5.The cardiac silhouette size is normal._x000D_
6.MODERATE TO SEVERE INTERSTITIAL TO ALVEOLAR PATTERN; PLEURAL EFFUSION or PLEURAL FISSURE LINES; MILD BRONCHITIS._x000D_
7.SEVERE ALVEOLAR INFILTRATE; MILD PERIHILAR PATTERN; MORE DIFFUSE MILD BRONCHOINTERSTITIAL PULMONARY PATTERN._x000D_
8.Based on the AI airway/pulmonary findings, the probability of this patient having clinically detectable respiratory signs is HIGH (75%)_x000D_
9.Based on the AI airway/pulmonary findings, the probability of this patient having clinically detectable respiratorysigns is VERY HIGH (&gt;75%)</t>
  </si>
  <si>
    <t>3 views of the thorax are provided for review.  There is straightening of the caudal cardiac waist in the region of the left atrium.  No pulmonary infiltrates are seen.  The pulmonary vasculature is normal in size.  The mediastinal and pleural structures are normal.  Cranial abdominal detail is adequate.</t>
  </si>
  <si>
    <t>Mild left atrial enlargement without current evidence of cardiogenic pulmonary edema.</t>
  </si>
  <si>
    <t>Echocardiography and BNP may be helpful in further staging.</t>
  </si>
  <si>
    <t xml:space="preserve">
1.A mild perihilar infiltrate and minimal bronchial pattern have been detected_x000D_
2.The cardiac silhouette size is normal._x000D_
3.There is no evidence of ALVEOLAR PATTERN, DYNAMIC AIRWAY COLLAPSE or BRONCHIECTASIS, PULMONARY NODULES or PLEURAL EFFUSION.</t>
  </si>
  <si>
    <t>THORAX (3 radiographs are available for review)._x000D_
_x000D_
- There is a large, homogeneous soft-tissue opacity in the region of the heart base that is causing a marked dorsal and rightward displacement of the thoracic trachea, with tracheal compression noted caudally and at the level of the carina._x000D_
- There is increased soft-tissue opacity caudal to the tracheal bifurcation, that is causing a ventral displacement of the carina and splaying of the principal bronchi._x000D_
- Moderate right-sided cardiomegaly is appreciated, characterized by rounding of the cranial and right cardiac margins._x000D_
- The pulmonary vasculature appears to be mildly thinned._x000D_
- Mild distention of the intrathoracic portion of the caudal vena cava._x000D_
- The remaining intrathoracic structures are normal._x000D_
- There is mildly rounding of the caudoventral hepatic margins, supporting mild hepatomegaly._x000D_
- Mild multifocal vertebral spondylosis deformans</t>
  </si>
  <si>
    <t>1. Large heart-base mass, as clinically reported. DDx neuroendocrine neoplasia such as chemodectoma is most likely (especially given the patients breed). Non-neoplastic etiologies are unlikely._x000D_
_x000D_
2. Marked tracheobronchial lymphadenopathy (definitely the middle tracheobronchial node and potentially the left TB lymph node, which are most likely metastatic from #1) with caudal tracheal, carina and principal bronchial compression. _x000D_
_x000D_
3. Marked right-sided cardiomegaly, likely secondary to the heart base mass._x000D_
_x000D_
4. Mild distention of the intrathoracic caudal vena cava and mild enlargement of the liver may raise concern for early/emerging right-heart insufficiency/failure, although no peritoneal effusion is clearly identified._x000D_
_x000D_
5. Mild multifocal spondylosis deformans.</t>
  </si>
  <si>
    <t>In this case, the patient=ZZ91=s coughing is likely multifactorial and related to airway compression from one or both of the heart-base mass and tracheobronchial lymphadenopathy. For further characterization, I would recommend consulting with a veterinary cardiologist regarding treatment options. If not recently performed, echocardiography may be of utility and a thoracic CT would allow for improved characterization of intrathoracic lymphadenopathy.</t>
  </si>
  <si>
    <t xml:space="preserve">
1.Severe cardiomegaly has been detected but Heart Failure is NOT suspected._x000D_
2.MODERATE BRONCHOINTERSTITIAL PULMONARY PATTERN; MODERATE ALVEOLAR INFILTRATE or ATELECTASIA; PLEURAL FISSURE LINES or PLEURAL EFFUSION; MODERATE DYNAMIC AIRWAY DISEASE._x000D_
3.Based on these AI airway/pulmonary findings, the probability of this patient having clinically detectable respiratory signs is HIGH (75%)_x000D_
4.Pleural fissure lines or moderate to severe pleural effusion has been detected._x000D_
5.Are respiratory signs present? If NO._x000D_
6.Are respiratory signs present? If YES.</t>
  </si>
  <si>
    <t>Study:_x000D_
Thoracic radiography: right lateral and VD views (two images) dated August 24, 2024_x000D_
_x000D_
Abdominal radiography: left lateral projection dated August 24, 2024_x000D_
_x000D_
Findings:_x000D_
The cardiac silhouette and pulmonary vasculature are normal in size. There is a mild generalized bronchial pulmonary pattern. The pleural space is normal. There is no intrathoracic lymphadenopathy. The trachea is normal in diameter and course. Evaluation the abdomen is limited by the lack of a VD view. The abdominal serosal detail is normal. The stomach contains heterogeneous soft tissue material. The pylorus is appropriately gas-filled on the left lateral image. The small intestines are normal in size, course and content. The colon contains formed fecal material with a normal diameter. The liver is small with associated cranial rotation of the gastric axis. The spleen is normal in size and margin. The renal silhouettes are normal in size and contour. The urinary bladder is normal in size and opacity. There is no prostatomegaly. The osseous structures are unremarkable.</t>
  </si>
  <si>
    <t>1. The mild generalized bronchial pulmonary pattern may indicate allergic, inflammatory, infectious, parasitic or irritant bronchitis. Infectious respiratory disease PCR testing, airway sampling, heartworm testing and Baermann fecal flotation can be considered for further evaluation._x000D_
2. Gastric contents likely represent ingesta. Foreign material cannot be completely excluded. There is no evidence of small intestinal mechanical obstruction._x000D_
3. Microhepatia. Rule out normal variant, vascular anomaly or chronic hepatitis/cirrhosis. Correlate with any liver enzyme abnormalities. Abdominal sonography and bile acid testing can be considered for further evaluation if clinically relevant.</t>
  </si>
  <si>
    <t>THORAX (3 radiographs are available for review)._x000D_
_x000D_
- Multiple open physes are present, consistent with the patient clinical age._x000D_
- Bilateral cranioventral unstructured interstitial pulmonary pattern in the right cranial and cranial subsegment of the left cranial lung lobes._x000D_
- Widening of the cranial mediastinum, rightward displacement of the trachea can be noted on the VD projection_x000D_
- Cardiac silhouette is abnormal, with rounded cranial and caudal margins. On the VD projection, the right side of the heart is convex._x000D_
- Pulmonary vasculature is normal._x000D_
- Remaining intrathoracic structures are normal._x000D_
- Reduced peritoneal detail can be normal for the patient age._x000D_
- The stomach is moderately distended with gas and contains moderate gas-stippled soft-tissue opaque material, as well as a few small, ventrally-dependent amorphous mineral opacities._x000D_
- The remaining cranial abdominal structures are normal._x000D_
- No discrete musculoskeletal abnormalities are identified.</t>
  </si>
  <si>
    <t>1. Bilateral (R =ZZ93= L) cranioventral unstructured interstitial to alveolar patterns. Most likely compatible with pneumonia (aspiration pneumonia seems most likely given the radiographic distribution, although primary infectious bacterial bronchopneumonia is also possible)._x000D_
_x000D_
2. There is the impression of generalized cardiomegaly that is mostly right-sided. Unfortunately, assessment of the cardiac silhouette size is limited due to the presence of the pulmonary opacities, and the appearance can be artefactual, especially given the patient is a bulldog with a widened cranial mediastinum. If the enlargement is real, primary concern would be for a congenital cardiac anomaly (such as pulmonic stenosis). _x000D_
_x000D_
3. Aerophagia, recent meal and a few small non-specific mineral opacities in the gastric lumen.</t>
  </si>
  <si>
    <t>In this scenario, I would recommend considering continuation of treatment for pneumonia (oxygen as clinically indicated, antibiotics), and when the pulmonary opacities have improved, retaking the thoracic radiographs to re-evaluate the size of the cardiac silhouette. If an overt murmur is able to appreciated at any point (reportedly unable/difficult in the history), then echocardiogram, ECG and cardiologist consultation may be reasonable.</t>
  </si>
  <si>
    <t xml:space="preserve">
1.Severe dynamic airway disease has been detected._x000D_
2.Moderate to severe bronchointerstitial pulmonary pattern, area(s) of pulmonary consolidation and dynamic airway disease have been identified.._x000D_
3.Pleural fissure lines or moderate to severe pleural effusion has been detected. An overlying skin fold or in an obese animal, excessive pericardial fat could artifactually mimic the result of severe pleural effusion._x000D_
4.Severe cardiomegaly has been detected but Heart Failure is NOT suspected.</t>
  </si>
  <si>
    <t>WHOLE-BODY (2 radiographs are available for review)._x000D_
_x000D_
- Peritoneal serosal detail is normal._x000D_
- The stomach contains moderate gas and mild soft-tissue opaque material. The gastric rugal folds are prominent._x000D_
- The small intestine is mildly diffusely distended with homogeneous soft-tissue opacity and contains a small volume of gas._x000D_
- The cecum contains mild gas._x000D_
- The colon contains gas-stippled soft-tissue opaque material and gas._x000D_
- The liver appears to be small, resulting in a cranial transposition of the gastric axis._x000D_
- The spleen, kidneys and urinary bladder are unremarkable._x000D_
- There is a soft-tissue opaque band overlying the dorsal portion of the trachea in the region of the thoracic inlet._x000D_
- The cardiac silhouette, pulmonary vasculature, pleural space and remaining intrathoracic structures are normal._x000D_
- L4-5 intervertebral disc space narrowing with endplate sclerosis and spondylosis deformans._x000D_
- The remaining musculoskeletal structures are normal.</t>
  </si>
  <si>
    <t>1. The appearance of the stomach and small intestine can be compatible with a combination of aerophagia (stomach) and non-specific generalized functional ileus (e.g. gastroenteritis). There is no evidence of foreign material or mechanical obstruction. The changes could be secondary to pancreatitis, however no obvious pancreatic enlargement or cranial abdominal mass effect is/are appreciated. If clinically indicated, consider abdominal ultrasonography for further assessment._x000D_
_x000D_
2. The impression of a small liver can be a normal patient variant, or represent chronic hepatic disease (e.g. portosystemic shunt, hepatitis, hepatic fibrosis/cirrhosis)._x000D_
_x000D_
3. Fairly unremarkable thorax with soft-tissue opaque dorsal tracheal band, either representing redundancy of the trachea membrane, overlying esophagus and/or tracheal collapse._x000D_
_x000D_
4. L4-5 intervertebral disc disease.</t>
  </si>
  <si>
    <t>3 views of the thorax are provided for review.  There is straightening of the caudal cardiac waist t in the region of the left atrium.  No pulmonary infiltrates are seen.  The pulmonary vasculature is normal in size.  The mediastinal and pleural structures are normal.  Cranial abdominal detail is adequate.</t>
  </si>
  <si>
    <t>Echocardiography may be helpful in further staging if clinically indicated.</t>
  </si>
  <si>
    <t xml:space="preserve">
1.A minimal bronchial pattern has been detected._x000D_
2.The cardiac silhouette size is normal._x000D_
3.There is no evidence of ALVEOLAR PATTERN, DYNAMIC AIRWAY COLLAPSE or BRONCHIECTASIS, PULMONARY NODULES or PLEURAL EFFUSION.</t>
  </si>
  <si>
    <t>3 views of the thorax are provided for review.  The trachea is mildly dorsally deviated, indicating left ventricular enlargement.  A small bulge is present in the region of the left atrium.  No pulmonary infiltrates are seen.  The pulmonary vasculature is normal in size.  The mediastinal and pleural structures are normal.  Cranial abdominal detail is adequate.</t>
  </si>
  <si>
    <t>Mild left-sided cardiomegaly without current evidence of cardiogenic pulmonary edema.</t>
  </si>
  <si>
    <t xml:space="preserve">
1.MILD BRONCHOINTERSTITIAL PULMONARY PATTERN; MILD PERIHILAR INFILTRATE; MILD DYNAMIC AIRWAY DISEASE; ATELECTASIS or less likely, pneumonia._x000D_
2.Based on the AI airway/pulmonary findings, the probability of this patient having clinically detectable respiratory signs is MEDIUM (50%)_x000D_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6.Mild cardiomegaly has been detected but Heart Failure is NOT suspected.</t>
  </si>
  <si>
    <t>Study:_x000D_
Thoracic/abdominal radiography: three images dated August 24, 2024_x000D_
_x000D_
Findings:_x000D_
The cardiac silhouette and pulmonary vasculature are normal in size. The pulmonary parenchyma is unremarkable. The pleural space is normal. There is no intrathoracic lymphadenopathy. On the right lateral view, there is a broad-based soft tissue opaque band superimposed with the dorsal aspect of the cervical trachea lumen representing either a redundant dorsal tracheal membrane or superimposition of the esophagus. The trachea is normal in diameter and course. The stomach contains a small amount of unstructured heterogeneous soft tissue material. The small intestines contain fluid and smoothly marginated fragmented gas. Some small intestinal segments also contain a small amount of granular soft tissue material. The small intestines are normal in size and course. The colon contains formed fecal material. The liver is normal in size and margin. Too numerous to count small mineral opacities are clustered in the region of the gallbladder. The spleen is normal in size and margin. The kidneys are normal in size but both have mildly irregular margination. The urinary bladder is normal in size and opacity. The osseous structures are unremarkable.</t>
  </si>
  <si>
    <t>1. The unstructured heterogeneous soft tissue material in the stomach and small amount of granular soft tissue material in the small intestines likely indicates ingesta. Foreign material cannot be completely excluded. The smoothly marginated fragmented gas pattern seen in the small intestines can be an indicator of nonspecific enteritis. There is no evidence of small intestinal mechanical obstruction. Repeat fasted radiography can be considered to ensure gastrointestinal emptying if quickly relevant based on recent dietary history. Alternatively, sonography can be considered if clinical signs persist or worsen in spite of medical management._x000D_
2. Cholelithiasis._x000D_
3. The mild irregularity the kidneys is likely secondary to the reported chronic kidney disease. Cortical infarction is also possible._x000D_
4. Normal thorax. There is no radiographic evidence of cardiopulmonary disease.</t>
  </si>
  <si>
    <t>Study:_x000D_
Thoracic radiography: nine images dated August 24, 2024_x000D_
_x000D_
Findings:_x000D_
There is severe left ventricular and left atrial enlargement. The pulmonary vasculature is normal in size. There is a mild generalized bronchointerstitial pulmonary pattern. The pleural space is normal. There is no intrathoracic lymphadenopathy. The larynx is normal. The trachea is normal in diameter. The liver is small with associated cranial rotation of the gastric axis. The osseous structures are unremarkable.</t>
  </si>
  <si>
    <t>1. Severe left-sided cardiomegaly. Rule out mitral valve disease versus dilated cardiomyopathy. Echocardiography should be considered for further evaluation._x000D_
2. The diffuse bronchointerstitial pulmonic pattern is a nonspecific finding. This may be a benign age-related change. Allergic, inflammatory, infectious, inhaled irritant or parasitic bronchitis cannot be excluded given the reported coughing. In spite of the apparent heart disease, interstitial cardiogenic pulmonary edema with peribronchial cuffing is considered less likely. Airway sampling plus/minus  Baermann fecal flotation can be considered to further evaluate for lower airway disease._x000D_
3. Microhepatia. Rule out normal variant, vascular anomaly or chronic hepatitis/cirrhosis. Correlate with any liver enzyme abnormalities. Abdominal sonography and bile acid testing can be considered for further evaluation if clinically relevant.</t>
  </si>
  <si>
    <t xml:space="preserve">
1.MODERATE ALVEOLAR PATTERN; CONCURRENT MILD BRONCHOINTERSTITIAL PATTERN; MINIMAL DYNAMIC AIRWAY DISEASE._x000D_
2.Based on these AI airway/pulmonary findings, the probability of this patient having clinically detectable respiratory signs is MEDIUM (50%)_x000D_
3.Are respiratory signs present? If YES._x000D_
4.AI linked article on canine alveolar lung disease. https://platform.v2.vetology.net/doc/pneumonia-in-dogs-and-cats_x000D_
5.Are respiratory signs present? If NO._x000D_
6.The evaluation has come up positive for a pulmonary nodular pattern._x000D_
7.Moderate cardiomegaly has been detected but Heart Failure is NOT suspected.</t>
  </si>
  <si>
    <t>4 views of the torso are submitted for review.  There is subjective mild narrowing of the intervertebral disc space at L1-2.  No other definitive abnormalities are seen in the cervical, thoracic, or lumbar spine.  The coxofemoral joints are within normal limits.  No abnormalities are noted in the limited views of the stifles._x000D_
In the abdomen, the same contains a mild amount of gas.  The small bowel is within normal limits.  Formed stool is noted throughout the colon.  The liver is mildly prominent extending mild the costal arch.  The spleen appears within normal limits.  The bilateral renal silhouettes are within normal limits.  The urinary bladder is unremarkable.  Serosal detail is normal._x000D_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t>
  </si>
  <si>
    <t>Intervertebral disc disease at L1-2 is suspected.  However, occult intervertebral disc disease anywhere along the thoracic or lumbar spine cannot be excluded._x000D_
Mild hepatomegaly.  Differentials include vacuolar hepatopathy or less likely inflammation, venous congestion, or neoplasia._x000D_
Radiographically normal thorax.</t>
  </si>
  <si>
    <t>Empirical medical management may be helpful in the short-term.  If clinical signs persist or if surgical remedies are contemplated, cross-sectional imaging of the thoracolumbar spine appears indicated.  Correlation of the findings in the liver with lab work and potentially abdominal ultrasound could also be considered.</t>
  </si>
  <si>
    <t>Study:_x000D_
Thoracic/abdominal radiography: left lateral and DV views (two images dated August 24, 2024_x000D_
_x000D_
Findings:_x000D_
There is severe left ventricular and left atrial enlargement. The pulmonary vasculature is normal in size. There is an unstructured interstitial pulmonary pattern in the caudodorsal lung fields, more pronounced on the right. On the DV projection, there is an interstitial to alveolar pattern in the right cranial lung lobe. This finding is not repeatable on the left lateral view. The pleural space is normal. There is no intrathoracic lymphadenopathy. The trachea is normal in diameter. There is no apparent lobar bronchi narrowing.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There is no prostatomegaly. The osseous structures are unremarkable.</t>
  </si>
  <si>
    <t>1. Severe left-sided cardiomegaly, secondary to the previously diagnosed mitral valve disease, with likely decompensated congestive heart failure/cardiogenic pulmonary edema. Recommend repeat echocardiography for further evaluation. Diuretic therapy with repeat radiography to monitor for response to treatment is recommended in the interim._x000D_
2. The interstitial to alveolar pattern in the right cranial lung lobe on the DV view may be secondary atelectasis given the lack of repeatability on the left lateral view. Pneumonia cannot be completely excluded._x000D_
3. There is no apparent main pulmonary or lobar arterial enlargement associated with the reported pulmonary hypertension._x000D_
4. Unremarkable abdomen.</t>
  </si>
  <si>
    <t xml:space="preserve">
1.SEVERE BROCHIAL PATTERN; SEVERE DYNAMIC AIRWAY DISEASE; MODERATE INTERSTITIAL INFILTRATE with ATELECTASIS or less likely, PNEUMONIA._x000D_
2.Based on these AI airway/pulmonary findings, the probability of this patient having clinically detectable respiratory signs is VERY HIGH (&gt;75%)_x000D_
3.AI link to canine airway collapse treatment article: https://platform.v2.vetology.net/doc/canine-tracheal-collapse-treatment_x000D_
4.Are respiratory signs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</si>
  <si>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6 images of the abdomen are provided for review.  Serosal detail is adequate in all quadrants.  The stomach contains a moderate amount of amorphous soft tissue material and fluid.  The small intestines are normal in size.  Gas is present in the colon and cecum.  The urinary bladder is small.  The remaining abdominal organs are normal.  The thoracic structures included are normal.</t>
  </si>
  <si>
    <t>Material within the stomach may represent residual ingesta or foreign material.</t>
  </si>
  <si>
    <t xml:space="preserve">
1.MODERATE ALVEOLAR INFILTRATE; MILD DYNAMIC AIRWAY DISEASE._x000D_
2.Based on these AI airway/pulmonary findings, the probability of this patient having clinically detectable respiratory signs is LOW to MEDIUM (25-50%)_x000D_
3.Are respiratory signs present? If YES._x000D_
4.Are respiratory signs present? If NO._x000D_
5.Are respiratory signs present? If NO._x000D_
6.The cardiac silhouette size is normal._x000D_
7.There is no evidence of PERIHILAR INFILTRATE, PULMONARY NODULES or PLEURAL EFFUSION.</t>
  </si>
  <si>
    <t xml:space="preserve">THORAX (3 images):
Images are dated August 23, 2024.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</si>
  <si>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Minimal-mild diffuse bronchial pulmonary pattern such as from infectious/immune-mediated lower airway disease (mycoplasma spp., bordetella spp., parasitism, or other), inhaled allergen/irritant, fibrosis from prior disease, age-related changes, or unlikely other.</t>
  </si>
  <si>
    <t>Consider respiratory PCR panel, airway sampling and routine blood work for further evaluation.  Consider computed tomography of the head and rhinoscopy for further evaluation.  Empirical therapy and supportive care in the interim as needed. Monitoring as directed or sooner if clinical signs acutely change, fail to improve or worsen.</t>
  </si>
  <si>
    <t>A ventral dorsal radiograph of the thorax, and three views of the abdomen are provided. The name on the image is attached to this request is  =ZZ92=Unknown=ZZ92=. The cardiac silhouette is normal size. The left caudal lobar artery is enlarged and blunted. Diffuse increased lung opacity is likely due to expiration. No pleural effusion. In the abdomen there is moderate volume peritoneal fluid. The liver is mildly enlarged with caudal deviation of the gastric axis on the VD projection. Small bowel are minimally filled. Formed feces in the distal colon. No radiopaque foreign material or urolithiasis. The prostate, kidneys, and spleen are obscured by the effusion.</t>
  </si>
  <si>
    <t>1. Moderate peritoneal effusion and mild hepatomegaly. This may be due to heartworm disease with venous congestion. A metabolic abnormality or separate inflammatory or neoplastic process originating from the abdomen is next on the differential list._x000D_
2. Enlarged left caudal lobar artery consistent with heartworm disease. This is class I-II heartworm disease.</t>
  </si>
  <si>
    <t>Abdominal ultrasound and peritoneal fluid evaluation are recommended.</t>
  </si>
  <si>
    <t>Study:_x000D_
Thoracic/abdominal radiography: three images dated August 23,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a small volume of gas. Some small intestinal segments contain a small amount of granular soft tissue material. The small intestines are otherwise gas filled and normal in size and course. The colon contains formed fecal material with a normal diameter. The liver and spleen are normal in size and margin. The renal silhouettes are normal in size and contour. The urinary bladder is normal in size and opacity. There is no prostatomegaly. The osseous structures are unremarkable/age appropriate.</t>
  </si>
  <si>
    <t>1. Normal thorax. There is no radiographic evidence of cardiopulmonary disease or pneumonia. A cause of coughing is not evident. Lack of a definitive bronchial pulmonary pattern does not exclude the possibility of infectious, allergic/inflammatory, inhaled irritant or parasitic bronchitis. Infectious respiratory disease PCR testing can be considered to further evaluate for possible infectious trachea bronchitis._x000D_
2. The granular soft tissue material in the small intestines likely indicates ingesta. Foreign material cannot be completely excluded. The abdomen is otherwise unremarkable. There is no evidence of small intestinal mechanical obstruction. Repeat fasted radiography can be considered to ensure gastrointestinal emptying. Alternatively, sonography can be considered for further evaluation if the reported vomiting persists or worsens in spite of medical management.</t>
  </si>
  <si>
    <t>Three orthogonal thoracic radiographs dated 23rd August 2024 are available for review. There are no previous radiographs available for comparison. _x000D_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There is gas in the cranial and thoracic oesophagus._x000D_
_x000D_
Musculoskeletal findings:  No significant abnormalities are detected. _x000D_
_x000D_
Included abdomen: No significant abnormalities are detected.</t>
  </si>
  <si>
    <t>1.Diffuse mild bronchial pattern: Consideration should be given to normal ageing, allergic bronchitis, chronic bacterial /viral bronchitis +/- parasitic bronchitis. Less likely are heart worm, hyperardenocorticism, neoplasia (such a lymphoma) or idiopathic pulmonary fibrosis._x000D_
2. There is no evidence for tracheal collapse, however a dynamic tracheal collapse can be present._x000D_
3. The murmur reported is most likely a physiologic murmur, or a compensated valvular disease such as myxoid degeneration of the mitral valve.</t>
  </si>
  <si>
    <t>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 _x000D_
_x000D_
Consider evaluation for airway collapse (fluoroscopy vs. right lateral inspiratory and expiratory radiographs vs. CT with virtual bronchoscopy). _x000D_
_x000D_
In absence of clinical signs indicative of cardiac disease, conservative management may be considered, alternatively with an acute onset murmur, and signs of exercise intolerance, echocardiography may be considered.</t>
  </si>
  <si>
    <t xml:space="preserve">
1.MILD BRONCHIAL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5.There is no evidence of PERIHILAR INFILTRATE, PULMONARY NODULES or PLEURAL EFFUSION._x000D_
6.Moderate cardiomegaly has been detected but Heart Failure is NOT suspected.</t>
  </si>
  <si>
    <t>THORAX (4 total radiographs for review). _x000D_
_x000D_
- The patient has a markedly excessive body habitus._x000D_
- There is a mild, diffuse, mixed bronchial and peribronchial unstructured interstitial pulmonary pattern present._x000D_
- The cardiac silhouette, pulmonary vasculature, pleural space, trachea, mediastinum and remaining included intrathoracic structures are normal._x000D_
- The liver is moderately enlarged, extending caudal to the costal arch with rounded margins._x000D_
- The visible gastrointestinal segments are unremarkable._x000D_
- The remaining cranial abdominal structures are normal._x000D_
- There is mild multifocal vertebral spondylosis deformans.</t>
  </si>
  <si>
    <t>1.  Radiographically, it is difficult to determine an exact cause of the patient=ZZ91=s respiratory signs however they could be related to chronic lower airway/airspace disease such as bronchitis, which could have underlying allergic, infectious or inhaled irritant etiologies.  A component of the airway changes can be due to normal age-related airway degeneration, and the overlying body fat of the patient is likely contributing to some of the unstructured interstitial opacification.  _x000D_
_x000D_
Consider treatment for chronic lower airway disease and if the patient is not improving or worsening despite medical management, consultation with an internal medicine specialist, thoracic CT and lower airway sampling might be pursued._x000D_
_x000D_
2.  Despite lack of obvious radiographic cardiomegaly or pulmonary vasculature changes, given the reported cardiac murmur it may be reasonable to consider echocardiography/ECG and cardiologist consultation regardless._x000D_
_x000D_
3. Moderate hepatomegaly. Most likely vacuolar (metabolic) hepatopathy. Hepatic congestion, hepatitis or neoplasia are less likely, but possible._x000D_
_x000D_
4.  Markedly excessive body habitus._x000D_
_x000D_
5.  Mild multifocal spondylosis deformans.</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</si>
  <si>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3.MODERATE BRONCHOINTERSTITIAL PULMONARY PATTERN; MODERATE DYNAMIC AIRWAY DISEASE; MODERATE ALVEOLAR INFILTRATE or ATELECTASIS._x000D_
4.Based on these AI airway/pulmonary findings, the probability of this patient having clinically detectable respiratory signs is HIGH (75%)_x000D_
5.Are respiratory signs present? If YES._x000D_
6.Are respiratory signs present? If NO._x000D_
7.The evaluation has a strong suspicion of pulmonary nodules or mass lesion being present.</t>
  </si>
  <si>
    <t>1) Left atrial enlargement secondary to chronic mitral endocardiosis without signs of CHF. Rule out concomitant tricuspid endocardiosis._x000D_
2) Hepatomegaly: Metabolic vs Vacuolar infiltration vs Hepatic nodular hyperplasia vs Inflammatory vs Toxic vs Neoplastic or a combination of these differentials.</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</si>
  <si>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No mineral is seen associated with the urinary tract.  The kidneys are small.  The remaining abdominal organs are normal.  There is spondylosis deformans of the lumbar spine.</t>
  </si>
  <si>
    <t>Small kidneys suggestive of chronic renal disease.  Degenerative change of the lumbar spine.  Radiographically normal thorax for patient of this age.</t>
  </si>
  <si>
    <t xml:space="preserve">
1.The evaluation has come up positive for a pulmonary nodular pattern._x000D_
2.The cardiac silhouette size is normal._x000D_
3.There is no evidence of ALVEOLAR PATTERN or DYNAMIC AIRWAY COLLAPSE or BRONCHIECTASIS._x000D_
4.A minimal perihilar infiltrate has been detected._x000D_
5.A minimal bronchial pattern has been detected.</t>
  </si>
  <si>
    <t>Study:_x000D_
Thoracic radiography: eight images dated August 23, 2024_x000D_
_x000D_
Findings:_x000D_
The cardiac silhouette is normal in size and shape. The pulmonic vasculature is normal in size. There is no main pulmonary or lobar arterial enlargement. There is a mild generalized bronchial pulmonary pattern. The pleural space is normal. There is no intrathoracic lymphadenopathy. The trachea is normal in diameter. There is no esophageal dilation. The included abdomen is unremarkable. No skeletal abnormalities are present.</t>
  </si>
  <si>
    <t>The mild generalized bronchial pulmonary pattern likely indicates heartworm associated bronchitis. There no cardiovascular changes associated with the reported heartworm disease. The lack of any cardiovascular changes and lack of any clinical signs would suggest class I heartworm disease.</t>
  </si>
  <si>
    <t>Consider treatment as outlined by the American heartworm Society.</t>
  </si>
  <si>
    <t>Four radiographs of the thorax are provided. Images dated 10/13/23 are available for comparison. The cardiac silhouette and pulmonary vessels are normal size and shape. There are mild age-related changes in the lungs. No soft tissue pulmonary nodules for pleural effusion. Normal cranial mediastinal width. Adequate tracheal diameter. Osseous structures are unremarkable.</t>
  </si>
  <si>
    <t xml:space="preserve">
1.A mild bronchial pattern has been detected._x000D_
2.The cardiac silhouette size is normal._x000D_
3.There is no evidence of PERIHILAR INFILTRATE, DYNAMIC AIRWAY COLLAPSE or BRONCHIECTASIS, PULMONARY NODULES or PLEURAL EFFUSION.</t>
  </si>
  <si>
    <t>Three radiographs of the thorax/abdomen are provided. These images are embedded within a study dated August 31, 2023, but have a label of =ZZ92=8.23.24=ZZ92= on the images. The cardiac silhouette and pulmonary vessels are normal size and shape. Angular appearance of the right heart on the VD view is due to adjacent fat deposition. There are faint bronchial markings in the lungs. No pleural effusion or soft tissue pulmonary nodules. Curved increased opacity overlying cranioventral heart on the 2nd lateral view is summating normal anatomy. The trachea is normal diameter and position. No esophageal dilation. The laryngeal region is unremarkable. In the abdomen there is no effusion or organomegaly. The gastrointestinal tract and urinary bladder are minimally filled. No radiopaque urolithiasis. Osseous structures are unremarkable.</t>
  </si>
  <si>
    <t>1. Faint bronchial markings suggestive of airway inflammation. This may be due to inhaled irritants/allergens or infectious airway disease. Otherwise normal thorax. There is no evidence of cardiovascular disease, pneumonia, or hiatal hernia. Sliding hernia is not ruled out, as it may not be imaged on a static radiographic study._x000D_
2. Normal abdomen.</t>
  </si>
  <si>
    <t>Recommend symptomatic treatment for the cough. Also consider a CBC and blood chemistry profile to rule out a metabolic abnormality as the cause for panting.</t>
  </si>
  <si>
    <t xml:space="preserve">
1.A minimal bronchointerstitial pulmonary pattern has been detected._x000D_
2.The cardiac silhouette size is normal._x000D_
3.There is no evidence of PULMONARY NODULES or PLEURAL EFFUSION.</t>
  </si>
  <si>
    <t xml:space="preserve">Thorax (3 images):
Images are dated August 23, 2024.
Pulmonary parenchyma: A mild diffuse bronchial pattern is present.
Pulmonary vasculature: The pulmonary vasculature are subjectively normal in the periphery of the lungs.  
Cardiac silhouette: The cardiac silhouette is severely enlarged and tall, occupying greater than 2/3 the height of the thorax. The trachea is dorsally displaced. The caudodorsal margin of the cardiac silhouette is flattened. Rounded increased soft tissue is present in the region of the left atrium in the ventrodorsal image. A soft tissue bulge is suspected at the 2-3 o'clock position of the cardiac silhouette (left auricular appendage). The cardiac silhouette is rounded in the region of the right atrium.
Mediastinum: The cranial mediastinum is normal.
Trachea: The trachea is normal.
Esophagus: The esophagus is not well-identified.
Pleural space: The pleural space is normal.
Musculoskeletal: The included musculoskeletal structures are normal.
Limited abdomen:  Mineral is over the right cranioventral liver.  
</t>
  </si>
  <si>
    <t xml:space="preserve">1. Severe left- and suspected right-sided cardiomegaly.
- Differential diagnoses include myxomatous mitral valvular disease with/without tricuspid valvular disease, cor pulmonale/pulmonary hypertension, or unlikely other.
- No current evidence of left-sided congestive heart failure.
2. Mild diffuse bronchial pulmonary pattern such as from fibrosis from prior disease, age-related changes, or less likely infectious/immune-mediated lower airway disease or other.
</t>
  </si>
  <si>
    <t>Echocardiography, blood pressure, and ECG for further evaluation.  Routine blood work if not recently performed. Empirical therapy and supportive care in the interim as needed. If dyspnea manifests, roxygen therapy and diuretic therapy with repeat thoracic radiographs after 4-6 hours to monitor for progression/improvement of the pulmonary pattern.  Monitoring as directed or sooner if clinical signs acutely change, fail to improve or worsen.</t>
  </si>
  <si>
    <t xml:space="preserve">
1.SEVERE INTERSTITIAL TO ALVEOLAR PATTERN; SEVERE DYNAMIC AIRWAY DISEASE; MODERATE BRONCHIAL PATTERN._x000D_
2.Based on these AI airway/pulmonary findings, the probability of this patient having clinically detectable respiratory signs is VERY HIGH (&gt;75%)_x000D_
3.Are respiratory signs present? If YES._x000D_
4.AI linked collapsing airway disease treatment in dogs: https://platform.v2.vetology.net/doc/canine-tracheal-collapse-treatment_x000D_
5.AI linked bacterial pneumonia treatment in dogs: https://platform.v2.vetology.net/doc/pneumonia-in-dogs-and-cats_x000D_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suspected._x000D_
8.Are respiratory signs present? If NO.</t>
  </si>
  <si>
    <t xml:space="preserve">THORAX (4 images):
Images are dated August 23, 2024.
Pulmonary parenchyma: A minimal to mild diffuse bronchial pattern is present.  The lobar airways are small in a dorsoventral dimension in the left lateral compared to the right lateral image.  
Pulmonary vasculature: The pulmonary vasculature is subjectively normal in size and tapers in the periphery of the lungs.
Cardiac silhouette: The cardiac silhouette is moderate to severely tall and occupies 2/3 the height of the thorax.  The caudodorsal margin of the cardiac silhouette is enlarged and rounded.  Severe rounded increased soft tissue is in the region of the left atrium in the ventrodorsal image.  No obvious ventral displacement of the mainstem bronchi.   The cardiac silhouette is widened and occupies the width of 4-4.5 intercostal spaces.  
Mediastinum: The cranial mediastinum is mildly symmetrically widened in the ventrodorsal image.
Trachea: The soft tissue band superimposes over the dorsal aspect of the cervical trachea.  
Esophagus: The esophagus is not well-identified.
Pleural space: The pleural space is normal.
Musculoskeletal: Mineral body in the dorsal cervical soft tissues.  The remaining included musculoskeletal structures are normal.
</t>
  </si>
  <si>
    <t>1. Moderate-severe left-sided and right-sided cardiomegaly such as from myxomatous mitral valvular disease/tricuspid valvular disease, cor pulmonale/pulmonary hypertension, or unlikely other
2. Minimal to mild diffuse bronchial pulmonary pattern due to fibrosis from prior disease, age-related changes, infectious/immune-mediated lower airway disease, or unlikely resolving cardiogenic pulmonary edema or other.
3. Suspected small lobar airways in the left lateral image is such as from dynamic airway disease.
4. Redundant dorsal tracheal membrane versus superimposed normal structures.</t>
  </si>
  <si>
    <t>Echocardiography, blood pressure and eCG for further evaluation.  Routine blood work and urinalysis if not recently performed.  Empirical therapy and supportive care in the interim as needed.  Consider respiratory PCR panel and tracheoscopy/bronchoscopy/fluroscopy for further evaluation of dynamic airway disease contributing to reported clinical signs.  Monitoring as directed or sooner if clinical signs acutely change, fail to improve or worsen.</t>
  </si>
  <si>
    <t xml:space="preserve">
1.Are respiratory signs present? If YES._x000D_
2.Are respiratory signs present? If YES._x000D_
3.Are respiratory signs present? If NO._x000D_
4.AI linked bacterial pneumonia treatment in dogs: https://platform.v2.vetology.net/doc/pneumonia-in-dogs-and-cats_x000D_
5.Are respiratory signs present? If NO._x000D_
6.SEVERE DYNAMIC AIRWAY DISEASE; MODERATE BRONCHOINTERSTITIAL PULMONARY PATTERN; MODERATE ALVEOLAR INFILTRATE or ATELECTASIS._x000D_
7.MODERATE INTERSTITIAL TO ALVEOLAR INFILTRATE; CONCURRENT MODERATE BRONCHIAL PATTERN; MILD PERIHILAR INFILTRATE._x000D_
8.Based on these AI airway/pulmonary findings, the probability of this patient having clinically detectable respiratory signs is HIGH (75%)_x000D_
9.Based on the AI airway/pulmonary findings, the probability of this patient having clinically detectable respiratorysigns is HIGH (75%)_x000D_
10.Pleural fissure lines or moderate to severe pleural effusion has been detected. An overlying skin fold or in an obese animal, excessive pericardial fat could artifactually mimic the result of severe pleural effusion._x000D_
11.Severe cardiomegaly has been detected but Heart Failure is NOT suspected.</t>
  </si>
  <si>
    <t>Opposite lateral and VD views of the thorax are provided._x000D_
_x000D_
The heart is within normal size and shape limits. Pulmonary vessels are normal. Interstitial lung opacity is slightly increased but within the limits of typical age related change. No tracheal abnormalities are identified. The cranial abdominal organs are unremarkable.</t>
  </si>
  <si>
    <t>The respiratory tract is unremarkable. There is no radiographic evidence of cardiac disease._x000D_
The cause of the cough is not apparent in the radiographs._x000D_
Allergic lung disease is most likely responsible for the chronic coughing. Viral tracheobronchitis or aggravation of pre-existing allergic lung disease should be considered as a possible causes of the recent exacerbation.</t>
  </si>
  <si>
    <t>Three radiographs of the thorax are provided. Images dated 1/22/24 were reviewed. The cardiac silhouette is normal size and shape with no chamber enlargement. Pulmonary vessels are normal size. There is a small area of triangular increased opacity overlying caudoventral heart on the right lateral view, with no definitive air bronchograms. This contour was present previously and is likely due to incidental pleural fat deposition. There are mild bronchial markings as before. Possible redundant dorsal trachealis membrane in the cervical region on the left lateral view. Osseous structures are unremarkable.</t>
  </si>
  <si>
    <t>1. Possible dynamic cervical tracheal collapse. This should be correlated with characteristic of the cough and tracheal palpation._x000D_
2. Mild bronchial pattern as before. This may be normal age-related change. Allergic bronchitis can have a similar appearance._x000D_
3. There is no evidence of cardiovascular disease on this study. A small valvular regurgitant jet can result in a relatively loud murmur.</t>
  </si>
  <si>
    <t>A three view study of the thorax is provided for interpretation._x000D_
_x000D_
The heart is within normal size limits overall. There is increased sternal contact in the right lateral view, but no changes suggestive of abnormal heart shape are seen in the other views. The pulmonary vessels are within normal limits. There is a mild bronchial pattern that is not unexpected for the breed. No pleural effusion is seen. The trachea is normal._x000D_
There are many congenital vertebral deformities throughout the thoracic spine, and there is moderate spondylosis in the caudal thoracic region. No destructive bone lesions are seen.</t>
  </si>
  <si>
    <t>The appearance of the cardiopulmonary structures is felt to be within normal limits for the breed.</t>
  </si>
  <si>
    <t>Recheck BNP and radiographs is recommended in six months.</t>
  </si>
  <si>
    <t xml:space="preserve">
1.MODERATE INTERSTITIAL TO ALVEOLAR PATTERN; PULMONARY NODULES OR NODULAR PATTERN; MILD BRONCHITIS; MILD DYNAMIC AIRWAY DISEASE._x000D_
2.Based on the AI airway/pulmonary findings, the probability of this patient having clinically detectable respiratorysigns is MEDIUM to HIGH (50-75%)_x000D_
3.The evaluation has come up positive for a pulmonary nodular pattern._x000D_
4.Are respiratory signs present? If YES._x000D_
5.Are respiratory signs present? If NO._x000D_
6.The cardiac silhouette size is normal.</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</si>
  <si>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Coverage of the left femoral head by its acetabulum is mildly reduced.  Osteophytes are present on the left femoral neck.</t>
  </si>
  <si>
    <t>Radiographically normal abdomen.  A cause for the reported constipation is not identified.  Ultrasonography or CT of the intrapelvic structures could be considered based on the history provided.  Radiographically normal thorax for patient of this age view provided.  Moderate left coxofemoral DJD with subluxation.</t>
  </si>
  <si>
    <t xml:space="preserve">
1.The evaluation has come up positive for a pulmonary nodular pattern._x000D_
2.The cardiac silhouette size is normal._x000D_
3.There is no evidence of ALVEOLAR PATTERN, PERIHILAR INFILTRATE, DYNAMIC AIRWAY COLLAPSE or BRONCHIECTASIS or PLEURAL EFFUSION._x000D_
4.A minimal bronchial pattern has been detected.</t>
  </si>
  <si>
    <t>6 views of the thorax and abdomen are submitted for review.  The stomach is moderately distended with gas and fluid.  A mild to moderate amount of amorphous soft tissue opacity material is noted in the pyloric region of the stomach on the lateral views.  The small intestine is subjectively normal in diameter and also contains a mild amount of gas.  A mild amount of stool is noted in the colon.  The liver is slightly prominent with smooth serosal margins.  The spleen, renal silhouettes, and urinary bladder are within normal limits.  Serosal detail is adequate._x000D_
In the thorax, the cardiac silhouette is subjectively normal in shape and subjectively slightly small in size.  The pulmonary vasculature is normal.  No pulmonary parenchymal abnormalities are seen.  No pleural effusion or intrathoracic lymphadenopathy is noted.  The trachea is normal._x000D_
No osseous abnormalities are seen.</t>
  </si>
  <si>
    <t>The material within the stomach could be consistent with food material, radiolucent foreign material, or admixture of both.  The distention of the stomach could be consistent with gastric ileus as with gastroenteritis and pancreatitis.  I cannot definitively exclude the possibility of dynamic pyloric outflow obstruction._x000D_
Equivocal hepatomegaly.  Differentials include normal variation, mild vacuolar change, inflammation, or less likely neoplasia._x000D_
The subjectively small size of the heart is thought to be most consistent with hypovolemia.  Other causes as with hypoadrenocorticism cannot be definitively excluded.</t>
  </si>
  <si>
    <t>Symptomatic/supportive medical management for pancreatitis and gastroenteritis may be helpful in the short-term.  Correlation with blood work including electrolytes may also be helpful.  An abdominal ultrasound may ultimately be indicated.</t>
  </si>
  <si>
    <t>Eight radiographs are provided, with images of the thorax, abdomen, pelvis, stifles. The cardiac silhouette and pulmonary vessels are normal size and shape. The lungs are clear. Normal tracheal diameter and cranial mediastinal width._x000D_
_x000D_
In the abdomen there is no effusion or organomegaly. The gastrointestinal tract is mildly filled. No radiopaque cystic calculi. No narrowed lumbar intervertebral disc spaces or foramina. The coxofemoral joints are congruent. The left patella is mildly medially displaced. There is moderate volume fluid in the cranial aspect of the right stifle joint. Small volume of fluid in the left stifle. Popliteal lymph nodes are symmetric. The viewable tarsi are unremarkable.</t>
  </si>
  <si>
    <t>1. Bilateral stifle effusion most consistent with cranial cruciate ligament tear/rupture. This is worse on the right and the most likely cause for abnormal gait._x000D_
2. Medial patellar luxation on the left, likely contributing to discomfort. Normal coxofemoral joints._x000D_
3. Normal thorax and abdomen.</t>
  </si>
  <si>
    <t>if lameness persists and there is palpable stifle instability, surgical stabilization would be recommended.</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</si>
  <si>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aspiration pneumonia nor signs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t>
  </si>
  <si>
    <t>Consider abdominal US to further evaluate causes of intermittent vomition.</t>
  </si>
  <si>
    <t xml:space="preserve">
1.Pleural fissure lines or moderate pleural effusion has been detected. An overlying skin fold or in a moderately overweight animal, excessive pericardial fat could artifactually mimic the result of moderate pleural effusion._x000D_
2.Mild cardiomegaly has been detected but Heart Failure is NOT suspected._x000D_
3.A moderate to severe interstitial to alveolar infiltrate with a mild perihilar infiltrate has been identified._x000D_
4.A mild perihilar infiltrate has been identified.</t>
  </si>
  <si>
    <t>3 views of the thorax are provided for review.  The cardiovascular structures are normal.  There is a moderate bronchial pattern in all lung lobes.  The mediastinal and pleural structures are normal.  The trachea is uniform in diameter.  Cranial abdominal detail is adequate.</t>
  </si>
  <si>
    <t>A three view thoracoabdominal study is provided for interpretation._x000D_
_x000D_
In the VD view, there is a subtle but unusual soft tissue shadow in the right cranial abdomen superimposed over the cranial margin of the right kidney in the general area of the descending duodenum. Although a specific corresponding shadow cannot be identified in the lateral views, there is a subtle but ill defined increase in soft tissue opacity just caudal to the body of the stomach in both lateral views. No foreign bodies are identified in the GI tract. No dilation of the stomach or intestine is seen. The liver is moderately enlarged, with mild rounding of the margins. The other organs are within normal limits. Serosal detail in the abdomen is normal._x000D_
_x000D_
The cardiovascular structures are within normal limits. No pulmonary infiltrates or pleural effusion are identified.</t>
  </si>
  <si>
    <t>There is subtle but unusual increase soft tissue opacity in the right cranial abdominal quadrant in the general area of the pancreas and duodenum. The changes are subtle enough to possibly be artifactual, but potential anatomic lesions that should still be ruled out would include a mass or inflammatory lesion involving the pancreas or mass/infiltration involving the duodenum or right adrenal gland._x000D_
_x000D_
Liver enlargement is also present, with a nonspecific overall appearance compatible with any type of diffuse hepatopathy._x000D_
Systemic infectious disease including leptospirosis should also be ruled out, considering the labwork abnormalities.</t>
  </si>
  <si>
    <t>Serology to help rule out leptospirosis is recommended._x000D_
Ultrasound of the abdomen is recommended for more definitive evaluation._x000D_
Supportive care and symptomatic therapy is recommended. Empiric medical management for possible leptospirosis should be considered given the laboratory abnormalities.</t>
  </si>
  <si>
    <t>Eleven radiographs are provided, with images of the thorax, pelvis, and proximal pelvic limbs. The cardiac silhouette and pulmonary vessels are normal size and shape. There is a mild bronchial pattern in the lungs. Fat deposition in the cranial mediastinum. No pleural effusion. Possible redundant dorsal trachealis membrane in the caudal cervical region, of doubtful significance today. No cervical spinal abnormalities. Several congenital vertebral malformations in the mid thoracic spine. Normal proximal thoracic limbs._x000D_
_x000D_
In the viewable abdomen the prostate is mildly enlarged consistent with the reproductive status of this patient. Both coxofemoral joints are wedged in shape, with mild flattened femoral heads. Femoral heads are poorly covered by the dorsal acetabular rims. Pelvic limb musculature is approximately symmetric. Patellar location is normal. There is moderate volume fluid in the cranial and caudal aspect of both stifle joints. No stifle degenerative change or popliteal lymphadenomegaly. The viewable tarsi are unremarkable.</t>
  </si>
  <si>
    <t>1. Bilateral moderate stifle effusion most consistent with cranial cruciate ligament tear/rupture. This is the most likely cause for lameness. Since the effusion is bilateral, an inflammatory process such as rickettsial disease is possible but given much lesser consideration._x000D_
2. Bilateral hip dysplasia with subluxation. This could be contributing to discomfort._x000D_
3. Mild bronchial pattern suggestive of chronic airway inflammation. This is of doubtful clinical significance in the absence of associated respiratory signs. Otherwise normal thorax.</t>
  </si>
  <si>
    <t>If lameness is persistent and there is palpable stifle instability, surgical stabilization of the stifles would be recommended. With the hip dysplasia, also consider neutering this patient.</t>
  </si>
  <si>
    <t xml:space="preserve">
1.A moderate bronchointerstitial pattern with potential areas of alveolar infiltrate, consolidation or pulmonary mass lesion(s) have been identified._x000D_
2.A moderate interstitial to alveolar pattern has been detected._x000D_
3.Moderate to severe bronchointerstitial pulmonary pattern._x000D_
4.MODERATE INTERSTITIAL TO ALVEOLAR PATTERN; MILD PERIHILAR INFILTRATE._x000D_
5.In the PRESENCE of respiratory signs, moderate pneumonitis (aspiration or bacterial  (including Bordatella, Mycoplasma and Wolbachia), allergic, viral, fungal or parasitic (including heartworm pathosis)) would be most likely._x000D_
6.In the ABSENCE of respiratory signs, atelectasis secondary to heavy sedation or anesthesia or a false positive due to a combination of age-related changes, obesity, pulmonary hypoinflation/partial atelectasis and/or overlying soft tissues such as forelimb musculature overlying the cranial thorax would be most likely._x000D_
7.The evaluation has come up positive for a pulmonary nodular pattern._x000D_
8.Pleural fissure lines or moderate to severe pleural effusion has been detected. An overlying skin fold or in an obese animal, excessive pericardial fat could artifactually mimic the result of severe pleural effusion._x000D_
9.Moderate cardiomegaly has been detected but Heart Failure is NOT suspected.</t>
  </si>
  <si>
    <t xml:space="preserve">Five images are provided.
Images are dated August 23, 2024.
No ventrodorsal abdominal image is provided.  
Pulmonary parenchyma: A mild diffuse bronchial pattern is present.
Pulmonary vasculature: The pulmonary vasculature is subjectively normal in size and tapers in the periphery of the lungs.
Cardiac silhouette: The cardiac silhouette is normal in size and shape for the patient breed.
Mediastinum: The cranial mediastinum is mildly symmetrically widened in the ventrodorsal image without obvious increased soft tissue.
Trachea: The trachea has a slight soft tissue band over the caudodorsal trachea.
Esophagus: The esophagus is not well-identified.
Pleural space: Thin pleural fissure lines between the left cranial/caudal lung lobes in the ventrodorsal image.
Liver: The liver is slightly enlarged with a caudoventral margin extending just to the 13th rib level.
Spleen: The spleen is normal in size with smooth margins and homogeneous soft tissue.
Kidneys: The left kidney is normal.  The right kidney is obscured without obvious enlargement or mineral.  
Retroperitoneum: Retroperitoneal detail is adequate.
Urinary bladder/Urethra: The urinary bladder is normal in size, homogeneous soft tissue, and smoothly marginated.
Peritoneum: Peritoneal detail is adequate.
Gastrointestinal tract: The stomach contains a moderate volume of gas and mild fluid. Gas is in the pylorus in the left lateral. The stomach is within normal limits for size. Gastric rugal folds are mildly prominent.
The small intestine contains mild gas and fluid or is empty with a subjectively uniform population for size. 
The colon contains mild to moderate heterogeneous soft tissue material and gas.  The colon is within normal limits for size.  
Musculoskeletal:   Wedge-shaped or narrowed thoracic vertebrae due to breed are at T4 through T10.  Multifocal thoracolumbar and lumbosacral spondylosis deformans is present.  Multifocal lumbar dorsal articular osteoarthrosis is suspected at L4-5, L6-7 and L7-S1.  Caudal vertebral anomalies consistent with patient breed. Coxofemoral joint osteoarthrosis is suspected.  The remaining included musculoskeletal structures are normal.
</t>
  </si>
  <si>
    <t>1. Mild diffuse bronchial pulmonary pattern such as from fibrosis from prior disease, age-related changes, or unlikely infectious/immune-mediated lower airway disease or other.
2. Mild symmetrical cranial mediastinal widening due to fat deposition/breed or unlikely evolving lymphadenomegaly or other.
3. Presumed left pleural thickening, fibrosis or unlikely other.
4. Equivocal hepatomegaly due to artifact/normal variation, vacuolar change, nodular hyperplasia, hepatitis/cholangiohepatitis, evolving neoplasia, or unlikely other.
5. Prominent gastric rugal folds such as from non-specific gastritis versus normal variation.</t>
  </si>
  <si>
    <t>Etiology of reported clinical signs is not definitively identified.  Consider neurologist consultation and MRI for further evaluation of reported seizure activity. Empirical therapy and supportive care in the interim as needed.  Monitoring as directed, or sooner if clinical signs acutely change, fail to improve or worsen.</t>
  </si>
  <si>
    <t xml:space="preserve">
1.Based on the AI airway/pulmonary findings, the probability of this patient having clinically detectable respiratory signs is MEDIUM to HIGH (50%-75%)_x000D_
2.Are respiratory signs present? If NO._x000D_
3.Are respiratory signs present? If YES._x000D_
4.MODERATE BRONCHOINTERSTITIAL PULMONARY PATTERN; MILD PERIHILAR INFILTRATE; MILD DYNAMIC AIRWAY DISEASE; ATELECTASIS or less likely, pneumonia._x000D_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</si>
  <si>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Six images are provided.
Images are dated August 23, 2024.
Bones/Joints:
 There is no evidence of atlantoaxial joint subluxation.
The T12-13 and T13-L1 intervertebral disc spaces are mildly narrowed.  Spondylosis deformans is present at T12-13, T13-L1, L1-2 and L7-S1.  
There is no evidence of mineral over the intervertebral foramina.  There is no evidence of intervertebral dorsal articulation osteoarthrosis.
Mild bilateral coxofemoral joint osteoarthrosis.
There is no evidence of medullary sclerosis, osteolysis, endosteal scalloping, or periosteal proliferation.
Soft tissues:  The included soft tissues are normal.
(amended on 08/24/2024 11:14)
Well-defined, ovoid mineral focus rightward of T13-L1 in the ventrodorsal image.</t>
  </si>
  <si>
    <t>1. T12-13 and T13-L1 intervertebral disc space narrowing, such as from intervertebral disc disease.
2. Mild bilateral coxofemoral joint osteoarthrosis.
(amended on 08/24/2024 11:14)
3. Presumed right-lateralized spondylosis deformans at T13-L1 or unlikely other.</t>
  </si>
  <si>
    <t>Consider neurologist consultation and MRI for further evaluation of the thoracolumbar spine.  Empirical therapy and supportive care in the interim as needed.  Routine blood work to screen for occult systemic disease prior to referral.  Monitoring as directed, or sooner if clinical signs acutely change, fail to improve or worsen.</t>
  </si>
  <si>
    <t>Three radiographs of the thorax are provided. The cardiac silhouette is normal size and shape. There is soft tissue opacity with air bronchograms overlying the ventral heart on the right lateral view, and a small area of air bronchograms overlying the caudal ventral heart on the left lateral view. There is no pleural effusion. Fat deposition is seen caudoventral to the cardiac apex. Scant gas in the esophagus is incidental. Normal cranial abdomen.</t>
  </si>
  <si>
    <t>Bilateral ventral alveolar pattern consistent with aspiration pneumonia.</t>
  </si>
  <si>
    <t>Recommend antibiotics, with repeat radiographs (same three views) upon completion to ensure resolution of pneumonia.</t>
  </si>
  <si>
    <t xml:space="preserve">
1.The cardiac silhouette size is normal._x000D_
2.There is no evidence of DYNAMIC AIRWAY COLLAPSE or BRONCHIECTASIS._x000D_
3.A minimal to mild, diffuse mixed bronchointerstitial pattern with atelectasis or less likely, pneumonia, has been detected._x000D_
4.Based on these AI airway/pulmonary findings, the probability of this patient having clinically detectable respiratory signs is LOW (25%)_x000D_
5.Are respiratory signs present? If YES._x000D_
6.Are respiratory signs present? If NO._x000D_
7.The evaluation has a strong suspicion of pulmonary nodules or mass lesion being present.</t>
  </si>
  <si>
    <t>Opposite lateral and VD thorax views are provided for interpretation._x000D_
_x000D_
The heart is within normal size and shape limits. Pulmonary vessels are normal. There is mild regional bronchial thickening involving the lobar bronchi to the cranial lung lobes and the proximal third of the lobar bronchi to other lobes. The changes are slightly more prominent than typical age related change. No alveolar infiltrates are identified. No pulmonary nodules or pleural effusion are seen. There is a band of opacity consistent with marked redundancy of the dorsal tracheal membrane in the cervical region in the right lateral view that is not appreciated in the left lateral view._x000D_
There is severe narrowing of intervertebral disc spaces in the cervical spine from C2 to C4 and from C6 T1. No destructive bone lesions are seen.</t>
  </si>
  <si>
    <t>Mild thickening of large airway walls is identified, primarily in the cranial lobes. Mild bronchitis is suspected allergic causes or low-grade idiopathic chronic bronchitis is considered most likely. Infectious causes are less likely but cannot be excluded. Parasitic infection such as lungworms or heartworm disease should also be ruled out._x000D_
_x000D_
There is no evidence of significant cardiac chamber dilation._x000D_
_x000D_
Convincing evidence of collapsing trachea is not present, but there is redundant dorsal tracheal membrane that is fairly prominent and could be associated with clinical tracheal collapse that is not apparent in the current study.</t>
  </si>
  <si>
    <t>Symptomatic therapy for probable idiopathic or allergic chronic bronchitis and possible tracheal collapse is recommended.</t>
  </si>
  <si>
    <t>Patient Name : Pearl Chodnicki, Date of study: Aug 23, 2024
7 images are provided for review
There are no previous radiographs for comparison.
Lateral stifle image contains no labels and is presumed the left given reported history.
Bones/Joints:
The coxofemoral joints have no obvious osteoarthrosis.  There is adequate coverage of the femoral heads by the acetabulums.
Mild to moderate left stifle osteoarthrosis is present, with osteophytes at the medial/lateral tibial condyles, medial/lateral femoral condyles, apex of the patella, and fabellae.    Severe increased soft tissue is in the left stifle joint obscuring the infrapatellar fat pad and caudally enlarging the joint pouch.
Mild right stifle osteoarthrosis is present, with osteophytes at the medial/lateral tibial condyles, medial/lateral femoral condyles, and fabellae.   
There is no evidence of medullary sclerosis, osteolysis, endosteal scalloping, or periosteal proliferation.
Soft tissues:  The left thigh soft tissues are slightly smaller compared  to the right. soft tissues a included soft tissues are normal.</t>
  </si>
  <si>
    <t>1. Severe left stifle synovial effusion/proliferation and mild-moderate osteoarthrosis.
- Differential diagnoses include cranial cruciate ligament injury, or unlikely other.
2. Slight left thigh disuse muscle atrophy.
3. Mild right stifle osteoarthrosis.</t>
  </si>
  <si>
    <t>Consider orthopedic consultation and medical versus surgical intervention to the left stifle.  Empirical therapy and supportive care in the interim as needed. Monitoring as directed or sooner if clinical signs acutely change, fail to improve or worsen.</t>
  </si>
  <si>
    <t>A three view study of the thorax is provided for interpretation._x000D_
_x000D_
Mild to moderate diffuse bronchial pattern is identified. There is also mild to moderate bronchial and interstitial mineralization. No alveolar infiltrates are seen. No thoracic lymphadenopathy or pleural effusion is seen. There is mild dynamic narrowing of the cervical trachea, within the limits of benign variation._x000D_
The heart is within normal size limits overall. The right side of the heart appears rounded in the DV view, but no shape changes are appreciated in the lateral views. Pulmonary vessels are normal. No musculoskeletal abnormalities are identified.</t>
  </si>
  <si>
    <t>There is a mild to moderate bronchial pulmonary pattern. The subjective appearance is most typical of chronic allergic or idiopathic bronchitis. Considering the relatively short-term history infectious causes should still be ruled out. No changes concerning for pneumonia or neoplasia are identified.</t>
  </si>
  <si>
    <t>Sampling from the lower airways via BAL/TTW or bronchoscopy should be considered to assist definitive diagnosis._x000D_
Parasitic infection such as lungworms or heartworm disease should be ruled out with appropriate labwork._x000D_
Symptomatic therapy is recommended if no evidence of infectious disease can be documented.</t>
  </si>
  <si>
    <t xml:space="preserve">
1.A mild bronchial pattern has been detected._x000D_
2.The cardiac silhouette size is normal._x000D_
3.There is no evidence of DYNAMIC AIRWAY COLLAPSE or BRONCHIECTASIS.</t>
  </si>
  <si>
    <t>6 images of the thorax and abdomen are presented for review and compared with the study dated 10/5/2023.  The cardiovascular structures are normal.  There is a diffuse interstitial pulmonary pattern that is considered appropriate for the age of the patient.  An approximately 4.1 x 4.7 cm soft tissue mass is present in the right caudal lung lobe (previously 1.7 x 2.2 cm).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</si>
  <si>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Radiographically normal abdomen.  Increased size of the right caudal lung lobe mass concerning for primary pulmonary neoplasia.</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</si>
  <si>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4.Minimal cardiomegaly has been detected but Heart Failure is NOT suspected._x000D_
5.Are respiratory signs present? If NO._x000D_
6.There is no evidence of DYNAMIC AIRWAY COLLAPSE or BRONCHIECTASIS.</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</si>
  <si>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There is spondylosis deformans of the lumbosacral spine.  Consistent narrowing of the intervertebral disc space and spondylosis deformans are present at T12-13.</t>
  </si>
  <si>
    <t>Radiographically normal abdomen.  Lack of specific changes does not rule out pancreatitis or infiltrative neoplasia.  Abdominal ultrasound could be considered based on the history provided.  Radiographically normal thorax for patient of this age.  Echocardiography could be considered in further evaluation of the reported murmur.  Changes at T12-13 suggesting chronic intervertebral disc herniation.</t>
  </si>
  <si>
    <t xml:space="preserve">
1.A mild perihilar infiltrate has been detected._x000D_
2.The cardiac silhouette size is normal._x000D_
3.There is no evidence of BRONCHITIS, DYNAMIC AIRWAY COLLAPSE or BRONCHIECTASIS or PULMONARY NODULES._x000D_
4.A minimal interstitial pattern has been detected._x000D_
5.Pleural fissure lines or small volume pleural effusion has been detected. In a mildly overweight animal, excessive pericardial fat can artifactually mimic the result of minimal pleural effusion.</t>
  </si>
  <si>
    <t xml:space="preserve">THORAX (3 images):
Images are dated August 23, 2024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</si>
  <si>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Minimal-mild diffuse bronchial pulmonary pattern.
- Differential diagnoses include infectious/immune-mediated lower airway disease (mycoplasma spp., bordetella spp., parasitism such as lung worms, or inhaled allergen/irritant), or less likely fibrosis from prior disease or artifact from technique/patient positioning.</t>
  </si>
  <si>
    <t>Consider respiratory PCR panel, airway sampling, and fecal analysis/deworming for further evaluation.  Empirical therapy and supportive care in the interim as needed.  Monitoring as directed or sooner if clinical signs acutely change, fail to improve or worsen.</t>
  </si>
  <si>
    <t>THORAX (3 total radiographs for review). _x000D_
_x000D_
- Mild diffuse bronchial pattern._x000D_
- Moderate, smooth, diffuse soft tissue opaque widening of the cranial mediastinum, without obvious tracheal displacement._x000D_
- Dynamic soft tissue opaque band dorsally overlying the trachea in the region of the thoracic inlet_x000D_
- The cardiac silhouette is generally enlarged with rounded margins_x000D_
- The pulmonary parenchyma is normal_x000D_
- The pleural space is unremarkable._x000D_
- The cranial abdominal structures are normal._x000D_
- The included musculoskeletal structures are unremarkable.</t>
  </si>
  <si>
    <t>1.  This is a challenging case.  The patient=ZZ91=s coughing could be radiographically attributed to the diffuse bronchial pulmonary pattern, which may suggest chronic lower airway disease (such as bronchitis), however can be somewhat expected normal age-related airway changes._x000D_
_x000D_
2.  There is an apparent diffuse widening of the cranial mediastinum that without obvious tracheal displacement could merely be due to a large degree of fat deposition, however the possibility of a mediastinal mass or effusion is also considered. A thoracic CT would be the superior diagnostic modality for further assessment._x000D_
_x000D_
3.  The appearance of the trachea at the level of the thoracic inlet can be compatible with tracheal collapse, secondary to chondromalacia._x000D_
_x000D_
4.  Mild-to-moderate generalized cardiomegaly.  I feel this is most likely to be right-sided cardiomegaly and represent cardiac remodeling secondary to chronic pulmonary arterial hypertension (cor pulmonale) which can be associated with chronic lower airway disease or can be due to primary disease of the pulmonary vasculature.  I would recommend considering careful cardiac auscultation if not are any performed and echocardiography/ECG and cardiologist consultation especially if a murmur is present.</t>
  </si>
  <si>
    <t xml:space="preserve">
1.There is no evidence of PERIHILAR INFILTRATE, PULMONARY NODULES or PLEURAL EFFUSION._x000D_
2.A moderate bronchial pattern has been detected._x000D_
3.Minimal cardiomegaly has been detected but Heart Failure is NOT suspected.</t>
  </si>
  <si>
    <t xml:space="preserve">THORAX (3 images):
Images are dated August 23, 2024.  Ventrodorsal image is mislabeled with a "R" on the left of the patient.
Pulmonary parenchyma: A mild to moderate diffuse bronchial pattern is present. A minimal interstitial pattern is present and the lungs are mildly hypoinflated in the lateral images.  
Pulmonary vasculature: The pulmonary vasculature is subjectively normal in size and tapers in the periphery of the lungs.
Cardiac silhouette: The cardiac silhouette is severely enlarged and tall, occupying greater than 2/3 the height of the thorax.  The trachea is dorsally displaced. The caudodorsal margin of the cardiac silhouette is flattened.  The cardiac silhouette is widened and occupies approximately four intercostal spaces width.   Rounded increased soft tissue is well-defined in the region of the left atrium in the ventrodorsal image.  
Mediastinum: The cranial mediastinum is normal.
Trachea: A soft tissue band superimposes over the caudal cervical trachea.  
Esophagus: The esophagus is not well-identified.
Pleural space: Slightly widened pleural fissure lines that taper in the periphery of the lungs are between the right cranial/middle and subsegments of the left cranial lung in the ventrodorsal image.
Musculoskeletal: T13-L1, L1-2 and L2-3 spondylosis deformans is present. The remaining included musculoskeletal structures are normal.
Limited abdomen:  The liver is enlarged and multiple well-defined mineral foci are superimposed over the right cranioventral liver.  
</t>
  </si>
  <si>
    <t>1. Severe left-sided cardiomegaly and possible right-sided cardiomegaly such as from myxomatous mitral valvular disease with/without tricuspid valvular disease or unlikely other.
-  There is no current evidence of left-sided congestive heart failure.  
2. Mild diffuse bronchial and minimal interstitial pulmonary pattern due to hypoinflation, fibrosis from prior disease, age-related changes, infectious/immune-mediated lower airway disease or unlikely other.
3. Presumed tangential beam artifact, pleural thickening/folding, plate-like atelectasis, or unlikely scant pleural fluid.
4. Hepatomegaly and choleliths.</t>
  </si>
  <si>
    <t>Echocardiography, ECG and blood pressure for further evaluation of reported clinical signs, which may be due to syncopal episodes.  Holter-monitoring may be contributory.  If cardiac disease is ruled out, MRI and neurologist consultation for further evaluation.   Routine blood work and abdominal imaging (radiographs, ultrasonography) if not recently performed.  Empirical therapy and supportive care in the interim as needed.  Monitoring as directed or sooner if clinical signs acutely change, fail to improve or worsen.</t>
  </si>
  <si>
    <t xml:space="preserve">
1.Are respiratory signs present? If NO._x000D_
2.Are respiratory signs present? If NO._x000D_
3.Are respiratory signs present? If YES._x000D_
4.Are respiratory signs present? If YES._x000D_
5.AI linked information on dynamic airway collapse treatment in dogs: https://platform.v2.vetology.net/doc/canine-tracheal-collapse-treatment_x000D_
6.MILD BRONCHOINTERSTITIAL PULMONARY PATTERN WITH ATELECTASIS or LESS LIKELY, PNEUMONIA, MILD PERIHILAR INFILTRATE._x000D_
7.MODERATE DYNAMIC AIRWAY DISEASE; MILD BRONCHOINTERSTITIAL PULMONARY PATTERN; ATELECTASIS or ALVEOLAR INFILTRATE._x000D_
8.Based on these AI airway/pulmonary findings, the probability of this patient having clinically detectable respiratory signs is MEDIUM (50%)_x000D_
9.Probability these AI pulmonary findings will accompany clinically detectable respiratory signs: MILD TO MODERATE (25-50%)_x000D_
10.Pleural fissure lines or small volume pleural effusion has been detected. In a mildly overweight animal, excessive pericardial fat can artifactually mimic the result of minimal pleural effusion._x000D_
11.Severe cardiomegaly has been detected but Heart Failure is NOT suspected.</t>
  </si>
  <si>
    <t>Eight radiographs are provided, with images of the thorax, abdomen, stifles. The cardiac silhouette and pulmonary vessels are normal size and shape. The lungs are clear. Thin increased opacity to the right of the cranial heart on the VD projection is incidental pleural fat deposition. Normal tracheal diameter. No cervicothoracic spinal abnormalities. Proximal thoracic limbs are unremarkable._x000D_
_x000D_
In the abdomen formed feces fills the colon. The stomach and small bowel are minimally filled. Normal-sized kidneys, spleen, liver. No radiopaque cystic calculi. No lumbar spinal abnormalities. The coxofemoral joints are congruent. Patella location is normal. There is scant fluid in the cranial aspect of the right stifle joint. Well delineated soft tissue density in the left stifle is likely normal meniscal tissue.</t>
  </si>
  <si>
    <t>Scant right stifle effusion suggestive of partial cranial cruciate ligament tear. This is the only abnormality identified that could explain the discomfort. A non-mineralized intervertebral disc protrusion/extrusion remains possible. Normal left stifle, both coxofemoral joints, abdomen, thorax.</t>
  </si>
  <si>
    <t>Current diagnostics are appropriate. This patient may benefit from anti-inflammatories.</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</si>
  <si>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contusions. No signs of rib fractures, pneumothorax or pleural effusion._x000D_
Mediastinum and diaphragm are within normal limits._x000D_
No signs of SC emphysema or swelling from penetrating wounds._x000D_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WNL._x000D_
_x000D_
The left femur is abnormally craniodorsally displaced with a questionable bony fragment cranial to it superimposed with the colon. Prior FHO in the femoral neck._x000D_
Pelvis is unremarkable._x000D_
Visible spine is unremarkable without signs of disc herniation, vertebral fractures or subluxations.</t>
  </si>
  <si>
    <t>1) Unremarkable thorax and abdomen._x000D_
2) Craniodorsal displacement of the left femur: rule out fractura of its proximal aspect with a displaced fragment and muscular avulsion of the proximal left hind limbs muscles.</t>
  </si>
  <si>
    <t>Consider a neuro exam and an orthopedic exam under sedation.</t>
  </si>
  <si>
    <t xml:space="preserve">
1.Are respiratory signs present? If NO._x000D_
2.Are respiratory signs present? If NO._x000D_
3.Are respiratory signs present? If NO._x000D_
4.Mild cardiomegaly has been detected but Heart Failure is NOT suspected._x000D_
5.MINIMAL to MILD BRONCHOINTERSTITIAL PULMONARY PATTERN; MILD DYNAMIC AIRWAY DISEASE; FOCAL ATELECTASIS, or less likely, ALVEOLAR INFILTRATE._x000D_
6.MINIMAL to MILD BRONCHOINTERSTITIAL PULMONARY PATTERN; MILD DYNAMIC AIRWAY DISEASE; MILD PERIHILAR INFILTRATE._x000D_
7.MILD DYNAMIC AIRWAY DISEASE; MINIMAL INTERSTITIAL TO ALVEOLAR PATTERN; MILD PERIHILAR INFILTRATE._x000D_
8.MILD BRONCHOINTERSTITIAL PATTERN; MILD PERIHILAR INFILTRATE._x000D_
9.Based on these AI airway/pulmonary findings, the probability of this patient having clinically detectable respiratory signs is LOW to MEDIUM (25-50%)_x000D_
10.Based on the AI airway/pulmonary findings, the probability of this patient having clinically detectable respiratory signs is LOW to MEDIUM (25%-50%)_x000D_
11.Based on the AI airway/pulmonary findings, the probability of this patient having clinically detectable respiratory signs is LOW to MEDIUM (25-50%)_x000D_
12.Based on these AI airway/pulmonary findings, the probability of this patient having clinically detectable resspiratory signs is LOW (25%)_x000D_
13.Are respiratory signs present? If YES._x000D_
14.Are respiratory signs present? If YES._x000D_
15.Are respiratory signs present? If YES._x000D_
16.Are respiratory signs present? If YES._x000D_
17.Are respiratory signs present? If NO.</t>
  </si>
  <si>
    <t>Orthogonal views of the thorax are provided:_x000D_
_x000D_
Thorax:_x000D_
_x000D_
There is moderate to severe left atrium enlargement that dorsally displaces the carina, producing an overall severe cardiomegaly._x000D_
The pulmonary veins are in the upper limit of size. However, there is a peri-hilar and ill defined cauododorsal interstitial pulmonary pattern._x000D_
Normal mediastinum, diaphragm and thoracic wall._x000D_
_x000D_
Liver extends beyond the costal arch with sharp margins.</t>
  </si>
  <si>
    <t>1) Cardiomegaly (left sided) along with a peri-hilar and ill defined cauododorsal interstitial pulmonary pattern. Findings consistent with left sided congestive heart failure secondary to chronic mitral endocardiosis. Rule out tricuspid endocardiosis with post-capillary pulmonary hypertension._x000D_
2) Hepatomegaly: Early right sided congestive heart failure vs Metabolic vs Vacuolar infiltration vs Hepatic nodular hyperplasia vs Inflammatory vs Toxic vs Neoplastic or a combination of these differentials.</t>
  </si>
  <si>
    <t xml:space="preserve">
1.SEVERE ALVEOLAR PATTERN; PLEURAL EFFUSION or PLEURAL FISSURE LINES; MODERATE DYNAMIC AIRWAY DISEASE; MILD, DIFFUSE BRONCHOINTERSTITIAL PULMONARY PATTERN._x000D_
2.Based on the AI airway/pulmonary findings, the probability of this patient having clinically detectable respiratory signs is VERY HIGH (&gt;75%)_x000D_
3.Are respiratory signs present? If NO._x000D_
4.Are respiratory signs present? If YES._x000D_
5.Moderate dynamic airway disease has been detected._x000D_
6.A moderate bronchointerstitial pattern, regions of alveolar infiltrate, a mild perihilar infiltrate and concurrent dynamic airway disease (see #2) have been detected._x000D_
7.Severe cardiomegaly has been detected but Heart Failure is NOT suspected.</t>
  </si>
  <si>
    <t>A three view study of the thorax is provided for interpretation. The studies compared to the previous dated 7-25-24._x000D_
_x000D_
Severe heart enlargement is identified. The heart shape is consistent with left sided chamber dilation, and is similar to the previous study. There is a subtle nodular shadow at the caudal aspect of the left atrial bulge in the left lateral view that is more prominent than what was seen in the previous study. There is also a bulge at the right side of the caudal vena cava shadow in the VD view. This was also present in the previous study and is could be an artifact caused by bending of the cava, but the possibility of a pulmonary nodule causing the shadows should also be considered._x000D_
There is a mild diffuse bronchointerstitial pattern, which is slightly improved relative to the previous radiographs. The dynamic narrowing of the caudal lobe bronchus described in the previous report is again identified in the left lateral view. There is mild redundant dorsal tracheal membrane, without significant tracheal narrowing. There is moderate hepatomegaly.</t>
  </si>
  <si>
    <t>No changes indicative of heart failure are identified in this study. The mild bronchointerstitial pattern is mildly improved, which could indicate resolution of inflammatory changes or improvement a mild interstitial edema. It could also be artifactual improvement due to the lack of motion blurring in the current radiographs that was present in the previous study._x000D_
_x000D_
Dynamic narrowing of the mainstem bronchi suspected to be contributing to the cough._x000D_
A component of mild idiopathic or allergic chronic bronchitis also cannot be excluded._x000D_
_x000D_
There is a subtle but unusual soft tissue shadow seen in the caudal aspect of the left atrium in the left lateral view, and at the lateral aspect of the caudal vena cava in the VD view. This could easily be an artifactual change. Although not considered likely there remain some potential that this shadow actually represents a nodular pulmonary lesion. CT would be necessary for more definitive evaluation.</t>
  </si>
  <si>
    <t>Symptomatic therapy for the cough is recommended._x000D_
_x000D_
Continuation of the current cardiac medical regimen is recommended._x000D_
_x000D_
A recheck a three view radiographic study is recommended in 2 to 3 months.</t>
  </si>
  <si>
    <t xml:space="preserve">
1.A mild perihilar infiltrate has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4.A moderate to severe, diffuse mixed bronchointerstitial pattern with concurrent dynamic airway disease has been detected._x000D_
5.Severe dynamic airway disease has been identified._x000D_
6.The evaluation has come up positive for a pulmonary nodular pattern.</t>
  </si>
  <si>
    <t xml:space="preserve">Nine images are provided.
Images are dated August 23, 2024.
Pulmonary parenchyma: A mild diffuse bronchial pattern is present.
Pulmonary vasculature: In the ventrodorsal image, a right caudal lobar pulmonary artery is enlarged and tubular, with a truncated portion at the level of the 8th intercostal space.
Cardiac silhouette: The cardiac silhouette is has a subjectively prominent right margin in the ventrodorsal image, with a slight "reverse D" shape.  The cardiac silhouette is subjectively normal in the lateral images.  
Mediastinum: The cranial mediastinum is normal.
Trachea: The trachea is normal.
Esophagus: The esophagus is not well-identified.
Pleural space: The pleural space is normal.
Bones/Joints:
The coxofemoral joints have no obvious osteoarthrosis.  There is adequate coverage of the femoral heads by the acetabulums.
Moderate left stifle osteoarthrosis is present, with osteophytes at the medial/lateral femoral condyles, femoral trochlear ridges, fabellae, and apex of the patella.  The left lateral fabella is suspected to be multipartite. The left patella is laterally luxated in the craniocaudal image, and superimposed over the cranial aspect of the stifle joint intermittently in the lateral images.  Moderate increased soft tissue in the left stifle joint partially obscures the infrapatellar fat pad. 
The included left tarsus, metatarsus and digits are normal.
Mild to moderate right stifle osteoarthrosis is present, with osteophytes at the medial/lateral femoral condyles, femoral trochlear ridges, fabellae, and apex of the patella.   Moderate to severe increased soft tissue in the left stifle joint partially obscures the infrapatellar fat pad.  Two lucent drill tracts are in the right proximal tibia, and a well-defined metal surgical clip is lateral to the right stifle, consistent with prior extra-capsular stabilization.  
The included portion of the lumbar spine is normal.
There is no evidence of medullary sclerosis, osteolysis, endosteal scalloping, or periosteal proliferation.
Soft tissues:  The included soft tissues are normal.
</t>
  </si>
  <si>
    <t xml:space="preserve">1. Mild-moderate right stifle osteoarthrosis and with moderate-severe synovial effusion/proliferation.
- This may be due to chronic or acute-on-chronic injury to the cranial cruciate ligament, medial meniscus or unlikely other.
2. Prior right-sided extra-capsular stabilization for presumed cranial cruciate ligament injury.
3. Equivocal right-sided cardiomegaly versus artifact from positioning/technique.
- Given reported history, this is suspicious for underlying heartworm disease/pulmonary hypertension/cor pulmonale.
4. Mild right caudal lobar pulmonary artery enlargement such as from reported heartworm disease and pulmonary hypertension
5. Mild diffuse bronchial pattern such as from pneumonitis secondary to concurrent heartworm disease or less likely primary infectious/immune-mediated lower airway disease, fibrosis from prior disease, age-related changes, a combination of these, or unlikely other.
6. Transient left lateral patellar luxation.
7. Moderate left stifle osteoarthrosis and with mild synovial effusion/proliferation such as from prior cranial cruciate ligament injury.
</t>
  </si>
  <si>
    <t>Consider echocardiography, eCG and blood pressure for further evaluation of the heart.   Heartworm adulticide protocol if desired, depending on results of additional diagnostics. Orthopedist consultation for further evaluation of the right stifle, and consider surgical revision versus medical therapy.  MRI may be contributory for further evaluation of the stifle prior to surgical intervention.  Intervention for left lateral patella luxation/cruciate ligament injury if clinically indicated.  Empirical therapy and supportive care in the interim as needed.  Monitoring as directed, or sooner if clinical signs acutely change, fail to improve or worsen.</t>
  </si>
  <si>
    <t>A lateral radiograph of the neck, four views of the thorax, and two lateral views of the abdomen are provided. Thoracic images dated 5/28/24 are available for comparison. The pharyngeal/laryngeal region is unremarkable. Incidental block vertebra at C3-4. Tracheal diameter and position are normal. The cardiac silhouette and pulmonary vessels are normal size and shape. There are mild age-related changes in the lungs. On the left lateral view, there is a small area of suspect air bronchograms overlying the cardiac apex. This is near an area of superimposed ribs, and is not seen on the other two projections. No soft tissue pulmonary nodules or pleural effusion. Small round increased opacities adjacent to the tracheal bifurcation on the lateral views are end-on pulmonary vessels. No esophageal dilation._x000D_
_x000D_
In the abdomen there is no effusion or organomegaly. The gastrointestinal tract is mildly filled. Spondylosis deformans is likely incidental.</t>
  </si>
  <si>
    <t>Possible focal aspiration pneumonia in the right middle lung lobe. Otherwise normal thorax, cervical tissues, and abdomen.</t>
  </si>
  <si>
    <t>Recommend routine blood work to rule out a metabolic abnormality. If the patient is febrile, coughing, or has elevated white blood cell count, antibiotics would be recommended.</t>
  </si>
  <si>
    <t xml:space="preserve">
1.A minimal to mild bronchointerstitial pulmonary pattern has been detected._x000D_
2.The evaluation has come up positive for a pulmonary nodular pattern._x000D_
3.The cardiac silhouette size is normal._x000D_
4.There is no evidence of PERIHILAR INFILTRATE, DYNAMIC AIRWAY COLLAPSE or BRONCHIECTASIS or PLEURAL EFFUSION.</t>
  </si>
  <si>
    <t>A lateral radiograph of the neck and four views of the thorax are provided. Images dated 6/5/24 are available for comparison. No laryngeal/pharyngeal abnormalities. Soft tissue thickening immediately dorsal to the larynx is incidental cricopharyngeal sphincter. Normal tracheal diameter and position. The cardiac silhouette and pulmonary vessels are normal size and shape. There are no abnormalities in the pulmonary parenchyma today. There are a few incidental pulmonary osteomas. Thin transverse sclerotic bands in the costal cartilages is incidental. No pleural effusion. In the cranial abdomen, the liver is moderately enlarged with smooth margins, similar to the previous study. Normal-sized spleen and kidneys. There is no effusion.</t>
  </si>
  <si>
    <t>1. Normal thorax and cervical tissues._x000D_
2. Moderate hepatomegaly, most likely steroid or other hepatopathy. This may be responsible for the panting.</t>
  </si>
  <si>
    <t>Recommend a CBC and blood chemistry profile, and visual inspection of the pharyngeal/laryngeal region. Ultrasound evaluation of the liver and adrenal glands should be considered.</t>
  </si>
  <si>
    <t xml:space="preserve">
1.Are respiratory signs present? If NO._x000D_
2.Are respiratory signs present? If NO._x000D_
3.The cardiac silhouette size is normal._x000D_
4.There is no evidence of DYNAMIC AIRWAY COLLAPSE or BRONCHIECTASIS._x000D_
5.MILD BRONCHIAL PATTERN; MILD PERIHILAR PATTERN._x000D_
6.MILD BROCHIAL/BRONCHOINTERSTITIAL PULMONARY PATTERN._x000D_
7.Based on these AI airway/pulmonary findings, the probability of this patient having clinically detectable respiratory signs is LOW (25%)_x000D_
8.Based on these AI airway/pulmonary findings, the probability of this patient having clinically detectable respiratorysigns is LOW (25%)_x000D_
9.Are respiratory signs present? If YES._x000D_
10.Are respiratory signs present? If YES.</t>
  </si>
  <si>
    <t>Orthogonal views of the thorax are provided:_x000D_
_x000D_
Thorax:_x000D_
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t>
  </si>
  <si>
    <t xml:space="preserve">
1.Are respiratory signs present? If NO._x000D_
2.Based on the AI airway/pulmonary findings, the probability of this patient having clinically detectable respiratory signs is MEDIUM to HIGH (50%-75%)_x000D_
3.Are respiratory signs present? If YES._x000D_
4.MODERATE BRONCHOINTERSTITIAL PULMONARY PATTERN; MILD DYNAMIC AIRWAY DISEASE; ATELECTASIS or less likely, pneumonia; MINIMAL PERIHILAR INFILTRATE._x000D_
5.Pleural fissure lines or small volume pleural effusion has been detected. In a mildly overweight animal, excessive pericardial fat can artifactually mimic the result of minimal pleural effusion._x000D_
6.Moderate cardiomegaly has been detected but Heart Failure is NOT suspected.</t>
  </si>
  <si>
    <t>Orthogonal radiographs of the thorax and of the abdomen are provided. The cardiac silhouette and pulmonary vessels are normal size and shape. There are faint bronchial markings consistent with age. Thin flat soft tissue opacity ventral to the thoracic trachea is incidental platelike atelectasis. Small round soft tissue density in the left 5th intercostal space on the VD projection is superimposed nipple. No pleural effusion._x000D_
_x000D_
In the abdomen the liver, spleen, and kidneys are normal size. The gastrointestinal tract is mildly filled. No radiopaque urolithiasis. There is a well-defined round spiculated 5.1 cm mineral opaque mass in the caudoventral extra-abdominal tissues. Similar 2.5 cm mineralized mass in the cranioventral right extra-abdominal tissues. No significant osseous abnormalities.</t>
  </si>
  <si>
    <t>1. Mineralized extra-abdominal masses, most likely neoplasia such as mammary carcinoma. No intra-abdominal abnormalities._x000D_
2. Normal thorax.</t>
  </si>
  <si>
    <t xml:space="preserve">
1.MILD INTERSTITIAL to ALVEOLAR INFILTRATE; MILD PERIHILAR INFILTRATE._x000D_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DYNAMIC AIRWAY COLLAPSE or BRONCHIECTASIS, PULMONARY NODULES or PLEURAL EFFUSION.</t>
  </si>
  <si>
    <t>Thirteen radiographs are provided, with images of the thorax, abdomen, and pelvis/proximal pelvic limbs. The cardiac silhouette and pulmonary vessels are normal size. There are no abnormalities in the pulmonary parenchyma. No pleural fluid or gas. The diaphragm is intact. No rib fractures or cervicothoracic spinal abnormalities. Normal proximal thoracic limbs._x000D_
_x000D_
In the abdomen peritoneal and retroperitoneal detail is adequate. The urinary bladder is well delineated and mildly filled. Normal-sized kidney, spleen, liver. Moderate volume soft tissue opaque ingesta in the stomach. The intestines are mildly filled. Lumbar vertebral alignment is normal and there are no narrowed intervertebral disc spaces or foramina. The sacroiliac and coxofemoral joints are congruent. No pelvic fractures. Pelvic limb musculature is symmetric. No pelvic limb fractures.</t>
  </si>
  <si>
    <t>Normal thorax, abdomen, pelvis. There is no evidence of trauma on this study.</t>
  </si>
  <si>
    <t>No recommendations based on this study.</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</si>
  <si>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(except for the right 7th rib which is abnormally medially displaced leading to an extra pleural sign)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t>
  </si>
  <si>
    <t>Consider a LL view for c complete rule out of pulmonary metastases. Given the lack of cardiomegaly but audible murmur, consider a cardiology consultation with ECG and echocardiogram.</t>
  </si>
  <si>
    <t xml:space="preserve">
1.Mild cardiomegaly has been detected but Heart Failure is NOT suspected._x000D_
2.There is no evidence of PULMONARY NODULES or PLEURAL EFFUSION._x000D_
3.MILD BRONCHOINTERSTITIAL PULMONARY PATTERN; MILD DYNAMIC AIRWAY DISEASE; MINIMAL PERIHILAR INFILTRATE._x000D_
4.Based on these AI airway/pulmonary findings, the probability of this patient having clinically detectable respiratory signs is MEDIUM (50%)_x000D_
5.Are respiratory signs present? If YES._x000D_
6.Are respiratory signs present? If NO.</t>
  </si>
  <si>
    <t>Three radiographs of the thorax and three views of the abdomen are provided. Images dated August 26, 2020 are available for comparison. The cardiac silhouette and pulmonary vessels are normal size and shape. There are no abnormalities in the pulmonary parenchyma or pleural space. Possible redundant dorsal trachealis membrane in the cervical region on the left lateral view, of uncertain significance today. No esophageal dilation._x000D_
_x000D_
In the abdomen the liver is upper normal size, increase in size compared to the previous study. Hepatic margins are smooth. Normal size kidneys and spleen. The stomach is nondistended. Small bowel are mildly filled with fluid and gas. There is gas in the cecum and proximal colon, with formed feces in the distal colon. No radiopaque foreign material or cystic calculi. Osseous structures are unremarkable.</t>
  </si>
  <si>
    <t>The liver is upper normal size, and is larger than on the previous study. This may be due to acute hepatic inflammation, hepatopathy, or neoplasia. Otherwise normal abdomen and thorax. There is no evidence of gastrointestinal obstruction.</t>
  </si>
  <si>
    <t xml:space="preserve">
1.The cardiac silhouette size is normal._x000D_
2.There is no evidence of ALVEOLAR PATTERN, PERIHILAR INFILTRATE, PULMONARY NODULES or PLEURAL EFFUSION._x000D_
3.A minimal bronchial pattern has been detected.</t>
  </si>
  <si>
    <t>5 views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moderate amount of food-like material.  The small bowel is normal and uniform in diameter.  A mild to moderate amount of stool is noted in the colon.  The liver is normal in size and shape.  An ill-defined soft tissue opacity mass effect is noted in the cranioventral abdomen, in the region of the tail of the spleen on the lateral view.  This may correspond to ill-defined soft tissue opacity shadow in the right cranial abdomen on the VD view.  The spleen is otherwise not well-defined.  The renal silhouettes are normal in size and shape.  A small mineral opacity structure is noted in the extreme caudal abdomen on the lateral view, ventral to the plane of the descending colon.  There is generalized decreased serosal detail throughout the abdomen.</t>
  </si>
  <si>
    <t>The decreased serosal detail is consistent with mild to moderate peritoneal effusion.  This could be associated with inflammation, paraneoplastic disease, or possibly hemorrhage.  A suspected mass effect in the cranioventral abdomen may be associated with a splenic mass or mass of other regional origin._x000D_
The small mineral opacity structure in the caudal abdomen, ventral to the colon is of unknown etiology and doubtful significance._x000D_
Radiographically normal thorax.</t>
  </si>
  <si>
    <t>Orthogonal radiographs of the thorax are provided. A previous study dated August 12, 2024 was reviewed (Case ID number 273-3261). The cardiac silhouette is normal size and shape. No abnormalities are appreciated in the pulmonary parenchyma. There is no pleural effusion. Redundant dorsal trachealis membrane causes moderate narrowed cervical trachea. No esophageal dilation. Normal cranial abdomen.</t>
  </si>
  <si>
    <t>Cervical tracheal collapse. This is most likely cause for her current coughing. There are no intrathoracic abnormalities. No evidence of pneumonia today.</t>
  </si>
  <si>
    <t>Recommend utilization of a body harness in place in the next week, and symptomatic treatment for the cough.</t>
  </si>
  <si>
    <t xml:space="preserve">
1.There is no evidence of BRONCHITIS, ALVEOLAR PATTERN, PERIHILAR INFILTRATE or PULMONARY NODULES._x000D_
2.Mild dynamic airway disease has been detected._x000D_
3.Moderate cardiomegaly has been detected but Heart Failure is NOT suspected.</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</si>
  <si>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gas._x000D_
Small intestines are mildly gas and fluid filled, not overtly distended. No signs of mechanical ileus._x000D_
Unformed feces in the colon._x000D_
Serosal detail is preserved._x000D_
Liver extends beyond the costal arch with rounded margins._x000D_
Spleen is within normal limits of size and smoothly marginated._x000D_
Kidneys and urinary bladder WNL._x000D_
Oval swelling in the distal and caudal aspect of the right inguinal region.</t>
  </si>
  <si>
    <t>1) Unremarkable thorax without signs of pulmonary metastases nor signs of thoracic lymphadenopathy._x000D_
2) Hepatomegaly: Metabolic vs Vacuolar infiltration vs Hepatic nodular hyperplasia vs Inflammatory vs Toxic vs Neoplastic or a combination of these differentials._x000D_
3) Oval swelling in the distal and caudal aspect of the right inguinal region. Ddx: cyst vs granuloma. A cystic neoplasm is unlikely.</t>
  </si>
  <si>
    <t>Consider abdominal US to further evaluate the liver and this cystic mass with centesis, cytology and culture.</t>
  </si>
  <si>
    <t xml:space="preserve">SPINE (6 images):
Images are dated August 22, 2024.
Bones/Joints:
Ill-defined mineral is suspected superimposed over the cranioventral aspect of the L4-5 intervertebral foramina.
Minimal spondylosis deformans is at T4-5, and T6-7.
There is no evidence of intervertebral disc space narrowing.  There is no evidence of intervertebral dorsal articulation osteoarthrosis.
There is no evidence of medullary sclerosis, osteolysis, endosteal scalloping, or periosteal proliferation.
Soft tissues:  The included soft tissues are normal.
</t>
  </si>
  <si>
    <t>1. Possible mineralized disc material over the L4-5 intervertebral foramina, versus artifact or superimposition.</t>
  </si>
  <si>
    <t xml:space="preserve">Etiology of reported pain is not definitively identified, but could be due to occult intervertebral disc disease.  Consider neurologist consultation and possibly MRI for further evaluation of pain.  If pain is later localized to a specific region of interest (hips, stifles, etc) consider focused radiographs of that region for further evaluation.  Empirical therapy and supportive care in the interim as needed.  </t>
  </si>
  <si>
    <t xml:space="preserve">
1.A mild interstitial pattern has been detected._x000D_
2.Severe cardiomegaly has been detected but Heart Failure is NOT suspected._x000D_
3.There is no evidence of BRONCHITIS, DYNAMIC AIRWAY COLLAPSE or BRONCHIECTASIS or PULMONARY NODULES.</t>
  </si>
  <si>
    <t xml:space="preserve">THORAX (3 images):
Images are dated August 22, 2024.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Suspected ventral extra-thoracic nipple is over the right caudal lung /9th intercostal space in the ventrodorsal image.  The remaining included musculoskeletal structures are normal.
</t>
  </si>
  <si>
    <t xml:space="preserve">1. Minimal-mild diffuse bronchial pulmonary pattern.
- Differential diagnoses include fibrosis from prior disease, age-related changes or unlikely infectious/immune-mediated lower airway disease or other.
2. No obvious pulmonary soft tissue nodules or intra-thoracic lymphadenomegaly.  </t>
  </si>
  <si>
    <t>Empirical therapy and supportive care in the interim as needed. Monitoring as directed or sooner if clinical signs acutely change, fail to improve or worsen.</t>
  </si>
  <si>
    <t>Study:_x000D_
Thoracic radiography: right lateral and orthogonal views (two images) dated August 22, 2024_x000D_
_x000D_
Compared to prior study dated December 27, 2022_x000D_
_x000D_
Findings:_x000D_
There is progressive cardiomegaly characterized by severe biventricular, left auricular and left atrial enlargement. The pulmonary vasculature is normal in size. The lungs are hyperinflated. The pulmonary parenchyma is is unremarkable. The pleural space is normal. There is no intrathoracic lymphadenopathy. The larynx is normal. The trachea is normal in diameter. There is no apparent lobar bronchi narrowing. The included abdomen is unremarkable. No skeletal abnormalities are present.</t>
  </si>
  <si>
    <t>1. Progressive severe biventricular cardiomegaly likely both mitral and tricuspid valve disease, without evidence of decompensation. If not recently performed, echocardiography should be considered for further evaluation._x000D_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airway sampling plus/minus heartworm testing and Baermann fecal flotation can be considered to further evaluate the reported coughing.</t>
  </si>
  <si>
    <t xml:space="preserve">
1.Pleural fissure lines or small volume pleural effusion has been detected. In a mildly overweight animal, excessive pericardial fat can artifactually mimic the result of minimal pleural effusion._x000D_
2.Severe cardiomegaly has been detected but Heart Failure is NOT suspected._x000D_
3.Are respiratory signs present? If NO._x000D_
4.Are respiratory signs present? If YES._x000D_
5.MILD BRONCHOINTERSTITIAL PULMONARY PATTERN; MILD DYNAMIC AIRWAY DISEASE._x000D_
6.Based on these AI airway/pulmonary findings, the probability of this patient having clinically detectable respiratory signs is LOW to MEDIUM (25-50%)</t>
  </si>
  <si>
    <t xml:space="preserve">THORAX (3 images):
Images are dated August 22, 2024.
An additional image is attached to case 2741827 dated the same day.  
Pulmonary parenchyma: A mild diffuse bronchial pattern is present.  A minimal interstitial pattern is present and the lungs are hypoinflated.  A transient interstitial pattern is present in the hypoinflated right lateral image, and the suspected left lobar bronchi are narrowed in a dorsoventral dimension.  
Pulmonary vasculature: The pulmonary vasculature is subjectively normal in size and tapers in the periphery of the lungs.
Cardiac silhouette: The cardiac silhouette is slightly tall and occupies 2/3 the height of the thorax.  The trachea is slightly dorsally displaced.  The caudodorsal margin of the cardiac silhouette is slightly flattened.  Possible increased soft tissue in the region of the left atrium in the ventrodorsal image.  
Mediastinum: The cranial mediastinum is normal.
Trachea: A soft tissue band partially superimpose over the dorsal margin of the cervical trachea.  
Esophagus: The esophagus is not well-identified.
Pleural space: The pleural space is normal.
Musculoskeletal: Multifocal thoracolumbar spondylosis deformans is present.  The remaining included musculoskeletal structures are normal.
</t>
  </si>
  <si>
    <t xml:space="preserve">1. Suspected left lobar bronchial narrowing such as from dynamic airway disease, with slight dorsal redundant tracheal membrane.
2. Equivocal left-sided cardiomegaly versus artifact from phase of the cardiopulmonary cycle.
- If present, consider myxomatous mitral valvular disease and insufficiency or unlikely other.
- There is no current evidence of left-sided congestive heart failure.
3. Mild diffuse bronchial pulmonary pattern due to infectious/immune-mediated lower airway disease (mycoplasma spp., bordetella spp., parasitism such as lung worms, or less likely other), fibrosis from prior disease, age-related changes, or unlikely other.
  </t>
  </si>
  <si>
    <t>Consider echocardiography, ECG and blood pressure for further evaluation, especially if a murmur is identified.  Consider fluoroscopy/tracheoscopy/bronchoscopy for further evaluation of dynamic airway disease.  Consider airway sampling and respiratory PCR panel, as well as routine blood work and fecal analysis/empirical deworming.  Empirical therapy and supportive care in the interim as needed.  Monitoring as directed or sooner if clinical signs acutely change, fail to improve or worsen.</t>
  </si>
  <si>
    <t xml:space="preserve">
1.A minimal bronchointerstitial pulmonary pattern has been detected._x000D_
2.The cardiac silhouette size is normal._x000D_
3.There is no evidence of PERIHILAR INFILTRATE or PLEURAL EFFUSION.</t>
  </si>
  <si>
    <t>Study:_x000D_
Eight images that include the thorax, shoulder joints, left elbow, pelvis and pelvic limbs dated August 22, 2024_x000D_
_x000D_
Findings:_x000D_
_x000D_
Musculoskeletal:_x000D_
The glenohumeral joints are unremarkable with smoothly marginated articular surfaces. The left elbow joint is congruent. The anconeal process is appropriately fused. There is severe left elbow periarticular bone formation. The included left carpus is normal. There is severe bilateral hip dysplasia and moderate to severe secondary remodeling/thickening of the femoral head/neck and mild acetabular periarticular bone formation. The patella is in the correct anatomic location bilaterally. There is increased soft tissue opacity within the cranial and caudal aspect of the stifle joint space bilaterally, severe on the right and moderate on the left. There is bilateral stifle periarticular bone formation, moderate on the right and mild on the left. There is mild right tarsocrural periarticular information. Mild periarticular information is present along the dorsal aspect of the tarsometatarsal joints bilaterally. The image spine is unremarkable with no intervertebral disc space or foraminal narrowing._x000D_
_x000D_
Thorax:_x000D_
The cardiac silhouette and pulmonary vasculature are normal in size. The pulmonary parenchyma is unremarkable. The pleural space is normal. There is no intrathoracic lymphadenopathy. The trachea is normal in diameter and course. The tail the spleen appears enlarged on the lateral projection timestamped 3:24 PM.</t>
  </si>
  <si>
    <t>1. Severe bilateral hip dysplasia and moderate to severe secondary osteoarthrosis._x000D_
2. The bilateral stifle joint effusion/capsular thickening and osteoarthrosis (worse on the right) likely indicate bilateral cranial cruciate plus/minus meniscal injury. Orthopedic consultation surgical stabilization can be considered._x000D_
3. Severe left elbow osteoarthrosis._x000D_
4. Mild right tarsocrural osteoarthrosis._x000D_
5. Mild bilateral tarsometatarsal osteoarthrosis._x000D_
6. Unremarkable thorax._x000D_
7. The generalized splenomegaly is nonspecific. Rule out extramedullary hematopoiesis, lymphoid hyperplasia, splenitis, congestion (of higher priority if sedated for radiographs) or infiltrative neoplasia. Sonography can be considered for further evaluation if clinically relevant.</t>
  </si>
  <si>
    <t xml:space="preserve">
1.A mild perihilar infiltrate has been detected._x000D_
2.SEVERE BRONCHIAL PATTERN; MILD INTERSTITIAL PULMONARY PATTERN._x000D_
3.Based on these AI airway/pulmonary findings, the probability of this patient having clinically detectable respiratory signs is MEDIUM to HIGH (50-75%)._x000D_
4.Are respiratory signs present: If YES._x000D_
5.Are respiratory signs present: If NO._x000D_
6.The evaluation has a strong suspicion of pulmonary nodules or mass lesion being present._x000D_
7.The cardiac silhouette size is normal._x000D_
8.There is no evidence of DYNAMIC AIRWAY COLLAPSE or BRONCHIECTASIS.</t>
  </si>
  <si>
    <t>Study:_x000D_
Thoracic radiography: three images dated August 22, 2024_x000D_
_x000D_
Compared to prior study dated_x000D_
_x000D_
Findings:_x000D_
The cardiac silhouette is normal in size/shape and unchanged appearance from the prior examination. There is a persistent mild generalized bronchial pulmonary pattern. No alveolar disease is present. The pleural space is normal. There is no intrathoracic lymphadenopathy. The larynx is normal. The trachea is normal in diameter. There is no lobar bronchi narrowing. There is progressive hepatomegaly, now moderate. The bilateral elbow periarticular bone formation is similar in severity to the prior examination.</t>
  </si>
  <si>
    <t>1. Static mild generalized bronchial pulmonary pattern. Chronic allergic or inflammatory bronchitis is considered most likely. Infectious, parasitic and inhaled irritant etiologies cannot be completely excluded. Airway sampling and culture can be considered for further evaluation._x000D_
2. The normal diameter of the trachea does not exclude the possibility of dynamic airway disease to explain the reported worsening cough. Fluoroscopy can be considered to further evaluate for possible tracheal collapse._x000D_
3. There is no radiographic evidence of heart disease. Consider echocardiography for further evaluation of the reported heart murmur._x000D_
4. Progressive hepatomegaly. Consider vacuolar hepatopathy secondary to corticosteroid therapy. Hepatitis, hyperplasia and infiltrative neoplasia cannot be excluded. Sonography can be considered for further evaluation if clinically relevant._x000D_
5. Static bilateral elbow osteoarthrosis.</t>
  </si>
  <si>
    <t xml:space="preserve">THORAX (3 images):
Images are dated August 22, 2024.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</si>
  <si>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Minimal-mild diffuse bronchial pulmonary pattern such as from infectious/immune-mediated lower airway disease (mycoplasma spp., bordetella spp., parasitism, or other), inhaled allergen/irritant, or fibrosis from prior disease, age-related changes, or unlikely other.
</t>
  </si>
  <si>
    <t>Consider respiratory PCR panel, airway sampling, and fecal analysis/empirical deworming for further evaluation.  This examination does not rule out laryngitis/pharyngitis contributing to reported clinical signs.  Consider sedated laryngeal examination if clinically indicated.   Empirical therapy and supportive care in the interim as needed. Monitoring as directed or sooner if clinical signs acutely change, fail to improve or worsen.</t>
  </si>
  <si>
    <t xml:space="preserve">
1.A mild interstitial to alveolar infiltrate has been detected._x000D_
2.The cardiac silhouette size is normal._x000D_
3.There is no evidence of DYNAMIC AIRWAY COLLAPSE or BRONCHIECTASIS.</t>
  </si>
  <si>
    <t>Orthogonal views of the thorax and abdomen are provided:_x000D_
_x000D_
Thorax:_x000D_
_x000D_
Cardiac silhouette shows a moderate enlargement of the left atrium dorsally displacing the carina._x000D_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show bilateral renoliths._x000D_
A single large and irregular cystic calculus is seen in the lumen of the urinary bladder WNL._x000D_
_x000D_
suspected old disc extrusion at L4-L5.</t>
  </si>
  <si>
    <t>1) Left atrial enlargement secondary to chronic mitral endocardiosis without signs of CHF. Rule out concomitant tricuspid endocardiosis with pulmonary hypertension._x000D_
2) Bilateral renoliths and single large and irregular cystic calculus.</t>
  </si>
  <si>
    <t>Consider a cardiology consultation with ECG and echocardiogram._x000D_
Consider abdominal US to further evaluate the urinary tract with renal function, UPC and urinalysis.</t>
  </si>
  <si>
    <t xml:space="preserve">
1.A minimal perihilar infiltrate has been detected._x000D_
2.Severe cardiomegaly has been detected but Heart Failure is NOT suspected._x000D_
3.MILD to MODERATE BRONCHOINTERSTITIAL PATTERN; MILD DYNAMIC AIRWAY DISEASE._x000D_
4.Based on these AI airway/pulmonary findings, the probability of this patient having clinically detectable respiratory signs is MEDIUM (50%)_x000D_
5.Are respiratory signs present? If YES._x000D_
6.Are respiratory signs present? If NO.</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</si>
  <si>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Kidneys and urinary bladder WNL._x000D_
_x000D_
Multifocal signs of chronic IVDD.</t>
  </si>
  <si>
    <t>Consider abdominal US to further evaluate the liver.</t>
  </si>
  <si>
    <t xml:space="preserve">
1.The cardiac silhouette size is normal._x000D_
2.There is no evidence of ALVEOLAR PATTERN, DYNAMIC AIRWAY COLLAPSE or BRONCHIECTASIS or PLEURAL EFFUSION._x000D_
3.A mild bronchial pattern has been detected.</t>
  </si>
  <si>
    <t xml:space="preserve">THORAX (5 images):
Images are dated August 22, 2024.  Motion artifact is present in multiple images.  
Pulmonary parenchyma:  Interstitial to alveolar pattern are in the mid-zone to ventral periphery of the right cranial and middle lung lobes in the left lateral image.  A minimal diffuse bronchial pattern is present.
Pulmonary vasculature: The pulmonary vasculature is subjectively normal in size and tapers in the periphery of the lungs.
Cardiac silhouette: The cardiac silhouette is normal in size and shape.
Mediastinum:  A rightward mediastinal shift is present. The cranial mediastinum is normal.
Trachea: An endotracheal tube is present the terminates in the mid- to caudal cervical tracheal segment.  The trachea is otherwise normal.
Esophagus: The esophagus is not well-identified.
Pleural space: The pleural space is normal.
Musculoskeletal: The included musculoskeletal structures are normal.
</t>
  </si>
  <si>
    <t>1. Right cranial and middle lung lobe interstitial to alveolar pulmonary patterns.
- Differential diagnoses include bronchopneumonia/aspiration pneumonia, atypical/evolving neoplasia (metastatic or unlikely primary), recumbency/anesthetic induced atelectasis, or a combination of these, or unlikely other.
2. No discrete pulmonary soft tissue nodules or intra-thoracic lymphadenomegaly is identified.
3. Minimal diffuse bronchial pulmonary pattern such as from fibrosis from prior disease, age-related changes, or less likely infectious/immune-mediated lower airway disease or unlikely other.
4. Rightward mediastinal shift due recumbency atelectasis.</t>
  </si>
  <si>
    <t>Consider computed tomography of the thorax with positive pressure ventilation versus repeat radiographs for further evaluation of the thorax.  Empirical therapy and supportive care in the interim as needed.  Monitoring as directed or sooner if clinical signs acutely change, fail to improve or worsen.</t>
  </si>
  <si>
    <t>3 views of the thorax are provided for review.  The trachea is dorsally deviated, indicating left ventricular enlargement.  A bulge is present in the region of the left atrium.  Interstitial to alveolar opacity is present in the left cranial and both caudal lung lobes near the hilus.  The mediastinal and pleural structures are normal.  Cranial abdominal detail is adequate.  A rounded soft tissue mass appears to be extending from the caudal aspect of the tail of the spleen on the lateral views.</t>
  </si>
  <si>
    <t>Left-sided cardiomegaly.  Interstitial to alveolar pulmonary pattern consistent with cardiogenic pulmonary edema.  Consider repeat radiographs following diuretic therapy.  Echocardiography may be helpful in further evaluation.  Likely splenic mass concerning for neoplasia or hematoma.  Abdominal ultrasound could be considered prior to abdominal exploratory for splenectomy.</t>
  </si>
  <si>
    <t xml:space="preserve">
1.SEVERE INTERSTITIAL TO ALVEOLAR PATTERN; SEVERE BRONCHIAL PATTERN; MILD DYNAMIC AIRWAY DISEASE._x000D_
2.Based on these AI airway/pulmonary findings, the probability of this patient having clinically detectable respiratory signs is VERY HIGH (&gt;75%)_x000D_
3.Pleural fissure lines or moderate to severe pleural effusion has been detected. An overlying skin fold or in an obese animal, excessive pericardial fat could artifactually mimic the result of severe pleural effusion._x000D_
4.Severe cardiomegaly has been detected but Heart Failure is NOT suspected._x000D_
5.Are respiratory signs present? If YES._x000D_
6.Are respiratory signs present? If NO.</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</si>
  <si>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gas._x000D_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_x000D_
Multifocal signs of chronic IVDD.</t>
  </si>
  <si>
    <t xml:space="preserve">
1.PLEURAL EFFUSION or less likely, OVERLYING SKIN FOLDS MIMICKING PLEURAL FLUID; PULMONARY NODULAR PATTERN likely due to END ON PULMONARY VESSELS, PROMINENT COSTOCHONDRAL JUNCTIONS or OVERLYING CUTANEOUS NODULES; MILD BRONCHIAL PATTERN._x000D_
2.Based on these AI airway/pulmonary findings, the probability of this patient having clinically detectable respiratory signs is HIGH (75%)_x000D_
3.Pleural fissure lines or moderate to severe pleural effusion has been detected._x000D_
4.The evaluation has a strong suspicion of pulmonary nodules or mass lesion being present._x000D_
5.A mild bronchial pattern has also been detected._x000D_
6.PULMONARY NODULAR PATTERN; MINIMAL BRONCHOINTERSTITIAL PULMONARY PATTERN._x000D_
7.The evaluation has come up positive for a pulmonary nodular pattern._x000D_
8.Based on these AI airway/pulmonary findings, the probability of this patient having clinically detectable respiratory signs is MEDIUM (50%)_x000D_
9.Are respiratory signs present. If YES._x000D_
10.Are respiratory signs present. If NO._x000D_
11.Mild cardiomegaly has been detected but Heart Failure is NOT suspected._x000D_
12.There is no evidence of DYNAMIC AIRWAY COLLAPSE or BRONCHIECTASIS.</t>
  </si>
  <si>
    <t>Study:_x000D_
Thoracic and abdominal radiography: seven images dated August 22, 2024_x000D_
_x000D_
Findings:_x000D_
The cardiac silhouette is normal in size and shape. There is a mild generalized bronchointerstitial pulmonary pattern. There multiple thin pleural fissure lines present. There is no apparent intrathoracic lymphadenopathy. The trachea is normal in diameter. The abdominal serosal detail is adequate. The stomach contains unstructured heterogeneous soft tissue material presumed to be ingesta. The small intestines are normal in size, course and content. The colon contains formed fecal material with a normal diameter. The liver extends beyond the costal arch but has smooth and sharp margins and does not displace the gastric axis. The spleen is normal in size and margin. The renal silhouettes are normal in size and contour. The urinary bladder is distended. In the absence of any urinary signs come of this finding is likely secondary conscious retention. There is no prostatomegaly. There is mild T5-T6 and severe L2-L3 spondylosis deformans. There is mild right stifle periarticular bone formation. The patient is of overweight body condition.</t>
  </si>
  <si>
    <t>1. Mild bilateral nonspecific pleural effusion. A cause is not radiographically evident. Full workup including CBC, serum chemistry, urinalysis plus/minus echocardiography, computed tomography of the thorax and thoracocentesis can be considered for further evaluation._x000D_
2. The appearance of the liver is equivocal for mild nonspecific hepatomegaly and should be correlated to any liver enzyme abnormalities. Rule out individual normal variant, metabolic/vacuolar hepatopathy, hepatitis, hyperplasia or infiltrative neoplasia. Sonography can be considered for further evaluation. The abdomen is otherwise unremarkable._x000D_
3. Mild right stifle osteoarthrosis. Consider underlying cranial cruciate and/or meniscal injury.</t>
  </si>
  <si>
    <t xml:space="preserve">
1.Moderate to severe bronchointerstitial pulmonary pattern._x000D_
2.Moderate bronchial and severe alveolar pattern._x000D_
3.A moderate to severe interstitial to alveolar pattern has been detected._x000D_
4.Pleural fissure lines or moderate to severe pleural effusion has been detected. An overlying skin fold or in an obese animal, excessive pericardial fat could artifactually mimic the result of severe pleural effusion._x000D_
5.The cardiac silhouette size is normal._x000D_
6.The evaluation has a strong suspicion of pulmonary nodules or mass lesion being present._x000D_
7.A mild perihilar infiltrate has been detected.</t>
  </si>
  <si>
    <t xml:space="preserve">THORACIC LIMBS (8 images):
Images are dated August 22, 2024.
Bones/Joints:
Multifocal medullary sclerotic foci are identified in the: mid-diaphysis of the right ulna, mid-diaphysis of the left humerus, distal diaphysis/metaphysis of the left humerus, and suspected in the mid-diaphysis of the left ulna.
The right elbow is normal.  
The right shoulder is normal.
The included right carpus, metacarpus and digits are normal.
The left elbow is normal.  
The left shoulder is normal.  
The included left carpus, metacarpus and digits are normal. 
There is no evidence of osteolysis, endosteal scalloping, or periosteal proliferation.
Soft tissues:  The included soft tissues are normal.
</t>
  </si>
  <si>
    <t>1. Multifocal medullary sclerotic lesions in the in the left humerus and bilateral ulna.
- This is most likely due to panosteitis, especially given patient breed.</t>
  </si>
  <si>
    <t>Empirical therapy and supportive care in the interim as needed. Consider repeat radiographs and orthopedist consultation if signs fail to improve or worsen. Monitoring as directed or sooner if clinical signs acutely change, fail to improve or worsen.</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</si>
  <si>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Multiple fat and soft tissue opacity subcutaneous masses are present.  Osteophytes are present on the femoral necks and acetabular rims bilaterally.</t>
  </si>
  <si>
    <t>Radiographically normal abdomen.  Radiographically normal thorax for patient of this age.  Multiple subcutaneous masses.  Moderate bilateral coxofemoral DJD.</t>
  </si>
  <si>
    <t>Thoracolumbar spine: There is possible narrowing of the intervertebral disc base at T13-L1.  There are thoracic hemivertebra.  The remainder of the visible portions of the thoracolumbar vertebral column are unremarkable.</t>
  </si>
  <si>
    <t>Possible narrowed intervertebral disc space at T13-L1._x000D_
_x000D_
Thoracic hemivertebra.</t>
  </si>
  <si>
    <t xml:space="preserve">
1.Pleural fissure lines or moderate to severe pleural effusion has been detected. An overlying skin fold or in an obese animal, excessive pericardial fat could artifactually mimic the result of severe pleural effusion._x000D_
2.SEVERE ALVEOLAR INFILTRATE; MINIMAL BRONCHOINTERSTITIAL PATTERN._x000D_
3.Based on the AI airway/pulmonary findings, the probability of this patient having clinically detectable respiratory signs is VERY HIGH (&gt;75%)_x000D_
4.Are respiratory signs present? If YES._x000D_
5.AI linked canine pneumonia treatment: https://platform.v2.vetology.net/doc/pneumonia-in-dogs-and-cats_x000D_
6.Are respiratory signs present? If NO._x000D_
7.The cardiac silhouette size is normal._x000D_
8.There is no evidence of DYNAMIC AIRWAY COLLAPSE or BRONCHIECTASIS.</t>
  </si>
  <si>
    <t>6 images of the thorax and right pelvic limb are provided for review.  Previous images are not found for comparison under the case number provided for this clinic.  The trachea is dorsally deviated, indicating left ventricular enlargement.  A bulge is present in the region of the left atrium.  No pulmonary infiltrates are seen.  The pulmonary vasculature is normal in size.  The mediastinal and pleural structures are normal.  Cranial abdominal detail is adequate.  The joint surfaces are smooth and regular.  No stifle effusion is seen.  Soft tissues swelling surrounds the entirety of the limb.  An irregular masslike structure is seen caudal to the stifle.  No fractures or aggressive osseous lesions are seen.</t>
  </si>
  <si>
    <t>Left-sided cardiomegaly without current evidence of cardiogenic pulmonary edema.  Echocardiography may be helpful in further evaluation.  Soft tissue mass caudal to the right stifle.  Consider lymphadenopathy versus muscular origin.  Aspirate may be helpful.  The remainder of the right pelvic limb soft tissue swelling is likely secondary edema.</t>
  </si>
  <si>
    <t xml:space="preserve">
1.Are respiratory signs present? If NO._x000D_
2.MILD INTERSTITIAL TO ALVEOLAR PATTERN; MILD DYNAMIC AIRWAY DISEASE; MILD PERIHILAR INFILTRATE._x000D_
3.Based on the AI airway/pulmonary findings, the probability of this patient having clinically detectable respiratory signs is MEDIUM (50%)_x000D_
4.Are respiratory signs present? If YES._x000D_
5.Severe cardiomegaly has been detected but Heart Failure is NOT suspected._x000D_
6.There is no evidence of PULMONARY NODULES.</t>
  </si>
  <si>
    <t>Patient Name : Maxie Pepper, Date of study: Aug 22, 2024
6 images are provided for review
There are no previous radiographs for comparison.
Findings: 
The examination reveals no evidence of an alveolar pattern. However, there is a presence of pulmonary hypoinflation. Additionally, mineral positioning within the pulmonary/bronchial region is identified in the right middle section.</t>
  </si>
  <si>
    <t>1. No evidence of an alveolar pattern.
2. Pulmonary hypoinflation and presumed bronchial mineral material.</t>
  </si>
  <si>
    <t>Consider empirical therapy for cough. If signs fail to improve or worsen, consider repeat radiographs and/or airway sampling.</t>
  </si>
  <si>
    <t>A lateral radiograph of the thorax, and three views of the abdomen are provided. A previous study dated 7/17/23 was identified under case ID number 236-3606. There is mild reduced mid abdominal serosal detail. Small volume of gas in the stomach. Equivocal scant amorphous soft tissue density in the stomach versus normal rugal folds. Small intestines are diffusely minimally distended with fluid and gas. Small volume gas and scant formed feces in the colon. There are several small smoothly marginated faintly mineral densities measuring up to 0.5 cm in the urinary bladder. No medial iliac lymphadenomegaly. Normal-sized liver, spleen, kidneys. No osseous abnormalities._x000D_
_x000D_
In the thorax the cardiac silhouette is normal size and shape. The lungs are clear. There is no pleural effusion. Normal tracheal diameter. No esophageal dilation.</t>
  </si>
  <si>
    <t>1. Scant peritoneal effusion. Gastroenteritis/pancreatitis is most likely. There is equivocal scant soft tissue density in the stomach that may represent residual ingesta and normal rugal folds. Foreign material is not definitively ruled out. There is no evidence of small bowel obstruction._x000D_
2. Several small cystic calculi, of a size that should be able to pass the urethra._x000D_
3. Normal thorax.</t>
  </si>
  <si>
    <t>Recommend supportive care for potential gastroenteritis. If the patient does not rapidly improve, fasted abdominal ultrasound would be recommended. A positive contrast gastrogram is another option if ultrasound is not available.</t>
  </si>
  <si>
    <t xml:space="preserve">THORAX (3 views):
Images are dated August 22, 2024.
Pulmonary parenchyma: A minimal to mild diffuse bronchial pattern is present. A minimal diffuse interstitial pattern is present, and the lungs are hypoinflated.  
Pulmonary vasculature: The pulmonary vasculature is subjectively normal in size and tapers in the periphery of the lungs.
Cardiac silhouette: The cardiac silhouette is normal in size and shape.
Mediastinum: The cranial mediastinum is normal.
Trachea: A soft tissue band partially superimposes over the caudal cervical trachea.  
Esophagus: The esophagus is not well-identified.
Pleural space: The pleural space is normal.
Musculoskeletal: C6-7 spondylosis deformans is present.  The remaining included musculoskeletal structures are normal.
</t>
  </si>
  <si>
    <t>1. Minimal-mild diffuse bronchial and interstitial pulmonary patterns.
- Differential diagnoses include fibrosis from prior disease, age-related changes, or less likely  infectious/immune-mediated lower airway disease or unlikely other.
2. Redundant dorsal tracheal membrane versus superimposed normal structures.</t>
  </si>
  <si>
    <t>Consider respiratory PCR panel, airway sampling, and fecal analysis/deworming for further evaluation.  Fluoroscopy/bronchoscopy and tracheoscopy for further evaluation of dynamic airway disease may be contributory.  Consider routine blood work and abdominal imaging for further evaluation of occult systemic disease.  Consider neurologist consultation and possible MRI for further evaluation of reported clinical signs.  Empirical therapy and supportive care in the interim as needed. Monitoring as directed or sooner if clinical signs acutely change, fail to improve or worsen.</t>
  </si>
  <si>
    <t>THORAX (2 radiographs for review). _x000D_
_x000D_
- The pulmonary parenchyma is normal._x000D_
- The trachea is unremarkable._x000D_
- The cardiac silhouette, pulmonary vasculature and pleural space are normal._x000D_
- The remaining intrathoracic structures are normal._x000D_
- The cranial abdominal structures are normal._x000D_
- The stomach has a post-prandial appearance._x000D_
- The included musculoskeletal structures are normal.</t>
  </si>
  <si>
    <t>1. Normal thorax. A discrete cause for the reported coughing is not clearly identified. There is no evidence of pulmonary consolidation to suggest active pneumonia. Radiographic sensitivity for the detection of subtle lower airway/airspace disease (such as tracheobronchitis) can be limited._x000D_
_x000D_
2. Recent meal.</t>
  </si>
  <si>
    <t>Eleven radiographs of the thorax and abdomen are provided. Thoracic images dated 9/20/23, and abdominal images dated 1/17/24 were reviewed. The heart is a normal size, with no chamber enlargement. Pulmonary vessels are normal size. There are mild age-related changes in the lungs. No soft tissue pulmonary nodules or pleural effusion. Normal cranial mediastinal width._x000D_
_x000D_
In the abdomen the stomach contains moderate volume gas and small volume fluid. Normal rugal folds are visible on the lateral views. Round 8.3 cm soft tissue opacity cranial to the right kidney on the VD views in the region of the pylorus. Small intestines are diffusely mildly filled with fluid and small volume gas. There is scant peritoneal fluid. Gas and small-volume semi-formed feces in the colon. No radiopaque foreign material. The liver, spleen, and kidneys are normal size. No significant osseous abnormalities.</t>
  </si>
  <si>
    <t>There is scant peritoneal effusion that was not present before. I have two concerns with the stomach. First, the round soft tissue contour seen on the VD projection may be fluid within the pylorus. A gastric wall lesion or adjacent mass is not ruled out. Second, gastric contents may be normal ingesta and/or foreign material. Otherwise normal abdomen and thorax.</t>
  </si>
  <si>
    <t>Recommend strictly fasted abdominal ultrasound.</t>
  </si>
  <si>
    <t>Three images are provided.
Images are dated August 22, 2024.
Pulmonary parenchyma: A mild to moderate diffuse bronchial pattern is present.
Pulmonary vasculature: The pulmonary vasculature is subjectively normal in size and tapers in the periphery of the lungs.
Cardiac silhouette: The cardiac silhouette tall and occupies 2/3 the height of the thorax in the lateral image.  The caudodorsal margin of the cardiac silhouette is flat.  Rounded increased soft tissue is in the region of the left atrium in the ventrodorsal image.  
Mediastinum: The cranial mediastinum is normal.
Trachea: The trachea is normal.
Esophagus: The esophagus is not well-identified.
Pleural space: The pleural space is normal.
Liver: The liver is enlarged with a rounded or undulant caudoventral margin.  The gastric axis is mildly caudally displaced.  
Spleen: The spleen is suspiciously folded on itself in the left cranial abdomen in the ventrodorsal image.
Kidneys: The kidneys are normal in size and shape without obvious mineral.
Retroperitoneum: Retroperitoneal detail is adequate.
Urinary bladder/Urethra: The urinary bladder is normal in size, homogeneous soft tissue, and smoothly marginated.
Peritoneum: Peritoneal detail is slightly decreased in the cranioventral abdomen, best identified in the left lateral image.
Gastrointestinal tract: The stomach contains a moderate volume of gas. Gastric rugal folds are prominent.  The stomach is within normal limits for size.
The small intestine contains mild gas and fluid or is empty with a subjectively uniform population for size. 
The colon contains mild heterogeneous soft tissue material and gas.  The colon is within normal limits for size.  
Musculoskeletal: Unilateral shoulder osteoarthrosis is present.  The remaining included musculoskeletal structures are normal.</t>
  </si>
  <si>
    <t>1. Mild left-sided cardiomegaly.
- Differential diagnoses include myxomatous mitral valvular disease and insufficiency or less likely other.
- There is no current evidence of left-sided congestive heart failure.
2. Mild-moderate diffuse bronchial pulmonary pattern.
- Differential diagnoses include infectious/immune-mediated lower airway disease, fibrosis from prior disease, age-related changes, or unlikely other.
- No obvious pulmonary soft tissue nodules or intra-thoracic lymphadenomegaly.
3. Hepatomegaly and possible evolving mass.
- Consider evolving neoplasia (primary versus metastatic/multicentric) versus vacuolar hepatopathy, nodular hyperplasia, or a combination of these.
4. Suspected peritoneal effusion versus artifact.
- If present, consider malignant effusion from occult malignancy (possibly the liver) versus peritonitis such as from pancreatitis, or less likely other.
5. Non-specific gastric, small intestinal and colonic appearance due to gastritis/enteritis/colitis or given reported history, unlikely variation of normal/recent bowel movement.
- There is no current evidence of gastrointestinal mechanical ileus.
- Differential diagnoses include dietary indiscretion, toxin ingestion, diet/antibiotic responsive disease, inflammatory bowel disease, pancreatitis, occult systemic disease or unlikely other.
6. Unilateral shoulder osteoarthrosis.</t>
  </si>
  <si>
    <t>Consider routine blood work and abdominal ultrasonography for further evaluation of the liver, gastrointestinal tract, pancreas and peritoneum.  Echocardiography, eCG and blood pressure may be contributory, especially if a murmur is later identified.  Empirical therapy and supportive care in the interim as needed for gastroenterocolitis.  Monitoring as directed, or sooner if clinical signs acutely change, fail to improve or worsen.</t>
  </si>
  <si>
    <t xml:space="preserve">
1.There is no evidence of ALVEOLAR PATTERN or PLEURAL EFFUSION._x000D_
2.Mild cardiomegaly has been detected but Heart Failure is NOT suspected._x000D_
3.A minimal interstitial pattern has been detected._x000D_
4.Minimal dynamic airway disease has been detected.</t>
  </si>
  <si>
    <t>Orthogonal views of the left antebrachium and foot and orthogonal views of the thorax are provided._x000D_
_x000D_
There is mild subtrochlear sclerosis in the proximal ulna. There is minimal remodeling involving the head of the radius. The appearance of the medial coronoid process is normal. The subchondral bone surfaces are smooth. No abnormalities are identified involving the carpus or the foot. No destructive or productive bone lesions are seen. No joint effusion or soft tissue swelling is identified._x000D_
_x000D_
In the VD thorax you, there is a triangular opacity in the right middle lung field that is suspicious for focal alveolar infiltrates in the right middle lung lobe or the caudal aspect of the right cranial lobe. No corresponding shadow is seen in the right lateral view. No left lateral view is available. The other lung fields are within normal limits for the age of the patient and the degree of thoracic inflation. No cardiovascular abnormalities are identified.</t>
  </si>
  <si>
    <t>The opacity in the right middle lung field is suspicious for focal pneumonia, likely involving the right middle lobe. This does not appear in the right lateral view, but might be visible in a left lateral view._x000D_
_x000D_
Mild subtrochlear sclerosis is seen in the proximal ulna. This is a finding that can occur secondary to altered weight bearing of the medial coronoid region. The appearance of the medial coronoid is normal. A tiny corner fracture or other irregularity not visible in the radiographs should still be considered. Sclerosis is also considered an early indicator of elbow dysplasia young patients, but is unlikely given the age of this patient.</t>
  </si>
  <si>
    <t>A definitive explanation for the lameness is not identified. Pathology more proximal in the limb should still be ruled out._x000D_
If pain can be localized to the elbow, more advanced imaging such as CT could be considered._x000D_
Restricted activity and anti-inflammatory therapy for possible soft tissue injury is recommended._x000D_
_x000D_
There is suspicion of focal pneumonia involving the right middle lung field. A left lateral view of the thorax is recommended for more definitive evaluation._x000D_
CBC is also recommended.</t>
  </si>
  <si>
    <t xml:space="preserve">
1.The evaluation has come up positive for a pulmonary nodular pattern._x000D_
2.Moderate cardiomegaly has been detected but Heart Failure is NOT suspected._x000D_
3.MILD BRONCHOINTERSTITIAL PULMONARY PATTERN WITH ATELECTASIS or LESS LIKELY, PNEUMONIA, MILD PERIHILAR INFILTRATE._x000D_
4.Probability these AI pulmonary findings will accompany clinically detectable respiratory signs: MILD TO MODERATE (25-50%)_x000D_
5.Are respiratory signs present? If YES._x000D_
6.Are respiratory signs present? If NO.</t>
  </si>
  <si>
    <t xml:space="preserve">Five images are provided.
Images are dated August 22, 2024.  
Prior image dated August 21, 2024 is available.
Bones/Joints:
A dens is present.  There is no evidence of atlantoaxial joint subluxation.  Rightward bowing of the neck in the ventrodorsal image is consistent with reported physical exam/history.  No obvious narrowing of the cervical intervertebral disc spaces is identified.
There is no evidence of intervertebral disc space narrowing, or mineral over the intervertebral foramina.  There is no evidence of intervertebral dorsal articulation osteoarthrosis.
There is no evidence of medullary sclerosis, osteolysis, endosteal scalloping, or periosteal proliferation.
Soft tissues:  No obvious mass or mass effect in the left cervical soft tissues.  The remaining included soft tissues are normal.
</t>
  </si>
  <si>
    <t>1. No obvious evidence of cervical or thoracic intervertebral disc disease.</t>
  </si>
  <si>
    <t>If left thoracic limb truly has absent proprioception, consider occult brachial plexus or cervical spinal cord injury contributing to reported signs.  This examination does not rule out non-mineralized intervertebral disc herniation/extrusions.  Consider neurologist consultation and MRI of the cervical spine/brachial plexus region.  Routine blood work and thoracic imaging prior to referral.  Empirical therapy and supportive care in the interim as needed.  Monitoring as directed, or sooner if signs fail to improve or worsen.</t>
  </si>
  <si>
    <t>Thorax. Three radiographs (two lateral, one VD) dated August 22, 2024 are provided.
Cardiac silhouette: The cardiac silhouette is within normal limits of size and shape.
Pulmonary vessels: The pulmonary arteries and veins are normal in size and are symmetrical.
Pulmonary parenchyma: There are two spherical soft tissue opaque nodules (1.4 cm in diameter) in the right cranial lung lobe. Similar sized nodules are in the left caudal and accessory lung lobes. A smaller possible nodules also in the dorsal aspect of the right caudal lung lobe.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Musculoskeletal: There is an undulating soft tissue mass ventral to the caudal sternum (reported as recurrent mammary mass). There is moderate osteoarthritis of the elbows.
Cranial abdomen: The cranial abdomen is unremarkable.</t>
  </si>
  <si>
    <t xml:space="preserve">Multiple soft tissue pulmonary nodules consistent with metastatic neoplasia, likely from the reported mammary mass(es).
</t>
  </si>
  <si>
    <t>Consultation with an oncologist is recommended for chemotherapeutic options. Fine-needle aspirates or biopsy of the reported mammary mass are recommended for a definitive histologic diagnosis.</t>
  </si>
  <si>
    <t>Thorax: The pulmonary parenchyma, cardiac silhouette, and pulmonary vasculature are unremarkable.  There is no evidence of pleural effusion or lymphadenopathy._x000D_
_x000D_
Abdomen: The majority of the small intestines are fluid dilated.  Within the caudal ventral abdomen there is a segment of bowel that has a heterogeneous soft tissue opacity within its lumen.  The liver and spleen are unremarkable.  There are no abnormalities involving the visible portions of the urinary tract.  Serosal detail is normal.</t>
  </si>
  <si>
    <t>The heterogeneous soft tissue opacity within a segment of bowel is suspected to be a foreign body within a segment of jejunum.  Involvement of the colon cannot be ruled out.  Due to the moderate gas distention of the jejunum, an obstructive process is suspected.  Alternatively severe enteritis cannot definitively be ruled out.</t>
  </si>
  <si>
    <t>Consider further diagnostic imaging such as an upper GI series or possible abdominal ultrasound.  Alternatively exploratory laparotomy should be considered.</t>
  </si>
  <si>
    <t xml:space="preserve">
1.The cardiac silhouette size is normal._x000D_
2.There is no evidence of DYNAMIC AIRWAY COLLAPSE or BRONCHIECTASIS._x000D_
3.A severe alveolar infiltrate or pulmonary mass has been identified.</t>
  </si>
  <si>
    <t>Study:_x000D_
Thoracic radiography: three images dated August 22, 2024_x000D_
_x000D_
Compared to prior study dated January 14, 2023_x000D_
_x000D_
Findings:_x000D_
The cardiac silhouette is normal in size/shape and unchanged appearance from the prior examination (VHS approximately 10.5). The pulmonary parenchyma is unremarkable. The pleural space is normal. There is no intrathoracic lymphadenopathy. The trachea is normal in diameter and course. The stomach contains unstructured heterogeneous soft tissue material presumed to be ingesta. Mild periarticular bone formation is present the caudodistal aspect of the left humeral head. The osseous structures are unremarkable.</t>
  </si>
  <si>
    <t>1. Normal thorax. There is no radiographic evidence of heart disease. Consider echocardiography for further evaluation of the reported heart murmur._x000D_
2. Mild left shoulder osteoarthrosis.</t>
  </si>
  <si>
    <t>Six radiographs of the thorax and abdomen are provided. The cardiac silhouette is normal size. Angular increased opacity along the cranial left aspect of the heart on the VD projection is pleural fat deposition. Pulmonary vessels are normal size. There are no abnormalities in the pulmonary parenchyma. No pleural effusion. Possible redundant dorsal trachealis membrane, of uncertain significance. In the abdomen the urinary bladder is mildly filled and soft tissue opaque. There are no abnormalities along the plane of the urethra or in the region of the medial iliac lymph nodes. The kidneys are normal size, shape, opacity. The gastrointestinal tract is mildly filled. The cecum is gas-dilated. Normal-sized spleen and liver. No lumbar spinal abnormalities. The coxofemoral joints are congruent. Patellar location is normal.</t>
  </si>
  <si>
    <t>Normal thorax and abdomen. There is no evidence of radiopaque urolithiasis.</t>
  </si>
  <si>
    <t>If further evaluation of the urinary tract is desired, abdominal ultrasound would be recommended.</t>
  </si>
  <si>
    <t>To lateral views of the thorax are presented for review.  The cardiovascular and pulmonary structures are normal.  The esophagus is gas dilated.  The pleural and mediastinal structures are normal.  Cranial abdominal detail is adequate.</t>
  </si>
  <si>
    <t>An esophagram could be considered to evaluate motility if this finding persists.</t>
  </si>
  <si>
    <t xml:space="preserve">
1.Are respiratory signs present? If NO._x000D_
2.Mild cardiomegaly has been detected but Heart Failure is NOT suspected._x000D_
3.SEVERE ALVEOLAR PATTERN; MILD DYNAMIC AIRWAY DISEASE;  MILD, DIFFUSE BRONCHOINTERSTITIAL PULMONARY PATTERN._x000D_
4.Based on these AI airway/pulmonary findings, the probability of this patient having clinically detectable respiratory signs is MEDIUM (50%)_x000D_
5.Are respiratory signs present? If YES.</t>
  </si>
  <si>
    <t>Three radiographs of the thorax, and two lateral views of the abdomen are provided. The cardiac silhouette and pulmonary vessels are normal size and shape. There are no abnormalities in the pulmonary parenchyma. No pleural effusion. Tracheal diameter and cranial mediastinal width are normal._x000D_
_x000D_
There is no peritoneal or retroperitoneal effusion. Formed feces fills the colon. The fecal column is upper normal size for this patient and no fecal column displacement is appreciated. The cecum contains gas. Small intestines are mildly gas-filled. The stomach is minimally distended. No evidence of medial iliac lymphadenomegaly. The urinary bladder is mildly filled and soft tissue opaque. Normal-sized kidneys, liver, spleen.</t>
  </si>
  <si>
    <t>Normal thorax and abdomen. There is no evidence of constipation on this study.</t>
  </si>
  <si>
    <t>If further evaluation of the abdomen/perianal region is desired, as well as for regional lymphadenopathy (such as sacral lymph node enlargement), cross-sectional imaging with computed tomography could be considered.</t>
  </si>
  <si>
    <t xml:space="preserve">THORAX (3 images):
Images are dated August 22, 2024.
Pulmonary parenchyma: A minimal diffuse bronchial pattern is present.  The presumed left lobar bronchi and carina are narrowed in the presumed right lateral image, compared to the alternate lateral image.
Pulmonary vasculature: The pulmonary vasculature is subjectively normal in size and tapers in the periphery of the lungs.
Cardiac silhouette: The cardiac silhouette is moderately tall and occupies over 2/3 the height of the thorax, with dorsal tracheal dispalcement.  The caudodorsal margin of the cardiac silhouette is flat and enlarged.  Rounded increased soft tissue is in the region of the left atrium in the ventrodorsal image.  
Mediastinum: The cranial mediastinum is normal.
Trachea: The trachea is normal.
Esophagus: The esophagus is not well-identified.
Pleural space: The pleural space is normal.
Musculoskeletal: The included musculoskeletal structures are normal.
</t>
  </si>
  <si>
    <t>1. Moderate left-sided cardiomegaly such as from myxomatous mitral valvular disease and insufficiency or less likely other.
- There is no current evidence of left-sided congestive heart failure.
2. Minimal diffuse bronchial pulmonary pattern due to fibrosis from prior disease, age-related changes, and/or infectious/immune-mediated lower airway disease, or unlikely other.
3. Suspected left lobar bronchial and carina narrowing such as from dynamic airway disease/chondromalacia.</t>
  </si>
  <si>
    <t>Echocardiography, ECG and blood pressure for further evaluation.  Routine blood work if not recently performed.  Consider respiratory PCR panel, fecal analysis/deworming, tracheoscopy/bronchoscopy/fluoroscopy for further evaluation of dynamic airway disease if clinically indicated.  Empirical therapy for cough in the interim as needed.  Monitoring as directed or sooner if clinical signs acutely change, fail to improve or worsen.</t>
  </si>
  <si>
    <t xml:space="preserve">
1.A minimal interstitial pulmonary pattern with a concurrent, mild perihilar infiltrate have been detected._x000D_
2.Moderate dynamic airway disease has been detected._x000D_
3.Severe cardiomegaly has been detected but Heart Failure is NOT suspected._x000D_
4.There is no evidence of PULMONARY NODULES or PLEURAL EFFUSION.</t>
  </si>
  <si>
    <t>Opposite lateral and VD views of the abdomen and right lateral thorax views are provided._x000D_
_x000D_
The liver and spleen are both slightly enlarged, with normal shape and smooth margins. The gastric wall appears slightly thickened, with prominent rugal folds. No dilation the stomach or intestine is seen. Abdominal serosal detail is normal. No mass lesions are identified._x000D_
_x000D_
The cardiovascular structures are within normal limits. Bronchial markings in the lungs are mildly increased, but within the limits of what might be considered age related change. There is mild variability of the tracheal diameter, with slight narrowing seen at the thoracic inlet. No esophageal abnormalities are identified._x000D_
_x000D_
There is moderate to severe narrowing of the lumbosacral disc space, and mild ventral subluxation of the sacrum. There is severe spondylosis deformans at this level. The endplates appear slightly irregular, but no convincing destructive changes are identified.</t>
  </si>
  <si>
    <t>Mild liver and spleen enlargement is a nonspecific change that can sometimes be incidental. Liver enlargement could be associated with active pathology such as hepatitis but in this case is more likely due to metabolic or endocrine associated hepatopathies if alkaline phosphatase is the only enzyme elevated in the labwork. Relevance to the clinical signs is unknown but potentially limited._x000D_
_x000D_
The splenomegaly is mild and within the limits of what might be seen as a reactive change secondary to other disease including gastritis/gastroenteritis or pancreatitis._x000D_
Lymphoreticular neoplasia should still be considered but is not felt likely at this time._x000D_
_x000D_
The appearance of the stomach would be compatible with gastritis, but this is also a mild change and clinical significance cannot be determined. Considering the lack of other significant helpful pathology in the minimum database so far, gastric disease remains a primary differential.</t>
  </si>
  <si>
    <t>Supportive care and symptomatic therapy for gastroenteritis/pancreatitis is recommended._x000D_
If clinical signs are not improving, endoscopy or ultrasound should be considered.</t>
  </si>
  <si>
    <t xml:space="preserve">
1.The evaluation has come up positive for a pulmonary nodular pattern._x000D_
2.The cardiac silhouette size is normal._x000D_
3.There is no evidence of BRONCHITIS or DYNAMIC AIRWAY COLLAPSE or BRONCHIECTASIS._x000D_
4.A moderate perihilar infitlrate has been detected.</t>
  </si>
  <si>
    <t>Opposite lateral and VD views of the thorax and abdomen are provided. This study is compared to the previous dated 8-5-24._x000D_
_x000D_
In the right lateral view, a region of alveolar infiltrates tracking on the caudal aspect of the cranial lobe bronchus in the cranioventral thorax. Alveolar infiltrates are also seen ventrally just dorsal to the sternum from S2 to S4. No corresponding pattern is seen in the VD view=ZZ90= the infiltrates are suspected to be real but hidden by the spine close to midline. The other lung fields are within normal limits. No cardiovascular abnormalities are identified. There is a small quantity of gas in the esophagus. No tracheal abnormalities are identified._x000D_
_x000D_
The irregular appearance of the mid thoracic vertebral endplates is more prominent in the left lateral view than it was in the previous study, but less prominent in the right lateral view. The difference is presumed to be due to slight positional differences.</t>
  </si>
  <si>
    <t>There is a new area of alveolar infiltrates which is suspected to be involving the ventral aspect of the left cranial lung lobe around the bronchus to the cranial subsegment of this lobe. The appearance is consistent with focal pneumonia that was not seen in the previous studies._x000D_
_x000D_
There is still some concern for discospondylitis due to the irregular appearance of mid thoracic vertebral endplates.</t>
  </si>
  <si>
    <t>Pneumonia appears to have returned and a new location._x000D_
This could be due to recrudescence of pre-existing infection, or new infection secondary to aspiration of ingesta or a radiolucent foreign body such as a grass awn._x000D_
Considering the difficulty in controlling the pulmonary infiltrates in this patient over the last few months, bronchoscopy or BAL/TTW for cytology and culture should be considered to assist definitive diagnosis._x000D_
Additional antibiotic therapy is indicated._x000D_
A recheck a three view study is recommended in two weeks.</t>
  </si>
  <si>
    <t xml:space="preserve">
1.MINIMAL to MILD DIFFUSE, MIXED BRONCHOINTERSTITIAL PULMONARY PATTERN with ATELECTASIS or less likely, pneumonia._x000D_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PULMONARY NODULES or PLEURAL EFFUSION.</t>
  </si>
  <si>
    <t>6 images of the thorax and abdomen are presented for review and compared with the study dated 8/4/2023.  There is straightening of the caudal cardiac waist in the region of the left atrium (VHS 9=ZZ90= similar to previous).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ingesta.  The small intestines are normal in size.  Gas and feces are present in the colon.  The urinary bladder is small.  The remaining abdominal organs are normal.</t>
  </si>
  <si>
    <t>Radiographically normal abdomen.  Static mild left atrial enlargement.</t>
  </si>
  <si>
    <t xml:space="preserve">
1.The cardiac silhouette size is normal._x000D_
2.There is no evidence of INTERSTITIAL or ALVEOLAR PATTERN, BRONCHITIS, PULMONARY NODULES or PLEURAL EFFUSION.</t>
  </si>
  <si>
    <t>Opposite lateral, VD, and DV thoracoabdominal views are provided._x000D_
_x000D_
The heart is moderately enlarged. The shape of the heart consistent with bilateral chamber dilation._x000D_
There is a moderate unstructured interstitial pattern involving the right side lung lobes, and possibly the left cranial lobe (the left cranial lobe cannot be as clearly visualized in the VD view due to rotation). The left caudal lobe is clear, with no pulmonary infiltrates identified. There is moderate to marked enlargement of the pulmonary vessels (artery and vein) to the right caudal lobe. In the left caudal lobe, the artery appears mildly enlarged in the pulmonary vein appears diminished. No tracheal abnormalities are identified._x000D_
_x000D_
There are many small radiodense calculi in the urinary bladder. Calculi are also seen in the kidneys. The right kidney is suspected to be small irregular. The liver is mildly enlarged, with rounding of the margins. The other abdominal organs are within normal size and shape limits. No abnormalities are identified involving the GI tract. No mass lesions are seen in the abdomen. Serosal detail is normal.</t>
  </si>
  <si>
    <t>There is a clear appearance to the left caudal lobe with an interstitial pattern involving the other lobes, and a diminished pulmonary vein in the left caudal lobe with overcirculation of the right caudal lobe. _x000D_
There is also moderate cardiomegaly, which appears bilateral._x000D_
_x000D_
The primary rule for the presentation in this patient is a pulmonary infarct involving the left caudal lobe, with likely concurrent left sided congestive heart failure contributor to the interstitial pattern in the other lobes._x000D_
Chronic AV valve disease is likely in this patient, probably bilateral._x000D_
_x000D_
There is also bilateral nephrolithiasis and cystic calculi, and suspected chronic degenerative change with cortical scarring involving the right kidney. Chronic kidney disease should be ruled out.</t>
  </si>
  <si>
    <t>Supportive care including oxygen therapy and medical management for suspected congestive heart failure is recommended._x000D_
CT could be used for more definitive evaluation of pulmonary circulation._x000D_
Echocardiography is recommended when the patient is adequately stable.</t>
  </si>
  <si>
    <t xml:space="preserve">
1.MODERATE DYNAMIC AIRWAY DISEASE; MODERATE INTERSTITIAL TO ALVEOLAR INFILTRATE, MILD BRONCHIAL PATTERN, MILD PERIHILAR INFILTRATE._x000D_
2.Based on these AI airway/pulmonary findings, the probability of this patient having clinically detectable respiratory signs is MEDIUM (50%)_x000D_
3.Moderate cardiomegaly has been detected but Heart Failure is NOT suspected._x000D_
4.Are respiratory signs present? If YES._x000D_
5.Are respiratory signs present? If NO.</t>
  </si>
  <si>
    <t>Three radiographs of the thorax are provided. Images dated 11/29/21 are available for comparison. Mild narrowed cervical trachea on the left lateral view. Thoracic tracheal diameter is adequate. The cardiac silhouette is normal size with no chamber enlargement. Pulmonary vessels are normal size. There are a few incidental pulmonary osteomas, otherwise the lungs are clear.</t>
  </si>
  <si>
    <t>Probable dynamic cervical tracheal collapse. No intrathoracic abnormalities.</t>
  </si>
  <si>
    <t>Study:_x000D_
Skull thoracic radiography: seven images dated August 22, 2024_x000D_
_x000D_
Findings:_x000D_
On the DV view, there are no appreciable nasal turbinate is in the rostral aspect of each nasal passage. The nasal septum appears intact. There is no apparent space-occupying lesion in either nasal passage. There is increased opacity within the right frontal sinus comparison to the left frontal sinus. Multiple teeth are absent. There is multifocal two through periapical lucency. There is no evidence of any tooth root abscess. The tympanic bullae are probably gas-filled and normal in thickness._x000D_
_x000D_
There is moderate generalized cardiomegaly with the cardiac silhouette appearing widened on all three projections. The pulmonary vasculature is normal in size. There is a mild diffuse bronchointerstitial pulmonary pattern. The pleural space is normal. There is no intrathoracic lymphadenopathy. The larynx and pharynx are unremarkable. The trachea is normal in diameter. There is no lobar bronchi narrowing. A metallic Ameroid constrictor is present in the cranial abdomen. The liver extends beyond the costal arch with smooth margins. There is moderate bilateral elbow periarticular bone formation. There is narrowing of the C6-C7 intervertebral disc space with moderate spondylosis deformans. The T6 vertebra is a congenitally anomalous hemivertebra. The patient is of overweight body condition. There is a large round mass in the subcutaneous tissues dorsolateral to the right scapula.</t>
  </si>
  <si>
    <t>1. There is concern for a bilateral aggressive rhinopathy. Rule out infectious or inflammatory rhinitis versus neoplasia._x000D_
2. The increased opacity within the right frontal sinus in comparison to the left frontal sinuses a nonspecific finding and could be secondary to sinusitis and accumulation of debris and/or hemorrhage. Neoplastic infiltration is also possible._x000D_
3. Moderate generalized cardiomegaly without evidence of decompensation. Rule out degenerative valve disease or a cardiomyopathy. Echocardiography can be considered for further evaluation._x000D_
4. The mild generalized bronchointerstitial pulmonary pattern is likely a benign age-related change. Allergic, inflammatory, infectious, inhaled irritant and parasitic bronchitis cannot be completely excluded._x000D_
5. There is no evidence of pulmonary metastatic disease._x000D_
6. The generalized hepatomegaly is nonspecific. Rule out metabolic/vacuolar hepatopathy, hyperplasia, hepatitis or infiltrative neoplasia. Sonography can be considered for further evaluation._x000D_
7. C6-C7 intervertebral disc disease._x000D_
8. Moderate bilateral elbow osteoarthrosis._x000D_
10. Multifocal periodontal disease._x000D_
11. Right periscapular subcutaneous mass. Rule out benign or malignant neoplasia. Tissue sampling can be considered for further evaluation.</t>
  </si>
  <si>
    <t xml:space="preserve">
1.Severe cardiomegaly has been detected but Heart Failure is NOT suspected._x000D_
2.MODERATE BRONCHOINTERSTITIAL PULMONARY PATTERN; MILD PERIHILAR INFILTRATE; MILD DYNAMIC AIRWAY DISEASE; ATELECTASIS or less likely, pneumonia._x000D_
3.Based on the AI airway/pulmonary findings, the probability of this patient having clinically detectable respiratory signs is MEDIUM to HIGH (50%-75%)_x000D_
4.Are respiratory signs present? If YES._x000D_
5.Are respiratory signs present? If NO.</t>
  </si>
  <si>
    <t>Three radiographs of the thorax, and six views of the abdomen are provided. The heart and pulmonary vessels are normal size and shape. Small round soft tissue density overlying the caudal dorsal heart on the right lateral view is end-on pulmonary vessel. There are no soft tissue pulmonary nodules or pleural effusion. Normal cranial mediastinal width._x000D_
_x000D_
In the abdomen serosal detail is adequate. There is small volume gas in the stomach and throughout the small bowel. Small volume minimally formed feces in the cecum. The colon is gas dilated. No radiopaque gastrointestinal foreign material. Normal-sized liver, spleen, kidneys. The urinary bladder is mildly filled and soft tissue opaque.</t>
  </si>
  <si>
    <t>Normal thorax and abdomen. Gastroenteritis secondary to dietary indiscretion is most likely. There is no evidence of an obstructive process. Small radiolucent gastric foreign material is not definitively ruled out, but felt to be unlikely with only a single episode of vomiting.</t>
  </si>
  <si>
    <t>Supportive care is recommended.</t>
  </si>
  <si>
    <t>Orthogonal radiographs of the thorax, upper lumbar spine, pelvis, and lateral view of each stifle are provided. The cardiac silhouette and pulmonary vessels are normal size and shape. Small round soft tissue density ventral to the tracheal bifurcation on the lateral view is end-on right main pulmonary artery. There are no abnormalities in the pulmonary parenchyma or pleural space. Adequate tracheal diameter. Normal cervicothoracic spine._x000D_
_x000D_
Narrowed T10-11 intervertebral disc space, an incidental anatomic variant. Vertebral alignment is normal. No narrowed lumbar intervertebral disc spaces or foramina. There is no endplate lysis. The viewable abdomen is unremarkable. The coxofemoral joints are congruent. Pelvic limb musculature is symmetric. The patellas are in normal position. There is moderate volume fluid in the cranial and caudal aspect of both stifle joints, more pronounced on the right side. No stifle degenerative change or popliteal lymphadenomegaly.</t>
  </si>
  <si>
    <t>1. Bilateral moderate stifle effusion most consistent with cranial cruciate ligament tear/rupture. This is slightly worse on the right side, and is the cause for lameness. The coxofemoral joints are normal._x000D_
2. No spinal abnormalities are appreciated. Non-mineralized intervertebral disc protrusion/extrusion remains possible._x000D_
3. Normal thorax. There is no evidence of cardiovascular disease on this study. A small valvular regurgitant jet can result in a relatively loud murmur.</t>
  </si>
  <si>
    <t>If lameness persists/progresses and the patient develops palpable stifle instability, surgical stabilization would be recommended.</t>
  </si>
  <si>
    <t>Orthogonal views of the thorax are provided:_x000D_
_x000D_
Thorax:_x000D_
_x000D_
Focal dorsal kinking of the trachea due to ventroflexion._x000D_
Cardiac silhouette shows a moderate enlargement of the left atrium dorsally displacing the carina._x000D_
Pulmonary vessels are within normal limits of size and shape._x000D_
Pulmonary parenchyma shows a mixed alveolo-intrestitial lung pattern in the right caudal lung lobe._x000D_
Pleural space, mediastinum, diaphragm and thoracic wall within normal limits._x000D_
_x000D_
Liver extends beyond the costal arch with sharp margins.</t>
  </si>
  <si>
    <t>1) Left atrial enlargement along with a mixed alveolo-intrestitial lung pattern in the right caudal lung lobe is concerning for a cariogenic pulmonary edema secondary to chronic mitral endocardiosis._x000D_
2) Hepatomegaly: Metabolic vs Vacuolar infiltration vs Hepatic nodular hyperplasia vs Inflammatory vs Toxic vs Neoplastic or a combination of these differentials.</t>
  </si>
  <si>
    <t>Consider oxygen supplementation, pro bnp, BP and lasix trial (prior evaluation of the renal function) with recheck radiographs in 12 hours (or sooner if clinically indicated) to re-evaluate and to monitor the response to treatment. Consider a cardiology consultation with ECG and echocardiogram once the patient is stable._x000D_
Consider also abdominal US to further evaluate the liver.</t>
  </si>
  <si>
    <t xml:space="preserve">
1.Are respiratory signs present? If NO._x000D_
2.SEVERE INTERSTITIAL TO ALVEOLAR PATTERN; MODERATE BRONCHIAL PATTERN; SEVERE DYNAMIC AIRWAY DISEASE._x000D_
3.Based on these AI airway/pulmonary findings, the probability of this patient having clinically detectable respiratory signs is VERY HIGH (&gt;75%)_x000D_
4.Are respiratory signs present? If YES._x000D_
5.Severe cardiomegaly has been detected but Heart Failure is NOT suspected.</t>
  </si>
  <si>
    <t xml:space="preserve">THORAX (6 images):
Images are dated August 21, 2024.
Ventrodorsal image is underexposed in the mid-thorax.
Pulmonary parenchyma: A mild diffuse bronchial and minimal to mild interstitial pattern is present.
Pulmonary vasculature: The pulmonary vasculature is subjectively normal in size and tapers in the periphery of the lungs.
Cardiac silhouette: The cardiac silhouette is normal in size and shape.
Mediastinum: A left-sided convex soft tissue margin near the cranial mediastinum in one ventrodorsal image, is not corroborated in the alternate ventrodorsal image.  No obvious cranial mediastinal widening is identified.  Superimposed thoracic limbs over the mediastinum results in ill-defined increased soft tissue in the lateral images.  
Trachea: The trachea is normal.
Esophagus: The esophagus is not well-identified.
Pleural space: The pleural space is normal.
Musculoskeletal: Minimal bilateral shoulder osteoarthrosis is suspected.  Thoracic limbs superimpose over the cranial thorax/mediastinum in the lateral image.   A broad-based, disc shape soft tissue nodules in the in the left extra-thoracic soft tissues lateral to the 6/7th ribs.  The right caudolateral extra-thoracic soft tissues are enlarged with fat opacity in the ventrodorsal image.  The remaining included musculoskeletal structures are normal.
</t>
  </si>
  <si>
    <t>1. Presumed artifact/patient positioning versus early/evolving sternal/mediastinal lymphadenomegaly or mass.
2. Mild diffuse bronchial and minimal interstitial pulmonary patterns such as from fibrosis from prior disease, age-related changes, or less likely infectious/immune-mediated lower airway disease or unlikely other.
3. Left extra-thoracic soft tissue nodule such as from evolving malignancy/soft tissue sarcoma versus other.
4. Right caudolateral extra-thoracic soft tissues enlargement due to fat deposition and/or evolving neoplasia.</t>
  </si>
  <si>
    <t>Consider computed tomography versus cranial mediastinal ultrasonography given patient size for a more sensitive evaluation of the thorax and mediastinum.  Computed tomography may also be beneficial for pre-surgical planning of reported mass excisional/incisional biopsy.   Consider tissue sampling of mediastinal mass/lymphadenomegaly if confirmed. Oncologist consultation depending on results.  Empirical therapy and supportive care in the interim as needed.  Monitoring with routine blood work and thoracic imaging as directed, or sooner if clinical signs acutely change, fail to improve or worsen.</t>
  </si>
  <si>
    <t xml:space="preserve">
1.A minimal interstitial pattern has been detected._x000D_
2.The cardiac silhouette size is normal._x000D_
3.There is no evidence of BRONCHITIS, ALVEOLAR PATTERN, DYNAMIC AIRWAY COLLAPSE or BRONCHIECTASIS, PULMONARY NODULES or PLEURAL EFFUSION.</t>
  </si>
  <si>
    <t>Left stifle: There is mild increase in soft tissue opacity involving the stifle joint.  There are no osseous abnormalities identified._x000D_
_x000D_
Right stifle: There is a mild increase in soft tissue opacity involving the stifle joint.  There are no osseous abnormalities identified._x000D_
_x000D_
Pelvis: There are no abnormalities involving the pelvis or coxofemoral joints._x000D_
_x000D_
Thorax: There is a mild diffuse interstitial pattern which is most prominent within the caudal dorsal thorax.  This finding is augmented by pulmonary underinflation.  The remainder of the pulmonary parenchyma is unremarkable.  The cardiac silhouette and pulmonary vasculature are unremarkable.</t>
  </si>
  <si>
    <t>Mild increase in soft tissue opacity involving both stifles which may represent mild effusion._x000D_
_x000D_
Diffuse interstitial pattern.  This may be artifactual and secondary to pulmonary underinflation.  Alternatively an infectious process cannot be ruled out.</t>
  </si>
  <si>
    <t xml:space="preserve">
1.PLEURAL EFFUSION or less likely, OVERLYING SKIN FOLDS MIMICKING PLEURAL FLUID; PULMONARY NODULAR PATTERN likely due to END ON PULMONARY VESSELS, PROMINENT COSTOCHONDRAL JUNCTIONS or OVERLYING CUTANEOUS NODULES; MILD BRONCHIAL PATTERN._x000D_
2.Based on these AI airway/pulmonary findings, the probability of this patient having clinically detectable respiratory signs is HIGH (75%)_x000D_
3.Pleural fissure lines or moderate to severe pleural effusion has been detected._x000D_
4.The evaluation has a strong suspicion of pulmonary nodules or mass lesion being present._x000D_
5.A mild bronchial pattern has also been detected._x000D_
6.PULMONARY NODULAR PATTERN; MINIMAL BRONCHOINTERSTITIAL PULMONARY PATTERN._x000D_
7.The evaluation has come up positive for a pulmonary nodular pattern._x000D_
8.Based on these AI airway/pulmonary findings, the probability of this patient having clinically detectable respiratory signs is MEDIUM (50%)_x000D_
9.Are respiratory signs present. If YES._x000D_
10.Are respiratory signs present. If NO._x000D_
11.The cardiac silhouette size is normal._x000D_
12.There is no evidence of PERIHILAR INFILTRATE or DYNAMIC AIRWAY COLLAPSE or BRONCHIECTASIS.</t>
  </si>
  <si>
    <t>Orthogonal views of the thorax and abdomen are provided:_x000D_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contains a suspected oval foreign body._x000D_
Small intestines are mildly gas and fluid filled, not overtly distended. _x000D_
Serosal detail is preserved._x000D_
Liver and spleen are within normal limits of size and smoothly marginated._x000D_
Kidneys and urinary bladder WNL._x000D_
_x000D_
Visible spine is unremarkable (other than congenital hemivertebrae) without signs of disc herniation, aggressive bone lesions, vertebral fractures or subluxations.</t>
  </si>
  <si>
    <t>1) Unremarkable thorax without signs of pulmonary metastases nor signs of thoracic lymphadenopathy._x000D_
2) Suspected oval gastric foreign body.</t>
  </si>
  <si>
    <t>Consider a neuro exam with MRI if necessary. Take advantage of sedation for a gastroscopy (prior abdominal US).</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</si>
  <si>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6.Mild cardiomegaly has been detected but Heart Failure is NOT suspected.</t>
  </si>
  <si>
    <t xml:space="preserve">THORAX (4 images):
Images are dated August 21, 2024.
Pulmonary parenchyma: A mild to moderate diffuse bronchial pattern is present.  A minimal diffuse interstitial pattern is present. 
 In the right lateral image, a suspected left lobar bronchus is ventrally displaced, and ill-defined interstitial to alveolar soft tissue is suspected just ventral to this bronchus.  
Pulmonary vasculature: The pulmonary vasculature is subjectively normal in size and tapers in the periphery of the lungs.
Cardiac silhouette: The cardiac silhouette is normal in size and shape.
Mediastinum:  In the left lateral image, rounded increased soft tissue is suspected in the peri-hilar region.  In the ventrodorsal image, rounded increased soft tissue is suspected in the region of the left tracheobronchial lymph node.  The cranial mediastinum is normal.
Trachea: The trachea is normal.
Esophagus: The esophagus is not well-identified.
Pleural space: The pleural space is normal.
Musculoskeletal: The included musculoskeletal structures are normal.
</t>
  </si>
  <si>
    <t>1. Suspected left tracheobronchial lymphadenomegaly versus artifact from positioning/technique, or unlikely evolving mass (pulmonary or cardiac).
- If present, this may be due to reactive hyperplasia such as from systemic infectious/inflammatory disease (blastomycosis spp. or occult fungal/granulomatous disease is considered) or unlikely metastatic neoplasia from occult primary malignancy.
2. Mild-moderate diffuse bronchial and minimal interstitial pulmonary pattern.
- Differential diagnoses include infectious/immune-mediated lower airway disease (such as from bordetella spp., mycoplasma spp., parasitism such as lung worms, versus evolving granulomatous infectious disease such as from blastomycosis spp.), and/or fibrosis from prior disease, age-related changes, or unlikely other.
3. Suspected left lobar bronchial displacement versus artifact from positioning/technique.
- If present, this may be due to left tracheobronchial lymphadenomegaly/mass.
4. Left lung lobe interstitial/alveolar pattern from compression/atelectasis versus evolving pneumonia or other.</t>
  </si>
  <si>
    <t>Consider computed tomography of the thorax for further evaluation of the middle mediastinum and lungs.  Consider respiratory PCR panel, airway sampling, and fecal analysis/deworming for further evaluation.  Abdominal imaging may be contributory to screen for occult systemic disease or primary neoplasm.  Empirical therapy and supportive care in the interim as needed.  Monitoring as directed or sooner if clinical signs acutely change, fail to improve or worsen.</t>
  </si>
  <si>
    <t>Three radiographs of the thorax, and three views of the abdomen are provided. The cardiac silhouette and pulmonary vessels are normal size and shape. There are several incidental pulmonary osteomas consistent with age. No soft tissue pulmonary nodules or pleural effusion. Normal cranial mediastinal width._x000D_
_x000D_
In the abdomen there is slight reduced mid abdominal detail. The splenic tail is questionably seen on the right lateral view and is normal size. The spleen is not seen on the other two views. Normal-sized liver and kidneys. The gastrointestinal tract and urinary bladder are minimally filled. The prostate is not visible. Spondylosis deformans is likely incidental.</t>
  </si>
  <si>
    <t>Reduced mid abdominal detail is concerning for effusion. With the history of suspected splenic mass and anemia, hemangiosarcoma is of concern. A definitive mass lesion is not identified on this study. The abdomen and thorax are otherwise normal.</t>
  </si>
  <si>
    <t xml:space="preserve">
1.Are respiratory signs present? If YES._x000D_
2.Are respiratory signs present? If NO._x000D_
3.The evaluation has come up positive for a pulmonary nodular pattern._x000D_
4.The cardiac silhouette size is normal._x000D_
5.There is no evidence of DYNAMIC AIRWAY COLLAPSE or BRONCHIECTASIS._x000D_
6.PLEURAL EFFUSION or PLEURAL FISSURE LINES; MODERATE INTERSITIAL TO ALVEOLAR PATTERN; MILD PERIHILAR INFILTRATE._x000D_
7.Based on these AI airway/pulmonary findings, the probability of this patient having clinically detectable respiratory signs is HIGH (75%)</t>
  </si>
  <si>
    <t>Orthogonal views of the thorax are provided:_x000D_
_x000D_
Thorax:_x000D_
_x000D_
No abnormalities seen in the trachea._x000D_
Cardiac silhouette shows a mild enlargement of the left atrium dorsally displacing the carina, being shifted towards the left hemithorax due to positional atelectasis._x000D_
Pulmonary vessels are within normal limits of size and shape._x000D_
Pulmonary parenchyma is within normal limits. No evidence of pneumonia nor signs of pulmonary nodules/masses._x000D_
Pleural space, mediastinum, diaphragm and thoracic wall within normal limits._x000D_
_x000D_
Liver extends beyond the costal arch with sharp margins.</t>
  </si>
  <si>
    <t>1) Left atrial enlargement secondary to chronic mitral endocardiosis without signs of CHF. Rule out concomitant tricuspid endocardiosis with pulmonary hypertension._x000D_
2) Unremarkable lungs do not exclude a bronchitis of allergic vs inflammatory/infectious or parasitic origin._x000D_
3) Hepatomegaly: Metabolic vs Vacuolar infiltration vs Hepatic nodular hyperplasia vs Inflammatory vs Toxic vs Neoplastic or a combination of these differentials.</t>
  </si>
  <si>
    <t xml:space="preserve">
1.A mild interstitial to alveolar pattern has been detected._x000D_
2.Pleural fissure lines or small volume pleural effusion has been detected. In a mildly overweight animal, excessive pericardial fat can artifactually mimic the result of minimal pleural effusion._x000D_
3.A mild perihilar infiltrate has been detected._x000D_
4.The cardiac silhouette size is normal._x000D_
5.There is no evidence of BRONCHITIS, DYNAMIC AIRWAY COLLAPSE or BRONCHIECTASIS or PULMONARY NODULES.</t>
  </si>
  <si>
    <t>Study:_x000D_
Thoracic and abdominal radiography: six images dated August 21, 2024_x000D_
_x000D_
Findings:_x000D_
The cardiac silhouette (VHS approximately 10) and pulmonary vasculature are normal in size. The pulmonary parenchyma is unremarkable. The pleural space is normal. There is no intrathoracic lymphadenopathy. The trachea is normal in diameter and course. The abdominal serosal detail is adequate. The stomach is empty. The small intestines are normal in size, course and content. The colon contains formed fecal material with a normal diameter. The liver extends mildly beyond the costal arch with smooth and sharp margins. The spleen is normal in size and shape. The renal silhouettes are normal in size and contour. The urinary bladder is normal in size and opacity. The uterus and ovaries are not visualized. There is mild L2-L3 and L7-S1 spondylosis deformans.</t>
  </si>
  <si>
    <t>1. Normal thorax. There is no radiographic evidence of heart disease. Consider echocardiography for further evaluation of the reported heart murmur._x000D_
2. A cause of coughing is not evident. Lack of a definitive bronchial pulmonary pattern does not exclude the possibility of allergic/inflammatory, infectious, irritant or parasitic bronchitis. Consider laryngeal paralysis_x000D_
3. There is no radiographic evidence of pulmonary metastatic disease._x000D_
4. The generalized hepatomegaly is nonspecific. Rule out metabolic/vacuolar hepatopathy, hyperplasia, hepatitis or infiltrative neoplasia. Correlate with any liver enzyme abnormalities. Sonography can be considered for further evaluation if clinically relevant._x000D_
5. A definitive cause of the reported chronic weight loss, lethargy, hyporexia and hypoalbuminemia is not evident. Full diagnostic abdominal sonography, a G.I. panel and a urine protein creatinine ratio can be considered for further evaluation.</t>
  </si>
  <si>
    <t>Study:_x000D_
Thoracic/abdominal radiography: three images dated August 21, 2024_x000D_
_x000D_
Findings:_x000D_
The cardiac silhouette and pulmonary vasculature are normal in size. The there is a mild generalized bronchial pulmonary pattern. The pleural space is normal. There is no intrathoracic lymphadenopathy. The trachea is normal in diameter and course. There is no esophageal dilation. The abdominal serosal detail is adequate. The stomach contains a small volume of gas. On the right lateral projection, there is an indistinct soft tissue opacity in a gas-filled segment of small bowel in the mid-ventral abdomen. The small mineral opacities are present in small intestinal segments in the caudal abdomen. There is no small intestinal dilation. The colon contains formed fecal material. The liver and spleen are normal in size and margin. The renal silhouettes are normal in size and contour. The region of the urinary bladder is not included. The osseous structures are unremarkable. Suture material is present in the mid-ventral abdominal body wall.</t>
  </si>
  <si>
    <t>1.  The mild generalized bronchial pulmonary pattern may indicate allergic, inflammatory, infectious, parasitic or irritant bronchitis. Correlate with any coughing/respiratory signs. Airway sampling, heartworm testing and Baermann fecal flotation can be considered for further evaluation if clinically relevant._x000D_
2. The soft tissue opacity seen in the small intestinal segment in the midabdomen may represent food or foreign material. The mineral opacities in the small intestines in the caudal abdomen may indicate dietary indiscretion or may be an incidental finding depending on the contents of the patient=ZZ91=s normal diet and treats. There is no evidence of small test mechanical obstruction. Abdominal sonography can be considered for further evaluation of the reported vomiting persists or worsens in spite of medical management.</t>
  </si>
  <si>
    <t>Orthogonal radiographs of the thorax, and three views of the abdomen are provided. The cardiac silhouette and pulmonary vessels are normal size. Thin mineral density overlying the cranial heart on the right lateral view is likely incidental aortic annulus mineralization or lung granuloma. There is no pleural effusion or soft tissue pulmonary nodules. Normal tracheal diameter. No esophageal dilation._x000D_
_x000D_
In the abdomen there is fluid in the distal colon. Small intestines are minimally filled. Small volume gas in the stomach. Thin linear stacked soft tissue densities overlying the stomach on the right lateral view are normal rugal folds. No radiopaque foreign material. Normal-sized liver, kidneys, spleen. The urinary bladder is minimally distended.</t>
  </si>
  <si>
    <t>Liquid diarrhea. Otherwise normal abdomen. A reason for vomiting and diarrhea is not identified. Gastroenteritis is most likely. Small radiolucent gastric foreign material is not definitively ruled out. The thorax is normal.</t>
  </si>
  <si>
    <t>Abdominal ultrasound is recommended. If ultrasound is not available, an upper GI series is another option.</t>
  </si>
  <si>
    <t>6 views of the thorax and abdomen are submitted for review.  There is increased soft tissue opacity in the cranial mediastinal region.  The cardiac silhouette also appears very prominent and rounded in shape.  There is increased perihilar soft tissue opacity at the caudal dorsal aspect of the heart causing acute ventral deviation of the carina and mainstem bronchi.  Mild bronchointerstitial pulmonary markings are noted.  No definitive pleural effusion is noted.  The trachea is normal in diameter._x000D_
In the abdomen, the liver is subjectively prominent in size with slightly rounded serosal margins.  The spleen is normal in size and shape.  The unobscured margins of the renal silhouettes and urinary bladder are normal.  A mild amount of gas is noted in the stomach and small bowel.  No overtly dilated loops of bowel are seen.  The cecum and colon are mostly empty.  Serosal detail is adequate._x000D_
Chronic degenerative changes and intervertebral disc space narrowing is noted at T13-L1.  No aggressive bony changes are seen.</t>
  </si>
  <si>
    <t>Suspect large cranial mediastinal mass and severe tracheobronchial lymphadenopathy.  This could be consistent with round cell or metastatic neoplasia.  Disseminated mycosis is also possible (as with coccidioidomycosis/valley fever).  Alternative considerations for the cranial mediastinal mass could include other neoplasia such as thymoma or ectopic thyroid carcinoma.  The appearance of the cardiac silhouette could be consistent with right-sided cardiomegaly, and pulmonary hypertension, pericardial effusion, or neoplasia associated with the right heart._x000D_
The mild prominence of the liver could be consistent with vacuolar hepatopathy, venous congestion, neoplasia, or inflammation._x000D_
Likely incidental finding of chronic intervertebral disc disease at the thoracolumbar junction.</t>
  </si>
  <si>
    <t>An ultrasound of the cranial mediastinal region and an echocardiogram are recommended.  A thoracic CT scan may ultimately be indicated.  An abdominal ultrasound could also be considered.  Fungal testing may be indicated, particularly if there is a travel history to the Southwestern United States or other endemic areas for Coccidioides.</t>
  </si>
  <si>
    <t xml:space="preserve">
1.PLEURAL EFFUSION or PLEURAL FISSURE LINES; PULMONARY NODULES or NODULAR PATTERN; MODERATE TO SEVERE INTERSTITIAL TO ALVEOLAR PATTERN; MILD BRONCHITIS._x000D_
2.Based on the AI airway/pulmonary findings, the probability of this patient having clinically detectable respiratory signs is VERY HIGH (&gt;75%)_x000D_
3.The evaluation has a suspicion of pleural effusion and soft tissue pulmonary nodules or a mass lesion being present._x000D_
4.Are respiratory signs present? If YES._x000D_
5.Resource: https://vsso.org/lung-tumors-canine_x000D_
6.Are respiratory signs present? If NO._x000D_
7.SEVERE INTERSTITIAL TO ALVEOLAR INFILTRATE, MODERATE DYNAMIC AIRWAY DISEASE, MILD BRONCHIAL PATTERN, MILD PERIHILAR INFILTRATE._x000D_
8.Based on these AI airway/pulmonary findings, the probability this patient will have clinically detectable respiratory signs is NEAR CERTAINTY (&gt;99%)_x000D_
9.Are respiratory signs present? If YES._x000D_
10.Are respiratory signs present? If NO._x000D_
11.Severe cardiomegaly has been detected but Heart Failure is NOT suspected.</t>
  </si>
  <si>
    <t>Three radiographs of the thorax, and three views of the abdomen are provided. The cardiac silhouette is normal size and shape. There are no abnormalities in the pulmonary parenchyma. No pleural effusion. Normal tracheal diameter._x000D_
_x000D_
In the abdomen serosal detail is adequate. The liver is normal size. There are several smoothly irregular tubular arborizing mineral densities overlying the liver. Normal-sized spleen and left kidney. The right kidney is obscured. Small to moderate volume of amorphous soft tissue opacity in the stomach. Small intestines are diffusely mildly filled with gas and fluid. There is gas in the cecum and colon. No radiopaque foreign material or urolithiasis. Mineral density overlies the L3-4 intervertebral foramen.</t>
  </si>
  <si>
    <t>1. Mineralization overlying the liver is most likely choledocholithiasis. This is typically an incidental finding. Otherwise normal abdomen._x000D_
2. The appearance of L3-4 may represent a protruding/extruded intervertebral disc. This could be responsible for discomfort._x000D_
3. Normal thorax.</t>
  </si>
  <si>
    <t>Recommend a CBC, blood chemistry profile, palpation for spinal discomfort, and a neurologic examination. Depending on lab work results, further investigation with abdominal ultrasound may also be indicated.</t>
  </si>
  <si>
    <t xml:space="preserve">
1.A minimal interstitial pattern has been detected._x000D_
2.The cardiac silhouette size is normal._x000D_
3.There is no evidence of BRONCHITIS, ALVEOLAR PATTERN, PERIHILAR INFILTRATE, DYNAMIC AIRWAY COLLAPSE or BRONCHIECTASIS or PULMONARY NODULES.</t>
  </si>
  <si>
    <t>Nine radiographs are provided, with images of the thorax, abdomen, pelvis, and stifles. The cardiac silhouette is normal size and shape. Mild unstructured interstitial pattern is normal for the age in size of this patient. The hazy increased opacity cranioventral to the heart on the lateral view is superimposed thoracic limb tissue. There is no pleural effusion. Normal tracheal diameter._x000D_
_x000D_
In the abdomen serosal detail is adequate. The liver and spleen are normal size. The kidneys are obscured. The gastrointestinal tract is mildly filled. The urinary bladder is mildly distended and soft tissue opaque. The prostate is not visible. The coxofemoral joints are congruent. Pelvic limb musculature is slightly reduced on one side (no laterality marker on the VD view). Patellar location is normal. There is large volume fluid in the cranial aspect of both stifle joints, with mild periarticular osseous remodeling. No popliteal lymphadenomegaly.</t>
  </si>
  <si>
    <t>1. Bilateral severe stifle effusion, most consistent with cranial cruciate ligament tear/rupture. This is the cause for lameness. Since the effusion is bilateral, an inflammatory process such as rickettsial disease is possible but much less likely. Normal coxofemoral joints._x000D_
2. Normal abdomen and thorax.</t>
  </si>
  <si>
    <t>Sedation will likely be necessary for thorough stifle palpation. If lameness is severe/persistent and there is palpable stifle instability, surgical stabilization would be recommended.</t>
  </si>
  <si>
    <t xml:space="preserve">
1.A mild bronchial pattern has been detected._x000D_
2.The cardiac silhouette size is normal._x000D_
3.There is no evidence of ALVEOLAR PATTERN, DYNAMIC AIRWAY COLLAPSE or BRONCHIECTASIS or PLEURAL EFFUSION._x000D_
4.The evaluation has come up positive for a pulmonary nodular pattern.</t>
  </si>
  <si>
    <t>A three view study of the thorax is provided for interpretation and comparison to the previous study dated 7-24-24._x000D_
_x000D_
The previously identified mild esophageal dilation is resolved. The appearance of the lungs is entirely normal in the lateral views. In the VD view there is a focal opacity at the level of the right third intercostal space superimposed over the caudal aspect of the scapula and the edge of the heart. There is also a more subtle opacity next to midline on the right side at the level of the first rib._x000D_
There is severe spondylosis deformans throughout the thoracic spine including C7-T1. There is also severe chronic remodeling change involving the cost of condyle junctions and costal arch including the sternal articulations._x000D_
The heart has a rounded appearance, and is at the upper end of acceptable size range overall.</t>
  </si>
  <si>
    <t>The pneumonia appears resolved. There is an unusual opacity at the right fourth intercostal space, but this is likely to be superimposition artifact from the proliferative right fifth costochondral junction and the caudal border the scapula._x000D_
There is another subtle opacity in the cranial thorax in the VD view just right of midline, but this is also presumed artifactual since no corresponding shadows are seen in the other views._x000D_
_x000D_
The heart has a rounded appearance in the lateral views which is slight more prominent than it was in the previous study. However, the shape of the heart is normal in the VD view. The rounded appearance could be a benign variant, but right ventricular dilation cannot be excluded. Further investigation may be warranted if any auscultable cardiac abnormalities are present.</t>
  </si>
  <si>
    <t>The pulmonary disease appears resolved. No further diagnostics or treatment for this are indicated based on this study._x000D_
_x000D_
Significance of the rounded appearance of the heart is unknown. This may well be normal for this patient. Echocardiography should be considered if a heart murmur or arrhythmia is present.</t>
  </si>
  <si>
    <t xml:space="preserve">
1.PULMONARY NODULES or NODULAR PATTERN; MODERATE INTERSTITIAL TO ALVEOLAR PATTERN; MILD BRONCHITIS._x000D_
2.Based on the AI airway/pulmonary findings, the probability of this patient having soft tissue pulmonary nodules and clinically detectable respiratory signs is MEDIUM (&gt;50%)_x000D_
3.Concurrent bronchointerstitial lung disease (bacterial vs allergic vs parasitic lung disease, including heartworm patholsis), atelectasis, pneumonia or pulmonary hemorrhage may be present._x000D_
4.The cardiac silhouette size is normal._x000D_
5.The evaluation result has a strong suspicion of soft tissue pulmonary nodules being present.</t>
  </si>
  <si>
    <t>Orthogonal views of the thorax and abdomen are provided:_x000D_
_x000D_
Thorax:_x000D_
_x000D_
Cardiac silhouette shows a moderate enlargement of the left atrium dorsally displacing the carina._x000D_
Pulmonary vessels are within normal limits of size and shape._x000D_
Pulmonary parenchyma is unremarkable other than multiple pulmonary osteomata._x000D_
Pleural space, mediastinum, diaphragm and thoracic wall within normal limits._x000D_
_x000D_
Abdomen:_x000D_
_x000D_
There is a large rounded to oval mid to right sided abdominal mass pushing the duodenum medially. Serosal detail is preserved._x000D_
The stomach is empty. _x000D_
Small intestines are mildly gas and fluid filled, not overtly distended. _x000D_
Liver is within normal limits of size and smoothly marginated._x000D_
Kidneys and urinary bladder WNL._x000D_
Cranioventral SC lipoma.</t>
  </si>
  <si>
    <t>1) Left atrial enlargement secondary to chronic mitral endocardiosis without signs of CHF._x000D_
2) Splenic mass: rule out neoplasia (HS vs round cell neoplasia felt far less likely) vs benign such as lymphoid hyperplasia or hematoma. Other differentials for this mass are unlikely.</t>
  </si>
  <si>
    <t>Consider abdominal US to further evaluate the mass and the rest of the abdomen for abdominal metastases (such as in the liver). Consider an echocardiogram to rule out a concomitant right atrial mass. If the mass shows characteristics of an hemangiosarcoma, then a whole body contrast CT is recommmended given 25% of hemangiosarcomas lead to muscular metastases, affecting prognosis of the disease.</t>
  </si>
  <si>
    <t xml:space="preserve">
1.Severe cardiomegaly has been detected but Heart Failure is NOT suspected._x000D_
2.MODERATE INTERSTITIAL TO ALVEOLAR INFILTRATE; CONCURRENT MODERATE BRONCHIAL PATTERN; MILD PERIHILAR INFILTRATE._x000D_
3.MODERATE BRONCHOINTERSTITIAL PULMONARY PATTERN; ALVEOLAR INFILTRATE or ATELECTASIS; DYNAMIC AIRWAY DISEASE._x000D_
4.Pleural fissure lines or moderate to severe pleural effusion has been detected. An overlying skin fold or in an obese animal, excessive pericardial fat could artifactually mimic the result of severe pleural effusion._x000D_
5.Based on the AI airway/pulmonary findings, the probability of this patient having clinically detectable respiratorysigns is MEDIUM to HIGH (50-75%)_x000D_
6.Based on these AI airway/pulmonary findings, the probability of this patient having clinically detectable respiratory signs is MEDIUM (50%)_x000D_
7.Are respiratory signs present? If YES._x000D_
8.Are respiratory signs present? If YES._x000D_
9.Are respiratory signs present? If NO._x000D_
10.AI linked bacterial pneumonia treatment in dogs: https://platform.v2.vetology.net/doc/pneumonia-in-dogs-and-cats_x000D_
11.Are respiratory signs present? If NO.</t>
  </si>
  <si>
    <t>Orthogonal views of the thorax are provided:_x000D_
_x000D_
Thorax:_x000D_
_x000D_
Cardiac silhouette has a normal shape and size._x000D_
Pulmonary vessels are within normal limits of size and shape._x000D_
Pulmonary parenchyma shows a large and oval to irregularly shaped mass craniodorsally located in the right caudal lung lobe associated with other concomitant pulmonary nodules in the left lung lobes._x000D_
Pleural space, mediastinum, diaphragm and thoracic wall within normal limits.</t>
  </si>
  <si>
    <t>1) Large right caudal pulmonary mass with concomitant pulmonary metastases.</t>
  </si>
  <si>
    <t>US guided FNAs of the mass with oncologist consultation (ideally after a CT of the thorax).</t>
  </si>
  <si>
    <t xml:space="preserve">
1.MILD BRONCHOINTERSTITIAL PULMONARY PATTERN; MILD DYNAMIC AIRWAY DISEASE; ATELECTASIS or less likely, pneumonia._x000D_
2.Based on these AI airway/pulmonary findings, the probability of this patient having clinically detectable respiratory signs is MEDIUM (50%)_x000D_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6.Moderate cardiomegaly has been detected but Heart Failure is NOT suspected.</t>
  </si>
  <si>
    <t>Three radiographs of the thorax, and four views of the thoracic limbs are provided. Comparison images of the distal thoracic limbs dated October 4, 2021 are available. In the thorax the cardiac silhouette is normal size and shape. Pulmonary vessels are normal size. There are mild age-related changes in the lungs. No soft tissue pulmonary nodules or pleural effusion. Fat deposition separates the ventral heart from the sternum. Normal tracheal diameter and cranial mediastinal width._x000D_
_x000D_
There is curvilinear mineral density overlying the right humeral greater tubercle on the lateral view. There is mild degenerative change in both elbows, worse on the left. There is broad-based soft tissue opaque mass measuring at least 7.2 x 4.2 cm (incompletely included on the craniocaudal view) medial to the distal left humeral diaphysis/metaphysis. There is irregular/amorphous osseous proliferation along the medial aspect of the mass, and a moderate amount of smooth uninterrupted periosteal proliferation on the adjacent humerus. No definitive osseous lysis. Patchy bone opacity in the mid right radius/ulna on the craniocaudal view is normal interosseous ligament attachment site. There is osteoarthritis in the right 2nd and 5th metacarpophalangeal joints, and left 5th metacarpophalangeal joint as before, incidental.</t>
  </si>
  <si>
    <t>1. Partially mineralized soft tissue mass medial to the distal left humerus, with adjacent periosteal proliferation. Soft tissue sarcoma is most likely._x000D_
2. Bilateral cubital osteoarthritis._x000D_
3. Probable bicipital tendinopathy on the right._x000D_
4. Normal thorax.</t>
  </si>
  <si>
    <t>Cytology/pathology of the left brachial mass is recommended for a definitive diagnosis.</t>
  </si>
  <si>
    <t>A three view study of the thorax is provided for interpretation._x000D_
_x000D_
A large mass with mildly defined margins that measures in the range of 10 x 12 cm is identified involving the right cranial lung lobe. There are many tiny nodules throughout the other lung fields, most of these tiny nodules appear mineralized. No pleural fissure lines are seen. There is a moderate bronchial pattern. No tracheal or esophageal abnormalities are identified. The cranial abdominal organs are within normal limits.</t>
  </si>
  <si>
    <t>There is a mass involving the right cranial lung lobe. This lesion most likely represents pulmonary neoplasia, but this is not definitive. Pulmonary abscess or chronic lobar pneumonia could appear similar._x000D_
_x000D_
There is also a diffuse bronchial pattern. The appearance is most compatible with chronic bronchitis. However, considering the presence of a pulmonary mass fungal pneumonia with granuloma formation involving the right cranial lobe should also be considered._x000D_
_x000D_
The miliary pattern of tiny nodules is suspected to be the result of benign osteomas due to age related change. The possibility of metastatic nodules cannot be entirely excluded but is felt less likely in this case.</t>
  </si>
  <si>
    <t>CBC and serum chemistry is recommended. Fungal panel should also be considered depending on potential exposure._x000D_
_x000D_
CT would be ideal for more definitive evaluation._x000D_
If CT is not an option, ultrasound evaluation of the mass and sampling for cytology/histology is recommended.</t>
  </si>
  <si>
    <t xml:space="preserve">
1.Are respiratory signs present? If YES._x000D_
2.Are respiratory signs present? If NO._x000D_
3.SEVERE ALVEOLAR PATTERN; PLEURAL EFFUSION or PLEURAL FISSURE LINES; MODERATE DYNAMIC AIRWAY DISEASE; MILD, DIFFUSE BRONCHOINTERSTITIAL PULMONARY PATTERN._x000D_
4.Based on the AI airway/pulmonary findings, the probability of this patient having clinically detectable respiratory signs is VERY HIGH (&gt;75%)_x000D_
5.Mild cardiomegaly has been detected but Heart Failure is NOT suspected.</t>
  </si>
  <si>
    <t>Study:_x000D_
17 images that include the thorax, abdomen, spine, pelvis and extremities dated August 21, 2024_x000D_
_x000D_
Findings:_x000D_
_x000D_
Thorax:_x000D_
The cardiac silhouette and pulmonary vasculature are normal in size. The pulmonary parenchyma is unremarkable. The pleural space is normal. There is no intrathoracic lymphadenopathy. The larynx is unremarkable. The trachea is normal in diameter and course. There is no esophageal dilation._x000D_
_x000D_
Abdomen:_x000D_
The serosal detail is normal. The stomach contains unstructured heterogeneous soft tissue material presumed to be ingesta. The small intestines are normal in size, course and content. The colon contains formed fecal materia with interspersed granular mineral l. The liver and spleen are normal in size and margin. The kidneys are normal in size and contour. The urinary bladder is normal in size and opacity._x000D_
_x000D_
Musculoskeletal:_x000D_
The atlantooccipital junction is normal. The dens is intact and well defined. The atlantoaxial joint space is normal. There is no apparent intervertebral disc space or foraminal narrowing. There is no evidence of discospondylitis. The glenohumeral joints are unremarkable with smooth marginated articular surfaces. The elbow joints are congruent. The anconeal process is appropriately fused bilaterally. The medial coronoid process is sharply marginated and well defined bilaterally. No degenerative change is present in either elbow. The bones of the carpus and manus are unremarkable bilaterally. The thoracic limb musculature is bilaterally symmetric. There is adequate coverage of the femoral head by the acetabulum bilaterally. The (bilateral) degree of flattening of the femoral head is considered within normal limits for the fovea capitis. The patella is in the correct anatomic location bilaterally. The degree of soft tissue opacity within the stifle joint spaces is bilaterally symmetric and within normal limits. No degenerative change is present in either stifle. The bones of the tarsus and pes are unremarkable bilaterally. There is no evidence of aggressive osseous disease. The pelvic limb musculature is bilaterally symmetric.</t>
  </si>
  <si>
    <t>1. There are no skeletal abnormalities. A cause of pain is not evident. Lack of any apparent intervertebral disc space narrowing does not exclude the possibility of intervertebral disc disease._x000D_
2. Normal thorax._x000D_
3. The granular mineral the colon may indicate dietary indiscretion or may be an incidental finding depending on the contents of the patient=ZZ91=s normal diet and treats. The abdomen is otherwise unremarkable.</t>
  </si>
  <si>
    <t>Consider neurology consultation plus/minus MRI can be considered for further evaluation if the clinical signs persist or worsen in spite of continued pain management and activity restriction. Abdominal sonography and cPLI testing can be considered to further evaluate for intra-abdominal sources of pain.</t>
  </si>
  <si>
    <t>Eighteen orthogonal survey radiographs of the thorax and abdomen dated 21st August 2024 are available for review. There are no previous radiographs available for comparison. _x000D_
_x000D_
Thorax: _x000D_
Airway findings: The thorax is hypoinflated. The cervical and thoracic trachea have a normal size, outline and position. The carina, tracheal bifurcation and mainstem bronchi are normal. The pulmonary parenchyma has an increased interstitial opacification._x000D_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The patient is morbidly obese. There is suspect lysis and dystrophic mineralisation at the most caudal sternal segment. Most cervical images are obliqued. The cervical vertebral body alignment is normal. No mineral opaque material is seen within, or dorsal to the intervertebral disc spaces. The intervertebral disc width is within normal limits. The size of the lateral foramina is within normal limits._x000D_
_x000D_
Abdomen: The hepatic silhouette is mild increased with smooth borders. The spleen is normal in shape, size and position. The kidneys are partially obscured by gastrointestinal contents, but the visible aspect are normal. The stomach is mainly empty, with a normal axis. The small intestines are distributed evenly and are within normal limits for shape, size and contents. The ascending, transverse and descending colon have a normal position and contain gradually more formed faeces. The urinary bladder is filled. The serosal detail is increased due to increased intra-abdominal fat.</t>
  </si>
  <si>
    <t>1.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origins._x000D_
2. Considering presenting clinical signs and body habitus, pancreatitis should be considered._x000D_
3. The caudal sternal mineralisation is likely degenerative dystrophic mineralisation. A primary bone tumour is considered unlikely.</t>
  </si>
  <si>
    <t>Obesity predisposes for airway collapse, and reduction of thoracic volume (pickwickian syndrome), reducing pulmonary clearance, therefore further weight management is indicated. _x000D_
Consider evaluating for other possible underlying causes of panting (spinal/orthopedic pain, acid-base imbalance, hyperthermia, intracranial disease or Cushing=ZZ91=s disease). Full blood work if not already performed, may also be considered. _x000D_
Correlate with a caudal sternal mass, and consider FNA. _x000D_
Full bloodwork including serology is advised.</t>
  </si>
  <si>
    <t>Orthogonal views of the thorax and abdomen are provided:_x000D_
_x000D_
Thorax:_x000D_
_x000D_
Cardiac silhouette has a normal shape and size. No signs of cardiomegaly nor signs of pleural effusion._x000D_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WNL._x000D_
_x000D_
Multifocal signs of chronic IVDD.</t>
  </si>
  <si>
    <t>Consider abdominal US to further evaluate causes of decreased energy, exercise intolerance, and constant panting at home._x000D_
Underlying causes for panting include pain, acid-base imbalance, Cushing=ZZ91=s disease, spinal cord compression, intracranial disease, hyperthermia and PTE._x000D_
Consider work up for panting with CBC, biochemistry, abdominal US, neuro exam and upper airway exam under sedation.</t>
  </si>
  <si>
    <t xml:space="preserve">
1.MODERATE INTERSTITIAL TO ALVEOLAR INFILTRATE; MILD BRONCHIAL PATTERN; MINIMAL PERIHILAR INFILTRATE._x000D_
2.Based on these AI airway/pulmonary findings,  the probability of this patient having clinically detectable respiratory signs is HIGH (75%)_x000D_
3.Are respiratory signs present? If YES._x000D_
4.Are respiratory signs present? If NO._x000D_
5.The cardiac silhouette size is normal.</t>
  </si>
  <si>
    <t>Study:_x000D_
Thoracic radiography: three images dated August 21, 2024_x000D_
_x000D_
Findings:_x000D_
There is mild left ventricular and left atrial enlargement. The pulmonary vasculature is normal in size. There is an approximately 6 cm ovoid soft tissue opaque mass in the dorsal aspect of the right caudal lung lobe. The pleural space is normal. There is no intrathoracic lymphadenopathy. The trachea is normal in diameter. There is no lobar bronchi narrowing. The liver extends mildly beyond the costal arch with rounded caudoventral margins. The stomach contains heterogeneous soft tissue material presumed to be ingesta. The osseous structures are unremarkable.</t>
  </si>
  <si>
    <t>1. Right caudal lung lobe mass. Primary pulmonary carcinoma is prioritized. The mass may be able to be evaluated and sampled via thoracic sonography from a dorsal approach._x000D_
2. Mild left-sided cardiomegaly, indicative of mitral valve disease, without evidence of decompensation. Echocardiography should be considered for further evaluation._x000D_
3. The mild hepatomegaly is nonspecific. Rule out metabolic/vacuolar hepatopathy, hyperplasia, hepatitis or  neoplasia. Sonography can be considered for further evaluation.</t>
  </si>
  <si>
    <t xml:space="preserve">
1.Are respiratory signs present? If NO._x000D_
2.MODERATE BRONCHOINTERSTITIAL PULMONARY PATTERN; MODERATE ALVEOLAR INFILTRATE or ATELECTASIA; PLEURAL FISSURE LINES or PLEURAL EFFUSION; MODERATE DYNAMIC AIRWAY DISEASE._x000D_
3.Based on these AI airway/pulmonary findings, the probability of this patient having clinically detectable respiratory signs is HIGH (75%)_x000D_
4.Pleural fissure lines or moderate to severe pleural effusion has been detected._x000D_
5.Are respiratory signs present? If YES._x000D_
6.Severe cardiomegaly has been detected but Heart Failure is NOT suspected.</t>
  </si>
  <si>
    <t>A three view thoracoabdominal study is provided for interpretation._x000D_
_x000D_
The spleen is mildly enlarged. The liver is at the upper end of normal range. The other organs are within normal size and shape limits. No mass lesions are seen in the abdomen. There is a small quantity of amorphous ingesta in the stomach. There is a small quantity of fragmented and granular mineral density throughout the GI tract. Small intestinal gas is mildly increased overall. No dilation of the stomach or intestine is seen. Serosal detail in the abdomen is normal._x000D_
_x000D_
The cardiovascular structures are within normal limits. Bronchial markings are mildly increased but within the limits of age related change. No pulmonary nodules or pleural effusion are seen._x000D_
No destructive or productive bone lesions are identified.</t>
  </si>
  <si>
    <t>There is mild splenomegaly. This is a finding that can be seen secondary to inflammatory disease, lymphoreticular neoplasia, or sometimes benign variation._x000D_
_x000D_
The intestine is mildly gassy. The appearance is suggestive of enteritis. No foreign bodies or obstructive pattern are identified._x000D_
_x000D_
No significant thoracic abnormalities are identified.</t>
  </si>
  <si>
    <t>The radiographic findings are fairly limited. Clinical significance of mild splenomegaly is variable, this is not uncommon as an incidental finding. Lymphoreticular neoplasia or inflammatory disease should still be ruled out._x000D_
_x000D_
Ultrasound to assess the gastrointestinal tract, spleen, and pancreas should be considered.</t>
  </si>
  <si>
    <t>Orthogonal views of the thorax are provided (very poor exposure):_x000D_
_x000D_
Thorax:_x000D_
_x000D_
There is marked cervical tracheal collapse._x000D_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t>
  </si>
  <si>
    <t xml:space="preserve">
1.The cardiac silhouette size is normal._x000D_
2.Are respiratory signs present? If YES._x000D_
3.Are respiratory signs present? If NO._x000D_
4.Are respiratory signs present? If NO._x000D_
5.Pleural fissure lines or pleural effusion has been detected._x000D_
6.The evaluation has come up positive for a pulmonary nodular pattern._x000D_
7.MILD to MODERATE BRONCHOINTERSTITIAL PULMONARY PATTERN; PLEURAL FISSURE LINES or PLEURAL EFFUSION; NODULAR PULMONARY PATTERN which is likely due to overlying CUTANEOUS NODULES, END-ON VESSELS or MINERALIZED COSTOCHONDRAL JUNCTIONS._x000D_
8.SEVERE ALVEOLAR PATTERN; CONCURRENT MODERATE BRONCHOINTERSTITIAL PATTERN; MILD DYNAMIC AIRWAY DISEASE._x000D_
9.Based on these AI airway/pulmonary findings, the probability of this patient having clinically detectable respiratory signs is HIGH (75%)_x000D_
10.Based on these AI airway/pulmonary findings, the probability this patient will have clinically detectable respiratory signs is MEDIUM (50%)_x000D_
11.Are respiratory signs present? If YES.</t>
  </si>
  <si>
    <t>Nineteen radiographs are provided, with images of the thorax and distal thoracic limbs. The cardiac silhouette is normal size and shape. Pulmonary vessels are normal size. There are several punctate mineral densities in the lungs representing incidental osteomas. There are no soft tissue pulmonary nodules or intrathoracic lymphadenomegaly. No pleural effusion. Scant gas in the esophagus is incidental. No scapular or shoulder abnormalities._x000D_
_x000D_
There is mild enthesophyte formation on the anconeal process, radial head, and medial humeral epicondyle bilaterally. There is a punctate mineral density medial to the medial coronoid process of the right ulna. Broad-based curved 5.0 x 1.3 cm soft tissue opacity medial to the left elbow, presumably one of the subcutaneous lesions. There is no osseous lysis. Cortical and medullary opacities are uniform. Carpal bone contour and alignment is normal. Joint space width is uniform. There is no carpal soft tissue swelling, however there is mild thickened cutaneous tissues dorsal to the right radiocarpal joint on the lateral view. There is multipartite axial proximal sesamoid in the left 5th digit. Mild periarticular enthesophyte formation is present in this metacarpophalangeal joint, and to a lesser degree in the left 3rd and 4th metacarpophalangeal joint, and right 3rd and 4th metacarpophalangeal joint. There is a moderate amount of smoothly irregular periosteal proliferation along the abaxial aspect of the 1st phalanx of the right 3rd digit, with mild adjacent soft tissue swelling. Smoothly irregular osseous proliferation in the distal 1st phalanx and possibly in the proximal 2nd phalanx of the left 3rd digit, with equivocal mild soft tissue thickening. No radiopaque foreign material or emphysema.</t>
  </si>
  <si>
    <t>1. The mild thickening and osseous proliferation on the proximal right 3rd digit and proximal left 3rd digit is most likely inflammatory change and could be due to self trauma. This does not appear aggressive and there is no evidence of lysis therefore osteomyelitis or neoplasia is given much lesser consideration. There is bilateral mild metacarpophalangeal osteoarthritis. Multipartite proximal sesamoid in the left 5th digit. This is typically an incidental finding, however can cause some discomfort._x000D_
2. Mild cutaneous thickening dorsal to the right radiocarpal joint consistent with inflammation and likely due to self trauma/dermatologic abnormality. No carpal osseous abnormalities are present._x000D_
3. Bilateral mild cubital osteoarthritis. The small osseous fragment medial to the right elbow may be fragmented enthesophyte. Medial coronoid process disease is not definitively ruled out. This is of doubtful clinical significance in the absence of significant lameness or more pronounced osteoarthritis._x000D_
4. Normal thorax.</t>
  </si>
  <si>
    <t>Recommend anti-inflammatories as needed.</t>
  </si>
  <si>
    <t>A lateral thoracoabdominal view, lateral views of the entire spine, a VD pelvis view, and orthogonal views of both hind limbs are provided._x000D_
_x000D_
No disc space narrowing or spinal subluxation is identified. No destructive or productive bone lesions are seen. The pelvis and hips are within normal limits. There is slight swelling of the right stifle joint capsule. No bony abnormalities are identified. There is persistent medial luxation of the left patella. Both tarsal joints are within normal limits._x000D_
There is an unusual area of lucency at the distal medial aspect of P1 of the third digit in both hind feet. However, the appearance is symmetrical and presumed to be a benign variant._x000D_
_x000D_
The cardiovascular structures are within normal limits. There is a mild bronchial pulmonary pattern._x000D_
There is increased gas within the intestinal tract. Many of the intestinal loops have a thickened appearance. The other abdominal organs are within normal limits. No mass lesions or loss of detail are seen.</t>
  </si>
  <si>
    <t>The left patella is luxated medially. The right appears normal. This is unlikely to be relevant to the current presentation._x000D_
_x000D_
There is slight swelling of the right stifle joint capsule. The appearance would be compatible with joint sprain. More significant intra-articular injury should be ruled out if clinically indicated. This is also not likely to be relevant to the current presentation with ataxia._x000D_
_x000D_
No spinal abnormalities that would explain the ataxia are identified._x000D_
_x000D_
There is a gassy appearance of the intestinal tract and suspicion of intestinal thickening. This can be artifactual in survey radiographs, but ultrasound should be considered for more complete evaluation. Relevance to the presenting complaint is limited._x000D_
No thoracic abnormalities are identified.</t>
  </si>
  <si>
    <t>No specific spinal abnormalities or evidence of traumatic injury are identified. Symptomatic therapy and anti-inflammatory therapy for nonspecific back injury and spinal cord compression is recommended.</t>
  </si>
  <si>
    <t>A three view thoracic study is provided._x000D_
_x000D_
There is a large lobular mass effect around the carina in the lateral views that is not visible in the VD view. There are several ill defined nodular lesions in the right cranial lung field.  There is a focal region of irregular alveolar infiltrates around the apex of the heart, suspected to be in the ventral aspect of the left caudal lobe. The other lung fields have a moderate bronchointerstitial pattern. The heart is within normal size limits.  There is a shadow in the area of the left atrium that appears similar to dilated left atrium but is suspected to be enlarged hilar lymph node. No pleural fluid is identified.</t>
  </si>
  <si>
    <t>There is a mass effect at the carina which is suspected to represent severe hilar lymphadenopathy. There is a diffuse bronchointerstitial pattern, ill defined nodular infiltrates in the right cranial lobe, and irregular alveolar infiltrates in the ventral aspect of the left caudal lobe._x000D_
_x000D_
Primary rule outs include fungal pneumonia or other atypical granulomatous infectious disease, versus reticuloendothelial neoplasia such as malignant histiocytosis or lymphoma. Immune mediated disease would be a less likely possibility.</t>
  </si>
  <si>
    <t>CBC, serum chemistry, and fungal panel is recommended._x000D_
_x000D_
The caudal ventral area of irregular alveolar infiltrates may be accessible for FNA for cytology and culture with ultrasound guidance._x000D_
_x000D_
Excisional biopsy of one of the enlarged peripheral lymph nodes is also recommended.</t>
  </si>
  <si>
    <t xml:space="preserve">
1.The evaluation has a strong suspicion of pulmonary nodules or mass lesion being present._x000D_
2.A moderate interstitial to alveolar pattern has been detected._x000D_
3.Pleural fissure lines or small volume pleural effusion has been detected. In a mildly overweight animal, excessive pericardial fat can artifactually mimic the result of minimal pleural effusion._x000D_
4.The cardiac silhouette size is normal._x000D_
5.There is no evidence of PERIHILAR INFILTRATE or DYNAMIC AIRWAY COLLAPSE or BRONCHIECTASIS.</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</si>
  <si>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 and mineral particles (feces in the colon mixed with similar tiny mineral particles)._x000D_
Small intestines are mildly gas and fluid filled, not overtly distended. No signs of mechanical ileus._x000D_
Serosal detail is preserved._x000D_
Liver extends beyond the costal arch with sharp margins. Multiple tiny gallbladder choleliths._x000D_
Spleen is within normal limits of size and smoothly marginated._x000D_
Kidneys and urinary bladder WNL.</t>
  </si>
  <si>
    <t>1) Unremarkable thorax without signs of pulmonary metastases nor signs of thoracic lymphadenopathy._x000D_
2) Hepatomegaly: Metabolic vs Vacuolar infiltration vs Hepatic nodular hyperplasia vs Inflammatory vs Toxic vs Neoplastic or a combination of these differentials._x000D_
3) Multiple tiny gallbladder choleliths.</t>
  </si>
  <si>
    <t>Consider abdominal US to further evaluate the liver and biliary system.</t>
  </si>
  <si>
    <t xml:space="preserve">
1.A minimal to mild bronchointerstitial pulmonary pattern has been detected._x000D_
2.The cardiac silhouette size is normal._x000D_
3.There is no evidence of PERIHILAR INFILTRATE or PLEURAL EFFUSION.</t>
  </si>
  <si>
    <t>Six orthogonal survey radiographs of the thorax and abdomen dated 24th August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abdomen is mildly underexposed. The hepatic silhouette is normal in size with smooth borders. The spleen is normal in shape, size and position. The kidneys are partially obscured by gastrointestinal contents, but the visible aspect are normal. Stomach contains some granular food material, with a normal axis. The small intestines are distributed evenly and are within normal limits for shape, size and contents. There is mild gas in the duodenum and a ventrodorsal image. The ascending, transverse and descending colon have a normal position and contain gradually more formed faeces. The urinary bladder is filled. The serosal detail is normal._x000D_
_x000D_
Musculoskeletal findings: No significant abnormalities are detected.</t>
  </si>
  <si>
    <t>1. No evidence of mineral cystoliths. The images are mildly underexposed, which would limit visualisation of a very minor stones.</t>
  </si>
  <si>
    <t>Observational/empiric management is advised. Consider ultrasonographic examination, cystocentesis for urinalysis and culture if clinically indicated.</t>
  </si>
  <si>
    <t>THORAX (3 total radiographs for review). _x000D_
_x000D_
- Moderate, diffuse bronchial pattern. Peripheral airway mineralization._x000D_
- Multifocal pulmonary osteomas._x000D_
- The cardiac silhouette and pulmonary vasculature are normal._x000D_
- The trachea, esophagus and remainder of the mediastinum are normal._x000D_
- The pleural space and remaining intrathoracic structures are normal._x000D_
- The cranial abdominal structures are normal._x000D_
- There is mild multifocal vertebral spondylosis deformans.</t>
  </si>
  <si>
    <t>1. Moderate diffuse bronchial pattern, peripheral airway mineralization and multiple incidental pulmonary osteomas. Given there is a history of long-term coughing, chronic bronchitis is prioritized. There may be an underlying allergic, infectious or inhaled irritant component. The changes can also be somewhat expected due to normal age-related airway degeneration.  Treating the patient for chronic bronchitis may provide clinical benefit and if there is lack of improvement or worsening despite medical management, internal medicine consultation and thoracic CT may be advisable.</t>
  </si>
  <si>
    <t>WHOLE-BODY (3 total radiographs for review).  Multiple previous examinations are available for review, most recently from 2023._x000D_
_x000D_
- The patient again has an excessive body habitus._x000D_
- There is moderate left-sided cardiomegaly present, which is characterized by increased apicobasilar length and dorsal displacement of the caudal aspect of the thoracic trachea.  There is rounding in the region of the left atrium, and compression of the left principal bronchus._x000D_
- There is again a mild to moderate diffuse bronchial pulmonary pattern present._x000D_
- The trachea, pleural space and remaining included intrathoracic structures are normal._x000D_
- Peritoneal serosal detail is normal._x000D_
- The liver is mildly enlarged, with rounded margins._x000D_
- The renal margins are mildly irregular._x000D_
- There are a few small mineral opacities caudal to the kidneys in the retroperitoneal region seen on the lateral projections._x000D_
- A small mineral opacity is superimposed ventral to the descending colon and dorsal to the urinary bladder._x000D_
- The stomach contains mild gas and gas-stippled soft-tissue opaque material_x000D_
- The small intestine contains mild multifocal gas and soft-tissue opaque material_x000D_
- The colon contains gas, soft-tissue/fluid and mild formed fecal material._x000D_
- The spleen and urinary bladder are normal._x000D_
- The caudal thorax is normal_x000D_
- No musculoskeletal abnormalities are noted.</t>
  </si>
  <si>
    <t>1. Moderate left-sided cardiomegaly, without pulmonary vasculature congestion or congestive heart failure. Most likely compatible with degeneration of the mitral valve. Consider careful cardiac auscultation and echocardiography/ECG for further assessment. The enlarged left atrium appears to be compressing the left principal bronchus, which may be contributing to the clinical picture of coughing/gagging._x000D_
_x000D_
2. Mild-to-moderate diffuse bronchial pattern. DDx chronic bronchitis vs. expected, age-related lower airway degeneration. Treating the patient for lowe airway disease may provide clinical benefit._x000D_
_x000D_
3. Mild hepatomegaly. Most likely vacuolar (metabolic) hepatopathy. Hepatic congestion, hepatitis or neoplasia are less likely, but possible._x000D_
_x000D_
4.  Bilateral mildly irregular renal margins may support chronic degenerative renal disease._x000D_
_x000D_
5.  There are multiple tiny mineral opacities in the retroperitoneal region could be incidental foci of dystrophic mineralization (such as from the site of prior ovarian artery ligation during ovariohysterectomy) or alternatively small ureteroliths.  If clinically indicated you may consider correlate to sonographic results of the kidneys and ureters._x000D_
_x000D_
6. Small focus of mineral superimposed over and dorsal to the urinary bladder I suspected is most likely dystrophic mineralization of the uterine stump (less likely a cystolith). Sonographic assessment could provide future insight._x000D_
_x000D_
7. Excessive body habitus.</t>
  </si>
  <si>
    <t xml:space="preserve">
1.Based on the AI airway/pulmonary findings, the probability of this patient having clinically detectable respiratorysigns is MEDIUM to HIGH (50-75%)_x000D_
2.SEVERE DYNAMIC AIRWAY DISEASE; MODERATE BRONCHOINTERSTITIAL PULMONARY PATTERN; MODERATE ALVEOLAR INFILTRATE or ATELECTASIS._x000D_
3.MODERATE INTERSTITIAL TO ALVEOLAR INFILTRATE; CONCURRENT MODERATE BRONCHIAL PATTERN; MILD PERIHILAR INFILTRATE._x000D_
4.Based on these AI airway/pulmonary findings, the probability of this patient having clinically detectable respiratory signs is HIGH (75%)_x000D_
5.Are respiratory signs present? If YES._x000D_
6.Are respiratory signs present? If YES._x000D_
7.Are respiratory signs present? If NO._x000D_
8.AI linked bacterial pneumonia treatment in dogs: https://platform.v2.vetology.net/doc/pneumonia-in-dogs-and-cats_x000D_
9.Are respiratory signs present? If NO._x000D_
10.Pleural fissure lines or small volume pleural effusion has been detected. In a mildly to moderately overweight animal, excessive pericardial fat can artifactually mimic the result of mild pleural effusion._x000D_
11.Severe cardiomegaly has been detected but Heart Failure is NOT suspected.</t>
  </si>
  <si>
    <t>Two good quality orthogonal radiographs of the cervical vertebral column dated 21st August 2024 are available for review. There are no previous radiographs available for comparison. _x000D_
_x000D_
Cervical vertebral column: The vertebral body alignment is normal. No mineral opaque material is seen within, or dorsal to the intervertebral disc spaces. The intervertebral disc width is within normal limits. The size of the lateral foramina is within normal limits.</t>
  </si>
  <si>
    <t>Normal cervical vertebral column. Occult intervertebral disease such as intervertebral disk protrusion or other spinal cord pathology including embolic (FCE), high velocity disk, inflammatory or neoplastic disease or degenerative myelopathy is not excluded .</t>
  </si>
  <si>
    <t>Neurologic signs have not been reported. Full neurologic examination if not already performed. If no proprioceptive deficits or patients clinical signs are mild, consider treating for intervertebral disk disease/arthritis (exercise restriction, NSAIDs with supportive bloodwork, +/- multimodal analgesia). If no response to therapy, patient has proprioceptive deficits or is worsening in general, referral to a neurologist for discussion regarding feasibility of MRI vs. CT of the spine can be considered</t>
  </si>
  <si>
    <t xml:space="preserve">
1.MILD INTERSTITIAIL TO ALVEOLAR PATTERN; MINIMAL DYNAMIC AIRWAY DISEASE._x000D_
2.Based on these AI airway/pulmonary findings, the probability this patient will have clinically detectable respiratory signs is LOW (25%)_x000D_
3.Are respiratory signs present? If YES._x000D_
4.Are respiratory signs present? If NO._x000D_
5.The cardiac silhouette size is normal._x000D_
6.There is no evidence of BRONCHITIS, PERIHILAR INFILTRATE, PULMONARY NODULES or PLEURAL EFFUSION.</t>
  </si>
  <si>
    <t>Study:_x000D_
Thoracic radiography: three images dated August 21, 2024_x000D_
_x000D_
Findings:_x000D_
The cardiac silhouette is normal in size and shape. The pulmonary vasculature is normal in size. There is a mild diffuse bronchointerstitial pulmonary pattern. There is no alveolar disease. The pleural space is normal. There is no intrathoracic lymphadenopathy. The trachea is normal in diameter. There is no lobar bronchi narrowing. The stomach contains unstructured heterogeneous soft tissue material presumed to be ingesta with interspersed granular mineral. The liver extends mildly beyond the costal arch with smooth and sharp margins. No skeletal abnormalities are present.</t>
  </si>
  <si>
    <t>1. The mild diffuse bronchointerstitial pulmonary pattern is a nonspecific finding. This could be a benign age-related change or may bronchitis secondary to allergic, inflammatory, infectious, inhaled irritant or parasitic etiologies. Airway sampling plus/minus heartworm testing and Baermann fecal flotation can be considered to further evaluate for lower disease. There is no pneumonia._x000D_
2. The mild hepatomegaly is nonspecific. Rule out metabolic/vacuolar hepatopathy, hyperplasia, hepatitis or infiltrative neoplasia. Correlate with any liver enzyme abnormalities. Sonography can be considered for further evaluation if clinically relevant.</t>
  </si>
  <si>
    <t xml:space="preserve">
1.MINIMAL to MILD BRONCHOINTERSTITIAL PULMONARY PATTERN; POTENTIAL FOR FOCAL ATELECTASIS._x000D_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DYNAMIC AIRWAY COLLAPSE or BRONCHIECTASIS, PULMONARY NODULES or PLEURAL EFFUSION.</t>
  </si>
  <si>
    <t>Orthogonal radiographs of the thorax/abdomen, VD pelvis, and a lateral view of each pelvic limb are provided. Images dated 8/17/23 are available for comparison. There is mild left atrial enlargement as before. Cardiac to thoracic ratio and pulmonary vessel size is normal. The appearance of curved increased opacity overlying the mid heart on the lateral view is summating normal anatomy. There is no pleural effusion. Mild narrowing caudal cervical trachea, of uncertain significance today. In the abdomen the liver is mildly enlarged as before. Hepatic margins are smooth. Small area of stippled mineral densities overlying the ventral liver on the lateral view are to the left midline on the VD projection and is likely incidental gastric debris. Small intestines are minimally filled. Large volume of formed feces fills the colon. The fecal column measures up to 2.6 cm diameter, and occupies the majority of the pelvic canal. There is no effusion. Normal-sized spleen and kidneys. There is a curved 3.7 cm soft tissue opaque contour along the caudal margin of the spleen on the VD view, not seen on the lateral projection. The urinary bladder contains several small smoothly marginated mineral opaque calculi measuring up to 0.3 cm. These are larger than on the previous study. The urinary bladder is mildly filled and there are no abnormalities along the plane of the urethra. Normal coxofemoral joints. Patellar location is normal. There is moderate degenerative change in the left stifle, with enthesophytes on the femoral trochlear ridges and proximal tibia. These degenerative changes are not appreciated on the right side. There is increased opacity overlying the cranial aspect of both stifle joints on the lateral views, however joint space evaluation is limited by rotation.</t>
  </si>
  <si>
    <t>1. Left stifle osteoarthritis. Increased opacity overlying the stifle joints may be superimposed extracapsular tissue, due to limb rotation. I cannot rule out the possibility of stifle effusion. The coxofemoral joints are normal._x000D_
2. Cystic calculi, slightly larger than on the previous study. These are of a size that should be able to pass the urethra._x000D_
3. Mild hepatomegaly as before, most likely steroid or other hepatopathy. This should be correlated with history and blood work._x000D_
4. The appearance of the splenic tail is most likely normal curvature. A mass lesion is given lesser consideration._x000D_
5. Possible constipation._x000D_
6. Mild left atrial enlargement as before consistent with acquired mitral valve disease. This is of doubtful clinical significance today. Otherwise normal thorax.</t>
  </si>
  <si>
    <t>If left pelvic limb lameness recurs and ruling in/out stifle effusion is desired, recommend repeating the focused lateral view of the left stifle. Landmarks to use are the femoral condyles, which should be perfectly superimposed on one another. This will ensure there is no obliquity.</t>
  </si>
  <si>
    <t xml:space="preserve">
1.MILD BRONCHIAL PATTERN; MILD DYNAMIC AIRWAY DISEASE._x000D_
2.Mild cardiomegaly has been detected but Heart Failure is NOT suspected._x000D_
3.Based on these AI airway/pulmonary findings, the probability of this patient having clinically detectable respiratory signs is LOW to MEDIUM (25-50%)_x000D_
4.Are respiratory signs present? If YES._x000D_
5.Are respiratory signs present? If NO._x000D_
6.There is no evidence of ALVEOLAR PATTERN, PERIHILAR INFILTRATE, PULMONARY NODULES or PLEURAL EFFUSION.</t>
  </si>
  <si>
    <t>Study:_x000D_
Thoracic radiography: five images dated August 21, 2024_x000D_
_x000D_
Findings:_x000D_
The cardiac silhouette is normal in size and shape. The pulmonary vasculature is normal in size. There is a moderate generalized bronchial pulmonary pattern There is a mild to moderate alveolar pattern in the right caudal lung lobe. On the right lateral view, there is impression of a mild interstitial to alveolar pattern in the ventral aspect of the cranial segment of the left cranial lung lobe. This finding may be overestimated superimposition of the thoracic limb soft tissues with mediastinal fat. On the lateral projections, there is ill-defined increased soft tissue opacity dorsal to the carina. On the VD view, there is a round 2 cm soft tissue opacity in the right caudal lung field adjacent to the T 11 vertebra. This finding is not seen on the orthogonal view. The pleural space is normal. The with the cranial mediastinum is considered within normal limits for patient signalment. The trachea is normal in diameter. The stomach contains recently ingested food. The patient has multiple, breed associated, congenitally anomalous thoracic vertebrae. There is moderate bilateral elbow periarticular bone formation.</t>
  </si>
  <si>
    <t>1. The alveolar pattern in the right caudal lung lobe plus/minus the suspected interstitial to alveolar pattern in the left cranial lung lobe likely represent pneumonia. Recommend empiric antibiotic therapy with repeat radiography in 10 to 14 days to monitor for response to treatment._x000D_
2. The generalized bronchial pulmonary pattern may indicate infectious bronchitis given the concern for pneumonia. Allergic/inflammatory, inhaled irritant or parasitic etiologies and/or benign age-related change cannot be excluded. This finding should be monitored on the recheck study._x000D_
3. The indistinct increased opacity dorsal to the carina on the lateral projections may also represent pneumonia. Tracheobronchial lymphadenopathy is considered less likely. Fluid, foreign material or an evolving mass in the esophagus are also considered less likely. This finding should be monitored on the recheck study._x000D_
4. The round soft tissue opacity seen in the right caudal lung field on the VD views concerning for a pulmonary nodule (neoplasia versus granuloma) although superimposition artifact cannot be excluded as the lesion is not identified on the orthogonal view. This finding should also be monitored on the recheck study._x000D_
5. Moderate bilateral elbow osteoarthrosis.</t>
  </si>
  <si>
    <t xml:space="preserve">
1.PULMONARY NODULES or NODULAR PATTERN; MODERATE TO SEVERE INTERSTITIAL TO ALVEOLAR PATTERN; PLEURAL EFFUSION; MILD BRONCHITIS; MILD PERIHILAR INFILTRATE._x000D_
2.Based on the AI airway/pulmonary findings, the probability of this patient having clinically detectable respiratory signs is VERY HIGH (&gt;75%)_x000D_
3.Moderate cardiomegaly has been detected but Heart Failure is NOT suspected._x000D_
4.The evaluation has a strong suspicion of soft tissue pulmonary nodules or mass lesion being present._x000D_
5.Are respiratory signs present? If YES._x000D_
6.Are respiratory signs present? If NO.</t>
  </si>
  <si>
    <t>Three orthogonal thoracic radiographs dated 21st August 2024 are available for review. There are no previous radiographs available for comparison. _x000D_
_x000D_
Airway findings: The cervical and thoracic trachea have a normal size, outline and position. The carina, tracheal bifurcation and mainstem bronchi are normal. There is interstitial to alveolar opacification of the ventral right middle lung lobe, and caudal aspect of the left cranial lung lobe. There mild bronchointerstitial opacification is present throughout the remainder of the lung parenchyma._x000D_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There is mild multifocal spondylosis deformans._x000D_
_x000D_
Included abdomen: No significant abnormalities are detected.</t>
  </si>
  <si>
    <t>The findings are consistent with dependent lobar bronchopneumonia, or aspiration pneumonia. Fungal pneumonia is possible. Heart worm is unlikely. Thromboembolic disease, haemorrhage is considered unlikely.</t>
  </si>
  <si>
    <t>Treat empirically for aspiration/bronchopneumonia and repeat radiographs prior to end of therapy. Depending on clinical progression, consider airway sampling.</t>
  </si>
  <si>
    <t xml:space="preserve">
1.PULMONARY NODULES or NODULAR PATTERN; MILD to MODERATE BRONCHOINTERSTITIAL PATTERN with an ALVEOLAR COMPONENT; MILD PERIHILAR INFILTRATE._x000D_
2.Based on the AI airway/pulmonary findings, the probability of this patient having soft tissue pulmonary nodules and clinically detectable respiratory signs is MEDIUM to HIGH (50-75%)_x000D_
3.Are respiratory signs present? If YES._x000D_
4.The evaluation has a strong suspicion of soft tissue pulmonary nodules being present._x000D_
5.Are respiratory signs present? If NO._x000D_
6.The cardiac silhouette size is normal.</t>
  </si>
  <si>
    <t>Seven radiographs of the thorax and proximal thoracic limbs are provided. The cardiac silhouette and pulmonary vessels are normal size and shape. Fat deposition separates the heart and lungs from the sternum. There are no abnormalities in the pulmonary parenchyma. No pleural effusion. Normal tracheal diameter. No cervicothoracic spinal abnormalities. No scapular or shoulder abnormalities. The cubital joints are congruent. There is no soft tissue swelling.</t>
  </si>
  <si>
    <t>Normal thorax and proximal thoracic limbs. The reason for lameness is not identified. Soft tissue sprain/strain is most likely. A lateralized intervertebral disc lesion is next on the differential list.</t>
  </si>
  <si>
    <t>Consider supportive care with anti-inflammatories.</t>
  </si>
  <si>
    <t xml:space="preserve">
1.SEVERE ALVEOLAR INFILTRATE; DIFFUSE, MILD BRONCHOINTERSTITIAL PULMONARY PATTERN._x000D_
2.Based on the AI airway/pulmonary findings, the probability of this patient having clinically detectable respiratory signs is VERY HIGH (&gt;75%)_x000D_
3.Are respiratory signs present? If YES._x000D_
4.AI linked canine pneumonia treatment: https://platform.v2.vetology.net/doc/pneumonia-in-dogs-and-cats_x000D_
5.Are respiratory signs present? If NO._x000D_
6.Pleural fissure lines or moderate to severe pleural effusion has been detected. An overlying skin fold or in an obese animal, excessive pericardial fat could artifactually mimic the result of severe pleural effusion._x000D_
7.The cardiac silhouette size is normal._x000D_
8.There is no evidence of DYNAMIC AIRWAY COLLAPSE or BRONCHIECTASIS or PULMONARY NODULES.</t>
  </si>
  <si>
    <t>Orthogonal views of the abdomen are provided:_x000D_
_x000D_
Abdomen:_x000D_
_x000D_
The stomach is filled with food._x000D_
Small intestines are mildly gas and fluid filled, not overtly distended. No signs of mechanical ileus._x000D_
Unformed feces in the colon._x000D_
Serosal detail is preserved._x000D_
Liver and spleen are within normal limits of size and smoothly marginated._x000D_
Kidneys and urinary bladder WNL.
(amended on 08/21/2024 10:17)
Minimal volume of food in the stomach.</t>
  </si>
  <si>
    <t>1) Unformed feces in the colon. Rule out colitis of allergic/inflammatory/idiopathic origin vs IBD flare up vs colitis secondary to dietary indiscretion/diet change._x000D_
2) Unremarkable urinary tract. Rule out cystitis vs behavioural.</t>
  </si>
  <si>
    <t>Consider empirical treatment for colitis followed by abdominal US, also evaluating the urinary tract with renal function test, urinalysis, UPC and urine culture.</t>
  </si>
  <si>
    <t>Abdomen: There appears to be diffuse small intestinal wall thickening.  There are no abnormalities involving the liver or spleen.  There are no abnormalities involving the visible portions of the urinary tract.  Serosal detail is normal._x000D_
_x000D_
Thorax: There is mild left-sided cardiomegaly.  This is augmented by pulmonary underinflation.  The pulmonary parenchyma and pulmonary vasculature are unremarkable.  There is no evidence of pleural effusion or lymphadenopathy.</t>
  </si>
  <si>
    <t>Possible diffuse small distal wall thickening.  This is not a definitive finding on survey radiography.  Differential considerations include artifactual, variation of normal, enteritis, or possible IBD._x000D_
_x000D_
Mild left-sided cardiomegaly without evidence of decompensation.</t>
  </si>
  <si>
    <t xml:space="preserve">
1.There is no evidence of INTERSTITIAL or ALVEOLAR PATTERN, BRONCHITIS, PERIHILAR INFILTRATE, PULMONARY NODULES or PLEURAL EFFUSION._x000D_
2.Mild cardiomegaly has been detected but Heart Failure is NOT suspected.</t>
  </si>
  <si>
    <t>Study:_x000D_
Thoracic radiography: right lateral and orthogonal views (two images) dated August 19, 2024_x000D_
Three projections of the abdomen are also present in the study._x000D_
_x000D_
Findings:_x000D_
Evaluation of the thorax is limited by the lack of a left lateral view. The cardiac silhouette and pulmonary vasculature are normal in size. Incidental plate-like atelectasis is superimposed with the trachea lumen at the level of the second ribs on the lateral projection. Multiple punctate mineral foci consistent with incidental pulmonary osteomas are present in the ventral lung fields on the lateral projection. The pulmonary parenchyma is otherwise unremarkable. No pulmonary nodules or masses are present. The pleural space is normal. There is no intrathoracic lymphadenopathy. The trachea is normal in diameter and course. The stomach contains a small volume of gas. The small intestines are normal in size, course and content. The colon contains formed fecal material. The liver extends moderately beyond the costal arch with smooth and sharp margins. The spleen is moderately enlarged with smooth margins. The kidneys are normal in size and contour. The urinary bladder is normal in size and opacity. The prostate is not visualized. There is moderate to severe multifocal thoracolumbar and lumbosacral spondylosis deformans. The reported peri-preputial mass is seen partially imaged on the lateral projection of the abdomen and contains irregular mineral at the caudal aspect.</t>
  </si>
  <si>
    <t>1. Incidental pulmonary osseous metaplasia=ZZ90= otherwise, unremarkable thorax. There is no radiographic evidence of pulmonary metastatic disease. A left lateral projection can be considered to complete the thoracic series._x000D_
2. The generalized hepatomegaly is nonspecific. Rule out metabolic/vacuolar hepatopathy, hyperplasia, hepatitis or infiltrative neoplasia. Sonography can be considered for further evaluation._x000D_
3. The generalized splenomegaly is also nonspecific. Rule out extramedullary hematopoiesis, lymphoid hyperplasia, splenitis, congestion or infiltrative neoplasia. Sonography can be considered for further evaluation.</t>
  </si>
  <si>
    <t xml:space="preserve">
1.Are respiratory signs present? If NO._x000D_
2.The cardiac silhouette size is normal._x000D_
3.There is no evidence of PLEURAL EFFUSION._x000D_
4.A mild perihilar infiltrate and more diffuse, minimal interstitial pulmonary pattern have been detected._x000D_
5.MINIMAL TO MILD BRONCHOINTERSTITIAL PULMONRAY PATTERN; MILD PERIHILAR PATTERN._x000D_
6.MINIMAL BRONCHOINTERSTITIAL PULMONARY PATTERN; POTENTIAL FOR FOCAL ATELECTASIS._x000D_
7.Are respiratory signs present? If YES._x000D_
8.Are respiratory signs present? If YES._x000D_
9.Are respiratory signs present? If NO._x000D_
10.Based on the AI airway/pulmonary findings, the probability of this patient having clinically detectable respiratory signs is LOW (25%)_x000D_
11.Based on these AI airway/pulmonary findings, the probability of this patient having clinically detectable respiratory signs is LOW (25%)</t>
  </si>
  <si>
    <t>Orthogonal views of the caudal thoraco-lumbar and lumbosacral are provided:_x000D_
_x000D_
Visible spine is unremarkable without signs of disc herniation, aggressive bone lesions, vertebral fractures or subluxations._x000D_
Unremarkable pelvis and stifles.</t>
  </si>
  <si>
    <t>1) Unremarkable spine does not exclude an extradural or intramural compressive lesions nor intramedullary processes.</t>
  </si>
  <si>
    <t>Consider a neuro exam with MRI if necessary</t>
  </si>
  <si>
    <t>WHOLE-BODY (6 total radiographs for review)._x000D_
_x000D_
- Marked loss in peritoneal serosal detail, resulting in border effacement of the majority of abdominal viscera._x000D_
- The stomach contains mild gas._x000D_
- The small intestine contains mild multifocal gas and soft-tissue opaque material_x000D_
- The colon contains gas, soft-tissue/fluid and mild formed fecal material._x000D_
- There are a few very ill-defined mineral opacity superimposed over the cranioventral aspect of the liver on the lateral projections._x000D_
- The spleen, region of the kidneys and urinary bladder are of limited assessment due to border effacement however no distinct abnormalities are noted._x000D_
- The cardiac silhouette is mildly generally enlarged, with rounded margins._x000D_
- The pulmonary parenchyma is featured by numerous small mineral opacities._x000D_
- There is a mild diffuse bronchial pattern._x000D_
- Widening of the cranial aspect of the cranial mediastinum is noted on the VD image._x000D_
- The pleural space and remaining intrathoracic structures are normal._x000D_
- Widespread multifocal vertebral spondylosis deformans, most notable at the lumbosacral junction._x000D_
-At L3-4 and to a lesser degree L2-3, there appears to be lucent regions in the endplates of the adjoining vertebral bodies.</t>
  </si>
  <si>
    <t>1. Moderate to marked peritoneal effusion and/or peritonitis._x000D_
2. Suspicion for globoid cardiomegaly._x000D_
3. Widening of the cranial aspect of the cranial mediastinum._x000D_
4. Diffuse bronchial pattern and numerous incidental pulmonary osteomas. Most likely representing age-related lower airway changes, however a component of chronic bronchitis is possible, especially if there is a history of abnormal respiratory sounds, wheezing and/or coughing._x000D_
5. L3-4 and potentially L2-3 discospondylitis._x000D_
6. Widespread spondylosis deformans and degenerative lumbosacral disease._x000D_
_x000D_
I have primary concerns for neoplasia in this patient. I cannot appreciate an obvious intra-abdominal mass but the presence of one is possible. The abdominal effusion may be hemorrhage (e.g. from mass rupture), peritoneal metastasis or less likely transudative fluid._x000D_
_x000D_
The appearance of the cardiac silhouette is somewhat concerning and I would recommend T-FAST/POCUS to rule out the presence of pericardial effusion, which if present would most likely be hemorrhagic. A cardiac mass is not appreciated but is possible._x000D_
_x000D_
Widening of the cranial portion of the cranial mediastinum raises concern for mediastinal lymphadenopathy and/or a mass in this region.</t>
  </si>
  <si>
    <t>Abdominocentesis, T-FAST, A-FAST and complete abdominal ultrasonography and perhaps most superior a whole-body CT examination for global screening/staging may be considered in this case. Echocardiography would also likely be of high diagnostic utility._x000D_
_x000D_
Initiating therapy for discospondylitis may be considered.</t>
  </si>
  <si>
    <t xml:space="preserve">
1.Are respiratory signs present? If NO._x000D_
2.PULMONARY NODULES or NODULAR PATTERN; MILD to MODERATE BRONCHOINTERSTITIAL PATTERN with an ALVEOLAR COMPONENT; MILD PERIHILAR INFILTRATE._x000D_
3.Based on the AI airway/pulmonary findings, the probability of this patient having soft tissue pulmonary nodules and clinically detectable respiratory signs is MEDIUM to HIGH (50-75%)_x000D_
4.Are respiratory signs present? If YES._x000D_
5.Pleural fissure lines or small volume pleural effusion has been detected. In a mildly overweight animal, excessive pericardial fat can artifactually mimic the result of minimal pleural effusion._x000D_
6.Minimal cardiomegaly has been detected but Heart Failure is NOT suspected._x000D_
7.The evaluation has a strong suspicion of soft tissue pulmonary nodules being present.</t>
  </si>
  <si>
    <t>A three view study of the thorax is provided for interpretation._x000D_
_x000D_
The heart is within normal size and shape limits. Pulmonary vessels are normal. No pulmonary infiltrates or pleural effusion are seen. No musculoskeletal abnormalities are identified. The liver is at the small end of except able size range. The cranial abdomen is otherwise within normal limits.</t>
  </si>
  <si>
    <t>No significant cardiopulmonary abnormalities are identified.</t>
  </si>
  <si>
    <t>There is no radiographic evidence of cardiac chamber dilation. No specific treatment is indicated. Recheck radiographs are recommended in 6 to 12 months.</t>
  </si>
  <si>
    <t>THORAX (3 total radiographs for review). _x000D_
_x000D_
- Very large (at least 10 x 7 cm), lobular soft-tissue opaque mass in the region of the caudal mediastinum and right accessory lung lobe, which is causing a splaying of the principal bronchi._x000D_
- Alveolar pattern in the ventral aspect of the right caudal and left caudal lung lobes, with air bronchograms._x000D_
- Cardiac silhouette, pulmonary vasculature, pleural space normal._x000D_
- Remaining intrathoracic structures are normal._x000D_
- Stomach contains mild gas and soft-tissue opaque material._x000D_
- Remaining cranial abdominal structures are normal._x000D_
- Mild bilateral osteophyte formation along the caudal margin of the shoulders.</t>
  </si>
  <si>
    <t>1. Large caudal mediastinal or right accessory lung lobe mass. The primary consideration is neoplasia, such as carcinoma or lymphoma. Non-neoplastic etiologies (e.g. fungal granulomatous disease) are less likely._x000D_
_x000D_
2. Bilateral ventral alveolar patterns in the right caudal =ZZ93= left caudal lung lobes may reflect pulmonary infiltration of primary disease (#1), or concurrent bronchopneumonia (which could be from aspiration, given the coughing/gagging). Treating the patient for pneumonia may provide clinical benefit._x000D_
_x000D_
3. Aerophagia._x000D_
_x000D_
4. Bilateral shoulder osteoarthritis.</t>
  </si>
  <si>
    <t>The first diagnostic examination I would recommend in this patient is a thoracic/whole-body CT (along with potential oncology consultation). Recheck/serial radiographic evaluation may be reasonable, especially to assess for improvement in the changes in the ventral portions of the lung lobes if the patient is treated for concurrent pneumonia.</t>
  </si>
  <si>
    <t xml:space="preserve">
1.Mild cardiomegaly has been detected but Heart Failure is NOT suspected._x000D_
2.The evaluation has detected soft tissue pulmonary nodules and pleural fluid._x000D_
3.PULMONARY NODULES or NODULAR PATTERN; PLEURAL EFFUSION or PLEURAL FISSURE LINES; SEVERE INTERSTITIAL TO ALVEOLAR PATTERN; MODERATE BRONCHIAL PATTERN; DYNAMIC AIRWAY DISEASE._x000D_
4.Based on the AI airway/pulmonary findings, the probability of this patient having clinically detectable respiratory signs is VERY HIGH (&gt;75%)_x000D_
5.In older dogs, a pulmonary mass or pulmonary nodules, pulmonary hemorrhage, pleural effusion or PTE are primary considerations._x000D_
6.In the ABSENCE of respiratory signs, lung lobe collapse or severe atelectasis secondary to anesthesia or deep sedation could artifactually create this appearance._x000D_
7.If this AI evaluation is inconsistent with your assessment or the clinical picture, a Vetology AI overread may be beneficial.</t>
  </si>
  <si>
    <t>WHOLE-BODY (5 total radiographs for review). _x000D_
_x000D_
- Peritoneal serosal detail is normal._x000D_
- The stomach contains moderate gas-stippled soft-tissue opaque material_x000D_
- The small intestine contains mild multifocal gas and soft-tissue opaque material_x000D_
- The colon contains gas, soft-tissue/fluid and mild formed fecal material. It has a corrugated appearance on multiple projections._x000D_
- The liver, spleen, region of the kidneys and urinary bladder are normal._x000D_
- The cardiac silhouette and pulmonary vasculature are normal._x000D_
- The pulmonary parenchyma is normal_x000D_
- The trachea, esophagus and remainder of the mediastinum are normal._x000D_
- The pleural space and remaining intrathoracic structures are normal._x000D_
- No musculoskeletal abnormalities are noted.</t>
  </si>
  <si>
    <t>1.  Overall, a discrete radiographic cause for the reported lethargy and hyporexia is not clearly identified. The material in the stomach is non-specific, and can be undigested food and/or foreign material. Correlate to the timing of the patient=ZZ91=s most recent meal, and consider fasted recheck abdominal radiographs (8-24h) to re-evaluate the appearance of the material in the stomach over time._x000D_
_x000D_
2. The appearance of the colon (corrugation) can indicate colitis.  If clinically indicated, abdominal ultrasonography may be of further utility to evaluate the gastrointestinal tract._x000D_
_x000D_
3. Normal thorax.</t>
  </si>
  <si>
    <t>A three view study of the thorax is provided for interpretation._x000D_
_x000D_
There is severe dynamic narrowing of the caudal cervical trachea. The pulmonary vessels and parenchyma are within normal limits. The heart is within normal size and shape limits. No pleural abnormalities are seen. _x000D_
_x000D_
Gastric rugal folds in the stomach are prominent. The other cranial abdominal organs are unremarkable.</t>
  </si>
  <si>
    <t>There is dynamic tracheal narrowing that suggests collapsing trachea is the most likely explanation for the coughing._x000D_
No pulmonary abnormalities are identified._x000D_
No heart enlargement is identified._x000D_
_x000D_
The prominent appearance of the gastric rugal folds is suggestive of gastritis. This can be seen as an incidental benign variant, but may be indicative of gastric mucosal inflammation in this patient given the reported hacking that results in bile expulsion.</t>
  </si>
  <si>
    <t>Symptomatic therapy for probable tracheal collapse is recommended.</t>
  </si>
  <si>
    <t>THORAX (3 images) and ABDOMEN (3 images):
Images are dated August 20, 2024.
Pulmonary parenchyma: Diffusely throughout the lungs are numerous, well-defined, round, smoothly marginated soft tissue nodules.  These vary in size throughout the lungs, and the largest are in the left cranial and left caudal lung lobes.  A mild diffuse bronchial pattern is present.  The lungs are hypoinflated and a minimal diffuse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have rounded or undulant margins on the right and minimally undulant margins on the left.  The kidneys are normal in size.  
Retroperitoneum: In the caudodorsal portion of the abdomen is a large, lobular soft tissue to fat opaque mass(es) with ill-defined cranial margins.  This mass result in ventral displacement of the descending colon.  The intestine is cranially and ventrally displaced subjectively.  Ill-defined fluid opaque striations are suspected over the caudal retroperitoneum.  
Urinary bladder/Urethra: The urinary bladder is normal in size, homogeneous soft tissue, and smoothly marginated.
Peritoneum: Peritoneal detail is adequate.
Gastrointestinal tract: The stomach contains a moderate gas and mild soft tissue.  Gas is in the pylorus in the left lateral image.   The stomach is within normal limits for size.
The small intestine contains mild gas or is empty with a subjectively uniform population for size. 
The colon contains mild heterogeneous soft tissue material and gas.  The colon is within normal limits for size.  
Musculoskeletal: T13 is transitional with a hypoplastic left rib that is interrupted with only a mineralized middle portion suspected, best identified in the ventrodorsal image.  Multifocal thoracolumbar spondylosis deformans. The remaining included musculoskeletal structures are normal.</t>
  </si>
  <si>
    <t xml:space="preserve">1. Numerous soft tissue pulmonary nodules is most likely due to metastatic neoplasia, or unlikely granulomatous/fungal pneumonia (blastomycosis spp.), or other.
2. Caudodorsal abdominal/retroperitoneal mass.
- Tissue of origin may be sublumbar lymph nodes, cranial extension of AGASACA, or unlikely primary retroperitoneal neoplasm (hemangiosarcoma versus other).
3. Suspected retroperitoneal effusion (malignant versus hemorrhagic) versus artifact.
4. Bilateral chronic renal disease with cortical infarcts or unlikely other.  </t>
  </si>
  <si>
    <t xml:space="preserve">Consider computed tomography of the thorax/abdomen and/or abdominal ultrasonography for further evaluation.  Coagulation testing and tissue sampling for further evaluation, and oncologist consultation depending on results. Empirical therapy and supportive care in the interim as needed.  </t>
  </si>
  <si>
    <t xml:space="preserve">
1.Moderate cardiomegaly has been detected but Heart Failure is NOT suspected._x000D_
2.A mild perihilar infiltrate has been detected._x000D_
3.Pleural fissure lines or moderate to severe pleural effusion has been detected. An overlying skin fold or in an obese animal, excessive pericardial fat could artifactually mimic the result of severe pleural effusion._x000D_
4.Are respiratory signs present? If NO._x000D_
5.The evaluation has a strong suspicion of pulmonary nodules or mass lesion being present._x000D_
6.SEVERE INTERSTITIAL TO ALVEOLAR PATTERN; MODERATE BRONCHIAL PATTERN; MODERATE DYNAMIC AIRWAY DISEASE._x000D_
7.Based on these AI airway/pulmonary findings, the probability of this patient having clinically detectable repsiratory signs is VERY HIGH (&gt;75%)_x000D_
8.Are respiratory signs present? If YES._x000D_
9.AI linked pneumonia in dogs article: https://platform.v2.vetology.net/doc/pneumonia-in-dogs-and-cats</t>
  </si>
  <si>
    <t>Consider CT of the nasal cavity/thorax with bronchoscopy, BAL, culture, cytology followed (in this order) by rhinoscopy and biopsies with culture, with deworming vs empirical treatment for upper and lower inflammatory/infectious/parasitic airway disease.</t>
  </si>
  <si>
    <t xml:space="preserve">
1.The cardiac silhouette size is normal._x000D_
2.There is no evidence of BRONCHITIS, DYNAMIC AIRWAY COLLAPSE or BRONCHIECTASIS, PULMONARY NODULES or PLEURAL EFFUSION._x000D_
3.A minimal interstitial pattern has been detected.</t>
  </si>
  <si>
    <t>Seven orthogonal survey radiographs of the thorax and abdomen dated 20th August 2024 are available for review. There are no previous radiographs available for comparison. _x000D_
_x000D_
Thorax: _x000D_
Airway findings: The trachea is narrow, mildly undulating. The intrathoracic trachea is normal. Throughout the lung parenchyma there is a mild bronchial pattern._x000D_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There is a mild-moderate amount of gas in the stomach. The gastric axis is normal. There is appropriate gas in the pylorus on the left lateral image. The duodenum is mildly dilated in the ventrodorsal image. The small intestines are within upper normal limits for size, and contain a mixture of gas, fluid and soft tissue opaque material. The descending colon contains poorly formed faeces. The urinary bladder is filled. The hepatic silhouette is normal in size with smooth borders. The spleen is normal in shape, size and position. The kidneys are partially obscured by gastrointestinal contents, but the visible aspect are normal. The serosal detail is normal._x000D_
_x000D_
Musculoskeletal findings: There is bilateral moderate hip dysplasia and osteoarthritis, worse on the right side.</t>
  </si>
  <si>
    <t>1. Relatively unremarkable abdomen. The gastric gas may be due to a mild gastritis, or aerophagia. The filled duodenum may be transient filling, or indicative of duodenitis, pancreatitis. A foreign body is not seen. There is no indication for segmental obstruction._x000D_
2. Mild tracheal hypoplasia and/or tracheal collapse, consistent with breed._x000D_
3. Diffuse mild bronchial pattern: Primary consideration should be given to normal ageing/fibrosis from previous disease in absence of any respiratory signs. Allergic bronchitis, chronic bacterial /viral bronchitis +/- parasitic bronchitis should also be considered.</t>
  </si>
  <si>
    <t xml:space="preserve">
1.Are respiratory signs present? If NO._x000D_
2.The cardiac silhouette size is normal._x000D_
3.There is no evidence of DYNAMIC AIRWAY COLLAPSE or BRONCHIECTASIS._x000D_
4.MODERATE INTERSTITIAL TO ALVEOLAR PATTERN; MILD BRONCHITIS._x000D_
5.Based on these AI airway/pulmonary findings, the probability of this patient having clinically detectable respiratory signs is MEDIUM (50%)_x000D_
6.Are respiratory signs present? If YES.</t>
  </si>
  <si>
    <t xml:space="preserve">HEAD:
Images are dated August 20, 2024.
Bones/Joints:
The maxillary incisive bones are lytic, and the maxillary incisor teeth are surrounded by soft tissue.  The maxillary premolar and molar teeth are absent.   The mandibular 1st premolar teeth are absent bilaterally.  Normal gas filled frontal sinus is not identified.  The nasal passages are partially obscured with possible ill-defined increased soft tissue.  
There is no evidence of medullary sclerosis, osteolysis, endosteal scalloping, or periosteal proliferation.
Soft tissues:  The included soft tissues are normal.
</t>
  </si>
  <si>
    <t>1. Ill-defined increased nasal passage soft tissue such as from evolving rhinitis/sinusitis, evolving mass, or extension of periodontal disease, versus other.
2. Presumed absent frontal sinuses due to breed versus other.
3. Osteolysis of the maxillary incisive bone such as from chronic periodontal disease.
4. Absent teeth as above, likely from periodontal disease.</t>
  </si>
  <si>
    <t xml:space="preserve">Consider computed tomography and rhinoscopy with tissue sampling for further evaluation of the nasal passage/frontal sinus region and the dental arcades.  Dentist consultation may be contributory depending on results.  Empirical therapy and supportive care in the interim as needed.  Monitoring as directed, or sooner if clinical signs acutely change, fail to improve or worsen.  </t>
  </si>
  <si>
    <t xml:space="preserve">
1.Minimal dynamic airway disease has been detected._x000D_
2.Mild cardiomegaly has been detected but Heart Failure is NOT suspected._x000D_
3.There is no evidence of ALVEOLAR PATTERN, PULMONARY NODULES or PLEURAL EFFUSION._x000D_
4.A minimal interstitial pulmonary pattern with a concurrent, minimal perihilar infiltrate have been detected.</t>
  </si>
  <si>
    <t>8 images of the thorax and abdomen dated 8/20/2024 and 3 images of the abdomen dated 8/21/2024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prominent.  This is persistent between studies.  The small intestines are normal in size.  Gas is present in the colon.  The urinary bladder is small.  The remaining abdominal organs are normal.</t>
  </si>
  <si>
    <t>Prominent rugal folds consistent with gastritis.  This is likely secondary to dietary discretion in this patient, but concurrent pancreatitis or other causes cannot be completely excluded.  Radiographically normal thorax for patient of this age.</t>
  </si>
  <si>
    <t>If clinical signs persist following supportive therapy, abdominal ultrasound may be helpful.</t>
  </si>
  <si>
    <t>Seven orthogonal thoracic radiographs dated 20th August 2024 are available for review. These are compared with previous radiographs dated 28th September 2023._x000D_
_x000D_
Airway findings: The cervical and thoracic trachea have a normal size, outline and position. The carina, tracheal bifurcation and mainstem bronchi are normal. Throughout the lung parenchyma there is a moderate bronchointerstitial opacification. This is worst in the caudal dorsal and perihilar regions. There is mild bronchiectasis of the secondary bronchi. This is comparable to mildly deteriorated in comparison to previous radiographs._x000D_
_x000D_
Cardiovascular findings: The cardiac silhouette is partially border effaced. The visible cardiac silhouette is normal in shape, size and margination. The cranial and caudal pulmonary vasculature is poorly visible.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</si>
  <si>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1. The bronchointerstitial opacification is consistent with chronic lower airway infectious-inflammatory disease. This may be due to chronic viral-bacterial bronchitis, parasitic bronchitis, fungal bronchopneumonia, potentially heartworm disease. Recurrent microaspiration is possible. Chronic pulmonary fibrosis or chronic environmental bronchitis may also contribute.</t>
  </si>
  <si>
    <t>Respiratory workup including CBC, serum chemistry, urinalysis, Baermann faecal testing, 4DX, +/- respiratory panel or fungal testing is indicated. Targeted therapy for lower airway disease, empirical deworming, and removal of allergens and environmental irritants (i.e. smoke, dust, perfumes, etc.) is advised depending on the results. If the patient=ZZ91=s signs continue despite supportive care, bronchoscopy/BAL vs. endotracheal wash +/- consultation with an Internist should be considered. Repeat radiographs prior to end of therapy.</t>
  </si>
  <si>
    <t xml:space="preserve">
1.MINIMAL to MILD DIFFUSE, MIXED BRONCHOINTERSTITIAL PULMONARY PATTERN with ATELECTASIS or less likely, pneumonia._x000D_
2.Probability these AI pulmonary findings will accompany clinically detectable respiratory signs: LOW (25%)_x000D_
3.Are respiratory signs present? If YES._x000D_
4.Are respiratory signs present? If NO._x000D_
5.The cardiac silhouette size is normal.</t>
  </si>
  <si>
    <t>3 views centered over the thorax and cranial abdomen are submitted for review.  There is significant narrowing of the lumen of the cranial intrathoracic caudal cervical trachea on both lateral views.  The mainstem bronchi and carina are also significantly narrowed.  There is mild left atrial enlargement.  The pulmonary vasculature is normal.  Mild bronchointerstitial markings are noted in the lung fields.  No pleural effusion or intra-thoracic of adenopathy is seen._x000D_
The abdomen, the stomach contains a moderate amount of food-like material.  The visible small bowel and colon are unremarkable.  The liver, spleen, and renal silhouettes are normal.  Serosal detail is adequate._x000D_
Chronic intervertebral disc disease is noted in the cranial lumbar spine.</t>
  </si>
  <si>
    <t>The appearance of the trachea is consistent with dynamic tracheal collapse associated with chondromalacia._x000D_
Subjective mild left atrial enlargement.  This could be consistent with mild myxomatous mitral valve disease._x000D_
The appearance of the lung field is consistent with chronic inflammatory airway disease and/or incidental age-related change._x000D_
Incidental finding of chronic intervertebral disc disease in the cranial lumbar spine of unknown clinical significance.</t>
  </si>
  <si>
    <t>Empirical medical management for dynamic tracheal collapse appears indicated.  If a heart murmur is present, an echocardiogram could be considered for further evaluation.  Correlation of the cranial lumbar spine with neurologic exam findings is recommended.</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</si>
  <si>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5.There is no evidence of PERIHILAR INFILTRATE, PULMONARY NODULES or PLEURAL EFFUSION._x000D_
6.Mild cardiomegaly has been detected but Heart Failure is NOT suspected.</t>
  </si>
  <si>
    <t>THORAX and PELVIC LIMBS (6 radiographs are available for review). Compared to multiple previous examinations, most recently from 06/30/23._x000D_
_x000D_
- The changes previously noted in the proximal aspect of the right tibia are relatively similar today. They are characterized by irregular remodelling and widening of the intramedullary cavity and similar periosteal reaction along the cranial surface of the tibial crest._x000D_
- The remaining soft tissue and osseous structures of the right and left pelvic limbs are unremarkable._x000D_
- The caudal lumbar vertebral column, sacroiliac joints, pelvic bones and coxofemoral joints are normal._x000D_
- The cardiac silhouette and pulmonary vasculature are normal._x000D_
- The pulmonary parenchyma is normal_x000D_
- The trachea, esophagus and remainder of the mediastinum are normal._x000D_
- The pleural space and remaining intrathoracic structures are normal._x000D_
- The cranial abdominal structures are normal (mild gas distention of the stomach, compatible with aerophagia).</t>
  </si>
  <si>
    <t>1. Relatively similar appearance of the proximal aspect of the right tibia (remodeling and periosteal proliferation) likely reflects chronic changes from the reported osteomyelitis (fungal coccidiomycosis). There is no further evidence of progression, however I uncertain if these changes will be reversible and may exist for an extended period of time, potentially lifelong. Active disease is not excluded but seems less likely and may be correlated to fungal titers. If clinically indicated, further radiographic examination might be considered for monitoring._x000D_
_x000D_
2. Normal thorax.  No further evidence of intrathoracic coccidiomycosis.</t>
  </si>
  <si>
    <t xml:space="preserve">
1.A minimal interstitial pattern has been detected._x000D_
2.The cardiac silhouette size is normal._x000D_
3.There is no evidence of BRONCHITIS, ALVEOLAR PATTERN, PERIHILAR INFILTRATE, DYNAMIC AIRWAY COLLAPSE or BRONCHIECTASIS or PLEURAL EFFUSION.</t>
  </si>
  <si>
    <t>Orthogonal views of the thorax are provided:_x000D_
_x000D_
Thorax:_x000D_
_x000D_
There is a right sided retropharyngeal ill defined mass effect (the mass itself is not visualized) ventrally and leftward displacing the cranial trachea._x000D_
Cervical spine and rest of the neck are unremarkable._x000D_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t>
  </si>
  <si>
    <t>1) Right sided retropharyngeal mass effect compatible with a thyroid neoplasia vs retropharyngeal lymphadenopathy. Other differentials are less likely._x000D_
2) Unremarkable thorax without signs of pulmonary metastases nor signs of thoracic lymphadenopathy.</t>
  </si>
  <si>
    <t>CT of the neck and thorax.</t>
  </si>
  <si>
    <t xml:space="preserve">
1.There is no evidence of BRONCHITIS, PERIHILAR INFILTRATE or DYNAMIC AIRWAY COLLAPSE or BRONCHIECTASIS._x000D_
2.The evaluation has come up positive for a pulmonary nodular pattern._x000D_
3.The cardiac silhouette size is normal.</t>
  </si>
  <si>
    <t>3 views of the thorax are provided for review.  4 included images of the abdomen are not requested to be reviewed.  The trachea is mildly dorsally deviated, indicating left ventricular enlargement.  There is straightening of the caudal cardiac waist in the region of the left atrium.  Increased bronchial markings are present in all lung lobes.  No perihilar pulmonary infiltrates are seen.  The pulmonary vasculature is normal in size.  The mediastinal and pleural structures are normal.  Cranial abdominal detail is adequate.</t>
  </si>
  <si>
    <t>Moderate bronchial pulmonary pattern=ZZ90= consider bronchitis, response to inhaled irritants, response to circulating parasites, eosinophilic bronchopneumopathy.  Airway sampling may be helpful in further evaluation.  Mild left-sided cardiomegaly without current evidence of cardiogenic pulmonary edema.  Echocardiography may be helpful in further evaluation.</t>
  </si>
  <si>
    <t xml:space="preserve">
1.Mild cardiomegaly has been detected but Heart Failure is NOT suspected._x000D_
2.MINIMAL to MILD INTERSTITIAL TO ALVEOLAR INFILTRATE; MILD BRONCHIAL PATTERN; MINIMAL PERIHILAR INFILTRATE._x000D_
3.Based on the AI airway/pulmonary findings, the probability of this patient having clinically detectable respiratory signs is LOW to MEDIUM (25%-50%)_x000D_
4.Are respiratory signs present? If YES._x000D_
5.Are respiratory signs present? If NO</t>
  </si>
  <si>
    <t>4 images of the thorax are provided for review.  The trachea is dorsally deviated, indicating left ventricular enlargement.  A bulge is present in the region of the left atrium.  The cardiac silhouette is also widened with rounding of the right ventricular margin.  The trachea is narrowed at the thoracic inlet.  The laryngeal and pharyngeal structures are normal.  The hyoid apparatus is intact.  No pulmonary infiltrates are seen.  The pulmonary vasculature is normal in size.  The mediastinal and pleural structures are normal.  Cranial abdominal detail is adequate.</t>
  </si>
  <si>
    <t>Tracheal narrowing consistent with tracheal collapse.  Tracheal fluoroscopy or bronchoscopy could be considered in further evaluation.  Generalized cardiomegaly without current evidence of cardiogenic pulmonary edema.  Echocardiography may be helpful in further evaluation.</t>
  </si>
  <si>
    <t xml:space="preserve">
1.There is no evidence of BRONCHITIS, ALVEOLAR PATTERN, PERIHILAR INFILTRATE, PULMONARY NODULES or PLEURAL EFFUSION._x000D_
2.Moderate dynamic airway disease has been detected._x000D_
3.Mild cardiomegaly has been detected but Heart Failure is NOT suspected.</t>
  </si>
  <si>
    <t>Study:_x000D_
Thoracic radiography: three images dated August 20, 2024_x000D_
_x000D_
Findings:_x000D_
There is severe generalized cardiomegaly (VHS approximately 13) and enlargement of the left atrium. The pulmonary vasculature is normal in size. There is a mild generalized bronchointerstitial pulmonary pattern. The pleural space is normal. There is no intrathoracic lymphadenopathy. The trachea is normal in diameter. There is no apparent lobar bronchi narrowing. The included abdomen is unremarkable. No skeletal abnormalities are present.</t>
  </si>
  <si>
    <t>1. Severe generalized cardiomegaly and severe left atrial enlargement. Rule out dilated cardiomyopathy (given the patient=ZZ91=s history of a grain free diet) versus degenerative valve disease. Echocardiography is recommended for further evaluation._x000D_
2. The diffuse bronchointerstitial pulmonary pattern is a nonspecific finding. This could be a benign age-related change or may indicate allergic, inflammatory, infectious, inhaled irritant or parasitic bronchitis. Mild interstitial cardiogenic pulmonary edema with peribronchial cuffing. If the patient has any crackles on physical exam, diuretic therapy with repeat radiography to monitor for response to treatment can be considered. Airway sampling plus/minus heartworm testing and Baermann fecal flotation can be considered to further evaluate for lower disease pending further investigation/characterization of the apparent heart disease.</t>
  </si>
  <si>
    <t xml:space="preserve">
1.Based on these AI airway/pulmonary findings, the probability of this patient having clinically detectable respiratory signs is VERY HIGH (&gt;75%)_x000D_
2.Are respiratory signs are present? If YES._x000D_
3.Are respiratory signs are present? If NO._x000D_
4.The evaluation has a strong suspicion of pulmonary nodules or mass lesion being present._x000D_
5.A mixed pulmonary pattern consisting of a severe interstitial to alveolar pattern, moderate bronchial pattern, dynamic airway disease and perihilar infiltrate have been detected._x000D_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</si>
  <si>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WHOLE-BODY (10 total radiographs for review)._x000D_
_x000D_
- Severe (right) and mild to moderate (left) elbow joint osteoarthrosis. On the right, there is elbow joint incongruity, with a step defect between the radial head and the ulna/humeral condyle, and lateral displacement of the radial head on the CC projections._x000D_
- Lobular soft-tissue opacity at the caudal aspect of the elbow joint, caudal to the olecranon._x000D_
- Mild multifocal right carpal joint osteophyte formation._x000D_
- The remaining left thoracic limb structures are normal._x000D_
- The vertebral column is unremarkable._x000D_
- Mild, diffuse bronchial pattern._x000D_
- Mild straightening of the caudal cardiac margin and dorsal displacement of the caudal aspect of the thoracic trachea on the lateral projection cannot be corroborated orthogonally, due to lack of a VD projection._x000D_
- Pulmonary vasculature is normal._x000D_
- The pulmonary parenchyma is normal_x000D_
- The trachea, esophagus and remainder of the mediastinum are normal._x000D_
- The pleural space and remaining intrathoracic structures are normal._x000D_
- Peritoneal serosal detail is normal._x000D_
- The liver is markedly enlarged, with rounded margins._x000D_
- The stomach contains mild gas and gas-stippled soft-tissue opaque material_x000D_
- The small intestine contains mild multifocal gas and soft-tissue opaque material_x000D_
- The colon contains gas, soft-tissue/fluid and mild formed fecal material._x000D_
- The spleen, region of the kidneys and urinary bladder are normal._x000D_
- Mid-thoracic small wire-like peritoneal foreign body._x000D_
- The patient has an excessive body habitus._x000D_
- There is a moderate increase in soft tissue opacity within the right stifle joint, the sense of cranial subluxation of the right femur relative to the distal tibia and moderate periarticular osteophyte formation.</t>
  </si>
  <si>
    <t>1. Marked (right) and mild-to-moderate (left) elbow osteoarthritis with right elbow joint incongruity, likely the cause of the reported right thoracic limb lameness. Right elbow joint pressure granuloma or hygroma._x000D_
_x000D_
2. Mild right carpal osteoarthritis._x000D_
_x000D_
3. Negative examination for evidence of thoracic metastatic neoplasia._x000D_
_x000D_
4. Mild diffuse bronchial pattern. Most likely representing age-related lower airway changes, however a component of chronic bronchitis is possible, especially if there is a history of abnormal respiratory sounds, wheezing and/or coughing._x000D_
_x000D_
5. Questionable mild left-sided cardiomegaly may be artifactual due to a normal patient variant and/or the cardiac cycle. If there is a cardiac murmur present, you may consider submission of a VD or DV image of the thorax and/or echocardiography/ECG for further evaluation._x000D_
_x000D_
6. Marked hepatomegaly. Most likely vacuolar (metabolic) hepatopathy. Hepatic congestion, hepatitis or neoplasia are less likely, but possible._x000D_
_x000D_
7. Likely incidental migrating mid-peritoneal wire-like foreign body._x000D_
_x000D_
8. The appearance of the right stifle joint can be compatible with intra-articular injury (e.g. cranial cruciate ligament +/- meniscus) resulting in stifle instability, leading to femorotibial subluxation, synovial effusion/synovitis and osteoarthritis. Consider consultation with an orthopedic specialist regarding therapeutic options (surgical stabilization vs. medical management).</t>
  </si>
  <si>
    <t xml:space="preserve">
1.A mild perihilar infiltrate has been detected._x000D_
2.The cardiac silhouette size is normal._x000D_
3.There is no evidence of ALVEOLAR PATTERN, PULMONARY NODULES or PLEURAL EFFUSION._x000D_
4.A moderate bronchial pattern and concurrent moderate dynamic airway disease have been detected.</t>
  </si>
  <si>
    <t>WHOLE-BODY (2 total radiographs for review). _x000D_
_x000D_
- The left side of the cardiac silhouette is moderately enlarged, characterized by increased apicobasilar length, dorsal displacement of the caudal aspect of the thoracic trachea and a straightening of the caudal cardiac margin. There is overt left atrial enlargement and a bulge along the left cardiac contour in the position of the left auricle._x000D_
- The pulmonary vasculature is normal._x000D_
- The pulmonary parenchyma is normal_x000D_
- The trachea, esophagus and remainder of the mediastinum are normal._x000D_
- The pleural space and remaining intrathoracic structures are normal._x000D_
- Peritoneal serosal detail is normal._x000D_
- The stomach contains mild gas and gas-stippled soft-tissue opaque material_x000D_
- The small intestine contains mild multifocal gas and soft-tissue opaque material_x000D_
- The colon contains gas, soft-tissue/fluid and moderate formed fecal material._x000D_
- The liver, spleen, region of the kidneys and urinary bladder are normal._x000D_
- No musculoskeletal abnormalities are noted.</t>
  </si>
  <si>
    <t>1.  Moderate left-sided cardiomegaly, with overt left atrial and left auricular enlargement, without pulmonary vasculature congestion or congestive heart failure. Most likely compatible with degeneration of the mitral valve. Consider echocardiography/ECG and cardiologist consultation for further assessment._x000D_
_x000D_
2. Normal abdomen.</t>
  </si>
  <si>
    <t xml:space="preserve">
1.MINIMAL to MILD BRONCHOINTERSTITIAL PULMONARY PATTERN; MILD DYNAMIC AIRWAY DISEASE; FOCAL ATELECTASIS, or less likely, ALVEOLAR INFILTRATE._x000D_
2.Based on these AI airway/pulmonary findings, the probability of this patient having clinically detectable resspiratory signs is LOW (25%)_x000D_
3.Are respiratory signs present? If YES._x000D_
4.Are respiratory signs present? If NO._x000D_
5.Severe cardiomegaly has been detected but Heart Failure is NOT suspected._x000D_
6.There is no evidence of PLEURAL EFFUSION.</t>
  </si>
  <si>
    <t>11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and the rugal folds are prominent.  The small intestines are normal in size.  Gas and feces are present in the colon.  The urinary bladder is small.  The remaining abdominal organs are normal.  Osteophytes present on the femoral necks bilaterally.</t>
  </si>
  <si>
    <t>Prominent rugal folds suggestive of gastritis.  This does not rule out underlying pancreatitis, infiltrative neoplasia, etc.  If clinical signs persist with supportive therapy, abdominal ultrasound may be helpful in further evaluation.  Bilateral coxofemoral DJD.  Radiographically normal thorax for patient of this age.</t>
  </si>
  <si>
    <t xml:space="preserve">
1.A minimal to mild bronchointerstitial pulmonary pattern has been detected._x000D_
2.The cardiac silhouette size is normal._x000D_
3.A minimal perihilar infiltrate has been detected.</t>
  </si>
  <si>
    <t>Study:_x000D_
Thoracic radiography: three images dated August 20, 2024_x000D_
_x000D_
Findings:_x000D_
There is mild generalized cardiomegaly (VHS approximately 10). Patient obliquity exaggerates the right heart and gives the cardiac silhouette rounded appearance on the VD view. The pulmonary vasculature is normal in size. There is a mild generalized bronchointerstitial pulmonary pattern. The pleural space is normal. There is no intrathoracic lymphadenopathy. The trachea is normal in diameter. The stomach some small intestinal segments contain unstructured heterogeneous/granular soft tissue material presumed to be ingesta. There is a mild to moderate amount of ill-defined granular mineral the region of the gallbladder. The osseous structures are unremarkable.</t>
  </si>
  <si>
    <t>1. Mild generalized cardiomegaly without evidence of decompensation. Rule out degenerative valve disease. Echocardiography can be considered for further evaluation._x000D_
2. The mild diffuse bronchointerstitial pulmonary pattern is a nonspecific finding. This could be a benign age-related change or may indicate allergic, inflammatory, infectious or inhaled irritant bronchitis. Airway sampling can be considered to further evaluate for lower airway disease._x000D_
3. Cholelithiasis.</t>
  </si>
  <si>
    <t xml:space="preserve">
1.MILD BRONCHOINTERSTITIAL PULMONARY PATTERN; MINIMAL to MILD PERIHILAR PATTERN._x000D_
2.MILD BRONCHOINTERSTITIAL PULMONARY PATTERN; MINIMAL DYNAMIC AIRWAY DISEASE._x000D_
3.Mild cardiomegaly has been detected but Heart Failure is NOT suspected._x000D_
4.Based on these AI airway/pulmonary findings, the probability of this patient having clinically detectable respiratory signs is LOW to MEDIUM (25-50%)_x000D_
5.Based on the AI airway/pulmonary findings, the probability of this patient having clinically detectable respiratory signs is LOW (25%)_x000D_
6.In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7.Are respiratory signs present? If YES._x000D_
8.In the PRESENCE of respiratory signs, low grade active pneumonitis (allergic, bacterial, parasitic (including heartworm disease), inhaled allergen or toxin) or upper airway disease causing pulmonary hypoinflation and/or recurrent microaspiration may be more likely._x000D_
9.Are respiratory signs present? If NO.</t>
  </si>
  <si>
    <t>A three view study of the thorax is provided for interpretation. Previous radiographs dated 3-28-24 available for comparison._x000D_
_x000D_
No thoracic lymphadenopathy or pleural effusion is seen. The pulmonary vessels and parenchyma are unremarkable. The heart is within normal size and shape limits. No tracheal or esophageal abnormalities are seen. The cranial abdominal organs are within normal size and shape limits. No abnormalities are seen involving the visible GI structures._x000D_
There is mild spondylosis in the caudal thoracic spine. No destructive bone lesions are identified.</t>
  </si>
  <si>
    <t>No significant thoracic abnormalities are identified.</t>
  </si>
  <si>
    <t>No abnormalities are explain the clinical signs are identified. Metabolic or systemic infectious disease should be ruled out with appropriate labwork.</t>
  </si>
  <si>
    <t>3 views of the thorax are submitted for review.  The cardiac silhouette is generally enlarged with increased convexity of the right heart and increased sternal contact.  The caudal lobar pulmonary vessels are markedly enlarged and tortuous in course.  A marked generalized bronchointerstitial pattern is also noted throughout the lung fields. The pulmonary pattern slightly coalesces to a more severe bronchointerstitial to mild alveolar pattern in the region of the right middle lung lobe on the left lateral view. No definitive pulmonary nodules are noted.  Moderate degenerative changes are seen along the costochondral junctions.  No pleural effusion or intrathoracic lymphadenopathy is noted.  The trachea is normal in diameter.  The limited view of the cranial abdomen is unremarkable.  No aggressive bony changes are noted.</t>
  </si>
  <si>
    <t>Moderate to marked right-sided cardiomegaly and severe pulmonary arteritis.  This is most consistent with chronic or previous heartworm disease.  The appearance of the lung fields could also be consistent with inflammation related to chronic or previous heartworm disease or other chronic bronchitis. Concurrent focal bronchopneumonia in the right middle lung lobe is also possible._x000D_
No evidence of pulmonary metastatic neoplasia is noted.</t>
  </si>
  <si>
    <t>Correlation with Heartworm status is recommended. A CBC is also recommended if not already performed. Otherwise, an echocardiogram is indicated for further evaluation of the heart.</t>
  </si>
  <si>
    <t xml:space="preserve">
1.MODERATE INTERSTITIAL TO ALVEOLAR INFILTRATE; MILD BRONCHIAL PATTERN; MILD PERIHILAR INFILTRATE._x000D_
2.Based on the AI airway/pulmonary findings, the probability of this patient having clinically detectable respiratory signs is HIGH (75%)_x000D_
3.The cardiac silhouette size is normal._x000D_
4.Are respiratory signs present? If NO._x000D_
5.A mild perihilar infiltrate has been detected._x000D_
6.The evaluation has a strong suspicion of pulmonary nodules or mass lesion being present._x000D_
7.Are respiratory signs present? If YES.</t>
  </si>
  <si>
    <t>Orthogonal views of the thorax and abdomen are provided:_x000D_
_x000D_
Thorax:_x000D_
_x000D_
Cardiac silhouette shows a questionable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empty._x000D_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Kidneys and urinary bladder WNL.</t>
  </si>
  <si>
    <t>1) Rule out left atrial enlargement secondary to chronic mitral endocardiosis without signs of CHF. Rule out tricuspid endocardiosis with pulmonary hypertension._x000D_
2) Hepatomegaly: Metabolic vs Vacuolar infiltration vs Hepatic nodular hyperplasia vs Inflammatory vs Toxic vs Neoplastic or a combination of these differentials.</t>
  </si>
  <si>
    <t>Consider a cardiology consultation with ECG and echocardiogram. _x000D_
Consider abdominal US to further evaluate the liver, GI tract, pancreas and the urinary tract with renal function test, urinalysis, UPC and urine culture.</t>
  </si>
  <si>
    <t xml:space="preserve">
1.MILD BRONCHOINTERSTITIAL PULMONARY PATTERN; MINIMAL to MILD PERIHILAR PATTERN._x000D_
2.MILD BRONCHOINTERSTITIAL PULMONARY PATTERN; MINIMAL DYNAMIC AIRWAY DISEASE._x000D_
3.Based on these AI airway/pulmonary findings, the probability of this patient having clinically detectable respiratory signs is LOW to MEDIUM (25-50%)_x000D_
4.Based on the AI airway/pulmonary findings, the probability of this patient having clinically detectable respiratory signs is LOW (25%)_x000D_
5.In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6.Are respiratory signs present? If YES._x000D_
7.Are respiratory signs present? If NO._x000D_
8.In the PRESENCE of respiratory signs, low grade active pneumonitis (allergic, bacterial, parasitic (including heartworm disease), inhaled allergen or toxin) or upper airway disease causing pulmonary hypoinflation and/or recurrent microaspiration may be more likely._x000D_
9.Mild cardiomegaly has been detected but Heart Failure is NOT suspected._x000D_
10.There is no evidence of PLEURAL EFFUSION.</t>
  </si>
  <si>
    <t>Today=ZZ91=s study is compared to a study dated 10/19/2023._x000D_
_x000D_
Thorax: There is moderate left and right-sided cardiomegaly which has increased in size compared to previous.  The pulmonary vasculature is unremarkable.  There are no abnormalities involving the pulmonary parenchyma.  There is no evidence of cardiogenic pulmonary edema or pleural effusion._x000D_
_x000D_
Abdomen: The liver is diffusely enlarged.  There are several urinary bladder calculi.  On the ventrodorsal view there is a possible mass originating from the spleen.  The remainder of the abdominal viscera is unremarkable.</t>
  </si>
  <si>
    <t>Moderate generalized cardiomegaly which has increased in size compared to previous.  There is no evidence of cardiac decompensation._x000D_
_x000D_
Diffuse hepatomegaly_x000D_
_x000D_
Urinary bladder calculi.</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</si>
  <si>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3.Are respiratory signs present? If YES._x000D_
4.Are respiratory signs present? If NO._x000D_
5.SEVERE INTERSTITIAL TO ALVEOLAR PATTERN; SEVERE BRONCHIAL PATTERN; SEVERE DYNAMIC AIRWAY DISEASE._x000D_
6.Based on these AI airway/pulmonary findings, the probability of this patient having clinically detectable respiratory signs is VERY HIGH (&gt;75%)_x000D_
7.A severe perihilar infiltrate has been detected.</t>
  </si>
  <si>
    <t xml:space="preserve">THORAX (3 images):
Images are dated August 20, 2024.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mildly symmetrically widened in the ventrodorsal image without obvious increased soft tissue.
Trachea: The trachea is normal.
Esophagus: The esophagus is not well-identified.
Pleural space: The pleural space is normal.
Musculoskeletal: The included musculoskeletal structures are normal.
</t>
  </si>
  <si>
    <t>1. Mild-moderate diffuse bronchial pattern due to infectious/immune-mediated lower airway disease, fibrosis from prior disease, age-related changes, or unlikely other.
2. Mild symmetrical cranial mediastinal widening due to fat deposition or unlikely lymphadenomegaly or other.</t>
  </si>
  <si>
    <t xml:space="preserve">Etiology of reported panting is not definitively identified.  Consider routine blood work and abdominal imaging to screen for occult systemic disease such as from anemia, endocrinopathy, or other.  If signs of coughing manifest, consider empirical therapy and supportive care for infectious/immune-mediated lower airway disease, and possibly airway sampling, respiratory PCR panel, or tracheoscopy/bronchoscopy for further evaluation.  </t>
  </si>
  <si>
    <t>Study:_x000D_
Thoracic and abdominal radiography: six images dated August 20,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gas with the pylorus probably gas-filled on the left lateral image. The small intestines are normal in size, course and content. The colon contains formed fecal material. The liver and spleen are normal in size and margin. The kidneys are normal in size and contour. The urinary bladder is normal in size and opacity. The L7 vertebra is transitional.</t>
  </si>
  <si>
    <t>1. Normal thorax. There is no radiographic evidence of an esophageal motility disorder._x000D_
2. Unremarkable abdomen. There is no evidence of gastrointestinal foreign material pyloric outflow obstruction or small intestinal mechanical obstruction.</t>
  </si>
  <si>
    <t>Abdominal sonography and an esophagogram can be considered for further evaluation if clinical signs persist or worsen in spite of medical management.</t>
  </si>
  <si>
    <t>5 images of the spine are provided for review.  No fractures, luxations, or aggressive osseous lesions are seen.  There is consistent narrowing of the intervertebral disc spaces at C6-7 and T13-L1.  The soft tissue structures included are normal.</t>
  </si>
  <si>
    <t>Narrowed intervertebral disc spaces suggestive of intervertebral disc herniations.  This does not rule out intervertebral disc herniation at another site or other causes of spinal cord compression.</t>
  </si>
  <si>
    <t>Seven radiographs of the thorax/abdomen are provided. There is severe narrowed cervical trachea on both of the lateral views. The trachea has a serpentine course at the thoracic inlet, incidental. Small volume fluid in the caudal esophagus is transient and incidental. The heart and pulmonary vessels are normal size and shape. A mild bronchial pattern and several pulmonary osteomas is normal for the age of this patient. There is no pleural effusion or soft tissue pulmonary nodules._x000D_
_x000D_
In the abdomen the prostate is not visible. The liver and spleen are normal size. The kidneys are obscured by superimposed bowel loops. The gastrointestinal tract is moderately filled. No radiopaque urolithiasis. Narrowed L1-2, L2-3 intervertebral disc spaces. Both femoral heads are poorly covered by the dorsal acetabular rims, with mild acetabular osseous remodeling. The left patella is medially displaced.</t>
  </si>
  <si>
    <t>1. Severe cervical tracheal collapse, the most likely cause for coughing. Brachycephalic airway disease may be contributing. No intrathoracic abnormalities._x000D_
2. The appearance of L1-2 and L2-3 are both suggestive of intervertebral disc disease. Such a lesion at this or another site is the most likely cause for pelvic limb weakness._x000D_
3. Bilateral hip dysplasia with subluxation and mild osteoarthritis, and concurrent medial patellar luxation on the left. This may be contributing to discomfort and atrophy._x000D_
4. Normal abdomen.</t>
  </si>
  <si>
    <t>There is no contraindication for general anesthesia based on this study. Consider sedation and visual inspection of the pharyngeal/laryngeal region.</t>
  </si>
  <si>
    <t xml:space="preserve">
1.A mild bronchial pattern has been detected._x000D_
2.The cardiac silhouette size is normal._x000D_
3.There is no evidence of ALVEOLAR PATTERN, PERIHILAR INFILTRATE or PULMONARY NODULES.</t>
  </si>
  <si>
    <t>Three orthogonal survey radiographs of the thorax and abdomen dated 20th August 2024 are available for review. There are no previous radiographs available for comparison. The ventrodorsal thoracic image is overexposed._x000D_
_x000D_
Thorax: _x000D_
Airway findings: The thoracic trachea is mildly elevated. The tracheal bifurcation is widened. There is a caudal dorsal mainly interstitial opacification. This is most pronounced in the caudal left lung lobe. A poorly marginated spherical soft tissue opacity is visible in the caudal dorsal right lung lobe on the left lateral image, which not visible on the ventrodorsal image._x000D_
_x000D_
Cardiovascular findings: There is a large smoothly marginated soft tissue opacity contiguous with the caudal dorsal border of the cardiac silhouette. A soft tissue opacity is superimposed on the caudal cardiac silhouette in the dorsoventral image. There is increased cardiac sternal contact. The right atrium appears subjectively enlarged. The pulmonary vasculature is normal. The mainstem vessels are normal._x000D_
_x000D_
Mediastinum and pleural space: There are thin pleural fissure lines._x000D_
_x000D_
Abdomen: The hepatic silhouette is enlarged with rounded borders. The stomach is mainly empty with a mildly caudally displaced axis. The small intestines are distributed evenly and are within normal limits for shape, size and contents. The ascending, transverse and descending colon have a normal position and contain gradually more formed faeces. The spleen is normal. The kidneys are partially obscured by gastrointestinal contents, but the visible aspect are normal. The urinary bladder is filled. The serosal detail is normal._x000D_
_x000D_
Musculoskeletal findings: No significant abnormalities are detected.</t>
  </si>
  <si>
    <t>1. Generalized cardiomegaly with pulmonary venous distension and cardiogenic pulmonary edema consistent with left sided congestive heart failure. Ddx: myxomatous degeneration of the mitral and tricuspid valves with post-capillary pulmonary hypertension vs systolic dysfunction (DCM). A congenital cardiac abnormality is unlikely, but cannot be excluded._x000D_
2. The interstitial opacification is most likely due to cardiogenic pulmonary oedema. Lower airway infectious/inflammatory disease is less likely._x000D_
3. The separate soft tissue opacity is likely positional artefact. A pulmonary mass (primary neoplasia, abscess, cyst) is considered less likely._x000D_
4. The hepatomegaly is in this case most likely due to congestion secondary to increased central venous pressures. Alternatively, the hepatomegaly may be due to vacuolar hepatopathy, or underlying endocrine disease.</t>
  </si>
  <si>
    <t>Complete bloodwork if not already performed. Management for left sided congestive heart failure including diuretic therapy with oxygen support as needed. ECG and systemic blood pressure monitoring. Recommend repeat thoracic radiographs after 24-48 hours of therapy, sooner if clinically indicated. Continued monitoring of renal values and urinalysis._x000D_
_x000D_
Once stabilized, an echocardiogram is recommended. Thoracic CT may be considered to exclude neoplasia.</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</si>
  <si>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3.MODERATE INTERSTITIAL TO ALVEOLAR INFILTRATE; CONCURRENT MODERATE BRONCHIAL PATTERN; MILD PERIHILAR INFILTRATE._x000D_
4.MODERATE BRONCHOINTERSTITIAL PULMONARY PATTERN; ALVEOLAR INFILTRATE or ATELECTASIS; DYNAMIC AIRWAY DISEASE._x000D_
5.Based on the AI airway/pulmonary findings, the probability of this patient having clinically detectable respiratorysigns is MEDIUM to HIGH (50-75%)_x000D_
6.Based on these AI airway/pulmonary findings, the probability of this patient having clinically detectable respiratory signs is HIGH (75%)_x000D_
7.Are respiratory signs present? If YES._x000D_
8.Are respiratory signs present? If YES._x000D_
9.Are respiratory signs present? If NO._x000D_
10.AI linked bacterial pneumonia treatment in dogs: https://platform.v2.vetology.net/doc/pneumonia-in-dogs-and-cats_x000D_
11.Are respiratory signs present? If NO._x000D_
12.The evaluation has a strong suspicion of pulmonary nodules or mass lesion being present.</t>
  </si>
  <si>
    <t xml:space="preserve">THORAX (3 images):
Images are dated August 20, 2024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Multifocal thoracolumbar spondylosis deformans is present.  The remaining included musculoskeletal structures are normal.
</t>
  </si>
  <si>
    <t>1. Mild-moderate diffuse bronchial pulmonary pattern.
- Differential diagnoses include infectious/immune-mediated lower airway disease such as from bordetella spp., mycoplasma spp., parasitism (lung worms), fibrosis from prior disease, age-related changes, or unlikely a combination of these, or other.
2. No obvious pulmonary soft tissue nodules or intra-thoracic lymphadenomegaly.</t>
  </si>
  <si>
    <t>Consider computed tomography of the thorax/abdomen for a more sensitive evaluation of the thorax and pre-surgical planning of reported mammary gland nodule excisional/incisional biopsy.  Routine blood work if not recently performed.  Oncologist consultation depending on results of histopathology.    Empirical therapy and supportive care in the interim as needed. Monitoring as directed or sooner if clinical signs acutely change, fail to improve or worsen.</t>
  </si>
  <si>
    <t xml:space="preserve">
1.The cardiac silhouette size is normal._x000D_
2.There is no evidence of ALVEOLAR PATTERN, DYNAMIC AIRWAY COLLAPSE or BRONCHIECTASIS, PULMONARY NODULES or PLEURAL EFFUSION._x000D_
3.A minimal perihilar infiltrate has been detected._x000D_
4.A minimal bronchial pattern has been detected.</t>
  </si>
  <si>
    <t>Opposite lateral and VD thorax views are provided._x000D_
_x000D_
The dorsal margin of the cervical trachea is generally ill defined, and gas within the trachea is obscured with poorly defined soft tissue opacity consistent with severe redundant dorsal tracheal membrane. Some degree of cartilage narrowing is also suspected._x000D_
There is bronchial mineralization compatible with age related change. No active appearing pulmonary infiltrates or pleural effusion are seen._x000D_
The heart is at the upper end of normal size range overall, but as a slight bulge at the caudal heart base compatible with mild left atrial dilation. Pulmonary vessels are normal._x000D_
_x000D_
Granular mineral density is seen superimposed over the liver on midline, presumed to be within the gallbladder.</t>
  </si>
  <si>
    <t>The appearance of the cervical trachea be compatible with chondromalacia and collapsing trachea as the most likely cause of the coughing. The increased bronchial markings are compatible with age related change. Idiopathic chronic bronchitis could still be present with a similar appearance._x000D_
Mild left atrial dilation is suspected, but overall heart size is not suspicious for heart failure and no pulmonary edema is seen._x000D_
_x000D_
Granular mineral density seen in the cranial abdomen is suspected to represent mineral dense sediment within the gallbladder.</t>
  </si>
  <si>
    <t>Symptomatic therapy for collapsing trachea is recommended.</t>
  </si>
  <si>
    <t xml:space="preserve">
1.A minimal to mild bronchointerstitial pulmonary pattern has been detected._x000D_
2.There is no evidence of DYNAMIC AIRWAY COLLAPSE or BRONCHIECTASIS, PULMONARY NODULES or PLEURAL EFFUSION._x000D_
3.Mild cardiomegaly has been detected but Heart Failure is NOT suspected.</t>
  </si>
  <si>
    <t>Three radiographs of the head/neck, three views of the thorax, and three views of the abdomen are provided. Head images include two oblique lateral views and an open-mouth rostroventral to caudodorsal view. There is curved 3.7 m area of increased opacity overlying the dorsal aspect of the rostral left extranasal soft tissues on the right lateral view. It is unknown if this is the described area of swelling or if this is artifact caused by superimposed labial tissue. There is no osseous lysis or proliferation. Nasal and frontal sinuses are normally air-filled. Broad-based 1.3 x 0.5 cm soft tissue opaque nodule rostral to the globes is of uncertain significance. Tympanic bullae are normally thin-walled and air-filled. No pharyngeal/laryngeal abnormalities._x000D_
_x000D_
In the thorax the cardiac silhouette and pulmonary vessels are normal size. There are no abnormalities in the pulmonary parenchyma. No pleural effusion or intrathoracic lymphadenomegaly. Small volume fat deposition in the cranial mediastinum._x000D_
_x000D_
In the abdomen there is no peritoneal or retroperitoneal effusion. Large volume soft tissue opaque ingesta fills the stomach. The small and large bowel are mildly filled. No radiopaque urolithiasis. Normal-sized liver and kidneys. No osseous abnormalities.</t>
  </si>
  <si>
    <t>1. Soft tissue thickening along the rostral dorsal extranasal tissues, either representing the reported swelling or summating normal anatomy. No other definitive head abnormalities are identified. There is no evidence of osseous involvement._x000D_
2. Normal thorax and abdomen.</t>
  </si>
  <si>
    <t>Cytology/histopathology of the nasal swelling is recommended. If further evaluation is desired, cross-sectional head imaging with computed tomography would be recommended.</t>
  </si>
  <si>
    <t>Orthogonal views of the thorax are provided:_x000D_
_x000D_
Thorax:_x000D_
_x000D_
No signs of tracheal collapse._x000D_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margins._x000D_
Bilateral renoliths.</t>
  </si>
  <si>
    <t>1) Left atrial enlargement secondary to chronic mitral endocardiosis without signs of CHF. Rule out concomitant tricuspid endocardiosis with pulmonary hypertension._x000D_
2) Lack of visualization of tracheal collapse does not exclude this differential (especially taking into account the breed). Unremarkable lungs do not exclude a bronchitis of allergic vs inflammatory/infectious or parasitic origin. No signs of pulmonary metastases nor signs of thoracic lymphadenopathy. _x000D_
3) Hepatomegaly: Metabolic vs Vacuolar infiltration vs Hepatic nodular hyperplasia vs Inflammatory vs Toxic vs Neoplastic or a combination of these differentials._x000D_
4) Bilateral renoliths.</t>
  </si>
  <si>
    <t>Consider a cardiology consultation with ECG and echocardiogram prior to a fluoroscopy (followed by tracheobronchoscopy, BAL and culture/citology)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If negative, consider empirical treatment for chronic bronchitis._x000D_
Consider abdominal US to further evaluate the liver and the urinary tract with renal function test, urinalysis, UPC and urine culture.</t>
  </si>
  <si>
    <t xml:space="preserve">
1.MINIMAL TO MILD BRONCHOINTERSTITIAL PULMONRAY PATTERN; MILD PERIHILAR PATTERN._x000D_
2.MODERATE DYNAMIC AIRWAY DISEASE; MILD BRONCHIAL PATTERN._x000D_
3.Based on these AI airway/pulmonary findings, the probability of this patient having clinically detectable respiratory signs is MEDIUM (50%)_x000D_
4.Based on the AI airway/pulmonary findings, the probability of this patient having clinically detectable respiratory signs is LOW (25%)_x000D_
5.Are respiratory signs present? If YES._x000D_
6.Severe cardiomegaly has been detected but Heart Failure is NOT suspected._x000D_
7.There is no evidence of PULMONARY NODULES or PLEURAL EFFUSION._x000D_
8.Are respiratory signs present? If YES._x000D_
9.Are respiratory signs present? If NO._x000D_
10.Are respiratory signs present? If NO.</t>
  </si>
  <si>
    <t>3 views of the thorax are presented for review.  The cardiovascular structures are normal.  There is a diffuse interstitial pulmonary pattern that is considered appropriate for the age of the patient.  A solitary rounded soft tissue structure is seen superimposed over the caudal portion of the heart on the right lateral view.  This is faintly visible at the right sixth intercostal space on the VD view.  No additional pulmonary nodules or enlarged intrathoracic lymph nodes are seen.  The pleural and mediastinal structures are normal.  Cranial abdominal detail is adequate.
(amended on 08/20/2024 11:45)
Correction:_x000D_
A solitary rounded soft tissue structure is seen superimposed over the caudal portion of the heart on the left lateral view. _x000D_
The small mass measures approximately 2.8 x 3.1 x 3.1 cm.</t>
  </si>
  <si>
    <t>Solitary small pulmonary mass concerning for neoplasia.</t>
  </si>
  <si>
    <t>Orthogonal views of the thorax and abdomen are provided:_x000D_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and urinary bladder WNL._x000D_
_x000D_
Cranial to M4 there is an irregular SC mass. One of the M4 shows irregular thickened tissue.</t>
  </si>
  <si>
    <t>1) Unremarkable thorax and abdomen._x000D_
2) Rule out mammary neoplasms.</t>
  </si>
  <si>
    <t>Consider abdominal US to further evaluate causes of lethargy, ruling out abdominal metastases along with FNAs of the mammary masses.</t>
  </si>
  <si>
    <t xml:space="preserve">
1.A moderate perihilar infitlrate has been detected._x000D_
2.A mild to moderate bronchointerstitial pulmonary pattern has been detected._x000D_
3.The cardiac silhouette size is normal.</t>
  </si>
  <si>
    <t>Thirteen radiographs are provided, with images of the neck, thorax, proximal thoracic limbs, abdomen, spine, pelvis and proximal pelvic limbs. The cardiac silhouette and pulmonary vessels are normal size and shape. There are no abnormalities in the pulmonary parenchyma or pleural space. Fat deposition separates the heart from the sternum. No scapular or shoulder abnormalities. Suspect degenerative change in the left elbow. No cervical spinal abnormalities._x000D_
_x000D_
In the abdomen the liver is mildly enlarged with smooth margins. Normal-sized spleen and kidneys. The gastrointestinal tract is moderately filled. No radiopaque urolithiasis. No lumbar spinal abnormalities. The coxofemoral joints are congruent. Patellar location is normal. Possible reduced pelvic limb musculature on the left. There is moderate volume fluid in the cranial aspect of the left stifle joint, with no definitive fluid in the right stifle joint. There is mild to moderate stifle periarticular osseous remodeling bilaterally, worse on the left.</t>
  </si>
  <si>
    <t>1. Moderate left stifle effusion most consistent with cranial cruciate ligament tear/rupture. This is most likely cause for lameness. There is no definitive right stifle effusion, however there is bilateral stifle osteoarthritis. Normal coxofemoral joints._x000D_
2. Mild hepatomegaly, a nonspecific finding that may be steroid or other hepatopathy, acute inflammation, or neoplasia. This should be correlated with history and blood work._x000D_
3. Left cubital osteoarthritis._x000D_
4. Normal thorax and spine.</t>
  </si>
  <si>
    <t>If lameness is severe and there is palpable stifle instability, surgical stabilization would be recommended.</t>
  </si>
  <si>
    <t>Five radiographs of the thorax are provided. The cardiac silhouette and pulmonary vessels are normal size. There is equivocal scant ventral pleural fluid. Small round soft tissue density cranial to the heart on the left lateral view is end-on pulmonary vessel. There are no abnormalities in the pulmonary parenchyma. Adequate tracheal diameter. No pleural gas. Mild thickened ventral extrathoracic soft tissues consistent with recent surgery. There is suspect small area of irregular articular margin in one of the humeral heads, of doubtful significance today.</t>
  </si>
  <si>
    <t>Equivocal scant pleural fluid consistent with recent surgery. Otherwise normal thorax.</t>
  </si>
  <si>
    <t xml:space="preserve">
1.A minimal interstitial pulmonary pattern with a concurrent, mild perihilar infiltrate have been detected._x000D_
2.Pleural fissure lines or moderate to severe pleural effusion has been detected. An overlying skin fold or in an obese animal, excessive pericardial fat could artifactually mimic the result of severe pleural effusion._x000D_
3.The cardiac silhouette size is normal._x000D_
4.There is no evidence of DYNAMIC AIRWAY COLLAPSE or BRONCHIECTASIS.</t>
  </si>
  <si>
    <t xml:space="preserve">Patient Name : Bear Evans, Date of study: Aug 20, 2024
4 images are provided for review
Canine Thorax (4 Images) - 2 Lateral, 2 Vd
Pulmonary parenchyma: In the ventrodorsal image, a well-defined alveolar pattern is in the right caudal lung lobe, with lobar margination with the right middle lung lobe but without well-defined air-bronchograms. This is ill-defined and partially over the diaphragm in the lateral image.  A mild to moderate diffuse bronchial pattern is present.
Pulmonary vasculature: The pulmonary vasculature is subjectively normal in size and tapers in the periphery of the lungs.
Cardiac silhouette: The cardiac silhouette is normal in size and shape.
Mediastinum: A rightward mediastinal shift is present in the ventrodorsal images.  The cranial mediastinum is mildly symmetrically widened without obvious increased soft tissue.
Trachea: The trachea is normal.
Esophagus: The esophagus is not well-identified.
Pleural space:  Thin pleural fissure line between the left cranial/caudal lung lobes in the ventrodorsal image.
Musculoskeletal: Mild bilateral shoulder osteoarthrosis is suspected.  Well-defined, smoothly marginated mineral body between the T9-10 spinous processes.  The remaining included musculoskeletal structures are normal.
</t>
  </si>
  <si>
    <t>1. Right caudal lung lobe alveolar pattern and rightward mediastinal shift.
- Given mediastinum is shifted towards this lesion, this is less suspicious of an evolving mass, which should displace mediastinal structures away from its area.
- Consider pulmonary eosinophilia, hemorrhage such as from systemic coagulopathy, evolving hematogeneous spread of pneumonia/sepsis, fungal pneumonia such as from blastomycosis spp., or less likely non-cardiogenic pulmonary edema, vascular accident or unlikely evolving neoplasia or other.  
- Atypical bronchopneumonia such as from inhaled foreign material is possible, but considered least likely.  
2. Mild-moderate diffuse bronchial pulmonary pattern such as from infectious/immune-mediated lower airway disease (mycoplasma spp., bordetella spp., parasitism, or other), evolving systemic disease/pneumonitis similar to #1 above, or unlikely evolving neoplasia (lymphosarcoma or round cell tumor) or other.
3. Rightward mediastinal shift due to right-sided lung atelectasis/lung volume loss and underlying disease are most likely.
4. Scant left-sided pleural fluid versus artifact.</t>
  </si>
  <si>
    <t>Consider computed tomography of the thorax for further evaluation, with possible tissue sampling depending on results.  Oxygen therapy and empirical therapy/supportive care in the interim as needed (bronchodilators, broad-spectrum antibiotics, etc).  Routine blood work and coagulation testing may be contributory.  Consider abdominal imaging to screen for occult systemic disease. Fungal serology if the patient has an appropriate travel/exposure history, especially if other diagnostics are inconclusive. Consider respiratory PCR panel, airway sampling for further evaluation once stable.  Monitoring as directed or sooner if clinical signs acutely change, fail to improve or worsen.</t>
  </si>
  <si>
    <t xml:space="preserve">
1.The evaluation result has a strong suspicion of soft tissue pulmonary nodules being present._x000D_
2.Pleural fissure lines or moderate pleural effusion has been detected. An overlying skin fold or in a moderately overweight animal, excessive pericardial fat could artifactually mimic the result of moderate pleural effusion._x000D_
3.The cardiac silhouette size is normal._x000D_
4.Based on these AI airway/pulmonary findings,  the probability of this patient having clinically detectable respiratory signs is HIGH (75%)_x000D_
5.PULMONARY NODULES or NODULAR PATTERN; MODERATE INTERSTITIAL TO ALVEOLAR PATTERN; MILD BRONCHITIS._x000D_
6.Based on the AI airway/pulmonary findings, the probability of this patient having soft tissue pulmonary nodules and clinically detectable respiratory signs is MEDIUM (&gt;50%)_x000D_
7.Concurrent bronchointerstitial lung disease (bacterial vs allergic vs parasitic lung disease, including heartworm patholsis), atelectasis, pneumonia or pulmonary hemorrhage may be present._x000D_
8.MODERATE INTERSTITIAL TO ALVEOLAR INFILTRATE; MILD BRONCHIAL PATTERN; MINIMAL PERIHILAR INFILTRATE._x000D_
9.Are respiratory signs present? If NO._x000D_
10.Are respiratory signs present? If YES.</t>
  </si>
  <si>
    <t>Orthogonal views of the thorax are provided:_x000D_
_x000D_
Thorax:_x000D_
_x000D_
No signs of tracheal collapse._x000D_
Cardiac silhouette shows a mild enlargement of the left atrium dorsally displacing the carina._x000D_
Pulmonary vessels are within normal limits of size and shape._x000D_
Pulmonary parenchyma is within normal limits. No evidence of pneumonia nor signs of pulmonary nodules/masses._x000D_
Pleural space, mediastinum, diaphragm and thoracic wall within normal limits._x000D_
_x000D_
Liver extends beyond the costal arch with mildly rounded margins.</t>
  </si>
  <si>
    <t>1) Left atrial enlargement secondary to chronic mitral endocardiosis without signs of CHF._x000D_
2) Lack of visualization of tracheal collapse does not exclude this differential (especially taking into account the breed). Unremarkable lungs do not exclude a bronchitis of allergic vs inflammatory/infectious or parasitic origin. No signs of pulmonary metastases nor signs of thoracic lymphadenopathy. _x000D_
3) Hepatomegaly: Metabolic vs Vacuolar infiltration vs Hepatic nodular hyperplasia vs Inflammatory vs Toxic vs Neoplastic or a combination of these differentials</t>
  </si>
  <si>
    <t>Consider a cardiology consultation with ECG and echocardiogram prior to a fluoroscopy (followed by tracheobronchoscopy, BAL and culture/citology)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If negative, consider empirical treatment for chronic bronchitis._x000D_
Consider also abdominal US to further evaluate the liver.</t>
  </si>
  <si>
    <t xml:space="preserve">
1.Are respiratory signs present? If NO._x000D_
2.Pleural fissure lines or moderate pleural effusion has been detected. An overlying skin fold or in a moderately overweight animal, excessive pericardial fat could artifactually mimic the result of moderate pleural effusion._x000D_
3.Severe cardiomegaly has been detected but Heart Failure is NOT suspected._x000D_
4.MILD to MODERATE BRONCHINTERSTITIAL PATTERN with ATELECTASIS or less likely, PNEUMONIA; MILD DYNAMIC AIRWAY DISEASE._x000D_
5.Based on these AI airway/pulmonary findings, the probability of this patient having clinically detectable respiratory signs is MEDIUM to HIGH (50-75%)_x000D_
6.Are respiratory signs present? If YES.</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</si>
  <si>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mildly decreased in the central abdomen._x000D_
Liver and spleen are within normal limits of size and smoothly marginated._x000D_
Kidneys and urinary bladder WNL._x000D_
_x000D_
L3-L4 IVDS is narrow.</t>
  </si>
  <si>
    <t>1) Unremarkable thorax without signs of pulmonary metastases nor signs of thoracic lymphadenopathy._x000D_
2) Decreased central serosal detail. Rule out scant effusion vs soft tissue summation.</t>
  </si>
  <si>
    <t>Consider abdominal US to further evaluate causes of vomition/diarrhea and potential free fluid._x000D_
Once recovered, full neuro exam with MRI if necessary.</t>
  </si>
  <si>
    <t xml:space="preserve">Three images are provided.
Images date dated August 19, 2024.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mildly widened symmetrical in the ventrodorsal image without obvious increased soft tissue.
Trachea: The trachea is normal.
Esophagus: The esophagus contains minimal gas or is empty.
Pleural space: The pleural space is normal.
Liver: The liver is equivocally enlarged in the right lateral image with slight caudal displacement of the gastric axis.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Reproductive:
Peritoneum: Peritoneal detail is adequate.
Gastrointestinal tract: The stomach contains a moderate heterogeneous soft tissue admixed with gas.  Gas is in the pylorus and descending duodenum in the left lateral image.  The stomach is within normal limits for size.
The small intestine contains mild to moderate gas and fluid or is empty with a subjectively uniform population for size. 
The colon contains mild to moderate well-defined soft tissue material and gas.  The colon is within normal limits for size.  
Musculoskeletal:  Incidentally, the L7 vertebra is transitional and sacralized.  Multiple prominent nipples are present.  The remaining included musculoskeletal structures are normal.
</t>
  </si>
  <si>
    <t>1. Minimal diffuse bronchial pulmonary pattern such as from infectious/immune-mediated lower airway disease (mycoplasma spp., bordetella spp., parasitism, or unlikely other), inhaled allergen/irritant, fibrosis from prior disease, age-related changes, or unlikely other.
2. Mild cranial mediastinal widening such as from fat deposition and/or thymus gland enlargement (reactive versus neoplastic).
3. Minimal hepatomegaly versus artifact or variation of normal.
- If present consider vacuolar hepatopathy, nodular hyperplasia, or unlikely hepatitis or evolving neoplasia or other.
4. Gastric material from recent meal or unlikely other given reported history.</t>
  </si>
  <si>
    <t>Consider routine blood work, urinary cortisol:creatinine ratio and/or ACTH stimulation testing/LDDS testing for further evaluation of possible hepatomegaly and reported PU/PD.  Consider abdominal ultrasonography for further evaluation of the liver and adrenal glands.  Empirical therapy and supportive care in the interim as needed for reported coughing.  Consider respiratory PCR panel, airway sampling and bronchoscopy/tracheoscopy for further evaluation.  Monitoring as directed or sooner if clinical signs acutely change, fail to improve or worsen.</t>
  </si>
  <si>
    <t>A two view study of the thorax (right lateral and VD) is provided for interpretation. Previous radiograph dated 6-8-23 are available for comparison._x000D_
_x000D_
Moderate heart enlargement is identified. The shape of the heart is consistent with left atrial and left ventricular dilation. VHS = 12.4. Pulmonary vessels are within normal limits. Interstitial lung opacity is mildly increased overall consistent with age related change. In the VD view the left caudal lobe has increased overall opacity relative to the other lung fields, the VD view also has mild motion blurring that is suspected to be exacerbating this appearance._x000D_
No tracheal abnormalities are identified._x000D_
The cranial abdomen is unremarkable.</t>
  </si>
  <si>
    <t>There is moderate left sided cardiomegaly. Chronic mitral regurgitation is likely responsible._x000D_
_x000D_
A definitive explanation for the cough is not seen. There is subtle increased overall opacity in the left caudal lobe, so there is some potential for very early interstitial edema, but the appearance in this study is equivocal at this time._x000D_
No tracheal narrowing is seen, but tracheal collapse cannot be excluded on the basis of a survey radiograph.</t>
  </si>
  <si>
    <t>Pimobendan therapy is likely indicated in this patient based on the degree of cardiomegaly. Need for diuretics with regard to the coughing is equivocal at this time. Other causes for the cough including viral tracheobronchitis or tracheal collapse should still be ruled out._x000D_
Echocardiography should be considered for more definitive evaluation of the heart disease.</t>
  </si>
  <si>
    <t xml:space="preserve">
1.MILD BRONCHOINTERSTITIAL PULMONARY PATTERN; MILD DYNAMIC AIRWAY DISEASE; MILD PERIHILAR INFILTRATE._x000D_
2.Based on these AI airway/pulmonary findings, the probability of this patient having clinically detectable respiratory signs is MEDIUM (50%)_x000D_
3.Are respiratory signs present? If YES._x000D_
4.Are respiratory signs present? If NO._x000D_
5.There is no evidence of PULMONARY NODULES._x000D_
6.Severe cardiomegaly has been detected but Heart Failure is NOT suspected.</t>
  </si>
  <si>
    <t>THORAX (3 radiographs for review)._x000D_
_x000D_
- Moderate, poorly defined unstructured interstitial pattern throughout the lungs, which is most severe in the right lung lobes._x000D_
- Widening of the cranial mediastinum_x000D_
- Moderate gas-distention of the cranial and mid-thoracic esophagus, which extends beyond the base of the heart._x000D_
- No obvious tracheal displacement noted._x000D_
- Cardiac silhouette, pulmonary vasculature, pleural space normal._x000D_
- The cranial abdominal structures are of limited assessment due to lack of peritoneal serosal detail which can be normal given the patient=ZZ91=s juvenile age._x000D_
- Multiple open physes are present, which is consistent with the reported patient age._x000D_
- No distinct musculoskeletal abnormalities are identified.</t>
  </si>
  <si>
    <t>1. Patchy, multifocal, bilateral unstructured interstititial pulmonary pattern likely compatible with pneumonia (primary infectious bacterial +/- viral etiologies are more likely than aspiration pneumonia).  Consider treatment for pneumonia and rechecking the thoracic radiographs along the course of therapy to reevaluate the degree of pulmonary opacification._x000D_
_x000D_
2. Although there is esophageal gas/fluid distention and mediastinal widening (which might raise concern for a congenital vascular ring anomaly i.e. persistent right 4th aortic arch), multiple features of the case reduce the likelihood of this pathology, including extension of the esophageal gas beyond the heart-base (where it is normally compressed), lack of tracheal displacement (which is typically ventral and left-ward in this disease process) and lack of history of regurgitation and/or vomiting. I think the esophageal changes are mostly due to esophagitis. An atypical vascular ring anomaly is possible, and if regurgitation manifests in this patient I would consider thoracic CT for further evaluation. Otherwise, rechecking the region at the time of radiographic evaluation for the pneumonia might be reasonable.</t>
  </si>
  <si>
    <t xml:space="preserve">
1.SEVERE INTERSTITIAL TO ALVEOLAR PATTERN; MODERATE BRONCHIAL PATTERN; MODERATE DYNAMIC AIRWAY DISEASE._x000D_
2.MODERATE BRONCHOINTERSTITIAL PULMONARY PATTERN, MODERATE DYNAMIC AIRWAY DISEASE,  SLIGHT PERIHILAR INFILTRATE._x000D_
3.Based on these AI airway/pulmonary findings, the probability of this patient having clinically detectable repsiratory signs is VERY HIGH (&gt;75%)_x000D_
4.Based on these AI airway/pulmonary findings, the probability of this patient having clinically detectable respiratorysigns is MEDIUM (50%)_x000D_
5.Are respiratory signs present? If YES._x000D_
6.Are respiratory signs present? If YES._x000D_
7.AI linked bronchitis disease treatment in dogs and cats: https://platform.v2.vetology.net/doc/bacterial-bronchitis-in-dogs-and-cats_x000D_
8.Are respiratory signs present? If NO._x000D_
9.AI linked pneumonia in dogs article: https://platform.v2.vetology.net/doc/pneumonia-in-dogs-and-cats_x000D_
10.Are respiratory signs present? If NO._x000D_
11.Pleural fissure lines or moderate to severe pleural effusion has been detected. An overlying skin fold or in an obese animal, excessive pericardial fat could artifactually mimic the result of severe pleural effusion._x000D_
12.Mild cardiomegaly has been detected but Heart Failure is NOT suspected.</t>
  </si>
  <si>
    <t>THORAX (3 total radiographs for review). A previous examination is available for comparison from 2023._x000D_
_x000D_
- Mildly progressive, marked left sided cardiomegaly with straightening of the caudal cardiac margin and dorsal displacement of the caudal aspect of the thoracic trachea._x000D_
- Pulmonary vasculature normal._x000D_
- Dynamic collapse and dorsal opacification of the trachea at the level of the thoracic inlet._x000D_
- Mild diffuse bronchial pattern. _x000D_
- The esophagus and remainder of the mediastinum are normal._x000D_
- The pleural space and remaining intrathoracic structures are normal._x000D_
- The liver remains moderately to markedly enlarged, with rounded margins.</t>
  </si>
  <si>
    <t>1.  Negative examination for evidence of thoracic metastatic neoplasia._x000D_
_x000D_
2.  Similar to mildly progressive, marked left-sided cardiomegaly, without pulmonary vasculature congestion or congestive heart failure. Most likely compatible with degeneration of the mitral valve. Consider careful cardiac auscultation and echocardiography/ECG for further assessment._x000D_
_x000D_
3.  The appearance of the trachea at the level of the thoracic inlet is again compatible with tracheal collapse secondary to chondromalacia._x000D_
_x000D_
4. Mild diffuse bronchial pattern. Most likely representing age-related lower airway changes, however a component of chronic bronchitis is possible, especially if there is a history of abnormal respiratory sounds, wheezing and/or coughing._x000D_
_x000D_
5. Similar, moderate, slightly irregular hepatomegaly. Most likely vacuolar (metabolic) hepatopathy. Hepatic congestion, hepatitis or neoplasia are less likely, but possible.</t>
  </si>
  <si>
    <t xml:space="preserve">
1.MILD BRONCHOINTERSTITIAL PULMONARY PATTERN; MINIMAL to MILD PERIHILAR PATTERN._x000D_
2.Based on the AI airway/pulmonary findings, the probability of this patient having clinically detectable respiratory signs is LOW (25%)_x000D_
3.In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4.In the PRESENCE of respiratory signs, low grade active pneumonitis (allergic, bacterial, parasitic (including heartworm disease), inhaled allergen or toxin) or upper airway disease causing pulmonary hypoinflation and/or recurrent microaspiration may be more likely._x000D_
5.Severe cardiomegaly has been detected but Heart Failure is NOT suspected._x000D_
6.A bronchointerstitial pulmonary pattern and concurrent severe dynamic airway disease have been detected._x000D_
7.Severe dynamic airway disease has been detected.</t>
  </si>
  <si>
    <t>Thorax: The pulmonary parenchyma, cardiac silhouette, and pulmonary vasculature are unremarkable.  There is no evidence of pleural effusion or lymphadenopathy._x000D_
_x000D_
Abdomen: The stomach is gas distended as well as having a heterogeneous soft tissue opacity within his lumen.  The descending duodenum is gas-filled and considered within normal limits for diameter.  A small intestinal foreign body/obstruction is not identified.  There are no abnormalities involving the visible portions of the liver or spleen.  The visible portions of the urinary tract are unremarkable.  Serosal detail is normal._x000D_
_x000D_
Skeleton: There are no abnormalities involving the visible portions of the skeleton.</t>
  </si>
  <si>
    <t>The heterogeneous appearance of the gastric lumen may represent normal ingesta, foreign material, or possible gas outlining rugal folds._x000D_
_x000D_
Gas-filled duodenum.  This may represent duodenitis/enteritis.  Although not identified, an obstructive process cannot be ruled out.</t>
  </si>
  <si>
    <t xml:space="preserve">
1.A minimal bronchial pattern has been detected._x000D_
2.The cardiac silhouette size is normal._x000D_
3.There is no evidence of DYNAMIC AIRWAY COLLAPSE or BRONCHIECTASIS or PLEURAL EFFUSION.</t>
  </si>
  <si>
    <t>Three orthogonal thoracic radiographs dated 19th August 2024 are available for review. There are no previous radiographs available for comparison. The age of the animal is incorrect._x000D_
_x000D_
Airway findings: The cervical and thoracic trachea have a normal size, outline and position. The carina, tracheal bifurcation and mainstem bronchi are normal. Throughout the lung parenchyma there is a mainly interstitial opacification, with a granular component._x000D_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Thickened pleural fissure lines are present._x000D_
_x000D_
Musculoskeletal findings: No significant abnormalities are detected._x000D_
_x000D_
Included abdomen: No significant abnormalities are detected.</t>
  </si>
  <si>
    <t>1. Diffuse granular interstitial opacification: Differentials include lower airway infectious-inflammatory disease such as fungal pneumonia, less likely parasitic lower airway disease. Diffuse pulmonary haemorrhage is considered unlikely. Round cell infiltration should be considered in light of the enlarged lymph nodes. Eosinophilic bronchopneumopathy is possible.</t>
  </si>
  <si>
    <t>Airway sampling is advised and targeted therapy depending on results. FNA of all enlarged lymph nodes is also advised.</t>
  </si>
  <si>
    <t xml:space="preserve">
1.PLEURAL EFFUSION or less likely, OVERLYING SKIN FOLDS MIMICKING PLEURAL FLUID; PULMONARY NODULAR PATTERN likely due to END ON PULMONARY VESSELS, PROMINENT COSTOCHONDRAL JUNCTIONS or OVERLYING CUTANEOUS NODULES; MILD BRONCHIAL PATTERN._x000D_
2.Based on these AI airway/pulmonary findings, the probability of this patient having clinically detectable respiratory signs is HIGH (75%)_x000D_
3.Pleural fissure lines or moderate to severe pleural effusion has been detected._x000D_
4.The evaluation has a strong suspicion of pulmonary nodules or mass lesion being present._x000D_
5.A mild bronchial pattern has also been detected._x000D_
6.A moderate bronchointerstitial pattern with alveolar infiltrates has been detected._x000D_
7.A moderate interstitial to alveolar infiltrate, mild bronchial pattern and concurrent mild perihilar infiltrate have been detected._x000D_
8.Probability these AI pulmonary findings will accompany clinically detectable respiratory signs: MEDIUM (50%)_x000D_
9.Are respiratory signs present? If YES._x000D_
10.Are respiratory signs present? If NO._x000D_
11.The cardiac silhouette size is normal.</t>
  </si>
  <si>
    <t>Three orthogonal thoracolumbar radiographs of dated 19th August 2024 are available for review. There are no previous radiographs available for comparison. _x000D_
_x000D_
Vertebral column: There is moderate obliquity in the cervical vertebral column, however the vertebral body alignment is normal. No mineral opaque material is seen within, or dorsal to the intervertebral disc spaces. The intervertebral disc width is within normal limits. The size of the lateral foramina is within normal limits. The thoracic vertebral column is abnormal from the T2 caudally, with numerous block vertebrae, butterfly vertebrae, and bridging ventral spondylosis deformans, as well as fused spinous processes. The intervertebral disc spaces are narrowed or absent in multiple sites. The intervertebral disc spaces of the thoracolumbar junction, and lumbar vertebral column are normal. There is spondylosis deformans at the lumbosacral junction. The vertebral and plates of the lumbosacral junction are mildly irregular. The 13th ribs are transitional.</t>
  </si>
  <si>
    <t>1. Severe thoracic vertebral congenital abnormalities. Extradural compression from these regions is questionable._x000D_
2. Lumbosacral spondylosis deformans. Discospondylitis, or lumbosacral instability is possible._x000D_
3. Occult intervertebral disease such as intervertebral disk protrusion or other spinal cord pathology including embolic (FCE), high velocity disk, inflammatory or neoplastic disease or degenerative myelopathy is not excluded .</t>
  </si>
  <si>
    <t>Orthogonal radiographs of the thorax are provided. There is mild generalized cardiac silhouette enlargement. The cranial lobar vein is slightly larger than the artery. There is a moderate to severe interstitial pattern in the perihilar region, with poor visibility of perihilar vessels on both views. There are faint bronchial markings. No pleural effusion. Tracheal diameter is adequate. Narrowed mainstem bronchus. In the cranial abdomen the liver is mildly enlarged with rounded margins.</t>
  </si>
  <si>
    <t>1. Mild generalized cardiomegaly consistent with acquired mitral and tricuspid valve disease. There is pulmonary venous congestion. Moderate to severe interstitial pattern in the perihilar region is consistent with pulmonary edema secondary to left-sided heart failure. Mainstem bronchial compression is likely contributing to coughing. The faint bronchial markings is most likely normal age-related change. Concurrent bronchitis is not definitively ruled out._x000D_
2. No tracheal abnormalities are appreciated, however dynamic collapse is not ruled out, as it may not be imaged on a static radiographic study. This should be correlated with tracheal palpation and characteristic of the cough._x000D_
3. Mild hepatomegaly, a nonspecific finding that may be due to venous congestion or hepatopathy. Acute inflammation or neoplasia are given lesser consideration. This should be correlated with history and blood work.</t>
  </si>
  <si>
    <t>Recommend treatment for heart failure and follow-up echocardiogram. Due to cardiomegaly and thoracic conformation, recommend a dorsoventral projection (in sternal recumbency) on all future thoracic radiographic studies. This will allow for maximum dorsal lung aeration to help rule in/out pulmonary edema.</t>
  </si>
  <si>
    <t xml:space="preserve">
1.MODERATE to SEVERE INTERSTITIAL TO ALVEOLAR PATTERN; PLEURAL FISSURE LINES or PLEURAL EFFUSION; MODERATE BRONCHIAL PATTERN; MILD DYNAMIC AIRWAY DISEASE; PULMONARY NODULE OR FEW NODULES._x000D_
2.Based on these AI airway/pulmonary findings, the probability of this patient having clinically detectable respiratorysigns is MEDIUM TO HIGH (50-75%)_x000D_
3.Are respiratory signs present? If YES._x000D_
4.Given this combination of above thoracic findings, a radiologist over read may be beneficial._x000D_
5.Are respiratory signs present? If NO._x000D_
6.Moderate cardiomegaly has been detected but Heart Failure is NOT suspected.</t>
  </si>
  <si>
    <t xml:space="preserve">Five images are provided.
Images are dated August 19, 2024.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Peritoneum: Peritoneal detail is adequate.
Gastrointestinal tract: 
Only identified in the ventrodorsal image of the abdomen, well-defined soft tissue to mineral foreign material with gas is superimposed over the pylorus.  This material has smooth, straight, well-defined margins, and resembles plastic (plastic harness buckle suspected).  A second similar structure is over the fundus of the stomach in the ventrodorsal image.  This is not identified dorsal/ventral to the patient in the lateral images. The stomach contains moderate heterogeneous soft tissue admixed with gas.   Gas is in the pylorus in the left lateral image. The stomach is within normal limits for size.
The small intestine contains mild gas fluid or is empty with a subjectively uniform population for size. 
The colon contains minimal heterogeneous soft tissue material and gas with mild admixed granular mineral.  The colon is within normal limits for size.  
Musculoskeletal: Multifocal thoracolumbar spondylosis deformans is present.  Bilateral shoulder osteoarthrosis is suspected.  Incidentally, T1 has a bifurcate spinous process.  The remaining included musculoskeletal structures are normal.
</t>
  </si>
  <si>
    <t>1. Gastric foreign material with partially/intermittent pyloric outflow tract obstruction versus gastritis/delayed gastric emptying.
2. No current evidence of small intestinal mechanical ileus.
3. Mineral colon content such as from passing foreign material/dietary indiscretion with/without colitis.  
4. Minimal-mild diffuse bronchial pulmonary pattern such as from infectious/immune-mediated lower airway disease (mycoplasma spp., bordetella spp., parasitism, or other), fibrosis from prior disease, age-related changes, or unlikely other.
5. There is no current evidence of aspiration pneumonia.</t>
  </si>
  <si>
    <t>Consider gastroscopy versus gastrotomy for retrieval of gastric foreign material, versus induction of emesis or monitoring for passage and empirical therapy/supportive care in the interim.  Etiology of reported cough is not definitively identified, but foreign material ingestion and esophagitis or occult aspiration are possible.  Consider empirical deworming/fecal analysis, airway sampling or respiratory PCR panel for further evaluation.  Monitoring as directed or sooner if clinical signs acutely change, fail to improve or worsen.</t>
  </si>
  <si>
    <t>Five orthogonal thoracic radiographs dated 19th August 2024 are available for review. There are no previous radiographs available for comparison. _x000D_
_x000D_
Airway findings: The cervical and thoracic trachea have a normal size, outline and position. The carina, tracheal bifurcation and mainstem bronchi are normal. Throughout the lung parenchyma there is a mild bronchial opacification. More interstitial opacification is present in the cranial ventral thorax, however the limbs are not protracted._x000D_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</si>
  <si>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1.Diffuse mild bronchial pattern: Allergic bronchitis, chronic bacterial /viral bronchitis +/- parasitic bronchitis should be considered. Less likely are hyperardenocorticism, neoplasia (such a lymphoma) or idiopathic pulmonary fibrosis.   A tracheitis/laryngitis also needs to be excluded.</t>
  </si>
  <si>
    <t>Correlate with palpation testing for upper respiratory disease. Respiratory workup including CBC, serum chemistry, urinalysis, Baermann faecal testing, 4DX, +/- respiratory panel as indicated may be considered. Considering poor response to empiric management, airway sampling is advised.</t>
  </si>
  <si>
    <t>Three orthogonal thoracic radiographs dated 19th August 2024 are available for review. There are no previous radiographs available for comparison. _x000D_
_x000D_
Airway findings: The cervical and thoracic trachea have a normal size, outline and position. The tracheal bifurcation is widened. There is a mild mainly perihilar interstitial opacification. Some increased bronchial markings are present caudal dorsally._x000D_
_x000D_
Cardiovascular findings: There is a moderate sized smoothly marginated soft tissue opacity contiguous with the caudal dorsal border of the cardiac silhouette. A soft tissue opacity is superimposed on the caudal cardiac silhouette in the dorsoventral image.  The overall cardiac silhouette is mildly enlarged.. The pulmonary vessels as well as the mainstem vasculature are prominent._x000D_
_x000D_
_x000D_
Mediastinum and pleural space: No significant abnormalities are detected._x000D_
_x000D_
Musculoskeletal findings: The patient is overweight_x000D_
_x000D_
Included abdomen: No significant abnormalities are detected.</t>
  </si>
  <si>
    <t>1. Left atrial dilation with mild left-sided cardiomegaly. This is most likely due to mitral valve myxoid degeneration. The evidence for cardiac insufficiency is equivocal. The interstitial opacification may be superimposition artefact and body habitus, however early cardiogenic pulmonary oedema is possible. The prominent cranial pulmonary veins may be due to phase of contraction, however some venous congestion may be present._x000D_
2. Caudal dorsal mild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t>
  </si>
  <si>
    <t>Radiography is insensitive for early cardiac insufficiency, therefore ECG, blood pressure measurements, and echocardiography is advised. Alternatively, consider diuretics and repeat radiographs._x000D_
Correlate with palpation testing for upper respiratory disease. Respiratory workup including CBC, serum chemistry, urinalysis, Baermann faecal testing, 4DX, +/- respiratory panel as indicated may be considered.</t>
  </si>
  <si>
    <t xml:space="preserve">
1.SEVERE BROCHIAL PATTERN; SEVERE DYNAMIC AIRWAY DISEASE; MILD INTERSTITIAL INFILTRATE with ATELECTASIS or less likely, PNEUMONIA._x000D_
2.Based on these AI airway/pulmonary findings, the probability of this patient having clinically detectabe respiratory signs is MEDIUM to HIGH (50-75%)_x000D_
3.Severe cardiomegaly has been detected but Heart Failure is NOT suspected._x000D_
4.A mild perihilar infiltrate has been detected._x000D_
5.Are respirartory signs present? If YES._x000D_
6.Are respiratory signs preesnt? If NO.</t>
  </si>
  <si>
    <t>Opposite lateral and VD views of the abdomen and orthogonal thorax views are provided._x000D_
_x000D_
There is a moderate quantity of normal appearing soft tissue dense ingesta in the GI tract. No dilation the stomach or intestine is seen. The spleen is prominent, and considered mildly enlarged. The margins are smooth and the shape is normal. The other abdominal organs are within normal limits. Serosal detail is normal._x000D_
_x000D_
The cardiovascular structures are within normal limits. There is a mild to moderate bronchial pulmonary pattern. Interstitial lung opacity is mildly increased. No tracheal or esophageal abnormalities are identified.</t>
  </si>
  <si>
    <t>Mild splenomegaly is identified. This finding is most commonly seen as a reactive change secondary to inflammatory disease, so underlying pancreatitis is a possibility. No specific abnormalities are identified involving the GI tract or pancreas. Pancreatitis could still be present without radiographic evidence._x000D_
Lymphoreticular neoplasia such as lymphoma cannot be excluded. No mass lesions are identified._x000D_
_x000D_
There is a mild to moderate bronchial pattern. The appearance is suspicious for bronchitis, but clinical significance in the absence of coughing is unknown. Low-grade bronchitis or prominent age related change could both appear similar in both are considered.</t>
  </si>
  <si>
    <t>Considering the persistent clinical signs, recheck labwork is  suggested._x000D_
_x000D_
Continued medical management for possible pancreatitis is recommended. If clinical signs do not continue to improve over the next week, follow up imaging such as abdomen ultrasound should be considered.</t>
  </si>
  <si>
    <t>Three radiographs of the thorax are provided. The cardiac silhouette is upper normal size. Pulmonary vessels are normal size. There are no abnormalities in the pulmonary parenchyma. A few incidental pulmonary osteomas are present. No pleural effusion or enlarged intrathoracic lymph nodes. There is moderate volume gas and small volume of amorphous and faintly striated soft tissue density in the stomach.</t>
  </si>
  <si>
    <t>Normal thorax. Faint striated texture of gastric contents is most likely incidental. This could be plant/grass material. In the absence of vomiting, significance is doubtful.</t>
  </si>
  <si>
    <t>There is no contraindication for general anesthesia based on this study, however if it was planned for immediately following these images, consider either postponing anesthesia, or ensuring extubation with partial inflation of the endotracheal tube cuff given current gastric contents.</t>
  </si>
  <si>
    <t>WHOLE-BODY (6 total radiographs for review). _x000D_
_x000D_
- Mild/subtle increase in soft-tissue opacity in the perihilar region and cranial mediastinum, in the position of the tracheobronchial and cranial mediastinal lymph nodes. _x000D_
- Multiple tiny mineral opacities are present throughout the lungs._x000D_
- Mild peripheral airway mineralization and thickened pleural fissures._x000D_
- The cardiac silhouette and pulmonary vasculature are normal._x000D_
- The pulmonary parenchyma is normal_x000D_
- The trachea, esophagus and remainder of the mediastinum are normal._x000D_
- The pleural space and remaining intrathoracic structures are normal._x000D_
- Peritoneal serosal detail is mildly decreased._x000D_
- The liver is mildly enlarged._x000D_
- The spleen is moderately enlarged._x000D_
- There are lobular increases in soft-tissue opacity in the sublumbar region, dorsal to the descending colon._x000D_
- The stomach contains mild gas and gas-stippled soft-tissue opaque material_x000D_
- The small intestine contains mild multifocal gas and soft-tissue opaque material_x000D_
- The colon contains gas, soft-tissue/fluid and dessicated formed fecal material._x000D_
- The region of the kidneys and urinary bladder are normal._x000D_
- Mild multifocal vertebral spondylosis deformans._x000D_
- Bilateral coxofemoral osteoarthritis.</t>
  </si>
  <si>
    <t>1. There are multiple findings in this examination that are supportive of multicentric round-cell neoplasia (lymphoma, as reported), and they include sublumbar lymphadenopathy, hepatosplenomegaly, and the impression of mild tracheobronchial and cranial mediastinal lymphadenopathy. Radiographic specificity for determining infiltration of neoplasia into the liver and spleen can be poor, and the enlargement of these organs might be benign. Fine needle aspiration of the sublumbar nodes and liver/spleen might be considered, and recheck/serial radiographs to assess the findings may be indicated. Consultation with a veterinary oncologist may be reasonable in this case._x000D_
_x000D_
2. Mild diffuse bronchial pattern, thickened pleural fissures and incidental pulmonary osteomas. Most likely representing age-related lower airway changes, however a component of chronic bronchitis is possible, especially if there is a history of abnormal respiratory sounds, wheezing and/or coughing._x000D_
_x000D_
3. Bilateral coxofemoral osteoarthritis and mild spondylosis deformans.</t>
  </si>
  <si>
    <t xml:space="preserve">
1.A moderate bronchointerstitial pattern with alveolar infiltrates has been detected._x000D_
2.A moderate interstitial to alveolar infiltrate, mild bronchial pattern and concurrent mild perihilar infiltrate have been detected._x000D_
3.Pleural fissure lines or moderate pleural effusion has been detected. An overlying skin fold or in a moderately overweight animal, excessive pericardial fat could artifactually mimic the result of moderate pleural effusion._x000D_
4.The cardiac silhouette size is normal._x000D_
5.Are respiratory signs present? If NO._x000D_
6.The evaluation has come up positive for a pulmonary nodular pattern._x000D_
7.Probability these AI pulmonary findings will accompany clinically detectable respiratory signs: MEDIUM (50%)_x000D_
8.Are respiratory signs present? If YES.</t>
  </si>
  <si>
    <t>ABDOMEN (5 radiographs for review). _x000D_
_x000D_
- The patient has a thin body condition._x000D_
- Peritoneal serosal detail is normal._x000D_
- The stomach contains moderate gas and mild gas-stippled soft-tissue opaque material_x000D_
- The small intestine contains mild multifocal gas and soft-tissue opaque material_x000D_
- The colon contains gas, soft-tissue/fluid and mild formed fecal material._x000D_
- The liver, spleen, region of the kidneys and urinary bladder are normal._x000D_
- The caudal thorax is normal_x000D_
- Right sided rib of T13 is ill-defined and hypoplastic._x000D_
- T10-11 intervertebral disc is mineralized in situ._x000D_
- Minimal multifocal spondylosis deformans.</t>
  </si>
  <si>
    <t>1.  Overall, a discrete radiographic cause for the reported weight loss is not clearly identified.  The gastrointestinal tract is unremarkable, besides mild aerophagia.  Consider abdominal ultrasonography in this patient for further screening for potential causative etiologies._x000D_
_x000D_
2. Normal limited assessment of the thorax._x000D_
_x000D_
3. T10-11 mineralized intervertebral disc in situ._x000D_
_x000D_
4. Transitional thoracolumbar vertebral segment._x000D_
_x000D_
5. Thin body condition.</t>
  </si>
  <si>
    <t>A lateral and two ventral dorsal radiographs of the abdomen are provided. There is no peritoneal or retroperitoneal effusion. Small volume formed feces in the distal colon. The fecal column measures up to 1.4 cm diameter, normal size for this patient. The stomach and small bowel are minimally filled. No radiopaque foreign material. Normal-sized liver and spleen. The kidneys are obscured by bowel loops. No osseous abnormalities, and the caudal abdomen is normal.</t>
  </si>
  <si>
    <t>Normal abdomen. There is no evidence of constipation on this study.</t>
  </si>
  <si>
    <t xml:space="preserve">
1.The cardiac silhouette size is normal._x000D_
2.There is no evidence of PERIHILAR INFILTRATE, PULMONARY NODULES or PLEURAL EFFUSION._x000D_
3.A moderate interstitial to alveolar pattern has been detected._x000D_
4.A minimal bronchial pattern has been detected._x000D_
5.Moderate dynamic airway disease has been detected.</t>
  </si>
  <si>
    <t>Three orthogonal thoracic radiographs dated 19th August 2024 are available for review. There are no previous radiographs available for comparison. _x000D_
_x000D_
Airway findings: The cervical and thoracic trachea have a normal size, outline and position. The carina, tracheal bifurcation and mainstem bronchi are normal. There is alveolar opacification of the left cranial ventral lung lobe. Faint granular mineralisation is present in the affected lung lobe. The right middle lung lobe is opacified with severe soft tissue opacification with a granular centre with gas lucencies. The pulmonary lobes are rounded, and retracted from the pleural margins. The aerated pulmonary parenchyma has an increased bronchointerstitial opacification._x000D_
_x000D_
Cardiovascular findings: There is complete border effacement of the cardiac silhouette. The pulmonary vasculature is poorly visible._x000D_
_x000D_
Mediastinum and pleural space: There is soft tissue attenuation of the ventral pleural cavity consistent with pleural effusion._x000D_
_x000D_
Musculoskeletal findings: No significant abnormalities are detected._x000D_
_x000D_
Included abdomen: There is extensive biliary tract mineralisation, and granular mineralisation of the gallbladder.</t>
  </si>
  <si>
    <t>1. Severe bronchopneumonia, or severe aspiration pneumonia is present. The appearance of the right middle lung lobe is suggestive of potential abscess formation. A right middle lung lobe torsion is possible. Neoplasia is considered less likely. The mineralisation is likely dystrophic mineralisation secondary to chronic infectious-inflammatory process._x000D_
2. Likely infectious inflammatory transudate._x000D_
3. Biliary tract mineralisation and gallbladder sludge mineralisation can be incidental, or associated with chronic cholecystitis.</t>
  </si>
  <si>
    <t>Thoracic ultrasound with thoracocentesis of the pleural effusion, and affected peripheral lung lobes is advised, as well as thoracic CT to exclude pulmonary lung lobe torsion. Targeted therapy depending on results._x000D_
An abdominal ultrasonographic examination is also advised.</t>
  </si>
  <si>
    <t xml:space="preserve">
1.MODERATE INTERSTITIAL TO ALVEOLAR INFILTRATE; MILD BRONCHIAL PATTERN; MILD PERIHILAR INFILTRATE._x000D_
2.Based on these AI airway/pulmonary findings,  the probability of this patient having clinically detectable respiratory signs is HIGH (75%)_x000D_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6.Minimal cardiomegaly has been detected but Heart Failure is NOT suspected.</t>
  </si>
  <si>
    <t>Three orthogonal thoracic radiographs dated 19th August 2024 are available for review. There are no previous radiographs available for comparison. _x000D_
_x000D_
Airway findings: The lungs are well inflated. The trachea has a normal position, shape and size. The carina and tracheal bifurcation are normal. The pulmonary parenchyma is normal. No nodules or masses are seen._x000D_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No significant abnormalities are detected._x000D_
_x000D_
Musculoskeletal findings: No significant abnormalities are detected._x000D_
_x000D_
Included abdomen: No significant abnormalities are detected.</t>
  </si>
  <si>
    <t>1. Left atrial dilation. This is most likely due to mixoid degeneration of the mitral valve. There is no evidence for cardiac insufficiency. This is the most likely cause for the murmur.</t>
  </si>
  <si>
    <t>Radiography is insensitive for early cardiac insufficiency, therefore ECG, blood pressure measurements, and echocardiography may be considered for further evaluation, or baseline measurements.</t>
  </si>
  <si>
    <t xml:space="preserve">
1.MINIMAL TO MILD BRONCHOINTERSTITIAL PULMONRAY PATTERN; MILD PERIHILAR PATTERN._x000D_
2.Based on the AI airway/pulmonary findings, the probability of this patient having clinically detectable respiratory signs is LOW (25%)_x000D_
3.Moderate cardiomegaly has been detected but Heart Failure is NOT suspected._x000D_
4.Are respiratory signs present? If YES._x000D_
5.Are respiratory signs present? If NO.</t>
  </si>
  <si>
    <t>Three orthogonal thoracic radiographs dated 19th August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50% of the dorsoventral diameter of the trachea. The intrathoracic trachea is normal. There is a mild caudal dorsal bronchial pattern._x000D_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</si>
  <si>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1. The dorsal attenuation of the trachea is consistent with tracheomalacia, and/or redundant trachealis membrane. The extent of attenuation would be expected to cause coughing._x000D_
2.Diffuse mild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t>
  </si>
  <si>
    <t>Consider evaluation for airway collapse (fluoroscopy vs. right lateral inspiratory and expiratory radiographs vs. CT with virtual bronchoscopy). _x000D_
Considering poor response with empiric management, consider airway sampling. Respiratory workup including CBC, serum chemistry, urinalysis, Baermann faecal testing, 4DX, +/- respiratory panel or fungal testing as indicated is also advised.</t>
  </si>
  <si>
    <t>WHOLE-BODY (3 total radiographs for review). _x000D_
_x000D_
- Peritoneal serosal detail is normal._x000D_
- The stomach contains mild gas and gas-stippled soft-tissue opaque material. The gastric rugal folds are prominent._x000D_
- The small intestine contains mild multifocal gas and soft-tissue opaque material_x000D_
- The colon is distended with gas, soft-tissue/fluid and poorly-formed fecal material._x000D_
- Tiny mineral opacities superimposed over the kidneys on the RLAT projection are not distinctly noted orthogonally._x000D_
- The liver, spleen and urinary bladder are normal._x000D_
- The cardiac silhouette and pulmonary vasculature are normal._x000D_
- The pulmonary parenchyma is normal_x000D_
- The trachea, esophagus and remainder of the mediastinum are normal._x000D_
- The pleural space and remaining intrathoracic structures are normal._x000D_
- Focal flattening of the caudal margin of the left humeral head.</t>
  </si>
  <si>
    <t>1. The appearance of the stomach, small intestine and colon can be compatible with a combination of aerophagia and non-specific generalized functional ileus (e.g. gastroenterocolitis). There is no obvious small intestinal foreign material or clear evidence of mechanical obstruction. If clinically indicated (such as if the patient does not improve or worsens despite medical management), abdominal ultrasonography might be considered._x000D_
_x000D_
2. Questionable tiny nephroliths._x000D_
_x000D_
3. Normal thorax._x000D_
_x000D_
4. Flattening of the caudal margin of the left humeral head is consistent with osteochondrosis. This seems irrelevant to the current clinical complaint.</t>
  </si>
  <si>
    <t>Two orthogonal thoracic radiographs dated 19th August 2024 are available for review. There are no previous radiographs available for comparison. _x000D_
_x000D_
Airway findings: The cervical and thoracic trachea have a normal size, outline and position. The carina, tracheal bifurcation and mainstem bronchi are normal. In the caudal dorsal lung fields there is a mild bronchointerstitial opacification. In previous radiographs there was undulation of the trachea, and redundancy of the dorsal trachea at the thoracic inlet._x000D_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The patient is overweight._x000D_
_x000D_
Included abdomen: No significant abnormalities are detected.</t>
  </si>
  <si>
    <t>Diffuse mild bronchial pattern: Primary consideration should be given to normal ageing/fibrosis from previous disease in combination with body habitus. Allergic bronchitis, chronic bacterial /viral bronchitis +/- parasitic bronchitis should also be considered. Less likely are hyperardenocorticism, neoplasia (such a lymphoma) or idiopathic pulmonary fibrosis.  _x000D_
Considering previous redundant trachealis membrane/tracheomalacia this should still be considered as a primary differential.</t>
  </si>
  <si>
    <t>Correlate with palpation testing for upper respiratory disease.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 _x000D_
_x000D_
Consider evaluation for airway collapse (fluoroscopy vs. right lateral inspiratory and expiratory radiographs vs. CT with virtual bronchoscopy). Alternatively consider medical management. Consider surgical consultation depending on clinical progression.</t>
  </si>
  <si>
    <t xml:space="preserve">
1.Are respiratory signs present? If NO._x000D_
2.Are respiratory signs present? If YES._x000D_
3.MINIMAL TO MILD BRONCHOINTERSTITIAL PULMONRAY PATTERN; MILD PERIHILAR PATTERN._x000D_
4.Based on the AI airway/pulmonary findings, the probability of this patient having clinically detectable respiratory signs is LOW (25%)_x000D_
5.The cardiac silhouette size is normal._x000D_
6.There is no evidence of DYNAMIC AIRWAY COLLAPSE or BRONCHIECTASIS, PULMONARY NODULES or PLEURAL EFFUSION.</t>
  </si>
  <si>
    <t>Opposite lateral and ventrodorsal thoracic radiographs (5 images) dated August 19, 2024._x000D_
_x000D_
_x000D_
The cardiac silhouette, pulmonary vasculature, and great vessels are within normal limits. A patchy irregular and somewhat linear alveolar infiltrate is affecting the right cranial lung lobe, cranial segment of the left cranial lung lobe, and right middle lung lobe. The remainder of the pulmonary parenchyma has mild bronchial markings. The pleural space and diaphragm are normal. No mediastinal abnormalities are appreciated. The trachea is normal in diameter and course with gas filling its lumen. No intrathoracic lymphadenopathy is evident._x000D_
The liver and spleen are unremarkable. The stomach contains a fair amount of gas. Cranial peritoneal detail is normal._x000D_
No osseous abnormalities are identified.</t>
  </si>
  <si>
    <t>Bronchopneumonia, characterized by cranioventral alveolar infiltrates affecting the right cranial, left cranial, and right middle lung lobes, as well as mild diffuse bronchial markings.</t>
  </si>
  <si>
    <t>Initiate antibiotic therapy (ex: azithromycin) and recheck thoracic radiographs in 12 days to assess pulmonary clearance, or sooner if clinically indicated.</t>
  </si>
  <si>
    <t xml:space="preserve">
1.Pleural fissure lines or moderate to severe pleural effusion has been detected. An overlying skin fold or in an obese animal, excessive pericardial fat could artifactually mimic the result of severe pleural effusion._x000D_
2.Are respiratory signs present? If NO._x000D_
3.The cardiac silhouette size is normal._x000D_
4.MODERATE INTERSTITIAL TO ALVEOLAR INFILTRATE; MILD BRONCHIAL PATTERN; MILD PERIHILAR INFILTRATE._x000D_
5.Based on these AI airway/pulmonary findings,  the probability of this patient having clinically detectable respiratory signs is HIGH (75%)_x000D_
6.Are respiratory signs present? If YES.</t>
  </si>
  <si>
    <t>Three orthogonal thoracic radiographs dated 19th August 2024 are available for review. There are no previous radiographs available for comparison. _x000D_
_x000D_
Airway findings: The tracheal lumen is variable in size. The intrathoracic trachea is elevated. There is widening of the tracheal bifurcation. The pulmonary parenchyma is within normal limits._x000D_
_x000D_
Cardiovascular findings: There is a large smoothly marginated soft tissue opacity contiguous with the caudal dorsal border of the cardiac silhouette. A soft tissue opacity is superimposed on the caudal cardiac silhouette in the dorsoventral image.  The overall cardiac silhouette is enlarged. The pulmonary vessels as well as the mainstem vasculature are at upper normal limits._x000D_
_x000D_
Mediastinum and pleural space: No significant abnormalities are detected._x000D_
_x000D_
Musculoskeletal findings: No significant abnormalities are detected._x000D_
_x000D_
Included abdomen: There is smoothly marginated hepatomegaly.</t>
  </si>
  <si>
    <t>1. Left atrial dilation with left-sided cardiomegaly. This is most likely due to mixoid degeneration of the mitral valve. There is no evidence for cardiac insufficiency. _x000D_
2. Variable diameter of the trachea and likely dynamic compression of the mainstem bronchi due to the enlarged left atrium is most likely cause for the coughing._x000D_
3. The hepatomegaly is most likely due to vacuolar hepatopathy, or underlying endocrine disease.</t>
  </si>
  <si>
    <t>Radiography is insensitive for early cardiac insufficiency, therefore ECG, blood pressure measurements, and echocardiography may be considered for further evaluation, or baseline measurements._x000D_
Consider evaluation for airway collapse (fluoroscopy vs. right lateral inspiratory and expiratory radiographs vs. CT with virtual bronchoscopy).</t>
  </si>
  <si>
    <t xml:space="preserve">
1.MILD BRONCHOINTERSTITIAL PULMONARY PATTERN WITH ATELECTASIS or LESS LIKELY, PNEUMONIA, MILD PERIHILAR INFILTRATE._x000D_
2.Probability these AI pulmonary findings will accompany clinically detectable respiratory signs: MILD TO MODERATE (25-50%)_x000D_
3.Are respiratory signs present? If YES._x000D_
4.Are respiratory signs present? If NO._x000D_
5.Mild cardiomegaly has been detected but Heart Failure is NOT suspected.</t>
  </si>
  <si>
    <t>5 images of the thorax and abdomen are provided for review.  The cardiovascular structures are normal.  Alveolar opacity is present in the right cranial and middle lung lobes.  Rounded soft tissue surrounds the tracheal bifurcation, visible on the lateral views.  The pleural structures are normal.  Abdominal serosal detail is adequate in all quadrants.  The stomach contains a moderate amount of gas.  The small intestines are normal in size.  Gas and mineral opaque feces are present in the colon.  The urinary bladder is small.  No mineral is seen associated with the urinary tract.  The remaining abdominal organs are normal.</t>
  </si>
  <si>
    <t>Mild constipation.  Alveolar pulmonary pattern concerning for aspiration type pneumonia.  Hemorrhage or neoplasia could also be considered.  Suspect hilar lymphadenopathy=ZZ90= consider neoplasia versus reactive.</t>
  </si>
  <si>
    <t>Study:_x000D_
Thoracic radiography: three images dated August 19, 2024_x000D_
_x000D_
Findings:_x000D_
Best seen on the VD view, there is marked masslike widening of the cranial mediastinum (approximately 10 cm). Multiple soft tissue opaque nodules (measuring up to 1 cm are scattered throughout the pulmonary parenchyma. There is a mild to moderate generalized bronchial pulmonary pattern. The cardiac silhouette is normal in size and shape. The pulmonary vasculature is normal in size. The pleural space is normal. There is rightward deviation of the trachea on the VD view. The tracheal diameter is normal.. The stomach contains heterogeneous soft tissue material presumed to be ingesta. The osseous structures are unremarkable._x000D_
_x000D_
Human digits are present in the primary beam on the VD view.</t>
  </si>
  <si>
    <t>1. Cranial mediastinal mass. Rule out thymoma, thymic lymphoma or ectopic thyroid carcinoma. A heart base origin (e.g. chemodectoma) is considered less likely. Recommend computed tomography or sonography of the thorax plus/minus tissue sampling for further evaluation._x000D_
2. Given the presumed cranial mediastinal mass, the pulmonary nodules likely indicate metastatic disease._x000D_
3. The mild to moderate generalized bronchial pulmonary pattern may indicate allergic, inflammatory, infectious, parasitic or irritant bronchitis. Airway sampling, heartworm testing and Baermann fecal flotation can be considered for further evaluation.</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</si>
  <si>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3.MODERATE BRONCHOINTERSTITIAL PULMONARY PATTERN; MILD PERIHILAR INFILTRATE; MILD DYNAMIC AIRWAY DISEASE; ATELECTASIS or less likely, pneumonia._x000D_
4.Based on the AI airway/pulmonary findings, the probability of this patient having clinically detectable respiratory signs is MEDIUM to HIGH (50%-75%)_x000D_
5.Are respiratory signs present? If YES._x000D_
6.Are respiratory signs present? If NO.</t>
  </si>
  <si>
    <t>Three radiographs of the neck, two views of the thorax/abdomen, and a lateral view of the abdomen are provided. No abnormalities are appreciated in the laryngeal/pharyngeal region. Narrowed C2-3 and C5-6 intervertebral disc spaces, with mineralized intervertebral disc material in situ at C2-3. No esophageal dilation. Tracheal diameter and position are normal. The cardiac silhouette and pulmonary vessels are normal size. The lungs are clear. No pleural effusion. Mild congenital vertebral malformations in the thoracic spine. In the abdomen formed feces fills the colon. There is gas in the cecum and proximal colon. Small volume gas in the stomach. Gas with superimposed small round soft tissue density overlying the cranial abdomen on the right lateral view is normal transverse colon. The intestines are minimally filled. No radiopaque foreign material was appreciated. The urinary bladder is minimally distended. Normal-sized liver and spleen. The kidneys are obscured. No lumbar spinal abnormalities.</t>
  </si>
  <si>
    <t>1. The appearance of C2-3 and C5-6 are both suggestive of intervertebral disc protrusion/extrusion. This may be responsible for the cervical discomfort. Congenital vertebral malformations in the thoracic spine, commonly seen in this region and typically incidental. These can predispose to spinal instability and spinal canal stenosis._x000D_
2. Normal abdomen and thorax. A reason for her lethargy and vomiting is not identified. Gastroenteritis is suspected. There is no evidence of an obstructive process. Small radiolucent gastric foreign material is not definitively ruled out.</t>
  </si>
  <si>
    <t>Recommend a neurologic examination and supportive care. If GI signs persist, strictly fasted abdominal ultrasound or an upper GI series should be considered.</t>
  </si>
  <si>
    <t xml:space="preserve">Thorax (3 images):
Images are August 19, 2024.
Pulmonary parenchyma: A mild to moderate diffuse bronchial pattern is present.  In all images, two, well-defined, round, lucent foci with thin, well-defined soft tissue walls are identified.  This lucent foci are in the left cranial and left caudal lung lobes, best identified in the right lateral image.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No pneumothorax is identified.  
Musculoskeletal: Convex soft tissue nodule in the caudoventral extra-thoracic soft tissues.  The remaining included musculoskeletal structures are normal.
</t>
  </si>
  <si>
    <t>1. Two lucent pulmonary bullae in the left cranial and caudal lung lobes.
- These may be congenital or due to prior/chronic injury, or unlikely other.
- No current evidence of pneumothorax.  
2. Mild-moderate diffuse bronchial pulmonary pattern.
- Differential diagnoses include infectious/immune-mediated lower airway disease , fibrosis from prior disease, age-related changes, or a combination of these, or unlikely other.
3. Caudoventral extra-thoracic soft tissue nodule maybe reported mast cell tumor, versus other.</t>
  </si>
  <si>
    <t>Consider computed tomography of the thorax for further evaluation of the pulmonary bullae and bronchial pattern, with/without airway sampling/respiratory PCR panel depending on clinical signs.  Consider abdominal imaging, coagulation testing and hepatic/splenic tissue sampling, especially if reported dermal mast cell tumor is grade 2 or higher.  Empirical therapy and supportive care in the interim as needed.  Monitoring as directed, or sooner if clinical signs acutely change, fail to improve or worsen.</t>
  </si>
  <si>
    <t>Six radiographs are provided, with images of the thorax, abdomen, and pelvis. The cardiac silhouette and pulmonary vessels are normal size and shape. There are several incidental pulmonary osteomas. There are a few small round increased opacities adjacent to the heart that represent end-on pulmonary vessels. On the right lateral view there is a round 0.8 cm soft tissue density overlying the mid aspect of the diaphragm, ventral to the caudal vena cava. This is not seen on the other views. Normal cranial mediastinal width. Osseous structures are unremarkable._x000D_
_x000D_
In the abdomen there is no peritoneal or retroperitoneal effusion. Normal-sized liver, spleen, kidneys. Curved 4.3 cm soft tissue contour ventral to the splenic tail in the right lateral view is likely the reported extra-abdominal lesion. No radiopaque urolithiasis. The uterus is not identified. The coxofemoral joints are congruent. Osteoarthritis in the right stifle and cranial lumbar spine, likely incidental.</t>
  </si>
  <si>
    <t>Single nodular structure seen on one of the lateral thoracic views is most likely summating pulmonary vessels. Solitary metastatic nodule is given lesser consideration. Otherwise normal thorax, abdomen, pelvis.</t>
  </si>
  <si>
    <t>Consider repeating thoracic radiographs in one month (same three views) to determine if the nodular structure is persistent/progressive.</t>
  </si>
  <si>
    <t xml:space="preserve">
1.The cardiac silhouette size is normal._x000D_
2.There is no evidence of BRONCHITIS, ALVEOLAR PATTERN, PERIHILAR INFILTRATE, DYNAMIC AIRWAY COLLAPSE or BRONCHIECTASIS or PLEURAL EFFUSION._x000D_
3.A mild interstitial pattern has been detected.</t>
  </si>
  <si>
    <t>3 views of the thorax are provided for review.  The trachea is dorsally deviated, indicating left ventricular enlargement.  A bulge is present in the region of the left atrium.  The cardiac silhouette is also widened with rounding of the right ventricular border.  No pulmonary infiltrates are seen.  The pulmonary vasculature is normal in size.  Thin pleural fissure line is seen.  The mediastinal structures are normal.  Cranial abdominal detail is reduced._x000D_
_x000D_
Echocardiogram images and video clips are also provided for review.  Fractional shortening is adequate (40%).  The left atrium is dilated (LA/Ao 3.9).  No pericardial effusion is seen.  An eccentric jet of mitral regurgitation is visible with color Doppler.  Based on the provided weight of the patient, the interventricular septum is thin in diastole and systole.  The left ventricular lumen is dilated in diastole and systole.  The left ventricular free wall is mildly thickened in systole and diastole.</t>
  </si>
  <si>
    <t>Mitral regurgitation.  Left ventricular luminal dilation and interventricular septal thinning concerning for dilated type cardiomyopathy.  Fractional shortening remains adequate at this time, suggesting partial compensation.  The mild left ventricular free wall hypertrophy may indicate eccentric hypertrophy or be secondary to dehydration if present.  Overall, the changes are not clear for a solitary process and there is no evidence of right-sided failure to suggest a primary cardiac cause for the reported ascites.  No current evidence of cardiogenic pulmonary edema.  Scant pleural effusion versus pleural thickening.  Reduced cranial abdominal detail consistent with free fluid.</t>
  </si>
  <si>
    <t xml:space="preserve">
1.Are respiratory signs present? If YES._x000D_
2.Moderate dynamic airway disease has been detected._x000D_
3.SEVERE ALVEOLAR PATTERN; PLEURAL EFFUSION or PLEURAL FISSURE LINES; MODERATE DYNAMIC AIRWAY DISEASE; MILD, DIFFUSE BRONCHOINTERSTITIAL PULMONARY PATTERN._x000D_
4.Based on the AI airway/pulmonary findings, the probability of this patient having clinically detectable respiratory signs is VERY HIGH (&gt;75%)_x000D_
5.A moderate bronchointerstitial pattern, regions of alveolar infiltrate, a mild perihilar infiltrate and concurrent dynamic airway disease (see #2) have been detected._x000D_
6.Severe cardiomegaly has been detected but Heart Failure is NOT suspected._x000D_
7.Are respiratory signs present? If NO.</t>
  </si>
  <si>
    <t>Study:_x000D_
Thoracic radiography: three images dated August 19, 2024_x000D_
_x000D_
Findings:_x000D_
The cardiac silhouette and pulmonary vasculature are normal in size. There is a moderate generalized bronchial pulmonary pattern. Two pleural fissure lines are seen in the left hemithorax at the level of the fifth and sixth ribs on the VD view. There is no intrathoracic lymphadenopathy. The trachea is normal in diameter and course. The included abdomen is unremarkable. No skeletal abnormalities are present.</t>
  </si>
  <si>
    <t>1. The moderate generalized bronchial pulmonary pattern may indicate allergic, inflammatory, infectious, parasitic or irritant bronchitis. Airway sampling, heartworm testing and Baermann fecal flotation can be considered for further evaluation._x000D_
2. The thin pleural fissure lines seen in the left hemithorax on the VD view may indicate persistent trace nonspecific pleural effusion. Incidental tangential visualization or pleural thickening are also possible. If pleural effusion, a cause is not radiographically evident in the volume does not appear sufficient to sample._x000D_
_x000D_
Comments:_x000D_
The suspected lower airway disease is thought to be more clinically significant than in the possible trace pleural effusion.</t>
  </si>
  <si>
    <t>Study:_x000D_
Thoracic and left thoracic limb radiography: four images dated August 19, 2024_x000D_
_x000D_
Findings:_x000D_
The cardiac silhouette (VHS approximately 10.25) and pulmonary vasculature are normal in size. The pulmonary parenchyma is unremarkable. The pleural space is normal. There is no intrathoracic lymphadenopathy. There is a broad-based soft tissue opaque band superimposed with the dorsal aspect of the cervical trachea lumen representing other redundant dorsal tracheal membrane or superimposition of the esophagus. The trachea is normal in diameter and course. The included abdomen is unremarkable. The shoulder joints are normal with smoothly marginated articular surfaces. The elbow joints are congruent. The anconeal process is probably fused bilaterally. No degenerative change is present in either elbow. The left carpus and included portion of the manus are unremarkable. There is no evidence of aggressive osseous disease.</t>
  </si>
  <si>
    <t>1. Normal thorax. There is no radiographic evidence of heart disease. Consider echocardiography for further evaluation of the reported heart murmur._x000D_
2. The left thoracic limb is unremarkable. A cause of the left thoracic limb lameness is not evident. Consider soft tissue injury. Orthopedic consultation, computed tomography of the forelimbs and shoulder sonography can be considered if the lameness persists in spite of activity restriction and pain management.</t>
  </si>
  <si>
    <t>Left lateral and ventrodorsal thoracic and opposite lateral and ventrodorsal abdominal radiographs (7 images) dated August 19, 2024._x000D_
_x000D_
_x000D_
An ovoid soft tissue opacity is superimposed with the cranioventral lung field on the left lateral view, measuring 2.4 cm and maximal diameter. This opacity is difficult to identify on the VD projection, and may reside in the right cranial lung lobe at the level of the 3rd intercostal space. No additional pulmonary lesions are identified. There are numerous pinpoint mineral foci throughout the lungs that represent a benign pulmonary osteomas. No intrathoracic lymphadenopathy is evident. The cardiac silhouette, pulmonary vasculature, and great vessels are within normal limits. The pleural space, mediastinum, trachea, and diaphragm are normal._x000D_
_x000D_
The liver and spleen are unremarkable in size and shape. The left kidney is only partially visible, and has a somewhat irregular shape along its cranial lateral margin on the VD view. The right kidney is not well visualized. The urinary bladder is fairly distended with homogeneous fluid opacity. The stomach contains a large amount of heterogeneous ingesta. The pyloric antrum is gas-filled on the left lateral view. Additionally, there are 2 thin linear metal foreign bodies in the right cranial peritoneal space and partially superimposed with the stomach. The small intestine is unremarkable in diameter and course and predominantly contains gas mixed with heterogeneous ingesta. The colon contains a small amount of poorly formed stool mixed with gas. Retroperitoneal and peritoneal detail are normal. No regional lymphadenopathy is evident._x000D_
_x000D_
The left elbow has periarticular bony remodeling affecting. There is multifocal spondylosis deformans that is bridging along the thoracolumbar and cranial lumbar spine. The ribs have bony remodeling that represent benign degenerative osteochondral junction changes. The right stifle has periarticular bony remodeling affecting it. No aggressive osseous lesions are identified.</t>
  </si>
  <si>
    <t>1. No evidence of a gastrointestinal mechanical obstruction. The gastric material most closely resembles normal ingesta=ZZ90= clinically significant foreign material causing gastric irritation and obscured by the ingesta cannot be ruled out._x000D_
2. Two linear metal wire foreign bodies the right cranial abdomen. These migrating metal wire foreign bodies are relatively common in dogs and are often of no clinical relevance. Occasionally they can result in gastroenteritis, pancreatitis, and peritonitis._x000D_
3. The suspected irregularity in the left kidney shape is concerning for chronic renal disease vs. less likely other structural disease (nodules, granulomas, hematomas, etc)._x000D_
4. Solitary pulmonary nodule in the cranioventral lung field (suspect right cranial lung lobe). Rule out primary pulmonary neoplasia vs. metastatic neoplasia vs. less likely granuloma or abscess. Superimposition artifact or a body wall nodule are unlikely._x000D_
5. Left elbow and right stifle osteoarthritis._x000D_
6. Multifocal spondylosis deformans (diffuse idiopathic skeletal hyperostosis/DISH in the thoracolumbar region).</t>
  </si>
  <si>
    <t>Three-view thoracic radiographs or thoracic CT._x000D_
Abdominal ultrasound, especially if the patient fails medical management with supportive care with fluid rehydration, antiemetics, gastroprotectants/omeprazole, and bland diet.  General health profile (CBC, chemistry, UA, fecal) +/- spec cPL and baseline cortisol to screen for underlying causes.</t>
  </si>
  <si>
    <t>3 additional views of the thorax and abdomen are submitted for review and added to the previous study.  No definitively narrowed intervertebral disc spaces or other abnormalities are noted in the cervical spine.  The ventral cervical soft tissues are within normal limits.  Multiple congenital hemivertebra are again noted in the mid to caudal thoracic spine and lumbar spine.  No other abnormalities are noted in the additional images of the thorax or abdomen.</t>
  </si>
  <si>
    <t>No definitive abnormalities are seen in the cervical spine to explain the clinical signs.  However, intervertebral disc disease or other cervical myelopathy cannot be excluded on survey radiographs.</t>
  </si>
  <si>
    <t>Symptomatic/supportive medical management or possibly cross-sectional imaging of the cervical spine or other relevant portion of the vertebral column based on neurologic exam findings could be considered.</t>
  </si>
  <si>
    <t>Six radiographs of the thoracic limbs are provided. The lateral aspect of the left humeral condyle is fractured and displaced proximally and laterally. The fracture fragment has smoothly irregular margins and measures approximately 1.6 x 1.2 cm. The associated radius and ulna are also mildly proximolaterally displaced. No other abnormalities in the left thoracic limb. No right humeral condylar defects are present. The glenohumeral joints are congruent. The viewable thorax is normal.</t>
  </si>
  <si>
    <t>Chronic left humeral lateral condylar fracture, with subsequent cubital subluxation.</t>
  </si>
  <si>
    <t>Consultation with an orthopedic specialist should be considered.</t>
  </si>
  <si>
    <t xml:space="preserve">
1.A moderate bronchointerstitial pulmonary pattern detected._x000D_
2.The evaluation has come up positive for a pulmonary nodular pattern._x000D_
3.Pleural fissure lines or small volume pleural effusion has been detected. In a mildly overweight animal, excessive pericardial fat can artifactually mimic the result of minimal pleural effusion._x000D_
4.The cardiac silhouette size is normal._x000D_
5.There is no evidence of PERIHILAR INFILTRATE or DYNAMIC AIRWAY COLLAPSE or BRONCHIECTASIS.</t>
  </si>
  <si>
    <t>Study:_x000D_
Thoracic radiography: three images dated August 19, 2024_x000D_
_x000D_
Findings:_x000D_
There is severe cardiomegaly characterized by biventricular and left atrial enlargement. The pulmonary vasculature is normal in size. The pleural space is normal. There is no intrathoracic lymphadenopathy. The larynx is unremarkable. The trachea is normal in diameter. There is no lobar bronchi narrowing. The included abdomen is normal. The osseous structures are unremarkable.</t>
  </si>
  <si>
    <t>1. Severe generalized (biventricular) cardiomegaly. Rule out degenerative valve disease versus a cardiomyopathy. Recommend echocardiography for further evaluation._x000D_
2. The mild diffuse bronchointerstitial pulmonary pattern is a nonspecific finding. This could be a benign age-related change or may indicate allergic, inflammatory, infectious, inhaled irritant or parasitic bronchitis. Cardiogenic pulmonary edema with secondary peribronchial cuffing is considered less likely. This finding should be correlated with any reported coughing/respiratory signs. Airway sampling plus/minus heartworm testing and Baermann fecal flotation can be considered to further evaluate for lower disease if clinically relevant after further evaluation of the apparent heart disease._x000D_
3. There is no evidence of dynamic airway disease/tracheal collapse.</t>
  </si>
  <si>
    <t xml:space="preserve">
1.Pleural fissure lines or moderate to severe pleural effusion has been detected. An overlying skin fold or in an obese animal, excessive pericardial fat could artifactually mimic the result of severe pleural effusion._x000D_
2.Mild cardiomegaly has been detected but Heart Failure is NOT suspected._x000D_
3.SEVERE INTERSTITIAL TO ALVEOLAR PATTERN; MODERATE BRONCHIAL PATTERN; MODERATE DYNAMIC AIRWAY DISEASE._x000D_
4.Based on these AI airway/pulmonary findings, the probability of this patient having clinically detectable repsiratory signs is VERY HIGH (&gt;75%)_x000D_
5.A mild perihilar infiltrate has been detected._x000D_
6.Are respiratory signs present? If YES._x000D_
7.AI linked pneumonia in dogs article: https://platform.v2.vetology.net/doc/pneumonia-in-dogs-and-cats_x000D_
8.Are respiratory signs present? If NO.</t>
  </si>
  <si>
    <t>Study:_x000D_
Thoracic radiography: right lateral and VD views (two images) dated August 19, 2024_x000D_
_x000D_
Findings:_x000D_
The cardiac silhouette and pulmonary vasculature are normal in size. There is a mild generalized bronchial pulmonary pattern. No alveolar disease is present. The pleural space is normal. There is no intrathoracic lymphadenopathy. The trachea is normal in diameter and course. There is no esophageal dilation. The included abdomen is unremarkable. No skeletal abnormalities are present.</t>
  </si>
  <si>
    <t>1. There is no evidence of pneumonia._x000D_
2. The mild generalized bronchial pulmonary pattern is nonspecific may indicate allergic, inflammatory, infectious, parasitic or irritant bronchitis. Airway sampling, heartworm testing and Baermann fecal flotation can be considered for further evaluation if the persistent residual coughing persists or worsens.</t>
  </si>
  <si>
    <t>Study:_x000D_
Thoracic and abdominal radiography: five images dated August 19, 2024_x000D_
_x000D_
Findings:_x000D_
The cardiac silhouette and pulmonary vasculature appear mildly reduced in size. There is narrowing of the caudal vena cava. The pulmonary parenchyma is unremarkable. No pulmonary nodules or masses are present. There is a thin pleural fissure line in the the right fourth intercostal space on the VD view. There is no apparent intrathoracic lymphadenopathy. The trachea is normal in diameter. There is a moderate amount of peritoneal effusion. On the left lateral projection, pooling of the pleural effusion in the cranioventral abdomen give the false impression of a mass caudal to the liver. There is a round soft tissue opaque bulge from the dorsal margin of the tail the spleen on the left lateral projection. This finding is not repeatable on the right lateral view. The stomach contains a small volume of gas. The small intestines are normal in size, course and content. The colon contains formed fecal material with a normal diameter. The liver and spleen are normal in size and margin. The renal silhouettes are normal in size and contour. The urinary bladder is normal in size and opacity. There is no prostatomegaly. The osseous structures are unremarkable.</t>
  </si>
  <si>
    <t>1. Moderate nonspecific peritoneal effusion. A definitive cause is not radiographically evident. _x000D_
2. Questionable splenic nodule. Rule out extramedullary hematopoiesis, lymphoid hyperplasia or neoplasia. _x000D_
3. The microcardia, attenuation the pulmonary vasculature and narrowing of the caudal vena cava are suggestive of hypovolemia and/or dehydration._x000D_
4. The thin pleural fissure lines seen in the right fourth intercostal space on the VD view may indicate incidental tangential visualization or pleural thickening. Trace nonspecific pleural effusion is considered less likely._x000D_
5. There is no evidence of pulmonary metastatic disease.</t>
  </si>
  <si>
    <t>Recommend abdominal sonography, abdominocentesis plus/minus cPLI testing for further evaluation.</t>
  </si>
  <si>
    <t>1) Unremarkable thorax. Unremarkable lungs do not exclude a bronchitis of allergic origin vs inflammatory/infectious or parasitic origin.</t>
  </si>
  <si>
    <t>Consider CBC and abdominal US for further evaluation. Evaluate the benefit of an empirical treatment for chronic bronchitis evaluating response to treatment.</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</si>
  <si>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</si>
  <si>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5 views of the thorax and abdomen are submitted for review._x000D_
The cardiac silhouette and pulmonary vasculature are within normal limits.  Mild bronchial and interstitial markings are noted throughout the lung fields.  No evidence of intrathoracic lymphadenopathy is seen.  No pleural effusion or mediastinal abnormalities are noted.  The trachea is normal in diameter._x000D_
In the abdomen, the stomach contains a mild amount of gas.  The small bowel is normal in uniform diameter.  Formed stool is noted throughout the colon.  The liver and spleen are normal in size, shape, and margination.  The bilateral renal silhouettes are within normal limits.  The urinary bladder is unremarkable.  Serosal detail is normal._x000D_
No osseous abnormalities are seen.</t>
  </si>
  <si>
    <t>Appear to the lung field is consistent with chronic inflammatory airway disease and/or incidental age-related change._x000D_
Radiographically normal abdomen.</t>
  </si>
  <si>
    <t>Lower airway sampling with transtracheal wash or BAL could be considered for further evaluation.</t>
  </si>
  <si>
    <t xml:space="preserve">
1.A mild, diffuse mixed bronchointerstitial pattern with potential small regions of alveolar infiltrate has been detected._x000D_
2.There is no evidence of PERIHILAR INFILTRATE, DYNAMIC AIRWAY COLLAPSE or BRONCHIECTASIS, PULMONARY NODULES or PLEURAL EFFUSION._x000D_
3.The cardiac silhouette size is normal.</t>
  </si>
  <si>
    <t>Orthogonal views of the thorax are provided and compared to the previous exam on the 08/05/24:_x000D_
_x000D_
Thorax:_x000D_
_x000D_
The esophagus is mildly gas distended, unchanged from previous exam._x000D_
Cardiac silhouette has a normal shape and size._x000D_
Pulmonary vessels are within normal limits of size and shape._x000D_
Pulmonary parenchyma is within normal limits. No evidence of pneumonia as previously seen in the left cranial lung lobe._x000D_
Pleural space, mediastinum, diaphragm and thoracic wall within normal limits.</t>
  </si>
  <si>
    <t>1) Unremarkable lungs without signs of pneumonia. Consider resolved pneumonia._x000D_
2) Gas distended esophagus compatible with megaesophagus (idiopathic vs hypothyroidism vs myasthenia gravis) vs regurgitation.</t>
  </si>
  <si>
    <t>Work up for megaesophagus. Consultate with the clinician in charge the convenience of extending one more week the antibiotics since resolution of radiological signs of pneumonia.</t>
  </si>
  <si>
    <t xml:space="preserve">
1.A severe alveolar infiltrate or pulmonary mass has been identified._x000D_
2.A moderate bronchointerstitial pulmonary pattern detected._x000D_
3.The cardiac silhouette size is normal._x000D_
4.There is no evidence of PLEURAL EFFUSION._x000D_
5.Moderate bronchial and severe alveolar pattern.</t>
  </si>
  <si>
    <t>Study:_x000D_
Thoracolumbar/lumbosacral spinal, pelvic and pelvic limb radiography: six images dated August 19, 2024_x000D_
_x000D_
Findings:_x000D_
The T 13 vertebra is transitional with a hypoplastic rib on the left. There is in situ mineralization of the T6-T7, T7-T8, T 13-L1 and L5-L6 intervertebral discs. The T 12-T 13, L4-L5 and L5-L6 intervertebral disc spaces appear mildly narrowed in comparison to the adjacent to spaces. The coxofemoral joints are normal with good coverage of the femoral head by the acetal bilaterally. The patella is in the correct anatomic location bilaterally. The degree of soft tissue opacity within the stifle joint spaces is bilaterally symmetric and within normal limits. The bones of the tarsus and pes are unremarkable bilaterally. The pelvic limb musculature is bilaterally symmetric. The included thorax and abdomen are unremarkable.</t>
  </si>
  <si>
    <t>1.  T 12-T 13, L4-L5 and L5-L6 intervertebral disc disease is suspected. There is also multifocal in situ degenerative disc disease. Neurology consultation and MRI can be considered for further evaluation if clinical signs persist or worsen in spite of strict activity restriction and pain management._x000D_
2. The coxofemoral joints and pelvic limbs are unremarkable.</t>
  </si>
  <si>
    <t>Three radiographs of the thorax, and two views of the distal thoracic limbs are provided. An endotracheal tube is present consistent with general anesthesia. The cardiac silhouette and pulmonary vessels are normal size. There is reduced lung aeration, with air bronchograms in the ventral left lungs, and severe interstitial pattern in the ventral right lungs. The esophagus is gas dilated. Several incidental pulmonary osteomas. No soft tissue pulmonary nodules. Degenerative change in the thoracic spine is of doubtful significance today._x000D_
_x000D_
There is mild soft tissue thickening at the level of the right carpus. No carpal abnormalities. Mild degenerative change in the left 5th metacarpophalangeal joint, likely incidental. Mild soft tissue thickening at the level of the digital pad of the left 3rd and 4th digits, with mild soft tissue swelling at the level of the left 3rd proximal interphalangeal joint. Punctate mineral density axial to the distal interphalangeal joint of the 3rd digit. On the lateral view there is suspect is smoothly irregular osseous proliferation along the plantar aspect of either the left 3rd or 4th ungual process, no other abnormalities in this limb or in the distal right limb.</t>
  </si>
  <si>
    <t>1. Swelling in the left thoracic limb 3rd and 4th digits, with suspect osseous proliferation on one of the associated ungual processes. Paronychia or chronic trauma is suspected. Neoplasia is given secondary consideration._x000D_
2. Mild right carpal soft tissue swelling suggestive of soft tissue sprain/strain. In the absence of right-sided lameness, significance is doubtful._x000D_
3. Ventral severe interstitial to alveolar pattern is most likely atelectasis, and concurrent esophageal dilation secondary to general anesthesia. Megaesophagus and aspiration pneumonia is given much lesser consideration at this time. Otherwise normal thorax.</t>
  </si>
  <si>
    <t>Consider treatment for potential paronychia/chronic trauma. If there is no improvement, histopathology of the affected digit would be recommended.</t>
  </si>
  <si>
    <t xml:space="preserve">
1.MODERATE BRONCHOINTERSTITIAL PULMONARY PATTERN; MILD DYNAMIC AIRWAY DISEASE; ATELECTASIS or less likely, pneumonia; MINIMAL PERIHILAR INFILTRATE._x000D_
2.Based on the AI airway/pulmonary findings, the probability of this patient having clinically detectable respiratory signs is MEDIUM to HIGH (50%-75%)_x000D_
3.Are respiratory signs present? If YES._x000D_
4.The cardiac silhouette size is normal._x000D_
5.Are respiratory signs present? If NO.</t>
  </si>
  <si>
    <t>5 views of the thorax and abdomen are submitted for review.  The cardiac silhouette is normal to small in size.  The pulm vasculature is thin.  No definitive pulmonary parenchymal abnormalities are seen.  No pleural effusion or evidence of pneumothorax is noted.  No mediastinal abnormalities are seen.  The trachea is normal in diameter.  A moderate to large amount of subcutaneous emphysema is noted along the ventral cervical soft tissues, thoracic limbs, and dorsal aspect of the neck.  The subcutaneous emphysema also extends caudally to the lateral thoracic wall on the VD view.  Mild subcutaneous emphysema is noted along the dorsal torso.  Moderate subcutaneous emphysema is also noted in the inguinal region, worse on the right, and associated with both pelvic limbs._x000D_
No rib fractures are seen.  The cervical, thoracic, and lumbar spine appear within normal limits.  No abnormalities are noted in the pelvis or coxofemoral joints._x000D_
In the abdomen, the stomach and small bowel appear to contain a moderate amount of ingesta.  A moderate amount of stool is noted throughout the colon.  No organomegaly is seen.  Serosal detail is adequate.  No definitive evidence of pneumoperitoneum is noted.</t>
  </si>
  <si>
    <t>Moderate to marked subcutaneous emphysema throughout the torso as described.  I cannot definitively exclude the possibility of compromise of the trachea but no definitive evidence of this is seen.  No evidence of pneumothorax or pneumoperitoneum is noted.</t>
  </si>
  <si>
    <t>Empirical, symptomatic/supportive medical management as clinically indicated appears appropriate.</t>
  </si>
  <si>
    <t>Study:_x000D_
Thoracic radiography: left lateral and orthogonal views (two images) dated August 17, 2024_x000D_
_x000D_
Findings:_x000D_
The cardiac silhouette is normal in size and shape (VHS approximately 10). The pulmonary vasculature is normal in size.. The pulmonary parenchyma is unremarkable. The pleural space is normal. There is no intrathoracic lymphadenopathy. The trachea is normal in diameter and course. The stomach contains unstructured heterogeneous/granular soft tissue material presumed to be ingesta. The osseous structures are unremarkable. There is a small lipomatous mass in the subcutaneous tissues of the ventral thorax.</t>
  </si>
  <si>
    <t>Normal thorax. There is no radiographic evidence of heart disease. Consider echocardiography for further evaluation of the reported heart murmur.</t>
  </si>
  <si>
    <t xml:space="preserve">Patient Name : Louis Louis, Date of study: Aug 19, 2024
4 images are provided for review
Canine Thorax (4 Images) - 3 Lateral, 1 Vd
There are no previous radiographs for comparison.
Pulmonary parenchyma: A moderate diffuse bronchial pattern is present.  The lungs are mildly hypoinflated with transient mild interstitial pattern.  In the ventrodorsal image, an ill-defined interstitial pattern over the left caudal lung is present, not corroborated in the orthogonal images.
Pulmonary vasculature: The pulmonary vasculature is subjectively normal in size and tapers in the periphery of the lungs.
Cardiac silhouette: The cardiac silhouette is normal in size and shape.
Mediastinum: The cranial mediastinum is widened, exacerbated by patient obliquity in the ventrodorsal image.
Trachea: The trachea is normal.
Esophagus: The esophagus is not well-identified.
Pleural space: The pleural space is normal.
Musculoskeletal: The included musculoskeletal structures are normal.
</t>
  </si>
  <si>
    <t>1. Moderate diffuse bronchial pulmonary pattern.
- Differential diagnoses include infectious/immune-mediated lower airway disease such as from mycoplasma spp., bordetella spp., parasitism, or inhaled allergen/irritant, or unlikely other.
2. Suspected left caudal lung interstitial pattern from atelectasis due to recumbency and/or artifact, or unlikely other.
3. Widened cranial mediastinum due to fat deposition or unlikely lymphadenomegaly or evolving mass.</t>
  </si>
  <si>
    <t>Consider airway sampling, respiratory PCR panel, and fecal analysis for further evaluation.  This does not rule out underlying dynamic airway disease contributing to reported clinical signs.  Consider bronchoscopy/tracheoscopy and fluoroscopy for further evaluation if clinically indicated. Empirical therapy and supportive care in the interim as needed.  Monitoring as directed or sooner if clinical signs acutely change, fail to improve or worsen.</t>
  </si>
  <si>
    <t xml:space="preserve">
1.MODERATE BRONCHOINTERSTITIAL PULMONARY PATTERN; MILD PERIHILAR INFILTRATE; MILD DYNAMIC AIRWAY DISEASE; ATELECTASIS or less likely, pneumonia._x000D_
2.Based on the AI airway/pulmonary findings, the probability of this patient having clinically detectable respiratory signs is MEDIUM to HIGH (50%-75%)_x000D_
3.Mild cardiomegaly has been detected but Heart Failure is NOT suspected._x000D_
4.Are respiratory signs present? If YES._x000D_
5.Are respiratory signs present? If NO.</t>
  </si>
  <si>
    <t>Orthogonal views of the thorax are provided:_x000D_
_x000D_
Thorax:_x000D_
_x000D_
Cardiac silhouette has a normal shape and size. VHS in the RL view is 10.2._x000D_
Pulmonary vessels are within normal limits of size and shape._x000D_
Pulmonary parenchyma is within normal limits. No evidence of pulmonary nodules/masses._x000D_
Pleural space, mediastinum, diaphragm and thoracic wall within normal limits.</t>
  </si>
  <si>
    <t>Three radiographs of the thorax are provided. The cardiac silhouette is normal size on the lateral views. The heart appears larger on the VD projection due to breed-related thoracic conformation. Mild bronchial pattern is present throughout the lungs. There is no pleural effusion. No soft tissue pulmonary nodules or pleural effusion. Normal tracheal diameter. Soft tissue opacity immediately cranial to small amount of cranial cervical esophageal gas on the left lateral view is normal cricopharyngeal sphincter. There is no significant esophageal dilation. In the cranial abdomen the liver is upper normal size. Probable punctate nephrolith, likely incidental. Ovoid soft tissue density caudal to the gastric fundus on the VD projection is folded splenic head, incidental.</t>
  </si>
  <si>
    <t>Mild bronchial pattern. With the history of coughing, airway inflammation due to inhaled irritant/allergens or infectious airway disease is most likely. There is no evidence of cardiovascular disease or pneumonia.</t>
  </si>
  <si>
    <t xml:space="preserve">
1.MILD INTERSTITIAL to ALVEOLAR INFILTRATE; MILD PERIHILAR INFILTRATE._x000D_
2.Based on these AI airway/pulmonary findings, the probability of this patient having clinically detectable respiratory signs is LOW to MEDIUM (25%-50%)_x000D_
3.Are respiratory signs present? If YES._x000D_
4.Are respiratory signs present? If NO._x000D_
5.The cardiac silhouette size is normal._x000D_
6.There is no evidence of PULMONARY NODULES or PLEURAL EFFUSION.</t>
  </si>
  <si>
    <t>Three orthogonal thoracic radiographs dated 19th August 2024 are available for review. There are no previous radiographs available for comparison. _x000D_
_x000D_
Airway findings: The cervical and thoracic trachea have a normal size, outline and position. The carina, tracheal bifurcation and mainstem bronchi are normal. There is interstitial to alveolar opacification of the left cranial lung lobe. Moderate bronchointerstitial opacification is present in the remainder of the lung lobes._x000D_
_x000D_
Cardiovascular findings: There is partial border effacement of the cardiac silhouette.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No significant abnormalities are detected. A lobar sign is present at the caudal margin of the left cranial lung lobe._x000D_
_x000D_
Musculoskeletal findings: No significant abnormalities are detected._x000D_
_x000D_
Included abdomen: No significant abnormalities are detected.</t>
  </si>
  <si>
    <t>1. The findings are consistent with lower airway infectious-inflammatory disease such as lobar bronchopneumonia, aspiration, parasitic or fungal bronchitis, unlikely heart worm. Left cranial lung lobe torsion is considered unlikely._x000D_
2. Left atrial dilation. This is most likely due to mixoid degeneration of the mitral valve. There is no evidence for cardiac insufficiency.</t>
  </si>
  <si>
    <t>Respiratory workup including CBC, serum chemistry, urinalysis, Baermann faecal testing, 4DX, +/- respiratory panel or fungal testing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 Repeat radiographs prior to end of therapy._x000D_
_x000D_
Radiography is insensitive for early cardiac insufficiency, therefore ECG, blood pressure measurements, and echocardiography may be considered for further evaluation, or baseline measurements.</t>
  </si>
  <si>
    <t xml:space="preserve">
1.MODERATE ALVEOLAR PATTERN; CONCURRENT MILD BRONCHOINTERSTITIAL PATTERN; MILD DYNAMIC AIRWAY DISEASE._x000D_
2.Based on the AI airway/pulmonary findings, the probability of this patient having clinically detectable respiratory signs is MEDIUM (50%)._x000D_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6.The cardiac silhouette size is normal.</t>
  </si>
  <si>
    <t>Orthogonal views of the thorax are provided:_x000D_
_x000D_
Thorax:_x000D_
_x000D_
Cardiac silhouette shows a subjective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t>
  </si>
  <si>
    <t>1) Rule out left atrial enlargement secondary to chronic mitral endocardiosis without signs of CHF.</t>
  </si>
  <si>
    <t>Consider a cardiology consultation with ECG and echocardiogram as well as an abdominal US to further evaluate causes of thrombocytopenia.</t>
  </si>
  <si>
    <t>Three radiographs of the thorax, and three views of the abdomen are provided. The cardiac silhouette is normal size and shape. Fat deposition is seen along the right side of the heart and extending into the cranial mediastinum on the VD view. Complete collapse of the caudal cervical trachea. No abnormalities in the pulmonary parenchyma. Small volume fluid in the caudal esophagus is incidental. No cervicothoracic spinal abnormalities._x000D_
_x000D_
In the abdomen there is no peritoneal or retroperitoneal effusion. Normal size liver, spleen. The kidneys are partially visible, with no abnormalities appreciated. The gastrointestinal tract is mildly filled. No radiopaque cystic calculi. No definitive narrowed intervertebral disc spaces or foramina. Both patellas are mildly medially displaced. Normal coxofemoral joints.</t>
  </si>
  <si>
    <t>1. Severe cervical trachea collapse. No intrathoracic abnormalities._x000D_
2. Bilateral medial patellar luxation. This could be the cause of discomfort. Non-mineralized intervertebral disc protrusion/extrusion remains possible._x000D_
3. Normal abdomen.</t>
  </si>
  <si>
    <t>Recommend palpate for spinal discomfort, and a neurologic examination.</t>
  </si>
  <si>
    <t xml:space="preserve">
1.Pleural fissure lines or small volume pleural effusion has been detected. In a mildly overweight animal, excessive pericardial fat can artifactually mimic the result of minimal pleural effusion._x000D_
2.The cardiac silhouette size is normal._x000D_
3.There is no evidence of PULMONARY NODULES._x000D_
4.MODERATE BRONCHIAL PATTERN, MILD DYNAMIC AIRWAY DISEASE, MILD, DIFFUSE INTERSTITIAL PATTERN WITH A SLIGHTLY MORE PRONOUNCED PERIHILAR INFILTRATE._x000D_
5.Based on these AI airway/pulmonary findings, the probability of this patient having clinically detectable respiratorysigns is MEDIUM (50%)_x000D_
6.Are respiratory signs present? If YES._x000D_
7.AI linked bronchitis disease treatment in dogs and cats: https://platform.v2.vetology.net/doc/bacterial-bronchitis-in-dogs-and-cats_x000D_
8.Are respiratory signs present? If NO.</t>
  </si>
  <si>
    <t>Patient Name : Ivy Walters, Date of study: Aug 18, 2024
3 images are provided for review
Canine Thorax (3 Images) - 1 Vd, 2 Lateral
There are no previous radiographs for comparison.
Thorax: 
Airway findings: The cervical and thoracic trachea have a normal size, outline and position. The carina, tracheal bifurcation and mainstem bronchi are normal. The pulmonary parenchyma has a mild bronchointerstitial opacification.
Cardiovascular findings: The cardiac silhouette is normal in shape, size and margination. The cranial and caudal pulmonary vasculature is normal. The caudal vena cava is normal. The aorta and mainstem pulmonary artery have a normal outline in the vd/dv l image.
Mediastinum and pleural space: No significant abnormalities are detected.
Abdomen: No significant abnormalities are detected.
Musculoskeletal findings: No significant abnormalities are detected.</t>
  </si>
  <si>
    <t>The bronchointerstitial opacification is within limits for the young age. A mild upper respiratory infection or mild tracheobronchitis may be present.</t>
  </si>
  <si>
    <t>Observational management may be considered. Alternatively, respiratory workup including CBC, serum chemistry, urinalysis, Baermann faecal testing, 4DX, +/- respiratory panel or fungal testing as indicated may be considered.</t>
  </si>
  <si>
    <t xml:space="preserve">Patient Name : frankie esoldi, Date of study: Aug 18, 2024
3 images are provided for review
Canine Thorax (3 Images) - 2 Lateral, 1 Vd
There are no previous radiographs for comparison.
Airway findings: There is mild elevation of the intrathoracic trachea. There is a mild caudal dorsal bronchointerstitial opacification. A focal more intense region of interstitial to alveolar opacification is visible in the cranial left pulmonary parenchyma.
Cardiovascular findings: The cardiac silhouette is normal in shape, size and margination. The cranial and caudal pulmonary vasculature is normal. The caudal vena cava is normal. The aorta and mainstem pulmonary artery have a normal outline in the vd/dv l image.
Mediastinum and pleural space: No significant abnormalities are detected.
Musculoskeletal findings: No significant abnormalities are detected.
Included abdomen: No significant abnormalities are detected. </t>
  </si>
  <si>
    <t>1. Bronchointerstitial opacification with focal interstitial to alveolar opacification: This is consistent with mild viral-bacterial pneumonia, mixed infectious tracheobronchitis, potentially mild aspiration.</t>
  </si>
  <si>
    <t>Empiric management of infectious lower airway disease and potential aspiration is advised. Correlate with any signs of dysphagia. Repeat radiographs prior to end of therapy.</t>
  </si>
  <si>
    <t xml:space="preserve">
1.A minimal interstitial pulmonary pattern with a concurrent, minimal perihilar infiltrate have been detected._x000D_
2.Minimal cardiomegaly has been detected but Heart Failure is NOT suspected._x000D_
3.There is no evidence of DYNAMIC AIRWAY COLLAPSE or BRONCHIECTASIS or PLEURAL EFFUSION.</t>
  </si>
  <si>
    <t>Thorax: The pulmonary parenchyma, cardiac silhouette, and pulmonary vasculature are unremarkable.  There is no evidence of pleural effusion or lymphadenopathy._x000D_
_x000D_
Abdomen: There is a mild amount of heterogeneous soft tissue opacity within the gastric lumen.  The remainder of the gastrointestinal tract is unremarkable.  The spleen and liver are unremarkable.  There are no abnormalities involving the visible portions of the urinary tract.  Serosal detail is normal.</t>
  </si>
  <si>
    <t>The appearance of the gastric lumen most likely represents normal ingesta._x000D_
_x000D_
Unremarkable thorax.</t>
  </si>
  <si>
    <t xml:space="preserve">Patient Name : Majesty Guillen, Date of study: Aug 17, 2024
4 images are provided for review
Canine Thorax (4 Images) - 3 Lateral, 1 Vd
There are no previous radiographs for comparison.
Airway findings: A smoothly marginated soft tissue opacity is variably present overlying the dorsal aspect of the trachea at the thoracic inlet. This opacity reduces approximately 50% of the dorsoventral diameter of the trachea. The intrathoracic trachea is normal. There is a mild caudal dorsal bronchial pattern.
Cardiovascular findings: The cardiac silhouette is normal in shape, size and margination. The cranial and caudal pulmonary vasculature is normal. The caudal vena cava is normal. The aorta and mainstem pulmonary artery have a normal outline in the vd/dv l image.
Mediastinum and pleural space: There is mild cranial mediastinal fat accumulation.
Musculoskeletal findings: No significant abnormalities are detected.
Included abdomen: No significant abnormalities are detected.
</t>
  </si>
  <si>
    <t xml:space="preserve">1. The dorsal attenuation of the trachea is consistent with redundant trachealis membrane or overlying musculature. Tracheomalacia may be present.
2. Diffuse mild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t>
  </si>
  <si>
    <t xml:space="preserve">Correlate with palpation testing for upper respiratory disease. Consider evaluation for airway collapse (fluoroscopy vs. right lateral inspiratory and expiratory radiographs vs. CT with virtual bronchoscopy).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 </t>
  </si>
  <si>
    <t xml:space="preserve">
1.The cardiac silhouette size is normal._x000D_
2.There is no evidence of DYNAMIC AIRWAY COLLAPSE or BRONCHIECTASIS, PULMONARY NODULES or PLEURAL EFFUSION._x000D_
3.A mild bronchointerstitial pulmonary pattern and minimal perihilar infiltrate have been detected.</t>
  </si>
  <si>
    <t>Orthogonal radiographs of the thorax/abdomen are provided. The cardiac silhouette is upper normal size. Pulmonary vessels are normal size. The lungs are clear. No pleural effusion. Adequate tracheal diameter. In the abdomen serosal detail is adequate. The stomach contains small volume gas. Small intestines are diffusely moderately distended with fluid and small volume gas. A loop of bowel in the midabdomen that is moderately distended and contains stippled soft tissue density may be small bowel or colon. Normal-sized liver, spleen, kidneys. The prostate is moderately enlarged consistent with the reproductive status of this patient. No radiopaque urolithiasis. Narrowed L1-2 intervertebral disc space and foramen is of doubtful clinical significance today.</t>
  </si>
  <si>
    <t>1. Small intestinal functional ileus, a nonspecific finding that may be due to enteritis, partial obstruction, metabolic abnormality, stress/discomfort. No other abdominal abnormalities are appreciated._x000D_
2. Normal thorax.</t>
  </si>
  <si>
    <t>Recommend a CBC, blood chemistry profile, fecal examination, and abdominal ultrasound.</t>
  </si>
  <si>
    <t xml:space="preserve">
1.There is no evidence of BRONCHITIS or ALVEOLAR PATTERN._x000D_
2.A mild perihilar infiltrate has been detected._x000D_
3.Mild cardiomegaly has been detected but Heart Failure is NOT suspected.</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</si>
  <si>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(no signs of tracheobronchial lymphadenopathy), diaphragm and thoracic wall within normal limits._x000D_
_x000D_
Abdomen:_x000D_
_x000D_
The stomach is distended with food._x000D_
Small intestines are mildly gas and fluid filled, not overtly distended. No signs of mechanical ileus._x000D_
Serosal detail is preserved._x000D_
Liver and spleen are within normal limits of size and smoothly marginated._x000D_
Kidneys and urinary bladder WNL.</t>
  </si>
  <si>
    <t>1) Unremarkable thorax without signs of pulmonary metastases nor signs of thoracic lymphadenopathy. Unremarkable lungs do not exclude a bronchitis of allergic origin vs inflammatory/infectious or parasitic origin. _x000D_
2) Unremarkable abdomen.</t>
  </si>
  <si>
    <t>Given the history of nasal discharge from right nostril and coughing =ZZ96= sneezing for few months, consider CT of the nasal cavity/thorax with bronchoscopy, BAL, culture, cytology followed (in this order) by rhinoscopy and biopsies with culture, with deworming vs empirical treatment for upper and lower inflammatory/infectious/parasitic airway disease.</t>
  </si>
  <si>
    <t xml:space="preserve">Patient Name : Howie Cruz, Date of study: Aug 17, 2024
11 images are provided for review
There are no previous radiographs for comparison.
Bones/Joints:
Mild to moderate right and mild left coxofemoral joint osteoarthrosis is present.  The right femoral neck/head have osteophyte production and the right femoral neck is thickened.  The right femoral head is flattened medially.  Minimal osteophytes ate the left craniodorsal acetabular rim.  Bilaterally, there is just under 50% coverage of the femoral heads by the acetabulums.   
Moderate left stifle osteoarthrosis is present, with osteophytes at the medial/lateral femoral condyles, medial/lateral tibial condyles, fabellae, apex/base of the patella and femoral trochlear ridges.  Moderate increased soft tissue in the left stifle joint obscures the infrapatellar fat pad.  
Mild right stifle osteoarthrosis is present, with osteophytes at the medial/lateral tibial condyles, apex/base of the patella and femoral trochlear ridges.  Mild to moderate increased soft tissue in the left stifle joint obscures the infrapatellar fat pad.  
Multifocal thoracolumbar and lumbosacral spondylosis deformans is present.  
There is no evidence of medullary sclerosis, osteolysis, endosteal scalloping, or periosteal proliferation.
Soft tissues:  The left thigh soft tissues are slightly small compared to the right.  The remaining included soft tissues are normal.
</t>
  </si>
  <si>
    <t>1. Moderate left stifle osteoarthrosis and moderate synovial effusion/proliferation.
- The primary differential diagnosis is cranial cruciate ligament injury.
2. Mild-moderate right stifle osteoarthrosis and mild-moderate synovial effusion/proliferation.
- The primary differential diagnosis is cranial cruciate ligament injury.
3. Mild-moderate right coxofemoral joint osteoarthrosis and subluxation such as from underlying hip dysplasia.
4. Mild left coxofemoral joint osteoarthrosis and subluxation.
5. Slight left thigh disuse muscle atrophy.</t>
  </si>
  <si>
    <t>Consider orthopedic consultation and surgical versus medical intervention for suspected cruciate ligament injury as directed.  Empirical therapy and supportive care in the interim as needed.  Monitoring as directed or sooner if clinical signs acutely change, fail to improve or worsen.</t>
  </si>
  <si>
    <t xml:space="preserve">
1.The evaluation has a strong suspicion of pulmonary nodules or mass lesion being present._x000D_
2.The cardiac silhouette size is normal._x000D_
3.There is no evidence of BRONCHITIS, ALVEOLAR PATTERN, DYNAMIC AIRWAY COLLAPSE or BRONCHIECTASIS or PLEURAL EFFUSION.</t>
  </si>
  <si>
    <t>Four radiographs of the thorax are provided. There is severe generalized cardiac silhouette enlargement. Subsequent dorsal deviation of the thoracic trachea and mainstem bronchi. The left mainstem bronchus is compressed. The cranial lobar vein is larger than the artery on the left lateral view. There is soft tissue opacity with air bronchograms in the perihilar region and radiating distally. Crisp pleural fissure lines are present, but no definitive pleural effusion. Mild narrowed caudal cervical trachea. Normal cranial abdomen.</t>
  </si>
  <si>
    <t>Severe generalized cardiomegaly consistent with acquired mitral and tricuspid valve disease. There is pulmonary edema indicating left-sided heart failure. There is also mainstem bronchial compression and probable cervical tracheal collapse.</t>
  </si>
  <si>
    <t>Recommend treatment for heart failure and an echocardiogram.</t>
  </si>
  <si>
    <t xml:space="preserve">
1.Are respiratory signs present? If NO._x000D_
2.Are respiratory signs present? If YES._x000D_
3.SEVERE INTERSTITIAL TO ALVEOLAR PATTERN; MODERATE BRONCHIAL PATTERN; MODERATE DYNAMIC AIRWAY DISEASE._x000D_
4.Based on these AI airway/pulmonary findings, the probability of this patient having clinically detectable repsiratory signs is VERY HIGH (&gt;75%)_x000D_
5.AI linked pneumonia in dogs article: https://platform.v2.vetology.net/doc/pneumonia-in-dogs-and-cats_x000D_
6.A mild perihilar infiltrate has been detected._x000D_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t>
  </si>
  <si>
    <t>Orthogonal views of the abdomen are provided:_x000D_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WNL._x000D_
_x000D_
There is a moth eaten lytic lesion in the right 8th rib with irregular margins, irregular periosteal reactions and long zone of transition creating a mild extra pleural sign._x000D_
Questionable irregular periosteal reaction in the typhoid and in one of the ill bodies of the pelvis. _x000D_
No pulmonary nodules are seen in this single lateral view of the thorax._x000D_
Visible spine is unremarkable without signs of disc herniation, aggressive bone lesions, vertebral fractures or subluxations.</t>
  </si>
  <si>
    <t>1) Unremarkable abdomen. _x000D_
2) Monostotic aggressive bone lesion in the right 8th rib compatible with metastatic bone lesion vs primary bone lesion vs fungal osteomyelitis._x000D_
3) Rule out polyostotic aggressive bone lesions in the typhoid and in one of the ilium.</t>
  </si>
  <si>
    <t>Consider a VD. and LL views of the thorax or ideally advanced imaging such as CT of the thorax, abdomen and pelvis (also evaluating the spine) with FNAs or biopsies of the right 8th rib.</t>
  </si>
  <si>
    <t>Study:_x000D_
Thoracic and abdominal radiography: seven images dated August 17, 2024_x000D_
_x000D_
Findings:_x000D_
The cardiac silhouette and pulmonary vasculature are normal in size. The pulmonary parenchyma is unremarkable. The pleural space is normal. There is no intrathoracic lymphadenopathy. The trachea is normal in diameter and course. There is a mild to moderate amount of peritoneal effusion. The stomach contains a small volume of gas. The small intestines are normal in size, course and content. The colon contains a small amount of poorly formed fecal material. The liver and spleen are normal in size and margin. The urinary bladder is small. No mineral opaque calculi are present in the bladder or region of the urethra. The prostate is moderately to severely enlarged with smooth margins. The osseous structures are unremarkable.</t>
  </si>
  <si>
    <t>1. Moderate to severe prostatomegaly. Rule out benign prostatic hyperplasia plus/minus prostatitis, prostatic abscess or para-prostatic cyst. Urinalysis, urine culture and abdominal sonography can be considered for further evaluation._x000D_
2. Mild to moderate nonspecific peritoneal effusion. A definitive cause is not radiographically evident. Abdominal sonography and abdominocentesis should be considered for further evaluation._x000D_
3. There is no evidence of urocystolithiasis._x000D_
4. Normal thorax.</t>
  </si>
  <si>
    <t>Study:_x000D_
Abdominal radiography: five images (from two different time points) dated August 17, 2024_x000D_
_x000D_
Compared to prior study dated August 16, 2024_x000D_
_x000D_
Findings:_x000D_
In the initial images, there is a small amount of unstructured heterogeneous soft tissue material in the stomach. The volume of material in the stomach is less than in the prior examination. In the initial images, the small intestines contain a small amount of granular soft tissue material. The small intestines are normal in size and course. The colon contains gas and a small amount of poorly formed fecal material. In the later images, the heterogeneous soft tissue material is no longer present in the stomach. The stomach contains a small volume of gas. In the later images, the small intestines are segmentally gas filled and normal in size and course. The colon contains formed fecal material. Similar to the prior exam, the liver extends mildly beyond the costal arch but has smooth and sharp margins and does not displace the gastric axis. The spleen is normal in size and margin. The renal silhouettes are normal in size and contour. The urinary bladder is normal in size and opacity. The included thorax is normal. The osseous structures are unremarkable.</t>
  </si>
  <si>
    <t>1. The heterogeneous soft tissue material in the stomach and granular soft tissue material in the small intestines in the initial images likely represent ingesta. This material is no longer present in the recheck study. There is no evidence of small intestinal mechanical obstruction in either exam._x000D_
2. The appearance of the liver is equivocal for mild nonspecific hepatomegaly and should be correlated to any liver enzyme abnormalities. Rule out individual normal variant, metabolic/vacuolar hepatopathy, hepatitis, hyperplasia or infiltrative neoplasia. Correlate with any liver enzyme abnormalities.</t>
  </si>
  <si>
    <t>Consider abdominal sonography for further evaluation of the patient=ZZ91=s clinical signs persist or worsen in spite of ongoing medical management.</t>
  </si>
  <si>
    <t>Orthogonal views of the thorax are provided:_x000D_
_x000D_
Thorax:_x000D_
_x000D_
Unremarkable trachea._x000D_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t>
  </si>
  <si>
    <t>1) Left atrial enlargement secondary to chronic mitral endocardiosis without signs of CHF.</t>
  </si>
  <si>
    <t>Consider a cardiology consultation with ECG and echocardiogram.</t>
  </si>
  <si>
    <t>5 images of the thorax and abdomen are presented for review.  The cardiac silhouette is mildly generally enlarged.  The pulmonary vasculature is normal in size.  The trachea is narrowed in the cervical region.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mildly beyond the costal arch.  The stomach contains a moderate amount of gas and the rugal folds are prominent.  The small intestines are normal in size.  Gas and feces are present in the colon.  The urinary bladder is small.  The remaining abdominal organs are normal.</t>
  </si>
  <si>
    <t>Tracheal narrowing suggestive of tracheal collapse.  Mild generalized cardiomegaly without current evidence of cardiogenic pulmonary edema.  Echocardiography may be helpful in further evaluation.  Prominent rugal fold suggestive of gastritis.  This does not rule out underlying pancreatitis or infiltrative neoplasia.  Hepatomegaly=ZZ90= this is a nonspecific finding that may be seen with congestion, vacuolar hepatopathy, inflammation, neoplasia, etc.  Abdominal ultrasound may be helpful in further evaluation.</t>
  </si>
  <si>
    <t xml:space="preserve">
1.MODERATE BRONCHOINTERSTITIAL PULMONARY PATTERN; MILD DYNAMIC AIRWAY DISEASE; ATELECTASIS or less likely, pneumonia; MINIMAL PERIHILAR INFILTRATE._x000D_
2.Based on the AI airway/pulmonary findings, the probability of this patient having clinically detectable respiratory signs is MEDIUM to HIGH (50%-75%)_x000D_
3.Are respiratory signs present? If YES._x000D_
4.Are respiratory signs present? If NO._x000D_
5.Mild cardiomegaly has been detected but Heart Failure is NOT suspected.</t>
  </si>
  <si>
    <t>WHOLE-BODY (2 radiographs for review). A previous examination is available from 2022._x000D_
_x000D_
- Leftward mediastinal shift, likely exacerbated by image obliquity._x000D_
- Severe collapse of the tracheal lumen extending from the cervical region through to the level of the carina._x000D_
- Moderate left-sided cardiomegaly, with straightening of the caudal cardiac margin and dorsal displacement of the caudal aspect of the thoracic trachea._x000D_
- Remaining intrathoracic structures are normal._x000D_
- The stomach contains a small volume of gas._x000D_
- The small intestine and colon are normal._x000D_
- The liver, spleen, kidneys, urinary bladder are normal._x000D_
- There is a very large (at least 12 x 8 cm) rounded, egg-shell shaped right-sided abdominal body wall mass.</t>
  </si>
  <si>
    <t>1. Radiographically, the most likely cause of the patient=ZZ91=s reported coughing is tracheal collapse, secondary to chondromalacia. I would recommend considering empirical treatment for this pathology and potential further workup (e.g. fluoroscopy, CT, internal medicine consultation)._x000D_
_x000D_
2. Moderate left-sided cardiomegaly, without pulmonary vasculature congestion or congestive heart failure. Likely due to degeneration of the mitral valve. Consider echocardiography/ECG and cardiologist consultation for further assessment._x000D_
_x000D_
3. Normal abdomen with mild aerophagia._x000D_
_x000D_
4. Large abdominal body wall mass. Correlate to tissue sampling if indicated.</t>
  </si>
  <si>
    <t>Study:_x000D_
Abdominal radiography: three images dated August 17, 2024_x000D_
A right lateral projection of the thorax is also present in the study._x000D_
_x000D_
Findings:_x000D_
Evaluation of the thorax is limited by the lack of left lateral and orthogonal views. The cardiac silhouette and pulmonary vasculature are normal in size. The pulmonary parenchyma is unremarkable. The pleural space is normal. There is no intrathoracic lymphadenopathy. The trachea is normal in diameter and course. There is no esophageal dilation. The stomach contains a moderate amount of heterogeneous soft tissue material. The small intestines are gas and fluid-filled and normal in size and course. The colon contains a small volume of gas with a normal diameter. The liver extends mildly beyond the costal arch with smooth margins. The spleen is mildly to moderately enlarged with smooth margins. The renal silhouettes are normal in size and contour. The urinary bladder is normal in size and opacity. The prostate is mildly enlarged with smooth margins. There is mild multifocal thoracolumbar and lumbosacral spondylosis deformans. There is severe bilateral elbow periarticular bone formation.</t>
  </si>
  <si>
    <t>1. Gastric contents may represent food and/or foreign material. There is no evidence of small intestinal mechanical obstruction.  Repeat fasted radiography should be considered to ensure gastric emptying. Alternatively, sonography can be considered if clinical signs persist or worsen in spite of medical management._x000D_
2.  The generalized hepatomegaly is nonspecific. Rule out metabolic/vacuolar hepatopathy, hyperplasia, hepatitis or infiltrative neoplasia. Sonography can be considered for further evaluation._x000D_
3.  The generalized splenomegaly is also nonspecific. Rule out extramedullary hematopoiesis, lymphoid hyperplasia, splenitis, congestion (of higher priority if sedated for radiographs) or infiltrative neoplasia. Sonography can be considered for further evaluation._x000D_
4. Unremarkable incomplete thoracic study._x000D_
5. Severe bilateral elbow osteoarthrosis.</t>
  </si>
  <si>
    <t>Thorax (lateral view): The cardiac silhouette and pulmonary vasculature are small.  The remainder of the thorax is unremarkable._x000D_
_x000D_
Abdomen: There is no evidence of a gastrointestinal foreign body or obstruction.  The liver and spleen are unremarkable.  There are no abnormalities involving the visible portions of the urinary tract.  Serosal detail is normal.</t>
  </si>
  <si>
    <t>Mild microcardia and decreased diameter of the pulmonary vasculature.  This may reflect variation of normal or possible dehydration/hypovolemia.</t>
  </si>
  <si>
    <t>If clinical signs persist, consider further diagnostic imaging such as an upper GI series or abdominal ultrasound.</t>
  </si>
  <si>
    <t xml:space="preserve">
1.The evaluation has a strong suspicion of pulmonary nodules or mass lesion being present._x000D_
2.A mild bronchial pattern has been detected._x000D_
3.The cardiac silhouette size is normal._x000D_
4.There is no evidence of ALVEOLAR PATTERN or DYNAMIC AIRWAY COLLAPSE or BRONCHIECTASIS._x000D_
5.A mild bronchial pattern and minimal perihilar infiltrate have been detected.</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</si>
  <si>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Fore limbs are unremarkable._x000D_
Visible spine is unremarkable without signs of disc herniation, aggressive bone lesions, vertebral fractures or subluxations.</t>
  </si>
  <si>
    <t>1) Unremarkable thorax without signs of pulmonary metastases nor signs of thoracic lymphadenopathy._x000D_
2) Lack of visualization of skeletal abnormalities does not exclude a desmitis/tendinitis or distal fore limb pathology nor extradural compressive lesions.</t>
  </si>
  <si>
    <t>Consider a neuro exam with MRI if necessary: if the neuro exam is negative, consider an orthopedic exam under sedation with radiographs of the affected region.</t>
  </si>
  <si>
    <t>Patient Name : Jackson Miller, Date of study: Aug 17, 2024
6 images are provided for review
There are no previous radiographs for comparison.
Liver: The liver is subjectively small with cranial displacement of the gastric axis in one of the lateral images.  
Spleen: The spleen is normal in size with smooth margins and homogeneous soft tissue.
Kidneys: The kidneys are normal in size and shape without obvious mineral.
Retroperitoneum: Retroperitoneal detail is adequate.
Urinary bladder/Urethra: The urinary bladder is normal in size, homogeneous soft tissue, and smoothly marginated.
Reproductive:
Peritoneum: Peritoneal detail is adequate.
Gastrointestinal tract: The stomach contains a moderate volume of gas and mild soft tissue material.  Gas is in the pylorus and descending duodenum.   The stomach is within normal limits for size.
The small intestine contains mild gas with a subjectively uniform population for size. 
The colon contains mild well-defined soft tissue material and gas.  The colon is within normal limits for size.  
Musculoskeletal: L3-4 spondylosis deformans is present.  The os penis is incidentally bipartite.  The included musculoskeletal structures are normal.</t>
  </si>
  <si>
    <t>1. Non-specific gastrointestinal tract appearance such as from enteritis, colitis, or given reported history, individual variation of normal.
2. Equivocal microhepatia versus artifact from positioning/technique and phase of respiration.
- If present, consider occult portosystemic shunt or unlikely chronic hepatitis/cirrhosis.
3. No obvious intra-abdominal mass(es) or peritoneal fluid.</t>
  </si>
  <si>
    <t>Etiology of reported abdominal pain is not definitively identified.  This does not rule out referred spinal pain. Consider abdominal ultrasonography versus computed tomography of the thorax/abdomen/reported digital swelling for further evaluation.  Routine blood work and bile acid testing may be contributory if not recently performed.   Empirical therapy and supportive care in the interim as needed.  Monitoring as directed or sooner if clinical signs acutely change, fail to improve or worsen.</t>
  </si>
  <si>
    <t xml:space="preserve">
1.A minimal to mild, diffuse mixed bronchointerstitial pattern with atelectasis or less likely, pneumonia, has been detected._x000D_
2.MINIMAL TO MILD BRONCHOINTERSTITIAL PULMONRAY PATTERN; MILD PERIHILAR PATTERN._x000D_
3.MILD INTERSTITIAL to ALVEOLAR INFILTRATE; MILD PERIHILAR INFILTRATE._x000D_
4.Based on the AI airway/pulmonary findings, the probability of this patient having clinically detectable respiratory signs is LOW (25%)_x000D_
5.Based on these AI airway/pulmonary findings, the probability of this patient having clinically detectable respiratory signs is LOW (25%)_x000D_
6.The cardiac silhouette size is normal._x000D_
7.There is no evidence of PLEURAL EFFUSION._x000D_
8.Are respiratory signs present? If NO._x000D_
9.Are respiratory signs present? If NO._x000D_
10.Based on these AI airway/pulmonary findings, the probability of this patient having clinically detectable respiratory signs is LOW to MEDIUM (25%-50%)_x000D_
11.Are respiratory signs present? If YES._x000D_
12.Are respiratory signs present? If YES._x000D_
13.Are respiratory signs present? If YES._x000D_
14.Are respiratory signs present? If NO.</t>
  </si>
  <si>
    <t xml:space="preserve">Patient Name : Cody Lorentz, Date of study: Aug 17, 2024
7 images are provided for review
There are no previous radiographs for comparison. Images are obliqued, limiting interpretation.
Thorax: 
Airway findings: The cervical and thoracic trachea have a normal size, outline and position. The carina, tracheal bifurcation and mainstem bronchi are normal. Throughout the lung parenchyma there is a mild bronchial pattern.
Cardiovascular findings: The cardiac silhouette is normal in shape, size and margination. The cranial and caudal pulmonary vasculature is normal. The caudal vena cava is normal. The aorta and mainstem pulmonary artery have a normal outline in the vd/dv l image.
Mediastinum and pleural space: Some gas is present in the cranial thoracic oesophagus.
Abdomen: The hepatic silhouette is mildly enlarged with rounded borders. The kidneys are partially obscured by gastrointestinal contents, but the visible aspect are normal. The spleen is normal. The pylorus is mild to moderately distended. There is no gas in the pylorus on the left lateral image. The small intestines are distributed evenly and are within normal limits for shape, size and contents. The ascending, transverse and descending colon have a normal position and contain gradually more formed faeces. The serosal detail is normal.
Musculoskeletal findings: There is multisite bridging spondylosis deformans and osteoarthritis of the intervertebral joints in the lumbar region. There is severe osteoarthritis of the left coxofemoral joint and mild to moderate osteoarthritis of the right.
</t>
  </si>
  <si>
    <t xml:space="preserve">1.Diffuse mild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2. Severe coxofemoral degenerative disease. Panting could be caused by orthopaedic pain.
3. The pyloric filling may be due to a recent meal, however some gas would be expected in the pylorus on the left lateral image. A partial pyloric outflow obstruction by non-radiopaque foreign material is possible.
</t>
  </si>
  <si>
    <t xml:space="preserve">Correlate with palpation testing for upper respiratory disease.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
Consider evaluating for other possible underlying causes of panting (spinal/orthopedic pain, acid-base imbalance, hyperthermia, intracranial disease or Cushing's disease). Full blood work if not already performed, may also be considered. </t>
  </si>
  <si>
    <t xml:space="preserve">
1.PULMONARY NODULES OR MASSES STRONGLY SUSPECTED; MINIMAL to MILD BRONCHOINTERSTITIAL PULMONARYPATTERN._x000D_
2.Based on these AI airway/pulmonary findings, the probability of this patient having clinically detectable respiratorysigns is HIGH (75%)_x000D_
3.Are respiratory signs present? If YES._x000D_
4.Are respiratory signs present? If NO._x000D_
5.The cardiac silhouette size is normal.</t>
  </si>
  <si>
    <t>Three radiographs of the thorax, and three views of the abdomen are provided. Images dated 4/15/22 are available for comparison. The cardiac silhouette is normal size and shape, with no chamber enlargement. Pulmonary arteries and veins are symmetric and taper as expected. A few faint bronchial markings are present. The cervical trachea appears widened on the right lateral projection, and moderately narrowed on the left lateral view. No laryngeal abnormalities or esophageal dilation. No pleural effusion._x000D_
_x000D_
In the abdomen the stomach and small bowel are minimally filled. There is formed feces in the distal descending colon. Normal-sized liver, spleen, and kidneys. No prostatomegaly on the right lateral view. Soft tissue density caudal to the urinary bladder on the left lateral projection is superimposed musculature. Mild ventral spondylosis deformans at L1-2, and slight reduced size of the L2-3 intervertebral foramen are of doubtful clinical significance today. Normal proximal pelvic limbs.</t>
  </si>
  <si>
    <t>1. Dynamic cervical tracheal collapse, the most likely cause for coughing. A few faint bronchial markings are most likely normal age-related change. Chronic airway inflammation such as bronchitis is given lesser consideration. No cardiovascular abnormalities are present. A small valvular regurgitant jet can result in a relatively loud murmur._x000D_
2. Normal abdomen.</t>
  </si>
  <si>
    <t>Three radiographs of the thorax are provided. The left and right laterality markers are reversed on the VD projection. There is moderate left atrial enlargement. Subsequent dorsal deviation of the caudal thoracic trachea and mainstem bronchi. Cranial pulmonary vessels are normal size. There is a severe interstitial pattern in the perihilar region, with poor visibility of perihilar vessels. Remaining lungs are clear. No pleural effusion. Mild narrowed cervical trachea. Normal cranial abdomen.</t>
  </si>
  <si>
    <t>Moderate left atrial enlargement consistent with acquired mitral valve disease. There is pulmonary edema indicating left-sided heart failure. Possible dynamic cervical tracheal collapse, may be contributing to the cough.</t>
  </si>
  <si>
    <t>Treatment for heart failure, and an echocardiogram are recommended.</t>
  </si>
  <si>
    <t xml:space="preserve">
1.Are respiratory signs present? If YES._x000D_
2.Are respiratory signs present? If NO._x000D_
3.SEVERE INTERSTITIAL TO ALVEOLAR PATTERN; MODERATE BRONCHIAL PATTERN; MODERATE DYNAMIC AIRWAY DISEASE._x000D_
4.Based on these AI airway/pulmonary findings, the probability of this patient having clinically detectable repsiratory signs is VERY HIGH (&gt;75%)_x000D_
5.AI linked pneumonia in dogs article: https://platform.v2.vetology.net/doc/pneumonia-in-dogs-and-cats_x000D_
6.A mild perihilar infiltrate has been detected._x000D_
7.Pleural fissure lines or moderate pleural effusion has been detected. An overlying skin fold or in a moderately overweight animal, excessive pericardial fat could artifactually mimic the result of moderate pleural effusion._x000D_
8.Severe cardiomegaly has been detected but Heart Failure is NOT suspected.</t>
  </si>
  <si>
    <t>Study:_x000D_
Thoracic radiography: right lateral and VD views (two images) dated August 16, 2024_x000D_
_x000D_
Findings:_x000D_
The cardiac silhouette is normal in size and shape. The pulmonary vasculature is normal in size. The pulmonary parenchyma is unremarkable. The pleural space is normal. There is no intrathoracic lymphadenopathy. The trachea is normal in diameter and course. There is no lobar bronchi narrowing. There is no esophageal dilation. The included abdomen is normal. The osseous structures are unremarkable.</t>
  </si>
  <si>
    <t>Normal thorax. There is no radiographic evidence of cardiopulmonary disease. A cause of coughing is not evident. Consider laryngeal paralysis. Lack of a definitive bronchial pulmonary pattern does not exclude the possibility of allergic/inflammatory, infectious, irritant or parasitic bronchitis.</t>
  </si>
  <si>
    <t>Sedated laryngeal exam, airway sampling plus/minus heartworm testing and Baermann fecal flotation can be considered to further evaluate the reported coughing.</t>
  </si>
  <si>
    <t xml:space="preserve">
1.The cardiac silhouette size is normal._x000D_
2.There is no evidence of ALVEOLAR PATTERN, PERIHILAR INFILTRATE, DYNAMIC AIRWAY COLLAPSE or BRONCHIECTASIS, PULMONARY NODULES or PLEURAL EFFUSION._x000D_
3.A moderate bronchial pattern has been detected.</t>
  </si>
  <si>
    <t>THORAX (3 radiographs for review). A prior study from 08/14/24 is provided for comparison._x000D_
_x000D_
- There is moderate to marked left-sided cardiomegaly present, which is characterized by straightening of the caudal cardiac margin and dorsal displacement of the caudal aspect of the thoracic trachea. There is rounding in the region of the left atrium and a bulge along the left cranial contour in the position of the left auricle._x000D_
- Mild diffuse bronchial pulmonary pattern._x000D_
- There is a diffuse, mixed, unstructured interstitial and bronchial pulmonary pattern._x000D_
- The liver is enlarged, with rounded margins (limited assessment)._x000D_
- There is mild multifocal spondylosis deformans.</t>
  </si>
  <si>
    <t>1. Moderate to marked left-sided cardiomegaly, with pulmonary vasculature congestion, likely secondary to degeneration of the mitral valve. Newly identified since the prior examination, there appears to be a mixed bronchointerstitital pulmonary pattern that given the history and radiographic findings is prioritized as cardiogenic pulmonary edema secondary to left-sided congestive heart failure (with pneumonia, non-cardiogenic edema or atelectasis possible but less likely)._x000D_
_x000D_
I would recommend considering initiating therapy for left-sided congestive heart failure (oxygen, diuretics) as well as repeating the thoracic radiographs over time to evaluate for persistence of the pulmonary opacification. Consultation with a veterinary cardiologist, echocardiography and/or ECG for further assessment._x000D_
_x000D_
2. Hepatomegaly - DDx metabolic (vacuolar) hepatopathy, less likely hepatitis or neoplasia.</t>
  </si>
  <si>
    <t xml:space="preserve">
1.Are respiratory signs present? If YES._x000D_
2.Are respiratory signs present? If NO._x000D_
3.SEVERE INTERSTITIAL TO ALVEOLAR PATTERN; SEVERE DYNAMIC AIRWAY DISEASE; MILD BRONCHIAL PATTERN._x000D_
4.Based on these AI airway/pulmonary findings, the probability of this patient having clinically detectable respiratory signs is VERY HIGH (&gt;75%)_x000D_
5.A moderate perihilar infitlrate has been detected._x000D_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</si>
  <si>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Study:_x000D_
Thoracic and abdominal radiography: seven images dated August 17,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abdominal serosal detail is normal. The stomach contains unstructured heterogeneous/granular soft tissue material presumed to be ingesta. The small intestines are normal in size, course and content. The colon contains a large amount of formed fecal material. Redundancy of the descending colon in the caudal abdomen give the false impression of a caudal abdominal mass cranial to the urinary bladder on the left lateral view. The liver and spleen are normal in size and margin. The renal silhouettes are normal in size and contour. The urinary bladder is normal in size and opacity. Mild multifocal thoracolumbar and severe lumbosacral spondylosis deformans. TPLO implants are present in the proximal aspect of the right tibia. There is no peri-implant lucency. There is moderate right stifle periarticular bone formation. There is mild left stifle periarticular bone formation.</t>
  </si>
  <si>
    <t>1. Normal thorax. There is no radiographic evidence of cardiopulmonary disease or intrathoracic neoplasia. A cause of tachypnea is not evident. Lack of a definitive bronchial pulmonary pattern does not exclude the possibility of allergic/inflammatory, infectious, irritant or parasitic bronchitis._x000D_
2. The redundancy of the descending colon is likely an incidental finding. The abdomen is otherwise unremarkable. Normal appearance of liver does not exclude a hepatopathy. There is no radiographic evidence of intra-abdominal neoplasia._x000D_
3. Bilateral stifle osteoarthrosis, worse on the right.</t>
  </si>
  <si>
    <t>Abdominal sonography, a parathyroid panel, ACTH stimulation testing and cervical sonography can be considered for further evaluation of the reported hypercalcemia pending ionized calcium results.</t>
  </si>
  <si>
    <t>Three radiographs of the thorax, and three views of the abdomen are provided. There is equivocal prominence of the left atrium. Fat deposition is seen along the right side of the heart on the VD projection. Pulmonary vessels are normal size. Mild age-related changes in the lungs. No soft tissue pulmonary nodules or pleural effusion. Possible redundant dorsal trachealis membrane in the cervical region, of doubtful clinical significance today._x000D_
_x000D_
In the abdomen the liver is normal size with smooth margins. There is no effusion. Normal size kidneys and spleen. Formed feces fills the distal colon. The stomach and small bowel are minimally distended. Ventral spondylosis deformans in the cranial tail is incidental.</t>
  </si>
  <si>
    <t>Equivocal prominent left atrium. In the absence of other cardiovascular abnormalities, clinical signs, or auscultated murmur, this is of doubtful clinical significance today. Otherwise normal thorax and abdomen.</t>
  </si>
  <si>
    <t>Further investigation of the liver and adrenal glands with ultrasound could be considered.</t>
  </si>
  <si>
    <t xml:space="preserve">
1.MINIMAL to MILD BRONCHOINTERSTITIAL PULMONARY PATTERN; MINIMAL DYNAMIC AIRWAY DISEASE._x000D_
2.Based on these AI airway/pulmonary findings, the probability of this patient having clinically detectable respiratory signs are LOW (25%)_x000D_
3.Are respiratory signs present? If YES._x000D_
4.Are respiratory signs present? If NO._x000D_
5.Mild cardiomegaly has been detected but Heart Failure is NOT suspected._x000D_
6.There is no evidence of PERIHILAR INFILTRATE, PULMONARY NODULES or PLEURAL EFFUSION.</t>
  </si>
  <si>
    <t>Three radiographs of the thorax/abdomen are provided. The cardiac silhouette and pulmonary vessels are normal size. Equivocal faint bronchial markings in the lungs. No pleural effusion. Normal tracheal diameter. In the abdomen there is no effusion or organomegaly. The gastrointestinal tract is moderately filled. Normal-sized liver, kidneys, spleen. No radiopaque urolithiasis. There is broad-based wispy 3.3 x 1.2 cm mixed fat and soft tissue opaque thickening ventral to the mid-ventral abdominal body wall. No definitive gas identified within this thickening. Osseous structures are unremarkable.</t>
  </si>
  <si>
    <t>1. Wispy mixed fat and soft tissue opaque thickening ventral to the abdominal body wall, consider incidental lipoma versus small umbilical hernia involving a small amount of fat. No definitive extension of intestines into this thickening. No intra-abdominal abnormalities._x000D_
2. Equivocal faint bronchial markings suggestive of chronic airway inflammation. In the absence of a cough, significance is doubtful. Otherwise normal thorax.</t>
  </si>
  <si>
    <t>If further evaluation of the extra-abdominal lesion is desired, options include either ultrasound (to confirm/rule out body wall defect and presence of intestines), or surgery (preferred, as body wall defect could also be corrected at that time).</t>
  </si>
  <si>
    <t>THORAX (3 radiographs for review). No previous for comparison._x000D_
_x000D_
- Diffuse, moderate distention of the pulmonary vasculature, particularly the caudal lobar pulmonary arteries (most distinctly the left caudal lobar vessel), which are slightly torturous and appear mildly multifocally mineralized._x000D_
- Diffuse bronchial pulmonary pattern._x000D_
- Diffuse unstructured interstitial pattern_x000D_
- Cardiac silhouette, pulmonary vasculature, pleural space normal._x000D_
- Liver is moderately enlarged, with rounded margins._x000D_
- Stomach contains mild gas-stippled soft-tissue opaque material and gas._x000D_
- The remaining cranial abdominal structures are normal._x000D_
- Cranial lumbar spondylosis deformans.</t>
  </si>
  <si>
    <t>1. There is distended and mildly mineralized pulmonary vasculature present that visually resembles canine heartworm disease. I am uncertain, if present, whether the disease would be active or the changes noted radiographically could reflect the chronic sequelae of prior-treated disease._x000D_
_x000D_
2. A diffuse bronchointerstitial pattern is present, indicating that chronic lower airway disease (e.g. bronchitis) is likely. It may be related to #1 or a primary disease entity, and may be contributing to coughing._x000D_
_x000D_
3. Hepatomegaly - DDx benign (vacuolar) hepatopathy, less likely hepatitis or neoplasia.</t>
  </si>
  <si>
    <t>I would recommend considering ruling out heartworm disease in this patient, as well as potentially performing a thoracic CT for further characterization of both the pulmonary vasculature and bronchopulmonary structures. Echocardiogram may also be reasonable as there is a history of syncope. An internal medicine consultation may be of high yield in this case.</t>
  </si>
  <si>
    <t xml:space="preserve">
1.Mild cardiomegaly has been detected but Heart Failure is NOT suspected._x000D_
2.Are respiratory signs present? If NO._x000D_
3.The evaluation has come up positive for a pulmonary nodular pattern._x000D_
4.MODERATE INTERSTITIAL TO ALVEOLAR INFILTRATE; CONCURRENT MODERATE BRONCHIAL PATTERN; MILD PERIHILAR INFILTRATE._x000D_
5.Based on the AI airway/pulmonary findings, the probability of this patient having clinically detectable respiratorysigns is HIGH (75%)_x000D_
6.Are respiratory signs present? If YES._x000D_
7.AI linked bacterial pneumonia treatment in dogs: https://platform.v2.vetology.net/doc/pneumonia-in-dogs-and-cats</t>
  </si>
  <si>
    <t>Seven radiographs are provided, with images of the thorax, abdomen, pelvis, and stifles. The cardiac silhouette is normal size and shape. The lungs are clear. There is no pleural effusion. Mild narrowed cervical trachea on the left lateral view, of doubtful significance today. T6 and T11 are hemivertebrae, significantly smaller than vertebrae on either side. Subsequent narrowed intervertebral disc spaces. Normal proximal thoracic limbs._x000D_
_x000D_
In the abdomen there is no effusion or organomegaly. The gastrointestinal tract is mildly filled. The urinary bladder is distended and soft tissue opaque. Ovoid mineral density dorsal to the urinary bladder is a fecal ball. Lumbar vertebral alignment is normal and no narrowed lumbar intervertebral disc spaces are appreciated. The coxofemoral joints are congruent. The right patella is medially located, but may be due to positioning. Small volume fluid in the cranial aspect of both stifle joint. There is no osseous lysis or periosteal proliferation.</t>
  </si>
  <si>
    <t>1. Congenital vertebral malformations at T6 and T11. While these may be incidental, can predispose to spinal canal stenosis and spinal instability. No other definitive spinal abnormalities. Intervertebral disc disease either adjacent to the malformed vertebrae, or at other sites is the most likely cause for the pelvic limb deficits._x000D_
2. Bilateral mild slight effusion suggestive of partial cranial cruciate ligament tear. This may be contributing to the clinical signs. Equivocal medial patellar luxation on the right versus positional artifact._x000D_
3. Normal thorax and abdomen.</t>
  </si>
  <si>
    <t>Recommend palpate for spinal discomfort and a neurologic examination, as well as for stifle and patellar instability.</t>
  </si>
  <si>
    <t>WHOLE-BODY (3 radiographs for review). A previous examination for comparison is available from 2019._x000D_
_x000D_
- Peritoneal serosal detail is normal._x000D_
- The stomach contains mild gas and soft-tissue opaque material._x000D_
- The small intestine contains mild multifocal soft-tissue opaque material and gas._x000D_
- The colon contains formed fecal material and gas._x000D_
- The liver, spleen, kidneys and urinary bladder are normal._x000D_
- There are multiple tiny, mineral opacities throughout the lungs. _x000D_
- The cardiac silhouette, pulmonary vasculature, pleural space normal._x000D_
- The included musculoskeletal structures are normal.</t>
  </si>
  <si>
    <t>1. A discrete radiographic cause for the reported clinical signs is not detected. The abdomen is radiographically unremarkable, besides mild aerophagia. If clinically indicated, consider abdominal ultrasonography for further assessment._x000D_
_x000D_
2. Multiple incidental age-related pulmonary osteomas. Otherwise normal thorax.</t>
  </si>
  <si>
    <t xml:space="preserve">Patient Name : Loca Miranda, Date of study: Aug 16, 2024
2 images are provided for review
Canine Thorax (2 Images) - 1 Lateral, 1 Vd
There are no previous radiographs for comparison.
Pulmonary parenchyma:  Multiple well-defined, small mineral to soft tissue nodules in the cranioventral thorax.   A  mild diffuse bronchial pattern is present.
Pulmonary vasculature: The pulmonary vasculature is subjectively normal in size and tapers in the periphery of the lungs.
Cardiac silhouette: The cardiac silhouette is normal in size and shape.
Mediastinum: The cranial mediastinum is mildly widened symmetrically without obvious increased soft tissue.
Trachea: A slight soft tissue band partially superimposes over the dorsal trachea.  
Esophagus: The esophagus is not well-identified.
Pleural space: The pleural space is normal.
Musculoskeletal: T9-10 spondylosis deformans is present.  The remaining included musculoskeletal structures are normal.
</t>
  </si>
  <si>
    <t xml:space="preserve">1. Presumed multifocal cranioventral lung pulmonary osteomas, granuloma from prior disease, or end-on vasculature, or unlikely other.
2. Mild diffuse bronchial pulmonary pattern due to fibrosis from prior disease, age-related changes, infectious/immune-mediated lower airway disease (such as from bordetella spp., mycoplasma spp., or parasitism), or unlikely other.
3. Dorsal redundant tracheal membrane with/without dynamic airway disease, versus superimposed normal structures.  
4. Widened cranial mediastinum due to fat deposition or unlikely evolving lymphadenomegaly or mass.  </t>
  </si>
  <si>
    <t>Consider tracheoscopy/bronchoscopy and/or fluoroscopy, respiratory PCR testing, and/or airway sampling for further evaluation of reported clinical signs.  Computed tomography for a more sensitive evaluation of the thorax if clinically indicated.  Consider abdominal imaging for further evaluation of the gastrointestinal tract and liver if not recently performed.  Empirical therapy and supportive care in the interim as needed.  Monitoring as directed or sooner if clinical signs acutely change, fail to improve or worsen.</t>
  </si>
  <si>
    <t xml:space="preserve">
1.Are respiratory signs present? If YES._x000D_
2.Are respiratory signs present? If NO._x000D_
3.MODERATE INTERSTITIAL TO ALVEOLAR INFILTRATE; MILD BRONCHIAL PATTERN; MINIMAL PERIHILAR INFILTRATE._x000D_
4.Based on these AI airway/pulmonary findings,  the probability of this patient having clinically detectable respiratory signs is HIGH (75%)_x000D_
5.The cardiac silhouette size is normal.</t>
  </si>
  <si>
    <t>3 views of the thorax are provided for review.  The cardiovascular structures are normal.  There is a moderate bronchial pattern in all lung lobes.  The mediastinal and pleural structures are normal.  Cranial abdominal detail is adequate.  The liver is rounded and extends beyond the costal arch.</t>
  </si>
  <si>
    <t>Moderate bronchial pulmonary pattern=ZZ90= consider bronchitis, response to inhaled irritants, response to circulating parasites, eosinophilic bronchopneumopathy.  Airway sampling may be helpful in further evaluation.  Hepatomegaly=ZZ90= this is a nonspecific finding that may be seen with congestion, vacuolar hepatopathy, inflammation, neoplasia, etc.  Abdominal ultrasound may be helpful in further evaluation if biochemically indicated.</t>
  </si>
  <si>
    <t xml:space="preserve">
1.MODERATE INTERSTITIAL TO ALVEOLAR PATTERN; PULMONARY NODULES OR NODULAR PATTERN; MILD BRONCHITIS; MINIMAL DYNAMIC AIRWAY DISEASE._x000D_
2.Based on the AI airway/pulmonary findings, the probability of this patient having clinically detectable respiratorysigns is MEDIUM to HIGH (50-75%)_x000D_
3.The evaluation has come up positive for a pulmonary nodular pattern._x000D_
4.Are respiratory signs present? If YES._x000D_
5.Are respiratory signs present? If NO._x000D_
6.Mild cardiomegaly has been detected but Heart Failure is NOT suspected.</t>
  </si>
  <si>
    <t>A single right lateral view of the torso is submitted for review.  The cardiac silhouette and pulmonary vasculature are within normal limits.  No definitive pulmonary parenchymal abnormalities are seen.  No intrathoracic lymphadenopathy or pleural effusion is seen._x000D_
In the abdomen, the stomach contains a mild amount of ingesta.  The small bowel is normal and uniform in diameter.  A moderate amount of stool is noted in the colon.  The liver and spleen are normal in size, shape, and margination.  The bilateral renal silhouettes are within normal limits.  The urinary bladder is unremarkable.  Serosal detail is normal.  Multiple congenital hemivertebra are noted in the thoracic spine and lumbar spine, typical for the breed.  A mineralized disc in situ is noted at L4-5.</t>
  </si>
  <si>
    <t>The appearance of the thoracic and lumbar spine is fairly typical for the breed and most often noted incidentally.  However, this does not rule the possibility of intervertebral disc disease or other compressive myelopathy anywhere in the vertebral column._x000D_
Otherwise, radiographically normal thorax and abdomen.</t>
  </si>
  <si>
    <t>Correlation with neurologic exam findings is recommended.  Depending on the degree of clinical concern, cross-sectional imaging may be indicated.</t>
  </si>
  <si>
    <t>WHOLE-BODY (9 total radiographs for review)._x000D_
_x000D_
- Throughout the lungs, there are numerous, large, rounded soft-tissue opaque nodules measuring up to 4.7 x 4.7 cm (in the right caudal lung lobe). _x000D_
- The cardiac silhouette and pulmonary vasculature are normal._x000D_
- The trachea, mediastinum and pleural space are normal._x000D_
- Peritoneal serosal detail is normal._x000D_
- The stomach contains moderate gas and mild gas-stippled soft-tissue opaque material._x000D_
- The small intestine is non-distended and contains mild multifocal soft-tissue opaque material._x000D_
- The colon contains gas and mild formed fecal material._x000D_
- The liver, spleen, kidneys and urinary bladder are normal._x000D_
- Mild lumbosacral spondylosis deformans._x000D_
- Mild multifocal spondylosis deformans.</t>
  </si>
  <si>
    <t>1. Numerous large pulmonary nodules=ZZ90= likely representing metastatic lesions from the reported oral melanoma. Non-neoplastic etiologies are less likely. If not already considered, consultation with a veterinary oncologist and/or thoracic CT may be considered for further evaluation. Serial/repeat thoracic radiographs over time may also be reasonable._x000D_
_x000D_
2. Normal abdomen with mild aerophagia._x000D_
_x000D_
3. Mild lumbosacral spondylosis deformans.</t>
  </si>
  <si>
    <t xml:space="preserve">
1.Are respiratory signs present? If YES._x000D_
2.Are respiratory signs present? If NO._x000D_
3.The cardiac silhouette size is normal._x000D_
4.There is no evidence of DYNAMIC AIRWAY COLLAPSE or BRONCHIECTASIS._x000D_
5.The evaluation result has a strong suspicion of soft tissue pulmonary nodules being present._x000D_
6.PULMONARY NODULES or NODULAR PATTERN; MODERATE INTERSTITIAL TO ALVEOLAR PATTERN; MILD BRONCHITIS._x000D_
7.Based on the AI airway/pulmonary findings, the probability of this patient having soft tissue pulmonary nodules and clinically detectable respiratory signs is VERY HIGH (&gt;75%)</t>
  </si>
  <si>
    <t>Cervical spine (lateral view): There is narrowing of the intervertebral disc space at C2-3._x000D_
_x000D_
Thoracolumbar spine: There are multiple thoracic hemivertebra which is common finding in breed of patient.  Spondylosis deformans is noted at T10-11 and T11-12.  There are no other significant abnormalities identified._x000D_
_x000D_
Thorax: The pulmonary parenchyma, cardiac silhouette, and pulmonary vasculature are unremarkable.  There is no evidence of pleural effusion or lymphadenopathy._x000D_
_x000D_
Abdomen: There are no abnormalities involving the abdominal viscera.  On the visible portions of the pelvis there is bilateral coxofemoral joint incongruency and osteoarthrosis.</t>
  </si>
  <si>
    <t>Narrowed intervertebral disc space at C2-3._x000D_
_x000D_
Thoracic hemivertebrae._x000D_
_x000D_
Bilateral coxofemoral osteoarthrosis.</t>
  </si>
  <si>
    <t xml:space="preserve">
1.MILD INTERSTITIAL to ALVEOLAR INFILTRATE; MILD PERIHILAR INFILTRATE._x000D_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DYNAMIC AIRWAY COLLAPSE or BRONCHIECTASIS or PULMONARY NODULES.</t>
  </si>
  <si>
    <t xml:space="preserve">Patient Name : Dalia Argueta, Date of study: Aug 16, 2024
3 images are provided for review
Canine Thorax (3 Images) - 2 Lateral, 1 Vd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Presumed nipple is an ovoid soft tissue opacity over the left 5th rib in the oblique ventrodorsal image.  Multifocal thoracolumbar spondylosis deformans is present.  The remaining included musculoskeletal structures are normal.
</t>
  </si>
  <si>
    <t xml:space="preserve">1. Minimal-mild diffuse bronchial pulmonary pattern.
- Differential diagnoses include fibrosis from prior disease, age-related changes, infectious/immune-mediated lower airway disease (such as from bordetella spp., mycoplasma spp., parasitism, or inhaled allergen/irritant), or unlikely other.
2. No obvious intra-thoracic lymphadenomegaly.  </t>
  </si>
  <si>
    <t>Consider computed tomography as a more sensitive evaluation of the thorax, and pre-surgical planning for excisional/incisional biopsy of reported mammary gland mass.  Consider   respiratory PCR panel, airway sampling, and fecal analysis for further evaluation.  Empirical therapy and supportive care in the interim as needed.  Monitoring as directed or sooner if clinical signs acutely change, fail to improve or worsen.</t>
  </si>
  <si>
    <t xml:space="preserve">Patient Name : Luka Garza, Date of study: Aug 16, 2024
10 images are provided for review
There are no previous radiographs for comparison.
Pulmonary parenchyma:  A well-defined alveolar pattern with air-bronchograms is in the perihilar to ventral periphery of the right cranial and right middle lung lobes.  A mild to moderate diffuse bronchial pattern are present.
Pulmonary vasculature: The pulmonary vasculature is subjectively normal in size and tapers in the periphery of the lungs.
Cardiac silhouette: The cardiac silhouette is normal in size and shape.
Mediastinum: A rightward mediastinal shift is present.  The cranial mediastinum is normal.
Trachea: The trachea is normal.
Esophagus: The esophagus is not well-identified.
Pleural space: The pleural space is normal.
Musculoskeletal: The included musculoskeletal structures are normal.
</t>
  </si>
  <si>
    <t>1. Severe right cranial and middle lung lobe alveolar pattern.
- Differential diagnoses include bronchopneumonia/aspiration pneumonia or unlikely other.
2. Mild-moderate diffuse bronchial pulmonary pattern due to infectious/immune-mediated lower airway disease (bordetella spp. mycoplasma spp. parasitism or unlikely other).
3. Rightward mediastinal shift due to atelectasis and/or recumbency.</t>
  </si>
  <si>
    <t>Therapy for suspected bronchopneumonia with broad-spectrum antibiotics for 1-2 weeks past radiographic resolution. Consider respiratory PCR panel, airway sampling, and fecal analysis/deworming for further evaluation.  Monitoring as directed or sooner if clinical signs acutely change, fail to improve or worsen.</t>
  </si>
  <si>
    <t xml:space="preserve">
1.Pleural fissure lines or moderate to severe pleural effusion has been detected. An overlying skin fold or in an obese animal, excessive pericardial fat could artifactually mimic the result of severe pleural effusion._x000D_
2.The cardiac silhouette size is normal._x000D_
3.There is no evidence of DYNAMIC AIRWAY COLLAPSE or BRONCHIECTASIS._x000D_
4.A severe alveolar pattern has been detected._x000D_
5.The evaluation has a strong suspicion of pulmonary nodules or mass lesion being present.</t>
  </si>
  <si>
    <t>Three radiographs of the thorax are provided. There is mild left atrial enlargement. The heart appears relatively larger on the left lateral view due to expiration. Pulmonary vessels are normal size. There is a mild mixed bronchointerstitial pattern throughout the lungs. On the right lateral view there is a round 0.8 cm soft tissue opacity dorsal to the caudal vena cava. This is not definitively seen on the other projections. Fat deposition is seen adjacent to the heart and extending into the cranial mediastinum on the VD view. Curved soft tissue opacity at the heart base on the lateral projections is the aortic arch. There is no pleural effusion. Moderate narrowed cervical trachea on both lateral views. Mild degenerative change in the shoulders and cranial lumbar spine.</t>
  </si>
  <si>
    <t>1. Cervical tracheal collapse._x000D_
2. Mixed bronchointerstitial pattern suggestive of chronic airway inflammation such as bronchitis, likely contributing to the cough._x000D_
3. Soft tissue nodule only seen on the right lateral view, concerning for a neoplastic process. I cannot rule out the possibility that this is kibble, transiently present in the caudal esophagus._x000D_
4. Mild left atrial enlargement consistent with acquired mitral valve disease. This is of doubtful clinical significance today.</t>
  </si>
  <si>
    <t>Consider repeating the radiographs (same three views) in one month to determine if the suspect nodular structure is persistent. This patient may also benefit from weight management as needed and utilization of a body harness in place of a neck lead.</t>
  </si>
  <si>
    <t xml:space="preserve">
1.Based on these AI airway/pulmonary findings, the probability of this patient having clinically detectable respiratorysigns is VERY HIGH (&gt;75%)_x000D_
2.The evaluation has come up positive for a pulmonary nodular pattern and pleural fissure lines or pleural effusion._x000D_
3.Are respiratory signs present? If YES._x000D_
4.Are respiratory signs present? If NO._x000D_
5.SEVERE INTERSTITIAL TO ALVEOLAR PATTERN; PULMONARY NODULES OR MASS LESION; PLEURAL FLUID or PLEURAL THICKENING; MILD BRONCHIAL PATTERN; MINIMAL DYNAMIC AIRWAY DISEASE._x000D_
6.Moderate cardiomegaly has been detected but Heart Failure is NOT suspected.</t>
  </si>
  <si>
    <t xml:space="preserve">Patient Name : Alice Duncan, Date of study: Aug 16, 2024
4 images are provided for review
Prior images dated November 27, 2023 are available.  
Pulmonary parenchyma: A minimal to mild diffuse bronchial pattern is present.  The lungs are mildly hypoinflated, and a minimal to mild diffuse interstitial pattern is present.  
Pulmonary vasculature: The pulmonary vasculature is subjectively normal in size and tapers in the periphery of the lungs.
Cardiac silhouette: The cardiac silhouette is enlarged and tall, occupying 2/3 the height of the thorax, with dorsal tracheal dispalcement.  The caudodorsal margin of the cardiac silhouette is flat. Rounded increased soft tissue is in the region of the left atrium in the ventrodorsal image.  
Mediastinum: The cranial mediastinum widened with a slightly convex left margin in the ventrodorsal image. This is similar to prior.
Trachea: The trachea is normal.
Esophagus: The esophagus is not well-identified.
Pleural space: Mild right-sided pleural widening is present with rounding of lung lobe margins in the diaphragmatic recess and widened pleural fissure between the right middle/caudal and suspected the right cranial/middle lung lobes.  A slightly widened pleural fissure between the left cranial/caudal lung lobes is suspected.  This is unchanged from prior.
Musculoskeletal: The included musculoskeletal structures are normal.
</t>
  </si>
  <si>
    <t>1. Progressive, moderate left-sided cardiomegaly such as from myxomatous mitral valvular disease and insufficiency.
- No current evidence of left-sided congestive heart failure.  
2. Unchanged mild right- and minimal left-sided pleural fluid due pleural fluid or atypical pleural/mediastinal fat deposition given lack of change from prior imaging.  
3. Similar widened cranial mediastinum due to fat deposition or unlikely evolving lymphadenomegaly or evolving mass (thymoma, ectopic thyroid carcinoma versus other).
4. Minimal diffuse bronchial and interstitial pulmonary patterns such as from fibrosis from prior disease, age-related changes, or less likely evolving left-sided congestive heart failure, infectious/immune-mediated lower airway disease or unlikely other.</t>
  </si>
  <si>
    <t>Consider echocardiography, ECG, blood pressure and thoracic computed tomography of the thorax for further evaluation.  Routine blood work and abdominal imaging to screen for occult systemic disease.   Empirical therapy and supportive care in the interim as needed.  Monitoring as directed, or sooner if clinical signs acutely change, fail to improve or worsen.</t>
  </si>
  <si>
    <t xml:space="preserve">
1.Are respiratory signs present? If NO._x000D_
2.MILD to MODERATE BRONCHOINTERSTITIAL PULMONARY PATTERN; MODERATE DYNAMIC AIRWAY COLLAPSE and/or BRONCHIECTASIS._x000D_
3.MILD TO MODERATE BRONCHOINTERSTITIAL PULMONARY PATTERN; ATELECTASIS or ALVEOLAR INFILTRATE._x000D_
4.Based on these AI airway/pulmonary findings, the probability of this patient having clinically detectable respiratory signs is LOW to MEDIUM (25-50%)_x000D_
5.Based on these AI airway/pulmonary findings, the probability of this patient having clinically detectable respiratory signs is MEDIUM (50%)_x000D_
6.Are respiratory signs present? If YES._x000D_
7.Are respiratory signs present? If YES._x000D_
8.Are respiratory signs present? If NO._x000D_
9.A mild perihilar infiltrate has been detected._x000D_
10.Mild cardiomegaly has been detected but Heart Failure is NOT suspected.</t>
  </si>
  <si>
    <t xml:space="preserve">Patient Name : Cloud Abang, Date of study: Aug 16, 2024
3 images are provided for review
Canine Thorax (3 Images) - 2 Lateral, 1 Vd
Prior images are dated May 2, 2024. 
Pulmonary parenchyma: A  mild diffuse bronchial pattern is present.  Previously identified interstitial pattern in the caudal lungs is resolved.  
Pulmonary vasculature: The pulmonary vasculature is subjectively normal in size and tapers in the periphery of the lungs.
Cardiac silhouette: The severe left-sided cardiomegaly is unchanged.  
Mediastinum: The cranial mediastinum is normal.
Trachea: The trachea is normal.
Esophagus: The esophagus is not well-identified.
Pleural space: The pleural space is normal.
Musculoskeletal: The included musculoskeletal structures are normal.
</t>
  </si>
  <si>
    <t xml:space="preserve">1. Unchanged severe left-sided cardiomegaly such as from myxoamtous mitral valvular disease or unlikely other.
- There is no current evidence of left-sided congestive heart failure.
2. Mild diffuse bronchial pulmonary pattern such as from infectious/immune-mediated lower airway disease (mycoplasma spp., bordetella spp., parasitism, or other), or fibrosis from prior disease, age-related changes, or unlikely other.
</t>
  </si>
  <si>
    <t>Echocardiography, eCG and blood pressure as well as routine blood work if not recently performed.  Empirical therapy and supportive care in the interim as needed.  Monitoring as directed or sooner if clinical signs acutely change, fail to improve or worsen.</t>
  </si>
  <si>
    <t xml:space="preserve">
1.SEVERE BRONCHIAL PATTERN; SEVERE DYNAMIC AIRWAY DISEASE._x000D_
2.Based on these AI airway/pulmonary findings, the probability of this patient having clinically detectable respiratory signs is VERY HIGH (&gt;75%)_x000D_
3.Are respiratory signs present? If YES._x000D_
4.AI link to canine airway collapse treatment article: https://platform.v2.vetology.net/doc/canine-tracheal-collapse-treatment_x000D_
5.Are respiratory signs present? If NO._x000D_
6.There is no evidence of PULMONARY NODULES._x000D_
7.A moderate perihilar infitlrate has been detected._x000D_
8.Pleural fissure lines or moderate to severe pleural effusion has been detected. An overlying skin fold or in an obese animal, excessive pericardial fat could artifactually mimic the result of severe pleural effusion._x000D_
9.Severe cardiomegaly has been detected but Heart Failure is NOT suspected.</t>
  </si>
  <si>
    <t xml:space="preserve">Patient Name : Daisy Wilcox, Date of study: Aug 16, 2024
3 images are provided for review
Canine Thorax (3 Images) - 2 Lateral, 1 Vd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has a slightly flat caudodorsal margin.  Sligh rounded soft tissue is suspected in the region of the left atrium in the oblique ventrodorsal image.  .
Mediastinum: The cranial mediastinum is normal.
Trachea: The trachea is normal.
Esophagus: The esophagus is not well-identified.
Pleural space: The pleural space is normal.
Musculoskeletal: T12-13 and L1-2 spondylosis deformans.  The remaining included musculoskeletal structures are normal.
</t>
  </si>
  <si>
    <t xml:space="preserve">1. Mild left-sided cardiomegaly such as from myxomatous mitral valvular disease or unlikely other.
- There is no evidence of left-sided congestive heart failure.
- No heart base mass is identified.
2. Minimal diffuse bronchial pulmonary pattern such as from fibrosis from prior disease, age-related changes, infectious/immune-mediated lower airway disease, or unlikely other.
</t>
  </si>
  <si>
    <t>Echocardiography, ECG and blood pressure for further evaluation.  Routine blood work and urinalysis to screen for occult systemic disease if not recently performed.  Empirical therapy and supportive care in the interim as needed.  Monitoring as directed or sooner if clinical signs acutely change, fail to improve or worsen.</t>
  </si>
  <si>
    <t xml:space="preserve">
1.Mild cardiomegaly has been detected but Heart Failure is NOT suspected._x000D_
2.There is no evidence of PERIHILAR INFILTRATE, DYNAMIC AIRWAY COLLAPSE or BRONCHIECTASIS or PLEURAL EFFUSION._x000D_
3.A moderate bronchointerstitial pulmonary pattern detected.</t>
  </si>
  <si>
    <t xml:space="preserve">Patient Name : TATER Wall, Date of study: Aug 16, 2024
5 images are provided for review
There are no previous radiographs for comparison.
Pulmonary parenchyma: A moderate alveolar pattern is in the caudal subsegment of the left cranial lung lobe, with well-defined air-bronchograms.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In the right lateral images, suspicious ovoid lucent region is presumed to be esophageal gas.  This is not identified in the left lateral or ventrodorsal images.  
Pleural space: The pleural space is normal.
Musculoskeletal: Multifocal thoracic spondylosis deformans is present.  The remaining  included musculoskeletal structures are normal.
</t>
  </si>
  <si>
    <t>1. Left cranial lung lobe alveolar pattern, most likely due to bronchopneumonia/aspiration pneumonia.
2. Mild diffuse bronchial pulmonary pattern such as from fibrosis from prior disease, age-related changes, infectious/immune-mediated lower airway disease or unlikely other.
3. Suspicious for sliding esophageal hiatal/paraesophageal hernia, or less likely transient esophageal gas or other.</t>
  </si>
  <si>
    <t>Therapy for presumed bronchopneumonia with broad-spectrum antibiotics as needed.  Consider therapy for 1-2 weeks past radiographic resolution of the pulmonary pattern.  Consider esophagoscopy or contrast esophagography for further evaluation of possible sliding hiatal hernia contributing to clinical signs, as well as abdominal imaging.  Routine blood work for further evaluation may be clinically indicated.  Monitoring as directed or sooner if clinical signs acutely change, fail to improve or worsen.</t>
  </si>
  <si>
    <t>Patient Name : Coco Viszlay, Date of study: Aug 7, 2024
3 images are provided for review
Canine Thorax (3 Images) - 2 Lateral, 1 Vd
Prior images dated February 15, 2024 and previous are available.  
human digits primary beam.
Pulmonary parenchyma: A minimal to mild diffuse bronchial pattern is present.  The lungs are hypoinflated in the lateral images.  
Pulmonary vasculature: The pulmonary vasculature is subjectively normal in size and tapers in the periphery of the lungs.
Cardiac silhouette: The cardiac silhouette is mildly tall and occupies 2/3 the height of the thorax in the lateral images.  The caudodorsal margin of the cardiac silhouette is mildly flattened.  
Mediastinum: The cranial mediastinum is normal.
Trachea: The trachea is normal.
Esophagus: The esophagus is not well-identified.
Pleural space: The pleural space is normal.
Musculoskeletal: The included musculoskeletal structures are normal.</t>
  </si>
  <si>
    <t xml:space="preserve">1. Similar mild left-sided cardiomegaly such as from myxomatous mitral valvular disease and insufficiency.
- There is no current evidence of left-sided congestive heart failure.  
2. Similar minimal to mild diffuse bronchial pulmonary pattern due to fibrosis from prior disease, age-related changes, and/or infectious/immune-mediated lower airway disease, or unlikely other.  </t>
  </si>
  <si>
    <t>Echocardiography, ECG and blood pressure for further evaluation, as well as routine blood work and urinalysis if not recently performed.  Consider respiratory PCR panel, airway sampling, and fecal analysis/deworming for further evaluation of the reported clinical signs. This examination does not rule out dynamic airway disease contributing to reported clinical signs. 
 Empirical therapy and supportive care in the interim as needed. Monitoring as directed or sooner if clinical signs acutely change, fail to improve or worsen.</t>
  </si>
  <si>
    <t xml:space="preserve">
1.MILD BRONCHIAL PATTERN; MILD DYNAMIC AIRWAY DISEASE._x000D_
2.Are respiratory signs present? If NO._x000D_
3.There is no evidence of ALVEOLAR PATTERN, PERIHILAR INFILTRATE or PULMONARY NODULES._x000D_
4.Based on these AI airway/pulmonary findings, the probability of this patient having clinically detectable respiratory signs is LOW to MEDIUM (25-50%)_x000D_
5.Are respiratory signs present? If YES._x000D_
6.Mild cardiomegaly has been detected but Heart Failure is NOT suspected.</t>
  </si>
  <si>
    <t>Patient Name: Little Dog Charkow, Date of study: Aug 16, 2024
Canine Thorax (3 Images) - 2 Lateral, 1 VD
There are no previous radiographs for comparison.
Findings:
Pleural space: The pleural space is within normal limits. There is no evidence of pneumothorax.
Cardiac silhouette: The cardiac silhouette is normal in size and shape.
Pulmonary vessels: The pulmonary arteries and veins are normal in size and are symmetrical.
Pulmonary parenchyma: The pulmonary parenchyma is normal with no abnormal pulmonary patterns, nodules, or masses.
Mediastinum: The mediastinum is normal in width and opacity. There is no evidence of intrathoracic lymphadenopathy.
Trachea: The trachea is normal in diameter and course.
Esophagus: The region of the esophagus is within normal limits.
Musculoskeletal: There is emphysema dorsal to the cervical thoracic spine and along the left lateral thoracic wall. The ribs are intact, without fracture. The spinous processes and vertebral bodies are normal. The scapulae are within normal limits.
Cranial abdomen: The gastrointestinal tract has a postprandial appearance. There is adequate serosal detail.</t>
  </si>
  <si>
    <t>1. Consistent with the reported puncture wounds, there is emphysema dorsal to the neck and lateral and dorsal to the thorax.
2. There is no evidence of thoracic involvement as the pleural space is normal (no pneumothorax) and no ribs are fractured.
3. The cardiopulmonary structures are normal.</t>
  </si>
  <si>
    <t>Medical and/or surgical management is recommended as deemed clinically appropriate for bite wounds. If respiratory distress develops, recheck thoracic view radiographs would be recommended.</t>
  </si>
  <si>
    <t xml:space="preserve">Patient Name : Mateo Pizarro, Date of study: Aug 16, 2024
3 images are provided for review
Canine Thorax (3 Images) - 2 Lateral, 1 Vd
Prior images dated November 22, 2023 are available. 
Pulmonary parenchyma: A minimal to mild diffuse bronchial pattern is present.  The lungs are hypoinflated minimally.
Pulmonary vasculature: The pulmonary vasculature is subjectively normal in size and tapers in the periphery of the lungs.
Cardiac silhouette: The cardiac silhouette is mild to moderately enlarged and tall, occupying greater than 2/3 the height of the thorax in the lateral image.  The caudodorsal margin of the cardiac silhouette is flattened.  The cardiac silhouette is widened and occupies at least four intercostal spaces width.  The right ventricle is subjectively prominent in the ventrodorsal image.  
Mediastinum: The cranial mediastinum is normal.
Trachea: A soft tissue band partially superimposes over the cervical and thoracic tracheal segments.
Esophagus: The esophagus is not well-identified.
Pleural space: The pleural space is normal.
Musculoskeletal: The included musculoskeletal structures are normal.
</t>
  </si>
  <si>
    <t xml:space="preserve">1. Progressive mild-moderate generalized cardiomegaly such as from myxomatous and/or tricuspid valvular disease versus cor pulmonale/pulmonary hypertension, or unlikely other.
- There is no current evidence of left-sided congestive heart failure.  
2. Minimal diffuse bronchial pulmonary pattern due to fibrosis from prior disease, age-related changes, infectious/immune-mediated lower airway disease (mycoplasma spp., bordetella spp., parasitism such as lung worms, or inhaled allergen/irritant), or unlikely other.
3. Dorsal redundant tracheal membrane with/without dynamic lower airway disease, versus superimposed normal structures.  
</t>
  </si>
  <si>
    <t>Echocardiography, ECG and blood pressure for further evaluation.  Consider respiratory PCR panel, airway sampling, and fecal analysis/deworming for further evaluation of the lower airways if clinically indicated.  Empirical therapy and supportive care for coughing in the interim as needed.  Monitoring as directed or sooner if clinical signs acutely change, fail to improve or worsen.</t>
  </si>
  <si>
    <t xml:space="preserve">
1.MILD BRONCHOINTERSTITIAL PULMONARY PATTERN; MILD PERIHILAR INFILTRATE; MILD DYNAMIC AIRWAY DISEASE; ATELECTASIS or less likely, pneumonia._x000D_
2.Based on the AI airway/pulmonary findings, the probability of this patient having clinically detectable respiratory signs is MEDIUM (50%)_x000D_
3.Are respiratory signs present? If YES._x000D_
4.Pleural fissure lines or small volume pleural effusion has been detected. In a mildly overweight animal, excessive pericardial fat can artifactually mimic the result of minimal pleural effusion._x000D_
5.Mild cardiomegaly has been detected but Heart Failure is NOT suspected._x000D_
6.Are respiratory signs present? If NO.</t>
  </si>
  <si>
    <t>Study:_x000D_
Thoracic and left carpus/manus radiography: five images dated August 16,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a small amount of granular soft tissue material presumed to be ingesta. _x000D_
_x000D_
There is a small amount of periarticular bone formation at the cranioproximal aspect of the left radial head. A mild amount of smooth and continuous new bone formation is present at the dorsomedial aspect of the distal radius at the level of the physeal scar and along the medial aspect of the carpus. There is mild regional soft tissue swelling. There is mild periarticular new bone formation along the dorsal aspect of the radial carpal bone. The ungual process of third phalanx of the second digit is mildly blunted in comparison to the remaining digits. The ungual crest of this phalanx is normal. There is moderate circumferential swelling of this digit.</t>
  </si>
  <si>
    <t>1. The blunted appearance of the ungual process of the third phalanx of the left thoracic limb second digit may be secondary to the prior trauma. The soft tissue swelling of this digit may indicate paronychia. There is no apparent osteolysis to suggest subungual neoplasia. Consider tissue sampling and culture for further evaluation._x000D_
2. Left abductor pollicis longus tenosynovitis._x000D_
3. Elbow osteoarthrosis. The severity of this finding is difficult to characterize is the entirety of the elbows not imaged._x000D_
4. Mild radiocarpal joint osteoarthrosis._x000D_
5. Normal thorax. There is no radiographic evidence of cardiopulmonary disease or intrathoracic neoplasia.</t>
  </si>
  <si>
    <t xml:space="preserve">
1.A mild bronchial pattern has been detected._x000D_
2.The cardiac silhouette size is normal._x000D_
3.There is no evidence of PERIHILAR INFILTRATE or DYNAMIC AIRWAY COLLAPSE or BRONCHIECTASIS.</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</si>
  <si>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margins are rounded and extend beyond the costal arch, causing caudal displacement of the gastric axis.  The stomach contains a small amount of ingesta.  The small intestines are normal in size.  Gas and feces are present in the colon.  Rounded soft tissue structures are seen dorsal to the colon and ventral to L6 through the sacrum in the area of the iliac lymph nodes.  The urinary bladder is small.  The remaining abdominal organs are normal.</t>
  </si>
  <si>
    <t>Sublumbar lymphadenopathy=ZZ90= consider inflammatory versus neoplastic.  Hepatomegaly=ZZ90= this is a nonspecific finding that may be seen with congestion, vacuolar hepatopathy, inflammation, neoplasia, etc.  Abdominal ultrasound may be helpful in further evaluation and to aid in aspiration of the lymph nodes.  Radiographically normal thorax for patient of this age.</t>
  </si>
  <si>
    <t xml:space="preserve">
1.MODERATE INTERSTITIAL TO ALVEOLAR PATTERN; MODERATE BRONCHITIS._x000D_
2.Based on the AI airway/pulmonary findings, the probability of this patient having clinically detectable respiratory signs is MEDIUM to HIGH (50-75%)_x000D_
3.Are respiratory signs present? If YES._x000D_
4.Are respiratory signs present? If NO._x000D_
5.The cardiac silhouette size is normal._x000D_
6.There is no evidence of DYNAMIC AIRWAY COLLAPSE or BRONCHIECTASIS.</t>
  </si>
  <si>
    <t>4 images of the thorax and abdomen are presented for review.  There is mineralization of vascular structures within the pulmonary parenchyma, most notable in the caudal lung lobes and right cranial lung lobe.  The cardiovascular structures are otherwise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is rounded and extends beyond the costal arch.  The stomach contains a moderate amount of gas.  The small intestines are normal in size.  Gas and feces are present in the colon.  The urinary bladder is small.  The remaining abdominal organs are normal.  There is spondylosis deformans of the thoracolumbar spine.</t>
  </si>
  <si>
    <t>Mild hepatomegaly=ZZ90= this is a nonspecific finding that may be seen with congestion, vacuolar hepatopathy, inflammation, neoplasia, etc.  Abdominal ultrasound may be helpful in further evaluation if biochemically indicated.  Mineralization of the vascular structures is likely incidental but may be related to endocrine disorders such as hyperadrenocorticism.</t>
  </si>
  <si>
    <t xml:space="preserve">
1.MODERATE INTERSTITIAL TO ALVEOLAR PATTERN; PULMONARY NODULES or NODULAR PATTERN; MILD BRONCHITIS_x000D_
2.Based on the AI airway/pulmonary findings, the probability of this patient having clinically detectable respiratory signs is MEDIUM (50%). A few (&lt;5) soft tissue pulmonary nodules may be present._x000D_
3.Are respiratory signs present? If YES._x000D_
4.Are respiratory signs present? If NO._x000D_
5.The evaluation has detected soft tissue pulmonary nodules._x000D_
6.Pleural fissure lines or small volume pleural effusion has been detected. In a mildly overweight animal, excessive pericardial fat can artifactually mimic the result of minimal pleural effusion._x000D_
7.The cardiac silhouette size is normal._x000D_
8.There is no evidence of DYNAMIC AIRWAY COLLAPSE or BRONCHIECTASIS.</t>
  </si>
  <si>
    <t xml:space="preserve">Patient Name : Kurby Miller, Date of study: Aug 16, 2024
3 images are provided for review
Canine Thorax (3 Images) - 1 Vd, 2 Lateral
There are no previous radiographs for comparison.
Pulmonary parenchyma: Diffusely throughout the lungs are numerous well-defined, discrete, soft tissue pulmonary nodules.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Broad-based soft tissue nodules arise from the caudoventral extra-thoracic soft tissues.  The remaining included musculoskeletal structures are normal.
</t>
  </si>
  <si>
    <t>1. Numerous soft tissue pulmonary nodules.
- Differential diagnoses include metastatic neoplasia from an occult primary malignancy, or unlikely granulomatous/fungal pneumonia such as from blastomycosis spp. or other.
2. Caudoventral extra-thoracic soft tissue nodules due to benign or malignant neoplasia, versus other.</t>
  </si>
  <si>
    <t>Consider computed tomography of the thorax and abdomen for further evaluation of an occult primary neoplasm.  Routine blood work, coagulation testing and tissue sampling depending on results.  Consider fungal serology if the patient has an appropriate travel/exposure history.  Empirical therapy and supportive care in the interim as needed.  Monitoring with routine blood work and thoracic imaging as directed, or sooner if clinical signs acutely change, fail to improve or worsen.</t>
  </si>
  <si>
    <t>Three radiographs of the thorax/abdomen, two lateral views of the thorax/proximal thoracic limbs, and a lateral view that includes the proximal pelvic limbs are provided. Normal cervicothoracic spine. The cardiac silhouette and pulmonary vessels are normal size. There are mild age-related changes in the lungs. On the right lateral view there is the appearance of rounded 0.3 cm increased opacity overlying the cranial thorax, however this is limited to the boundaries of a rib, and is not confirmed on the other views. This is consistent with an artifact. No pleural effusion. Adequate tracheal diameter. The shoulder and cubital joints are congruent. No thoracic limb soft tissue swelling, lysis, or periosteal proliferation. In the abdomen the liver is mildly enlarged with smooth margins. Focal cluster of punctate mineral densities overlying the liver consistent with gallbladder debris, typically incidental. The gastrointestinal tract is moderately filled. No radiopaque urolithiasis. Normal-sized spleen and left kidney. The right kidney is obscured. No definitive narrowed lumbar intervertebral disc spaces. The coxofemoral joints are congruent. The patellar location is normal for positioning. Stifle joint space evaluation is limited by superimposed extra abdominal tissue and rotation. No pelvic limb osseous abnormalities are appreciated.</t>
  </si>
  <si>
    <t>1. Mild hepatomegaly, a nonspecific finding that is most likely steroid or other hepatopathy. Acute inflammation or neoplasia are next on the differential list. This should be correlated with history and blood work. No other abdominal abnormalities._x000D_
2. Normal thorax, thoracic limbs, proximal pelvic limbs. A reason for the abnormal gait is not identified. With the described overstepping gait, a central neurologic abnormality is of concern.</t>
  </si>
  <si>
    <t>Recommend neurologic examination to include cranial nerve assessment.</t>
  </si>
  <si>
    <t xml:space="preserve">Patient Name : Chuck Sweeney, Date of study: Aug 16, 2024
6 images are provided for review
Canine Thorax (6 Images) - 4 Lateral, 2 Vd
There are no previous radiographs for comparison.
Pulmonary parenchyma: A moderate to severe diffuse bronchial and mild interstitial pattern are present. In the left caudal lung is ill-defined moderate interstitial to alveolar soft tissue.  The caudal lobar bronchi are presumed to be ventrally displaced by enlarged pulmonary arteries in the lateral image.  
Pulmonary vasculature: Best identified in the ventrodorsal image, the right caudal lobar artery is severely enlarged and tortuous with ill-defined margins.  The cranial lobar pulmonary arteries are enlarged in the cranioventral periphery of the lungs in the lateral images.
Cardiac silhouette: The cardiac silhouette is enlarged in the ventrodorsal image, and in the initial ventrodorsal image, has a slightly flat left margin and rounded right margin ("reverse D") shape.  
Mediastinum: The cranial mediastinum is normal.
Trachea: The trachea is normal.
Esophagus: The esophagus is not well-identified.
Pleural space: The pleural space is normal.
Musculoskeletal: The included musculoskeletal structures are normal.
</t>
  </si>
  <si>
    <t>1. Severe right caudal lobar arterial enlargement and cranial lobar arterial enlargement is suspicious for heartworm disease/pulmonary hypertension.
2. Left caudal lung interstitial to alveolar soft tissue due to thromboembolic disease/heartworm disease, or less likely abscessation or evolving neoplasia.
3. Moderate-severe diffuse bronchial and mild interstitial pulmonary patterns such as from chronic heartworm disease/pulmonary hypertension with/without infectious/immune-mediated lower airway disease (mycoplasma spp., bordetella spp., parasitism, inhaled allergen/irritant), or unlikely other.
4. Right-sided cardiomegaly is consistent with reported heartworm disease and pulmonary hypertension.</t>
  </si>
  <si>
    <t xml:space="preserve">Consider emergency referral, oxygen therapy and treatment for suspected thromboembolic disease.  Repeat testing for heartworm disease may be contributory.  Computed tomography for further evaluation of the left caudal lung lobe lesion once stable.  Consider echocardiography, ECG and blood pressure for further evaluation of cardiomegaly, as radiographs are overall insensitive.  Routine blood work if not recently performed.  Empirical therapy and supportive care in the interim as needed.  </t>
  </si>
  <si>
    <t xml:space="preserve">
1.SEVERE INTERSTITIAL TO ALVEOLAR PATTERN; MODERATE BRONCHIAL PATTERN; SEVERE DYNAMIC AIRWAY DISEASE._x000D_
2.Based on these AI airway/pulmonary findings, the probability of this patient having clinically detectable respiratory signs is VERY HIGH (&gt;75%)_x000D_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6.Mild cardiomegaly has been detected but Heart Failure is NOT suspected._x000D_
7.The evaluation has a strong suspicion of pulmonary nodules or mass lesion being present.</t>
  </si>
  <si>
    <t xml:space="preserve">
1.A minimal perihilar infiltrate has been detected._x000D_
2.A moderate bronchial pattern has been detected._x000D_
3.Mild cardiomegaly has been detected but Heart Failure is NOT suspected._x000D_
4.There is no evidence of ALVEOLAR PATTERN or DYNAMIC AIRWAY COLLAPSE or BRONCHIECTASIS.</t>
  </si>
  <si>
    <t>Three radiographs of the thorax/abdomen are provided. The cardiac silhouette and pulmonary vessels are normal size. Mild age-related changes in the lungs. Small round soft tissue density caudal to the left atrium on the right lateral view is end-on pulmonary vessel. There is no pleural effusion. In the abdomen the prostate is moderately enlarged consistent with the reproductive status of this patient. The urinary bladder is mildly filled and soft tissue opaque. Small volume gas is present in the stomach. There is the appearance of scant stippled soft tissue density overlying the pylorus only on the left lateral view. Small intestines are diffusely moderately fluid filled. Small volume gas in the ascending colon. The remainder of the colon is not definitively identified. Normal-sized liver, spleen, kidneys. No osseous abnormalities.</t>
  </si>
  <si>
    <t>1. Small intestinal functional ileus, a nonspecific finding that is most likely due to enteritis. Stress/discomfort or metabolic abnormality are next on the differential list. Equivocal stippled soft tissue density overlying the stomach is most likely either superimposed colon or gas between rugal folds. Small radiolucent gastric foreign material is not ruled out._x000D_
2. Normal thorax.</t>
  </si>
  <si>
    <t>With the weight loss, fasted abdominal ultrasound is recommended.</t>
  </si>
  <si>
    <t xml:space="preserve">
1.Moderate bronchial and severe alveolar pattern._x000D_
2.A severe alveolar pattern has been detected._x000D_
3.A mild to moderate bronchointerstitial pulmonary pattern has been detected._x000D_
4.Pleural fissure lines or moderate to severe pleural effusion has been detected. An overlying skin fold or in an obese animal, excessive pericardial fat could artifactually mimic the result of severe pleural effusion._x000D_
5.Mild cardiomegaly has been detected but Heart Failure is NOT suspected._x000D_
6.There is no evidence of DYNAMIC AIRWAY COLLAPSE or BRONCHIECTASIS.</t>
  </si>
  <si>
    <t xml:space="preserve">Patient Name : Frankie Dahlke, Date of study: Aug 16, 2024
3 images are provided for review
There are no previous radiographs for comparison.  Ventrodorsal image is mislabeled given position of the gastric fundus.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Ovoid soft tissue in one of the caudal brachial/axillary regions superimposes over the thorax in the right lateral image.  Multifocal thoracolumbar spondylosis deformans is present.  The remaining included musculoskeletal structures are normal.
</t>
  </si>
  <si>
    <t>1. Mild diffuse bronchial pulmonary pattern such as from fibrosis from prior disease, age-related changes, infectious/immune-mediated lower airway disease or unlikely other.
2. No obvious pulmonary soft tissue nodules or intra-thoracic lymphadenomegaly.
3. Caudal brachial/axillary extra-thoracic soft tissue nodule such as from benign or malignant neoplasia versus other.</t>
  </si>
  <si>
    <t>Consider respiratory PCR panel, airway sampling, and fecal analysis for further evaluation if clinically indicated.  Computed tomography of the head/thorax for further evaluation of reported oral mass and pre-surgical planning.  Oncologist consultation depending on results.  Empirical therapy and supportive care in the interim as needed.  Monitoring as directed or sooner if clinical signs acutely change, fail to improve or worsen.</t>
  </si>
  <si>
    <t xml:space="preserve">Patient Name : Baby Schumann, Date of study: Aug 16, 2024
3 images are provided for review
Canine Thorax (3 Images) - 1 Vd, 2 Lateral
There are no previous radiographs for comparison.
Pulmonary parenchyma: A minimal to mild diffuse interstitial and minimal bronchial pattern is present.  The lungs are minimal or mildly hypoinflated.  
Pulmonary vasculature: The pulmonary vasculature is subjectively normal in size and tapers in the periphery of the lungs.
Cardiac silhouette: The cardiac silhouette is normal in size and shape.
Mediastinum: The cranial mediastinum is normal.
Trachea: The trachea is mildly narrowed in the mid-cervical region.  A soft tissue band partially superimposes over the dorsal trachea in the cervical region.  The intra-thoracic tracheal segment has a slightly undulant wall.  
Esophagus: The esophagus is not well-identified.
Pleural space: The pleural space is normal.
Musculoskeletal: The included musculoskeletal structures are normal.
</t>
  </si>
  <si>
    <t>1. Mild diffuse interstitial and minimal bronchial pulmonary patterns.
- Differential diagnoses include fibrosis from prior disease, age-related changes, atelectasis/hypoinflation, and/or infectious/immune-mediated lower airway disease (such as from bordetella spp., mycoplasma spp., parasitism) or unlikely other.
2. Cervical tracheal narrowing, tracheal marginal change and presumed redundant tracheal membrane.
- Underlying dynamic airway disease is considered.</t>
  </si>
  <si>
    <t>Consider bronchoscopy/tracheoscopy/fluoroscopy, respiratory PCR panel, airway sampling, and empirical deworming/fecal analysis for further evaluation.  Empirical therapy and supportive care in the interim as needed.  Monitoring as directed or sooner if clinical signs acutely change, fail to improve or worsen.</t>
  </si>
  <si>
    <t xml:space="preserve">
1.Moderate cardiomegaly has been detected but Heart Failure is NOT suspected._x000D_
2.Are respiratory signs present? If NO._x000D_
3.There is no evidence of PULMONARY NODULES._x000D_
4.MILD to MODERATE BRONCHOINTERSTITIAL PATTERN; MILD DYNAMIC AIRWAY DISEASE._x000D_
5.Based on these AI airway/pulmonary findings, the probability of this patient having clinically detectable respiratory signs is MEDIUM (50%)_x000D_
6.Are respiratory signs present? If YES.</t>
  </si>
  <si>
    <t>Study:_x000D_
Thoracic radiography: four images dated August 16, 2024_x000D_
_x000D_
Findings:_x000D_
The cardiac silhouette is normal in size and shape (VHS approximately 9.5). The pulmonary vasculature is normal in size. There is incidental age-related bronchial wall mineralization and a mild generalized bronchointerstitial pulmonary pattern. The pleural space is normal. There is no intrathoracic lymphadenopathy. The trachea is normal in diameter. There is no lobar bronchi narrowing. The stomach contains unstructured heterogeneous/granular soft tissue material presumed to be ingesta. There is mild T5-T6, T 12-T 13 and T 13-L1 spondylosis deformans.</t>
  </si>
  <si>
    <t>Unremarkable thorax. There is no radiographic evidence of heart disease. Consider echocardiography for further evaluation of the reported heart murmur.</t>
  </si>
  <si>
    <t>3 images of the thorax and abdomen are presented for review.  There is straightening of the caudal cardiac waist in the region of the left atrium.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t>
  </si>
  <si>
    <t>Radiographically normal abdomen.  Mild left atrial enlargement.</t>
  </si>
  <si>
    <t>Echocardiography could be considered in further staging.</t>
  </si>
  <si>
    <t xml:space="preserve">Patient Name : Elsee Takach, Date of study: Aug 16, 2024
4 images are provided for review
Prior images dated June 8, 2024 are available.  
Pulmonary parenchyma: A moderate to severe diffuse bronchial pattern is present.
Pulmonary vasculature: The pulmonary vasculature is subjectively normal in size and tapers in the periphery of the lungs.
Cardiac silhouette: The cardiac silhouette is tall and occupies 2/3 the height of the cardiac silhouette, with dorsal tracheal displacement, possibly exacerbated by oiquity in the lateral images.  The caudodorsal margin of the cardiac silhouette is flattened.  Rounded increased soft tissue is in the region of the left atrium in the ventrodorsal.
Mediastinum: The cranial mediastinum is normal.
Trachea: The trachea is normal.
Esophagus: The esophagus is not well-identified.
Pleural space: Slight thin pleural fissure between the subsegments of the left cranial lung lobe in the ventrodorsal image that does not widen in the periphery of the lungs.  
Musculoskeletal: The included musculoskeletal structures are normal.
</t>
  </si>
  <si>
    <t xml:space="preserve">1. Moderate-severe diffuse bronchial pulmonary pattern, this is mildly progressive from prior.
- Differential diagnoses include early/evolving left-sided congestive heart failure, infectious/immune-mediated lower airway disease such as from mycoplasma spp., bordetella spp., parasitism, or inhaled allergen/irritant, fibrosis from prior disease, age-related changes, or unlikely other.
2. Similar moderate left-sided cardiomegaly such as from myxomatous mitral valvular disease or less likely other.
3. Thin pleural fissure line or pleural thickening/folding or tangential beam artifact.  </t>
  </si>
  <si>
    <t>Consider diuretic therapy and oxygen therapy with repeat radiographs in 4-6 hours to monitor for progression/resolution of the pulmonary pattern.  Consider echocardiography, ECG and blood pressure for further evaluation.  Consider respiratory PCR panel, airway sampling, and fecal analysis/deworming for further evaluation.    Monitoring as directed or sooner if clinical signs acutely change, fail to improve or worsen.</t>
  </si>
  <si>
    <t xml:space="preserve">
1.A mixed pulmonary pattern consisting of a severe interstitial to alveolar pattern, moderate bronchial pattern, dynamic airway disease and perihilar infiltrate have been detected._x000D_
2.Based on these AI airway/pulmonary findings, the probability of this patient having clinically detectable respiratory signs is VERY HIGH (&gt;75%)_x000D_
3.Are respiratory signs are present? If YES._x000D_
4.Are respiratory signs are present? If NO._x000D_
5.The evaluation has a strong suspicion of pulmonary nodules or mass lesion being present._x000D_
6.Severe cardiomegaly has been detected but Heart Failure is NOT suspected._x000D_
7.Pleural fissure lines or moderate to severe pleural effusion has been detected. An overlying skin fold or in an obese animal, excessive pericardial fat could artifactually mimic the result of severe pleural effusion.</t>
  </si>
  <si>
    <t>Patient Name : Jazzmin House, Date of study: Aug 16, 2024
5 images are provided for review
There are no previous radiographs for comparison.
Liver: The liver is subjectively normal in size.
Spleen: The spleen is normal in size with smooth margins and homogeneous soft tissue.
Kidneys: The right kidney is obscured without obvious enlargement or mineral.  The left kidney is normal.
Retroperitoneum: Retroperitoneal detail is adequate.
Urinary bladder/Urethra: The urinary bladder is normal in size, homogeneous soft tissue, and smoothly marginated.
Reproductive:
Peritoneum: Peritoneal detail is adequate.
Gastrointestinal tract: The stomach is malpositioned with the fundus presumed to be displaced into the mid-ventral abdomen, and the greater curvature positioned in the craniodorsal abdomen.  The Stomach is somewhat compartmentalized in the lateral image.  In the ventrodorsal image, the stomach is in the left cranial abdomen, with the fundus positioned caudal to the pyloric antral region.  The stomach contains a moderate volume of gas. No obvious mural gas is identified.  
The small intestine contains mild to moderate gas and fluid or is empty with a subjectively uniform population for size. 
The colon contains moderate well-defined soft tissue material and gas.  The colon is within normal limits for size.  
Caudal thorax:  A well-defined, round, soft tissue mass is in the right caudal lung lobe.
Musculoskeletal: Moderate bilateral shoulder osteoarthrosis is present. L2-3, L5-6, and L7-S1 spondylosis deformans is present. The remaining included musculoskeletal structures are normal.</t>
  </si>
  <si>
    <t>1. Right caudal lung lobe soft tissue mass. 
- Differential diagnoses include primary pulmonary carcinoma versus other.
2. Malpositioned stomach with moderate gas dilation.
- Gastric volvulus (&lt;360 degree) is suspected.
3. Non-specific small intestinal appearance from enteritis versus individual variation of normal.
4. Moderate bilateral shoulder osteoarthrosis.</t>
  </si>
  <si>
    <t xml:space="preserve">  Reported clinical signs may be due to gastric positioning versus evolving systemic disease or a combination of these. Consider computed tomography of the thorax for further evaluation of the right caudal lung lobe mass. Consider celiotomy and gastric derotation, especially if clinical signs /gastric dilatation progress.  Routine blood work if not recently performed.  Consider tissue sampling of the pulmonary mass via percutaneous aspirates (if accessible) versus other and oncologist consultation depending on results.  Empirical therapy and supportive care in the interim as needed.  Monitoring as directed, or sooner if clinical signs acutely change, fail to improve or worsen.</t>
  </si>
  <si>
    <t xml:space="preserve">Patient Name : Dolly smith, Date of study: Aug 6, 2024
3 images are provided for review
Prior images dated the same day and previous are available.
Pulmonary parenchyma: The pattern in the caudal lungs is progressive and is mild to moderately alveolar with ill-defined air-bronchograms in the lateral images.  A moderate diffuse bronchial pattern is present.  
Pulmonary vasculature: The pulmonary arteries are diffusely severely enlarged.  In the ventrodorsal image, right caudal lobar arteries are enlarged with nodular or tortuous regions over the 7th intercostal space.  The right cranial lobar pulmonary artery is similarly tortuous and appears nodular in the ventrodorsal image over the 2nd and 3rd intercostal spaces.  
Cardiac silhouette: The cardiac silhouette is enlarged in the region of the main pulmonary artery (1-2 o'clock position) in the ventrodorsal image.  The cardiac silhouette has a mild "reverse D" shape in the ventrodorsal image.  
Mediastinum: Rounded increased soft tissue in the middle mediastinum is suspected to result in ventral and lateral displacement of mainstem bronchi.  
Trachea: The trachea is normal.
Esophagus: The esophagus is not well-identified.
Pleural space: Thin pleural fissure lines that do not widen in the periphery are present between the right cranial/middle and right middle/caudal lung lobes.  
Musculoskeletal: The included musculoskeletal structures are normal.
</t>
  </si>
  <si>
    <t>1. Mild main pulmonary arterial enlargement and suspected right ventricular enlargement most likely due to heartworm disease and pulmonary hypertension/cor pulmonale given patients young age, and unlikely other.
2. Severe diffuse pulmonary arterial enlargement most likely due to heartworm disease arteritis/pulmonary hypertension.
3. Progressive caudodorsal lung alveolar pattern, more severe on the right such as from pneumonitis from heartworm disease and thromboembolic disease, or unlikely other.
4. Suspected middle mediastinal lymphadenomegaly due to severe pulmonary infectious/inflammatory disease, or less likely other.
5. Moderate diffuse bronchial pulmonary pattern due to pneumonitis from underlying thromboembolic disease/heartworm disease or unlikely other (bordetella spp., lung worms, etc.).</t>
  </si>
  <si>
    <t>Consider heartworm disease testing if not recently performed, as well as routine blood work and echocardiography, eCG and blood pressure for further evaluation.   Empirical therapy and supportive care in the interim as needed for pneumonitis and thromboembolic disease, as well as oxygen therapy as needed.  Monitoring as directed or sooner if clinical signs acutely change, fail to improve or worsen.</t>
  </si>
  <si>
    <t xml:space="preserve">
1.In the ABSENCE of respiratory signs, atelectasis secondary to heavy sedation or anesthesia or a false positive due to a combination of age-related changes, obesity, pulmonary hypoinflation/partial atelectasis and/or overlying soft tissues such as forelimb musculature overlying the cranial thorax would be most likely._x000D_
2.A moderate interstitial to alveolar pattern has been detected._x000D_
3.Moderate to severe bronchointerstitial pulmonary pattern._x000D_
4.MODERATE INTERSTITIAL TO ALVEOLAR PATTERN; MILD PERIHILAR INFILTRATE._x000D_
5.In the PRESENCE of respiratory signs, moderate pneumonitis (aspiration or bacterial  (including Bordatella, Mycoplasma and Wolbachia), allergic, viral, fungal or parasitic (including heartworm pathosis)) would be most likely._x000D_
6.A moderate bronchointerstitial pattern with potential areas of alveolar infiltrate, consolidation or pulmonary mass lesion(s) have been identified._x000D_
7.The evaluation has a strong suspicion of pulmonary nodules or mass lesion being present._x000D_
8.Pleural fissure lines or small volume pleural effusion has been detected. In a mildly to moderately overweight animal, excessive pericardial fat can artifactually mimic the result of mild pleural effusion._x000D_
9.Mild cardiomegaly has been detected but Heart Failure is NOT suspected.</t>
  </si>
  <si>
    <t xml:space="preserve">Patient Name : Thor Kellogg, Date of study: Aug 16, 2024
8 images are provided for review
There are no previous radiographs for comparison.
Bones/Joints:
Arising from the dorsal and caudal portion of the occipital bone is an ill-defined osteoproductive and osteolytic mass.  The margins of the occipital bone are partially ill-defined and interrupted due to this mass.  The ventral margins of the mass are suspicious extending to the internal surfaces of the calvarial vault.  Some osseous proliferation extends caudodorsally to the occipital-atlantal joint.  The rostral margin of the mass terminates caudal to the level of the frontal sinuses.
The nasal passages and frontal sinuses are normal.
The maxilla and mandible are normal.
The dental arcades are subjectively normal.
There is no evidence of medullary sclerosis, osteolysis, endosteal scalloping, or periosteal proliferation.
Soft tissues:  The soft tissues of the dorsal/caudal head are severely enlarged and rounded.  The remaining included soft tissues are normal.
</t>
  </si>
  <si>
    <t xml:space="preserve">1. Caudodorsal occipital osteoproductive/osteolytic mass with severe local soft tissue swelling.
- This is most suspicious for MLO (multilobular osteochondrosarcoma).
</t>
  </si>
  <si>
    <t>Consider computed tomography and/or MRI for further evaluation of the head/calvarial vault.  Thoracic computed tomography and/or radiographs may be contributory to screen for systemic disease.  Biopsy of the occipital mass for a definitive diagnosis, and oncologist consultation depending on results. Empirical therapy and supportive care in the interim as needed.  Monitoring as directed, or sooner if clinical signs acutely change, fail to improve or worsen.</t>
  </si>
  <si>
    <t xml:space="preserve">
1.PULMONARY NODULES or NODULAR PATTERN; MODERATE INTERSTITIAL TO ALVEOLAR PATTERN._x000D_
2.Based on these AI airway/pulmonary findings, the probability of this patient havingclinically detectable respiratory signs is HIGH (75%)_x000D_
3.Are respiratory signs present? If YES._x000D_
4.The cardiac silhouette size is normal._x000D_
5.There is no evidence of DYNAMIC AIRWAY COLLAPSE or BRONCHIECTASIS._x000D_
6.Are respiratory signs present? If NO._x000D_
7.The evaluation has a strong suspicion of soft tissue pulmonary nodules or mass lesion being present.</t>
  </si>
  <si>
    <t xml:space="preserve">Patient Name : Dill Slutter, Date of study: Aug 16, 2024
3 images are provided for review
Prior images dated June 20, 2023 and previous are available.  The lateral images are mislabeled given the position of the crus/caudal vena cava.
Pulmonary parenchyma: In the right middle lung lobe is a well-defined, ovoid, soft tissue nodule.  This is well-defined in the ventrodorsal image in the right middle lung lobe over the right 6th intercostal space. A mild diffuse bronchial pattern is present.
Pulmonary vasculature: The pulmonary vasculature is subjectively normal in size and tapers in the periphery of the lungs.
Cardiac silhouette: The cardiac silhouette has a slightly flattened caudodorsal margin.  Slight rounded increased soft tissue is present in the region of the left atrium in the ventrodorsal image.
Mediastinum: The cranial mediastinum is normal.
Trachea: The trachea is normal.
Esophagus: The esophagus is not well-identified.
Pleural space: The pleural space is normal.
Musculoskeletal: L1-2 spondylosis deformans is present.  The remaining  included musculoskeletal structures are normal.
</t>
  </si>
  <si>
    <t>1. Right middle lung lobe soft tissue nodule.
- Differential diagnoses include neoplasia (metastatic such as from evolving histiocytic sarcoma versus other) or less likely primary pulmonary carcinoma, or least likely granulomatous/fungal pneumonia such as from  (blastomycosis spp., histoplasmosis spp.) or other.
2. Suspected left atrial enlargement versus artifact from phase of the cardiopulmonary cycle.
- If present, consider evolving myxomatous mitral valvular disease or unlikely other.
- There is no current evidence of left-sided congestive heart failure.
3. Mild diffuse bronchial pattern due to infectious/immune-mediated lower airway disease, fibrosis from prior disease, age-related changes, or unlikely other.</t>
  </si>
  <si>
    <t>Consider computed tomography of the thorax with/without abdomen for further evaluation of the right middle lung lobe soft tissue nodule and to screen for occult systemic disease. Abdominal radiographs or ultrasonography in lieu of computed tomography may also be contributory.  Consider echocardiography, ECG and blood pressure, especially if a murmur is later identified. Routine blood work and urinalysis if not recently performed.  Monitoring as directed, or sooner if clinical signs acutely change, fail to improve or worsen.</t>
  </si>
  <si>
    <t xml:space="preserve">
1.MILD BROCHIAL/BRONCHOINTERSTITIAL PULMONARY PATTERN; MINIMAL PERIHILAR INFILTRATE._x000D_
2.Based on these AI airway/pulmonary findings, the probability of this patient having clinically detectable respiratorysigns is LOW (25%)_x000D_
3.Are respiratory signs present? If YES._x000D_
4.Are respiratory signs present? If NO._x000D_
5.The cardiac silhouette size is normal._x000D_
6.There is no evidence of DYNAMIC AIRWAY COLLAPSE or BRONCHIECTASIS or PLEURAL EFFUSION.</t>
  </si>
  <si>
    <t>Study:_x000D_
Thoracic radiography: three images dated August 16, 2024_x000D_
_x000D_
Findings:_x000D_
The cardiac silhouette and pulmonary vasculature are normal in size. There is a mild generalized bronchial pulmonary pattern. The pleural space is normal. There is no intrathoracic lymphadenopathy. The larynx is normal. The trachea is normal in diameter and course. There is a small volume of gas in the esophagus on the left lateral projection likely secondary to aerophagia. The included abdomen is normal. There is in situ mineralization of the L1-L2 intervertebral disc.</t>
  </si>
  <si>
    <t>1. The mild generalized bronchial pulmonary pattern may indicate infectious bronchitis given the patient=ZZ91=s possibility for community exposure. Allergic/inflammatory, inhaled irritant or parasitic etiologies cannot be completely excluded. Infectious respiratory disease PCR testing, airway sampling plus/minus heartworm testing and Baermann fecal flotation can be considered for further evaluation._x000D_
2. L1-L2 in situ degenerative disc disease.</t>
  </si>
  <si>
    <t xml:space="preserve">Patient Name : Sadie Vance, Date of study: Aug 16, 2024
9 images are provided for review
Prior images dated April 4, 2023 and previous are available.
 Ventrodorsal images are mislabeled given position of the cardiac apex and caudal vena cava.  
Pulmonary parenchyma: In the ventral periphery of the lungs over the 4th intercostal space in the left lateral image is a small, round, soft tissue focus.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In the ventrodorsal images, a well-defined, ovoid mineral body is lateral to the left shoulder joint and just distal to the glenoid.  The remaining included musculoskeletal structures are normal.
</t>
  </si>
  <si>
    <t>1. Possible nodule in the periphery of the right cranial lung lobe versus artifact, pulmonary osteoma, granuloma  or unlikely other.
2. Mild diffuse bronchial pulmonary pattern such as from fibrosis from prior disease, age-related changes, infectious/immune-mediated lower airway disease or unlikely other.
3. Left shoulder associated enthesophyte or secondary center of ossification versus other.</t>
  </si>
  <si>
    <t>Dermal mast cell tumor is very rarely metastatic as a nodule to the lung.  Consider repeat thoracic imaging with radiographs versus computed tomography for monitoring.  Abdominal imaging to screen for occult systemic disease, with coagulation testing and hepatic/splenic tissue sampling especially if reported mast cell tumor is grade 2 or higher.  Empirical therapy and supportive care as needed in the interim.  Monitoring as directed or sooner if clinical signs acutely change, fail to improve or worsen.</t>
  </si>
  <si>
    <t xml:space="preserve">
1.A mild bronchial pattern has been detected._x000D_
2.The cardiac silhouette size is normal._x000D_
3.There is no evidence of DYNAMIC AIRWAY COLLAPSE or BRONCHIECTASIS._x000D_
4.A minimal to mild bronchointerstitial pulmonary pattern has been detected.</t>
  </si>
  <si>
    <t>3 views of the thorax are provided for review.  The trachea is narrowed in the cervical region.  The cardiovascular and pulmonary structures are normal.  No pulmonary nodules or enlarged intrathoracic lymph nodes are seen.  The mediastinal and pleural structures are normal.  Cranial abdominal detail is adequate.</t>
  </si>
  <si>
    <t>Tracheal narrowing may indicate redundant tracheal membrane, superimposition of esophagus, or tracheal collapse.</t>
  </si>
  <si>
    <t xml:space="preserve">Patient Name : Sissy Nivens, Date of study: Aug 16, 2024
6 images are provided for review
There are no previous radiographs for comparison.
Pulmonary parenchyma: A moderate to severe diffuse bronchial pattern is present.  A minimal to mild diffuse interstitial pattern is present, most severe and slightly wedge-shaped in the caudal periphery of the right middle lung lobe in the ventrodorsal image.  
Pulmonary vasculature: The pulmonary vasculature is subjectively normal in size and tapers in the periphery of the lungs.
Cardiac silhouette: The cardiac silhouette has a mildly flat caudodorsal margin.  Mild rounded increased soft tissue in the region of the left atrium in the ventrodorsal image.
Mediastinum: The cranial mediastinum is normal.
Trachea: The trachea is normal.
Esophagus: The esophagus is not well-identified.
Pleural space: The pleural space is normal.
Musculoskeletal: The included musculoskeletal structures are normal.
</t>
  </si>
  <si>
    <t>1. Moderate-severe diffuse bronchial pulmonary pattern.
- Differential diagnoses include atypical/evolving left-sided congestive heart failure, or less likely infectious/immune-mediated lower airway disease, or unlikely other such as pulmonary eosinophilia or thromboembolic disease, or other.
- This is unlikely metastatic/multicentric plasma cell malignancy.  
2. Minimal-mild diffuse interstitial pulmonary pattern, most severe in the right middle lung lobe.
- Differential diagnoses include evolving left-sided congestive heart failure, secondary to underlying thromboembolic disease, fibrosis from prior disease, age-related changes, minimal recumbency induced atelectasis or unlikely other.  
3. Mild left atrial enlargement versus artifact/patient positioning.
- If present, differential diagnoses include myxomatous mitral valvular disease or less likely other.
4. Mild cardiomegaly such as from thyrotoxic cardiomyopathy.</t>
  </si>
  <si>
    <t>Consider echocardiography, eCG and blood pressure for further evaluation.  Consider pathologist review of CBC for further evaluation of polycythemia reported versus other. Consider diuretic therapy and oxygen therapy with repeat thoracic radiograph in 4-6 hours to monitor for improvement/progression of the pulmonary pattern.  Consider respiratory PCR panel, airway sampling, and fecal analysis/deworming for further evaluation.  Empirical therapy and supportive care in the interim as needed.  Monitoring as directed or sooner if clinical signs acutely change, fail to improve or worsen.</t>
  </si>
  <si>
    <t xml:space="preserve">
1.A mild perihilar infiltrate has been identified._x000D_
2.A moderate to severe interstitial to alveolar infiltrate with a mild perihilar infiltrate has been identified._x000D_
3.The evaluation has come up positive for a pulmonary nodular pattern._x000D_
4.Pleural fissure lines or moderate to severe pleural effusion has been detected. An overlying skin fold or in an obese animal, excessive pericardial fat could artifactually mimic the result of severe pleural effusion._x000D_
5.Severe cardiomegaly has been detected but Heart Failure is NOT suspected.</t>
  </si>
  <si>
    <t>Thoracolumbar spine: There is narrowing of intervertebral disc space at L2-3.  There is possible narrowing of the intervertebral disc space at L1-2.  The remainder of the lumbar spine is unremarkable._x000D_
_x000D_
Thorax: The pulmonary parenchyma, cardiac silhouette, and pulmonary vasculature are unremarkable.  There is no evidence of pleural effusion or lymphadenopathy._x000D_
_x000D_
Abdomen: The liver is considered on the lower limits of normal for size.  There are no abnormalities involving the visible portions of the spleen, gastrointestinal tract, or urinary tract.  Serosal detail is normal.</t>
  </si>
  <si>
    <t>Intervertebral disc disease at L2-3 and possible L1-2._x000D_
_x000D_
Mild microhepatica most likely variation of normal.</t>
  </si>
  <si>
    <t xml:space="preserve">
1.The cardiac silhouette size is normal._x000D_
2.There is no evidence of BRONCHITIS, DYNAMIC AIRWAY COLLAPSE or BRONCHIECTASIS or PULMONARY NODULES._x000D_
3.A minimal interstitial pattern has been detected.</t>
  </si>
  <si>
    <t>5 images of the thorax and abdomen are provided for review.  The cardiovascular structures are normal.  There is a moderate bronchial pattern in all lung lobes.  The mediastinal and pleural structures are normal.  Abdominal serosal detail is adequate in all quadrants.  The stomach contains a moderate amount of gas.  The small intestines are normal in size.  Gas and feces are present in the colon.  The urinary bladder is small.  The remaining abdominal organs are normal.</t>
  </si>
  <si>
    <t>Radiographically normal abdomen.  Lack of specific changes does not rule out pancreatitis, gastroenteritis, etc.  If clinical signs persist with supportive therapy, abdominal ultrasound may be helpful.  Moderate bronchial pulmonary pattern=ZZ90= consider bronchitis, response to inhaled irritants, response to circulating parasites, eosinophilic bronchopneumopathy.  Airway sampling may be helpful in further evaluation.</t>
  </si>
  <si>
    <t>Thorax: There is 1 lateral view available for evaluation.  There is moderate to severe left-sided cardiomegaly.  Cardiogenic pulmonary edema is not suspected.  The pulmonary vasculature is unremarkable.  There is a pleural fissure line superimposed over the caudal aspect of the cardiac silhouette.  There is no evidence of lymphadenopathy.</t>
  </si>
  <si>
    <t>Moderate to severe left-sided cardiomegaly without evidence of decompensation._x000D_
_x000D_
The pleural fissure line may be incidental or mild pleural effusion.</t>
  </si>
  <si>
    <t xml:space="preserve">
1.A severe perihilar infiltrate has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4.SEVERE INTERSTITIAL TO ALVEOLAR PATTERN; MODERATE BRONCHIAL PATTERN; SEVERE DYNAMIC AIRWAY DISEASE._x000D_
5.Based on these AI airway/pulmonary findings, the probability of this patient having clinically detectable respiratory signs is VERY HIGH (&gt;75%)_x000D_
6.Are respiratory signs present? If YES._x000D_
7.AI linked collapsing airway disease treatment in dogs: https://platform.v2.vetology.net/doc/canine-tracheal-collapse-treatment_x000D_
8.Are respiratory signs present? If NO.</t>
  </si>
  <si>
    <t xml:space="preserve">Patient Name : Orion Barandraran, Date of study: Aug 16, 2024
10 images are provided for review
There are no previous radiographs for comparison.
Liver: Only in the left lateral image, the presumed caudoventral liver margin is rounded.  The liver is otherwise within normal limits for size.
Spleen: The spleen is normal in size with smooth margins and homogeneous soft tissue.
Kidneys: The right kidney is partially obscured without obvious enlargement or mineral.  The left kidney is normal.  
Retroperitoneum: Retroperitoneal detail is adequate.
Urinary bladder/Urethra: The urinary bladder is normal in size, homogeneous soft tissue, and smoothly marginated.
Peritoneum: Peritoneal detail is adequate.
Gastrointestinal tract: The stomach contains a moderate volume of gas. Gastric rugal folds are prominent.  The stomach is within normal limits for size.  Gas is in the pylorus in the left lateral image.
Only in the ventrodorsal image ovoid soft tissue material surrounded by gas is in an intestinal segment, suspected the colon, in the right cranial abdomen in the 12th intercostal space.
The small intestine contains mild to moderate gas and fluid or is empty with a subjectively uniform population for size. 
The colon contains moderate well-defined soft tissue material and gas.  The colon is within normal limits for size.  
Musculoskeletal: Moderate right coxofemoral joint osteoarthrosis is present, with osteophytes at the junction of the femoral head/neck and thickening of the femoral neck.  The remaining included musculoskeletal structures are normal.
</t>
  </si>
  <si>
    <t>1. Presumed colonic material in the right cranial abdomen, or unlikely small volume of small intestinal foreign material.
2. Non-specific small intestinal appearance such as from enteritis versus individual variation of normal.
- There is no current evidence of gastrointestinal mechanical ileus.
- Differential diagnoses include dietary indiscretion, toxin ingestion, diet/antibiotic responsive disease, inflammatory bowel disease, pancreatitis, occult systemic disease or unlikely other.
3. Prominent gastric rugal folds such as from non-specific gastritis.
4. Possible hepatomegaly such as from vacuolar hepatopathy, nodular hyperplasia, or unlikely other.
5. Moderate right coxofemoral joint osteoarthrosis.</t>
  </si>
  <si>
    <t>Empirical therapy and supportive care in the interim as needed for enteritis/gastritis.  Consider GI panel, fecal analysis/deworming, and routine blood work for further evaluation.  Abdominal ultrasonography or computed tomography for further evaluation of the gastrointestinal tract and liver, especially if signs fail to improve or worsen in the face of empirical therapy.  Monitoring as directed or sooner if clinical signs acutely change, fail to improve or worsen.</t>
  </si>
  <si>
    <t>3 views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There is lumbarization of the 13th ribs bilaterally.</t>
  </si>
  <si>
    <t>7 views of the thorax are submitted for review._x000D_
The left atrium is mildly enlarged. Left atrium is mildly enlarged.  The pulmonary vasculature is within normal limits.  Mild bronchointerstitial markings are noted in the lung fields.  No pleural effusion or intrathoracic adenopathy is noted.  The trachea is within limits._x000D_
In the abdomen, the stomach contains a moderate amount of food-like material.  The small bowel is normal in uniform diameter and contains a mild amount of gas and ingesta.  Formed stool is noted in the colon.  The liver is moderately enlarged extending well beyound the costal arch with mildly rumen serosal margins.  The spleen is normal in size and shape.  The renal silhouettes and urinary bladder are normal.  Serosal detail is adequate._x000D_
Mild osteophytes are noted on the femoral necks.  No aggressive bony changes are seen.</t>
  </si>
  <si>
    <t>The appearance of the heart is consistent with myxomatous mitral valve disease without evidence of congestive heart failure.  This appears consistent with subclinical disease._x000D_
Moderate hepatomegaly.  Differentials include vacuolar hepatopathy or less likely inflammation, neoplasia, venous congestion._x000D_
Acute or chronic pancreatitis is noted.</t>
  </si>
  <si>
    <t>Supportive medical management appears appropriate and structure.  Clinical signs persist, an abdominal ultrasound to be considered.</t>
  </si>
  <si>
    <t xml:space="preserve">
1.Mild cardiomegaly has been detected but Heart Failure is NOT suspected._x000D_
2.MILD BRONCHIAL PATTERN; MILD PERIHILAR PATTERN._x000D_
3.Based on these AI airway/pulmonary findings, the probability of this patient having clinically detectable respiratorysigns is LOW (25%)_x000D_
4.Are respiratory signs present? If YES._x000D_
5.Are respiratory signs present? If NO._x000D_
6.There is no evidence of ALVEOLAR PATTERN or DYNAMIC AIRWAY COLLAPSE or BRONCHIECTASIS.</t>
  </si>
  <si>
    <t>3 views of the thorax are provided for review.  The cardiovascular structures are normal.  There is a moderate bronchial pattern in all lung lobes.  No alveolar infiltrates are seen.  The mediastinal and pleural structures are normal.  Cranial abdominal detail is adequate.</t>
  </si>
  <si>
    <t>Moderate bronchial pulmonary pattern=ZZ90= consider resolving bronchopneumonia, bronchitis, response to inhaled irritants, response to circulating parasites, eosinophilic bronchopneumopathy.  No current evidence of alveolar infiltrate to suggest pneumonia.</t>
  </si>
  <si>
    <t xml:space="preserve">
1.The evaluation has a strong suspicion of pulmonary nodules or mass lesion being present._x000D_
2.The cardiac silhouette size is normal._x000D_
3.There is no evidence of BRONCHITIS, ALVEOLAR PATTERN or PERIHILAR INFILTRATE.</t>
  </si>
  <si>
    <t>Patient Name : tyger vahl, Date of study: Aug 14, 2024
3 images are provided for review
Canine Thorax (3 Images) - 2 Lateral, 1 Vd
There are no previous radiographs for comparison.
Pulmonary parenchyma: A moderate diffuse bronchial pattern is present.
Pulmonary vasculature: The pulmonary vasculature is subjectively normal in size and tapers in the periphery of the lungs.
Cardiac silhouette: The cardiac silhouette is mildly tall and occupies approximately 2/3 the height of the thorax.  The caudodorsal margin of the cardiac silhouette is slightly flattened.  
Mediastinum: The cranial mediastinum is normal.
Trachea: A soft tissue band partially superimposes over the dorsal tracheal margin.
Esophagus: The esophagus is not well-identified.
Pleural space: Thin pleural fissure line between the right middle/caudal lungs that does not widen in the periphery.
Musculoskeletal: Small dorsal cutaneous soft tissue nodule.  The remaining included musculoskeletal structures are normal.</t>
  </si>
  <si>
    <t>1. Mild left-sided cardiomegaly such as from myxomatous mitral valvular disease and insufficiency or unlikely other.
- There is no current evidence of left-sided congestive heart failure.  
2. Moderate diffuse bronchial pulmonary pattern.
- Differential diagnoses include infectious/immune-mediated lower airway disease (mycoplasma spp., bordetella spp., parasitism such as lung worms, or inhaled allergen/irritant), fibrosis from prior disease, age-related changes, or unlikely other.
3. Dorsal redundant tracheal membrane with/without underlying dynamic airway disease. versus superimposed structures 
4. Thin pleural fissure line due to tangential beam artifact, pleural thickening/folding or unlikely other.</t>
  </si>
  <si>
    <t>Echocardiography, ECG and blood pressure for further evaluation if no recently performed. Consider respiratory PCR panel, airway sampling, and fecal analysis/deworming for further evaluation if clinically indicated.  Routine blood work and urinalysis may be contributory.  Monitoring as directed or sooner if clinical signs acutely change, fail to improve or worsen.</t>
  </si>
  <si>
    <t xml:space="preserve">
1.The cardiac silhouette size is normal._x000D_
2.There is no evidence of ALVEOLAR PATTERN, PERIHILAR INFILTRATE or DYNAMIC AIRWAY COLLAPSE or BRONCHIECTASIS._x000D_
3.A minimal bronchial pattern has been detected.</t>
  </si>
  <si>
    <t>Three radiographs of the thorax, and three views of the abdomen are provided. Images dated 11/9/23 are available for comparison. Soft tissue opacity overlies the dorsal aspect of the caudal cervical trachea causing moderate narrowed tracheal lumen on the left lateral view. Tracheal position remains normal. There is no esophageal dilation. Small volume fat deposition in the cranial mediastinum on the VD projection, similar to the previous study. Mild age-related changes are present in the lungs. Small round increased opacity overlying the cranioventral thorax on the right lateral projection is a costochondral junction._x000D_
_x000D_
In the abdomen peritoneal and retroperitoneal detail is adequate. The gastrointestinal tract is mildly filled. As before, there is curved 5.3 x 2.1 cm soft tissue opacity immediately caudal to the stomach on the lateral views, possibly seen caudal to the greater curvature of the stomach on the VD projection. Several punctate nephroliths are likely incidental. No radiopaque cystic calculi. The vertebral endplates at L2-3 were suspect previously, with no appreciable abnormalities on this study. The L4-5 intervertebral disc space is narrowed, relatively similar to the previous study and of doubtful significance today.</t>
  </si>
  <si>
    <t>1. Dynamic cervical tracheal collapse, the most likely cause for coughing. No intrathoracic abnormalities._x000D_
2. Soft tissue contour in the cranial abdomen is concerning for a mass lesion, however is similar to the previous study therefore summating loops of bowel may be responsible for this appearance. No other intra-abdominal abnormalities.</t>
  </si>
  <si>
    <t>This patient may benefit from Cerenia administration and utilization of a body harness in place of a neck lead. If further evaluation of the abdomen is desired, ultrasound would be recommended.</t>
  </si>
  <si>
    <t xml:space="preserve">
1.Are respiratory signs present? If YES._x000D_
2.Are respiratory signs present? If NO._x000D_
3.MINIMAL TO MILD BRONCHOINTERSTITIAL PULMONRAY PATTERN; MILD PERIHILAR PATTERN._x000D_
4.Based on the AI airway/pulmonary findings, the probability of this patient having clinically detectable respiratory signs is LOW (25%)_x000D_
5.The cardiac silhouette size is normal._x000D_
6.There is no evidence of PLEURAL EFFUSION.</t>
  </si>
  <si>
    <t xml:space="preserve">Patient Name : Joy Tillett, Date of study: Aug 16, 2024
3 images are provided for review
Previous images dated [08/16/2024 Case#2736400] are available for comparison.
N.B. Patient age is listed as 10 months, but all physes included are closed.  
Bones/Joints:
Centered on the right mid-tibial diaphysis is a severely osteoproductive lesion.  Severe medullary sclerosis is present and ill-defined lucency superimposes over the mid-diaphysis of the right tibia.  Well-defined smooth or irregular, thick periosteal proliferation is medial/lateral and cranial/caudal to this site.  This lesion has a long zone of transition proximal and distally in the diaphysis.
The right stifle has no evidence of osteoarthrosis.  The right infrapatellar fat pad is well-defined.
The included right tarsus, metatarsus and digits are normal.  
Soft tissues:  The soft tissues surrounding the right mid-crus are moderate to severely enlarged, most severe medially and laterally.   The right popliteal lymph node is possibly bipartite or bilobed.  The remaining included soft tissues are normal.
</t>
  </si>
  <si>
    <t>1. Right mid-tibial diaphyseal osteoproductive lesion is most suspicious for evolving neoplasia such as atypical osteosarcoma, or unlikely other, or least likely osteomyelitis or other such as osteochondroma or other.  
2. Moderate to severe right crus soft tissue swelling due to local tibial lesion.
3. Possible right popliteal lymphadenomegaly versus normal variation or artifact.
- If present, consider reactive hyperplasia or evolving metastatic neoplasia.</t>
  </si>
  <si>
    <t>Consider bone biopsy, routine blood work, and thoracic/abdominal imaging, with/without right popliteal lymph node tissue sampling for further evaluation.  Empirical therapy and supportive care in the interim as needed.  Monitoring  as directed, or sooner if clinical signs acutely change, fail to improve or worsen.</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</si>
  <si>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NO._x000D_
4.The cardiac silhouette size is normal._x000D_
5.There is no evidence of PULMONARY NODULES._x000D_
6.Are respiratory signs present? If YES.</t>
  </si>
  <si>
    <t>A lateral radiograph of the thorax, lateral abdomen, and six views of the proximal pelvic limbs are provided. The cardiac silhouette and pulmonary vessels are normal size. There are no abnormalities in the pulmonary parenchyma. Increased opacity cranioventral to the heart is pleural fat deposition. Normal tracheal diameter. In the abdomen the gastrointestinal tract is minimally filled. There is no effusion. Normal-sized liver and spleen. One of the kidneys is visible and is normal size. No radiopaque urolithiasis. Ventral spondylosis deformans in the cranial lumbar spine is likely incidental. The coxofemoral joints are congruent. Pelvic limb musculature is mildly reduced on the left. Patellar location is normal. There is large volume fluid in the cranial aspect of the left stifle joint. The left tibia is cranially displaced with respect to the femoral condyles. Small curved lucency in the distal aspect of the left patella on the lateral views is incidental. There is small to moderate volume fluid in the right stifle, with no tibial displacement.</t>
  </si>
  <si>
    <t>1. Moderate left stifle effusion and radiographic drawer sign consistent with cranial cruciate ligament tear/rupture. This is the cause for lameness._x000D_
2. Mild to moderate right stifle effusion also consistent with cranial cruciate ligament insult._x000D_
3. Normal coxofemoral joints, abdomen, thorax.</t>
  </si>
  <si>
    <t>Recommend surgical stabilization of the left stifle. Stabilization of the right stifle may be necessary eventually. There is no contraindication for general anesthesia based on this study.</t>
  </si>
  <si>
    <t xml:space="preserve">
1.A severe alveolar pattern has been detected._x000D_
2.A severe interstitial to alveolar pattern has been detected._x000D_
3.A mild perihilar infiltrate and minimal bronchial pattern have been detected_x000D_
4.A concurrent minimal bronchial pattern has been detected._x000D_
5.Moderate dynamic airway disease has been detected._x000D_
6.Pleural fissure lines or moderate to severe pleural effusion has been detected. An overlying skin fold or in an obese animal, excessive pericardial fat could artifactually mimic the result of severe pleural effusion._x000D_
7.Mild cardiomegaly has been detected but Heart Failure is NOT suspected.</t>
  </si>
  <si>
    <t>Three radiographs of the thorax and of the abdomen are provided. Images dated January 18, 2024 are available for comparison. The cardiac silhouette are normal size and shape. A few incidental pulmonary osteomas is normal for the age of this patient. There is no soft tissue pulmonary nodules or pleural effusion. Normal tracheal diameter and cranial mediastinal width. Small round soft tissue densities to the right of the heart on the VD view are end-on-on pulmonary vessels. Broad-based 3.4 cm fat opaque thickening ventral to the caudal sternum is of uncertain significance._x000D_
_x000D_
In the abdomen the gastrointestinal tract is moderately filled. No radiopaque cystic calculi. There are punctate nephroliths, noted previously and of doubtful clinical significance. Normal size kidneys, spleen, liver. Well-defined round soft tissue opaque 4.4 cm mass in the superficial tissues dorsal to the cranial right lumbar spine. The coxofemoral joints are congruent.</t>
  </si>
  <si>
    <t>Right craniodorsal extra-abdominal mass, concerning for a soft tissue neoplasm. No intra-abdominal abnormalities, and the thorax is normal.</t>
  </si>
  <si>
    <t>There is no contraindication for general anesthesia based on this study, however if it was planned for today, consider either postponing anesthesia, or ensuring extubation with partial inflation of the endotracheal tube cuff given the current gastric contents.</t>
  </si>
  <si>
    <t>4 images of the thorax are presented for review.  The trachea is narrowed in the cervical region.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A triangular metallic structure is seen in the area of the left articular facets of L1-2.  A hemilaminectomy has been performed on the left T13-L1.</t>
  </si>
  <si>
    <t>Difficult tracheal narrowing consistent with tracheal collapse.  Radiographically normal thorax for patient of this age.  Metallic foreign body at L1-2.  Previous hemilaminectomy at T13-L1.</t>
  </si>
  <si>
    <t>Three radiographs of the neck/thorax are provided. There is mild left atrial and right heart enlargement. Subsequent dorsal deviation of the caudal thoracic trachea and mainstem bronchi. The left mainstem bronchus is compressed. The cranial lobar vein is larger than the artery on the right lateral view. A mild bronchial pattern is present throughout the lungs. No soft tissue pulmonary nodules or pleural effusion. Severe narrowed cervical trachea on the right lateral view, with moderate narrowed caudal cervical trachea on the left lateral projection. In the cranial abdomen the liver is mildly enlarged. Two metal opaque wire objects measuring up to 2.9 cm in the liver, and an additional 1.5 cm wire in the cranioventral peritoneal space is incidental chronic migrated gastric foreign material.</t>
  </si>
  <si>
    <t>1. Dynamic tracheal collapse, the most likely cause for coughing. Mild bronchial pattern may be normal age-related change versus allergic bronchitis, which could be contributing to the cough._x000D_
2. Mild left atrial and right heart enlargement consistent with acquired mitral and tricuspid valve disease. There is pulmonary venous congestion but no evidence of heart failure at this time. There is mainstem bronchial compression which could be contributing to the cough._x000D_
3. Mild hepatomegaly, a nonspecific finding that may be hepatopathy or venous congestion. Inflammation or neoplasia are given lesser consideration. This should be correlated with history under blood work.</t>
  </si>
  <si>
    <t>Recommend utilization of a body harness in place of a neck lead, and follow-up echocardiogram.</t>
  </si>
  <si>
    <t>Four radiographs of the thorax are provided. Images dated 1/20/24 were reviewed. There is mild left atrial and ventricular enlargement, a new development since the previous study. Subsequent dorsal deviation of the thoracic trachea and mainstem bronchi. Mild mainstem bronchial compression. Cranial pulmonary vessels are normal size. There is a moderate interstitial pattern in the right perihilar region. No pleural effusion. Mild narrowed trachea at the thoracic inlet. The cranial abdomen is unremarkable.</t>
  </si>
  <si>
    <t>Mild left-sided cardiomegaly, a new development that is consistent with acquired mitral valve disease. There is mild pulmonary edema indicating left-sided cardiac decompensation. Mainstem bronchial compression is likely contributing to the cough. Possible dynamic caudal cervical tracheal collapse as well.</t>
  </si>
  <si>
    <t>Recommend diuretic administration and follow-up echocardiogram.</t>
  </si>
  <si>
    <t xml:space="preserve">
1.MINIMAL to MILD BRONCHOINTERSTITIAL PULMONARY PATTERN; MILD DYNAMIC AIRWAY DISEASE; MILD PERIHILAR INFILTRATE._x000D_
2.Based on these AI airway/pulmonary findings, the probability of this patient having clinically detectable respiratory signs is LOW to MEDIUM (25-50%)_x000D_
3.Are respiratory signs present? If YES._x000D_
4.Are respiratory signs present? If NO._x000D_
5.Moderate cardiomegaly has been detected but Heart Failure is NOT suspected._x000D_
6.There is no evidence of PULMONARY NODULES or PLEURAL EFFUSION.</t>
  </si>
  <si>
    <t>Three radiographs of the thorax and two views of the abdomen dated August 15, 2024, and repeat thoracic radiographs dated August 16, 2024 are provided. On August 15, the left atrium appears prominent on the right lateral view but is not confirmed on the other two projections. Pulmonary vessels are normal size. There are no abnormalities in the pulmonary parenchyma. Adequate tracheal diameter. No esophageal dilation. Normal laryngeal region. In the abdomen the liver is upper normal size. Normal sized spleen. The kidneys are incompletely visible. The gastrointestinal tract is moderately filled. No radiopaque urolithiasis. The T11-12 intervertebral disc space is narrowed, of doubtful significance today. Thickened left femoral neck._x000D_
_x000D_
On August 16, there is soft tissue opacity with air bronchograms in the caudodorsal lungs bilaterally, with small areas of severe interstitial to alveolar infiltrates in the ventral lungs. No pleural effusion. The left auricle is prominent on the VD projection, but may be exaggerated by rotation. No cardiac silhouette enlargement on the lateral views. No pleural effusion. Normal tracheal diameter. On both of the lateral views there is suspect thickened soft tissue opacity cranial to the ventral larynx. This is not seen on the previous study.</t>
  </si>
  <si>
    <t>1. Alveolar pattern, worst in the caudodorsal lungs, with equivocal enlarged left auricle on the 2nd study. Acute cardiac decompensation secondary to chordae tendineae rupture is possible. Noncardiogenic pulmonary edema (hyperthermia, head trauma, seizure activity, upper airway obstruction, electrocution), or hemorrhage are also possible._x000D_
2. The appearance of the laryngeal region may be artifact due to positioning material/neck harness. True thickening secondary to an inflammatory process, polyp, or neoplasia is not ruled out._x000D_
3. Normal abdomen.</t>
  </si>
  <si>
    <t>Recommend a CBC, blood chemistry profile, diuretic administration, visual inspection of the pharyngeal/laryngeal region, and medical support. Rapid improvement following diuretics would be supportive of cardiac decompensation, and follow-up echocardiogram would be recommended.</t>
  </si>
  <si>
    <t xml:space="preserve">Patient Name : rocky forcione, Date of study: Aug 16, 2024
4 images are provided for review
Canine Thorax (4 Images) - 3 Lateral, 1 Vd
Previous images dated [08/12/2024 Case#2733274] are available for comparison.  Significant motion artifact in one lateral image.  
Pulmonary parenchyma: A minimal to mild diffuse bronchial pattern is present.  Few small mineral foci are over the cranioventral aspect of the lungs.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A well-defined metal foreign body is in the left dorsolateral extra-cervical soft tissues.  The remaining included musculoskeletal structures are normal.
</t>
  </si>
  <si>
    <t>1. Minimal-mild diffuse bronchial pulmonary pattern.
- Differential diagnoses include fibrosis from prior disease, age-related changes, or unlikely infectious/immune-mediated lower airway disease or other.
2. Presumed benign pulmonary osteomas.
3. No obvious pulmonary soft tissue nodules or intra-thoracic lymphadenomegaly.</t>
  </si>
  <si>
    <t>Consider respiratory PCR panel, airway sampling, and fecal analysis for further evaluation if clinically indicated.  Empirical therapy and supportive care in the interim as needed.  Monitoring as directed or sooner if clinical signs acutely change, fail to improve or worsen.</t>
  </si>
  <si>
    <t>3 images of the spine are provided for review.  No fractures or aggressive osseous lesions are seen.  The patellae are medially located.  The coxofemoral joints are congruent.  No mineralized intervertebral discs or consistently narrowed intervertebral disc spaces are seen.  The soft tissue structures included are normal.</t>
  </si>
  <si>
    <t>Bilateral medial patellar luxation.  Radiographically normal spine.  This does not rule out intervertebral disc herniation or other causes of spinal cord compression.</t>
  </si>
  <si>
    <t xml:space="preserve">
1.The cardiac silhouette size is normal._x000D_
2.There is no evidence of BRONCHITIS, DYNAMIC AIRWAY COLLAPSE or BRONCHIECTASIS or PULMONARY NODULES._x000D_
3.A moderate interstitial to alveolar pattern has been detected._x000D_
4.A minimal perihilar infiltrate has been detected.</t>
  </si>
  <si>
    <t xml:space="preserve">Patient Name : Sayler Cameron, Date of study: Aug 15, 2024
3 images are provided for review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</si>
  <si>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Minimal diffuse bronchial pulmonary pattern such as from infectious/immune-mediated lower airway disease (mycoplasma spp., bordetella spp., parasitism, or other), or inhaled allergen/irritant or less likely fibrosis from prior disease or other.
</t>
  </si>
  <si>
    <t>Consider respiratory PCR panel, airway sampling, and fecal analysis for further evaluation.  Empirical therapy and supportive care in the interim as needed. Monitoring as directed or sooner if clinical signs acutely change, fail to improve or worsen.</t>
  </si>
  <si>
    <t>3 views of the thorax are provided for review.  The trachea is dorsally deviated, indicating left ventricular enlargement.  A bulge is present in the region of the left atrium.  No pulmonary infiltrates are seen.  The pulmonary vasculature is normal in size.  The cervical trachea is narrowed.  The mediastinal and pleural structures are normal.  Cranial abdominal detail is adequate.</t>
  </si>
  <si>
    <t>Left-sided cardiomegaly without current evidence of cardiogenic pulmonary edema.  Echocardiography may be helpful in further evaluation.  Tracheal narrowing suggestive of tracheal collapse.  Fluoroscopy or bronchoscopy could be considered.</t>
  </si>
  <si>
    <t xml:space="preserve">
1.Severe cardiomegaly has been detected but Heart Failure is NOT suspected._x000D_
2.Are respiratory signs present? If YES._x000D_
3.Are respiratory signs present? If NO._x000D_
4.MILD BRONCHOINTERSTITIAL PULMONARY PATTERN WITH ATELECTASIS or LESS LIKELY, PNEUMONIA, MILD PERIHILAR INFILTRATE._x000D_
5.Probability these AI pulmonary findings will accompany clinically detectable respiratory signs: MILD TO MODERATE (25-50%)</t>
  </si>
  <si>
    <t>Patient Name: Hondo Schrum, Date of study: Aug 15, 2024
Thorax: 5 images are provided for review (3 lateral, 2 VD). 
There are no previous radiographs for comparison.
Findings:
The patient is intubated, an endotracheal tube terminates at the level of the thoracic inlet.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intrathoracic esophagus is diffusely gas-filled.
Cranial abdomen: The cranial abdomen is unremarkable.
Musculoskeletal: The included skeletal and superficial soft tissue structures of the study are normal.</t>
  </si>
  <si>
    <t>1. Normal cardiovascular structures. A cause for raspy and heavy breathing is not identified. Chronic bronchitis cannot be excluded as this may have a normal radiographic appearance. Differentials for chronic bronchitis include allergic, infectious/inflammatory, parasitic, and irritant etiologies. Laryngeal paralysis is also considered.
2. The intrathoracic esophagus is gas-filled. This is most likely associated with general anesthesia in the absence of vomiting/regurgitation. Megaesophagus, esophagitis are considered less likely but are not ruled out.</t>
  </si>
  <si>
    <t>-Recheck three-view thoracic radiographs could be considered when the patient is awake to confirm the esophagus is normal and nongas-filled.
-Airway sampling could be considered if chronic bronchitis is clinically suspected (respiratory PCR, lavage, wash).
-A sedated laryngeal exam is recommended if not already performed.</t>
  </si>
  <si>
    <t>Study:_x000D_
Thoracic and abdominal radiography: six images dated April 15, 2024_x000D_
_x000D_
Findings:_x000D_
The cardiac silhouette and pulmonary vasculature are normal in size. Incidental platelike atelectasis is present in the craniodorsal lung field on the right lateral projection The pulmonary parenchyma is otherwise unremarkable. The pleural space is normal. There is no intrathoracic lymphadenopathy. The trachea is normal in diameter and course. The abdominal serosal detail is adequate. The stomach contains a small volume of gas with the pylorus appropriately gas-filled on the left lateral image. The small intestines are normal in size, course and content. The colon contains formed fecal material. The liver is normal in size and margin. The tail the spleen is mildly to moderately enlarged with smooth margins. On the left lateral projection, there are indistinct round soft tissue opaque bulge is from the dorsal and ventral margins of the tail the spleen. The renal silhouettes are normal in size and contour. The urinary bladder is normal in size and opacity. There is no prostatomegaly. There is variable mild to severe multifocal thoracolumbar and lumbosacral spondylosis deformans. There is severe L2-L3 and L3-L4 articular facet periarticular bone formation. Mild periarticular bone formation is present at the caudodistal aspect of the humeral head bilaterally. There multiple metallic ballistics present in the subcutaneous and/or superficial soft tissues. There is a lipomatous mass in the subcutaneous tissues of the mid-ventral abdomen.</t>
  </si>
  <si>
    <t>1. Splenomegaly with suspected splenic nodules. Rule out extramedullary hematopoiesis, lymphoid hyperplasia or neoplasia. Sonography can be considered for further evaluation._x000D_
2. The remainder the abdomen is unremarkable._x000D_
3. Unremarkable thorax. There is no radiographic evidence of cardiopulmonary or metastatic disease._x000D_
4. Mild bilateral shoulder osteoarthrosis._x000D_
5. Severe L2-L3 and L3-L4 articular facet osteoarthrosis.</t>
  </si>
  <si>
    <t>Study:_x000D_
Thoracic radiography: three images dated August 15, 2024_x000D_
_x000D_
Compared to prior study dated April 8, 2022_x000D_
_x000D_
Findings:_x000D_
There is (new) moderate to severe left ventricular, left auricular and left atrial enlargement.  The enlarged left atrium could give the false impression of a pulmonary mass caudal to the carina on the lateral projections. The pulmonary vasculature is normal in size. As previously noted, there is incidental age-related bronchial wall mineralization. Some of the lobar bronchi appear dilated as they approach the periphery of the lung lobes. There is a similar diffuse bronchointerstitial pulmonary pattern. There is a thin pleural fissure line in the left fourth intercostal space on the VD view. There is no apparent intrathoracic lymphadenopathy. The trachea is normal in diameter. There is no lobar bronchi narrowing. The included abdomen is unremarkable. Mild periarticular bone formation is present at the caudodistal aspect of the humeral head bilaterally.</t>
  </si>
  <si>
    <t>1. Multifocal bronchiectasis is suspected. Given this finding, the diffuse bronchointerstitial pulmonary pattern could indicate chronic allergic or inflammatory lower airway disease. Consider airway sampling for further evaluation._x000D_
2. Moderate to severe left-sided cardiomegaly, suggestive of mitral valve disease, without evidence of decompensation. Echocardiography should be considered for further evaluation._x000D_
3. There is no radiographic evidence of intrathoracic neoplasia._x000D_
4. The thin pleural fissure lines seen in the left hemithorax on the VD view may represent pleural thickening or incidental tangential visualization. Trace pleural effusion cannot be excluded but is considered less likely._x000D_
5. Mild bilateral shoulder osteoarthrosis.</t>
  </si>
  <si>
    <t xml:space="preserve">
1.The evaluation has a strong suspicion of pulmonary nodules or mass lesion being present._x000D_
2.There is no evidence of PERIHILAR INFILTRATE or DYNAMIC AIRWAY COLLAPSE or BRONCHIECTASIS._x000D_
3.A moderate interstitial to alveolar pattern has been detected._x000D_
4.Pleural fissure lines or small volume pleural effusion has been detected. In a mildly overweight animal, excessive pericardial fat can artifactually mimic the result of minimal pleural effusion._x000D_
5.Moderate cardiomegaly has been detected but Heart Failure is NOT suspected.</t>
  </si>
  <si>
    <t>Seven survey radiographs of the skull and 3 orthogonal thoracic radiographs dated 15th August 2024 are available for review. These images are submitted for assessment of the skull._x000D_
_x000D_
Skull: There is permeative and moth-eaten lysis of the mid and caudal aspect of the right ramus of the mandible. The 407,408,409 and 410 teeth are missing. There is only mild associated soft tissue swelling. The contralateral mandible is normal. The maxilla is normal. The visible nasal passages and frontal sinus complex are normal. Both temporomandibular joints and tympanic bulla are normal.</t>
  </si>
  <si>
    <t>1. Monostotic aggressive mainly lytic bone lesion of right ramus of the mandible.  No evidence of pathologic fracture on views provided. Extended transitional zone, cortical destruction, and active periosteal reaction most concerning for primary bone neoplasia (osteosarcoma). A dental origin tumour, or soft issue neoplasm is considered unlikely. Osteomyelitis secondary to severe dental disease is possible.</t>
  </si>
  <si>
    <t>Fine needle aspirate of the lesion or surrounding soft-tissues vs. bone biopsy are recommended for definitive diagnosis. FNA of the submandibular lymph nodes is advised. thoracic radiographs are indicated to evaluate for metastasis given aggressive appearance and age. Consultation with oncologic surgery based on results.</t>
  </si>
  <si>
    <t xml:space="preserve">
1.A severe alveolar pattern has been detected._x000D_
2.The evaluation has a strong suspicion of pulmonary nodules or mass lesion being present._x000D_
3.The cardiac silhouette size is normal._x000D_
4.There is no evidence of DYNAMIC AIRWAY COLLAPSE or BRONCHIECTASIS.</t>
  </si>
  <si>
    <t>Study:_x000D_
Thoracic and abdominal radiography: six images dated August 15, 2024_x000D_
_x000D_
Findings:_x000D_
There is mild to moderate left ventricular , left auricular and left atrial enlargement. The pulmonary vasculature is normal in size. The pulmonary parenchyma is unremarkable. The pleural space is normal. There is no intrathoracic lymphadenopathy. The trachea is normal in diameter. The abdominal serosal detail is normal. The stomach contains a small volume of gas. The small intestines are normal in size, course and content. The colon contains a small volume of gas with a normal diameter. The liver and spleen are normal in size and margin. The renal silhouettes are normal in size and contour. At least 10 mineral opaque calculi measuring up to 3.5 cm are present in the urinary bladder. No calculi are present in the region of the urethra. The uterus is not visualized. There is narrowing of the L3-L4 intervertebral disc space with moderate spondylosis deformans. There is severe bilateral hip dysplasia and remodeling/thickening of the femoral head and neck.</t>
  </si>
  <si>
    <t>1. Cystolithiasis. Recommend urinalysis for further evaluation. Consider cystotomy cystotomy._x000D_
2. There is no radiographic evidence of uterine dilation. This does not exclude the possibility of open pyometra. Abdominal sonography can be considered to further evaluate the reproductive tract._x000D_
3. Mild to moderate left-sided cardiomegaly, suggestive of mitral valve disease, without evidence of decompensation. Echocardiography should be considered for further evaluation._x000D_
4. Severe bilateral hip dysplasia and coxofemoral osteoarthrosis._x000D_
5. L3-L4 intervertebral disc disease.</t>
  </si>
  <si>
    <t xml:space="preserve">
1.A mild interstitial pattern has been detected._x000D_
2.Minimal cardiomegaly has been detected but Heart Failure is NOT suspected._x000D_
3.There is no evidence of DYNAMIC AIRWAY COLLAPSE or BRONCHIECTASIS or PULMONARY NODULES._x000D_
4.A mild perihilar infiltrate has been detected.</t>
  </si>
  <si>
    <t>Study:_x000D_
Thoracic radiography: right lateral and orthogonal views (two images) dated August 15, 2024_x000D_
_x000D_
Findings:_x000D_
The cardiac silhouette and pulmonary vasculature are normal in size. There is a mild generalized bronchointerstitial pulmonary pattern. No pulmonary nodules or masses are present. The pleural space is normal. There is no intrathoracic lymphadenopathy. The trachea is normal in diameter and course. The included abdomen is unremarkable. There is mild to moderate multifocal thoracolumbar spondylosis deformans. There is a nodule in the subcutaneous tissues adjacent to the right seventh rib on the VD view. The adjacent rib is normal.</t>
  </si>
  <si>
    <t>1. The diffuse bronchointerstitial pulmonary pattern is a nonspecific finding. In the absence of any respiratory signs come of this would be considered a benign age-related change. Allergic, inflammatory, infectious, inhaled irritant or parasitic bronchitis are possible given the reported coughing but considered less likely. Airway sampling plus/minus heartworm testing and Baermann fecal flotation can be considered to further evaluate for lower airway disease. Laryngeal paralysis should also be considered as a potential cause of the respiratory signs given patient signalment._x000D_
2. Right lateral thoracic subcutaneous nodule. Rule out benign or malignant neoplasia, cyst or granuloma.</t>
  </si>
  <si>
    <t>Study:_x000D_
Thoracic radiography: right lateral and orthogonal views (two images dated August 15, 2024_x000D_
_x000D_
Findings:_x000D_
There is mild generalized cardiomegaly (VHS approximately 11.75) with the cardiac silhouette appearing wide on the lateral view with increased sternal contact. The only vasculature is normal in size. The pulmonary parenchyma is unremarkable. The pleural space is normal. There is no intrathoracic lymphadenopathy. The trachea is normal in diameter. The included abdomen is unremarkable. There is narrowing of the T9-T 10 and T 13-L1 intervertebral disc spaces with mild to moderate spondylosis deformans. There is also moderate spondylosis deformans at L1-L2 without intervertebral disc space narrowing. Mild periarticular bone formation is present at the caudodistal aspect the humeral head bilaterally.</t>
  </si>
  <si>
    <t>1. Mild generalized cardiomegaly without evidence of decompensation. Rule out mild dilated cardiomyopathy (given patient prior history) versus degenerative valve disease. Repeat echocardiography should be considered._x000D_
2. Chronic T9-T 10 and T 13-L1 intervertebral disc disease._x000D_
3. Mild bilateral shoulder osteoarthrosis.</t>
  </si>
  <si>
    <t xml:space="preserve">
1.MILD BRONCHOINTERSTITIAL PULMONARY PATTERN; MINIMAL DYNAMIC AIRWAY DISEASE._x000D_
2.MILD BRONCHOINTERSTITIAL PULMONARY PATTERN; MINIMAL PERIHILAR PATTERN._x000D_
3.Based on the AI airway/pulmonary findings, the probability of this patient having clinically detectable respiratory signs is LOW (25%)_x000D_
4.The cardiac silhouette size is normal._x000D_
5.Based on these AI airway/pulmonary findings, the probability of this patient having clinically detectable respiratory signs is LOW to MEDIUM (25-50%)_x000D_
6.In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7.Are respiratory signs present? If YES._x000D_
8.In the PRESENCE of respiratory signs, low grade active pneumonitis (allergic, bacterial, parasitic (including heartworm disease), inhaled allergen or toxin) or upper airway disease causing pulmonary hypoinflation and/or recurrent microaspiration may be more likely._x000D_
9.Are respiratory signs present? If NO.</t>
  </si>
  <si>
    <t>Study:_x000D_
Thoracic radiography: four images dated August 15, 2024_x000D_
_x000D_
Findings:_x000D_
There is moderate generalized cardiomegaly with the cardiac silhouette appearing wide on all projections (VHS approximately 12.5). The pulmonary vasculature is normal in size. There is a mild to moderate generalized bronchial pulmonary pattern. The pleural space is normal. There is no intrathoracic lymphadenopathy. The trachea is normal in diameter. The liver extends mildly beyond the costal arch with smooth and sharp margins. Mild periarticular bone formation is present at the caudodistal aspect the humeral head and infraglenoid tubercle of the scapula bilaterally. There is mild T5-T6 spondylosis deformans.</t>
  </si>
  <si>
    <t>1. Moderate generalized cardiomegaly without evidence of decompensation. Rule out a cardiomyopathy (e.g. DCM) or degenerative valve disease. Echocardiography can be considered for further evaluation._x000D_
2. The mild to moderate generalized bronchial pulmonary pattern may indicate allergic, inflammatory, infectious, parasitic or irritant bronchitis. Airway sampling, heartworm testing and Baermann fecal flotation can be considered for further evaluation._x000D_
3. The generalized hepatomegaly is nonspecific. Rule out metabolic/vacuolar hepatopathy, hyperplasia, hepatitis or infiltrative neoplasia. Sonography can be considered for further evaluation._x000D_
4. Mild bilateral shoulder osteoarthrosis.</t>
  </si>
  <si>
    <t xml:space="preserve">
1.Minimal cardiomegaly has been detected but Heart Failure is NOT suspected._x000D_
2.Pleural fissure lines or moderate to severe pleural effusion has been detected. An overlying skin fold or in an obese animal, excessive pericardial fat could artifactually mimic the result of severe pleural effusion._x000D_
3.MODERATE INTERSTITIAL TO ALVEOLAR INFILTRATE; MILD BRONCHIAL PATTERN; MILD PERIHILAR INFILTRATE._x000D_
4.Based on these AI airway/pulmonary findings,  the probability of this patient having clinically detectable respiratory signs is HIGH (75%)_x000D_
5.Are respiratory signs present? If YES._x000D_
6.Are respiratory signs present? If NO.</t>
  </si>
  <si>
    <t>Study:_x000D_
Thoracic radiography: five images dated August 15, 2024_x000D_
_x000D_
Findings:_x000D_
The cardiac silhouette and pulmonary vasculature are normal in size. The pulmonary parenchyma is unremarkable. The pleural space is normal. There is no intrathoracic lymphadenopathy. The larynx is unremarkable. The trachea is normal in diameter and course. The stomach and some small intestinal segments contain unstructured heterogeneous/granular soft tissue material presumed to be ingesta. The included abdomen is otherwise unremarkable. No skeletal abnormalities are present._x000D_
_x000D_
Human digits are present in the primary beam on the left lateral view.</t>
  </si>
  <si>
    <t>Normal thorax.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 Sedated laryngeal exam, airway sampling plus/minus heartworm testing and Baermann fecal flotation can be considered to further evaluate the reported coughing.</t>
  </si>
  <si>
    <t xml:space="preserve">
1.In the PRESENCE of respiratory signs, low grade active pneumonitis (allergic, bacterial, parasitic (including heartworm disease), inhaled allergen or toxin) or upper airway disease causing pulmonary hypoinflation and/or recurrent microaspiration may be more likely._x000D_
2.MILD BRONCHOINTERSTITIAL PULMONARY PATTERN; MINIMAL to MILD PERIHILAR PATTERN._x000D_
3.Based on the AI airway/pulmonary findings, the probability of this patient having clinically detectable respiratory signs is LOW (25%)_x000D_
4.In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5.The cardiac silhouette size is normal._x000D_
6.There is no evidence of PULMONARY NODULES.</t>
  </si>
  <si>
    <t>Study:_x000D_
Thoracic and abdominal radiography: six images dated August 15, 2024_x000D_
_x000D_
Findings:_x000D_
The cardiac silhouette is normal in size and shape. There is a large (approximately 9 cm) lobulated soft tissue opaque mass in the right caudal lung lobe. The mass approaches the periphery of the lung lobe. There is a mild to moderate diffuse bronchointerstitial pulmonary pattern. Numerous punctate mineral opacities consistent with incidental pulmonary osteomas are scattered throughout the pulmonary parenchyma. The pleural space is normal. There is no apparent intrathoracic lymphadenopathy. The trachea is normal in diameter. The abdominal serosal detail is adequate. The stomach contains gas with the pylorus probably gas-filled on the left lateral image. The small intestines are normal in size, course and content. The colon contains a small amount of formed fecal material and granular mineral. The liver is normal in size and margin. The spleen is moderately enlarged with smooth margins. The renal silhouettes are normal in size and contour. The urinary bladder is normal in size and opacity. There is no prostatomegaly. Mild to moderate periarticular information is present at the caudodistal aspect of the humeral head and infraglenoid process of the scapula bilaterally. There is mild T5-T6 and T9-T 10 spondylosis deformans.</t>
  </si>
  <si>
    <t>1. Right caudal lung lobe mass. Primary pulmonary neoplasia (carcinoma) is prioritized. As the mass appears to extend to the periphery of the lung lobe, thoracic sonography and tissue sampling can be considered for further evaluation._x000D_
2. The diffuse bronchointerstitial pulmonary pattern is likely a benign age-related change. Allergic, inflammatory, infectious, inhaled irritant or parasitic bronchitis cannot be completely excluded._x000D_
3. Incidental pulmonary osseous metaplasia._x000D_
4. The generalized splenomegaly is nonspecific. Rule out extramedullary hematopoiesis, lymphoid hyperplasia, splenitis, congestion (of higher priority if sedated for radiographs) or infiltrative neoplasia. Sonography can be considered for further evaluation._x000D_
5. Mild to moderate bilateral shoulder osteoarthrosis.</t>
  </si>
  <si>
    <t>Neurology consultation and MRI can be considered for further evaluation of the reported seizures.</t>
  </si>
  <si>
    <t xml:space="preserve">
1.A severe alveolar pattern and mild perihilar pattern have been detected._x000D_
2.The evaluation has a strong suspicion of pulmonary nodules or mass lesion being present._x000D_
3.The cardiac silhouette size is normal._x000D_
4.There is no evidence of DYNAMIC AIRWAY COLLAPSE or BRONCHIECTASIS._x000D_
5.Pleural fissure lines or moderate to severe pleural effusion has been detected. An overlying skin fold or in an obese animal, excessive pericardial fat could artifactually mimic the result of severe pleural effusion.</t>
  </si>
  <si>
    <t>Study:_x000D_
Thoracic and abdominal radiography: four images dated August 15, 2024_x000D_
_x000D_
Findings:_x000D_
The cardiac silhouette and pulmonary vasculature are normal in size. On the left lateral view, there is a 1.7 cm bulla superimposed with the heart base. This finding is not seen on the orthogonal view The pulmonary parenchyma is otherwise unremarkable. The pleural space is normal. There is no intrathoracic lymphadenopathy. The larynx is unremarkable. The trachea is normal in diameter and course. The stomach contains heterogeneous soft tissue material presumed to be ingesta. The small intestines are normal in size and course. The colon contains formed fecal material with interspersed granular mineral. The liver and spleen are normal in size and margin. The renal silhouettes are normal in size and contour. Both contain multiple small mineral opacities. On the left lateral thoracic, there is a mineral opacity in the retroperitoneal space ventral to L4. There is a mineral opacity is poorly visualized superimposed with a bowel loop in the same region on the right lateral projection of the abdomen. The urinary bladder is normal in size and opacity. No mineral opaque calculi present in the bladder or region the urethra. There is no prostatomegaly. The right 13th rib is hypoplastic. There is narrowing of the T 12-T 13 through L1-L2 intervertebral disc spaces. There is mild spondylosis deformans from T 12 to L2.</t>
  </si>
  <si>
    <t>1. Normal thorax.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 Sedated laryngeal exam, fluoroscopy, airway sampling plus/minus heartworm testing and Baermann fecal flotation can be considered to further evaluate the reported coughing._x000D_
2. Bilateral nephrolithiasis and/or nephrocalcinosis. A ureterolith (laterality indeterminate) is also suspected. There are no cystoliths. Consider abdominal sonography for further evaluation._x000D_
3. T 12-T 13 through L1-L2 intervertebral disc disease.</t>
  </si>
  <si>
    <t xml:space="preserve">
1.Minimal cardiomegaly has been detected but Heart Failure is NOT suspected._x000D_
2.There is no evidence of PERIHILAR INFILTRATE._x000D_
3.A minimal interstitial pulmonary and concurrent, mild dynamic airway disease have been detected._x000D_
4.Mild dynamic airway disease has been detected.</t>
  </si>
  <si>
    <t>Three radiographs of the thorax are provided. There is moderate generalized cardiac silhouette enlargement. The cranial lobar vein is larger than the artery. The right caudal lobar artery is enlarged. There is poor visibility of left perihilar pulmonary vessels. The caudal thoracic trachea and mainstem bronchi are deviated dorsally and compressed by the enlarged heart. No pleural effusion. Normal cranial abdomen.</t>
  </si>
  <si>
    <t>Moderate generalized cardiomegaly consistent with acquired mitral and tricuspid valve disease. There is pulmonary venous congestion and mild pulmonary edema indicating left-sided heart failure. Caudal thoracic tracheal and mainstem bronchial compression is likely contributing to the cough.</t>
  </si>
  <si>
    <t>Treatment for heart failure is recommended, with follow-up echocardiogram to help guide treatment.</t>
  </si>
  <si>
    <t xml:space="preserve">
1.SEVERE INTERSTITIAL TO ALVEOLAR PATTERN; MODERATE BRONCHIAL PATTERN; SEVERE DYNAMIC AIRWAY DISEASE._x000D_
2.Based on these AI airway/pulmonary findings, the probability of this patient having clinically detectable respiratory signs is VERY HIGH (&gt;75%)_x000D_
3.Are respiratory signs present? If YES._x000D_
4.Are respiratory signs present? If NO._x000D_
5.A moderate perihilar infitlrate has been detected._x000D_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</si>
  <si>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Four orthogonal thoracic radiographs dated 15th August 2024 are available for review. There are no previous radiographs available for comparison. _x000D_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</si>
  <si>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1. Normal cardiac silhouette._x000D_
2.Diffuse mild bronchial pattern: Primary consideration should be given to normal ageing. Allergic bronchitis, chronic bacterial /viral bronchitis +/- parasitic bronchitis is possible. Less likely are heart worm, hyperardenocorticism, neoplasia (such a lymphoma) or idiopathic pulmonary fibrosis.</t>
  </si>
  <si>
    <t>In absence of any murmur, consider other causes for hypertension. If a murmur or exercise intolerance is present, consider ECG and echocardiography.</t>
  </si>
  <si>
    <t>6 views of the thorax and abdomen are submitted for review.  The cardiac silhouette and pulmonary vasculature are within normal limits.  No pulmonary parenchymal abnormalities are seen.  No pleural effusion or intrathoracic lymphadenopathy is noted.  The trachea is normal._x000D_
In the abdomen, the stomach contains a moderate amount of food-like material.  The small bowel contains a mild amount of ingesta and gas without dilation or plication.  A mild amount of stool is noted in the colon.  The liver and spleen are normal in size, shape, and margination.  The bilateral renal silhouettes are within normal limits.  The urinary bladder is unremarkable.  Serosal detail is normal.  Moderate spondylosis deformans is noted in the caudal thoracic and cranial lumbar spine.  No aggressive bony changes are seen.</t>
  </si>
  <si>
    <t>Radiographically normal thorax and abdomen.  Acute infectious or allergic/immune mediated inflammatory airway disease could be considered.</t>
  </si>
  <si>
    <t xml:space="preserve">
1.The cardiac silhouette size is normal._x000D_
2.There is no evidence of BRONCHITIS, PERIHILAR INFILTRATE or DYNAMIC AIRWAY COLLAPSE or BRONCHIECTASIS._x000D_
3.A mild interstitial to alveolar pattern has been detected.</t>
  </si>
  <si>
    <t>Study:_x000D_
Thoracic radiography: right lateral and orthogonal images (two images) dated August 15, 2024_x000D_
_x000D_
Findings:_x000D_
The cardiac silhouette is normal in size and shape. The pulmonary parenchyma is unremarkable. A thin pleural fissure line is in the right sixth intercostal space on the VD view. There is no intrathoracic lymphadenopathy. There is gas dilation of laryngeal saccules on the lateral projection. The patient has a redundant dorsal tracheal membrane. The tracheal diameter is normal. There is no apparent lobar bronchi narrowing. The stomach contains heterogeneous soft tissue material presumed to be ingesta. The osseous structures are unremarkable. There is a small lipomatous mass in the subcutaneous tissues of the cranioventral abdomen._x000D_
_x000D_
A human digit is present in the primary beam on the right lateral view.</t>
  </si>
  <si>
    <t>1. Gas dilation of the laryngeal saccules can be an indicator of laryngeal paralysis. Sedated laryngeal exam can be considered for further evaluation._x000D_
2. Normal diameter of the trachea does not exclude the possibility of dynamic airway disease. Fluoroscopy can be considered to further evaluate for worsening of the previously diagnosed tracheal collapse._x000D_
3. Normal thorax. There is no radiographic evidence of cardiopulmonary disease.</t>
  </si>
  <si>
    <t xml:space="preserve">
1.MILD BRONCHIAL PATTERN; MINIMAL DYNAMIC AIRWAY DISEASE._x000D_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ALVEOLAR PATTERN, PERIHILAR INFILTRATE, PULMONARY NODULES or PLEURAL EFFUSION.</t>
  </si>
  <si>
    <t>4 views of the thorax are submitted for review.  The cardiac silhouette is subjectively normal in size and shape.  The pulmonary vasculature is not overtly enlarged.  Mild bronchointerstitial markings are noted throughout the lung fields.  No pleural effusion or intrathoracic lymphadenopathy is noted.  A mild amount of gas is noted throughout the intrathoracic esophagus.  The trachea is normal in diameter.  The visible cranial abdomen and skeletal structures are unremarkable.</t>
  </si>
  <si>
    <t>The appearance of the lung fields is nonspecific and consistent with chronic inflammation or possibly incidental age-related change.  Occult heartworm disease cannot be excluded.  The gas in the intrathoracic esophagus is somewhat nonspecific but could be indicative of occult esophageal dysfunction, possibly associated with laryngeal paralysis, neurologic disease, or metabolic disease including hypoadrenocorticism.</t>
  </si>
  <si>
    <t>Correlation with a chemistry and CBC is recommended if not already performed.  Correlation with Heartworm status should be considered.  Given the history of a head tilt, underlying central nervous system disease is possible and cross-sectional imaging of the skull may be indicated.</t>
  </si>
  <si>
    <t xml:space="preserve">Patient Name : Paco Sigmon, Date of study: Aug 15, 2024
8 images are provided for review
There are no previous radiographs for comparison.
Bones/Joints:
T6-7 spondylosis deformans is suspected in the left lateral image.
A dens is present.  There is no evidence of atlantoaxial joint subluxation.
There is no evidence of intervertebral disc space narrowing, or mineral over the intervertebral foramina.  There is no evidence of intervertebral dorsal articulation osteoarthrosis.
There is no evidence of medullary sclerosis, osteolysis, endosteal scalloping, or periosteal proliferation.
Soft tissues:  The included soft tissues are normal.
</t>
  </si>
  <si>
    <t>1. No obvious evidence of atlantoaxial subluxation.
2. No obvious intervertebral disc disease on this examination.
3. T6-7 spondylosis deformans is suspected.</t>
  </si>
  <si>
    <t>Etiology of possible neck pain is not definitively identified.  This does not rule out herniating non-mineralized disc material or other myelopathy/myelitis contributing to clinical signs.  Consider neurologist consultation and MRI for further evaluation if clinical signs persist or worsen in the face of empirical therapy and supportive care.  Routine blood work if not recently performed. 
 Monitoring as directed, or sooner if clinical signs acutely change, fail to improve or worsen.</t>
  </si>
  <si>
    <t>A three view study of the thorax is provided for interpretation._x000D_
_x000D_
Heart size is borderline, at the upper limit of acceptable range to slightly enlarged. The shape of the heart is normal. No pulmonary vascular abnormalities are seen. Bronchial markings are mildly increased, but within the limits of age related change._x000D_
 There is severe dynamic narrowing of the cervical trachea. No esophageal abnormalities are identified._x000D_
_x000D_
The cranial abdominal organs are within normal limits.</t>
  </si>
  <si>
    <t>Collapsing trachea is suspected to be responsible for the cough._x000D_
_x000D_
Heart size is borderline. This may be normal for this patient in the absence of our murmur._x000D_
No significant pulmonary abnormalities are identified.</t>
  </si>
  <si>
    <t>Symptomatic therapy for the cough is recommended._x000D_
_x000D_
Consultation with an internal medicine specialist regarding tracheal stent placement could be considered if clinical signs are severe.</t>
  </si>
  <si>
    <t xml:space="preserve">
1.Mild cardiomegaly has been detected but Heart Failure is NOT suspected._x000D_
2.MILD BRONCHOINTERSTITIAL PULMONARY PATTERN; MILD DYNAMIC AIRWAY DISEASE._x000D_
3.Based on these AI airway/pulmonary findings, the probability of this patient having clinically detectable respiratory signs is LOW to MEDIUM (25-50%)_x000D_
4.Are respiratory signs present? If YES._x000D_
5.Are respiratory signs present? If NO.</t>
  </si>
  <si>
    <t>Four orthogonal thoracic radiographs and a 3 view pelvic limb series dated 15th August 2024 are available for review. There are no previous radiographs available for comparison. _x000D_
_x000D_
Thorax: _x000D_
Airway findings: No nodules, masses, or lymphadenomegaly is visible. The trachea has a normal position, shape and size. The pulmonary parenchyma is normal. _x000D_
_x000D_
Cardiovascular findings: The cardiac silhouette, and pulmonary vasculature is within normal limits._x000D_
_x000D_
Mediastinum and pleura: There is no evidence of pleural effusion, _x000D_
_x000D_
Included abdomen: No significant abnormalities are detected. _x000D_
_x000D_
Musculoskeletal findings: At the distal right femur there is geographical lysis with relatively clear borders to the normal medullary cavity. There is thinning of the dorsal and medial cortex, with smooth to poorly marginated periosteal new bone formation. There is a medial small soft tissue mass. There is osteophytic remodelling of the distal and proximal aspect of the patella, proximal and distal trochlear ridges, fabella, medial and lateral tibial plateau, and axial margins of the femoral condyles of the left stifle. Some mineralisation within the joint capsule is also visible. There is a defect in the lateral trochlear ridge, with a separate fragment. Two lucencies are seen in the crista tibia, likely for a bone tunnel.</t>
  </si>
  <si>
    <t>1. Monostotic aggressive mixed lytic and proliferative bone lesion of the distal right femur.  No evidence of pathologic fracture on views provided. Cortical destruction, and active periosteal reaction most concerning for primary bone neoplasia (osteosarcoma). Fungal osteomyelitis is considered less likely._x000D_
2. Negative metastasis check, normal thorax._x000D_
3. Left stifle osteoarthritis. This may be primary, secondary to OCD (lateral trochlear ridge) or secondary to cranial cruciate ligament disease. There is some evidence for previous extracapsular cranial cruciate ligament repair.</t>
  </si>
  <si>
    <t>Computed tomography has a higher resolution capability to detect small pulmonary parenchyma nodules and may be considered._x000D_
Fine needle aspirate of the lesion or surrounding soft-tissues vs. bone biopsy are recommended for definitive diagnosis. Thoracic radiographs are indicated to evaluate for metastasis given aggressive appearance and age. Consultation with oncology based on results.</t>
  </si>
  <si>
    <t xml:space="preserve">
1.A minimal interstitial pattern has been detected._x000D_
2.The cardiac silhouette size is normal._x000D_
3.There is no evidence of PERIHILAR INFILTRATE, DYNAMIC AIRWAY COLLAPSE or BRONCHIECTASIS or PLEURAL EFFUSION.</t>
  </si>
  <si>
    <t xml:space="preserve">Patient Name: MURPHY MAHONEY, Date of study: Aug 15, 2024
10 images of the entire spine, neck, thorax and cranial abdomen are provided for review.
There are no previous radiographs for comparison.
Neck: On the lateral projection, a slight increase in soft tissue opacity is noted in the retropharyngeal region resulting in mild ventral displacement to the dorsal retropharyngeal wall. Gas dilation of the laryngeal ventricles is present. 
Thorax: 
Airway/pulmonary parenchyma: The lungs are hypoinflated on all projections. On the VD projection, there is an asymmetric appearance to the pulmonary parenchyma with a mild, diffuse increase in opacity overlying the right lung with the exception of the right caudal lung lobe laterally which has a more lucent appearance. Additionally, the pulmonary vasculature to all right lung lobes is decreased in diameter, particularly to the right cranial and right middle lung lobes. The pulmonary vasculature to the left lung is mildly distended. On the lateral projections, lobar bronchial dilation is present centrally. 
Cardiovascular: On the VD projection, a soft tissue opacity overlies the region of the main pulmonary artery and there is mild rounding to the right heart. On the lateral projection, mild right sided cardiomegaly is present along with rounding to the cranial cardiac margin. CVC size is normal. 
Mediastinum: Mild widening to the cranial mediastinum is present on the VD projection which appears to be secondary to fat deposition. No sternal lymph node enlargement is noted. 
Pleural space: On the VD projection, thin pleural fissure lines are present on the right along with slight rounding to the caudal lung tips. 
Cranial abdomen: The liver is moderately enlarged. An additional soft tissue opacity is noted caudal to the liver which may represent an enlarged spleen or less likely, an additional enlarged liver lobe. The gastric rugae are prominent. Cranial abdominal detail is mildly decreased caudal to the stomach but no abdominal fluid is noted ventral to the liver. 
Shoulders: On the thoracic VD projection, both humeral heads appear medially subluxated. Minimal periarticular osteophyte formation affects the caudal aspect of the humeral heads. 
C-spine: The scapula overlie the caudal cervical region on the lateral projection obscuring visualization of the C6 vertebrae. A focal lucent region is present in the C2 spinous process on the lateral projection.  A smaller lucent region is present in the caudal aspect of the C7 lamina. Mild periarticular change affects the caudal cervical articular processes. No end-plate or vertebral lysis is noted. 
On the VD projection, a focal lucent region is present in the caudal aspect of the right C1 transverse process. 
T-spine: Focal lysis affects the ventral aspect of the left 1st rib. Lucent regions are present in multiple other ribs on the VD projection but no rib fracture is noted. On the lateral projection, lucent regions are present in the spinous processes but no end-plate lysis is noted. 
L-spine: On the lateral projection, lucent regions are present in the L2 and L6 vertebrae. No end-plate lysis is noted.  </t>
  </si>
  <si>
    <t>Pertaining to the spine:
1) Multifocal lytic lesions throughout the spine consistent with multiple myeloma.
2) Mild articular process arthritis affecting the caudal cervical spine.
Pertaining to the neck and thorax:
3) Suspected PTE affecting the right lung with secondary pulmonary artery and right heart enlargement. Scant pleural effusion likely secondary to low-grade, emerging or resolving right heart failure.
4) Potential retropharyngeal lymph node enlargement. 
Cranial abdomen:
5) Hepatomegaly and suspected splenomegaly. Rule out infiltrative neoplasia affecting these organs given the concern for multiple myeloma.
6) Slight decrease in cranial abdominal detail. DDx: mesenteric inflammation and/or scant abdominal fluid.
Msk:
7) Bilateral shoulder laxity resulting in subluxation on the VD projections.</t>
  </si>
  <si>
    <t xml:space="preserve">See today's abdominal ultrasound report.
Cardiac ultrasound to assess for pulmonary hypertension. As the dog is clinically stable on today's evaluation, oxygen therapy is not needed. Monitor for rapid respirations, cyanosis and/or fainting. Thoracic CT with contrast could be considered for confirmation of PTE. 
Monitor vertebral lucencies for progression vs. improvement if multiple myeloma is diagnosed and treated. 
Further evaluation for shoulder laxity after addressing the cardiopulmonary radiographic findings and abdominal ultrasound findings. </t>
  </si>
  <si>
    <t xml:space="preserve">
1.The cardiac silhouette size is normal._x000D_
2.There is no evidence of PULMONARY NODULES or PLEURAL EFFUSION._x000D_
3.A mild bronchointerstitial pulmonary pattern and minimal perihilar infiltrate have been detected.</t>
  </si>
  <si>
    <t>Study:_x000D_
Thoracic and thoracic limb radiography: six images dated August 15, 2024_x000D_
_x000D_
Findings:_x000D_
There is severe osteolysis of the proximal metaphyseal region and proximal diaphysis of the right humerus with a distinct zone of transition. There is severe lysis and discontinuity of the caudal cortex of the proximal metaphyseal region of the right humerus. A severe amount of mixed lamellar hand irregular periosteal new bone formation surrounds the proximal humerus in these regions. There is mild left elbow periarticular bone formation._x000D_
_x000D_
The cardiac silhouette and pulmonary vasculature are normal in size. The pulmonary parenchyma is unremarkable. No pulmonary nodules or masses are present. The pleural space is normal. There is no intrathoracic lymphadenopathy. The trachea is normal in diameter and course. The stomach contains heterogeneous soft tissue material presumed to be ingesta with a small amount of interspersed granular mineral.</t>
  </si>
  <si>
    <t>1. Right proximal humeral aggressive osseous lesion. A primary bone tumor (osteosarcoma) is prioritized. Fungal osteomyelitis cannot be completely excluded. The patient is at risk for pathologic fracture giving the severe lysis of the caudal cortex of the proximal humerus. Consider bone biopsy for further evaluation. Alternatively, amputation can be considered._x000D_
2. Normal thorax. There is no radiographic evidence of pulmonary metastatic disease._x000D_
3. Mild left elbow osteoarthrosis.</t>
  </si>
  <si>
    <t>Study:_x000D_
Thoracic radiography: three images dated August 15,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There is no esophageal dilation. The included abdomen is unremarkable. There is mild spondylosis deformans from T3 to T7.</t>
  </si>
  <si>
    <t>Normal thorax. There is no radiographic evidence of pulmonary metastatic disease.</t>
  </si>
  <si>
    <t xml:space="preserve">Patient Name : Sena Humberto, Date of study: Aug 15, 2024
3 images are provided for review
Canine Thorax (3 Images) - 2 Lateral, 1 Vd
Prior images dated February 27, 2023 and prior are available.  
Pulmonary parenchyma: A mild diffuse bronchial pattern is present.
Pulmonary vasculature: The pulmonary vasculature is subjectively normal in size and tapers in the periphery of the lungs.
Cardiac silhouette: The cardiac silhouette is severely enlarged and tall, occupying greater than 2/3 the height of the thorax.  The trachea is dorsally displaced.  The cardiac silhouette is mildly  widened and occupies the width of at least 3.5-4 intercostal spaces.  The caudodorsal margin of the cardiac silhouette is flattened and enlarged.  Rounded increased soft tissue is in the region of the left atrium.  A bulge is at the 2-3 o'clock region, in the area of the left auricular appendage.  The cardiac silhouette apex is shifted rightward.  The cardiac silhouette is widened in the ventrodorsal image.  This is generally progressive compared to prior images.  
Mediastinum: The cranial mediastinum is normal.
Trachea: The trachea is normal.
Esophagus: The esophagus is not well-identified.
Pleural space: The pleural space is normal.
Musculoskeletal: The included musculoskeletal structures are normal.
</t>
  </si>
  <si>
    <t xml:space="preserve">1. Progressive, severe left-sided and moderate right-sided cardiomegaly such as from myxomatous mitral with/without tricuspid valvular disease and/or cor pulmonale/pulmonary hypertension, or unlikely other.
- There is no current evidence of left-sided congestive heart failure.
2. Mild diffuse bronchial pulmonary pattern due to fibrosis from prior disease, age-related changes, infectious/immune-mediated lower airway disease, or less likely other.
3. No obvious pulmonary soft tissue nodules or intra-thoracic lymphadenomegaly.  </t>
  </si>
  <si>
    <t>Echocardiography, ECG and blood pressure for further evaluation if not recently performed.  Consider routine blood work and urinalysis if not recently performed.  Empirical therapy and supportive care in the interim as needed.  Monitoring as directed, or sooner if clinical signs acutely change, fail to improve or worsen.</t>
  </si>
  <si>
    <t xml:space="preserve">
1.Moderate dynamic airway disease has been detected._x000D_
2.The evaluation has come up positive for a pulmonary nodular pattern._x000D_
3.A moderate interstitial to alveolar pattern with a concurrent mild bronchial pattern and dynamic airway disease has been detected._x000D_
4.Pleural fissure lines or moderate to severe pleural effusion has been detected. An overlying skin fold or in an obese animal, excessive pericardial fat could artifactually mimic the result of severe pleural effusion._x000D_
5.Severe cardiomegaly has been detected but Heart Failure is NOT suspected.</t>
  </si>
  <si>
    <t>Opposite lateral and VD thoracoabdominal views and orthogonal views of the pelvis are provided. There are six images total._x000D_
_x000D_
There is a bulge at the caudal base of the heart consistent with left atrial distention. Heart size is mildly increased overall. Bronchial markings are mildly increased, but within the limits of age related change. No tracheal abdomen is identified._x000D_
_x000D_
The liver is mildly enlarged, with normal shape and smooth margins. Some of the intestinal loops have a thickened appearance. This is often artifactual. There is a discrete mineral density in the right cranial dorsal abdomen which is believed to represent the large calculus in the right kidney. Serosal detail in the abdomen is normal. No mass lesions are seen in the abdomen are pelvic canal. The distal colon and rectum are mildly to moderately distended with normal appearing fecal material._x000D_
_x000D_
There is moderate to severe narrowing of many intervertebral disc spaces in the thoracolumbar region of the spine from T11 to L2. T11-T12 is most severely affected. No lumbosacral abnormalities are identified. The pelvis and hip joints are within normal limits. No destructive or productive bone lesions are seen.
(amended on 08/15/2024 17:01)
There is medial luxation of the left patella in the VD pelvis view.</t>
  </si>
  <si>
    <t>There is evidence of chronic disc degeneration in the thoracolumbar spine. This could be contributing to pain, but relevance to the abnormal tail carriage remains unknown. No abnormalities are seen in the tail base or lumbosacral region._x000D_
_x000D_
There is mild to moderate cardiomegaly with left atrial dilation. There is no evidence of heart failure._x000D_
Increased bronchial markings is likely incidental in the absence of relevant clinical signs, but if coughing or wheezing is present the appearance would also be compatible with chronic bronchitis of allergic or idiopathic nature._x000D_
_x000D_
There is hepatomegaly. Diffuse hepatopathies including metabolic or endocrine associated liver disease, hepatitis, or less likely neoplasia such as hepatic lymphoma should be ruled out._x000D_
_x000D_
There is a mineral density believed to represent a calculus in the right kidney. This is usually incidental, and is not suspected to be associated with the clinical signs.
(amended on 08/15/2024 17:01)
There is medial luxation of the left patella, which may be transient and could account for the holding up the leg. However, it is unlikely to be relevant to the primary complaint of tail base/lumbosacral pain.</t>
  </si>
  <si>
    <t>Strict activity and anti-inflammatory therapy for possible tail base injury is recommended._x000D_
Cross sectional imaging such as MRI could be used for more definitive evaluation.</t>
  </si>
  <si>
    <t xml:space="preserve">
1.The cardiac silhouette size is normal._x000D_
2.There is no evidence of BRONCHITIS, ALVEOLAR PATTERN, PULMONARY NODULES or PLEURAL EFFUSION._x000D_
3.A minimal perihilar infiltrate has been detected._x000D_
4.Mild dynamic airway disease has been detected.</t>
  </si>
  <si>
    <t>Three radiographs of the thorax/abdomen are provided. There is a well-defined round soft tissue opaque mass measuring at least 10.9 cm in the left caudal lung lobe. This mass occupies the majority of the lung lobe and there is a faintly mineral opaque 1.7 cm nodule within the mass. No other pulmonary parenchymal abnormalities. No adjacent rib lesions. The cardiac silhouette and pulmonary vessels are normal size and shape. No tracheal abnormalities. In the abdomen there is no effusion or organomegaly. The gastrointestinal tract is moderately filled. No radiopaque urolithiasis.</t>
  </si>
  <si>
    <t>Large solitary mass in the left caudal lung, most consistent with malignant neoplasia. Primary pulmonary neoplasia is the top differential. Metastatic disease from a distant site is given lesser consideration.</t>
  </si>
  <si>
    <t>The mass is adjacent to the thoracic wall and should be visible with ultrasound for guided sampling if a definitive diagnosis is desired.</t>
  </si>
  <si>
    <t xml:space="preserve">
1.Pleural fissure lines or moderate to severe pleural effusion has been detected. An overlying skin fold or in an obese animal, excessive pericardial fat could artifactually mimic the result of severe pleural effusion._x000D_
2.A mild to moderate interstitial to alveolar pattern has been detected.._x000D_
3.MILD BRONCHIAL PATTERN; NODULAR PULMONARY PATTERN which is likely due to overlying CUTANEOUS NODULES or MINERALIZED COSTOCHONDRAL JUNCTIONS._x000D_
4.Based on the AI airway/pulmonary findings, the probability of this patient having clinically detectable respiratory signs is LOW to MEDIUM (25%-50%)_x000D_
5.A mild, diffuse mixed bronchointerstitial pattern with potential small regions of alveolar infiltrate has been detected._x000D_
6.Minimal cardiomegaly has been detected but Heart Failure is NOT suspected._x000D_
7.Are respiratory signs present? If YES._x000D_
8.A mild to moderate bronchointerstitial pulmonary pattern has been detected._x000D_
9.The evaluation has come up positive for a pulmonary nodular pattern._x000D_
10.Are respiratory signs present? If NO.</t>
  </si>
  <si>
    <t>Three radiographs of the thorax are provided. The cardiac silhouette and pulmonary vessels are normal size. There are no abnormalities in the pulmonary parenchyma. Several proximal bronchial walls are visible, but no peripheral bronchial markings are appreciated. There is no pleural effusion. Mild narrowed caudal cervical trachea may be due to neck extension. No esophageal dilation. Normal cranial abdomen.</t>
  </si>
  <si>
    <t>The appearance of the cervical trachea may be due to a redundant dorsal trachealis membrane versus neck extension. In the absence of a cough with tracheal palpation, significance is doubtful. The thorax is otherwise normal. A reason for coughing is not identified. Infectious airway disease is suspected. Inhaled irritant/allergens is next on the differential list.</t>
  </si>
  <si>
    <t xml:space="preserve">
1.A moderate interstitial to alveolar pattern has been detected._x000D_
2.The cardiac silhouette size is normal._x000D_
3.There is no evidence of BRONCHITIS, PERIHILAR INFILTRATE, DYNAMIC AIRWAY COLLAPSE or BRONCHIECTASIS or PULMONARY NODULES.</t>
  </si>
  <si>
    <t xml:space="preserve">Patient Name : Rolo Bighorse, Date of study: Aug 15, 2024
11 images are provided for review
There are no previous radiographs for comparison.
Pulmonary parenchyma: A moderate diffuse bronchial pattern is present.  Throughout the lungs are numerous, well-defined, round and ovoid mineral to soft tissue opaque nodular foci.  
Pulmonary vasculature: The right caudal lobar pulmonary artery is enlarged with truncated tertiary branches in the periphery of the lung, best identified in the ventrodorsal image.  Left caudal lobar arterial enlargement is suspected.
Cardiac silhouette: There is a convex bulge at the 1-2 o'clock position of the cardiac silhouette in the ventrodorsal image.  
Mediastinum: The cranial mediastinum is normal.
Trachea: The trachea is normal.
Esophagus: The esophagus is not well-identified.
Pleural space: A pleural fissure is thin and not widened in the periphery between the left cranial/caudal lung lobes.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moderate heterogeneous soft tissue material and gas. Minimal pyloric gas is suspected in the left lateral image.  Mild mineral granular material is in the pylorus.   The stomach is within normal limits for size.
The small intestine contains moderate gas and minimal soft tissue material with a subjectively uniform population for size. 
The colon contains mild heterogeneous and well-defined soft tissue material and gas.  The colon is within normal limits for size.  
Bones/Joints:
Multifocal thoracolumbar and lumbosacral spondylosis deformans is present.  
Minimal bilateral coxofemoral joint osteoarthrosis is suspected.  Prior pelvic floor fracture with ventral displacement of a portion of the pubic bone is best identified in the lateral images.  The pelvic canal is suspiciously narrow in a lateral dimension in the ventrodorsal image, likely exacerbated by obliquity.   There is adequate coverage of the femoral heads by the acetabulums.
The left stifle has no evidence of osteoarthrosis.  The left infrapatellar fat pad is well-defined.
The included left tarsus, metatarsus and digits are normal.
The right stifle has no evidence of osteoarthrosis.  The right infrapatellar fat pad is well-defined.
The included right tarsus, metatarsus and digits are normal.  
There is no evidence of medullary sclerosis, osteolysis, endosteal scalloping, or periosteal proliferation.
Soft tissues:  The right thigh soft tissues are subjectively small compared to the left.  The remaining included soft tissues are normal.
</t>
  </si>
  <si>
    <t>1. Moderate diffuse bronchial pulmonary pattern and numerous soft tissue to mineral opaque nodules.
- Differential diagnoses include infectious/immune-mediated lower airway disease with chronicity and bronchial mineral is suspected.
- Granuloma from prior vascular accident/heartworm disease is also considered.  Metastatic disease from occult primary osseous neoplasm is possible, but less likely.  
2. Right and suspected left caudal lobar arterial enlargement with truncation of right-sided arteries.
- This is suspicious for current/prior heartworm disease and thromboembolic disease, as well as pulmonary hypertension.
3. Prominent main pulmonary artery such as from pulmonary hypertension/heartworm disease and cor pulmonale, or less likely other.
4. Gastric material from recent meal versus gastritis/delayed gastric emptying, or given reported history unlikely pyloric outflow tract obstruction.
- Dietary indiscretion is consider given granular mineral material in the pylorus.
5. Presumed prior pelvic trauma and chronic pelvic floor fractures with suspected pelvic canal narrowing.
6. Minimal bilateral coxofemoral joint osteoarthrosis versus artifact/positioning.
7. Suspected right thigh disuse muscle atrophy.</t>
  </si>
  <si>
    <t xml:space="preserve">Consider computed tomography of the thorax for further evaluation of the pulmonary nodules/mineral and pulmonary vasculature. 
 Consider echocardiography,eCG and blood pressure for further evaluation of main pulmonary artery enlargement/pulmonary hypertension.  Repeat abdominal radiographs after 8-12 hours of fasting and empirical therapy/supportive care to monitor for passage of gastric material.  Consider abdominal computed tomography versus ultrasonography given patient size for further evaluation of the gastrointestinal tract.   Empirical therapy and supportive care in the interim as needed.  Monitoring as directed, or sooner if clinical signs fail to improve or worsen in the interim.  </t>
  </si>
  <si>
    <t xml:space="preserve">
1.The evaluation has a strong suspicion of soft tissue pulmonary nodules or mass lesion being present._x000D_
2.Mild cardiomegaly has been detected but Heart Failure is NOT suspected._x000D_
3.PULMONARY NODULES or NODULAR PATTERN; MODERATE TO SEVERE INTERSTITIAL TO ALVEOLAR PATTERN; PLEURAL EFFUSION; MILD BRONCHITIS; MILD PERIHILAR INFILTRATE._x000D_
4.Based on the AI airway/pulmonary findings, the probability of this patient having clinically detectable respiratory signs is VERY HIGH (&gt;75%)_x000D_
5.Are respiratory signs present? If NO._x000D_
6.Are respiratory signs present? If YES.</t>
  </si>
  <si>
    <t>Thorax: There is a moderate diffuse interstitial pattern.  The cardiac silhouette and pulmonary vasculature are unremarkable.  There is no evidence of pleural effusion or lymphadenopathy.</t>
  </si>
  <si>
    <t>Moderate diffuse interstitial pattern.  Due to age of patient, differential considerations should include a viral infectious process or possible verminous pneumonia.</t>
  </si>
  <si>
    <t xml:space="preserve">
1.Are respiratory signs present? If NO._x000D_
2.AI linked pneumonia in dogs article: https://platform.v2.vetology.net/doc/pneumonia-in-dogs-and-cats_x000D_
3.Are respiratory signs present? If NO._x000D_
4.SEVERE INTERSTITIAL TO ALVEOLAR PATTERN; MODERATE BRONCHIAL PATTERN; MODERATE DYNAMIC AIRWAY DISEASE._x000D_
5.MODERATE BRONCHOINTERSTITIAL PULMONARY PATTERN, MODERATE DYNAMIC AIRWAY DISEASE,  SLIGHT PERIHILAR INFILTRATE._x000D_
6.Based on these AI airway/pulmonary findings, the probability of this patient having clinically detectable repsiratory signs is VERY HIGH (&gt;75%)_x000D_
7.Based on these AI airway/pulmonary findings, the probability of this patient having clinically detectable respiratorysigns is MEDIUM (50%)_x000D_
8.AI linked bronchitis disease treatment in dogs and cats: https://platform.v2.vetology.net/doc/bacterial-bronchitis-in-dogs-and-cats_x000D_
9.Are respiratory signs present? If YES._x000D_
10.Are respiratory signs present? If YES._x000D_
11.Pleural fissure lines or moderate to severe pleural effusion has been detected. An overlying skin fold or in an obese animal, excessive pericardial fat could artifactually mimic the result of severe pleural effusion._x000D_
12.Minimal cardiomegaly has been detected but Heart Failure is NOT suspected.</t>
  </si>
  <si>
    <t>A three view study of the thorax including the neck is provided._x000D_
_x000D_
No laryngeal or tracheal abnormalities are identified. No pulmonary infiltrates or bronchial thickening are seen. The heart is at the upper end of normal size range. VHS is normal at 9.8._x000D_
There is mild retraction of the cranial margin of the left cranial lung lobe._x000D_
The cranial abdominal organs are within normal limits.</t>
  </si>
  <si>
    <t>No abnormalities are seen involving the trachea/larynx or lungs. Heart size is borderline but probably normal._x000D_
_x000D_
There is an interesting finding of retraction of the left cranial lobe and mild focal widening of the cranial mediastinum at the level of the thoracic inlet. The appearance is fairly subtle, and no convincing mass effect is seen in the lateral views._x000D_
_x000D_
The left cranial lobe/cranial mediastinal and pleural changes are suspected to be incidental to the presenting complaint, likely secondary to a previous pleural insult._x000D_
Early development of a mass in the area cannot be excluded, but would still not likely be associated with the presenting clinical signs.</t>
  </si>
  <si>
    <t>The cranial thoracic changes are suspected to be an incidental finding. CT would be ideal for more definitive anatomic evaluation. If this is not an option, ultrasound the area could be considered.</t>
  </si>
  <si>
    <t xml:space="preserve">
1.A mild perihilar infiltrate has been detected._x000D_
2.The cardiac silhouette size is normal._x000D_
3.There is no evidence of BRONCHITIS, ALVEOLAR PATTERN, PULMONARY NODULES or PLEURAL EFFUSION.</t>
  </si>
  <si>
    <t>Opposite lateral and DV thoracoabdominal views are provided. There are four images total._x000D_
_x000D_
There is a severe interstitial to alveolar pulmonary pattern involving both cranial lung lobes. There is a mild bronchointerstitial pattern in the other lung fields. There is an unusual convex rounded margin associated with the left side of the cardiac silhouette at the level of the sixth intercostal space in the DV view. There is a linear opacity extending from the cardiac silhouette to the diaphragm in the left lateral view that is suspicious for a mesothelial remnant, although this is less convincing in the right lateral view. There is a subtle increase in pleural markings that is suspicious for scant pleural fluid. The heart is within normal size limits._x000D_
_x000D_
There is reduced detail in the ill defined mass effect in the area of the urinary bladder. A discrete prostate shadow cannot be seen. The caudal liver margin appears slightly irregular, but still within the limits of benign variation._x000D_
In the DV view, there is a focal area of rounded margination involving the spleen that is compatible with a small splenic mass in the range of approximately 2 cm. This is not confirmed in the lateral views. Rugal folds in the stomach are moderately prominent. No dilation of the stomach or intestine is seen.</t>
  </si>
  <si>
    <t>1) Alveolar infiltrates are present involving both cranial lung lobes, the appearance is consistent with pneumonia._x000D_
_x000D_
2) There is an unusual shadow bulging the left caudal aspect of the cardiac silhouette in the DV view. A subtle shadow that may correspond is seen at the caudal margin of the heart and the first right lateral view, but this is not confirmed in the other lateral views. The appearance suggests this could be a mediastinal or pericardial lesion. Pulmonary origin is felt less likely. Possible etiologies could include an incidental small peritoneal/pericardial diaphragmatic hernia, a pericardial cyst, or a small tumor._x000D_
_x000D_
3) There is an ill-defined mass effect and local loss of peritoneal detail in the caudal ventral abdomen. Primary rule outs for this appearance in this location would include neoplasia, prostatic abscess, and paraprostatic cyst._x000D_
_x000D_
4) A small mass involving the spleen is suspected. In addition to the spleen, the caudal retroperitoneal area around the neck of the bladder is a preferred location for hemangiosarcoma. Hemangiosarcoma should be ruled out as a possible cause of the radiographic abnormalities in both areas._x000D_
_x000D_
The pulmonary changes do not appear typical of metastatic neoplasia. The overall appearance is most compatible with pneumonia, with a potential small pleural/pleuritis component.</t>
  </si>
  <si>
    <t>Antibiotic therapy for probable pneumonia is recommended._x000D_
_x000D_
More advanced imaging of the abdomen to rule out or confirm suspected neoplasia vs. inflammatory/infectious or benign causes of the radiographic changes is recommended._x000D_
CT would probably be ideal=ZZ90= ultrasound could be used if this is not an option.</t>
  </si>
  <si>
    <t xml:space="preserve">
1.SEVERE ALVEOLAR INFILTRATE; DIFFUSE, MILD BRONCHOINTERSTITIAL PULMONARY PATTERN._x000D_
2.Based on the AI airway/pulmonary findings, the probability of this patient having clinically detectable respiratory signs is VERY HIGH (&gt;75%)_x000D_
3.Are respiratory signs present? If NO._x000D_
4.The cardiac silhouette size is normal._x000D_
5.There is no evidence of DYNAMIC AIRWAY COLLAPSE or BRONCHIECTASIS or PULMONARY NODULES._x000D_
6.Are respiratory signs present? If YES._x000D_
7.AI linked canine pneumonia treatment: https://platform.v2.vetology.net/doc/pneumonia-in-dogs-and-cats</t>
  </si>
  <si>
    <t xml:space="preserve">Patient Name : Fonzi Miles, Date of study: Aug 15, 2024
4 images are provided for review
Canine Thorax (4 Images) - 3 Lateral, 1 Vd
There are no previous radiographs for comparison.
Pulmonary parenchyma: A moderate diffuse bronchial pattern is present.
Pulmonary vasculature: The pulmonary vasculature is subjectively normal in size and tapers in the periphery of the lungs.
Cardiac silhouette: The cardiac silhouette has a variably slightly flat caudodorsal margin, and slight increased soft tissue in the region of the left atrium.  
Mediastinum: The cranial mediastinum is normal.
Trachea: A well-defined soft tissue band superimposes over the trachea in the mid and caudal cervical regions. 
Esophagus: The esophagus is not well-identified.
Pleural space: Thin pleural fissure line between the left cranial lung lobe subsegments that does not widen in the periphery of the lungs is present in the ventrodorsal image.
Musculoskeletal: The included musculoskeletal structures are normal.
</t>
  </si>
  <si>
    <t>1. Moderate diffuse bronchial pulmonary pattern.
- Differential diagnoses include infectious/immune-mediated lower airway disease such as from mycoplasma spp., bordetella spp., parasitism, or inhaled allergen/irritant, or less likely other.
- Underlying fibrosis from prior disease and age-related changes are also considered.
2. Mild left atrial enlargement versus artifact from the phase of the cardiopulmonary cycle and patient positioning.
- This is consistent with reported new/evolving murmur and possible myxoamtous mitral valvular disease.
- There is no current evidence of left-sided congestive heart failure.
3. Dorsal redundant tracheal membrane with/without dynamic airway disease.
4. Thin left-sided pleural fissure line due to tangential beam artifact, pleural folding, pleural thickening, or unlikely other.</t>
  </si>
  <si>
    <t>Consider echocardiography, eCG, blood pressure respiratory PCR panel, airway sampling, and empirical deworming/fecal analysis for further evaluation.  Routine blood work and urinalysis if not recently performed. Empirical therapy and supportive care in the interim as needed for suspected lower airway disease.  Consider tracheoscopy/bronchoscopy/fluoroscopy for further evaluation of dynamic airway disease if clinically indicated. Monitoring as directed or sooner if clinical signs acutely change, fail to improve or worsen.</t>
  </si>
  <si>
    <t xml:space="preserve">
1.There is no evidence of DYNAMIC AIRWAY COLLAPSE or BRONCHIECTASIS, PULMONARY NODULES or PLEURAL EFFUSION._x000D_
2.A mild bronchointerstitial pulmonary pattern and minimal perihilar infiltrate have been detected._x000D_
3.Mild cardiomegaly has been detected but Heart Failure is NOT suspected.</t>
  </si>
  <si>
    <t>4 images of the thorax are provided for review.  The cardiovascular structures are normal.  There is a moderate bronchial pattern in all lung lobes.  Gas is present within the cranial mediastinum, outlining the trachea and great vessels.  No esophageal dilation or foreign material is seen.  The pleural structures are normal.  Cranial abdominal detail is adequate.</t>
  </si>
  <si>
    <t>Gas in the cranial mediastinum with the history provided is concerning for a chronic esophageal foreign body or other cause of esophageal/tracheal perforation.  Consider ruling out cervical trauma.  An esophagram performed with iodinated contrast (not barium) could be performed to determine if esophageal perforation is present.  Occasionally, I have seen small volume pneumomediastinum with a small tracheal laceration secondary to attempted jugular venipuncture and an uncooperative patient and this may be a consideration if this was performed.  Moderate bronchial pulmonary pattern=ZZ90= consider bronchitis, response to inhaled irritants, response to circulating parasites, eosinophilic bronchopneumopathy.  Airway sampling may be helpful in further evaluation.</t>
  </si>
  <si>
    <t xml:space="preserve">
1.The cardiac silhouette size is normal._x000D_
2.There is no evidence of DYNAMIC AIRWAY COLLAPSE or BRONCHIECTASIS or PLEURAL EFFUSION._x000D_
3.A diffuse, minimal to mild interstitial pulmonary pattern and minimal perihilar infiltrate have been detected.</t>
  </si>
  <si>
    <t xml:space="preserve">Patient Name : loki calvillo, Date of study: Aug 15, 2024
3 images are provided for review
Canine Thorax (3 Images) - 2 Lateral, 1 Vd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minimal gas or is empty.
Pleural space: The pleural space is normal.
Musculoskeletal: The included musculoskeletal structures are normal.
</t>
  </si>
  <si>
    <t xml:space="preserve">1. Minimal-mild diffuse bronchial pulmonary pattern.
- Differential diagnoses include infectious/immune-mediated lower airway disease such as from mycoplasma spp., bordetella spp., parasitism, or inhaled allergen/irritant, and/or fibrosis from prior disease, age-related changes, or unlikely other.
</t>
  </si>
  <si>
    <t>Etiology of reported clinical signs is not definitively identified.  This does not rule out rhinitis/sinusitis or laryngitis contributing to reported signs.  Consider sedated laryngeal examination and possible computed tomography of the head/thorax, versus tracheoscopy/bronchoscopy and airway sampling for further evaluation.  Internist consultation may be contributory.  Fecal analysis/deworming if not recently performed.  Empirical therapy and supportive care in the interim as needed. Monitoring as directed or sooner if clinical signs acutely change, fail to improve or worsen.</t>
  </si>
  <si>
    <t xml:space="preserve">
1.A mild bronchial pattern and minimal perihilar infiltrate have been detected._x000D_
2.The cardiac silhouette size is normal._x000D_
3.There is no evidence of DYNAMIC AIRWAY COLLAPSE or BRONCHIECTASIS.</t>
  </si>
  <si>
    <t xml:space="preserve">Patient Name : Pancho Robledo, Date of study: Aug 15, 2024
6 images are provided for review
There are no previous radiographs for comparison.
Bones/Joints:
The coxofemoral joints have no obvious osteoarthrosis.  There is adequate coverage of the femoral heads by the acetabulums.
Moderate increased soft tissue is present in the left stifle, obscuring the infrapatellar fat pad.  Minimal left stifle osteoarthrosis is present with osteophytes at the apex of the patella.  
The included left tarsus, metatarsus and digits are normal.
Moderate increased soft tissue is present in the right stifle, obscuring the infrapatellar fat pad.  Minimal right stifle osteoarthrosis is present with osteophytes at the apex of the patella.  
The included right tarsus, metatarsus and digits are normal.  
The Included portion of the lumbar spine is normal.
There is no evidence of medullary sclerosis, osteolysis, endosteal scalloping, or periosteal proliferation.
Soft tissues:  The included soft tissues are normal.
</t>
  </si>
  <si>
    <t xml:space="preserve">1. Moderate left stifle synovial effusion/proliferation and minimal osteoarthrosis.
- Differential diagnoses include cranial cruciate ligament injury, or less likely immune-mediated polyarthritis or hemarthrosis or other.
2. Moderate right stifle synovial effusion/proliferation and minimal osteoarthrosis.
- Differential diagnoses include cranial cruciate ligament injury, or less likely other.
3. Normal coxofemoral joints.
</t>
  </si>
  <si>
    <t>Consider orthopedic consultation and medical versus surgical therapy for the the stifles.  Empirical therapy and supportive care in the interim as needed.  Monitoring as directed or sooner if clinical signs acutely change, fail to improve or worsen.</t>
  </si>
  <si>
    <t xml:space="preserve">
1.MILD BRONCHOINTERSTITIAL PULMONARY PATTERN; MINIMAL DYNAMIC AIRWAY DISEASE; ATELECTASIS or less likely, pneumonia._x000D_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PULMONARY NODULES or PLEURAL EFFUSION.</t>
  </si>
  <si>
    <t>Four orthogonal thoracic radiographs dated 15th August 2024 are available for review. There are no previous radiographs available for comparison. _x000D_
_x000D_
Airway findings: The cervical and thoracic trachea have a normal size, outline and position. The tracheal bifurcation is mildly widened.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There is mild pectus carinatum which causes the cardiac silhouette to be mildly elevated within the thorax._x000D_
_x000D_
Included abdomen: There is punctate mineralisation in the region of the gallbladder.</t>
  </si>
  <si>
    <t>1. Normal thorax for age. The clinical findings may be attributable to rhinitis or other upper airway disease. Allergic lower airway disease can be present in spite of normal radiographs._x000D_
2. Like incidental gallbladder stones.</t>
  </si>
  <si>
    <t>Evaluate for upper airway disease as clinically indicated._x000D_
Respiratory workup including CBC, serum chemistry, urinalysis, Baermann faecal testing, 4DX, +/- respiratory panel or fungal testing may be considered.  If the patient=ZZ91=s signs continue despite supportive care, bronchoscopy/BAL vs. endotracheal wash +/- consultation with an Internist should be considered.</t>
  </si>
  <si>
    <t xml:space="preserve">
1.There is no evidence of BRONCHITIS, ALVEOLAR PATTERN, PERIHILAR INFILTRATE or PULMONARY NODULES._x000D_
2.Mild dynamic airway disease has been detected._x000D_
3.Mild cardiomegaly has been detected but Heart Failure is NOT suspected.</t>
  </si>
  <si>
    <t>Study:_x000D_
Thoracic and abdominal radiography: five lateral images dated August_x000D_
_x000D_
Findings:_x000D_
Evaluation of both the thorax and abdomen is limited by the lack of orthogonal views. There is cranioventral rotation of the cardiac silhouette (likely an incidental finding) which leads to increased conspicuity of the aortic arch of the heart base. The cardiac silhouette is normal in size and shape. There is a moderate generalized bronchial pulmonary pattern. No pulmonary nodules are present. The pleural space is normal. There is no apparent intrathoracic lymphadenopathy. The trachea is normal in diameter. The stomach contains unstructured heterogeneous/granular soft tissue material presumed to be ingesta. The small intestines are normal in size, course and content. The colon contains formed fecal material. The liver extends mildly beyond the costal arch with smooth and sharp margins. The spleen is normal in size. The renal silhouettes are not clearly visualized due to visceral crowding. There is no overt renomegaly. The urinary bladder is normal in size and opacity. There is mild multifocal thoracolumbar and severe lumbosacral spondylosis deformans.</t>
  </si>
  <si>
    <t>1. The moderate generalized bronchial pulmonary pattern may indicate allergic, inflammatory, infectious, parasitic or irritant bronchitis. Airway sampling, heartworm testing and Baermann fecal flotation can be considered for further evaluation._x000D_
2. There is no evidence of pulmonary metastatic disease._x000D_
3. As stated above, the suspected lesion at the heart base is the aortic arch._x000D_
4. The generalized hepatomegaly is nonspecific. Rule out metabolic/vacuolar hepatopathy, hyperplasia, hepatitis or infiltrative neoplasia. Sonography can be considered for further evaluation.</t>
  </si>
  <si>
    <t xml:space="preserve">
1.MILD to MODERATE BRONCHINTERSTITIAL PATTERN with ATELECTASIS or less likely, PNEUMONIA; MILD DYNAMIC AIRWAY DISEASE._x000D_
2.MILD INTERSTITIAL TO ALVEOLAR PATTERN; MILD DYNAMIC AIRWAY DISEASE; MILD PERIHILAR INFILTRATE._x000D_
3.Based on these AI airway/pulmonary findings, the probability of this patient having clinically detectable respiratory signs is MEDIUM to HIGH (50-75%)_x000D_
4.Based on the AI airway/pulmonary findings, the probability of this patient having clinically detectable respiratory signs is MEDIUM (50%)_x000D_
5.Are respiratory signs present? If YES._x000D_
6.Are respiratory signs present? If YES._x000D_
7.Are respiratory signs present? If NO._x000D_
8.Are respiratory signs present? If NO._x000D_
9.The evaluation has come up positive for a pulmonary nodular pattern._x000D_
10.Pleural fissure lines or small volume pleural effusion has been detected. In a mildly overweight animal, excessive pericardial fat can artifactually mimic the result of minimal pleural effusion._x000D_
11.The cardiac silhouette size is normal.</t>
  </si>
  <si>
    <t>Patient Name : Toby Stevens, Date of study: Aug 15, 2024
5 images are provided for review
There are no previous radiographs for comparison.
Pulmonary parenchyma: The lungs are mildly hypoinflated, and minimal or mild motion is present in some images.  A minimal to mild diffuse bronchial and minimal to mild diffuse interstitial pattern is present.
Pulmonary vasculature: The pulmonary vasculature is subjectively normal in size and tapers in the periphery of the lungs.
Cardiac silhouette: The cardiac silhouette is mildly tall and occupies approximately 2/3 the height of the thorax, with dorsal tracheal displacement.   
Mediastinum: The cranial mediastinum is normal.
Trachea: The trachea is normal.
Esophagus: The esophagus is not well-identified.
Pleural space: The pleural space is normal.
Musculoskeletal: Multifocal mid-thoracic spondylosis deformans is present.  The remaining included musculoskeletal structures are normal.</t>
  </si>
  <si>
    <t>1. Minimal to mild diffuse bronchial and interstitial pulmonary patterns due to infectious/immune-mediated lower airway disease (such as from bordetella spp., mycoplasma spp., or parasitism such as lung worms), and/or fibrosis from prior disease, age-related changes, or unlikely other.
2. Equivocal left-ventricular enlargement versus artifact from phase of the cardiopulmonary cycle/patient positioning.
- If present, consider early/evolving dilated cardiomyopathy versus other.
- There is no current evidence of left-sided congestive heart failure.</t>
  </si>
  <si>
    <t>Consider echocardiography, ECG and blood pressure for further evaluation, especially if a murmur is latera identified.  Routine blood work, respiratory PCR panel, airway sampling and fecal analysis/empirical deworming may be contributory.  Empirical therapy and supportive care for possible lower airway disease and/or occult tracheitis in the interim may be contributory.  Consider tracheoscopy/bronchoscopy for further evaluation and airway sampling if clinically indicated.  Monitoring as directed or sooner if clinical signs acutely change, fail to improve or worsen.</t>
  </si>
  <si>
    <t xml:space="preserve">
1.Are respiratory signs present? If NO._x000D_
2.Based on the AI airway/pulmonary findings, the probability of this patient having clinically detectable respiratory signs is MEDIUM to HIGH (50-75%)_x000D_
3.Are respiratory signs present? If YES._x000D_
4.MODERATE INTERSTITIAL TO ALVEOLAR PATTERN; MILD BRONCHITIS._x000D_
5.The cardiac silhouette size is normal._x000D_
6.There is no evidence of DYNAMIC AIRWAY COLLAPSE or BRONCHIECTASIS.</t>
  </si>
  <si>
    <t>6 views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mild amount of gas.  The small bowel is normal in uniform diameter without dilation or plication.  A mild amount of gas is noted throughout the colon.  The liver and spleen are normal in size, shape, and margination.  The bilateral renal silhouettes are within normal limits.  The urinary bladder is unremarkable.  Serosal detail is normal._x000D_
No significant osseous abnormalities are seen.</t>
  </si>
  <si>
    <t>The appearance of the GI tract is very nonspecific and could be associated with gastroenterocolitis, pancreatitis, or extra alimentary disease.  No evidence of mechanical obstruction is seen._x000D_
Radiographically normal thorax.</t>
  </si>
  <si>
    <t>Correlation with blood work is recommended.  An abdominal ultrasound may ultimately be indicated.</t>
  </si>
  <si>
    <t>Study:_x000D_
Thoracic radiography: four images dated August 15, 2024_x000D_
_x000D_
Findings:_x000D_
The cardiac silhouette is normal in size and shape. The pulmonary vasculature is normal in size. There is a 2.7 cm soft tissue opaque mass in the perihilar region of the right cranial lung lobe. There is a mild alveolar pattern in the right cranial lung lobe ventral to the mass. The pleural space is normal. There is no apparent intrathoracic lymphadenopathy. The trachea is normal in diameter. The stomach contains unstructured heterogeneous soft tissue material presumed to be ingesta. No skeletal abnormalities are present.</t>
  </si>
  <si>
    <t>1. Right cranial lung lobe mass. Rule out primary pulmonary carcinoma versus fungal granuloma. Metastatic neoplasia is unlikely given the size and singularity the lesion. Repeat coccidioidomycoses titers or urine antigen testing can be considered._x000D_
2. The mild alveolar pattern in the right cranial lung lobe may indicate concurrent pneumonia. Atelectasis secondary to bronchial compression from the aforementioned mass is also possible. Consider continued/expanded antibiotic therapy with repeat radiography in 10 to 14 days to monitor for response to treatment.</t>
  </si>
  <si>
    <t>A two view study of the thorax is provided for interpretation._x000D_
_x000D_
The heart is within normal size and shape limits. VHS is normal at 10.6. There is a moderate bronchial pulmonary pattern. The bronchial pattern involves primarily the smaller airways. No alveolar infiltrates are seen. No thoracic lymphadenopathy or pleural effusion is identified. The cranial abdominal organs are unremarkable.</t>
  </si>
  <si>
    <t>No cardiac abnormalities are identified._x000D_
_x000D_
There is a bronchial pattern is more prominent than expected for age related change. The appearance is subjectively most compatible with allergic bronchitis or less likely idiopathic chronic bronchitis. Infectious causes such as parasitic infection or bacterial infection cannot be entirely excluded but is even less likely.</t>
  </si>
  <si>
    <t>The appearance of the heart is normal at this time. No further workup is indicated for the cardiac disease._x000D_
_x000D_
Infectious vs. allergic causes of bronchitis should be ruled out if relevant clinical signs are present. If there are no respiratory clinical signs, the pulmonary changes more likely represent prominent age related change._x000D_
CBC, heartworm testing, and Baermann fecal exam for lungworms should still be considered.</t>
  </si>
  <si>
    <t xml:space="preserve">Patient Name : Dixie Germany, Date of study: Aug 15, 2024
6 images are provided for review
Canine Abdomen (3 Images) - 2 Lateral, 1 Vd
Canine Thorax (3 Images) - 2 Lateral, 1 Vd
There are no previous radiographs for comparison.
Pulmonary parenchyma: A minimal to mild diffuse bronchial and minimal to mild diffuse interstitial pattern is present.  The interstitial component is exacerbated by pulmonary hypoinflation and superimposed thoracic limbs over the cranial thorax.  
Pulmonary vasculature:  In the ventrodorsal image, ill-defined enlargement of the right caudal lobar pulmonary artery is suspected.
Cardiac silhouette: The cardiac silhouette is normal in size and shape.
Mediastinum: The cranial mediastinum is normal.
Trachea: The trachea is normal.
Esophagus: The esophagus is not well-identified.
Pleural space: The pleural space is normal.
Liver: The liver is equivocal small with cranial dispalcement of the gastric axis.
Spleen: The spleen is normal in size with smooth margins and homogeneous soft tissue.
Kidneys: The left kidney is normal.  The right kidney is obscured without obvious enlargement or mineral.  
Retroperitoneum: Retroperitoneal detail is adequate.
Urogenital: The urinary bladder is normal in size, homogeneous soft tissue, and smoothly marginated.
Peritoneum: Peritoneal detail is adequate.
Gastrointestinal tract: The stomach contains a moderate gas and mild soft tissue material/fluid.   The stomach is within normal limits for size.  Gas is in the pylorus in the left lateral image.
The small intestine contains mild gas and fluid or is empty with a subjectively uniform population for size. 
The colon contains moderate well-defined soft tissue material and gas.  The colon is within normal limits for size.  
Musculoskeletal: Multiple prominent nipples are present. The ventral extra-abdominal and mid-to caudal and ventral extra-thoracic soft tissues are enlarged with an undulant ventral cutaneous surface.  Lumbosacral spondylosis deformans is present.  The remaining included musculoskeletal structures are normal.
</t>
  </si>
  <si>
    <t>1.  Suspected right caudal lobar pulmonary arterial enlargement such as from pulmonary hypertension and underlying heartworm disease/thromboembolic disease, or unlikely other.
- There is no current obvious evidence of right-sided cardiomegaly.
2. Minimal-mild diffuse bronchial and  interstitial pulmonary patterns such as from infectious/immune-mediated lower airway disease (mycoplasma spp., bordetella spp., parasitism, or unlikely other), inhaled allergen/irritant, fibrosis from prior disease, age-related changes, or unlikely other.
3. Equivocal microhepatia versus artifact from positioning or individual variation.
- If present, consider occult portosystemic shunting vessel or unlikely other.
4. Enlarged mammary gland associated soft tissues such as from prior/current estrus cycling, evolving neoplasia or unlikely mastitis or other.  
5. No current evidence of pulmonary soft tissue nodules or intra-thoracic lymphadenomegaly.</t>
  </si>
  <si>
    <t>Consider echocardiography, eCG and blood pressure for further evaluation.  Consider computed tomography of the thorax/abdomen for a more sensitive screening of the lungs and pre-surgical planning of reported mammary gland associated mass removal.  Oncologist consultation depending on results.  Empirical therapy and supportive care in the interim as needed. Monitoring as directed, or sooner if clinical signs acutely change, fail to improve or worsen.</t>
  </si>
  <si>
    <t>Study:_x000D_
Thoracic radiography: six images dated August 14, 2024_x000D_
_x000D_
Compared to prior study dated January 17, 2024_x000D_
_x000D_
Findings:_x000D_
The cardiac silhouette is normal in size and shape. The pulmonary vasculature is normal in size. There is a mild generalized bronchial pulmonary pattern. This finding is unchanged from the previous examination. The pleural space is normal. There is no intrathoracic lymphadenopathy. The trachea is normal in diameter and course. The stomach contains unstructured heterogeneous soft tissue material presumed to be ingesta. There is mild T9-T 10 spondylosis deformans.</t>
  </si>
  <si>
    <t>The (static) mild generalized bronchial pulmonary pattern may indicate allergic, inflammatory, infectious, parasitic or inhaled irritant bronchitis. Airway sampling, heartworm testing and Baermann fecal flotation can be considered for further evaluation.</t>
  </si>
  <si>
    <t xml:space="preserve">
1.A mild perihilar infiltrate has been detected._x000D_
2.The cardiac silhouette size is normal._x000D_
3.There is no evidence of BRONCHITIS, DYNAMIC AIRWAY COLLAPSE or BRONCHIECTASIS or PLEURAL EFFUSION.</t>
  </si>
  <si>
    <t xml:space="preserve">Patient Name : Sunday Smith, Date of study: Aug 14, 2024
Three orthogonal survey radiographs and 2 lateral skull radiographs are available for review.
There are no previous radiographs for comparison.
Thorax: 
Airway findings: A tracheotube is present. The thorax is mildly hypoinflated. A faint homogenous interstitial opacification is present.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
Mediastinum and pleural space: No significant abnormalities are detected.
Abdomen: The hepatic silhouette is normal. The stomach contains some gas and has a normal axis. Caudal to the stomach there is a poorly marginated mass effect. The tail of the spleen is poorly visible. There is wispy opacification of the falciform fat, and the abdominal cavity. The small intestines are filled with mainly fluid and some gas and are mildly dilated. The descending colon is empty. The urinary bladder is small. The kidneys are partially obscured by gastrointestinal contents, but the visible aspect are normal.
Musculoskeletal findings: Both skull radiographs are obliqued. No obvious fractures or soft tissue swelling is noted. The tympanic bulla are air filled. The included cervical vertebral column is normal.
</t>
  </si>
  <si>
    <t>1. Left atrial dilation. This is most likely due to mixoid degeneration of the mitral valve. There is no evidence for cardiac insufficiency. 
2. The mild interstitial opacification is most likely due to hypoinflation and body habitus. Pulmonary oedema (cardiogenic, non-cardiogenic) is considered less likely.
3. The central mass effect is suspicious of a neoplastic process, likely splenic. Haematoma, haemangioma, haemangiosarcoma should be considered. The wispy opacification is most likely due to haemorrhage or a paraneoplastic transudate. A mesenteric lymphatic mass is less likely. Alternatively, haemorrhage (hepatic, splenic) secondary to the trauma of falling should equally be considered.</t>
  </si>
  <si>
    <t>A full abdominal ultrasonographic examination is advised. if a mass is present, consider FNA. Supportive management including rehydration if indicated.
Monitor for onset of respiratory distress, and repeat radiographs.
Radiography is insensitive for early cardiac insufficiency, therefore ECG, blood pressure measurements, and echocardiography may be considered for further evaluation, or baseline measurements.</t>
  </si>
  <si>
    <t xml:space="preserve">
1.A minimal interstitial pattern has been detected._x000D_
2.There is no evidence of BRONCHITIS, ALVEOLAR PATTERN, PERIHILAR INFILTRATE, DYNAMIC AIRWAY COLLAPSE or BRONCHIECTASIS or PLEURAL EFFUSION._x000D_
3.Mild cardiomegaly has been detected but Heart Failure is NOT suspected.</t>
  </si>
  <si>
    <t>Study:_x000D_
Thoracic and abdominal radiography: seven images dated August 14, 2024_x000D_
_x000D_
Findings:_x000D_
The cardiac silhouette and pulmonary vasculature are normal in size. The pulmonary parenchyma is unremarkable. No alveolar disease is present. The pleural space is normal. There is no intrathoracic lymphadenopathy. The trachea is normal in diameter and course. The stomach contains a small volume of gas. The small intestines are normal in size, course and content. The colon contains formed fecal material. The liver is normal in size and margin. The spleen appear is mildly to moderately enlarged with rounded margins on the VD view in the left mid abdomen. The kidneys are normal in size and contour. The urinary bladder is normal in size and opacity. Suture material is present in the caudoventral abdominal body wall. There is mild L4-L5 spondylosis deformans.</t>
  </si>
  <si>
    <t>1. Normal thorax. There is no evidence of pneumonia or intrathoracic neoplasia._x000D_
2. The generalized splenomegaly is nonspecific. Rule out breed normal variation, extramedullary hematopoiesis, lymphoid hyperplasia, splenitis, congestion or infiltrative neoplasia. Sonography can be considered for further evaluation. The remainder the abdomen is unremarkable.</t>
  </si>
  <si>
    <t>Study:_x000D_
Thoracic and abdominal radiography: nine images dated August 14, 2024_x000D_
_x000D_
Findings:_x000D_
There is moderate bilateral pleural effusion. There is associated reduced lung volume/atelectasis. No pulmonary nodules or masses are visualized. The severity of and summation with the aforementioned pleural effusion limits evaluation of the heart. The cardiac silhouette does not appear Overly enlarged on the lateral projection but appears widened on the VD views. The bony vasculature is normal in size There is no apparent intrathoracic lymphadenopathy. The trachea is normal in diameter. There is moderate peritoneal effusion. The stomach contains recently ingested food. The small intestines are normal in size, course and content. The colon contains formed fecal material. The liver extends mildly beyond the costal arch with smooth margins. The spleen is normal in size and margin. The renal silhouettes are normal in size and contour. The urinary bladder is unremarkable. There is no apparent prostatomegaly. The osseous structures are unremarkable.</t>
  </si>
  <si>
    <t>1. Non-specific bicavitary effusion. A definitive cause is not evident. Differentials include infection, inflammation, bile peritonitis and pleuritis, pancreatitis, cardiac disease, neoplasia, hypoproteinemia, and nonneoplastic liver disease._x000D_
2. The generalized hepatomegaly is nonspecific. Rule out metabolic/vacuolar hepatopathy, hyperplasia, hepatitis, congestion or infiltrative neoplasia._x000D_
3. Questionable mild generalized cardiomegaly (based on the wide appearance of the cardiac silhouette on the VD views).</t>
  </si>
  <si>
    <t>Recommend abdominal sonography, abdominocentesis plus/minus thoracocentesis and echocardiography for further evaluation.</t>
  </si>
  <si>
    <t xml:space="preserve">
1.The evaluation has detected soft tissue pulmonary nodules and pleural fluid._x000D_
2.Mild cardiomegaly has been detected but Heart Failure is NOT suspected._x000D_
3.PULMONARY NODULES or NODULAR PATTERN; PLEURAL EFFUSION or PLEURAL FISSURE LINES; SEVERE INTERSTITIAL TO ALVEOLAR PATTERN; MODERATE BRONCHIAL PATTERN; DYNAMIC AIRWAY DISEASE._x000D_
4.Based on the AI airway/pulmonary findings, the probability of this patient having clinically detectable respiratory signs is VERY HIGH (&gt;75%)_x000D_
5.In older dogs, a pulmonary mass or pulmonary nodules, pulmonary hemorrhage, pleural effusion or PTE are primary considerations._x000D_
6.In the ABSENCE of respiratory signs, lung lobe collapse or severe atelectasis secondary to anesthesia or deep sedation could artifactually create this appearance._x000D_
7.If this AI evaluation is inconsistent with your assessment or the clinical picture, a Vetology AI overread may be beneficial.</t>
  </si>
  <si>
    <t>Study:_x000D_
Thoracic radiography: three images dated August 14, 2024_x000D_
_x000D_
Findings:_x000D_
The cardiac silhouette and pulmonary vasculature are normal in size. The pulmonary parenchyma is unremarkable. The pleural space is normal. There is no intrathoracic lymphadenopathy. The larynx is normal. The trachea is normal in diameter and course. The liver extends mildly beyond the costal arch with a rounded caudoventral margin. There is mild T 13-L1 and L1-L2 spondylosis deformans. The patient is of overweight body condition.</t>
  </si>
  <si>
    <t>1. Normal thorax. There is no radiographic evidence of cardiopulmonary disease. A cause of the dyspnea/wheezing is not evident.Lack of a definitive bronchial pulmonary pattern does not exclude the possibility of allergic/inflammatory, infectious, irritant or parasitic bronchitis. Normal diameter of the trachea does not exclude the possibility of dynamic airway disease. Sedated laryngeal exam, fluoroscopy, airway sampling plus/minus heartworm testing and Baermann fecal flotation can be considered to further evaluate the respiratory signs._x000D_
2. The generalized hepatomegaly is nonspecific. Rule out metabolic/vacuolar hepatopathy, hyperplasia, hepatitis or infiltrative neoplasia. Sonography can be considered for further evaluation.</t>
  </si>
  <si>
    <t>Study:_x000D_
Thoracic and abdominal radiography: six images dated August 14, 2024_x000D_
_x000D_
Findings:_x000D_
The cardiac silhouette and pulmonary vasculature are normal in size. Multiple punctate mineral opacities thought to represent both endon pulmonary vessels and incidental pulmonary osteomas are scattered throughout the pulmonary parenchyma. On the right lateral projection, there is an indistinct round soft tissue opacity superimposed with the cranial mediastinal soft tissues in between the third ribs. This finding is not seen on the orthogonal view. The pleural space is normal. There is no intrathoracic lymphadenopathy. The trachea is normal in diameter and course. The abdominal serosal detail is normal. The stomach contains a small amount of heterogeneous/granular soft tissue material presumed to be ingesta. Similar material is present in some small intestinal segments. The small intestines are normal in size and course. The colon contains formed fecal material. The liver is normal in size and margin. The spleen is moderately to severely enlarged with smooth margins. The renal silhouettes are normal in size and contour. The urinary bladder is normal in size and opacity. Suture material is present in the caudoventral abdominal body wall. The osseous structures are unremarkable. There is moderate to severe remodeling/thickening of the left femoral head and neck.</t>
  </si>
  <si>
    <t>1. The moderate to severe generalized splenomegaly is nonspecific. Rule out extramedullary hematopoiesis, lymphoid hyperplasia, splenitis, congestion or infiltrative neoplasia. Sonography can be considered for further evaluation._x000D_
2. Questionable pulmonary nodule (neoplasia versus granuloma) versus superimposition artifact (given the lack of repeatability on the orthogonal view). Computed tomography thorax can be considered for further evaluation._x000D_
3. Incidental pulmonary osseous metaplasia._x000D_
4. Moderate left coxofemoral osteoarthrosis.</t>
  </si>
  <si>
    <t xml:space="preserve">
1.A minimal bronchial pattern has been detected._x000D_
2.A minimal perihilar infiltrate has been detected._x000D_
3.The cardiac silhouette size is normal._x000D_
4.There is no evidence of ALVEOLAR PATTERN, DYNAMIC AIRWAY COLLAPSE or BRONCHIECTASIS or PLEURAL EFFUSION.</t>
  </si>
  <si>
    <t>Thorax: There is a diffuse bronchointerstitial pattern.  The cardiac silhouette and pulmonary vasculature are unremarkable.  There is no evidence of pleural effusion or lymphadenopathy.</t>
  </si>
  <si>
    <t>Diffuse bronchointerstitial pattern which may be age-related or bronchitis.</t>
  </si>
  <si>
    <t xml:space="preserve">
1.Pleural fissure lines or small volume pleural effusion has been detected. In a mildly overweight animal, excessive pericardial fat can artifactually mimic the result of minimal pleural effusion._x000D_
2.The cardiac silhouette size is normal._x000D_
3.Are respiratory signs present? If YES._x000D_
4.Are respiratory signs present? If NO._x000D_
5.A mild perihilar infiltrate has been detected._x000D_
6.MODERATE INTERSTITIAL TO ALVEOLAR INFILTRATE; MILD BRONCHIAL PATTERN; MILD PERIHILAR INFILTRATE._x000D_
7.Based on the AI airway/pulmonary findings, the probability of this patient having clinically detectable respiratory signs is HIGH (75%)_x000D_
8.The evaluation has come up positive for a pulmonary nodular pattern.</t>
  </si>
  <si>
    <t>Thorax: The pulmonary parenchyma, cardiac silhouette, and pulmonary vasculature are unremarkable.  There is no evidence of pleural effusion or lymphadenopathy.  There are no abnormalities involving the visible portions of the extrathoracic trachea or larynx._x000D_
_x000D_
Abdomen: There is mild diffuse hepatomegaly.  There is no evidence of a gastrointestinal foreign body or obstruction.  On the ventrodorsal view the descending duodenum is gas-filled and within normal limits for diameter.  There are no abnormalities involving the visible portions of the spleen or urinary tract.  Serosal detail is normal.</t>
  </si>
  <si>
    <t>The appearance of the descending duodenum is most likely incidental however duodenitis or possible pancreatitis cannot be ruled out.</t>
  </si>
  <si>
    <t>Thorax: There is mild left-sided cardiomegaly.  There is no evidence of cardiogenic pulmonary edema.  There is mild diffuse bronchointerstitial pattern.  There is no evidence of pleural effusion or lymphadenopathy._x000D_
_x000D_
Abdomen: There is mild diffuse hepatomegaly.  There is a mineral opacity located medial to the left kidney.  The remainder of the abdominal viscera is unremarkable.</t>
  </si>
  <si>
    <t>Mild left-sided cardiomegaly without evidence of decompensation._x000D_
_x000D_
Diffuse bronchointerstitial pattern which may be age-related or bronchitis._x000D_
_x000D_
Mineral opacity medial to the left kidney which may represent a calculus within the renal pelvis or proximal ureter.</t>
  </si>
  <si>
    <t xml:space="preserve">
1.Mild cardiomegaly has been detected but Heart Failure is NOT suspected._x000D_
2.A minimal interstitial pulmonary pattern with a concurrent, minimal perihilar infiltrate have been detected._x000D_
3.There is no evidence of ALVEOLAR PATTERN or PLEURAL EFFUSION.</t>
  </si>
  <si>
    <t>Abdomen: There are small mineral opacities (gravel like) within the gastric lumen.  There is no evidence of a gastric outflow obstruction.  There is a small mineral opacity within a segment of jejunum.  There is no evidence of a gastrointestinal obstructive process.  The liver is diffusely enlarged.  The remainder of the abdomen is unremarkable._x000D_
_x000D_
Thorax: The pulmonary parenchyma, cardiac silhouette, and pulmonary vasculature are unremarkable.  There is no evidence of pleural effusion or lymphadenopathy.</t>
  </si>
  <si>
    <t>Gastrointestinal foreign bodies without evidence of obstruction._x000D_
_x000D_
Diffuse hepatomegaly.</t>
  </si>
  <si>
    <t>Study:_x000D_
Thoracic radiography: five images dated August 14, 2024_x000D_
_x000D_
Findings:_x000D_
The cardiac silhouette and pulmonary vasculature are normal in size. The pulmonary parenchyma is unremarkable. The pleural space is normal. There is no intrathoracic lymphadenopathy. The patient has a redundant dorsal tracheal membrane. The trachea is normal in diameter and course. The stomach contains unstructured heterogeneous soft tissue material presumed to be ingesta. There is narrowing of the L1-L2 through L3-L4 intervertebral disc spaces with severe spondylosis deformans. There is mild T6-T7 and moderate T 13-L1 spondylosis deformans without intervertebral disc space narrowing.</t>
  </si>
  <si>
    <t>1. Redundant dorsal tracheal membrane. Normal diameter of the trachea does not exclude the possibility of concomitant tracheal collapse. Consider fluoroscopy to further evaluate for possible dynamic airway disease as a cause of coughing is not otherwise evident._x000D_
2. Normal thorax. There is no radiographic evidence of cardiopulmonary disease. The lack of a bronchial pulmonary pattern does not exclude the possibility of allergic, inflammatory, infectious, inhaled irritant or parasitic bronchitis. Airway sampling plus/minus heartworm testing and Baermann fecal flotation can be considered to further evaluate for lower disease._x000D_
3. Multifocal lumbar intervertebral disc disease.</t>
  </si>
  <si>
    <t xml:space="preserve">
1.Are respiratory signs present? If NO._x000D_
2.Are respiratory signs present? If YES._x000D_
3.Are respiratory signs present? If NO._x000D_
4.Are respiratory signs present? If YES._x000D_
5.MINIMAL to MILD BRONCHOINTERSTITIAL PULMONARY PATTERN; MILD DYNAMIC AIRWAY DISEASE; FOCAL ATELECTASIS, or less likely, ALVEOLAR INFILTRATE._x000D_
6.MILD BRONCHOINTERSTITIAL PULMONARY PATTERN; MILD DYNAMIC AIRWAY DISEASE; MINIMAL PERIHILAR INFILTRATE._x000D_
7.Based on these AI airway/pulmonary findings, the probability of this patient having clinically detectable respiratory signs is MEDIUM (50%)_x000D_
8.Based on these AI airway/pulmonary findings, the probability of this patient having clinically detectable resspiratory signs is LOW (25%)_x000D_
9.Mild cardiomegaly has been detected but Heart Failure is NOT suspected.</t>
  </si>
  <si>
    <t>Study:_x000D_
Thoracic radiography: three images dated August 14, 2024_x000D_
_x000D_
Findings:_x000D_
There is severe left ventricular and left atrial enlargement. The pulmonary vasculature is normal in size. There is a mild diffuse bronchointerstitial pulmonary pattern. The pleural space is normal. There is no intrathoracic lymphadenopathy. The trachea is normal in diameter. The included abdomen is unremarkable. No skeletal abnormalities are present.</t>
  </si>
  <si>
    <t>1. Severe left-sided cardiomegaly, indicative of mitral valve disease, without evidence of decompensation. Echocardiography should be considered for further evaluation._x000D_
2. In the absence of any reported respiratory signs, the mild generalized bronchointerstitial pulmonary pattern is likely a benign age-related change. Allergic, inflammatory, infectious, inhaled irritant or parasitic bronchitis cannot be completely excluded. Airway sampling plus/minus heartworm testing and Baermann fecal flotation can be considered to further evaluate for lower disease.</t>
  </si>
  <si>
    <t xml:space="preserve">
1.A mild perihilar infiltrate has been detected._x000D_
2.Mild cardiomegaly has been detected but Heart Failure is NOT suspected._x000D_
3.A mild interstitial has been identified._x000D_
4.There is no evidence of DYNAMIC AIRWAY COLLAPSE or BRONCHIECTASIS.</t>
  </si>
  <si>
    <t>Three orthogonal thoracic radiographs dated 13th August 2024 are available for review. There are no previous radiographs available for comparison. _x000D_
_x000D_
Airway findings: The cervical and thoracic trachea have a normal size, outline and position. The carina, tracheal bifurcation and mainstem bronchi are normal. Throughout the caudal dorsal lung fields there is a moderate bronchointerstitial opacification._x000D_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</si>
  <si>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Caudal dorsal bronchointerstitial opacification: This is most consistent with lower airway infectious-inflammatory disease such as viral-bacterial bronchitis, parasitic bronchitis, unlikely heart worm. Fungal lower airway disease should be considered. Less likely are hyperardenocorticism, eosinophilic bronchopneumopathy, neoplasia (such a lymphoma) or idiopathic pulmonary fibrosis.</t>
  </si>
  <si>
    <t>Correlate with palpation testing for upper respiratory disease. Respiratory workup including CBC, serum chemistry, urinalysis, Baermann faecal testing, fungal testing, 4DX, +/- respiratory panel as advised in light of poor response to empiric management. Airway sampling may be considered._x000D_
Targeted management based on laboratory testing</t>
  </si>
  <si>
    <t>3 images of the thorax are provided for review.  The cardiovascular structures are normal.  There is a moderate bronchial pattern in all lung lobes.  The mediastinal and pleural structures are normal.  The trachea is uniform and normal in diameter.  Cranial abdominal detail is adequate.  Patchy mineralization is seen in the left dorsal abdomen.</t>
  </si>
  <si>
    <t>Moderate bronchial pulmonary pattern=ZZ90= consider bronchitis, response to inhaled irritants, response to circulating parasites, eosinophilic bronchopneumopathy.  Airway sampling may be helpful in further evaluation.  Mineralization in the left dorsal abdomen appears to be renal based on the lateral view but extends cranial to the kidney on the VD view.  Colonic debris is most likely.  Complete abdominal radiographs could be considered if clinically indicated.</t>
  </si>
  <si>
    <t xml:space="preserve">
1.Severe cardiomegaly has been detected but Heart Failure is NOT suspected._x000D_
2.Are respiratory signs present? If NO._x000D_
3.MODERATE BRONCHOINTERSTITIAL PULMONARY PATTERN; MILD DYNAMIC AIRWAY DISEASE; ATELECTASIS or less likely, pneumonia; MINIMAL PERIHILAR INFILTRATE._x000D_
4.Based on the AI airway/pulmonary findings, the probability of this patient having clinically detectable respiratory signs is MEDIUM to HIGH (50%-75%)_x000D_
5.Are respiratory signs present? If YES.</t>
  </si>
  <si>
    <t>8 images of the thorax, abdomen, and spine are presented for review.  The cardiovascular and pulmonary structures are normal.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Spinal alignment is normal with no consistently narrowed intervertebral disc spaces.  The coxofemoral joints are congruent.  No fractures or aggressive osseous lesions are seen.  The left patella is medially located.</t>
  </si>
  <si>
    <t>Radiographically normal thorax and abdomen.  Left medial patellar luxation.  Otherwise unremarkable osseous structures.</t>
  </si>
  <si>
    <t>Study:_x000D_
Thoracic and abdominal radiography: four images dated August 14,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unstructured heterogeneous soft tissue material presumed to be ingesta. The small intestines are normal in size, course and content. The colon contains formed fecal material. The liver and spleen are normal in size and margin. The renal silhouettes are normal in size and contour. The urinary bladder is normal in size and opacity. As before, there is mild T 12-T 13 and severe L2-L3 spondylosis deformans. The L4-L5 and L5-L6 intervertebral disc spaces appear mildly narrowed in comparison to the adjacent to spaces.</t>
  </si>
  <si>
    <t>1. Suspect L4-L5 and L5-L6 intervertebral disc disease. Neurology consultation and MRI can be considered for further evaluation._x000D_
2. Static T 12-T 13 and L2-L3 spondylosis deformans._x000D_
3. Unremarkable thorax._x000D_
4. Postprandial stomach=ZZ90= otherwise, unremarkable abdomen.</t>
  </si>
  <si>
    <t xml:space="preserve">
1.A mild perihilar infiltrate has been detected._x000D_
2.Minimal cardiomegaly has been detected but Heart Failure is NOT suspected._x000D_
3.MILD TO MODERATE BRONCHOINTERSTITIAL PULMONARY PATTERN; ATELECTASIS or ALVEOLAR INFILTRATE._x000D_
4.MILD to MODERATE BRONCHOINTERSTITIAL PATTERN; MINIMAL DYNAMIC AIRWAY DISEASE._x000D_
5.Based on these AI airway/pulmonary findings, the probability of this patient having clinically detectable respiratory signs is LOW to MEDIUM (25-50%)_x000D_
6.Based on these AI airway/pulmonary findings, the probability of this patient having clinically detectable respiratory signs is LOW to MEDIUM (25%-50%)_x000D_
7.Are respiratory signs present? If YES._x000D_
8.AI linked bacterial bronchitis in dogs article: https://platform.v2.vetology.net/doc/bacterial-bronchitis-in-dogs-and-cats_x000D_
9.Are respiratory signs present? If YES._x000D_
10.Are respiratory signs present? If NO._x000D_
11.Are respiratory signs present? If NO.</t>
  </si>
  <si>
    <t>4 images of the thorax are provided for review.  The cardiovascular structures are normal.  There is a moderate bronchial pattern in all lung lobes.  The mediastinal and pleural structures are normal.  Cranial abdominal detail is adequate.</t>
  </si>
  <si>
    <t>Moderate bronchial pulmonary pattern likely associated with heartworm disease in this patient.  No cardiovascular changes to contraindicate therapy for heartworm disease.</t>
  </si>
  <si>
    <t xml:space="preserve">
1.The evaluation has come up positive for a pulmonary nodular pattern._x000D_
2.The cardiac silhouette size is normal._x000D_
3.There is no evidence of BRONCHITIS, PERIHILAR INFILTRATE or DYNAMIC AIRWAY COLLAPSE or BRONCHIECTASIS._x000D_
4.A mild interstitial to alveolar pattern has been detected._x000D_
5.Pleural fissure lines or small volume pleural effusion has been detected. In a mildly overweight animal, excessive pericardial fat can artifactually mimic the result of minimal pleural effusion.</t>
  </si>
  <si>
    <t>5 images of the thorax and abdomen are provided for review.  The trachea is dorsally deviated, indicating left ventricular enlargement.  The cardiac silhouette is also mildly widened with rounding of the right ventricular margin.  No pulmonary infiltrates are seen.  The pulmonary vasculature is normal in size.  The mediastinal and pleural structures are normal.  Abdominal serosal detail is adequate in all quadrants.  The stomach contains a small amount of gas and the rugal folds are prominent.  The small intestines are normal in size.  Gas is present in the colon.  The urinary bladder is small.  The remaining abdominal organs are normal.</t>
  </si>
  <si>
    <t>Prominent rugal folds suggestive of gastritis.  This does not rule out underlying pancreatitis or infiltrative neoplasia.  Abdominal ultrasound could be considered in further evaluation.  Mild generalized cardiomegaly without current evidence of cardiogenic pulmonary edema.  Echocardiography may be helpful in further evaluation.</t>
  </si>
  <si>
    <t xml:space="preserve">
1.A minimal interstitial pulmonary and concurrent, mild dynamic airway disease have been detected._x000D_
2.Mild dynamic airway disease has been detected._x000D_
3.The cardiac silhouette size is normal._x000D_
4.There is no evidence of PULMONARY NODULES or PLEURAL EFFUSION.</t>
  </si>
  <si>
    <t>Study:_x000D_
Thoracic radiography: four images dated August 14, 2024_x000D_
_x000D_
Findings:_x000D_
There is severe generalized cardiomegaly. There is pulmonary venous distention. There is a diffuse unstructured interstitial pulmonary pattern, most severe in the perivascular regions of the caudodorsal lung fields. There is a thin pleural fissure lines seen between the right middle and caudal lung lobes on the VD view. There is no intrathoracic lymphadenopathy. The trachea is normal in diameter. The included abdomen is unremarkable. No skeletal abnormalities are present.</t>
  </si>
  <si>
    <t>Findings likely indicate dilated car tomography and decompensated congestive heart failure/cardiogenic pulmonary edema. Recommend echocardiography for further evaluation. Diuretic therapy with repeat radiography to monitor for response to treatment should be considered in the interim.</t>
  </si>
  <si>
    <t xml:space="preserve">
1.MODERATE ALVEOLAR PATTERN; CONCURRENT MILD to MODERATE BRONCHOINTERSTITIAL PATTERN; MILD DYNAMIC AIRWAY DISEASE._x000D_
2.Based on the AI airway/pulmonary findings, the probability of this patient having clinically detectable respiratory signs is MEDIUM to HIGH (50-75%)._x000D_
3.Are respiratory signs present? If YES._x000D_
4.Are respiratory signs present? If NO._x000D_
5.Mild cardiomegaly has been detected but Heart Failure is NOT suspected.</t>
  </si>
  <si>
    <t>A three view study of the thorax is provided for interpretation and comparison to the previous study dated 7-31-24._x000D_
_x000D_
The alveolar pulmonary pattern seen in the previous radiographs is resolved._x000D_
There is still a moderate diffuse bronchial pattern is unchanged relative to the previous radiographs. No new abnormalities are seen. The trachea and esophagus are unremarkable. No cardiovascular abnormalities are identified.</t>
  </si>
  <si>
    <t>The pneumonia appears resolved._x000D_
There is still a bronchial pattern that is more prominent than expected, but may still represent breed associated change given the lack of response to (presumed) antibiotic therapy._x000D_
If coughing is still present, bronchitis may be responsible for the pulmonary pattern, including allergic bronchitis or persistent resistant bacteria. However, if clinical signs are resolved the bronchial pattern is likely breed and age associated.</t>
  </si>
  <si>
    <t>Follow up CBC is recommended.</t>
  </si>
  <si>
    <t xml:space="preserve">
1.Are respiratory signs present? If YES._x000D_
2.MODERATE BRONCHOINTERSTITIAL PULMONARY PATTERN; MILD PERIHILAR INFILTRATE; MILD DYNAMIC AIRWAY DISEASE; ATELECTASIS or less likely, pneumonia._x000D_
3.Based on the AI airway/pulmonary findings, the probability of this patient having clinically detectable respiratory signs is MEDIUM to HIGH (50%-75%)_x000D_
4.Are respiratory signs present? If NO._x000D_
5.The cardiac silhouette size is normal.</t>
  </si>
  <si>
    <t>A lateral radiograph of the abdomen, and two lateral views of the thorax dated August 9, 2024, and four views of the thorax dated August 13, 2024 were reviewed. In the abdomen there is no peritoneal or retroperitoneal effusion. There is moderate volume gas and small volume fluid in the stomach. Fluid-filled pylorus causes the rounded soft tissue contour in the cranioventral abdomen. There is stippled soft tissue density overlying the ventral stomach which may be material in the stomach and duodenum versus superimposed colon. Small intestines are minimally filled. There is gas in the cecum and descending colon. Normal-sized liver, spleen, right kidney. The left kidney is obscured. No radiopaque urolithiasis. Punctate mineral density overlying the L1-2, L2-3, L3-4 intervertebral foramina are of doubtful clinical significance today. In the thorax on August 9, the cardiac and pulmonary vessels are slightly reduced in size. There are no abnormalities in the pulmonary parenchyma. There is small volume fat deposition ventral to the heart. No pleural effusion. Normal tracheal diameter. Scant gas in the esophagus, of doubtful significance. On August 13, the heart and pulmonary vessels continue to be smaller than expected. Small volume fat deposition is seen along the left side of the heart on the VD projection. There are a few incidental pulmonary osteomas. Scant fluid in the esophagus is transient and incidental. Normal tracheal diameter and position. Normal cranial mediastinal width. The left kidney is visible on the edge of the VD view and is normal size. On the 1st two lateral views, the pharyngeal region is visible and there is lobulated round 3.2 cm soft tissue opacity overlying the caudal aspect of the soft palate. No hyoid or laryngeal apparatus abnormalities.</t>
  </si>
  <si>
    <t>1. Mass-like contour in the pharyngeal region, concerning for neoplasia originating from the soft palate or pharynx. Artifact caused by patient rotation is next on the differential list._x000D_
2. Reduced size of cardiovascular structures typically due to hypovolemia. Hypoadrenocorticism can also cause this appearance. No other thoracic abnormalities._x000D_
3. Normal abdomen.</t>
  </si>
  <si>
    <t>Sedation and oral pharyngeal/laryngeal examination is recommended.</t>
  </si>
  <si>
    <t xml:space="preserve">
1.The cardiac silhouette size is normal._x000D_
2.There is no evidence of BRONCHITIS, DYNAMIC AIRWAY COLLAPSE or BRONCHIECTASIS or PLEURAL EFFUSION._x000D_
3.A mild interstitial to alveolar pattern has been detected.</t>
  </si>
  <si>
    <t>Four radiographs of the thorax, orthogonal views of the abdomen, and a lateral view of the caudal abdomen/pelvis are provided. The cardiac silhouette and pulmonary vessels are normal size and shape. There are no abnormalities in the pulmonary parenchyma. No soft tissue pulmonary nodules or enlarged intrathoracic lymph nodes. Possible redundant dorsal trachealis membrane in the cervical region, of uncertain significance today. Osseous structures are unremarkable._x000D_
_x000D_
In the abdomen there is no peritoneal or retroperitoneal effusion. The gastrointestinal tract is mildly filled. Normal-sized liver, spleen, left kidney. The right kidney is obscured by bowel loops. No radiopaque urolithiasis. No abnormalities in the region of the medial iliac lymph nodes. Normal lumbar spine.</t>
  </si>
  <si>
    <t>Normal thorax and abdomen. There is no evidence of cardiovascular disease on this study. A small valvular regurgitant jet can result in a relatively loud murmur.</t>
  </si>
  <si>
    <t>Orthogonal views of the front limbs and thorax are provided. There nine images total._x000D_
_x000D_
There are several small nodules visible in the lungs. These are subtle, but most easily seen superimposed over the heart in the lateral views. The heart is subjectively at the upper end of normal range to slightly enlarged. VHS is normal at 9.6. There is a moderate diffuse bronchial pattern no thoracic lymphadenopathy or pleural effusion is seen. In the VD view, the proximal aspect of the left first rib appears to have irregular contour, although superimposition artifact cannot be excluded as a cause of this appearance._x000D_
_x000D_
No abnormalities are seen involving the shoulder or scapula._x000D_
There is an unusual lucent region in the semilunar notch of the ulna, such that subchondral bone appears to be missing from this articular surface in the lateral view. However, the left elbow has a similar unusual appearance, so given the symmetry this is likely to be a benign variant._x000D_
No abnormalities are identified involving the cervical spine or the soft tissues of the neck._x000D_
There is mild osteophyte production involving the radial carpal bone in the right carpus._x000D_
No joint effusion or soft tissue swelling is identified.</t>
  </si>
  <si>
    <t>A specific explanation for the lameness is not identified. The appearance of the proximal ulna is unusual and suggestive of semilunar pathology, but this is symmetrical for both elbows, so is more likely incidental. The other joints and bones of the right forelimb are unremarkable._x000D_
There is mild degenerative change involving the carpus, which is unlikely to be relevant to the current lameness._x000D_
_x000D_
There is suspicion of irregular contour involving the proximal aspect of the left first rib, but since this is not the lame leg, this may be artifactual._x000D_
Neurologic pathology such as a nerve sheath tumor should still be ruled out as a cause of the lameness._x000D_
_x000D_
Several small pulmonary nodules are identified. The appearance is concerning for early metastatic neoplasia, although no primary tumor is seen in this study._x000D_
_x000D_
There is a bronchial pattern compatible with lower airway inflammation. The subjective appearance is most compatible with allergic bronchitis or idiopathic chronic bronchitis. Infectious causes are less likely but cannot be excluded.</t>
  </si>
  <si>
    <t>Restricted activity and anti-inflammatory therapy for possible soft tissue injury or inflammation causing the lameness is recommended._x000D_
_x000D_
There is concern for pulmonary nodules in this patient=ZZ90= CT would be ideal to verify this and help determine significance. This would also be helpful to help rule out nerve sheath tumor as a cause of the lameness._x000D_
_x000D_
Imaging of the abdomen to look for evidence of a primary tumor is also recommended.</t>
  </si>
  <si>
    <t>4 images of the thorax are provided for review.  The cardiovascular structures are normal.  There is a moderate bronchial pattern in all lung lobes.  The mediastinal and pleural structures are normal.  The trachea is narrowed from the caudal cervical region to the hilus on the right lateral view.  Cranial abdominal detail is adequate.</t>
  </si>
  <si>
    <t>Inconsistent tracheal narrowing suggests dynamic tracheal collapse.  Fluoroscopy or bronchoscopy could be considered.  Moderate bronchial pulmonary pattern=ZZ90= consider bronchitis, response to inhaled irritants, response to circulating parasites, eosinophilic bronchopneumopathy.  Airway sampling may be helpful in further evaluation.</t>
  </si>
  <si>
    <t xml:space="preserve">
1.Mild cardiomegaly has been detected but Heart Failure is NOT suspected._x000D_
2.A mild perihilar infiltrate has been detected._x000D_
3.There is no evidence of BRONCHITIS, ALVEOLAR PATTERN or PLEURAL EFFUSION.</t>
  </si>
  <si>
    <t>Study:_x000D_
Thoracic/cervical radiography: three images dated August 14, 2024_x000D_
_x000D_
Findings:_x000D_
The cardiac silhouette and pulmonary vasculature are normal in size. There is incidental platelike atelectasis in the craniodorsal lung field on both lateral projections. The pulmonary parenchyma is otherwise unremarkable. No pulmonary nodules or masses are present. The pleural space is normal. There is no intrathoracic lymphadenopathy. There is a lobulated soft tissue opaque mass in the retropharyngeal region causing ventral displacement of the larynx/proximal trachea. On the VD view, there is a lobulated soft tissue opaque mass in the subcutaneous tissues of the left cervical region lateral to the trachea. There is narrowing of the C3-C4 intervertebral disc space. Mild periarticular bone formation is present at the caudodistal aspect the humeral head bilaterally.</t>
  </si>
  <si>
    <t>1. The retropharyngeal mass effect is concerning for (reactive or neoplastic the retropharyngeal lymphadenopathy._x000D_
2. The left lateral subcutaneous cervical mass is of unknown origin. Consider a thyroid mass/carcinoma, superficial or deep cervical lymphadenopathy or other soft tissue neoplasm (e.g. sarcoma)._x000D_
3. Unremarkable thorax. There is no radiographic evidence of heart disease or pulmonary metastatic disease._x000D_
4. C3-C4 intervertebral disc disease._x000D_
5. Mild bilateral shoulder osteoarthrosis.</t>
  </si>
  <si>
    <t>Recommend computed tomography of the head and neck with tissue sampling of the masses for further evaluation.</t>
  </si>
  <si>
    <t xml:space="preserve">
1.MILD BRONCHIAL PATTERN; MINIMAL DYNAMIC AIRWAY DISEASE._x000D_
2.Based on these AI airway/pulmonary findings, the probability of this patient having clinically detectable respiratory signs is LOW (25%)_x000D_
3.Mild cardiomegaly has been detected but Heart Failure is NOT suspected._x000D_
4.Are respiratory signs present? If YES._x000D_
5.Are respiratory signs present? If NO._x000D_
6.There is no evidence of ALVEOLAR PATTERN, PERIHILAR INFILTRATE, PULMONARY NODULES or PLEURAL EFFUSION.</t>
  </si>
  <si>
    <t>Study:_x000D_
Thoracic radiography: three images dated August 14, 2024_x000D_
_x000D_
Findings:_x000D_
There is moderate to severe left ventricular and left atrial enlargement. The pulmonary vasculature is normal in size. There is a mild diffuse bronchointerstitial pulmonary pattern. The pleural space is normal. There is no intrathoracic lymphadenopathy. The trachea is normal in diameter. There is no lobar bronchi narrowing. The stomach contains unstructured heterogeneous soft tissue material presumed to be ingesta. Mild periarticular bone formation is present at the caudodistal aspect of the left humeral head and infraglenoid process of the scapula bilaterally.</t>
  </si>
  <si>
    <t>1. Moderate left-sided cardiomegaly, indicative of mitral valve disease, without evidence of decompensation. Echocardiography should be considered for further evaluation._x000D_
2. The mild diffuse bronchointerstitial pulmonary pattern is a nonspecific finding. This could be a benign age-related change or may indicate allergic, inflammatory, infectious, inhaled irritant or parasitic bronchitis. Airway sampling plus/minus heartworm testing and Baermann fecal flotation can be considered to further evaluate for lower airway disease._x000D_
3. The normal diameter of the trachea and bronchi do not exclude the possibility of dynamic airway disease as a potential cause of the reported coughing. Fluoroscopy can be considered to further evaluate for possible tracheal and social bronchial collapse.</t>
  </si>
  <si>
    <t>Study:_x000D_
Thoracic radiography: three images dated August 14, 2024_x000D_
_x000D_
Findings:_x000D_
The cardiac silhouette is normal in size and shape. The pulmonary vasculature is normal in size. The pulmonary parenchyma is unremarkable. The pleural space is normal. There is no intrathoracic lymphadenopathy. The trachea is normal in diameter and course. The liver extends mildly beyond the costal arch and has a rounded caudoventral margin. The T 13 vertebra is transitional with a hypoplastic rib on the right and no appreciable rib on the left. The T 12-T 13 through L4-L5 intervertebral disc spaces appear narrowed. This finding may be overestimated by beam distortion. There is moderate T 13-L1 and L1-out to spondylosis deformans.</t>
  </si>
  <si>
    <t>1. Unremarkable thorax. There is no radiographic evidence of heart disease. Consider echocardiography for further evaluation of the reported heart murmur._x000D_
2. The mild hepatomegaly is nonspecific. Rule out metabolic/vacuolar hepatopathy, hyperplasia, hepatitis or neoplasia. Sonography can be considered for further evaluation._x000D_
3. Suspect multifocal thoracolumbar intervertebral disc disease versus beam distortion artifact. Correlate with any thoracolumbar pain and/or proprioceptive deficits.</t>
  </si>
  <si>
    <t xml:space="preserve">
1.Are respiratory signs present? If NO._x000D_
2.MILD to MODERATE BRONCHOINTERSTITIAL PATTERN; MILD DYNAMIC AIRWAY DISEASE._x000D_
3.Based on these AI airway/pulmonary findings, the probability of this patient having clinically detectable respiratory signs is MEDIUM (50%)_x000D_
4.Are respiratory signs present? If YES._x000D_
5.Moderate cardiomegaly has been detected but Heart Failure is NOT suspected.</t>
  </si>
  <si>
    <t>Orthogonal views of the thorax and left elbow are provided (thoracic rads poorly exposed):_x000D_
_x000D_
Thorax:_x000D_
_x000D_
Cardiac silhouette has a normal shape and size._x000D_
Pulmonary vessels are within normal limits of size and shape._x000D_
Pulmonary parenchyma shows a suspected caudodorsal  pulmonary contusions, more evident in the right caudal lung lobe associated with a small volume of left sided pneumothorax also seen ventral to the cardiac silhouette in some of the lateral views. No signs of rib fractures or pleural effusion._x000D_
Mediastinum and diaphragm are within normal limits._x000D_
No signs of SC emphysema or swelling from penetrating wounds._x000D_
_x000D_
Left elbow:_x000D_
_x000D_
There is a lateral and proximal luxation of both radius and ulna relative to the left humerus.</t>
  </si>
  <si>
    <t>1) Caudal pulmonary contusions/hemorrhage with lung perforation and secondary close pneumothorax along with lateral and proximal luxation of both radius and ulna relative to the left humerus.</t>
  </si>
  <si>
    <t>Thoracocentesis with follow up radiographs evaluating the progression of the lung lobe contusions and pneumothorax._x000D_
Evaluate surgical options for the left elbow._x000D_
Abdominal US to evaluate the integrity of the abdominal organs evaluating urine production. Thoracolumbar radiographs.</t>
  </si>
  <si>
    <t xml:space="preserve">
1.MILD to MODERATE INTERSTITIAL TO ALVEOLAR PATTERN; MILD DYNAMIC AIRWAY DISEASE; MINIMAL PERIHILAR INFILTRATE._x000D_
2.MODERATE ALVEOLAR PATTERN; CONCURRENT MILD BRONCHOINTERSTITIAL PATTERN; MILD DYNAMIC AIRWAY DISEASE._x000D_
3.MILD BRONCHOINTERSTITIAL PULMONARY PATTERN; MILD DYNAMIC AIRWAY DISEASE; MINIMAL PERIHILAR INFILTRATE._x000D_
4.MODERATE INTERSITIAL TO ALVEOLAR PATTERN; MILD BRONCHITIS; MINIMAL PERIHILAR INFILTRATE._x000D_
5.Based on the AI airway/pulmonary findings, the probability of this patient having clinically detectable respiratory signs is MEDIUM (50%)._x000D_
6.Are respiratory signs present? If YES._x000D_
7.Are respiratory signs present? If YES._x000D_
8.Are respiratory signs present? If YES._x000D_
9.Are respiratory signs present? If YES._x000D_
10.AI linked bacterial pneumonia treatment in dogs: https://platform.v2.vetology.net/doc/pneumonia-in-dogs-and-cats_x000D_
11.Are respiratory signs present? If NO._x000D_
12.Are respiratory signs present? If NO._x000D_
13.Are respiratory signs present? If NO._x000D_
14.Are respiratory signs present? If NO._x000D_
15.Based on these AI airway/pulmonary findings, the probability of this patient having clinically detectable respiratory signs is MEDIUM (50%)_x000D_
16.Based on the AI airway/pulmonary findings, the probability of this patient having clinically detectable respiratory signs is MEDIUM (50%)_x000D_
17.Probability these AI pulmonary findings will accompany clinically detectable respiratory signs: MEDIUM to HIGH (50-75%%)_x000D_
18.Mild cardiomegaly has been detected but Heart Failure is NOT suspected.</t>
  </si>
  <si>
    <t>Thorax: There is no evidence of pulmonary metastatic disease.  On all views there is pulmonary underinflation.  The cardiac silhouette and pulmonary vasculature are unremarkable.  There are no abnormalities involving the pulmonary parenchyma.  There is no evidence of lymphadenopathy or pleural effusion.</t>
  </si>
  <si>
    <t>Pulmonary underinflation on all views.  This may reflect timing of radiographic acquisition however an upper airway obstructive process cannot be ruled out.</t>
  </si>
  <si>
    <t xml:space="preserve">
1.Are respiratory signs present? If NO._x000D_
2.MODERATE DYNAMIC AIRWAY DISEASE; MILD BRONCHOINTERSTITIAL PULMONARY PATTERN +/- PULMONARY HYPOINFLATION._x000D_
3.Based on these AI airway/pulmonary findings, the probability of this patient having clinically detectable respiratory signs is MEDIUM (50%)_x000D_
4.AI linked dynamic airway collapse in dogs: https://platform.v2.vetology.net/doc/canine-tracheal-collapse-treatment_x000D_
5.Pleural fissure lines or moderate pleural effusion has been detected. An overlying skin fold or in a moderately overweight animal, excessive pericardial fat could artifactually mimic the result of moderate pleural effusion._x000D_
6.Moderate cardiomegaly has been detected but Heart Failure is NOT suspected._x000D_
7.Are respiratory signs present? If YES.</t>
  </si>
  <si>
    <t xml:space="preserve">
1.MILD BRONCHIAL PATTERN; MILD PERIHILAR PATTERN._x000D_
2.Based on these AI airway/pulmonary findings, the probability of this patient having clinically detectable respiratorysigns is LOW (25%)_x000D_
3.The cardiac silhouette size is normal._x000D_
4.There is no evidence of DYNAMIC AIRWAY COLLAPSE or BRONCHIECTASIS or PULMONARY NODULES._x000D_
5.Are respiratory signs present? If YES._x000D_
6.Are respiratory signs present? If NO.</t>
  </si>
  <si>
    <t>Study:_x000D_
Thoracic and abdominal radiography: eight images dated August 14,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abdominal serosal detail is adequate. The stomach contains a small amount of heterogeneous soft tissue material presumed to be ingesta. The small intestines are normal in size, course and content. The colon contains formed fecal material. The liver extends mildly beyond the costal arch with a smooth and rounded caudoventral margin. The spleen is moderately enlarged with smooth margins. The renal silhouettes are normal in size and contour. The urinary bladder is normal in size and opacity. There is no prostatomegaly. The osseous structures are unremarkable. There is a lipomatous mass in the subcutaneous tissues of the ventral thorax.</t>
  </si>
  <si>
    <t>1. The mild hepatomegaly is nonspecific. Rule out metabolic/vacuolar hepatopathy, hyperplasia, hepatitis or  neoplasia. Sonography plus/minus adrenal axis testing can be considered for further evaluation._x000D_
2. The generalized splenomegaly is also nonspecific. Rule out extramedullary hematopoiesis, lymphoid hyperplasia, splenitis, congestion or infiltrative neoplasia. Sonography can be considered for further evaluation._x000D_
3. Unremarkable thorax. There is no radiographic evidence of cardiopulmonary disease or intrathoracic neoplasia.</t>
  </si>
  <si>
    <t>Thorax: Today=ZZ91=s study is compared to a study dated 6/17/2024.  There is no evidence of gas distention of the esophagus as previous.  There is static mild left-sided cardiomegaly.  On the left lateral view there is narrowing of the visible portions of the extrathoracic trachea..  There are no abnormalities involving the pulmonary parenchyma.  There is no evidence of pleural effusion or lymphadenopathy.</t>
  </si>
  <si>
    <t>Mild left-sided cardiomegaly without evidence of decompensation._x000D_
_x000D_
Suspect dynamic narrowing of the extrathoracic trachea.</t>
  </si>
  <si>
    <t xml:space="preserve">
1.Severe cardiomegaly has been detected but Heart Failure is NOT suspected._x000D_
2.SEVERE BRONCHIAL PATTERN, MODERATE DYNAMIC AIRWAY DISEASE, MILD, DIFFUSE INTERSTITIAL PATTERN WITH A SLIGHTLY MORE PRONOUNCED PERIHILAR INFILTRATE._x000D_
3.Based on the AI airway/pulmonary findings, the probability of this patient having clinically detectable respiratory signs is VERY HIGH (&gt;75%)_x000D_
4.If respiratory signs are present: YES._x000D_
5.If respiratory signs are present: NO.</t>
  </si>
  <si>
    <t>Three radiographs of the thorax/abdomen are provided. There is mild generalized cardiomegaly. Pulmonary vessels are normal size. There are no abnormalities in the pulmonary parenchyma. No pleural effusion or soft tissue pulmonary nodules. Mild narrowed caudal cervical trachea. No osseous abnormalities. In the abdomen serosal detail is normal. The spleen, left kidney, and liver are normal size. The right kidney is obscured. The gastrointestinal tract is minimally filled. No radiopaque urolithiasis.</t>
  </si>
  <si>
    <t>1. Mild generalized cardiomegaly consistent with acquired mitral and tricuspid valve disease. There is no evidence of pulmonary venous congestion or heart failure. No other intrathoracic abnormalities._x000D_
2. Probable cervical tracheal collapse._x000D_
3. Normal abdomen.</t>
  </si>
  <si>
    <t>An echocardiogram should be considered to help guide treatment.</t>
  </si>
  <si>
    <t>Three radiographs of the thorax and three views of the abdomen are provided. The heart and pulmonary vessels are normal size and shape. There are no abnormalities in the pulmonary parenchyma or along the plane of the esophagus. Small round soft tissue density in the right 3rd intercostal space on the VD projection is end-on pulmonary vessel. Osseous structures are age-appropriate._x000D_
_x000D_
In the abdomen serosal detail is adequate. There is large volume  soft tissue density with numerous ovoid kibble-like contours, and a few small mineral opaque fragments in the stomach. Small and large bowel are minimally distended. Normal-sized liver and spleen. The kidneys are obscured.</t>
  </si>
  <si>
    <t>Mineralized gastric debris may be a component of normal ingesta or foreign material. Remaining gastric contents appears to be normal ingesta. All or a portion of this could be foreign material causing gastritis and pyloric outflow obstruction. There is no evidence of small bowel obstruction. The thorax is normal.</t>
  </si>
  <si>
    <t>Recommend supportive care and repeat abdominal radiographs following fasting +/- positive contrast gastrogram to rule out gastric foreign material. With the volume of gastric contents, an extended fast may be necessary.</t>
  </si>
  <si>
    <t>5 images of the thorax and abdomen are presented for review.  The cardiovascular and pulmonary structures are normal.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small.  The remaining abdominal organs are normal.</t>
  </si>
  <si>
    <t>Radiographically normal thorax on the view provided.  Prominent rugal folds consistent with gastritis.  This does not rule out dietary indiscretion, pancreatitis, etc.</t>
  </si>
  <si>
    <t>If clinical signs persist with supportive therapy, abdominal ultrasound may be helpful.</t>
  </si>
  <si>
    <t xml:space="preserve">
1.Pleural fissure lines or small volume pleural effusion has been detected. In a mildly overweight animal, excessive pericardial fat can artifactually mimic the result of minimal pleural effusion._x000D_
2.The cardiac silhouette size is normal._x000D_
3.There is no evidence of PULMONARY NODULES._x000D_
4.SEVERE ALVEOLAR INFILTRATE; MILD PERIHILAR PATTERN; MORE DIFFUSE MILD BRONCHOINTERSTITIAL PULMONARY PATTERN._x000D_
5.Based on the AI airway/pulmonary findings, the probability of this patient having clinically detectable respiratory signs is HIGH (75%)_x000D_
6.Are respiratory signs present? If YES._x000D_
7.Are respiratory signs present? If NO.</t>
  </si>
  <si>
    <t>A three view study of the thorax is provided for interpretation._x000D_
_x000D_
The cardiovascular structures are within normal limits. No pulmonary nodules or pleural effusion are identified. There is a mild bronchial pattern. No thoracic lymphadenopathy or pleural effusion is seen. The trachea is unremarkable. No abnormalities are seen in the cranial abdomen. No destructive or productive bone lesions are identified.</t>
  </si>
  <si>
    <t>No evidence of neoplasia is seen._x000D_
_x000D_
The mild bronchial pattern is slightly more prominent than expected for age related change but would still be within the limits of prominent age related changes. Chronic allergic or idiopathic bronchitis could appear similar if supported by relevant clinical signs.</t>
  </si>
  <si>
    <t>Additional workup for lower airway disease may be indicated if relevant clinical signs are present. If there are none, the pulmonic changes likely represent age related change.</t>
  </si>
  <si>
    <t>Thorax: There is an alveolar pattern with air bronchograms involving the ventral portions of the left cranial lung lobe.  The cardiac silhouette and pulmonary vasculature are unremarkable.  Pleural effusion is not identified.  Lymphadenopathy is not identified.  There are thoracic hemivertebra.  There are no abnormalities involving the visible portions of the abdomen.</t>
  </si>
  <si>
    <t>The appearance of the left cranial lung lobe is consistent with pneumonia.</t>
  </si>
  <si>
    <t xml:space="preserve">
1.Are respiratory signs present? If NO._x000D_
2.Based on these AI airway/pulmonary findings, the probability of this patient having clinically detectable respiratorysigns is VERY HIGH (&gt;75%)_x000D_
3.Are respiratory signs present? If YES._x000D_
4.Mild cardiomegaly has been detected but Heart Failure is NOT suspected._x000D_
5.SEVERE INTERSTITIAL TO ALVEOLAR PATTERN; PULMONARY NODULES OR MASS LESION; PLEURAL FLUID or PLEURAL THICKENING; MILD BRONCHIAL PATTERN; MINIMAL DYNAMIC AIRWAY DISEASE._x000D_
6.The evaluation has come up positive for a pulmonary nodular pattern and pleural fissure lines or pleural effusion.</t>
  </si>
  <si>
    <t>Three radiographs of the thorax and two lateral views of the proximal thoracic limbs are provided. The cardiac silhouette and pulmonary vessels are normal size and shape. No pulmonary parenchymal abnormalities are appreciated. There is no pleural fluid or gas. The diaphragm is intact. No rib fractures. Vertebral alignment is normal. No definitive cervical spinal abnormalities. Metal opaque 0.7 cm pellet in the tissues lateral to C4-5 is of doubtful clinical significance today. Scapular contour is normal. The glenohumeral joints are congruent. No cubital abnormalities are appreciated. No thoracic rib fractures. Soft tissue evaluation of the proximal thoracic limbs is limited by high technique.</t>
  </si>
  <si>
    <t>Normal thorax and proximal thoracic limbs. A reason for the clinical signs is not identified. I agree that a neurologic abnormality such as brachial plexus insult is most likely.</t>
  </si>
  <si>
    <t>Consultation with a neurologist and advanced spinal/thoracic rib imaging with MRI should be considered.</t>
  </si>
  <si>
    <t>Study:_x000D_
Thoracic radiography: four images dated August 14, 2024_x000D_
_x000D_
Findings:_x000D_
The cardiac silhouette and pulmonary vasculature are normal in size. The pulmonary parenchyma is unremarkable. The pleural space is normal. There is no intrathoracic lymphadenopathy. The patient has a redundant dorsal tracheal membrane. The cervical trachea lumen appears narrowed at the thoracic inlet on the left lateral view in comparison to the right lateral projection. The included abdomen is unremarkable. There is moderate L4-L5 spondylosis deformans. The patient is of overweight body condition.</t>
  </si>
  <si>
    <t>1. Likely chondromalacia and dynamic airway disease/tracheal collapse. Fluoroscopy can be considered for further evaluation._x000D_
2. There is no radiographic evidence of cardiopulmonary disease.</t>
  </si>
  <si>
    <t xml:space="preserve">
1.MILD DYNAMIC AIRWAY DISEASE; MINIMAL BRONCHOINTERSTITIAL PULMONARY PATTERN._x000D_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PULMONARY NODULES.</t>
  </si>
  <si>
    <t xml:space="preserve">
1.The cardiac silhouette size is normal._x000D_
2.There is no evidence of ALVEOLAR PATTERN, DYNAMIC AIRWAY COLLAPSE or BRONCHIECTASIS or PULMONARY NODULES._x000D_
3.A moderate perihilar infitlrate has been detected._x000D_
4.A minimal interstitial pattern has been detected.</t>
  </si>
  <si>
    <t>A lateral view of the left proximal forelimb that includes the shoulder and elbow and a craniocaudal/VD view that includes both shoulders and elbows are provided for interpretation._x000D_
_x000D_
No abnormalities are identified involving the shoulder joint or the scapula. There is a slight contour irregularity involving the distal margin of the greater tubercle of the humerus in the lateral shoulder view. The appearance is subtle and within the limits of benign variation._x000D_
The elbow joint is unremarkable._x000D_
No soft tissue swelling or joint effusion is seen.</t>
  </si>
  <si>
    <t>No significant orthopedic abnormalities are identified.</t>
  </si>
  <si>
    <t>The cause of lameness is not apparent in the radiographs._x000D_
Restricted activity and anti-inflammatory therapy for possible soft tissue injury or inflammation is recommended.</t>
  </si>
  <si>
    <t xml:space="preserve">Patient Name : Edipus Lane, Date of study: Aug 14, 2024
11 images are provided for review
There are no previous radiographs for comparison.  Overexposure and soft tissue saturation limit evaluation. 
Prior images dated July 31, 2024 are available.  
Pulmonary parenchyma: A minimal to mild diffuse bronchial and minimal interstitial pattern is present.
Pulmonary vasculature: The pulmonary vasculature is subjectively normal in size and tapers in the periphery of the lungs.
Cardiac silhouette: The cardiac silhouette is tall in the lateral images and occupies 2/3 the height of the thorax with slight dorsal tracheal displacement.  
Mediastinum: The cranial mediastinum is normal.
Trachea: The trachea is normal.
Esophagus: The esophagus is not well-identified.
Pleural space: The pleural space is normal.
Bones/Joints:
In the right distal tibial diaphysis to metaphysis is a well-defined geographic lucent lesion that is somewhat multicameral with thin internal septae. The caudal right tibial cortex is thin at a result, but smoothly marginated.    This lesion has a short zone of transition.  No obvious periosteal proliferation is present at this site.
Minimal to mild bilateral coxofemoral joint osteoarthrosis is suspected with atypical osteophytes at the craniodorsal acetabular rims.   There is adequate coverage of the femoral heads by the acetabulums.
Mild to moderate left stifle osteoarthrosis is present, with enthesophytes suspected in the areas of attachment of the patella tendon, base of the patella, and lateral tibial condyle.  Minimal increased soft tissue is present in the left stifle joint, partially obscuring the infrapatellar fat pad.    
Mild to moderate right stifle osteoarthrosis is present, with enthesophytes suspected in the areas of attachment of the patella tendon, base of the patella, and lateral tibial condyle.  Moderate increased soft tissue is present in the right stifle joint, partially obscuring the infrapatellar fat pad.    
Multifocal thoracolumbar spondylosis deformans is present.
Osteoarthrosis of at least one shoulder joint is present.  
Soft tissues:  The right thigh soft tissues are small compared to the left.  No obvious soft tissue swelling adjacent to the right distal tibial lesion.  The remaining included soft tissues are normal.
</t>
  </si>
  <si>
    <t>1. Similar right distal tibial diaphyseal-metaphyseal multicameral lesion with geographic lucency, thinned cortices, and no obvious periosteal proliferation or soft tissue swelling.
- This is suspicious for a benign bone cyst lesion, or less likely evolving neoplasia such as a primary osteosarcoma or other.
2. Progressive, moderate right stifle synovial effusion/proliferation and mild-moderate right stifle osteoarthrosis.
- This is most likely due to cranial cruciate ligament injury. 
3. Similar mild diffuse bronchial and minimal interstitial pulmonary patterns due to fibrosis from prior disease, age-related changes, or unlikely infectious/immune-mediated disease or other.
- No obvious pulmonary soft tissue nodules or intra-thoracic lymphadenomegaly is identified.  
4. Mild-moderate left stifle osteoarthrosis and minimal synovial effusion/proliferation.
- This is most likely due to cranial cruciate ligament injury. 
5. Mild-moderate bilateral coxofemoral joint osteoarthrosis.
6. Mild unilateral shoulder osteoarthrosis.</t>
  </si>
  <si>
    <t>Consider bone biopsy or MRI of the right tibial lesion for further evaluation, and oncologist consultation depending on results. 
 Routine blood work to screen for occult systemic disease if not recently performed.  Consider right stifle injury/cruciate ligament injury as etiology of reported acute-onset right pelvic limb lameness reported.  Empirical therapy and supportive care in the interim as needed.  Orthopedist consultation and consider surgical intervention to the right stifle if an aggressive right tibial lesion is ruled out.  Monitoring with serial radiographs as directed or sooner if clinical signs acutely change, fail to improve or worsen.</t>
  </si>
  <si>
    <t xml:space="preserve">
1.Are respiratory signs present? If YES._x000D_
2.There is no evidence of DYNAMIC AIRWAY COLLAPSE or BRONCHIECTASIS._x000D_
3.Mild cardiomegaly has been detected but Heart Failure is NOT suspected._x000D_
4.Are respiratory signs present? If NO._x000D_
5.MODERATE INTERSTITIAL TO ALVEOLAR PATTERN; MILD BRONCHITIS._x000D_
6.Based on these AI airway/pulmonary findings, the probability of this patient having clinically detectable respiratory signs is MEDIUM (50%)</t>
  </si>
  <si>
    <t>Orthogonal radiographs of the thorax, and a lateral view of the abdomen are provided. The cardiac silhouette is normal size and shape. There is soft tissue opacity with faint air bronchograms in the mid and ventral lungs on both sides. The right lungs are most significantly affected. Equivocal scant pleural fluid. Normal tracheal diameter._x000D_
_x000D_
In the abdomen there is no effusion. Normal-sized liver, spleen. The kidneys are partially visible and also appear to be normal size. The gastrointestinal tract is minimally filled. No radiopaque foreign material or cystic calculi. The L2-3 intervertebral foramen is slightly reduced in size.</t>
  </si>
  <si>
    <t>1. Ventral alveolar pattern and equivocal scant pleural effusion, most consistent with aspiration pneumonia. This is worse on the right side._x000D_
2. Normal abdomen._x000D_
3. The appearance of L2-3 may represent a protruding/extruded intervertebral disc. This may be responsible for the apparent abdominal discomfort.</t>
  </si>
  <si>
    <t>Antibiotics are recommended for aspiration pneumonia, with follow-up radiographs (VD and both lateral views) upon completion to monitor for resolution of pneumonia.</t>
  </si>
  <si>
    <t xml:space="preserve">
1.The evaluation has a strong suspicion of soft tissue pulmonary nodules or mass lesion being present._x000D_
2.Mild cardiomegaly has been detected but Heart Failure is NOT suspected._x000D_
3.PULMONARY NODULES or NODULAR PATTERN; MODERATE TO SEVERE INTERSTITIAL TO ALVEOLAR PATTERN; PLEURAL EFFUSION; MILD BRONCHITIS; MILD PERIHILAR INFILTRATE._x000D_
4.Based on the AI airway/pulmonary findings, the probability of this patient having clinically detectable respiratory signs is VERY HIGH (&gt;75%)_x000D_
5.Are respiratory signs present? If YES._x000D_
6.Are respiratory signs present? If NO.</t>
  </si>
  <si>
    <t>Study:_x000D_
Thoracic radiography: three images dated August 12, 2024_x000D_
_x000D_
Compared to prior study dated July 9, 2021_x000D_
_x000D_
Findings:_x000D_
There is similar mild specific enlargement of the left atrium. The pulmonary vasculature is normal in size. The pulmonary parenchyma is unremarkable. The pleural space is normal. There is no intrathoracic lymphadenopathy. There is gas dilation of the laryngeal ventricles on both lateral views. The trachea is normal in diameter. There is no lobar bronchi narrowing. As before, there is granular mineral in the region of the gallbladder. This finding is similar in severity to the prior examination. The osseous structures are unremarkable._x000D_
_x000D_
A human digit is present in the primary beam on the right lateral projection.</t>
  </si>
  <si>
    <t>1. Static mild specific left atrial enlargement, suggestive of mitral valve disease, without evidence of decompensation. Echocardiography can be considered for further evaluation._x000D_
2. The dilation of the laryngeal ventricles can be an indicator of laryngeal paralysis. Sedated laryngeal exam can be considered for further evaluation._x000D_
3. Normal diameter of the trachea and lobar bronchi does not exclude the possibility of dynamic airway disease. Fluoroscopy can be considered to further rule out for possible tracheal and social bronchial collapse as a potential cause of the progressive coughing._x000D_
4. Static cholelithiasis.</t>
  </si>
  <si>
    <t xml:space="preserve">Patient Name : Lucy Dickerson, Date of study: Aug 14, 2024
3 images are provided for review
Canine Thorax (3 Images) - 2 Lateral, 1 Vd
There are no previous radiographs for comparison.
Pulmonary parenchyma: A minimal to mild diffuse interstitial pattern is present, most severe in the cranioventral lungs. In the right lateral image, a slight alveolar pattern is suspected in the ventral periphery of the caudal subsegment of the left cranial lung lobe.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mild gas or is empty.  
Pleural space:  Mild pleural fluid is present with widening of pleural fissures between the right cranial/middle, right middle/cranial and left cranial/caudal lung lobes, and rounding/retraction of caudal lung lobe margins from the diaphragmatic recesses.  
Musculoskeletal: T12-13 spondylosis deformans is present.  The remaining  included musculoskeletal structures are normal.
</t>
  </si>
  <si>
    <t xml:space="preserve">1. Mild-moderate pleural fluid such as from pleuropneumonia, hemorrhage, idiopathic effusion, chylous effusion, or malignant effusion.
2. Suspected left cranial lung lobe alveolar pattern versus artifact from positioning/technique.
- Differential diagnoses include bronchopneumonia, hemorrhage, atypical evolving neoplasia, or atelectasis from recumbency/pleural space disease.
3. Minimal-mild diffuse interstitial pulmonary pattern such as from fibrosis from prior disease, age-related changes, artifact from pleural space disease or unlikely other.
</t>
  </si>
  <si>
    <t>Consider routine blood work, abdominal imaging and thoracocentesis with fluid analysis/cytology for further evaluation.  Empirical therapy and supportive care in the interim for possible evolving pleuropneumonia and clinical signs as needed.   Therapy for 1-2 weeks past radiographic resolution of possible bronchopneumonia.  Monitoring as directed or sooner if clinical signs acutely change, fail to improve or worsen.</t>
  </si>
  <si>
    <t xml:space="preserve">
1.A mild to moderate bronchointerstitial pulmonary pattern has been detected._x000D_
2.A mild perihilar infiltrate has been detected._x000D_
3.Pleural fissure lines or moderate to severe pleural effusion has been detected. An overlying skin fold or in an obese animal, excessive pericardial fat could artifactually mimic the result of severe pleural effusion._x000D_
4.Mild cardiomegaly has been detected but Heart Failure is NOT suspected.</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</si>
  <si>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 In the LL view there is an end on vessel caudodorsal to the cardiac silhouette ventral to T7, superimposed with its rib and of a similar diameter as the remaining pulmonary vessels around._x000D_
Pleural space, mediastinum, diaphragm and thoracic wall within normal limits.</t>
  </si>
  <si>
    <t>Consider abdominal US to rule out abdominal metastases from melanoma.</t>
  </si>
  <si>
    <t xml:space="preserve">Patient Name : SADIE Torres, Date of study: Aug 14, 2024
3 images are provided for review
There are no previous radiographs for comparison.
Pulmonary parenchyma: Multiple well-defined round soft tissue pulmonary nodules are present.  The largest is over the presumed right cranial lung in the suspected left lateral image partially superimposed over the 4th ribs ventrally.  A well-defined nodule is over the 7th intercostal space in the presumed right lateral image.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T4-5 and multifocal thoracolumbar spondylosis deformans is present.  The remaining included musculoskeletal structures are normal.
</t>
  </si>
  <si>
    <t>1. Multiple pulmonary soft tissue nodules.
- The primary differential diagnoses is metastatic neoplasia from an occult primary or least likely granulomatous/fungal pneumonia such as from blastomycosis spp. or other.
2. Mild-moderate diffuse bronchial pulmonary pattern due to fibrosis from prior disease, age-related changes, or unlikely infectious/immune-mediated lower airway disease (such as from bordetella spp. or mycoplasma spp.), or other.</t>
  </si>
  <si>
    <t>Consider computed tomography of the thorax for further evaluation of the pulmonary nodules.  Routine blood work and abdominal imaging to screen for an occult primary neoplasm.  Consider fungal serology especially if the patient has an appropriate travel/exposure history and no primary neoplasm is identified.  Oncologist consultation depending on results.  Empirical therapy and supportive care in the interim as needed.  Monitoring as directed or sooner if clinical signs acutely change, fail to improve or worsen.</t>
  </si>
  <si>
    <t xml:space="preserve">
1.The evaluation has detected soft tissue pulmonary nodules._x000D_
2.MODERATE TO SEVERE INTERSTITIAL TO ALVEOLAR PATTERN; PULMONARY NODULES or NODULAR PATTERN; MILD BRONCHITIS._x000D_
3.Based on the AI airway/pulmonary findings, the probability of this patient having clinically detectable respiratorysigns is VERY HIGH (&gt;75%)_x000D_
4.A severe alveolar pattern and concurrent, diffuse bronchointerstitial pulmonary pattern have been detected._x000D_
5.The cardiac silhouette size is normal.</t>
  </si>
  <si>
    <t>WHOLE-BODY (2 radiographs are available for review). Previous examinations are available for comparison._x000D_
_x000D_
- There is a large, geometric, rock foreign body in the gastric lumen measuring approximately 2 x 2 cm._x000D_
- The stomach, small intestine and colon are moderately, diffusely distended with gas._x000D_
- The liver remains moderately enlarged, with rounded margins._x000D_
- Multiple tiny mineral opacities superimposed over the kidneys bilaterally._x000D_
- There remains moderate left-sided cardiomegaly present, with straightening of the caudal cardiac margin, dorsal displacement of the caudal aspect of the thoracic trachea. Pulmonary vasculature is normal._x000D_
- Unstructured interstitial pattern is present in the caudal lung lobes, bilaterally._x000D_
- Collapse of the trachea from the thoracic inlet to the carina.</t>
  </si>
  <si>
    <t>1. Medium-sized gastric rock foreign body, consistent with the clinical suspicion._x000D_
_x000D_
2. Diffuse aerophagia +/- gastrointestinal functional ileus._x000D_
_x000D_
3. Consistent moderate hepatomegaly. DDx vacuolar (metabolic) hepatopathy, less likely hepatitis or neoplasia._x000D_
_x000D_
4. Multiple bilateral small nephroliths._x000D_
_x000D_
5. Moderate left-sided cardiomegaly. There are bilateral unstructured interstitial patterns in the caudal lung lobes, which would normally raise concern for cardiogenic pulmonary edema secondary to left-sided congestive heart failure. However, as the patient is reported to not be coughing or have a dyspnea, the changes could be due to atypical pulmonary atelectasis or non-cardiogenic pulmonary edema. Consider echocardiography, ECG and cardiologist consultation for further assessment._x000D_
_x000D_
6. Tracheal collapse, secondary to chondromalacia.</t>
  </si>
  <si>
    <t>Please be aware of conclusion #5 and correlate to the respiratory status of the patient. In regards to the rock foreign body, you could consider fasting and rechecking the radiographs to evaluate for its persistence vs. passage (vs. alternatively gastrotomy or gastroscopy for removal if clinically indicated).</t>
  </si>
  <si>
    <t xml:space="preserve">
1.A minimal perihilar infiltrate has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4.SEVERE BRONCHIAL PATTERN; SEVERE DYNAMIC AIRWAY DISEASE._x000D_
5.Based on these AI airway/pulmonary findings, the probability of this patient having clinically detectable respiratory signs is VERY HIGH (&gt;75%)_x000D_
6.AI link to canine airway collapse treatment article: https://platform.v2.vetology.net/doc/canine-tracheal-collapse-treatment_x000D_
7.Are respiratory signs present? If YES._x000D_
8.Are respiratory signs present? If NO.</t>
  </si>
  <si>
    <t>A lateral view of the thorax is provided for review.  The trachea is dorsally deviated, indicating left ventricular enlargement.  A bulge is present in the region of the left atrium.  There is overall increased opacity at the hilar region, although the lateral view is obliqued.  The pulmonary vasculature is normal in size.  The trachea is mildly narrowed at the thoracic inlet and the primary bronchi are markedly narrowed.  The mediastinal and pleural structures are normal.  Cranial abdominal detail is adequate.</t>
  </si>
  <si>
    <t>Left-sided cardiomegaly without current evidence of pulmonary venous congestion.  Opacity near the hilus is thought likely to be related to superimposition of structures (oblique view) and superimposition of the enlarged left atrium, but pulmonary edema cannot be completely excluded.  A DV view may be helpful in further evaluation without overly stressing the patient if the patient is dyspneic.  Echocardiography may be helpful in further evaluation.  Tracheobronchial narrowing may indicate tracheal collapse.  Fluoroscopy or bronchoscopy could be considered in confirmation.</t>
  </si>
  <si>
    <t xml:space="preserve">
1.MILD to MODERATE BRONCHINTERSTITIAL PATTERN with ATELECTASIS or less likely, PNEUMONIA; MILD DYNAMIC AIRWAY DISEASE._x000D_
2.Based on these AI airway/pulmonary findings, the probability of this patient having clinically detectable respiratory signs is MEDIUM (50%)_x000D_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</si>
  <si>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Patient Name: pudding guo, Date of study: Aug 14, 2024
Canine Thorax (4 Images) - 3 Lateral, 1 VD
There are no previous radiographs for comparison.
Findings:
Trachea: The trachea is focally, severely decreased in height at the level of the thoracic inlet. The ventral margin of the trachea is dorsally deviated on all lateral views.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Esophagus: The region of the esophagus is within normal limits.
Cranial abdomen: The stomach is filled with heterogeneous ingesta admixed with gas. There is adequate serosal detail.</t>
  </si>
  <si>
    <t>1. There is focal alteration of the trachea at the level of the thoracic inlet. The primary differential is tracheal malformation +/- severe tracheal collapse. A mural lesion within the tracheal wall cannot be excluded. A tracheal foreign body is considered less likely.
2. Normal cardiopulmonary structures. A cardiogenic cough is not suspected. There is no evidence of heart failure.</t>
  </si>
  <si>
    <t>Tracheoscopy is recommended to further evaluate the trachea for malformation. Consultation with a surgeon may be of benefit if tracheal stenting is feasible.</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</si>
  <si>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is rounded and extends beyond the costal arch.  The stomach contains a small amount of gas.  The small intestines are normal in size.  Gas and feces are present in the colon.  The urinary bladder is small.  The remaining abdominal organs are normal.</t>
  </si>
  <si>
    <t xml:space="preserve">
1.Mild cardiomegaly has been detected but Heart Failure is NOT suspected._x000D_
2.Are respiratory signs present? If NO._x000D_
3.Are respiratory signs present? If NO._x000D_
4.Are respiratory signs present? If YES._x000D_
5.MODERATE BRONCHIAL PATTERN, MILD DYNAMIC AIRWAY DISEASE, MILD, DIFFUSE INTERSTITIAL PATTERN WITH A SLIGHTLY MORE PRONOUNCED PERIHILAR INFILTRATE._x000D_
6.MODERATE BRONCHOINTERSTITIAL PULMONARY PATTERN; ALVEOLAR INFILTRATE or ATELECTASIS; DYNAMIC AIRWAY DISEASE._x000D_
7.Based on these AI airway/pulmonary findings, the probability of this patient having clinically detectable respiratory signs is HIGH (75%)_x000D_
8.Based on these AI airway/pulmonary findings, the probability of this patient having clinically detectable respiratorysigns is MEDIUM (50%)_x000D_
9.Are respiratory signs present? If YES._x000D_
10.AI linked bronchitis disease treatment in dogs and cats: https://platform.v2.vetology.net/doc/bacterial-bronchitis-in-dogs-and-cats</t>
  </si>
  <si>
    <t>Four radiographs of the thorax are provided. Images dated 3/22/24 are available for comparison. The cardiac silhouette is normal size and shape. There is a mild bronchial pattern throughout the lungs. No interstitial infiltrates are appreciated. There are several incidental pulmonary osteomas. No pleural effusion. Moderate narrowed cervical trachea. Normal cranial mediastinal width. Small round increased opacity overlying the 4th intercostal space on both sides of the 2nd VD view is summating normal anatomy. In the cranial abdomen the liver is prominent as before.</t>
  </si>
  <si>
    <t>1. Mild bronchial pattern as before. With the cough, allergic bronchitis is the most likely diagnosis. Age-related changes could be contributing to this appearance. There is no evidence of pneumonia._x000D_
2. Probable cervical tracheal collapse, likely contributing to the cough._x000D_
3. Mild hepatomegaly as before, most likely steroid or other hepatopathy. This should be correlated with history and blood work.</t>
  </si>
  <si>
    <t>Consider treatment for allergic airway disease, and utilization of a body harness in place of a neck lead.</t>
  </si>
  <si>
    <t xml:space="preserve">Patient Name : Ellie Konopka, Date of study: Aug 14, 2024
3 images are provided for review
Canine Thorax (3 Images) - 2 Lateral, 1 Vd
Prior images of the thoracic limb dated May 13, 2023 are available.  Ungloved human digits primary beam.
Pulmonary parenchyma: A mild diffuse bronchial pattern is present.  The lungs are mild to moderately hypoinflated and a minimal diffuse interstitial pattern is present.  
Pulmonary vasculature: The pulmonary vasculature is subjectively normal in size and tapers in the periphery of the lungs.
Cardiac silhouette: The cardiac silhouette is mildly tall and occupies 2/3 the height of the thorax, with slight dorsal trachea displacement.  The caudodorsal margin of the cardiac silhouette is slightly flat.  Slight rounded increased soft tissue is suspected in the region of the left atrium.  
Mediastinum: The cranial mediastinum is normal.
Trachea: A soft tissue band superimposes over the mid- to caudal cervical tracheal segment.
Esophagus: The esophagus is not well-identified.
Pleural space: The pleural space is normal.
Musculoskeletal:  Prior left antebrachial fracture repair and cranially applied bone plate.   The remaining included musculoskeletal structures are normal.
</t>
  </si>
  <si>
    <t xml:space="preserve">1. Mild left-sided cardiomegaly such as from myxomatous mitral valvular disease and insufficiency versus artifact from phase of the cardiopulmonary cycle/patient positioning.
- There is no current evidence of left-sided congestive heart failure.  
2. Mild diffuse bronchial and minimal interstitial pulmonary pattern due to fibrosis from prior disease, age-related changes, infectious/immune-mediated lower airway disease, atelectasis/hypoinflation, or a combination of these, or unlikely other.
3. Dorsal redundant tracheal membrane versus superimposed normal structures.
- This does not rule out underlying dynamic airway disease.  </t>
  </si>
  <si>
    <t>Echocardiography, ECG and blood pressure for further evaluation, especially if a murmur is later identified.  Routine blood work and urinalysis to screen for occult systemic disease if not recently performed.  Consider tracheoscopy/bronchoscopy/fluoroscopy and airway sampling for further evaluation of dynamic airway disease if clinically indicated.  Empirical therapy and supportive care in the interim as needed.  Monitoring as directed or sooner if clinical signs acutely change, fail to improve or worsen.</t>
  </si>
  <si>
    <t xml:space="preserve">
1.MODERATE DYNAMIC AIRWAY DISEASE; MILD BRONCHOINTERSTITIAL PULMONARY PATTERN; MINIMAL PERIHILAR INFILTRATE._x000D_
2.Based on these AI airway/pulmonary findings, the probability of this patient having clinically detectable respiratory signs is MEDIUM (50%)_x000D_
3.Mild cardiomegaly has been detected but Heart Failure is NOT suspected._x000D_
4.Are respiratory signs present? If YES._x000D_
5.Are respiratory signs present? If NO.</t>
  </si>
  <si>
    <t xml:space="preserve">Patient Name : Daisy Huerta-Jones, Date of study: Aug 14, 2024
4 images are provided for review
There are no previous radiographs for comparison.
Pulmonary parenchyma: A minimal to mild diffuse bronchial pattern is present.  Presumed end-on vasculature structure over the left 5th intercostal space in the ventrodorsal image.  The lungs are hypoinflated in the lateral images.    Thoracic limbs superimpose over the cranial thorax in the lateral images, partially obscuring the cranial lungs.
Pulmonary vasculature: The pulmonary vasculature is subjectively normal in size and tapers in the periphery of the lungs.
Cardiac silhouette: The cardiac silhouette is tall and occupies 2/3 the height of the thorax in the lateral images.  
Mediastinum: The cranial mediastinum is normal.
Trachea: The trachea is normal.
Esophagus: The esophagus is not well-identified.
Pleural space: The pleural space is normal.
Musculoskeletal: The included musculoskeletal structures are normal.
</t>
  </si>
  <si>
    <t xml:space="preserve">1. Mild diffuse bronchial pulmonary pattern such as from infectious/immune-mediated lower airway disease, inhaled allergen/irritant, fibrosis from prior disease, age-related changes, or less likely other.
2. Equivocal left ventricular enlargement versus artifact from phase of the cardiopulmonary cycle/patient positioning.
- If present, consider myxomatous mitral valvular disease.
- There is no current evidence of left-sided congestive heart failure.
3. No obvious pulmonary nodules or intra-thoracic lymphadenomegaly.  </t>
  </si>
  <si>
    <t>Consider respiratory PCR panel, airway sampling, and fecal analysis for further evaluation.  Echocardiography, eCG and blood pressure if a murmur is later identified.  Empirical therapy and supportive care in the interim as needed.  Monitoring as directed or sooner if clinical signs acutely change, fail to improve or worsen.</t>
  </si>
  <si>
    <t xml:space="preserve">
1.Pleural fissure lines or small volume pleural effusion has been detected. In a mildly overweight animal, excessive pericardial fat can artifactually mimic the result of minimal pleural effusion._x000D_
2.A minimal to mild bronchointerstitial pulmonary pattern has been detected._x000D_
3.The cardiac silhouette size is normal._x000D_
4.There is no evidence of DYNAMIC AIRWAY COLLAPSE or BRONCHIECTASIS or PULMONARY NODULES.</t>
  </si>
  <si>
    <t>THORAX (3 radiographs are available for review). Multiple previous examinations are available for comparison, most recently from 08/09/24._x000D_
_x000D_
- Mild, diffuse, bronchial pulmonary pattern._x000D_
- The cardiac silhouette, pulmonary vasculature and pleural space are normal._x000D_
- The trachea is normal._x000D_
- The remaining intrathoracic structures are normal._x000D_
- The cranial abdominal structures are normal._x000D_
- The included musculoskeletal structures are normal.</t>
  </si>
  <si>
    <t>1. Negative examination for evidence of thoracic metastatic neoplasia._x000D_
_x000D_
2. Mild diffuse bronchial pulmonary pattern. DDx age-related lower airway changes, or chronic bronchitis (e.g. infectious, allergic, inhaled irritant).</t>
  </si>
  <si>
    <t xml:space="preserve">
1.Are respiratory signs present? If NO._x000D_
2.MILD BRONCHIAL PATTERN; MILD PERIHILAR PATTERN._x000D_
3.Based on these AI airway/pulmonary findings, the probability of this patient having clinically detectable respiratorysigns is LOW (25%)_x000D_
4.Are respiratory signs present? If YES._x000D_
5.The cardiac silhouette size is normal._x000D_
6.There is no evidence of ALVEOLAR PATTERN, DYNAMIC AIRWAY COLLAPSE or BRONCHIECTASIS, PULMONARY NODULES or PLEURAL EFFUSION.</t>
  </si>
  <si>
    <t>THORAX (4 radiographs for review)._x000D_
_x000D_
- Marked left-sided cardiomegaly, with straightening of the caudal cardiac margin and dorsal displacement of the caudal aspect of the thoracic trachea. There is a rounded soft-tissue opacity in the region of the left atrium._x000D_
- Diffuse distention of the pulmonary vasculature._x000D_
- Right caudal lung lobe unstructured interstitial pattern._x000D_
- The included abdominal structures are normal._x000D_
- Minimal multifocal vertebral spondylosis deformans.</t>
  </si>
  <si>
    <t>1. Marked left-sided cardiomegaly, with overt left atrial enlargement, pulmonary vasculature congestion and right caudal lung lobe unstructured interstitial pattern, raising concern for left-sided congestive heart failure secondary to degeneration of the mitral valve. Consider initiation of therapy for CHF and rechecking the abdominal radiographs when more stable to re-evaluate the degree of pulmonary opacification and pulmonary vasculature enlargement.</t>
  </si>
  <si>
    <t xml:space="preserve">
1.SEVERE INTERSTITIAL TO ALVEOLAR PATTERN; MODERATE BRONCHIAL PATTERN; SEVERE DYNAMIC AIRWAY DISEASE._x000D_
2.Based on these AI airway/pulmonary findings, the probability of this patient having clinically detectable respiratory signs is VERY HIGH (&gt;75%)_x000D_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</si>
  <si>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Abdomen: There is no evidence of a gastrointestinal foreign body or obstruction.  There are several segments of jejunum that appear to have diffuse wall thickening.  The liver is small.  There are no abnormalities involving the spleen.  There are no abnormalities involving the visible portions of the urinary tract.  Serosal detail is unremarkable.  There are no abnormalities involving the visible portions of the thorax.</t>
  </si>
  <si>
    <t>Possible diffuse small distal wall thickening.  This is not a definitive finding on survey radiography.  Differential considerations include artifactual, variation of normal, enteritis, or IBD._x000D_
_x000D_
Mild microhepatica.</t>
  </si>
  <si>
    <t>Left thoracic limb: There appears to be mild soft tissue thickening/swelling associated with the dorsal lateral aspect of the carpus.  There is mild osseous remodeling associated with the extensor tendon grooves along the medial aspect of the distal radial metaphysis.  Periarticular osseous remodeling is associated with the third and fourth metacarpal phalangeal joints.  There is soft tissue thickening/swelling along the abaxial aspect of the second metacarpal phalangeal joint.  There is a small osseous body adjacent to the abaxial aspect of the second metacarpal phalangeal joint which may represent dystrophic mineralization of ligamentous structures or possible small avulsion fragment.  There are no abnormalities involving the elbow.  There are no abnormalities involving the visible portions of the shoulder._x000D_
_x000D_
Thoracolumbar spine: There is narrowing of the intervertebral disc space at L1-2.  The endplates at this level are sclerotic and irregular with small lucent areas.  There is spondylosis deformans at this level.  Bridging spondylosis deformans is noted at L6-7 and lumbosacral junction.  There are numerous regions of spondylosis deformans involving the remainder of the lumbar vertebral column._x000D_
_x000D_
Thorax: The pulmonary parenchyma, cardiac silhouette, and pulmonary vasculature are unremarkable.  There is no evidence of pleural effusion or lymphadenopathy._x000D_
_x000D_
Abdomen: The liver is small.  The remainder of the abdominal viscera is unremarkable.</t>
  </si>
  <si>
    <t>Soft tissue thickening/swelling involving the dorsal lateral aspect of the carpus.  This may be secondary to soft tissue trauma._x000D_
_x000D_
Mild degenerative changes involving the extensor tendon grooves._x000D_
_x000D_
Degenerative changes involving the second, third, and fourth metacarpal phalangeal joints._x000D_
_x000D_
Intervertebral disc disease at L1-2.  In light of the appearance of the endplates, previous or current discospondylitis cannot be ruled out._x000D_
_x000D_
Numerous regions of spondylosis deformities._x000D_
_x000D_
Mild microhepatica.</t>
  </si>
  <si>
    <t>WHOLE-BODY (6 radiographs for review). No previous for comparison._x000D_
_x000D_
- Peritoneal serosal detail is normal._x000D_
- The stomach contains mild gas and gas-stippled soft-tissue opaque material._x000D_
- The small intestine is mildly diffusely distended with gas and numerous segments may have thickened walls._x000D_
- There is a modest volume of gas in the cecum._x000D_
- The colon contains mildly desiccated, formed fecal material._x000D_
- Liver, spleen, kidneys, urinary bladder normal._x000D_
- Caudal thorax is normal._x000D_
- Bilateral, moderate coxofemoral osteoarthritis with reduced femoral head coverage.</t>
  </si>
  <si>
    <t>1. The appearance of the gastrointestinal tract can be compatible with a combination of aerophagia and non-specific functional ileus. As the vomiting is reported to be chronic and intermittent, I have some concern for infiltrative bowel disease (e.g. IBD, less likely neoplasia such as GI lymphoma, however the changes could be simply due to gastroenteritis). There is no evidence of foreign material or mechanical obstruction._x000D_
_x000D_
2. Bilateral, moderate coxofemoral osteoarthritis with reduced femoral head coverage, likely consistent with chronic changes from canine hip dysplasia.</t>
  </si>
  <si>
    <t>4 images of the thorax and abdomen are presented for review.  The cardiovascular structures are normal.  Focal alveolar opacity is present in the caudal subsegment of the left cranial lung lobe.  No pulmonary nodules or enlarged intrathoracic lymph nodes are seen.  The pleural and mediastinal structures are normal.  Abdominal serosal detail is adequate in all quadrants.  A poorly defined soft tissue mass is seen in the ventral mid abdomen.  The tail of the spleen is irregularly margined.  The stomach contains a moderate amount of ingesta.  The small intestines are normal in size.  Gas and feces are present in the colon.  The urinary bladder is small.  The remaining abdominal organs are normal.</t>
  </si>
  <si>
    <t>Focal lobular pulmonary pattern=ZZ90= consider pneumonia most likely based on the distribution but cannot rule out other infiltrates such as hemorrhage or neoplasia.  Airway sampling may be helpful.  Irregular splenic tail and poorly defined mid abdominal mass most concerning for splenic origin neoplasia or hematomas.  Abdominal ultrasound could be considered prior to abdominal exploratory.</t>
  </si>
  <si>
    <t xml:space="preserve">
1.A mild bronchial pattern has been detected._x000D_
2.The evaluation has a strong suspicion of pulmonary nodules or mass lesion being present._x000D_
3.The cardiac silhouette size is normal._x000D_
4.There is no evidence of ALVEOLAR PATTERN, PERIHILAR INFILTRATE or DYNAMIC AIRWAY COLLAPSE or BRONCHIECTASIS.</t>
  </si>
  <si>
    <t>1) Unremarkable thorax without signs of pulmonary metastases nor signs of thoracic lymphadenopathy. Unremarkable lungs do not exclude a bronchitis of allergic origin vs inflammatory/infectious or parasitic origin. _x000D_
2) Hepatomegaly: Metabolic vs Vacuolar infiltration vs Hepatic nodular hyperplasia vs Inflammatory vs Toxic vs Neoplastic or a combination of these differentials.</t>
  </si>
  <si>
    <t>Consider BOAS exam under sedation evaluating the benefit of an empirical treatment for chronic bronchitis evaluating response to treatment. Consider abdominal US to further evaluate the liver.</t>
  </si>
  <si>
    <t xml:space="preserve">
1.Pleural fissure lines or moderate to severe pleural effusion has been detected. An overlying skin fold or in an obese animal, excessive pericardial fat could artifactually mimic the result of severe pleural effusion._x000D_
2.Mild cardiomegaly has been detected but Heart Failure is NOT suspected._x000D_
3.Are respiratory signs present? If YES._x000D_
4.Are respiratory signs present? If NO._x000D_
5.Are respiratory signs present? If NO._x000D_
6.SEVERE INTERSTITIAL TO ALVEOLAR PATTERN; MODERATE BRONCHIAL PATTERN; MODERATE DYNAMIC AIRWAY DISEASE._x000D_
7.MODERATE BRONCHOINTERSTITIAL PULMONARY PATTERN, MODERATE DYNAMIC AIRWAY DISEASE,  SLIGHT PERIHILAR INFILTRATE._x000D_
8.Based on these AI airway/pulmonary findings, the probability of this patient having clinically detectable repsiratory signs is VERY HIGH (&gt;75%)_x000D_
9.Based on these AI airway/pulmonary findings, the probability of this patient having clinically detectable respiratorysigns is MEDIUM (50%)_x000D_
10.Are respiratory signs present? If YES._x000D_
11.AI linked bronchitis disease treatment in dogs and cats: https://platform.v2.vetology.net/doc/bacterial-bronchitis-in-dogs-and-cats_x000D_
12.AI linked pneumonia in dogs article: https://platform.v2.vetology.net/doc/pneumonia-in-dogs-and-cats</t>
  </si>
  <si>
    <t>Orthogonal views of the thorax are provided:_x000D_
_x000D_
Thorax:_x000D_
_x000D_
Cardiac silhouette has a normal shape and size._x000D_
Pulmonary vessels are within normal limits of size and shape._x000D_
Pulmonary parenchyma shows multiple small and indistinct pulmonary nodules throughout the different lung lobes leading to a widespread dense alveolo-interstitial lung pattern_x000D_
Pleural space, mediastinum, diaphragm and thoracic wall within normal limits.</t>
  </si>
  <si>
    <t>1) Multiple pulmonary nodules consistent with pulmonary metastases and suspected pulmonary hemorrhage or severe inflammation. Rule out hemangiosarcoma vs carcinoma. A fungal disease is unlikely.</t>
  </si>
  <si>
    <t>Abdominal US and CT of the thorax with US guided FNAs of the lungs with echocardiogram.</t>
  </si>
  <si>
    <t xml:space="preserve">
1.PLEURAL EFFUSION or less likely, OVERLYING SKIN FOLDS MIMICKING PLEURAL FLUID; PULMONARY NODULAR PATTERN likely due to END ON PULMONARY VESSELS, PROMINENT COSTOCHONDRAL JUNCTIONS or OVERLYING CUTANEOUS NODULES; MILD BRONCHIAL PATTERN._x000D_
2.Based on these AI airway/pulmonary findings, the probability of this patient having clinically detectable respiratory signs is HIGH (75%)_x000D_
3.Pleural fissure lines or moderate to severe pleural effusion has been detected._x000D_
4.The evaluation has a strong suspicion of pulmonary nodules or mass lesion being present._x000D_
5.A mild bronchial pattern has also been detected._x000D_
6.A moderate to severe interstitial to alveolar pattern with concurrent dynamic airway disease has been identified._x000D_
7.Dynamic airway disease has been detected_x000D_
8.A severe perihilar infiltrate has been detected._x000D_
9.Severe cardiomegaly has been detected but Heart Failure is NOT suspected.</t>
  </si>
  <si>
    <t>6 views of the thorax and abdomen are submitted for review. The study is compared to a previous study made May 29, 2024._x000D_
In the thorax, there is mild straightening of the caudal cardiac waist.  The heart is subjectively generally enlarged with increased convexity of the right heart (VHS approximately 11.5).  The pulmonary vasculature is within normal limits.  Mild bronchointerstitial markings are noted in the lung fields.  No pleural effusion or intrathoracic lymphadenopathy is noted.  The trachea is normal._x000D_
In the abdomen, the liver is moderately enlarged with rounded serosal margins.  The spleen is normal in size and shape.  The unobscured margins and renal silhouettes and urinary bladder are normal.  The stone contains a moderate amount of ingesta.  The small bowel and colon are within normal limits.  Serosal detail is adequate._x000D_
No aggressive bony changes are seen.</t>
  </si>
  <si>
    <t>The appearance of the lung field is consistent chronic inflammatory airway disease.  No definitive evidence of congestive heart failure is seen.  Thoracic radiographs represent expiratory exposure which accentuates the appearance of the lung fields._x000D_
The appearance of the heart is consistent with mitral and tricuspid insufficiency likely associated with valvular endocardiosis.  Concurrent pulmonary hypertension is not excluded._x000D_
Moderate hepatomegaly.  Differentials include vacuolar hepatopathy, venous congestion, neoplasia, or possibly inflammation.  This may also be multifactorial._x000D_
These changes are essentially similar to previous study.</t>
  </si>
  <si>
    <t>An echocardiogram and abdominal ultrasound are recommended for further evaluation.</t>
  </si>
  <si>
    <t xml:space="preserve">
1.MODERATE BROCHIAL PATTERN; MODERATE DYNAMIC AIRWAY DISEASE; MILD INTERSTITIAL INFILTRATE with ATELECTASIS or less likely, PNEUMONIA._x000D_
2.Based on these AI airway/pulmonary findings, the probability of this patient having clinically detectabe respiratory signs is MEDIUM (50%)_x000D_
3.Are respirartory signs present? If YES._x000D_
4.AI linked collapsing airway disease in dogs: https://platform.v2.vetology.net/doc/canine-tracheal-collapse-treatment_x000D_
5.Are respiratory signs preesnt? If NO._x000D_
6.Pleural fissure lines or small volume pleural effusion has been detected. In a mildly overweight animal, excessive pericardial fat can artifactually mimic the result of minimal pleural effusion._x000D_
7.Severe cardiomegaly has been detected but Heart Failure is NOT suspected.</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</si>
  <si>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empty_x000D_
Small intestines are mildly gas and fluid filled, not overtly distended. No signs of mechanical ileus._x000D_
Serosal detail is preserved._x000D_
Liver extends beyond the costal arch with mildly rounded  margins._x000D_
Spleen is within normal limits of size and smoothly marginated._x000D_
_x000D_
Extensive multifocal signs of chronic IVDD.</t>
  </si>
  <si>
    <t>Consider CBC and abdominal US to further evaluate the liver, pancreas and entire abdomen with +/- FNAs from the hepatic parenchyma._x000D_
Consider also a contralateral view of the thorax to completely rule out pulmonary metastases.</t>
  </si>
  <si>
    <t>Study:_x000D_
Thoracic/abdominal radiography: three images dated August 13, 2024_x000D_
_x000D_
Findings:_x000D_
The cardiac silhouette and pulmonary vasculature are normal in size. There is a moderate generalized bronchial pulmonary pattern. The pleural space is normal. There is no intrathoracic lymphadenopathy. The trachea is normal in diameter and course. The stomach contains gas with the pylorus appropriately gas-filled on the left lateral image. The small intestines are normal in size, course and content. The colon contains formed fecal material. The liver and spleen are normal in size and margin. The kidneys are normal in size and contour. The urinary bladder is moderately distended. The absence of any reported urinary signs come of this finding is likely secondary conscious retention. The osseous structures are unremarkable.</t>
  </si>
  <si>
    <t>1. The moderate generalized bronchial pulmonary pattern may indicate infectious bronchitis given the prior positive testing for Mycoplasma. Allergic/inflammatory bronchitis (asthma), parasitic bronchitis or bronchitis secondary to inhaled irritants cannot be excluded. Airway sampling plus/minus heartworm testing and Baermann fecal flotation can be considered for further evaluation._x000D_
2. Unremarkable abdomen.</t>
  </si>
  <si>
    <t xml:space="preserve">Patient Name : Bella Cervantes, Date of study: Aug 13, 2024
3 images are provided for review
Canine Thorax (3 Images) - 2 Lateral, 1 Vd
There are no previous radiographs for comparison.  Ungloved human digits primary beam.  
Pulmonary parenchyma: A minimal to mild diffuse bronchial pattern is present.
Pulmonary vasculature: The pulmonary vasculature is subjectively normal in size and tapers in the periphery of the lungs.
Cardiac silhouette: The cardiac silhouette is moderate to severely enlarged and tall, occupying over 2/3 the height of the thorax. This is likely exacerbated by patient obliquity in the lateral images.  The caudodorsal margin of the cardiac silhouette is rounded and enlarged, with lateral displacement of mainstem bronchi in the ventrodorsal image.  
Mediastinum: The cranial mediastinum is normal.
Trachea: The trachea is normal.
Esophagus: The esophagus is not well-identified.
Pleural space: The pleural space is normal.
Musculoskeletal: The included musculoskeletal structures are normal.
</t>
  </si>
  <si>
    <t xml:space="preserve">1. Moderate-severe cardiomegaly such as from myxomatous mitral valvular disease or unlikely other.
- There is no current evidence of left-sided congestive heart failure.  
2. Minimal to mild diffuse bronchial pulmonary pattern due to fibrosis from prior disease, age-related changes, or less likely  infectious/immune-mediated lower airway disease, or unlikely other.
</t>
  </si>
  <si>
    <t>Echocardiography, ECG and blood pressure for further evaluation.  Routine blood work and urinalysis if not recently performed.  This examination does not rule out underlying dynamic airway disease, and consider tracheoscopy/bronchoscopy and airway sampling for further evaluation if clinically indicated.  Empirical therapy and supportive care in the interim as needed. 
 Monitoring as directed or sooner if clinical signs acutely change, fail to improve or worsen.</t>
  </si>
  <si>
    <t xml:space="preserve">
1.MODERATE INTERSTITIAL TO ALVEOLAR INFILTRATE; CONCURRENT MODERATE BRONCHIAL PATTERN; MILD PERIHILAR INFILTRATE._x000D_
2.MODERATE BRONCHOINTERSTITIAL PULMONARY PATTERN; ALVEOLAR INFILTRATE or ATELECTASIS; DYNAMIC AIRWAY DISEASE._x000D_
3.Based on these AI airway/pulmonary findings, the probability of this patient having clinically detectable respiratory signs is HIGH (75%)_x000D_
4.AI linked bacterial pneumonia treatment in dogs: https://platform.v2.vetology.net/doc/pneumonia-in-dogs-and-cats_x000D_
5.Are respiratory signs present? If YES._x000D_
6.Are respiratory signs present? If NO._x000D_
7.Based on the AI airway/pulmonary findings, the probability of this patient having clinically detectable respiratorysigns is MEDIUM to HIGH (50-75%)_x000D_
8.Are respiratory signs present? If YES._x000D_
9.Are respiratory signs present? If NO._x000D_
10.Severe cardiomegaly has been detected but Heart Failure is NOT suspected.</t>
  </si>
  <si>
    <t>THORAX (3 radiographs for review)._x000D_
_x000D_
- There is a narrowing and opacification of the trachea that begins in the region of the thoracic inlet and extends to the level of the carina, with concurrent bronchial collapse present._x000D_
- A mild, diffuse, bronchointerstitial pulmonary pattern is identified, which is more prominent in the right hemithorax._x000D_
- A mild right sided mediastinal shift is noted._x000D_
- Thin, well-defined, curvilinear metallic foreign body in the right cranioventral abdomen._x000D_
- The remainder of the cranial abdominal structures are normal._x000D_
- Multifocal cervical intervertebral disc space narrowing and spondylosis deformans.</t>
  </si>
  <si>
    <t>1. Radiographically, the most likely cause of the patient=ZZ91=s reported coughing seems to be tracheal collapse, secondary to chondromalacia. I would recommend assessing for and considering empirical therapy for tracheal collapse, with palpation +/- fluoroscopy if clinically indicated._x000D_
_x000D_
2. Diffuse bronchointerstitial pulmonary pattern is common in dogs with tracheal collapse and may indicate concurrent low-grade bronchitis and/or bronchial edema. There is mild right-sided pulmonary atelectasis._x000D_
_x000D_
3. Likely incidental migrating right cranioventral abdominal wire-like peritoneal foreign body, likely present within the liver or less likely gallbladder._x000D_
_x000D_
4. Multifocal mid- and caudal cervical intervertebral disc degeneration.</t>
  </si>
  <si>
    <t xml:space="preserve">
1.A minimal interstitial pulmonary pattern with a concurrent, minimal perihilar infiltrate have been detected._x000D_
2.The cardiac silhouette size is normal._x000D_
3.There is no evidence of ALVEOLAR PATTERN, DYNAMIC AIRWAY COLLAPSE or BRONCHIECTASIS or PULMONARY NODULES.</t>
  </si>
  <si>
    <t>6 images of the thorax are provided for review.  The cardiovascular structures are normal.  There is a moderate bronchial pattern in all lung lobes.  Focal alveolar opacity is present in the right cranial lung lobe.  The mediastinal and pleural structures are normal.  Cranial abdominal detail is adequate.</t>
  </si>
  <si>
    <t>Moderate bronchial pulmonary pattern consistent with viral or Bordetella type pneumonitis.  Focal alveolar pulmonary pattern concerning for early bronchopneumonia.</t>
  </si>
  <si>
    <t>Airway sampling may be helpful to guide antibiotic therapy.</t>
  </si>
  <si>
    <t xml:space="preserve">
1.Are respiratory signs present? If YES._x000D_
2.Are respiratory signs present? If NO._x000D_
3.MINIMAL to MILD DIFFUSE, MIXED BRONCHOINTERSTITIAL PULMONARY PATTERN with ATELECTASIS or less likely, pneumonia._x000D_
4.Probability these AI pulmonary findings will accompany clinically detectable respiratory signs: LOW (25%)_x000D_
5.The cardiac silhouette size is normal.</t>
  </si>
  <si>
    <t>A three view thoracoabdominal study is provided for interpretation. Most of the neck is included._x000D_
_x000D_
There is mild laryngeal mineralization, and mild redundant dorsal tracheal membrane in the cervical trachea. The appearance is within the limits of benign variation. The heart is within normal size and shape limits. Pulmonary vessels are normal. There is mild bronchial mineralization and a mild overall increase in bronchial markings that is within the limits of age related change. No active appearing pulmonary infiltrates or pleural effusion are identified. The intestinal tract has a mildly gassy appearance overall, particularly the large intestine. There are a few loops of small intestine that are mildly gas dilated in the caudal abdomen. The appearance is not concerning for an obstructive pattern. The kidneys are slightly small. The other abdominal organs are within normal size and shape limits. No mass lesions or loss of detail are seen.</t>
  </si>
  <si>
    <t>No significant abnormalities are identified involving the heart or the respiratory tract._x000D_
Functional upper airway pathology such as laryngeal paralysis should still be ruled out._x000D_
_x000D_
The mildly gassy appearance of the intestinal tract is suspected to be a transient incidental finding.</t>
  </si>
  <si>
    <t>No specific explanation for the presenting complaint is identified. Conservative management is recommended._x000D_
Depending on severity of clinical signs, sedated laryngeal/pharyngeal exam should be considered.</t>
  </si>
  <si>
    <t xml:space="preserve">
1.Are respiratory signs present? If NO._x000D_
2.MILD BRONCHIAL PATTERN; MILD DYNAMIC AIRWAY DISEASE._x000D_
3.Based on these AI airway/pulmonary findings, the probability of this patient having clinically detectable respiratory signs is LOW to MEDIUM (25-50%)_x000D_
4.Are respiratory signs present? If YES._x000D_
5.The cardiac silhouette size is normal._x000D_
6.There is no evidence of ALVEOLAR PATTERN, PERIHILAR INFILTRATE, PULMONARY NODULES or PLEURAL EFFUSION.</t>
  </si>
  <si>
    <t xml:space="preserve">Patient Name : Lexa Corona, Date of study: Aug 13, 2024
3 images are provided for review
There are no previous radiographs for comparison. 
Airway findings: The trachea, carina and mainstem bronchi are within normal limits for width and position. The trachea is mildly elevated at the thoracic inlet however this is most likely due to head positioning. A mild diffuse bronchial pattern is present. No nodules or masses are seen.
Cardiovascular findings: The cardiac silhouette and mainstem pulmonary vessels are within normal limits for size and contour. The vena cava is normal.
Mediastinum and pleural space:  No abnormalities are noted within the pleural space or mediastinum. There is no evidence of thoracic lymphadenomegaly.
Musculoskeletal findings: No significant abnormalities are detected.  
Abdomen: The stomach is moderately distended with granular food material. The gastric axis is still normal. There is some gas visible in the cranial duodenum in the left lateral image. The small intestines are mildly caudal displaced, and are within upper normal limits for shape, size and contents. The descending colon contains gas and some poorly formed faeces. The urinary bladder is small. The spleen is normal. The hepatic silhouette is normal. The kidneys are partially obscured by gastrointestinal contents, but the visible aspect are normal. No distinct tubular soft tissue opacity is seen in the caudal aspect of the abdomen, superimposed on the urinary bladder.
Musculoskeletal findings: No significant abnormalities are detected.
</t>
  </si>
  <si>
    <t xml:space="preserve">1. Overfilled stomach: This may be due to a recent large meal, or dietary indiscretion. This needs to be correlated with time of last feeding. There is no evidence for torsion. Partial outflow obstruction of the pylorus by non-radiopaque foreign material is possible. 
2. Diffuse mild bronchial pattern: Primary consideration should be given to normal ageing/fibrosis from previous disease.   </t>
  </si>
  <si>
    <t>Supportive management including rehydration, gastroprotectants,  full blood work, if clinically indicated is advised, if not already performed. Repeat 3-view post fasting radiographs depending on clinical progression or consider an abdominal ultrasound. An upper GI post fasting contrast study may also be considered.
In absence of any respiratory signs, observational management is advised.</t>
  </si>
  <si>
    <t>Study:_x000D_
Thoracic radiography: three images dated August 13, 2024_x000D_
_x000D_
Compared to prior study dated July 29, 2024_x000D_
_x000D_
Findings:_x000D_
There is mild cardiomegaly (VHS approximately 11.25) with Straining the caudal cardiac waist on the lateral projections. The pulmonary vasculature is normal in size. There is a mild generalized bronchointerstitial pulmonary pattern. This finding is similar between the two examinations. The pulmonary parenchyma is unremarkable. The pleural space is normal. There is no intrathoracic lymphadenopathy. The trachea is normal in diameter. The liver extends beyond the costal arch with smooth margins. Mild to moderate periarticular bone formation is present at the caudodistal aspect the humeral head and infraglenoid process of the scapula bilaterally. The patient is of overweight body condition.</t>
  </si>
  <si>
    <t>1. Mild cardiomegaly without evidence of decompensation. Consider degenerative valve disease. Correlate with any heart murmur. Echocardiography can be considered for further evaluation._x000D_
2. The mild diffuse bronchointerstitial pulmonary pattern is a nonspecific finding. This could be a benign age-related change or may indicate allergic, inflammatory, infectious, inhaled irritant or parasitic bronchitis. Airway sampling plus/minus heartworm testing and Baermann fecal flotation can be considered to further very for possible lower airway disease. Sedated laryngeal examination and fluoroscopy (to evaluate for possible non-radiographically evident dynamic airway disease) can also be considered for further evaluation of the reported chronic coughing._x000D_
3. The generalized hepatomegaly is nonspecific. Rule out metabolic/vacuolar hepatopathy, hyperplasia, hepatitis or infiltrative neoplasia. Sonography can be considered for further evaluation._x000D_
4. Mild to moderate bilateral elbow osteoarthrosis.</t>
  </si>
  <si>
    <t xml:space="preserve">
1.MILD to MODERATE BRONCHOINTERSTITIAL PATTERN; MILD DYNAMIC AIRWAY DISEASE._x000D_
2.Based on these AI airway/pulmonary findings, the probability of this patient having clinically detectable respiratory signs is MEDIUM (50%)_x000D_
3.Moderate cardiomegaly has been detected but Heart Failure is NOT suspected._x000D_
4.Are respiratory signs present? If YES._x000D_
5.Are respiratory signs present? If NO.</t>
  </si>
  <si>
    <t>A lateral radiograph of the thorax, and two lateral views of the abdomen are provided. The cardiac silhouette and pulmonary vessels are normal size and shape. The lungs are clear. Normal tracheal diameter. No esophageal dilation. Metal opaque ring overlying the cranial thorax is superimposed harness material._x000D_
_x000D_
In the abdomen there is slight wispy appearance to the mid peritoneal space small volume gas in the stomach. Small bowel are minimally distended with gas and fluid. Formed feces in the descending colon. No radiopaque gastrointestinal foreign material. The liver, spleen, and kidneys are normal sized. The urinary bladder is minimally filled. No osseous abnormalities.</t>
  </si>
  <si>
    <t>Suspect scant peritoneal effusion, otherwise no abdominal abnormalities are appreciated. Gastroenteritis is suspected. There is no evidence of an obstructive process. The thorax is normal.</t>
  </si>
  <si>
    <t>Recommend supportive care, CBC, and blood chemistry profile. Depending on patient response and lab work results, further investigation with abdominal ultrasound may be indicated.</t>
  </si>
  <si>
    <t xml:space="preserve">
1.A moderate interstitial to alveolar pattern has been detected._x000D_
2.The cardiac silhouette size is normal._x000D_
3.There is no evidence of PERIHILAR INFILTRATE or DYNAMIC AIRWAY COLLAPSE or BRONCHIECTASIS.</t>
  </si>
  <si>
    <t xml:space="preserve">Patient Name : Italian Greyhound R-7228 C-6328 Petland, Date of study: Aug 13, 2024
4 images are provided for review
Canine Thorax (4 Images) - 2 Lateral, 2 Vd
Prior images dated July 25, 2024 are available.
Pulmonary parenchyma: In the right cranial lung lobe, best identified in the left lateral image, is a well-defined alveolar pattern with well-defined air bronchograms and lobar margination between the right cranial and middle lung lobes.   This is progressive from prior.  The interstitial to alveolar pattern in the left cranial lung is resolved. A minimal to mild diffuse bronchial pattern is present.
Pulmonary vasculature: The pulmonary vasculature is subjectively normal in size and tapers in the periphery of the lungs.
Cardiac silhouette: The cardiac silhouette is normal in size and shape.
Mediastinum: A mild rightward mediastinal shift is present.  The cranial mediastinum is subjectively normal.
Trachea: The trachea is normal.
Esophagus: The esophagus contains mild gas or is empty.
Pleural space: The pleural space is normal.
Musculoskeletal: The included musculoskeletal structures are normal.
</t>
  </si>
  <si>
    <t>1. Progressive alveolar pattern in the right cranial lung lobe.
- This may be due to persistent bronchopneumonia/aspiration pneumonia, chronic pneumonia with lung volume loss, atelectasis from recumbency with/without residual bronchopneumonia, or unlikely other.
2. Resolved left cranial lung lobe interstitial/alveolar and diffuse interstitial pattern compared to prior.
3. Similar underlying minimal-mild diffuse bronchial pulmonary pattern such as from infectious/immune-mediated lower airway disease (mycoplasma spp., bordetella spp., parasitism such as lung worms, or less likely other), or fibrosis from prior disease, or unlikely other.
4. Rightward mediastinal shift due to right cranial lung lobe atelectasis/reduced size or unlikely other.</t>
  </si>
  <si>
    <t>Continue empirical therapy/supportive care for suspected pneumonia with broad-spectrum antibiotics for 1-2 weeks and consider recheck radiographs given improvement of the pulmonary pattern in most of the lung.  If the alveolar pattern persists in recheck radiographs and/or clinical signs persist/worsen, consider computed tomography and/or bronchoscopy for further evaluation and airway sampling.  Consider respiratory PCR panel, and fecal analysis/deworming for further evaluation if not recently performed.  Monitoring as directed or sooner if clinical signs acutely change, fail to improve or worsen.</t>
  </si>
  <si>
    <t xml:space="preserve">
1.There is no evidence of BRONCHITIS, DYNAMIC AIRWAY COLLAPSE or BRONCHIECTASIS, PULMONARY NODULES or PLEURAL EFFUSION._x000D_
2.In the ABSENCE of respiratory signs, atelectasis secondary to heavy sedation or anesthesia or a false positive due to a combination of age-related changes, obesity, pulmonary hypoinflation/partial atelectasis and/or overlying soft tissues such as forelimb musculature overlying the cranial thorax would be most likely._x000D_
3.MODERATE INTERSTITIAL TO ALVEOLAR PATTERN; MILD PERIHILAR INFILTRATE._x000D_
4.In the PRESENCE of respiratory signs, moderate pneumonitis (aspiration or bacterial  (including Bordatella, Mycoplasma and Wolbachia), allergic, viral, fungal or parasitic (including heartworm pathosis)) would be most likely._x000D_
5.The cardiac silhouette size is normal.</t>
  </si>
  <si>
    <t>Orthogonal views of the front limbs and orthogonal views of the thorax including the neck are provided for interpretation. There are 10 images total._x000D_
_x000D_
Severe irregular chronic appearing periosteal new bone production is identified involving the first and second phalanx of the left fifth digit. The changes are most prominent along the lateral aspect of the proximal interphalangeal joint. There is mild to moderate swelling of the digit. The subchondral bone surfaces of the interphalangeal joint appear slightly indistinct, but this is a subtle and equivocal finding._x000D_
_x000D_
Chronic irregular periosteal production is also present involving the first and second phalanx second and third digits of the right foot. These digits also appear slightly swollen._x000D_
_x000D_
No abnormalities are identified involving the carpal joint in either limb._x000D_
There is a small round osseous body at the cranial aspect of the radius in the lateral view of both elbows. Elbow joint congruity is suboptimal bilaterally, and both limbs have moderate radius curvus and carpal valgus._x000D_
No abnormalities are seen involving the shoulder joints. No joint effusion is identified._x000D_
_x000D_
The cardiovascular structures are within normal limits. No pulmonary infiltrates or pleural abnormalities are identified. No abnormalities are seen involving the cervical or thoracic spine.</t>
  </si>
  <si>
    <t>There is severe chronic periosteal production and periarticular remodeling change involving the left fifth digit at the level of the proximal interphalangeal joint._x000D_
The appearance is most compatible with severe chronic inflammation, which could be secondary to an infectious process or a previous traumatic injury. Soft tissue neoplasia cannot be entirely excluded but is considered unlikely._x000D_
_x000D_
The irregular periosteal production seen involving the second and third digits of the right foot is more suggestive of previous trauma but could also be the result of chronic deep inflammation._x000D_
_x000D_
The small round osseous body seen at the cranial aspect of both elbows is presumed to be a benign anatomic variant._x000D_
_x000D_
No thoracic abnormalities are identified.</t>
  </si>
  <si>
    <t>The toe changes are suspected to be the result of chronic noninfectious inflammation. However, biopsy and bacterial and fungal culture of the associated swollen soft tissue is recommended to rule out an infectious process. Although considered unlikely, biopsy would also be an opportunity to rule out a neoplastic lesion.</t>
  </si>
  <si>
    <t xml:space="preserve">
1.Minimal cardiomegaly has been detected but Heart Failure is NOT suspected._x000D_
2.MODERATE ALVEOLAR PATTERN; CONCURRENT MILD BRONCHOINTERSTITIAL PATTERN; MILD DYNAMIC AIRWAY DISEASE._x000D_
3.Based on the AI airway/pulmonary findings, the probability of this patient having clinically detectable respiratory signs is MEDIUM to HIGH (50-75%)._x000D_
4.Are respiratory signs present? If NO._x000D_
5.Are respiratory signs present? If YES.</t>
  </si>
  <si>
    <t xml:space="preserve">Patient Name : Casper Gish, Date of study: Aug 13, 2024
3 images are provided for review
Canine Thorax (3 Images) - 2 Lateral, 1 Vd
There are no previous radiographs for comparison.
Pulmonary parenchyma: A mild to moderate diffuse bronchial pattern is present.  A minimal diffuse interstitial pattern is present in the ventrodorsal image.
Pulmonary vasculature: The pulmonary vasculature is subjectively normal in size and tapers in the periphery of the lungs.
Cardiac silhouette: The cardiac silhouette is tall and occupies over 2/3 the height of the thorax, with dorsal tracheal displacement. The caudodorsal margin of the cardiac silhouette is flattened.  Rounded increased soft tissue is in the region of the left atrium in the ventrodorsal image.  Slight convexity of the cardiac silhouette in the 2-3 o'clock region (left auricular appendage).  
Mediastinum: The cranial mediastinum is normal.
Trachea: The trachea is normal.
Esophagus: The esophagus is not well-identified.
Pleural space: The pleural space is normal.
Musculoskeletal: The included musculoskeletal structures are normal.
</t>
  </si>
  <si>
    <t xml:space="preserve">1. Mild-moderate left-sided cardiomegaly such as from myxomatous mitral valvular disease and insufficiency or unlikely other.
- There is no current evidence of left-sided congestive heart failure.
2. Mild diffuse bronchial pulmonary pattern due to fibrosis from prior disease, age-related changes, and/or infectious/immune-mediated lower airway disease (mycoplasma spp., bordetella spp., parasitism such as lung worms, or less likely other), or unlikely other.
3. Minimal interstitial pulmonary pattern may be due to fibrosis from prior disease, age-related changes, hypoinflation or unlikely other.  </t>
  </si>
  <si>
    <t>Echocardiography, blood pressure, and ECG for further evaluation.  Routine blood work and urinalysis if not recently performed. This examination does not rule out underlying dynamic airway disease, and tracheoscopy/bronchoscopy/fluroscopy may be contributory for further evaluation. Empirical therapy and supportive care in the interim as needed.  Monitoring as directed or sooner if clinical signs acutely change, fail to improve or worsen.</t>
  </si>
  <si>
    <t xml:space="preserve">
1.Pleural fissure lines or small volume pleural effusion has been detected. In a mildly to moderately overweight animal, excessive pericardial fat can artifactually mimic the result of mild pleural effusion._x000D_
2.Severe cardiomegaly has been detected but Heart Failure is NOT suspected._x000D_
3.SEVERE INTERSTITIAL TO ALVEOLAR PATTERN; MODERATE BRONCHIAL PATTERN; MODERATE DYNAMIC AIRWAY DISEASE._x000D_
4.Based on these AI airway/pulmonary findings, the probability of this patient having clinically detectable repsiratory signs is VERY HIGH (&gt;75%)_x000D_
5.Are respiratory signs present? If YES._x000D_
6.AI linked pneumonia in dogs article: https://platform.v2.vetology.net/doc/pneumonia-in-dogs-and-cats_x000D_
7.Are respiratory signs present? If NO._x000D_
8.A mild perihilar infiltrate has been detected.</t>
  </si>
  <si>
    <t>3 views of the entire body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The trachea is variably narrowed in the cervical region. Abdominal serosal detail is adequate. The stomach contains a moderate amount of gas and the rugal folds are prominent. The small intestines are normal in size. Gas is present in the colon and cecum. The remaining abdominal organs are normal.</t>
  </si>
  <si>
    <t>Radiographically normal thorax for a patient of this age. Variable tracheal diameter suggestive of dynamic tracheal collapse. Prominent rugal folds suggestive of gastritis. This does not rule out underlying pancreatitis or infiltrative neoplasia.</t>
  </si>
  <si>
    <t>Five radiographs of the thorax, and six views of the abdomen are provided. Images dated 11/24/23 are available for comparison. The heart is a normal size and shape. Pulmonary vessels are normal size. There are mild age-related changes within the lungs, to include a few incidental osteomas. Small round increased opacity overlying the cranioventral thorax on the left lateral views is caused by the distal aspect of a rib. There is no pleural effusion. Round 5.7 cm soft tissue opaque cranioventral extrathoracic cutaneous mass was present previously. No osseous abnormalities._x000D_
_x000D_
In the abdomen the liver, kidneys, and spleen are normal size. The gastrointestinal tract is mildly filled. There are a few punctate mineral densities in the colon, likely incidental. No radiopaque cystic calculi. Right inguinal fold soft tissue cutaneous mass as before. Spondylosis deformans is likely incidental. The coxofemoral joints are congruent. There are wires in the proximal right femur consistent with previous surgery.</t>
  </si>
  <si>
    <t>Cutaneous masses as before, of uncertain significance. Otherwise normal thorax and abdomen.</t>
  </si>
  <si>
    <t xml:space="preserve">
1.A mild bronchointerstitial pulmonary pattern and minimal perihilar infiltrate have been detected._x000D_
2.The evaluation has come up positive for a pulmonary nodular pattern._x000D_
3.The cardiac silhouette size is normal.</t>
  </si>
  <si>
    <t>Orthogonal views of the thorax and abdomen are provided:_x000D_
_x000D_
Thorax:_x000D_
_x000D_
The entire esophagus is moderately gas distended._x000D_
Cardiac silhouette has a normal shape and size._x000D_
Pulmonary vessels are within normal limits of size and shape._x000D_
Pulmonary parenchyma is within normal limits. No signs of aspiration pneumonia._x000D_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and urinary bladder WNL.</t>
  </si>
  <si>
    <t>1) Generalized megaesophagus. Causes for this include idiopathic megaesophagus, myastenia gravis, hypothyroidism, polymyopathy, polyneuropathy, esophagitis, some toxins, the effects of sedatives (if used) vs esophagitis._x000D_
2) Unremarkable abdomen.</t>
  </si>
  <si>
    <t>Consider work up for megaesophagus starting with an abdominal US and upper airway exam under sedation.</t>
  </si>
  <si>
    <t>Lateral and VD views of the thoracolumbar spine and pelvis are provided. There are five images total._x000D_
_x000D_
The heart is at the upper end of normal size range. No pulmonary abnormalities are identified. There is marked chronic remodeling involving the left shoulder._x000D_
_x000D_
There is severe intervertebral disc space narrowing involving multiple locations throughout the spine. This is seen primarily in the thoracolumbar region from T11 to L2 and at L4-L5._x000D_
L1-L2 and L4-L5 have the most severe narrowing and also have moderate spondylosis deformans. No lumbosacral abnormalities are identified. The pelvis is unremarkable._x000D_
_x000D_
There is an unusual slightly defined round lucency associated with the caudal aspect of the right femoral head. This appears as if it could be artifactual, but some version of this lucency is visible in both of the VD pelvis views provided. Hip joint congruity is good, and no periarticular remodeling changes are seen._x000D_
_x000D_
The abdominal organs are all within normal size and shape limits. There is a subtle round opacity superimposed over the urinary bladder in the left lateral view that is suspicious for a minimally radiopaque calculus, but this cannot be confirmed in the other views.</t>
  </si>
  <si>
    <t>There is severe disc space narrowing involving many locations in the caudal thoracic and lumbar spine consistent with chronic disc degeneration. Disc disease is a likely explanation for the clinical signs._x000D_
_x000D_
The heart does not appear significantly enlarged._x000D_
_x000D_
There is an unusual lucency associated with the right femoral head and neck in the VD view. The lesion does not appear entirely typical of a tumor or cyst, but remains concerning. Follow up imaging is recommended.</t>
  </si>
  <si>
    <t>Cross sectional imaging such as MRI or CT would be ideal to better define the severity of the disc disease and to verify the suspicion of a destructive or cystic bone lesion involving the right femoral head._x000D_
If this is not an option, a recheck a VD pelvis hip extended view is recommended in 3 to 4 weeks.</t>
  </si>
  <si>
    <t>A ventral dorsal and both lateral radiographs of the thorax are provided. Images dated 5/22/24 are available for comparison. The heart is a normal size. The appearance of focal soft tissue bulge along the cranial left aspect of the heart is due to adjacent fat deposition. Pulmonary vessels are normal size. There are no abnormalities in the pulmonary parenchyma. No pleural effusion. The cranial mediastinum is normal width, and no laryngeal abnormalities are appreciated. Adequate tracheal diameter. The cranial abdomen is unremarkable.</t>
  </si>
  <si>
    <t>Normal thorax. A reason for acute cough is not identified. Inhaled irritants/allergens is most likely. Infectious airway disease seems unlikely with the history provided.</t>
  </si>
  <si>
    <t>Four radiographs of the thorax are provided. Images dated 6/4/24 are available for comparison. There is moderate generalized cardiac silhouette enlargement, significantly increased in size compared to the previous study. There is secondary dorsal deviation of the thoracic trachea and mainstem bronchi. The mainstem bronchi are compressed. There is a severe interstitial to alveolar pattern in the perihilar region and radiating distally. No pleural effusion. Adequate tracheal diameter. Normal cranial abdomen.</t>
  </si>
  <si>
    <t>Moderate generalized cardiomegaly, significantly progressed since the previous study and consistent with acquired mitral and tricuspid valve disease. There is pulmonary edema indicating left-sided heart failure today. Concurrent mainstem bronchial compression, likely contributing to the cough.</t>
  </si>
  <si>
    <t>Recommend treatment for heart failure, and an echocardiogram.</t>
  </si>
  <si>
    <t xml:space="preserve">
1.Are respiratory signs present? If NO._x000D_
2.A moderate perihilar infitlrate has been detected._x000D_
3.The evaluation has come up positive for a pulmonary nodular pattern._x000D_
4.Pleural fissure lines or moderate to severe pleural effusion has been detected. An overlying skin fold or in an obese animal, excessive pericardial fat could artifactually mimic the result of severe pleural effusion._x000D_
5.Severe cardiomegaly has been detected but Heart Failure is NOT suspected._x000D_
6.SEVERE ALVEOLAR PATTERN; CONCURRENT MODERATE BRONCHOINTERSTITIAL PATTERN; MILD DYNAMIC AIRWAY DISEASE._x000D_
7.Based on these AI airway/pulmonary findings, the probability of this patient having clinically detectable respiratory signs is HIGH (75%)_x000D_
8.Are respiratory signs present? If YES.</t>
  </si>
  <si>
    <t>Three radiographs of the thorax, and two views of the distal right pelvic limb are provided. Images dated 6/8/21 are available for comparison. The cardiac silhouette is normal size and shape. Pulmonary vessels are normal size. The thoracic esophagus is diffusely dilated with gas and small volume stippled soft tissue density. No abnormalities in the pulmonary parenchyma. There is no pleural effusion. Adequate tracheal diameter. Normal cranial abdomen. In the right pelvic limb, there is soft tissue swelling abaxial to the distal 4th metacarpal bone, and in the 4th and 5th digits. There is no radiopaque foreign material or emphysema. No lysis, fracture, or periosteal proliferation.</t>
  </si>
  <si>
    <t>1. Soft tissue swelling in the distal lateral metatarsal region and 4th and 5th digits of the right pelvic limb, with no underlying osseous abnormalities. Previous puncture wound with cellulitis/edema is most likely. Soft tissue neoplasia is given secondary consideration._x000D_
2. Megaesophagus as before. Otherwise normal thorax. There is no evidence of aspiration pneumonia.</t>
  </si>
  <si>
    <t>Recommend close inspection for evidence of a puncture wound. If swelling does not resolve, cytology should be considered.</t>
  </si>
  <si>
    <t>Orthogonal views of the thorax are provided:_x000D_
_x000D_
Thorax:_x000D_
_x000D_
There is severe narrowing of the cervical trachea._x000D_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t>
  </si>
  <si>
    <t>1) Severe narrowing of the cervical trachea. Rule out an upper airway obstruction such as LARPAR._x000D_
2) Unremarkable thorax without signs of pulmonary metastases nor signs of thoracic lymphadenopathy.</t>
  </si>
  <si>
    <t>Upper airway exam under sedation.</t>
  </si>
  <si>
    <t xml:space="preserve">
1.The cardiac silhouette size is normal._x000D_
2.There is no evidence of ALVEOLAR PATTERN, DYNAMIC AIRWAY COLLAPSE or BRONCHIECTASIS, PULMONARY NODULES or PLEURAL EFFUSION._x000D_
3.A mild bronchial pattern has been detected.</t>
  </si>
  <si>
    <t>Six radiographs of the thorax are provided. The cardiac silhouette and pulmonary vessels are normal size and shape. There are no abnormalities in the pulmonary parenchyma. A few small round soft tissue densities adjacent to the heart represent end-on pulmonary vessels. There is no pleural effusion. Normal cranial mediastinal width.</t>
  </si>
  <si>
    <t>Normal thorax. The reason for the panting and polydipsia is not identified.</t>
  </si>
  <si>
    <t>Five radiographs of the thorax, and three views of the abdomen are provided. The cardiac silhouette is normal size and shape on the lateral views. The right heart appears prominent on the VD projections due to rotation. There are no abnormalities in the pulmonary parenchyma. No pleural effusion. The plane of the esophagus is unremarkable. Tracheal diameter and position are normal. Normal larynx._x000D_
_x000D_
In the abdomen there is no effusion. The stomach contains gas, small volume fluid, and a few small mineral opaque fragments measuring up to 0.9 x 0.1 cm. Small bowel are minimally filled. Moderate volume semi-formed feces in the colon. No severe intestinal distention. The spleen, liver, and kidneys are normal size and shape. The urinary bladder is mildly filled and soft tissue opaque.</t>
  </si>
  <si>
    <t>Scant mineral opaque debris in the stomach is likely incidental. Otherwise normal abdomen and thorax. A reason for the gagging behavior is not identified.</t>
  </si>
  <si>
    <t>Consider sedation and visual inspection of the oropharyngeal/laryngeal region.</t>
  </si>
  <si>
    <t>Four lateral radiographs of the thorax, and nine six views of the abdomen are provided. The cardiac silhouette and pulmonary vessels are normal size and shape. There are no abnormalities in the pulmonary parenchyma. No pleural effusion. Adequate tracheal diameter._x000D_
_x000D_
In the abdomen there is moderate volume of gas in the stomach. There is no gastric malrotation. Small and large bowel are minimally distended. There is no radiopaque gastrointestinal foreign material. Wispy soft tissue density overlying the midabdomen is due to superimposed hair artifact. There is no effusion. The kidneys, liver, and spleen are normal size and shape. The urinary bladder is minimally distended and soft tissue opaque. The uterus is not visible. There is mild thickened femoral necks bilaterally, worse on the right. This is of doubtful clinical significance today.</t>
  </si>
  <si>
    <t>Normal thorax and abdomen. A reason for intermittent gastrointestinal signs is not identified. Gastroenteritis secondary to dietary change/indiscretion is suspected.</t>
  </si>
  <si>
    <t xml:space="preserve">Patient Name : Papi Flamenco, Date of study: Aug 13, 2024
3 images are provided for review
Canine Thorax (3 Images) - 2 Lateral, 1 Vd
There are no previous radiographs for comparison.
Pulmonary parenchyma:  In the ventrodorsal image, slight ill-defined interstitial pattern is in the right middle lung lobe.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In the ventrodorsal image, the pleural space between the right middle/caudal lung lobe is suspected and tapering in the periphery of the lung
Musculoskeletal:  Suspected healed fracture of the right 5th rib.  Multifocal mid-thoracic and thoracolumbar spondylosis deformans is present.  Bilateral shoulder osteoarthrosis is present.  The remaining included musculoskeletal structures are normal.
</t>
  </si>
  <si>
    <t>1. Suspected right middle lung lobe interstitial pattern and possible pleural thickening/folding versus artifact/technique.
- If present, this may be due to fibrosis from prior disease/injury, or unlikely evolving neoplasia.
2. Mild diffuse bronchial pulmonary pattern such as from fibrosis from prior disease, age-related changes, or unlikely infectious/immune-mediated lower airway disease  or other.
3. No obvious intra-thoracic lymphadenomegaly is identified.
4. Healed right 5th rib fracture.
5. Multifocal thoracolumbar and mid-thoracic spondylosis deformans.
6. Bilateral shoulder osteoarthrosis.</t>
  </si>
  <si>
    <t>Consider computed tomography for a more sensitive evaluation of the thorax, versus monitoring with serial radiographs as directed.  Computed tomography of the abdomen and pelvic canal/perineum for per-surgical planning of reported mass resection may be contributory.  Empirical therapy and supportive care in the interim as needed.  Monitoring as directed or sooner if clinical signs acutely change, fail to improve or worsen.</t>
  </si>
  <si>
    <t xml:space="preserve">Patient Name : Sebastian Rivera, Date of study: Aug 13, 2024
8 images are provided for review
There are no previous radiographs for comparison.
Pulmonary parenchyma:  A moderate alveolar pattern is present in the caudal subsegment of the left cranial lung lobe in the right lateral image, with well-defined air-bronchograms.  This corresponds to interstitial pattern in the left cranial lung caudal subsegment in the ventrodorsal image.  A minimal diffuse interstitial and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Moderate pleural gas is present, with rounding and retraction of the caudodorsal lung margins from the diaphragmatic recess in the lateral image.  Gas admixes with retrosternal fat and there is apparent cardiac silhouette elevation in the lateral image.  Thin pleural fissure line that does not widen in the periphery between the right cranial/middle lung lobes in the ventrodorsal image.
Liver: The liver is mildly enlarged with a caudoventral tip extending to the level of the 13th ribs.  
Spleen: The spleen is normal in size with smooth margins and homogeneous soft tissue.
Kidneys: The kidneys are normal in size and shape without obvious mineral.
Retroperitoneum: Retroperitoneal detail is adequate.
Urogenital: The prostate gland is enlarged and rounded with homogeneous soft tissue. The prostate gland occupies approximately 60% the height of the pelvic canal. The urinary bladder is normal in size, homogeneous soft tissue, and smoothly marginated.
Peritoneum: Peritoneal detail is adequate.
Gastrointestinal tract: The stomach contains a moderate gas and fluid. Gas is in the pylorus in the left lateral image.   The stomach is within normal limits for size.
The small intestine contains mild gas and fluid or is empty with a subjectively uniform population for size. 
The colon contains mild heterogeneous soft tissue material and gas.  The colon is within normal limits for size.  
Musculoskeletal: T4-5 spondylosis deformans is present.   Site of dorsal extra-thoracic soft tissue wound is not definitively identified.  The remaining included musculoskeletal structures are normal.
</t>
  </si>
  <si>
    <t>1. Moderate pneumothorax is likely secondary to reported trauma (BBQ skewer recently removed from dorsal thorax).gas and suspected minimal pleural effusion such as from hemorrhage or pleuritis.
2. Left cranial lung lobe caudal subsegment alveolar pattern due to pneumonia/pneumonitis, hemorrhage, secondary to trauma/lung lobe rupture and/or ruptured pulmonary bulla or least likely neoplasia such as from histiocytic sarcoma or other.  
3. Mild hepatomegaly due to vacuolar change, nodular hyperplasia, hepatitis/cholangiohepatitis, or less likely individual variation of normal or evolving neoplasia.
4. Moderate prostatomegaly such as from benign prostatic hyperplasia given intact status, or less likely other.</t>
  </si>
  <si>
    <t xml:space="preserve">No obvious evidence of cardiomegaly, but this does not rule out evolving disease, versus flow murmur such as from underlying anemia or other.  Consider echocardiography, eCG and blood pressure.  Consider computed tomography of the thorax and consider specialist referral/chest tube placement versus thoracocentesis for therapy for pneumothorax, especially if dyspnea or hyperpnea manifests. This may also be beneficial to evaluate the tract from reported dorsal thoracic foreign body (BBQ skewer).  Consider routine blood work if not recently performed.  Computed tomography versus ultrasonography of the abdomen for further evluation of the liver and prostate gland may be contributory.  Empirical therapy and supportive care in the interim as needed.  Monitoring with serial thoracic radiographs, especially if clinical signs fail to improve or worsen. </t>
  </si>
  <si>
    <t xml:space="preserve">
1.PULMONARY NODULES or NODULAR PATTERN; MODERATE TO SEVERE INTERSTITIAL TO ALVEOLAR PATTERN; PLEURAL EFFUSION; MILD BRONCHITIS; MILD PERIHILAR INFILTRATE._x000D_
2.Based on the AI airway/pulmonary findings, the probability of this patient having clinically detectable respiratory signs is VERY HIGH (&gt;75%)_x000D_
3.The evaluation has a strong suspicion of soft tissue pulmonary nodules or mass lesion being present._x000D_
4.Are respiratory signs present? If YES._x000D_
5.Are respiratory signs present? If NO._x000D_
6.Mild cardiomegaly has been detected but Heart Failure is NOT suspected.</t>
  </si>
  <si>
    <t>Opposite lateral and VD thoracoabdominal views are provided for interpretation._x000D_
_x000D_
There is mild dynamic narrowing of the cervical trachea. No laryngeal abnormalities are identified. The intrathoracic trachea is normal. The heart is at the upper end of normal range to slightly enlarged. The caudal waist of the current excellent has a slightly straight appearance. These are subtle and equivocal changes. VHS is mildly increased at 11.6. The pulmonary vessels are normal. There is mild to moderate bronchial mineralization, which has progressed slightly relative to the previous radiographs dated one-12-22. The liver is moderately enlarged, although less prominent than it was previously. The spleen is also enlarged, more prominent than what was seen previously. There are calculi in both kidneys, and two irregular moderately sized calculi in the urinary bladder. The other abdominal organs are within normal limits.</t>
  </si>
  <si>
    <t>1) There is mild cardiomegaly, suspected to be left-sided. The appearance is much less severe than what would typically be expected for patient with clinical CHF. The appearance of the lungs is typical of age related change. No evidence of heart failure or active inflammatory/infectious pulmonary disease is identified._x000D_
_x000D_
2) There is mild dynamic narrowing of the cervical trachea. The appearance is less prominent than what would typically be expected for clinical tracheal collapse. However, collapsing trachea cannot be definitively excluded on the basis of survey radiographs as a possible cause of coughing._x000D_
_x000D_
3) The spleen is enlarged. Reactive splenomegaly or benign variation is most likely in the absence of significant clinical illness, but lymphoreticular neoplasia should also be ruled out._x000D_
The liver enlargement is most likely secondary to the diabetes._x000D_
_x000D_
4) Calculi in the kidneys and bladder are confirmed</t>
  </si>
  <si>
    <t>Symptomatic therapy for the cough is recommended._x000D_
CBC, serum chemistry, and urinalysis is recommended due to the hepatomegaly, splenomegaly, and urinary calculi.</t>
  </si>
  <si>
    <t xml:space="preserve">
1.Mild cardiomegaly has been detected but Heart Failure is NOT suspected._x000D_
2.MILD to MODERATE BRONCHOINTERSTITIAL PATTERN; MILD DYNAMIC AIRWAY DISEASE._x000D_
3.Based on these AI airway/pulmonary findings, the probability of this patient having clinically detectable respiratory signs is MEDIUM (50%)_x000D_
4.AI linked bacterial bronchitis in dogs article: https://platform.v2.vetology.net/doc/bacterial-bronchitis-in-dogs-and-cats_x000D_
5.There is no evidence of PERIHILAR INFILTRATE._x000D_
6.Are respiratory signs present? If YES._x000D_
7.Are respiratory signs present? If NO.</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</si>
  <si>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are within normal limits._x000D_
A metallic bebe is seen in the dorsal aspect of the left hemithorax at the level of the 8th intercostal space._x000D_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WNL._x000D_
_x000D_
Questionable narrowing of T11-T12 and of the caudal lumbar IVDS. No signs of disc herniation, aggressive bone lesions, vertebral fractures or subluxations.</t>
  </si>
  <si>
    <t>1) Unremarkable thorax without signs of pulmonary metastases nor signs of thoracic lymphadenopathy. Incidental metallic bebe in the dorsal aspect of the left hemithorax at the level of the 8th intercostal space._x000D_
2) Unremarkable abdomen.</t>
  </si>
  <si>
    <t>Consider a neuro exam with MRI if necessary.</t>
  </si>
  <si>
    <t>Patient Name : Birdie Blaser, Date of study: Aug 13, 2024
3 images are provided for review
Canine Thorax (2 Images) - 1 Lateral, 1 Vd
Canine Abdomen (1 Images) - 1 Lateral
There are no previous radiographs for comparison. These images are submitted for assessment of the vertebral column.
Vertebral column: The vertebral body alignment is normal. No mineral opaque material is seen within, or dorsal to the intervertebral disc spaces. The intervertebral disc width is within normal limits. The size of the lateral foramina is within normal limits. The C6-C7 intervertebral disc space is poorly visible on the lateral image due to superimposition of the scapula, however is normal in the ventrodorsal.</t>
  </si>
  <si>
    <t xml:space="preserve">1. Normal vertebral column: Occult intervertebral disease such as intervertebral disk protrusion or other spinal cord pathology including embolic (FCE), high velocity disk, inflammatory or neoplastic disease or degenerative myelopathy is not excluded . </t>
  </si>
  <si>
    <t>Full neurologic examination if not already performed. If no proprioceptive deficits or patients neck pain is mild, consider treating for intervertebral disk disease/arthritis (exercise restriction, NSAIDs with supportive bloodwork, +/- multimodal analgesia). If no response to therapy, patient has proprioceptive deficits or is worsening in general, referral to a neurologist for discussion regarding feasibility of MRI vs. CT of the spine can be considered</t>
  </si>
  <si>
    <t>Opposite lateral and VD thorax views are provided for interpretation._x000D_
_x000D_
The cardiovascular structures are within normal limits. No pulmonary nodules or pleural effusion are seen. There is increased interstitial opacity that is compatible with age related change. No thoracic lymphadenopathy is seen. No destructive or productive bone lesions are identified.</t>
  </si>
  <si>
    <t>No significant thoracic abnormalities are identified. There is no evidence of neoplastic metastasis.</t>
  </si>
  <si>
    <t>No contraindications to surgery for the reported spleen mass are identified.</t>
  </si>
  <si>
    <t>A three view study of the thorax is provided for interpretation._x000D_
_x000D_
The heart is within normal size and shape limits. Pulmonary vessels are unremarkable. No pulmonary infiltrates or edema are seen. There is a mild increase in overall interstitial opacity compatible with age related change and hypoinflation artifact. No tracheal or esophageal abnormalities are seen.</t>
  </si>
  <si>
    <t>The cardiopulmonary structures are within normal limits._x000D_
There is no evidence of significant cardiac chamber dilation.</t>
  </si>
  <si>
    <t>No specific treatment is indicated._x000D_
Recheck radiographs are recommended in 6 to 12 months._x000D_
Echocardiography could also be considered for more definitive evaluation of the cause of the heart murmur.</t>
  </si>
  <si>
    <t xml:space="preserve">
1.MILD BRONCHIAL PATTERN; MILD PERIHILAR PATTERN._x000D_
2.Based on these AI airway/pulmonary findings, the probability of this patient having clinically detectable respiratorysigns is LOW (25%)_x000D_
3.Are respiratory signs present? If YES._x000D_
4.Are respiratory signs present? If NO._x000D_
5.The cardiac silhouette size is normal._x000D_
6.There is no evidence of DYNAMIC AIRWAY COLLAPSE or BRONCHIECTASIS or PLEURAL EFFUSION.</t>
  </si>
  <si>
    <t>Orthogonal radiographs of the thorax are provided. The cardiac silhouette is normal size and shape. There are no abnormalities in the pulmonary parenchyma. No pleural effusion. The visible trachea is normal diameter. The cranial abdomen is unremarkable.</t>
  </si>
  <si>
    <t>Normal thorax. There is no evidence of pulmonary parenchymal disease, however asthma is not definitively ruled out.</t>
  </si>
  <si>
    <t xml:space="preserve">
1.A mild interstitial to alveolar pattern has been detected._x000D_
2.The cardiac silhouette size is normal._x000D_
3.There is no evidence of BRONCHITIS, PERIHILAR INFILTRATE, DYNAMIC AIRWAY COLLAPSE or BRONCHIECTASIS or PULMONARY NODULES.</t>
  </si>
  <si>
    <t xml:space="preserve">Patient Name : Lexi Conboy, Date of study: Aug 13, 2024
4 images are provided for review
There are no previous radiographs for comparison.
Bones/Joints: T5-6 spondylosis deformans.  
A dens is present.  There is no evidence of atlantoaxial joint subluxation.
There is no evidence of intervertebral disc space narrowing, or mineral over the intervertebral foramina.  There is no evidence of intervertebral dorsal articulation osteoarthrosis.
There is no evidence of medullary sclerosis, osteolysis, endosteal scalloping, or periosteal proliferation.
Soft tissues:  The included soft tissues are normal.
</t>
  </si>
  <si>
    <t>1. No obvious evidence of intervertebral disc space narrowing.</t>
  </si>
  <si>
    <t>Etiology of acute-onset reported clinical signs is not definitively identified.  This does not rule out evolving intervertebral disc herniation/extrusion or other.  Consider neurologist consultation and MRI for further evaluation if clinically indicated.  Empirical therapy and supportive care in the interim as needed. Monitoring as directed or sooner if clinical signs acutely change, fail to improve or worsen.</t>
  </si>
  <si>
    <t xml:space="preserve">
1.MODERATE INTERSITIAL TO ALVEOLAR PATTERN; MINIMAL PERIHILAR INFILTRATE._x000D_
2.Based on these AI airway/pulmonary findings, the probability of this patient having clinically detectable respiratory signs is MEDIUM (50%)._x000D_
3.Are respiratory signs present? If YES._x000D_
4.AI linked bacterial pneumonia treatment in dogs: https://platform.v2.vetology.net/doc/pneumonia-in-dogs-and-cats_x000D_
5.Are respiratory signs present? If NO._x000D_
6.The cardiac silhouette size is normal._x000D_
7.There is no evidence of DYNAMIC AIRWAY COLLAPSE or BRONCHIECTASIS.</t>
  </si>
  <si>
    <t>4 images of the thorax are provided for review.  The lung lobes are retracted from the thoracic wall and fluid is present in the pleural space, worse on the right.  The cardiac silhouette cannot be fully visualized due to silhouetting but appears grossly normal in size.  The visible pulmonary vasculature is normal in size.  No distinct pulmonary infiltrates are seen.  The trachea is variable in diameter.  The mediastinal structures are normal cranial abdominal detail is adequate.</t>
  </si>
  <si>
    <t>Pleural effusion.  Echocardiography and/or thoracic ultrasound may be helpful in further evaluation.  Variable tracheal diameter suggestive of dynamic tracheal collapse.  Fluoroscopy or bronchoscopy could be considered.</t>
  </si>
  <si>
    <t xml:space="preserve">
1.Are respiratory signs present? If YES._x000D_
2.Are respiratory signs present? If NO._x000D_
3.MINIMAL TO MILD BRONCHOINTERSTITIAL PULMONRAY PATTERN; MILD PERIHILAR PATTERN._x000D_
4.Based on the AI airway/pulmonary findings, the probability of this patient having clinically detectable respiratory signs is LOW (25%)_x000D_
5.Mild cardiomegaly has been detected but Heart Failure is NOT suspected.</t>
  </si>
  <si>
    <t>Patient Name: Tebow Beaupied, Date of study: Aug 13, 2024
Canine Thorax (4 Images) - 2 VD, 2 lateral
There are no previous radiographs for comparison.
Findings:
Cardiac silhouette: The cardiac silhouette is normal in size and shape.
Pulmonary vessels: The pulmonary arteries and veins are normal in size and are symmetrical.
Pulmonary parenchyma: There is a moderate diffuse bronchial pattern.
Pleural space: The pleural space is within normal limits.
Mediastinum: The mediastinum is normal in width and opacity. There is no evidence of intrathoracic lymphadenopathy.
Trachea: There is a band of soft tissue opacity superimposed with the dorsal aspect of the trachea, cranial to the thoracic inlet.
Esophagus: The region of the esophagus is within normal limits.
Cranial abdomen: There is normal serosal detail. The stomach is filled with heterogeneous ingesta admixed with gas.
Musculoskeletal: There is mild osteoarthritis of the shoulders.</t>
  </si>
  <si>
    <t>1. Moderate diffuse bronchial pattern, consistent with lower airway inflammation. Differentials include chronic bronchitis of allergic, parasitic, infectious/inflammatory, and irritant etiologies.
2. Normal cardiovascular structures. There is no evidence of heart failure.
3. There is a redundant tracheal membrane. Superimposition of the esophagus cannot be excluded.</t>
  </si>
  <si>
    <t>Airway sampling (respiratory PCR, bronchoalveolar lavage, transtracheal wash) is recommended to guide treatment. A Baermann fecal analysis should be considered to screen for lung worms.</t>
  </si>
  <si>
    <t>6 views of the thorax and abdomen are submitted for review._x000D_
In the thorax, the cardiac silhouette and pulmonary vasculature are within normal limits.  Mild bronchial and interstitial markings are noted throughout the lung fields.  No evidence of intrathoracic lymphadenopathy is seen.  No pleural effusion or mediastinal abnormalities are noted.  The trachea is normal in diameter._x000D_
In the abdomen, the liver is moderately enlarged with smooth serosal margins.  The spleen is normal in size and shape.  The renal silhouettes and urinary bladder are normal.  The GI tract is unremarkable.  Serosal detail is adequate._x000D_
Mild to moderate spondylosis deformans is noted in the thoracic and lumbar spine.  Equivocal intervertebral disc space disease is noted at the cranial lumbar spine.  Mild to moderate degenerative changes are evident in at least 1 stifle.</t>
  </si>
  <si>
    <t>The appearance of the lung fields is most consistent with incidental age-related change and/or chronic inflammatory airway disease._x000D_
Mild to moderate hepatomegaly.  Differentials include vacuolar hepatopathy, inflammation, or less likely neoplasia or venous congestion.</t>
  </si>
  <si>
    <t>An abdominal ultrasound could be considered.</t>
  </si>
  <si>
    <t>9 images of the thorax and abdomen are provided for review and compared with the study dated 7/18/2024.  The cardiovascular structures are normal.  There is a moderate bronchial pattern in all lung lobes, similar to previous images.  Focal alveolar opacity is present in the right middle lung lobe.  The mediastinal and pleural structures are normal.  Abdominal serosal detail is adequate in all quadrants.  The stomach contains a moderate amount of mottled soft tissue material.  The small intestines are normal in size.  Gas and feces are present in the colon.  The urinary bladder is small.  The remaining abdominal organs are normal.</t>
  </si>
  <si>
    <t>Material within the stomach may represent residual ingesta or foreign material.  Consider repeat radiographs following strict fasting (8 to 12 hours minimum) to determine if gastric contents persist.  Persistent moderate bronchial pulmonary pattern=ZZ90= consider bronchitis, response to inhaled irritants, response to circulating parasites, eosinophilic bronchopneumopathy.  Alveolar pulmonary pattern concerning for concurrent pneumonia.  Airway sampling may be helpful in further evaluation.</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</si>
  <si>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3.AI linked pneumonia in dogs article: https://platform.v2.vetology.net/doc/pneumonia-in-dogs-and-cats_x000D_
4.Are respiratory signs present? If YES._x000D_
5.Are respiratory signs present? If NO._x000D_
6.Mild cardiomegaly has been detected but Heart Failure is NOT suspected._x000D_
7.Pleural fissure lines or moderate to severe pleural effusion has been detected. An overlying skin fold or in an obese animal, excessive pericardial fat could artifactually mimic the result of severe pleural effusion.</t>
  </si>
  <si>
    <t>Orthogonal views of the thorax are provided:_x000D_
_x000D_
Thorax:_x000D_
_x000D_
Cervical trachea no completely included (no abnormalities noticed)._x000D_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limits._x000D_
_x000D_
Liver extends beyond the costal arch with sharp margins.</t>
  </si>
  <si>
    <t>1) Unremarkable thorax without signs of cardiomegaly (this does not exclude a cardiac disease), pulmonary metastases nor signs of thoracic lymphadenopathy. _x000D_
2) Unremarkable lungs do not exclude a bronchitis of allergic origin vs inflammatory/infectious or parasitic origin. _x000D_
3) Hepatomegaly: Metabolic vs Vacuolar infiltration vs Hepatic nodular hyperplasia vs Inflammatory vs Toxic vs Neoplastic or a combination of these differentials.</t>
  </si>
  <si>
    <t>Given the lack of cardiomegaly but audible murmur, consider a cardiology consultation with ECG and echocardiogram along with an abdominal US to further evaluate the liver prior to an empirical treatment for chronic bronchitis evaluating response to treatment. If clinical signs persist, consider a bronchoscopy with BAL, culture, cytology, Baermann test and deworming.</t>
  </si>
  <si>
    <t xml:space="preserve">
1.Pleural fissure lines or moderate pleural effusion has been detected. An overlying skin fold or in a moderately overweight animal, excessive pericardial fat could artifactually mimic the result of moderate pleural effusion._x000D_
2.The cardiac silhouette size is normal._x000D_
3.There is no evidence of PERIHILAR INFILTRATE or DYNAMIC AIRWAY COLLAPSE or BRONCHIECTASIS._x000D_
4.A minimal to mild bronchointerstitial pulmonary pattern has been detected.</t>
  </si>
  <si>
    <t>3 views of the abdomen are presented for review.  Serosal detail is adequate in all quadrants.  The stomach contains a small amount of gas.  The small intestines are normal in size.  Gas and feces are present in the colon.  The urinary bladder is small.  The remaining abdominal organs are normal._x000D_
_x000D_
Numerous additional images of an upper GI series are also provided for review.  Initial images show good contrast filling of the stomach with no abnormal filling defects.  There is no thickening or irregularity of the gastric walls.  Progressive movement of contrast through the small intestines to the colon is seen with no abnormalities at multiple time points.  Minimal contrast remains in the stomach outlining the rugal folds at the time of entry of contrast to the colon.  This minimal contrast remains adherent to the gastric mucosa through multiple time points but has resolved by the final images.</t>
  </si>
  <si>
    <t>Adherence of contrast to the gastric mucosa is consistent with inflammation in the mucosa (gastritis).  This is likely secondary to previously diagnosed pancreatitis.  A discrete gastrointestinal mass is not identified.  Diffuse mild infiltrates such as secondary to lymphoma cannot be completely excluded, but there is no evidence of irregular thickening throughout the gastrointestinal tract to highly suggest lymphoma.</t>
  </si>
  <si>
    <t>If clinical signs persist with supportive therapy, abdominal ultrasound may be helpful in further evaluation of the pancreas and gastrointestinal tract.</t>
  </si>
  <si>
    <t xml:space="preserve">
1.The cardiac silhouette size is normal._x000D_
2.There is no evidence of BRONCHITIS or DYNAMIC AIRWAY COLLAPSE or BRONCHIECTASIS._x000D_
3.A mild interstitial to alveolar pattern has been detected.</t>
  </si>
  <si>
    <t>Study:_x000D_
Thoracic radiography: six images (from two different time points) dated August 12, 2024_x000D_
_x000D_
Findings:_x000D_
The cardiac silhouette is normal in size and shape. The pulmonary vasculature is normal in size. There is a mild generalized unstructured interstitial pulmonary pattern. This finding is unchanged between the two examinations. Multiple thin pleural fissure lines are present. There is no intrathoracic lymphadenopathy. The trachea is normal in diameter. The included abdomen is normal. The osseous structures are unremarkable.</t>
  </si>
  <si>
    <t>1. The multiple visualized pleural fissure lines may indicate recurrent nonspecific pleural effusion and/or pleural thickening. Consider point-of-care thoracic sonography plus/minus thoracocentesis for further evaluation._x000D_
2. The generalized unstructured interstitial pulmonary pattern is a nonspecific finding. Consider community acquired pneumonia, noncardiogenic pulmonary edema or interstitial lung disease (e.g. idiopathic pulmonary fibrosis or cryptogenic organizing pneumonia). Computed tomography of the thorax can be considered for further evaluation this finding.</t>
  </si>
  <si>
    <t xml:space="preserve">
1.SEVERE ALVEOLAR INFILTRATE; MILD PERIHILAR PATTERN; MORE DIFFUSE MILD BRONCHOINTERSTITIAL PULMONARY PATTERN._x000D_
2.Based on the AI airway/pulmonary findings, the probability of this patient having clinically detectable respiratory signs is HIGH (75%)_x000D_
3.Are respiratory signs present? If YES._x000D_
4.The cardiac silhouette size is normal._x000D_
5.Are respiratory signs present? If NO.</t>
  </si>
  <si>
    <t xml:space="preserve">Patient Name : Kobe Ayala, Date of study: Aug 12, 2024
3 images are provided for review
Canine Thorax (3 Images) - 2 Lateral, 1 Vd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has an enlarged caudodorsal margin.  Rounded increased soft tissue is in the region of the left atrium in the ventrodorsal image.  The cardiac silhouette is slightly convex in the region of the left auricular appendage.  
Mediastinum: The cranial mediastinum is normal.
Trachea: The trachea is normal.
Esophagus: The esophagus is not well-identified.
Pleural space: The pleural space is normal.
Musculoskeletal: The included musculoskeletal structures are normal.
</t>
  </si>
  <si>
    <t>1. Mild left-sided cardiomegaly such as from myxomatous mitral valvular disease and insufficiency.
- There is no current evidence of left-sided congestive heart failure.
2. Minimal diffuse bronchial pulmonary pattern due to infectious/immune-mediated lower airway disease, fibrosis from prior disease, age-related changes, or unlikely other.</t>
  </si>
  <si>
    <t>Echocardiography, ECG and blood pressure for further evaluation.  Routine blood work if not recently performed.  Consider respiratory PCR panel and fecal analysis/deworming for further evaluation . This examination does not rule out dynamic airway disease contributing to reported signs, consider fluoroscopy/bronchoscopy/tracheoscopy for further evaluation. Empirical therapy and supportive care in the interim as needed. Monitoring as directed or sooner if clinical signs acutely change, fail to improve or worsen.</t>
  </si>
  <si>
    <t xml:space="preserve">
1.Mild dynamic airway disease has been identified._x000D_
2.A minimal perihilar infiltrate has been detected._x000D_
3.Severe cardiomegaly has been detected but Heart Failure is NOT suspected._x000D_
4.There is no evidence of ALVEOLAR PATTERN or PULMONARY NODULES._x000D_
5.A minimal bronchial pattern and concurrent mild dynamic airway disease have been identified.</t>
  </si>
  <si>
    <t>Patient Name : Briar Mitchell, Date of study: Aug 12, 2024
5 images are provided for review
There are no previous radiographs for comparison.
Intra-abdominal findings: The stomach is empty with a mildly cranially displaced axis. Some mineral opaque material is visible in the region of the pylorus. There is appropriate gas in the pylorus on the left lateral image. The small intestines are mainly empty, or have some gas and fluid. No segmental dilation is present. There is moderate distension of the acsending and transverse colon with granular, mineral opaque material. This material is dense, and surrounded by some gas. The urinary bladder is normal. The serosal detail is normal. There hepatic silhouette is mildly small. The spleen is normal. The kidneys are partially obscured by gastrointestinal contents, but the visible aspect are normal.
Extra-abdominal findings: The T13-L1 intervertebral disc is mildly irregular, with lateralising and ventral spondylosis, and mild kyphosis in the region.
Included thorax: Multiple small irregular bowel marginated calcifications are present in the caudal lung regions.</t>
  </si>
  <si>
    <t>1. The findings are consistent with dietary indiscretion with mineral opaque material, likely causing a physical enteritis/colitis and mild constipation.
2. Pulmonary osteomata. Incidental finding.
3. The apparent microhepatica is most likely positional/due to conformation. Cirrhosis or microvascular dysplasia is considered unlikely.
4. T13-L1 intervertebral disc disease.</t>
  </si>
  <si>
    <t>Supportive management including rehydration, gastroprotectants,  full blood work,  if clinically indicated is advised, if not already performed. Repeat 3-view post treatment radiographs depending on clinical progression or consider an abdominal ultrasound.</t>
  </si>
  <si>
    <t>Study:_x000D_
Thoracic radiography: three images dated August 12, 2024_x000D_
_x000D_
Findings:_x000D_
There is mild to moderate left ventricular and left atrial enlargement. The pulmonary vasculature is normal in size. The pulmonary parenchyma is unremarkable. No pulmonologist or masses are present. The pleural space is normal. There is no intrathoracic lymphadenopathy. The trachea is normal in diameter. There is a small mineral opacity in the region of the gallbladder. The included abdomen is otherwise unremarkable. There is mild T 12-T 13 spondylosis deformans.</t>
  </si>
  <si>
    <t>1. Mild to moderate left-sided cardiomegaly, indicative of mitral valve disease, without evidence of decompensation. Echocardiography should be considered for further evaluation._x000D_
2. Cholelith.</t>
  </si>
  <si>
    <t xml:space="preserve">Patient Name : Czar Frisman, Date of study: Aug 5, 2024
5 images are provided for review
Previous images dated [08/05/2024 Case#2733423] are available for comparison.
Pulmonary parenchyma: A mild diffuse bronchial pattern is present.
Pulmonary vasculature: The pulmonary vasculature is subjectively normal in size and tapers in the periphery of the lungs.
Cardiac silhouette:  A slight bulge is suspected in the region of the left auricle in the ventrodorsal image, but this is not corroborated in the other images and likely exacerbated by obliquity.  The cardiac silhouette is otherwise normal in size and shape.
Mediastinum: The cranial mediastinum is normal.
Trachea: The trachea is normal.
Esophagus: The esophagus is not well-identified.
Pleural space: The pleural space is normal.
Musculoskeletal: The included musculoskeletal structures are normal.
</t>
  </si>
  <si>
    <t>1. Mild diffuse bronchial pulmonary pattern such as from artifact, fibrosis from prior disease, age-related changes, or less likely infectious/immune-mediated lower airway disease or unlikely other.
2. Presumed obliquity/phase of the cardiopulmonary cycle versus minimal left auricular enlargement, such as from underlying acquired cardiac disease, or unlikely other.
3. No obvious pulmonary soft tissue nodules or intra-thoracic lymphadenomegaly.</t>
  </si>
  <si>
    <t>Consider focused radiographs to a region of interest given reported lameness of a limb, with comparison images of the contralateral limb for further evaluation.   Computed tomography of the limbs/thorax may be beneficial for a more sensitive evaluation.  Empirical therapy and supportive care in the interim as needed. Monitoring as directed or sooner if clinical signs acutely change, fail to improve or worsen.</t>
  </si>
  <si>
    <t>Thorax: The pulmonary parenchyma, cardiac silhouette, and pulmonary vasculature are unremarkable.  There is no evidence of pleural effusion or lymphadenopathy.  There is mild narrowing of the extrathoracic trachea.  On the visible portions of the abdomen there is moderate diffuse hepatomegaly</t>
  </si>
  <si>
    <t>Mild narrowing of the extrathoracic trachea which may be secondary to true narrowing, inflammation, or possible summation with a redundant dorsal tracheal membrane and/or rotational obliquity._x000D_
_x000D_
Moderate diffuse hepatomegaly.</t>
  </si>
  <si>
    <t xml:space="preserve">
1.Mild cardiomegaly has been detected but Heart Failure is NOT suspected._x000D_
2.MILD to MODERATE BRONCHOINTERSTITIAL PATTERN; MINIMAL DYNAMIC AIRWAY DISEASE._x000D_
3.Based on these AI airway/pulmonary findings, the probability of this patient having clinically detectable respiratory signs is LOW to MEDIUM (25%-50%)_x000D_
4.Are respiratory signs present? If YES._x000D_
5.AI linked bacterial bronchitis in dogs article: https://platform.v2.vetology.net/doc/bacterial-bronchitis-in-dogs-and-cats_x000D_
6.There is no evidence of PERIHILAR INFILTRATE or PULMONARY NODULES._x000D_
7.Are respiratory signs present? If NO.</t>
  </si>
  <si>
    <t>Study:_x000D_
Spinal radiography: six images dated August 12, 2024_x000D_
_x000D_
Findings:_x000D_
The atlantooccipital junction is normal. The dens is intact and well defined. There is collapse of the C3-C4 intervertebral disc space with synostosis of the C3 and C4 vertebrae. There is mild L2-L3 and L3-L4 spondylosis deformans. There is no intervertebral disc space narrowing in the thoracolumbar or lumbosacral spine. There is moderate severe degenerative change in each shoulder. This finding is similar in severity to the June 9, 2022 exam. The included portions of the thoracic limbs are otherwise unremarkable. The coxofemoral joints are normal with good coverage of the femoral head by the acetabulum bilaterally. The patella is in the correct anatomic location bilaterally. The pelvic limb musculature is bilaterally symmetric. The included thorax and abdomen are unremarkable.</t>
  </si>
  <si>
    <t>1. The appearance of the C3-C4 vertebrae and intervertebral disc space may indicate a congenitally anomalous block vertebra or may be secondary to chronic intervertebral disc disease._x000D_
2. The lack of any thoracolumbar/lumbosacral intervertebral disc space narrowing does not exclude the possibility of intervertebral disc disease in these regions._x000D_
3. Static moderate to severe bilateral shoulder osteoarthrosis.</t>
  </si>
  <si>
    <t>Neurology consultation and MRI can be considered if the patient=ZZ91=s clinical signs persist or worsen in spite of strict activity restriction and pain management.</t>
  </si>
  <si>
    <t>Orthogonal views of the thorax and abdomen are provided:_x000D_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and urinary bladder WNL._x000D_
_x000D_
Visible spine is unremarkable without signs of disc herniation, aggressive bone lesions, vertebral fractures or subluxations (thoracic spine is poorly visualized due to rotation and exposure)._x000D_
In the visible pelvis there is a collapsed left femoral head being abnormally shaped with widening of the acetabulum and som free fragments._x000D_
Both stifles show abnormal medial bowing of the proximal tibiae with at least slight medial patellar luxation in the left stifle.</t>
  </si>
  <si>
    <t>1) Unremarkable thorax and abdomen._x000D_
2) Unremarkable visible spine does not exclude extradural, intramural nor intramedullary conditions._x000D_
3) Left coco-femroal joint changes most consistent with an old avascular necrosis of the left femoral head and neck (Legg Calve Perthes)_x000D_
4) Bilateral medial bowing of the proximal tibiae with at least slight medial patellar luxation in the left stifle. Rule out also right MPL.</t>
  </si>
  <si>
    <t>A three view thoracoabdominal study is provided for interpretation._x000D_
_x000D_
There is a mild reduction in overall detail and a subtle appearance of nodular shadows in the area of the pancreas in the right lateral and VD views. This is not appreciated in the left lateral view. The stomach and intestine appear normal. The liver is slightly enlarged, with normal shape and smooth margins. The kidneys, spleen, and bladder are unremarkable. There is normal appearing fecal material in the colon._x000D_
_x000D_
The cardiovascular structures are within normal limits. No pulmonary infiltrates or pleural abnormalities are identified. No esophageal abnormalities are seen.</t>
  </si>
  <si>
    <t>There is subtle nodular opacity with slightly reduced detail in the area of the pancreas and two of the three views, but this is a subtle and equivocal change overall. No definitive mass lesion is seen, and artifactual causes of the suspicious appearance cannot be excluded._x000D_
No foreign bodies or obstructive pattern are identified._x000D_
_x000D_
There is slight liver enlargement. This is a nonspecific change that could be associated with significant diffuse liver disease, but is also sometimes seen as an incidental finding.</t>
  </si>
  <si>
    <t>There are mild changes in the pancreatic area, primary differentials include pancreatitis and early pancreatic neoplastic infiltration._x000D_
The radiographic changes are subtle, so gastroenteritis or metabolic disease should also be ruled out, since the radiographic pancreatic area changes are not definitive._x000D_
_x000D_
Symptomatic therapy and supportive care is recommended._x000D_
If clinical signs are not responding adequately to medical management over the next 48 hours, more definitive anatomic imaging such as ultrasound is recommended.</t>
  </si>
  <si>
    <t>A three view study of the thorax is provided for interpretation._x000D_
_x000D_
No pulmonary nodules or thoracic mass lesions are identified. Interstitial lung opacity is mildly increased within the limits of age related change. In the VD view the heart is shifted toward the left thoracic wall and there is ill defined increased opacity in the left peripheral lung=ZZ90= this is suspected to be artifactual change secondary to rotational obliquity and pericardial and mediastinal fat. The cardiovascular structures are within normal limits. No tracheal abnormalities are identified._x000D_
No destructive or productive bone lesions are seen.</t>
  </si>
  <si>
    <t>No significant cardiopulmonary abnormalities or evidence of metastatic neoplasia are identified.</t>
  </si>
  <si>
    <t>No findings that would be considered a contraindication to removal of the reported digit mass are identified.</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</si>
  <si>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 evaluation has come up positive for a pulmonary nodular pattern._x000D_
6.The cardiac silhouette size is normal._x000D_
7.There is no evidence of DYNAMIC AIRWAY COLLAPSE or BRONCHIECTASIS.</t>
  </si>
  <si>
    <t>Study:_x000D_
Thoracic radiography: four images dated August 12, 2024_x000D_
_x000D_
Findings:_x000D_
The cardiac silhouette and pulmonary vasculature are normal in size. There are two soft tissue opaque nodules in the cranioventral lung fields at the level of the third ribs on all lateral views. These are not seen on the orthogonal view. The pleural space is normal. There is no intrathoracic lymphadenopathy. The trachea is normal in diameter and course. The included abdomen is unremarkable. No skeletal abnormalities are present.</t>
  </si>
  <si>
    <t>The soft tissue opaque nodule seen in the cranioventral lung fields likely represent metastatic disease.</t>
  </si>
  <si>
    <t>Consider abdominal sonography for further staging. Oncology consultation should also be considered.</t>
  </si>
  <si>
    <t>Study:_x000D_
Thoracic radiography: three images dated August 12, 2024_x000D_
_x000D_
Findings:_x000D_
The cardiac silhouette is normal in size and shape. The pulmonary vasculature is normal in size. The pulmonary parenchyma is overexposed on the lateral projections. There is a mild generalized bronchial pulmonary pattern. The pleural space is normal. There is no intrathoracic lymphadenopathy. There is a broad-based soft tissue opaque band superimposed with the dorsal aspect of the cervical trachea lumen, more evident on the left lateral view, likely representing a redundant dorsal tracheal membrane. The tracheal diameter is normal. There is no lobar bronchi narrowing. The included abdomen is unremarkable. There is variable mild to severe thoracic and severe L1-L2 spondylosis deformans. There is severe right elbow periarticular bone formation.</t>
  </si>
  <si>
    <t>1. The mild generalized bronchial pulmonary pattern may indicate allergic, inflammatory, infectious, parasitic or irritant bronchitis. Airway sampling, heartworm testing and Baermann fecal flotation can be considered for further evaluation if clinically relevant._x000D_
2. Redundant dorsal tracheal membrane. Normal diameter of the trachea does not exclude the positive concomitant tracheal collapse. Fluoroscopy can be considered for further evaluation of the patient exhibits any tracheal sensitivity on physical exam._x000D_
3. Severe right elbow osteoarthrosis.</t>
  </si>
  <si>
    <t>Four radiographs of the thorax, two lateral views of the abdomen, and two views of the distal pelvic limbs are provided. The cardiac silhouette and pulmonary vessels are normal size and shape. There are no abnormalities in the pulmonary parenchyma. The appearance of small ovoid soft tissue density caudal to the tracheal bifurcation on the right lateral view is summating pulmonary vessels and ribs. There is no pleural effusion. Normal tracheal diameter._x000D_
_x000D_
In the abdomen the liver, spleen, and kidneys are normal size and shape. The gastrointestinal tract is mildly filled. The urinary bladder is incompletely visible. No lumbar spinal abnormalities. On the dorsoplantar view that includes both distal pelvic limbs, there is moderate soft tissue swelling in the 5th digit of one of the limbs (no laterality marker present). On the dorsoplantar view, there is suspect  linear transverse lucency in the abaxial aspect of the 2nd phalanx of this digit, with no corresponding abnormalities on the lateral view. There is no subluxation, emphysema, or radiopaque foreign material. The contralateral pes is normal.</t>
  </si>
  <si>
    <t>1. Swelling in the 5th digit of one of the pelvic limbs, with equivocal incomplete fracture in the 2nd phalanx versus positional artifact. If the lucency is an artifact, the swelling is most likely due to soft tissue sprain/strain. No other abnormalities are appreciated._x000D_
2. Normal thorax and abdomen.</t>
  </si>
  <si>
    <t>Recommend supportive care with anti-inflammatories. External coaptation could also be considered.</t>
  </si>
  <si>
    <t>Orthogonal views of the thorax are provided:_x000D_
_x000D_
Thorax:_x000D_
_x000D_
Cardiac silhouette shows a questionable mild enlargement of the left atrium dorsally displacing the carina. The VD view is rotated with fat deposits in the pericardium of the right atrium._x000D_
Pulmonary vessels are within normal limits of size and shape._x000D_
Pulmonary parenchyma is within normal limits. No evidence of pulmonary nodules/masses._x000D_
Pleural space, mediastinum, diaphragm and thoracic wall within normal limits.</t>
  </si>
  <si>
    <t>Consider a cardiology consultation with ECG and echocardiogram._x000D_
Consider axillary US to rule out axillary lymphadenopathy and abdominal US to rule out abdominal metastases.</t>
  </si>
  <si>
    <t xml:space="preserve">
1.Mild cardiomegaly has been detected but Heart Failure is NOT suspected._x000D_
2.A minimal to mild bronchointerstitial pulmonary pattern has been detected._x000D_
3.There is no evidence of DYNAMIC AIRWAY COLLAPSE or BRONCHIECTASIS or PLEURAL EFFUSION.</t>
  </si>
  <si>
    <t>Three radiographs of the thorax are provided. The cardiac silhouette is normal size and shape. The caudal heart waist appears straightened on the 1st lateral view due to superimposed rib contour. Pulmonary vessels are normal size. There is a small area of faint increased opacity overlying the caudoventral heart on the 1st lateral view, not confirmed on the 2nd lateral or on the VD projection. No definitive air bronchograms. Tracheal diameter is adequate. No esophageal dilation or pleural effusion.</t>
  </si>
  <si>
    <t>Small area of suspect interstitial infiltrates, concerning for pneumonia, either aspiration versus infectious etiology. Otherwise normal thorax.</t>
  </si>
  <si>
    <t>If the patient is febrile or has elevated white blood cell count, antibiotics would be recommended, with follow-up radiographs upon completion (VD and both lateral views) to ensure resolution of the suspect interstitial pattern.</t>
  </si>
  <si>
    <t>Consider abdominal US to further evaluate the liver and entire abdomen. Given the clinical signs and age of the patient consider also a cardiology consultation with ECG and echocardiogram.</t>
  </si>
  <si>
    <t xml:space="preserve">
1.The cardiac silhouette size is normal._x000D_
2.There is no evidence of PERIHILAR INFILTRATE, DYNAMIC AIRWAY COLLAPSE or BRONCHIECTASIS, PULMONARY NODULES or PLEURAL EFFUSION._x000D_
3.A mild bronchial pattern has been detected.</t>
  </si>
  <si>
    <t>Orthogonal radiographs of the thorax, and a lateral view of the abdomen are provided. The cardiac silhouette and pulmonary vessels are normal size. There are numerous punctate mineral densities in the lungs consistent with incidental pulmonary osteomas. No soft tissue pulmonary nodules or pleural effusion. Small volume fat deposition in the cranial mediastinum. Scant fluid in the caudal esophagus is incidental. The trachea is normal diameter._x000D_
_x000D_
In the abdomen there is moderate volume of amorphous soft tissue opaque ingesta filling the stomach. Small bowel are minimally distended. Moderate volume of formed feces in the colon. Serosal detail is adequate. Normal size liver and spleen. The kidneys are obscured by bowel loops. No radiopaque cystic calculi. Small round soft tissue density ventral to L6 is end-on deep circumflex iliac vessels.</t>
  </si>
  <si>
    <t>Normal thorax and postprandial abdomen. Gastric contents appears to be normal ingesta. Foreign material is not ruled out but given lesser consideration in the absence of vomiting. The reason for coughing is not identified. Inhaled irritant/allergens should be considered. With the gagging and slow/careful eating behavior, oral/pharyngeal/laryngeal abnormality remains possible.</t>
  </si>
  <si>
    <t>Recommend CBC, blood chemistry profile, and visual inspection of the oropharyngeal/laryngeal region.</t>
  </si>
  <si>
    <t xml:space="preserve">
1.A moderate bronchial pattern and concurrent mild interstitial pattern with potential regions of alveolar infiltrate have been detected._x000D_
2.A diffuse, minimal to mild interstitial pulmonary pattern and minimal perihilar infiltrate have been detected._x000D_
3.The cardiac silhouette size is normal.</t>
  </si>
  <si>
    <t xml:space="preserve">Patient Name : Rhea Humphries, Date of study: Aug 12, 2024
3 images are provided for review
Canine Thorax (3 Images) - 2 Lateral, 1 Vd
There are no previous radiographs for comparison.
Pulmonary parenchyma: In the ventrodorsal image a mild to moderate interstitial and mild to moderate alveolar pattern are present in the left caudal and caudal subsegment of the left cranial lung lobes. A mild interstitial pattern is in the right caudal lung lobes caudolateral tip in the ventrodorsal image.  A minimal to mild diffuse bronchial pattern is present.
Pulmonary vasculature: The pulmonary vasculature are partially obscured in the caudodorsal lungs.  
Cardiac silhouette: The cardiac silhouette is normal in size and shape.
Mediastinum: The cranial mediastinum is normal.
Trachea: The trachea is normal.
Esophagus: The esophagus is not well-identified.
Pleural space:  Scant right and mild left pleural fluid is suspected with widening of the pleural fissures between the right cranial/middle and left cranial lung lobe subsegments as well as the left cranial/caudal lung lobes.  
Musculoskeletal: The included musculoskeletal structures are normal.
</t>
  </si>
  <si>
    <t xml:space="preserve">1. Mild-moderate left and right caudal lung lobe interstitial and alveolar patterns.
- Differential diagnoses include bronchopneumonia/aspiration pneumonia with/without inhaled foreign material given atypical distribution of this pattern,  or unlikely fungal pneumonia such as from blastomycosis spp., versus pulmonary eosinophilia, hemorrhage, or least likely hematogeneous spread of pneumonia/sepsis of other.
2. Minimal diffuse bronchial pattern due to infectious/immune-mediated lower airway disease, fibrosis from prior disease, age-related changes or unlikely other.
3. Mild right and mild left pleural fluid such as from pneumonia/pneumonitis/pleuropneumonia, hemorrhage, or less likely other.  </t>
  </si>
  <si>
    <t xml:space="preserve">Consider routine blood work and abdominal imaging in the interim as needed.  Coagulation testing and fungal serology may be contributory, especially depending on travel/exposure history. Empirical therapy and supportive care in the interim for possible atypical bronchopneumonia.  Computed tomography and/or serial radiographs for monitoring response to therapy as directed, or sooner if clinical signs acutely change or worsen in the face of empirical therapy/supportive care.  If pleural fluid is confirmed and accessible, consider thoracocentesis with fluid analysis/cytology for further evaluation.  </t>
  </si>
  <si>
    <t xml:space="preserve">
1.Respiratory signs: YES._x000D_
2.PULMONARY NODULES or NODULAR PATTERN; PLEURAL EFFUSION; MODERATE INTERSTITIAL TO ALVEOLAR PATTERN._x000D_
3.Based on these AI airway/pulmonary findings, the probability of this patient having clinically detectable respiratory signs is HIGH (75%)_x000D_
4.Are respiratory signs present? If YES._x000D_
5.Are respiratory signs present? If NO._x000D_
6.A moderate bronchointerstitial pattern with a concurrent alveolar infiltrate and perihilar opacity has been detected._x000D_
7.Probability these AI pulmonary findings will accompany clinically detectable respiratory signs: MEDIUM to HIGH (50-75%%)_x000D_
8.If left atrial enlargement is present, that could contribute to the perihilar finding (see cardiac findings below)._x000D_
9.The cardiac silhouette size is normal._x000D_
10.Respiratory signs: NO._x000D_
11.This evaluation has a strong suspicion of soft tissue pulmonary nodules or mass lesion being present.</t>
  </si>
  <si>
    <t>Left lateral and VD thoracoabdominal views are provided for interpretation._x000D_
_x000D_
The cardiovascular structures are within normal limits. The caudal esophagus is faintly visible as a subtle band of opacity in the lateral view. It does not appear dilated or significantly abnormal. No pulmonary infiltrates or pleural effusion are seen. The trachea is normal._x000D_
_x000D_
There is a small quantity of granular and fragmented mineral density in the stomach and in the colon. No dilation of the stomach or intestine is seen. The gastric wall appears mildly thickened. The small intestine appears empty and unremarkable. Serosal detail in the abdomen is normal. The other organs are within normal limits.</t>
  </si>
  <si>
    <t>The caudal thoracic esophagus is visible in the lateral view. The caudal esophagus is not normally visible, but is transiently visible occasionally, with variable clinical significance. This could be seen incidentally, or secondary to gastroesophageal reflux or distal esophageal thickening. Clinical significance in this case is unknown._x000D_
_x000D_
The stomach has a mildly thickened appearance. This is not severe enough to be considered a reliable survey radiographic finding, but more advanced follow up imaging is indicated. The small quantity of mineral dense foreign material in the GI tract could be considered evidence of dietary indiscretion but does not appear to present obstruction hazard. The rest of the abdomen is unremarkable.</t>
  </si>
  <si>
    <t>Endoscopy or ultrasound examination of the stomach should be considered.</t>
  </si>
  <si>
    <t>Opposite lateral and VD views of the thorax and abdomen are provided._x000D_
_x000D_
In the right lateral thorax view, the caudal waist of the cardiac silhouette has a slight bulge that was not seen in the previous radiographs dated 2-2-24. This is not appreciated in the other views. Overall heart size is still within normal limits at the upper end of normal range. The pulmonary vessels and parenchyma are within normal limits for patient age._x000D_
_x000D_
There is a small quantity of amorphous soft tissue dense ingesta in the stomach. Tiny mineral density compatible with a small piece of gravel is also seen. Similar small granular and fragmented mineral densities are present within the fecal material in the colon. No dilation of the stomach or intestine is seen. Abdominal serosal detail is normal. A linear metal foreign body compatible with a short segment of fine wire is identified superimposed over the liver in the lateral views. This cannot be localized in the VD view, and was present in the previous radiographs six months ago. The other abdominal organs are unremarkable._x000D_
_x000D_
There are changes at L1-L2 consistent with the history of previous hemi laminectomy.</t>
  </si>
  <si>
    <t>The small quantity of granular and fragmented mineral density in the GI tract is minimal, and not expected to be clinically significant. No obstructive pattern or foreign objects of significant size are identified. No findings concerning for neoplasia or peritonitis are seen._x000D_
_x000D_
The small wire segment in the area of the liver is presumed to be an incidental finding of limited significance._x000D_
_x000D_
The shape of the heart suggests that slight left atrial dilation might be present, this could still be benign variation or artifact. Convincingly significant cardiac chamber dilation is not appreciated. Significant.</t>
  </si>
  <si>
    <t xml:space="preserve">
1.A minimal interstitial pulmonary pattern with a concurrent, minimal perihilar infiltrate have been detected._x000D_
2.A moderate bronchointerstitial pulmonary pattern detected._x000D_
3.The cardiac silhouette size is normal._x000D_
4.There is no evidence of PULMONARY NODULES or PLEURAL EFFUSION.</t>
  </si>
  <si>
    <t>3 images of the spine are provided for review.  No fractures, luxations, or aggressive osseous lesions are seen.  There is mild consistent narrowing of the intervertebral disc space at T12-13.  The soft tissue structures included are normal.</t>
  </si>
  <si>
    <t>6 images of the thorax and abdomen are presented for review.  The trachea is dorsally deviated, indicating left ventricular enlargement.  The cardiac silhouette is also mildly widened with rounding of the right ventricular border.  The trachea is narrowed in the caudal cervical region.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and spleen are overall normal in size mildly rounded.  The stomach contains a moderate amount of ingesta.  The small intestines are normal in size.  Gas and feces are present in the colon.  The cecum is gas-filled.  The urinary bladder is small.  The remaining abdominal organs are normal.</t>
  </si>
  <si>
    <t>Mild rounding of the liver and spleen are nonspecific but may be seen with autoimmune disease, congestion, inflammation, neoplasia.  Abdominal ultrasound could be considered if clinically indicated.  Mild generalized cardiomegaly.  Echocardiography may be helpful.  Tracheal narrowing suggestive of tracheal collapse.</t>
  </si>
  <si>
    <t xml:space="preserve">
1.Are respiratory signs present? If NO._x000D_
2.SEVERE INTERSTITIAL TO ALVEOLAR PATTERN; MODERATE BRONCHIAL PATTERN; MODERATE DYNAMIC AIRWAY DISEASE._x000D_
3.Based on these AI airway/pulmonary findings, the probability of this patient having clinically detectable repsiratory signs is VERY HIGH (&gt;75%)_x000D_
4.Are respiratory signs present? If YES._x000D_
5.AI linked pneumonia in dogs article: https://platform.v2.vetology.net/doc/pneumonia-in-dogs-and-cats_x000D_
6.A mild perihilar infiltrate has been detected._x000D_
7.Pleural fissure lines or moderate to severe pleural effusion has been detected. An overlying skin fold or in an obese animal, excessive pericardial fat could artifactually mimic the result of severe pleural effusion._x000D_
8.Moderate cardiomegaly has been detected but Heart Failure is NOT suspected.</t>
  </si>
  <si>
    <t>Orthogonal views of the thorax, abdomen, and pelvis are provided. There are six images total._x000D_
_x000D_
The pelvis and hip joints are within normal limits. No spinal abnormalities are identified. No fractures or soft tissue swelling are seen._x000D_
Serosal detail in the abdomen is within normal limits considering the young age of the patient. The liver appears mildly enlarged, but this is also a typical age related variant in juvenile patients._x000D_
The cardiovascular structures are unremarkable. No pulmonary infiltrates or pleural effusion are identified.</t>
  </si>
  <si>
    <t>No significant anatomic abnormalities are identified._x000D_
There is no radiographic evidence of significant traumatic injury.</t>
  </si>
  <si>
    <t>Symptomatic therapy and restricted activity for possible soft tissue injury not visible in the radiographs is recommended.</t>
  </si>
  <si>
    <t>Opposite lateral and VD views of the thorax and abdomen and a lateral neck view are provided. There are seven images total._x000D_
_x000D_
Severe alveolar infiltrates are identified involving the right side lung lobes and the left cranial lobe. Most of the alveolar opacity is ventrally distributed, but patchy more dorsally distributed alveolar infiltrates are also seen in the cranial subsegment of both cranial lobes. There is a moderate to severe bronchointerstitial pattern involving the remaining lung fields. The cardiovascular structures are within normal limits. No tracheal or esophageal abnormalities are identified. No thoracic lymphadenopathy or pleural effusion is seen._x000D_
There is a convex contour abnormalities involving the caudal margin of the left sixth rib, which is compatible with a healed rib fracture._x000D_
_x000D_
The abdominal organs are within normal size and shape limits. No abnormalities are identified involving the GI tract. Serosal detail in the abdomen is normal._x000D_
The L3-L4 intervertebral disc space appears mildly narrowed.</t>
  </si>
  <si>
    <t>The pulmonary changes are consistent with bronchopneumonia. Bacterial infection is suspected. Fungal disease would be a less likely possibility._x000D_
_x000D_
No abdominal abnormalities are identified._x000D_
There is mild narrowing of the L3-L4 disc space. Lumbar spinal pain should be ruled out as a possible cause for the suspected abdominal pain on palpation.</t>
  </si>
  <si>
    <t>CBC is recommended._x000D_
Antibiotic therapy for bronchopneumonia is recommended._x000D_
A recheck a three view radiographic study of the thorax is recommended in 10 to 14 days, or sooner if clinical signs are not improving with antibiotic therapy.</t>
  </si>
  <si>
    <t xml:space="preserve">
1.In older dogs, a pulmonary mass or pulmonary nodules, pulmonary hemorrhage, pleural effusion or PTE are primary considerations._x000D_
2.In the ABSENCE of respiratory signs, lung lobe collapse or severe atelectasis secondary to anesthesia or deep sedation could artifactually create this appearance._x000D_
3.If this AI evaluation is inconsistent with your assessment or the clinical picture, a radiologist over read may be beneficial._x000D_
4.The evaluation has detected soft tissue pulmonary nodules and pleural fluid._x000D_
5.PULMONARY NODULES or NODULAR PATTERN; PLEURAL EFFUSION or PLEURAL FISSURE LINES; SEVERE INTERSTITIAL TO ALVEOLAR PATTERN; MODERATE BRONCHIAL PATTERN; DYNAMIC AIRWAY DISEASE._x000D_
6.Based on the AI airway/pulmonary findings, the probability of this patient having clinically detectable respiratory signs is VERY HIGH (&gt;75%)_x000D_
7.Moderate cardiomegaly has been detected but Heart Failure is NOT suspected.</t>
  </si>
  <si>
    <t>Opposite lateral views of the thorax that include the cranial abdomen are provided. A previous study assisting of opposite lateral thoracoabdominal views dated 5-21-24 is available for comparison. This study showed a moderate bronchial pattern._x000D_
_x000D_
A mild bronchial pattern is suspected in the current radiographs. Interpretation is hindered by respiratory motion artifact. The appearance of bronchial markings is less prominent than in the previous study. No alveolar infiltrates are identified. No pleural effusion or mass effect is seen. The trachea is within normal limits. The cardiovascular structures are unremarkable. No abnormalities are seen in the cranial abdomen.</t>
  </si>
  <si>
    <t>There is a mild to moderate bronchial pattern. The appearance is less prominent than the previous radiographs and is within the limits of what might be seen on the basis of breed associated bronchial markings and hypoinflation artifact. No evidence of pneumonia is seen._x000D_
 No cardiovascular abnormalities are identified.</t>
  </si>
  <si>
    <t>No additional treatment or diagnostics are recommended at this time.</t>
  </si>
  <si>
    <t xml:space="preserve">
1.Are respiratory signs present? If YES._x000D_
2.MODERATE DYNAMIC AIRWAY DISEASE; MILD BRONCHITIS; MINIMAL INTERSTITIAL PATTERN WITH ATELECTASIS or less likely, PNEUMONIA._x000D_
3.Based on the AI airway/pulmonary findings, the probability of this patient having clinically detectable respiratory signs is MEDIUM to HIGH (50-75%)._x000D_
4.AI linked collapsing airway disease treatment in dogs: https://platform.v2.vetology.net/doc/canine-tracheal-collapse-treatment_x000D_
5.Are respiratory signs present? If NO._x000D_
6.The cardiac silhouette size is normal._x000D_
7.There is no evidence of PULMONARY NODULES.</t>
  </si>
  <si>
    <t>Thorax:_x000D_
_x000D_
No abnormalities seen in the trachea._x000D_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t>
  </si>
  <si>
    <t>Given the lack of cardiomegaly but history of collapsing on walks, consider a cardiology consultation with ECG and echocardiogram prior to any empirical treatment for chronic bronchitis evaluating response to treatment. If clinical signs persist, consider a bronchoscopy with BAL, culture, cytology, Baermann test and deworming.</t>
  </si>
  <si>
    <t xml:space="preserve">
1.SEVERE ALVEOLAR INFILTRATE; MINIMAL PERIHILAR PATTERN; MORE DIFFUSE MILD BRONCHOINTERSTITIAL PULMONARY PATTERN._x000D_
2.Based on the AI airway/pulmonary findings, the probability of this patient having clinically detectable respiratory signs is HIGH (75%)_x000D_
3.Are respiratory signs present? If YES._x000D_
4.The cardiac silhouette size is normal._x000D_
5.Are respiratory signs present? If NO.</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</si>
  <si>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beyond the costal arch.  The stomach contains a moderate amount of ingesta.  The small intestines are normal in size.  Gas and feces are present in the colon.  The urinary bladder is small.  The remaining abdominal organs are normal.</t>
  </si>
  <si>
    <t>A three view study of the thorax is provided for interpretation._x000D_
_x000D_
There is an ill defined region of irregular alveolar opacity in the right mid dorsal lung field just caudal and dorsal to the carina at the level of the sixth intercostal space. The area in question does not have discrete margins but has roughly elliptical shape measuring approximately 1 x 2.5 cm in the radiographs. The other lung fields are within normal limits. No pleural effusion is seen. The cardiovascular structures are normal. No tracheal abnormalities are identified._x000D_
The liver is at the small end of normal size range. The other cranial abdominal organs are unremarkable._x000D_
The patient has overweight body condition. No skeletal abnormalities are identified.</t>
  </si>
  <si>
    <t>There is an unusual ill defined nodular pulmonary lesion in the right mid dorsal lung field at the level of the six intercostal space. The subjective appearance would be most compatible with a granuloma._x000D_
Considering the acute history, this lesion could be a response to a recently inhaled radiolucent foreign body such as a grass awn. A developing pulmonary tumor should also be ruled out._x000D_
_x000D_
Focal pneumonia a bacterial or fungal origin without an associated foreign body could appear similar, but is less likely given the normal appearance of the other lung fields.</t>
  </si>
  <si>
    <t>Bronchoscopy is recommended._x000D_
If this is not an option, it is possible this lesion might be accessible for FNA and cytology with ultrasound guidance, although this is somewhat speculative due to the poorly defined margins of the lesion.</t>
  </si>
  <si>
    <t>Five radiographs of the spine are provided. No cervical spinal abnormalities. Mild narrowed T9-10 and T10-11 intervertebral disc spaces. Incidental hypoplastic left 13th rib. No lumbar spinal abnormalities. There is no endplate lysis. Cardiovascular structures are normal size. The lungs are clear. No pleural effusion. Adequate tracheal diameter. In the abdomen there is no effusion or organomegaly. Thin curved mineral density dorsal to the ilial wings is incidental apophysis.</t>
  </si>
  <si>
    <t>Narrowed T10-11 intervertebral disc space is an incidental anatomic variant. Narrowed T9-10 is unexpected and could represent a protruding/extruded intervertebral disc, however is uncommon in this area due to presence of the dorsal longitudinal ligament. No other spinal abnormalities are appreciated. Non-mineralized intervertebral disc protrusion/extrusion remains possible. The thorax and abdomen are normal.</t>
  </si>
  <si>
    <t>If the patient does not continue to improve, advanced spinal imaging with MRI should be considered.</t>
  </si>
  <si>
    <t xml:space="preserve">
1.A minimal interstitial pulmonary pattern with a concurrent, mild perihilar infiltrate have been detected._x000D_
2.The cardiac silhouette size is normal._x000D_
3.There is no evidence of DYNAMIC AIRWAY COLLAPSE or BRONCHIECTASIS or PULMONARY NODULES.</t>
  </si>
  <si>
    <t>8 views of the thorax, abdomen, pelvis, pelvic limbs, and left thoracic limb are submitted for review._x000D_
In the thorax, the cardiovascular structures are within normal limits.  An endotracheal tube is noted extending to the caudal cervical region.  Mild bronchointerstitial markings are noted in the lung fields, consistent with incomplete inspiration.  No pleural effusion is seen._x000D_
In the abdomen, the stomach contains a mild amount of ingesta and gas.  The small bowel is normal.  A mild amount of gas and stool is noted in the colon.  The liver, spleen, renal silhouettes, and urinary bladder are within normal limits.  Serosal detail is normal._x000D_
The bilateral femoral heads are well-seated in the acetabula.  The coxofemoral joint spaces are congruent.  No degenerative changes are noted in either hip.  The sacroiliac joints are within normal limits.  A transitional vertebra is noted at the lumbosacral junction giving the appearance of 8 lumbar vertebra.  Moderate spondylosis deformans is noted at the lumbosacral junction.  No definitive abnormalities are noted in either stifle or tarsus._x000D_
The left shoulder appears within normal limits.  No abnormalities are noted in the left elbow or imaged portion of the distal antebrachium.  The limited view of the right thoracic limb is also unremarkable.</t>
  </si>
  <si>
    <t>The appearance of the lung fields is most consistent with incomplete inspiration associated with general anesthesia.  Otherwise, radiographically normal thorax and abdomen._x000D_
The degenerative change and transitional vertebra at the lumbosacral junction is of unknown significance and may be incidental or could be associated with lumbosacral pain.</t>
  </si>
  <si>
    <t>Correlation with specific clinical and neurologic exam findings may be helpful.  Otherwise, empirical medical management appears appropriate.</t>
  </si>
  <si>
    <t xml:space="preserve">
1.Are respiratory signs present? If YES._x000D_
2.SEVERE ALVEOLAR INFILTRATE; DIFFUSE, MILD BRONCHOINTERSTITIAL PULMONARY PATTERN._x000D_
3.Based on the AI airway/pulmonary findings, the probability of this patient having clinically detectable respiratory signs is VERY HIGH (&gt;75%)_x000D_
4.AI linked canine pneumonia treatment: https://platform.v2.vetology.net/doc/pneumonia-in-dogs-and-cats_x000D_
5.Are respiratory signs present? If NO._x000D_
6.The cardiac silhouette size is normal._x000D_
7.There is no evidence of DYNAMIC AIRWAY COLLAPSE or BRONCHIECTASIS.</t>
  </si>
  <si>
    <t xml:space="preserve">Patient Name : Thila Cruz, Date of study: Aug 12, 2024
4 images are provided for review
There are no previous radiographs for comparison.
Findings:
Airway findings: A smoothly marginated soft tissue opacity is variably present overlying the dorsal aspect of the trachea at the thoracic inlet. This opacity reduces approximately 50% of the dorsoventral diameter of the trachea. The intrathoracic tracheal diameter is variable. Throughout the lung parenchyma there is a mild interstitial opacification.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mildly enlarged. The pulmonary vessels as well as the mainstem vasculature are normal.
Mediastinum and pleural space: There is mild ventral and cranial mediastinal fat.
Musculoskeletal findings: There is compression and dorsal displacement of the vertebral body of T5, with surrounding smoothly marginated bony modelling and ventral spondylosis.
Included abdomen: The urinary bladder appears distended. The several masslike lesions are visible superimposed on the urinary bladder. The caudal aspect of the urinary bladder is not included.
</t>
  </si>
  <si>
    <t>1. The dorsal attenuation of the trachea is consistent with tracheomalacia, and/or redundant trachealis membrane. The extent of attenuation would be expected to cause coughing.
2. Left atrial dilation with mild left-sided cardiomegaly. This is most likely due to mixoid degeneration of the mitral valve. There is no evidence for cardiac insufficiency. 
3. The mild homogenous interstitial opacification is most likely due to body habitus. Cardiogenic pulmonary oedema is considered less likely.
4. Caudal abdominal mass lesions: Considering neutered state, this is likely due to a reproductive tract neoplasm. A urinary bladder neoplasm should be considered.
5. Likely  congenital vertebral abnormalities, or historic vertebral body fracture.</t>
  </si>
  <si>
    <t>Consider evaluation for airway collapse (fluoroscopy vs. right lateral inspiratory and expiratory radiographs vs. CT with virtual bronchoscopy). Alternatively consider medical management. 
Radiography is insensitive for early cardiac insufficiency, therefore ECG, blood pressure measurements, and echocardiography may be considered for further evaluation, or baseline measurements.
Three view abdominal series and a complete abdominal ultrasonographic examination is advised, with a view to FNA of abnormal organs, after complete blood work, and a normal coagulation panel.</t>
  </si>
  <si>
    <t xml:space="preserve">
1.A moderate interstitial to alveolar pattern has been detected._x000D_
2.A moderate interstitial to alveolar pattern and moderate perihilar infiltrate have been detected._x000D_
3.Mild cardiomegaly has been detected but Heart Failure is NOT suspected._x000D_
4.There is no evidence of PULMONARY NODULES or PLEURAL EFFUSION.</t>
  </si>
  <si>
    <t>5 images of the thorax and abdomen are presented for review.  The cardiovascular and pulmonary structures are normal.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An ovoid mineral opaque structure is in the area of the urinary bladder.  The remaining abdominal organs are normal.  Hemivertebrae are present in the thoracolumbar and sacrocaudal spine.</t>
  </si>
  <si>
    <t>Radiographically normal thorax.  Likely cystic calculus.  Congenital hemivertebrae.</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</si>
  <si>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distended with food._x000D_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_x000D_
Pin pint mineralized material superimposed with L5-L6 IV foramen.</t>
  </si>
  <si>
    <t>1) Unremarkable thorax without signs of pulmonary metastases nor signs of thoracic lymphadenopathy._x000D_
2) Hepatomegaly: Metabolic vs Vacuolar infiltration vs Hepatic nodular hyperplasia vs Inflammatory vs Toxic vs Neoplastic or a combination of these differentials.
(amended on 08/13/2024 08:46)
3) L5-L6: Rule out mineralized disc herniation.</t>
  </si>
  <si>
    <t>Consider abdominal US to further evaluate causes of anorexia (but stomach is distended with food) and the liver. Full neuro exam with MRI if necessary.</t>
  </si>
  <si>
    <t xml:space="preserve">
1.A mild alveolar and more diffuse interstitial pulmonary pattern has been identified._x000D_
2.A mild to moderate interstitial to alveolar pattern has been detected.._x000D_
3.The cardiac silhouette size is normal._x000D_
4.There is no evidence of DYNAMIC AIRWAY COLLAPSE or BRONCHIECTASIS or PULMONARY NODULES._x000D_
5.Pleural fissure lines or moderate to severe pleural effusion has been detected. An overlying skin fold or in an obese animal, excessive pericardial fat could artifactually mimic the result of severe pleural effusion.</t>
  </si>
  <si>
    <t>Three radiographs of the thorax/abdomen, and three views of the pelvic limbs are provided. The cardiac silhouette and pulmonary vessels are normal size and shape. There are no abnormalities in the pulmonary parenchyma. No pleural effusion. Normal tracheal diameter. Small volume fluid in the caudal esophagus is transient and incidental. In the abdomen formed feces fills the colon. The stomach and small bowel are minimally filled. Serosal detail is adequate. Normal-sized liver and spleen. The kidneys are obscured by superimposed bowel loops. The urinary bladder is mildly filled and soft tissue opaque. No lumbar spinal abnormalities. Both coxofemoral joints are congruent. Pelvic limb musculature is approximately symmetric. Patella location is normal. No stifle joint effusion is appreciated. There is moderate soft tissue thickening encircling the distal tibias and extending into the pes bilaterally. No osseous lysis, radiopaque foreign material, or emphysema.</t>
  </si>
  <si>
    <t>Distal pelvic limb soft tissue swelling, with no underlying osseous abnormalities. A reason for the edema is not identified. The thorax and abdomen are normal.</t>
  </si>
  <si>
    <t>Orthogonal views of the thorax are provided._x000D_
_x000D_
The heart is within normal size and shape limits. Pulmonary vessels are normal. No pulmonary infiltrates or pleural effusion are identified. The trachea is unremarkable. The liver is mildly enlarged. The liver margins are smooth.</t>
  </si>
  <si>
    <t>There is no evidence of significant cardiac chamber dilation or indication for medications based on the radiographs. Echocardiography could be considered for more complete evaluation.</t>
  </si>
  <si>
    <t xml:space="preserve">Patient Name : Max Murphy, Date of study: Aug 12, 2024
3 images are provided for review
There are no previous radiographs for comparison.
Pulmonary parenchyma:  The lungs are hypoinflated, most severe in the ventrodorsal image.  An alveolar pattern is present in the caudal subsegment of the left cranial lung lobe with faint-air bronchograms.  A mild to moderate, interstitial to alveolar pattern is in the right middle lung lobe. A mild diffuse bronchial pattern is present.
Pulmonary vasculature: The pulmonary vasculature is subjectively normal in size and tapers in the periphery of the lungs.
Cardiac silhouette: The cardiac silhouette is equivocally tall in the lateral images and occupies approximately 2/3 the height of the thorax.  
Mediastinum: The cranial mediastinum is normal.
Trachea: A soft tissue band partially superimposes over the trachea in the left lateral image.
Esophagus: The esophagus contains mild gas or is empty.
Pleural space: The pleural space is normal.
Musculoskeletal: A broad-based, well-defined fat opaque nodule arises from the ventral extra-abdominal soft tissues.  The remaining included musculoskeletal structures are normal.
</t>
  </si>
  <si>
    <t>1.Left cranial and right middle lung lobe interstitial to alveolar pulmonary patterns.
- Differential diagnoses include bronchopneumonia/aspiration pneumonia,  or unlikely atypical neoplasia, hemorrhage or unlikely other.
2. Mild diffuse bronchial pulmonary pattern due to fibrosis from prior disease, age-related changes, or less likely infectious/immune-mediated lower airway disease, or unlikely other.
3. Equivocal left ventricular enlargement versus phase of the cardiopulmonary cycle/patient positioning.
4. Suspected redundant tracheal membrane with/without underlying dynamic airway disease, versus superimposed normal structures.
5. Extra-abdominal lipoma.</t>
  </si>
  <si>
    <t>Therapy for suspected pneumonia with broad-spectrum antibiotics and supportive care in the interim as needed.  Consider routine blood work and abdominal imaging to screen for occult systemic disease if not recently performed.  Therapy for possible pneumonia for 1-2 weeks past radiographic resolution.  Consider bronchoscopy/tracheoscopy and airway sampling for further evaluation of underlying dynamic airway disease.  Monitoring as directed or sooner if clinical signs acutely change, fail to improve or worsen.</t>
  </si>
  <si>
    <t xml:space="preserve">
1.MODERATE INTERSTITIAL TO ALVEOLAR INFILTRATE; MILD PERIHILAR INFILTRATE; MINIMAL BRONCHIAL PATTERN._x000D_
2.Based on these AI airway/pulmonary findings,  the probability of this patient having clinically detectable respiratory signs is HIGH (75%)_x000D_
3.Are respiratory signs present?  If YES._x000D_
4.Mild cardiomegaly has been detected but Heart Failure is NOT suspected._x000D_
5.Are respiratory signs present? If NO.</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</si>
  <si>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small.  The remaining abdominal organs are normal.  There is spondylosis deformans at the lumbosacral space and at L1-2.  The vertebral endplates are sclerotic and mildly irregular at the lumbosacral space.</t>
  </si>
  <si>
    <t>Radiographically normal abdomen.  Radiographically normal thorax for patient of this age.  Lumbosacral changes may be degenerative or indicate chronic discospondylitis.</t>
  </si>
  <si>
    <t>Three radiographs of the thorax are provided. The cardiac silhouette is normal size on the lateral views. The left ventricle appears prominent on the VD projection due to mild rotation. Pulmonary arteries and veins, and the caudal vena cava are normal size. A mild bronchial pattern is present. No pleural effusion. Round 0.6 cm metal opaque BB in the right axillary tissues is incidental. Normal cranial abdomen.</t>
  </si>
  <si>
    <t>Mild bronchial pattern is most likely normal age-related change. Eosinophilic bronchopneumopathy secondary to heartworm disease could also cause this appearance. Otherwise normal thorax.</t>
  </si>
  <si>
    <t>4 images of the thorax are provided for review.  The trachea is dorsally deviated, indicating left ventricular enlargement.  A bulge is present in the region of the left atrium.  The cardiac silhouette is also widened with rounding of the right ventricular margin.  Interstitial opacity is present in the right caudal lung lobe near the hilus.  The mediastinal and pleural structures are normal.  Cranial abdominal detail is adequate.  The liver margin is rounded and extends beyond the costal arch.</t>
  </si>
  <si>
    <t>Generalized cardiomegaly.  Interstitial pulmonary pattern consistent with early cardiogenic pulmonary edema.  Consider repeat radiographs following diuretic therapy.  Echocardiography may be helpful in further evaluation.  Hepatomegaly=ZZ90= this is a nonspecific finding that may be seen with congestion, vacuolar hepatopathy, inflammation, neoplasia, etc.  Abdominal ultrasound may be helpful in further evaluation if biochemically indicated.</t>
  </si>
  <si>
    <t xml:space="preserve">
1.SEVERE INTERSTITIAL TO ALVEOLAR INFILTRATE, MODERATE DYNAMIC AIRWAY DISEASE, MILD BRONCHIAL PATTERN, MILD PERIHILAR INFILTRATE._x000D_
2.Based on these AI airway/pulmonary findings, the probability this patient will have clinically detectable respiratory signs is NEAR CERTAINTY (&gt;99%)_x000D_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6.Severe cardiomegaly has been detected but Heart Failure is NOT suspected.</t>
  </si>
  <si>
    <t>A three view study of the thorax is provided for comparison to previous studies. The most recent is 8-5-24._x000D_
_x000D_
No alveolar infiltrates are identified in the lungs. No thoracic lymphadenopathy or pleural effusion is seen. Mildly increased bronchial markings is present but within the limits of age related change. Tiny mineralized nodules consistent with benign pulmonary osteomas are again identified and unchanged. The cardiovascular structures are within normal limits._x000D_
_x000D_
The vague irregularity of the vertebral endplates in the mid thoracic spine is slightly more prominent than it was in the previous study. This could be simply due to differences in positioning of the ribs and vertebrae relative to the previous radiographs. No new abnormalities or definitive improvement are identified.</t>
  </si>
  <si>
    <t>The appearance of the lungs is within normal limits for patient age._x000D_
_x000D_
The suspicion of mottled changes involving the vertebral endplates in the mid thoracic spine is similar to the previous study. Subtle differences suspected to represent improvement or progression may be artifactual._x000D_
Clinical significance of the vertebral changes may not be able to be definitively determined with survey radiography. More advanced imaging should be considered.</t>
  </si>
  <si>
    <t>No changes indicative of significant pulmonary disease are identified in this study._x000D_
The appearance of the thoracic vertebrae is still felt to be abnormal, but clinical significance cannot be definitively determined. Cross sectional imaging such as CT or MRI is recommended._x000D_
_x000D_
Note: Previous radiographs on this patient were found under a different patient name and identification number. Consistent patient information especially patient ID number and name spelling is critical for DICOM medical software functionality. Please pay close attention to consistency of patient information when making radiographs.</t>
  </si>
  <si>
    <t xml:space="preserve">
1.The evaluation has come up positive for a pulmonary nodular pattern._x000D_
2.Are respiratory signs present. If YES._x000D_
3.Are respiratory signs present? If YES._x000D_
4.Are respiratory signs present? If NO._x000D_
5.PULMONARY NODULAR PATTERN; MINIMAL BRONCHOINTERSTITIAL PULMONARY PATTERN._x000D_
6.Based on these AI airway/pulmonary findings, the probability of this patient having clinically detectable respiratory signs is MEDIUM (50%)_x000D_
7.Are respiratory signs present. If NO._x000D_
8.MINIMAL to MILD DIFFUSE, MIXED BRONCHOINTERSTITIAL PULMONARY PATTERN with ATELECTASIS or less likely, pneumonia._x000D_
9.Probability these AI pulmonary findings will accompany clinically detectable respiratory signs: LOW (25%)_x000D_
10.There is no evidence of DYNAMIC AIRWAY COLLAPSE or BRONCHIECTASIS._x000D_
11.The cardiac silhouette size is normal.</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</si>
  <si>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is present in the colon.  The urinary bladder is moderately distended.  Tubular soft tissue structures overlying the cranial dorsal aspects of the urinary bladder and extends along the lateral aspects of the abdomen.  The remaining abdominal organs are normal.</t>
  </si>
  <si>
    <t>Suspect enlarged uterus. Consider pyometra, mucometra, hydrometram neoplasia.  Consider abdominal exploratory.  Radiographically normal thorax for patient of this age.</t>
  </si>
  <si>
    <t>Study:_x000D_
Thoracic radiography: three images dated August 12, 2024_x000D_
_x000D_
Findings:_x000D_
The cardiac silhouette and pulmonary vasculature are normal in size. There is a diffuse mild bronchointerstitial pulmonary pattern.. The pleural space is normal. There is no intrathoracic lymphadenopathy. The trachea is normal in diameter and course. The included abdomen is normal. No skeletal abnormalities are present.</t>
  </si>
  <si>
    <t>The mild diffuse bronchointerstitial pulmonary pattern is a nonspecific finding. This could be a benign age-related change or may indicate allergic, inflammatory, infectious, parasitic or inhaled irritant bronchitis. Airway sampling plus/minus heartworm testing and Baermann fecal flotation can be considered to further evaluate for lower disease. Additionally, infectious respiratory disease testing, computed tomography head and rhinoscopy can be considered for further evaluation of the sneezing/nasal discharge.</t>
  </si>
  <si>
    <t xml:space="preserve">
1.The evaluation result has a strong suspicion of soft tissue pulmonary nodules being present._x000D_
2.Are respiratory signs present? If YES._x000D_
3.Are respiratory signs present? If NO._x000D_
4.PULMONARY NODULAR PATTERN likely due to END ON PULMONARY VESSELS, PULMONARY OSTEOMAS or COSTOCHONDRAL JUNCTIONS; MILD INTERSTITIAL TO ALVEOLAR PATTERN; MILD BRONCHITIS._x000D_
5.Based on the AI airway/pulmonary findings, the probability of this patient having clinically detectable respiratory signs is LOW to MEDIUM (25-50%)_x000D_
6.Pleural fissure lines or moderate pleural effusion has been detected. An overlying skin fold or in a moderately overweight animal, excessive pericardial fat could artifactually mimic the result of moderate pleural effusion._x000D_
7.The cardiac silhouette size is normal._x000D_
8.There is no evidence of DYNAMIC AIRWAY COLLAPSE or BRONCHIECTASIS.</t>
  </si>
  <si>
    <t>Study:_x000D_
Thoracic radiography: three images dated August 12, 2024_x000D_
_x000D_
Findings:_x000D_
The cardiac silhouette is normal in size and shape. The combination of patient expiration/lung hypoinflation and overlying fat lead to a generalized increase in opacity in the pulmonary parenchyma. There is a mild generalized bronchial pulmonary pattern. The pleural space is normal. The width of the cranial mediastinum is considered within normal limits further patient signalment. The trachea is normal in diameter and course. The stomach contains heterogeneous soft tissue material presumed to be ingesta. The T6 vertebra is a congenitally anomalous hemivertebra. There is mild T5-T6 spondylosis deformans. The patient is of overweight body condition.</t>
  </si>
  <si>
    <t>The mild generalized bronchial pulmonary pattern may indicate allergic, inflammatory, infectious, parasitic or irritant bronchitis. Airway sampling, heartworm testing and Baermann fecal flotation can be considered for further evaluation. Brachycephalic airway syndrome should also be considered as a potential cause of the reported coughing.</t>
  </si>
  <si>
    <t xml:space="preserve">
1.MODERATE BRONCHOINTERSTITIAL PULMONARY PATTERN; MILD DYNAMIC AIRWAY DISEASE; ATELECTASIS or less likely, pneumonia; MINIMAL PERIHILAR INFILTRATE._x000D_
2.Based on the AI airway/pulmonary findings, the probability of this patient having clinically detectable respiratory signs is MEDIUM to HIGH (50%-75%)_x000D_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6.Mild cardiomegaly has been detected but Heart Failure is NOT suspected.</t>
  </si>
  <si>
    <t>3 views of the thorax are presented for review.  There is mild straightening of the caudal cardiac waist in the region of the left atrium.  There is a diffuse interstitial pulmonary pattern that is considered appropriate for the age of the patient.  No pulmonary nodules or enlarged intrathoracic lymph nodes are seen.  The pleural and mediastinal structures are normal.  Cranial abdominal detail is adequate.</t>
  </si>
  <si>
    <t xml:space="preserve">Patient Name : Darla Shaw, Date of study: Aug 12, 2024
4 images are provided for review
Canine Thorax (4 Images) - 2 Lateral, 2 Vd
Prior images dated June 20, 2024 are available.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The larynx and pharynx are oblique in the lateral images, similar to prior image.  Persistent incidental mineralization of the cricoid cartilage.  The arytenoid cartilage is presumed superimpose partially over the caudal pharynx in the lateral images.  No obvious luminal narrowing of the larynx/pharynx or trachea.  No obvious trachea displacement.  No obvious epiglottis enlargement.
Esophagus: The esophagus is not well-identified.
Pleural space: The pleural space is normal.
Musculoskeletal: The included musculoskeletal structures are normal.
</t>
  </si>
  <si>
    <t>1. Mild-moderate diffuse bronchial pulmonary pattern is similar to prior.
- Differential diagnoses include fibrosis from prior disease, age-related changes, or less likely infectious/immune-mediated lower airway disease or other.
2. There is no evidence of cardiomegaly on this examination.
- New or evolving cardiomegaly may not be radiographically apparent.
- There is no evidence of left-sided congestive heart failure.  
3. Possible enlarged or prominent arytenoid cartilage versus artifact from obliquity.</t>
  </si>
  <si>
    <t>Consider sedated laryngeal examination and/or computed tomography of the head/neck, or laryngoscopy/tracheoscopy for further evaluation.  Consider surgeon consultatio/tissue sampling depending on results. Consider echocardiography, eCG and blood pressure given reported murmur.  Routine blood work if not recently performed to screen for occult systemic disease.  Empirical therapy and supportive care in the interim as needed for reported coughing. Monitoring as directed or sooner if clinical signs acutely change, fail to improve or worsen.</t>
  </si>
  <si>
    <t>Three radiographs of the thorax, and two views of the abdomen are provided. Images dated 2/22/22 are available for comparison. The cardiac silhouette and pulmonary vessels are normal size and shape. The lungs are clear. There is no pleural effusion. Normal tracheal diameter. No definitive cervicothoracic spinal abnormalities._x000D_
_x000D_
In the abdomen there is no effusion or organomegaly. The gastrointestinal tract is minimally filled. Round 0.5 cm mineral density in the distal colon is incidental. No radiopaque urolithiasis. Generalized intervertebral disc material in situ at several sites in the lumbar spine is incidental. Punctate mineral density overlies the L3-4 intervertebral foramen. Increased opacity overlying the L6-7 intervertebral foramen is likely superimposed ilial wing. The coxofemoral joints are congruent. Patellar location is normal.</t>
  </si>
  <si>
    <t>The appearance of L3-4 is suggestive of a protruding/extruded intervertebral disc. Such a lesion at this or another site is the most likely cause for discomfort. No cervicothoracic spinal abnormalities are appreciated, however intervertebral disc disease at this level remains possible. The thorax and abdomen are normal.</t>
  </si>
  <si>
    <t>If there are no significant neurologic deficits, consultation with a neurologist and advanced spinal imaging with CT/MRI should be considered. Otherwise, this patient may benefit from anti-inflammatories and strict rest.</t>
  </si>
  <si>
    <t>Three radiographs of the thorax, and three views of the abdomen are provided. The cardiac silhouette and pulmonary vessels are normal size and shape. Mild unstructured interstitial pattern is consistent with age and size of this patient. There are a few incidental pulmonary osteomas. No pleural effusion. Normal tracheal diameter._x000D_
_x000D_
In the abdomen there is a large amount of retroperitoneal fat, with questionable faint wispy soft tissue opacity adjacent to the kidneys. The kidneys are less well delineated than expected with this degree of adjacent fat deposition. Normal-sized spleen, left kidney, liver. The right kidney is incompletely visible. No peritoneal effusion. Moderate volume soft tissue opacity in the stomach. Small bowel are mildly gas-filled. Small volume formed feces in the colon. No radiopaque cystic calculi.</t>
  </si>
  <si>
    <t>1. Suspect scant perinephric fluid, concerning for an inflammatory process or neoplasia. Artifact caused by large size of the patient and scatter artifact is next on the differential list. No other intra-abdominal abnormalities._x000D_
2. Normal thorax.</t>
  </si>
  <si>
    <t>Two views of the thorax are provided for review.  There is straightening of the caudal cardiac waist in the region of the left atrium.  No pulmonary infiltrates are seen.  The pulmonary vasculature is normal in size.  The mediastinal and pleural structures are normal.  Cranial abdominal detail is adequate.</t>
  </si>
  <si>
    <t xml:space="preserve">
1.MINIMAL to MILD BRONCHOINTERSTITIAL PULMONARY PATTERN; MINIMAL DYNAMIC AIRWAY DISEASE._x000D_
2.Based on these AI airway/pulmonary findings, the probability of this patient having clinically detectable respiratory signs are LOW (25%)_x000D_
3.Are respiratory signs present? If YES._x000D_
4.Are respiratory signs present? If NO._x000D_
5.The cardiac silhouette size is normal._x000D_
6.There is no evidence of PERIHILAR INFILTRATE, PULMONARY NODULES or PLEURAL EFFUSION.</t>
  </si>
  <si>
    <t>Four orthogonal thoracic radiographs dated 11th August 2024 are available for review. There are no previous radiographs available for comparison. _x000D_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</si>
  <si>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 Evaluate for upper airway disease as clinically indicated</t>
  </si>
  <si>
    <t>Three orthogonal thoracic radiographs dated 11th August 2024 are available for review. There are no previous radiographs available for comparison. The thorax is hypoinflated._x000D_
_x000D_
Airway findings: The cervical and thoracic trachea have a normal size, outline and position. The carina, tracheal bifurcation and mainstem bronchi are normal. There is mild widening of the tracheal bifurcation. A interstitial opacification superimposed on the thorax consistent with the body habitus. There is a minimal caudal dorsal bronchial pattern._x000D_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There is increased ventral pleural and cranial mediastinal fat. There is fat between the right cranial and right middle lung lobe._x000D_
_x000D_
Musculoskeletal findings: The patient is morbidly obese._x000D_
_x000D_
Included abdomen: There is hepatomegaly with smooth borders.</t>
  </si>
  <si>
    <t>1. Left atrial dilation. This is most likely due to mixoid degeneration of the mitral valve. There is no evidence for cardiac insufficiency. _x000D_
2. The interstitial opacification is likely due to body habitus. This cannot be differentiated from mild pulmonary oedema (cardiogenic, non-cardiogenic) although this is considered unlikely. _x000D_
3. Caudal dorsal mild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fibrosis._x000D_
4. The hepatomegaly is most likely due to vacuolar hepatopathy, or underlying endocrine disease.</t>
  </si>
  <si>
    <t>Radiography is insensitive for early cardiac insufficiency, therefore ECG, blood pressure measurements, and echocardiography may be considered for further evaluation, or baseline measurements._x000D_
Correlate with palpation testing for upper respiratory disease.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 _x000D_
Obesity predisposes for airway collapse, and reduction of thoracic volume (pickwickian syndrome), reducing pulmonary clearance, therefore weight management is advised.</t>
  </si>
  <si>
    <t xml:space="preserve">
1.MILD INTERSTITIAL to ALVEOLAR INFILTRATE; MINIMAL PERIHILAR INFILTRATE._x000D_
2.Based on these AI airway/pulmonary findings, the probability of this patient having clinically detectable respiratory signs is LOW to MEDIUM (25%-50%)_x000D_
3.Are respiratory signs present? If YES._x000D_
4.Are respiratory signs present? If NO._x000D_
5.Mild dynamic airway disease has been detected._x000D_
6.Mild cardiomegaly has been detected but Heart Failure is NOT suspected.</t>
  </si>
  <si>
    <t>Study:_x000D_
Thoracic radiography: three images dated August 10, 2024_x000D_
_x000D_
Findings:_x000D_
The cardiac silhouette and pulmonary vasculature are normal in size. The pulmonary parenchyma is unremarkable. The pleural space is normal. There is no intrathoracic lymphadenopathy. On the left lateral view, there is a broad-based soft tissue opaque band superimposed with the dorsal aspect of the cervical trachea lumen representing other redundant dorsal tracheal memory or superimposition of the esophagus. The trachea is normal in diameter and course. The included abdomen is unremarkable. There is mild to moderate spondylosis deformans from T 12 to L3. The patient is of overweight body condition.</t>
  </si>
  <si>
    <t>Normal thorax. There is no radiographic evidence of cardiopulmonary disease. A cause of excessive panting is not evident.</t>
  </si>
  <si>
    <t>Consider CBC, serum chemistry and urinalysis to evaluate for possible metabolic causes of excessive panting.</t>
  </si>
  <si>
    <t xml:space="preserve">
1.A mild bronchial pattern and minimal perihilar infiltrate have been detected._x000D_
2.The cardiac silhouette size is normal._x000D_
3.There is no evidence of ALVEOLAR PATTERN or DYNAMIC AIRWAY COLLAPSE or BRONCHIECTASIS.</t>
  </si>
  <si>
    <t>Spine: Evaluation of the cervical intervertebral disc spaces on the lateral views is compromised by mild obliquity however there is no evidence of disc space collapse identified on the ventrodorsal views.  There are no abnormalities involving the cervical, thoracic, or lumbar vertebral columns.  _x000D_
_x000D_
Pelvis: There are no significant abnormalities identified.  There are no abnormalities involving either stifle._x000D_
_x000D_
Thorax: There is a mild diffuse bronchial interstitial pattern.  The cardiac silhouette and pulmonary vasculature are unremarkable._x000D_
_x000D_
Abdomen: There are no abnormalities identified.</t>
  </si>
  <si>
    <t xml:space="preserve">
1.A minimal to mild bronchointerstitial pulmonary pattern has been detected._x000D_
2.There is no evidence of PLEURAL EFFUSION._x000D_
3.Mild cardiomegaly has been detected but Heart Failure is NOT suspected.</t>
  </si>
  <si>
    <t>Three radiographs of the thorax, two views of the abdomen, VD pelvis, and lateral view of each stifle are provided. The left ventricle is prominent. Pulmonary vessels are normal size. Mild unstructured interstitial pattern in the lungs is normal for the age of this patient. Narrowed cervical trachea on the left lateral view, of uncertain clinical significance today._x000D_
_x000D_
In the abdomen the stomach contains a moderate amount of amorphous soft tissue density, several small ovoid kibble-like contours, and a small accumulation of thin flat mineral densities that measure up to 2.0 x 0.3 cm. Normal size liver, spleen, kidneys. The small and large bowel are minimally distended. Narrowed T12-13 and spondylosis deformans at L6-7 are likely incidental. The coxofemoral joints are congruent. Pelvic limb musculature is symmetric. Both patellas appear medially displaced but may be exaggerated by positioning. There is small volume fluid in the cranial aspect of the stifle joints, worse on the right side.</t>
  </si>
  <si>
    <t>1. Bilateral mild stifle effusion most consistent with cranial cruciate ligament tear/rupture. This is worse on the right side, and is the most likely cause for lameness. Possible bilateral medial patellar luxation versus positional artifact. This should be correlated with palpation. Normal coxofemoral joints._x000D_
2. Gastric foreign material, of doubtful significance in the absence of vomiting. Otherwise normal abdomen._x000D_
3. Prominent left ventricle suggestive of chronic mitral valve disease. In the absence of a murmur, arrhythmia, or other cardiovascular abnormalities, this is likely incidental. No other thoracic abnormalities.</t>
  </si>
  <si>
    <t>Study:_x000D_
Thoracic/abdominal radiography: three images dated August 10, 2024_x000D_
_x000D_
Findings:_x000D_
The cardiac silhouette and pulmonary vasculature are normal in size. There is a moderate alveolar pattern in the caudal segment of the left cranial lung lobe. The pleural space is normal. There is no intrathoracic lymphadenopathy. The trachea is normal in diameter and course. There is a small volume of gas in the esophagus. The stomach contains a small volume of gas with the pylorus appropriately gas-filled on the left lateral image. The small intestines are normal in size, course and content. The colon contains formed fecal material. The liver and spleen are normal in size and margin. The kidneys are normal in size and contour. The urinary bladder is normal in size and opacity. The prostate is mildly enlarged with smooth margins. The patient has multiple, breed associated, congenitally anomalous thoracic vertebrae.</t>
  </si>
  <si>
    <t>1. The moderate alveolar pattern in the caudal segment of the left cranial lung lobe likely indicates pneumonia. Recommend empiric antibiotic therapy with repeat radiography in 10 to 14 days to monitor for response to treatment._x000D_
2. Mild prostatomegaly. Rule out intact normal variant, benign prostatic hyperplasia and/or prostatitis. The abdomen is otherwise unremarkable.</t>
  </si>
  <si>
    <t xml:space="preserve">
1.Are respiratory signs present? If YES._x000D_
2.Are respiratory signs present? If NO._x000D_
3.The cardiac silhouette size is normal._x000D_
4.There is no evidence of PULMONARY NODULES._x000D_
5.MILD to MODERATE INTERSTITIAL to ALVEOLAR PATTERN; MILD DYNAMIC AIRWAY DISEASE; MINIMAL BRONCHIAL PATTERN._x000D_
6.Based on the AI airway/pulmonary findings, the probability of this patient having clinically detectable respiratory signs is MEDIUM (50%)._x000D_
7.AI linked canine pneumonia article https://platform.v2.vetology.net/doc/pneumonia-in-dogs-and-cats</t>
  </si>
  <si>
    <t>Orthogonal views of the thorax are provided:_x000D_
_x000D_
Thorax:_x000D_
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t>
  </si>
  <si>
    <t>Gven the cardiomegaly and irregular heart rhythm consider a cardiology consultation with ECG and echocardiogram.</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</si>
  <si>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5.There is no evidence of DYNAMIC AIRWAY COLLAPSE or BRONCHIECTASIS or PLEURAL EFFUSION._x000D_
6.Moderate cardiomegaly has been detected but Heart Failure is NOT suspected.</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</si>
  <si>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There is hypoplasia of the left 13th rib.  Spinal alignment is normal with no consistently narrowed intervertebral disc spaces.  The coxofemoral joints are congruent.  No fractures or aggressive osseous lesions are seen.</t>
  </si>
  <si>
    <t>Radiographically normal abdomen.  Radiographically normal thorax for patient of this age.  Hypoplastic rib.  Radiographically normal thoracolumbar spine.  This does not rule out intervertebral disc herniation or other causes of spinal cord compression.</t>
  </si>
  <si>
    <t>Study:_x000D_
Nine images that include the thorax, abdomen, pelvis and pelvic limbs dated August 10, 2024_x000D_
_x000D_
Findings:_x000D_
The imaged spine is unremarkable. There is no intervertebral disc space or foraminal narrowing. There is no evidence of discospondylitis. There are no vertebral fractures or luxations. There is good coverage of the femoral head by the acetabulum bilaterally. The patella is in the correct anatomic location bilaterally. The degree of soft tissue opacity within the stifle joint spaces appears within normal limits. No degenerative change is present in either stifle. The bones of the tarsus and pes are unremarkable bilaterally. The pelvic limb musculature is bilaterally symmetric. The included portions of the thoracic limbs are unremarkable.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One of the liver lobes has a rounded caudoventral margin. The spleen is normal in size and margin. The kidneys are normal in size and contour. The urinary bladder is normal in size and opacity. Ill-defined mineral foci representing suture granulomas from prior ovariohysterectomy are present caudal to each kidney and situated between the descending colon/urinary bladder.</t>
  </si>
  <si>
    <t>1. The spine is unremarkable. Lack of any apparent intervertebral disc space or foraminal narrowing does not exclude the possibility of intervertebral disc disease. Consider neurology consultation and MRI if the clinical signs persist or worsen in spite of activity restriction and pain management._x000D_
2. Unremarkable coxofemoral joints and pelvic limbs._x000D_
3. The rounding of the caudoventral margin of one of the liver lobes can be an indicator of nonspecific hepatomegaly. Rule out metabolic/vacuolar hepatopathy, hyperplasia, hepatitis or neoplasia. Sonography can be considered for further evaluation._x000D_
4. Normal thorax.</t>
  </si>
  <si>
    <t>Study:_x000D_
Abdominal radiography: three images dated August 10, 2024_x000D_
_x000D_
Findings:_x000D_
The serosal detail is normal. The stomach contains a small volume of gas. The pylorus is probably gas-filled on the left lateral image. The thickness of the gastric wall rugae is considered within normal limits for the degree of gastric distention. The small intestines are normal in size, course and content. The colon contains a small volume of gas and non-formed fecal matter with a normal diameter. The liver is normal in size and margin. The spleen is moderately to severely enlarged with smooth margins. The renal silhouettes are normal in size and contour. The urinary bladder is normal in size and opacity. On the right lateral projection, there is increased amorphous soft tissue opacity overlying the ventral aspect of the cardiac silhouette. No air bronchograms are appreciated in this region. No skeletal abnormalities are present.</t>
  </si>
  <si>
    <t>1. The gastrointestinal tract is unremarkable. There is no radiographic evidence of gastrointestinal foreign material or small intestinal mechanical obstruction. Abdominal sonography can be considered for further evaluation if clinical signs persist or worsen in spite of medical management._x000D_
2. The generalized splenomegaly is nonspecific. Rule out extramedullary hematopoiesis, lymphoid hyperplasia, splenitis, congestion or infiltrative neoplasia. Sonography can be considered for further evaluation._x000D_
3. The increased soft tissue opacity overlying the ventral aspect of the cardiac silhouette on the right lateral projection may be artifact created by superposition of mediastinal/pericardial fat. Pneumonia or trace pleural effusion cannot be completely excluded. A complete three view thoracic study can be considered for further evaluation.</t>
  </si>
  <si>
    <t>Seven radiographs of the thorax and abdomen are provided. There is slight prominence of the left atrium. Cardiac to thoracic ratio and pulmonary vessel size is normal. A mild bronchial pattern is normal for the age of this patient. No pleural effusion or soft tissue pulmonary nodules._x000D_
_x000D_
In the abdomen there is no peritoneal or retroperitoneal effusion. Small volume amorphous soft tissue opaque ingesta in the stomach. Small bowel are minimally distended with gas. The cecum is gas dilated. No radiopaque foreign material. The liver, spleen, and kidneys are normal size. Narrowed L4-5 intervertebral disc space, of doubtful significance today.
(amended on 08/12/2024 06:49)
The rounded appearance of the stomach on the VD views is due to mild gastric distension by the small volume ingesta. No mass lesion is present on this study.</t>
  </si>
  <si>
    <t>Prominent left atrium consistent with acquired mitral valve disease. There is no pulmonary venous congestion or evidence of heart failure. This is of doubtful clinical significance today. The abdomen is normal.</t>
  </si>
  <si>
    <t>Cranial nerve assessment is recommended. Abdominal ultrasound should be considered.</t>
  </si>
  <si>
    <t>Study:_x000D_
Thoracic radiography: three images dated August 10, 2024_x000D_
_x000D_
Findings:_x000D_
The cardiac silhouette and pulmonary vasculature are normal in size. The pulmonary parenchyma is unremarkable. The pleural space is normal. There is no intrathoracic lymphadenopathy. There is dilation and retraction larynx on the right lateral projection. On the right lateral view, there is an indistinct broad-based soft tissue opaque band superimposed with the cervical trachea lumen representing a redundant dorsal tracheal membrane, superimposition of the esophagus or superposition of the hypaxial musculature. On the VD view, the body of the spleen appears enlarged and rounded. No skeletal abnormalities are present. The patient is of overweight body condition.</t>
  </si>
  <si>
    <t>1. Dilation and retraction of the larynx is a nonspecific finding. This can be secondary to nasal disease, laryngeal dysfunction, dynamic airway disease or chronic lower airway disease._x000D_
2. Normal thorax. There is no radiographic evidence of cardiopulmonary disease. A cause of the respiratory signs is not evident. Lack of a definitive bronchial pulmonary pattern does not exclude the possibility of allergic/inflammatory, infectious, irritant or parasitic bronchitis. Normal diameter of the trachea does not exclude the possibility of dynamic airway disease._x000D_
3. The splenomegaly is nonspecific. Rule out extramedullary hematopoiesis, lymphoid hyperplasia, splenitis, or neoplasia. Consider sonography for further evaluation.</t>
  </si>
  <si>
    <t>Sedated laryngeal exam, fluoroscopy, airway sampling plus/minus heartworm testing and Baermann fecal flotation can be considered to further evaluate for a cause of the reported coughing.</t>
  </si>
  <si>
    <t>Three radiographs of the thorax and five views of the pelvis and stifles are provided. The cardiac silhouette is normal size and shape. Pulmonary vessels are normal size. On both of the lateral views there are two small round soft tissue opaque nodules measuring 0.7 cm in the cranial lungs. Questionable small 0.5 cm soft tissue nodule cranioventral to the heart on the right lateral view. There is a round 1.3 cm soft tissue density overlying the caudal thoracic esophagus on the left lateral projection, not seen on the other views. No pleural effusion._x000D_
_x000D_
The coxofemoral joints are congruent. Pelvic limb musculature is markedly reduced on one side (no laterality marker on the craniocaudal projections, but presumed to be the left side based on history and on the lateral views. There is poorly delineated round 9.1 cm area of soft tissue thickening surrounding the distal left femur on the lateral view. Smoothly irregular osseous proliferation on the caudal aspect of the distal femoral diaphysis/metaphysis. Suspect punctate lucencies in the distal femoral metaphysis on the same projection. Moderate volume soft tissue density in the stifle joint. No popliteal lymphadenomegaly. No distal right femoral or stifle abnormalities.</t>
  </si>
  <si>
    <t>1. Soft tissue mass effect is encircling the distal left femur, with periosteal proliferation and equivocal distal femoral lysis. This is most consistent with a soft tissue neoplasm. An infectious/inflammatory process is given lesser consideration. Moderate left stifle effusion may be due to concurrent cranial cruciate ligament tear or extension of neoplasia. Normal coxofemoral joints and right stifle._x000D_
2. Two small pulmonary nodules in the cranial lungs, most consistent with metastatic disease. The larger nodule in the caudal thorax may be additional metastasis versus kibble within the esophagus.</t>
  </si>
  <si>
    <t>Cytology/histopathology of the femoral swelling could be considered for a definitive diagnosis.</t>
  </si>
  <si>
    <t xml:space="preserve">
1.The cardiac silhouette size is normal._x000D_
2.There is no evidence of BRONCHITIS or DYNAMIC AIRWAY COLLAPSE or BRONCHIECTASIS._x000D_
3.A moderate perihilar infitlrate has been detected._x000D_
4.A minimal interstitial pattern has been detected.</t>
  </si>
  <si>
    <t>Study:_x000D_
Thoracic radiography: three images dated August 10, 2024_x000D_
_x000D_
Compared to prior study dated July 6, 2024_x000D_
_x000D_
Findings:_x000D_
The cardiac silhouette is normal in size and shape. The pulmonary vasculature is normal in size. The alveolar pattern in the cranioventral lung fields is resolved. There is persistent right and left cranial lobar bronchiectasis. There is a static moderate generalized bronchial pulmonary pattern. No pulmonary nodules or masses are present. The pleural space is normal. There is no intrathoracic lymphadenopathy. The trachea is normal in diameter. There is a small volume of fluid in the caudal esophagus on the left lateral projection (incidental normal positional finding). The stomach contains heterogeneous soft tissue material presumed to be ingesta. The osseous structures are unremarkable.</t>
  </si>
  <si>
    <t>1. Resolve pneumonia._x000D_
2. Static moderate generalized bronchial pulmonary pattern suspicious for chronic allergic/inflammatory lower airway disease. Airway sampling can be considered for further evaluation if the patient=ZZ91=s clinical signs recur._x000D_
3. Persistent right and left cranial lobar bronchiectasis. This may be secondary to chronic lower airway disease or traction bronchiectasis from prior pneumonia. This finding may predispose the patient to recurrent pneumonia._x000D_
4. There is no radiographic evidence of intrathoracic neoplasia.</t>
  </si>
  <si>
    <t>Study:_x000D_
Thoracic radiography: three images dated August 10, 2024_x000D_
_x000D_
Findings:_x000D_
There is severe left ventricular and left atrial enlargement. The pulmonary vasculature is normal in size. The pulmonary parenchyma is unremarkable. The pleural space is normal. There is no intrathoracic lymphadenopathy. The trachea is normal in diameter. There is no lobar bronchi narrowing. Multiple small mineral opacities are clustered in the region of the gallbladder. The stomach contains unstructured heterogeneous soft tissue material presumed to be ingesta. Mild periarticular new bone formation is present the caudodistal aspect the humeral head and infraglenoid process of the scapula bilaterally.</t>
  </si>
  <si>
    <t>1. Severe left-sided cardiomegaly, secondary to the reported chronic degenerative valve disease, without evidence of decompensation. If not recently performed, echocardiography is recommended for further evaluation._x000D_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airway sampling plus/minus heartworm testing and Baermann fecal flotation can be considered to further evaluate the reported coughing._x000D_
3. Cholelithiasis._x000D_
4. Mild bilateral shoulder osteoarthrosis.</t>
  </si>
  <si>
    <t xml:space="preserve">
1.Are respiratory signs present? If YES._x000D_
2.Are respiratory signs present? If NO_x000D_
3.Are respiratory signs present? If NO._x000D_
4.Are respiratory signs present? If YES._x000D_
5.MODERATE DYNAMIC AIRWAY DISEASE; MILD TO MODERATE BRONCHOINTERSTITIAL PULMONARY PATTERN; ATELECTASIS or ALVEOLAR INFILTRATE._x000D_
6.MILD BRONCHOINTERSTITIAL PULMONARY PATTERN with ATELECTASIS or less likely, PNEUMONIA; MILD PERIHILAR INFILTRATE._x000D_
7.Based on the AI airway/pulmonary findings, the probability of this patient having clinically detectable respiratory signs is LOW to MEDIUM (25%-50%)_x000D_
8.Based on these AI airway/pulmonary findings, the probability of this patient having clinically detectable respiratory signs is MEDIUM (50%)_x000D_
9.Pleural fissure lines or small volume pleural effusion has been detected. In a mildly overweight animal, excessive pericardial fat can artifactually mimic the result of minimal pleural effusion._x000D_
10.Severe cardiomegaly has been detected but Heart Failure is NOT suspected.</t>
  </si>
  <si>
    <t>Patient Name : Buster Scott Scott, Date of study: Aug 10, 2024
2 images are provided for review
Canine Thorax (2 Images) - 1 Lateral, 1 Vd
There are no previous radiographs for comparison.
Pulmonary parenchyma: A severe alveolar pattern is in the left cranial lung lobe with fait or well-defined air-bronchograms and lobar margination with the caudal lung lobe.  Interstitial to alveolar soft tissue is in the left caudal and right caudal lungs in the ventrodorsal image.  These patterns are somewhat wedge-shaped.  A minimal to mild diffuse interstitial and bronchial pattern are also present.
Pulmonary vasculature: The pulmonary vasculature are obscured in the caudodorsal and left lungs.  
Cardiac silhouette: The cardiac silhouette is normal in size and shape but is partially obscured.
Mediastinum: The cranial mediastinum is normal.
Trachea: The trachea is normal.
Esophagus: The esophagus is not well-identified.
Pleural space: The pleural space is normal.
Musculoskeletal: The included musculoskeletal structures are normal.</t>
  </si>
  <si>
    <t xml:space="preserve">1. Severe left cranial lung lobe alveolar pattern and minimal-mild interstitial to alveolar pulmonary patterns in the right/left caudal lung lobes.
- Differential diagnoses include thromboembolic disease and resultant pneumonitis secondary to historic heartworm disease, or less likely bronchopneumonia/aspiration pneumonia, hemorrhage from systemic coagulopathy/DIC, or unlikely other such as evolving neoplasia or granulomatous/fungal pneumonia.
2. Minimal-mild diffuse interstitial and bronchial pulmonary patterns such as from fibrosis from prior disease, age-related changes, infectious/immune-mediated lower airway disease or unlikely other.
</t>
  </si>
  <si>
    <t>Therapy for possible pulmonary thromboembolic disease and pneumonia in the interim with oxygen therapy, and broad-spectrum antibiotics and supportive care as needed.  Echocardiography, eCG and blood pressure as well as routine blood work once stable if not recently performed. Abdominal imaging may be contributory to screen for occult systemic disease.    Computed tomography may be contributory for further evaluation.  Monitoring as directed, or sooner if clinical signs acutely change, fail to improve or worsen.</t>
  </si>
  <si>
    <t xml:space="preserve">
1.Severe cardiomegaly has been detected but Heart Failure is NOT suspected._x000D_
2.SEVERE INTERSTITIAL TO ALVEOLAR PATTERN; PULMONARY NODULES OR MASS LESION; PLEURAL FLUID or PLEURAL THICKENING; MILD BRONCHIAL PATTERN; MINIMAL DYNAMIC AIRWAY DISEASE._x000D_
3.Are respiratory signs present? If YES._x000D_
4.Based on these AI airway/pulmonary findings, the probability of this patient having clinically detectable respiratorysigns is VERY HIGH (&gt;75%)_x000D_
5.Are respiratory signs present? If NO._x000D_
6.The evaluation has come up positive for a pulmonary nodular pattern and pleural fissure lines or pleural effusion.</t>
  </si>
  <si>
    <t>Moderate bronchial pulmonary pattern=ZZ90= consider residual bronchopneumonia, bronchitis, response to inhaled irritants, response to circulating parasites, eosinophilic bronchopneumopathy.</t>
  </si>
  <si>
    <t>Orthogonal views of the thorax are provided :_x000D_
_x000D_
Thorax:_x000D_
_x000D_
Cardiac silhouette shows a progression of the severe enlargement of the left atrium dorsally displacing the carina, from a VHS of 11.4 to a 12.7 today._x000D_
Pulmonary veins are mildly enlarged._x000D_
However, there is questionable peri-hilar ill defined interstitial pulmonary pattern._x000D_
Pleural space, mediastinum, diaphragm and thoracic wall within normal limits.</t>
  </si>
  <si>
    <t>1) Progressive cardiomegaly (left sided) with questionable peri-hilar ill defined interstitial pulmonary pattern. Rule out left sided congestive heart failure secondary to chronic mitral endocardiosis.Rule out tricuspid endocardiosis with post-capillary pulmonary hypertension.</t>
  </si>
  <si>
    <t xml:space="preserve">
1.A moderate to severe interstitial to alveolar infiltrate with a mild perihilar infiltrate has been identified._x000D_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4.A mild perihilar infiltrate has been identified._x000D_
5.The evaluation has come up positive for a pulmonary nodular pattern.</t>
  </si>
  <si>
    <t>Patient Name : Mickey Saucedo, Date of study: Aug 9, 2024
2 images are provided for review
There are no previous radiographs for comparison.
Bones/Joints:
 The T11-12 intervertebral disc space is narrow in the ventrodorsal image.  No obvious L7-S1 intervertebral disc space narrowing in the oblique lateral image.
In situ intervertebral disc mineral at T4-5 and T5-6.
There is no evidence of mineral over the intervertebral foramina.  There is no evidence of intervertebral dorsal articulation osteoarthrosis.
There is no evidence of medullary sclerosis, osteolysis, endosteal scalloping, or periosteal proliferation.
Soft tissues:  The included soft tissues are normal.</t>
  </si>
  <si>
    <t>1.  Suspected T11-12 intervertebral disc space narrowing, such as from intervertebral disc disease.
2.  In situ intervertebral disc mineral at T4-5 and T5-6.
.</t>
  </si>
  <si>
    <t>Consider neurologist consultation and possibly thoracolumbar versus lumbosacral MRI for further evaluation.   This examination does not rule out a dynamic L7-S1 lesion contributing to reported clinical signs.   Routine blood work if not recently performed.  Empirical therapy and supportive care in the interim as needed. Monitoring as directed or sooner if clinical signs acutely change, fail to improve or worsen.</t>
  </si>
  <si>
    <t xml:space="preserve">
1.A minimal perihilar infiltrate has been detected._x000D_
2.The cardiac silhouette size is normal._x000D_
3.There is no evidence of BRONCHITIS, ALVEOLAR PATTERN, PULMONARY NODULES or PLEURAL EFFUSION.</t>
  </si>
  <si>
    <t>Three radiographs of the thorax dated July 25, 2024 were provided. Abdominal images dated July 23, 2024 were reviewed. There is small volume pleural fluid, not present/apparent on the previous study. There is improved caudoventral lung aeration on the 1st lateral view. Poor ventral lung aeration on the 2nd lateral view but no definitive air bronchograms. The cardiac silhouette is incompletely visible due to the effusion, but appears to be normal size for this breed. No soft tissue pulmonary nodules or masses. Normal tracheal diameter and position. No esophageal dilation is appreciated. Congenital vertebral malformations in the thoracic spine are of doubtful significance. On the edge of the VD projection, the gastroduodenal angle is widened. This is relatively similar to the previous study.</t>
  </si>
  <si>
    <t>Mild to moderate pleural effusion, of uncertain etiology. This may be inflammatory due to prior pneumonia which is improved, or an inflammatory process related to pancreatitis. No other definitive thoracic abnormalities. Widened gastroduodenal angle suggestive of pancreatitis.</t>
  </si>
  <si>
    <t>Since the patient is not improving, abdominal ultrasound is recommended. Pleural fluid sampling and evaluation could be performed at the same time._x000D_
_x000D_
Patient was euthanized.</t>
  </si>
  <si>
    <t xml:space="preserve">
1.A mild perihilar infiltrate has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4.SEVERE INTERSTITIAL TO ALVEOLAR PATTERN; MODERATE BRONCHIAL PATTERN; MODERATE DYNAMIC AIRWAY DISEASE._x000D_
5.Based on these AI airway/pulmonary findings, the probability of this patient having clinically detectable repsiratory signs is VERY HIGH (&gt;75%)_x000D_
6.Are respiratory signs present? If YES._x000D_
7.AI linked pneumonia in dogs article: https://platform.v2.vetology.net/doc/pneumonia-in-dogs-and-cats_x000D_
8.Are respiratory signs present? If NO._x000D_
9.The evaluation has a strong suspicion of pulmonary nodules or mass lesion being present.</t>
  </si>
  <si>
    <t xml:space="preserve">Patient Name: Zoei Conrad, Date of study: Aug 9, 2024
3 images are provided for review
Canine Thorax (3 Images) - 2 Lateral, 1 VD
There are no previous radiographs for comparison.
Thorax:
Airway/pulmonary parenchyma: The lungs are hypoinflated and all lobar bronchi are narrowed. On the VD projection, the right crania and left cranial lung lobes appear lucent/oligemic. The caudal lung lobes have a mild interstitial pattern, particularly the right caudal lung lobe. 
Cardiovascular: Mild cardiomegaly is present with rounding to the right heart on the lateral projection, an increase in soft tissue opacity in the heart base region and CVC distention. Additionally, the left cranial pulmonary artery appears smaller than the corresponding vein. The pulmonary vasculature to the caudal lung lobes appears distended, particularly to the right caudal lung lobe on the VD projection. 
Mediastinum: The cranial mediastinum is normal. The caudal mediastinum has increased soft tissue opacity on the VD projection. 
Pleural space: Thin pleural fissure lines overlie the heart on the right lateral projection. 
Cranial abdomen: Microhepatia is present. Cranial abdominal detail is mildly decreased with a wispy appearance consistent with abdominal fluid. Increased soft tissue is noted caudal to the dorsal aspect of the stomach on the lateral projections. Questionable gastric wall thickening is also present. 
Msk: Bone density appears decreased diffusely consistent with renal secondary hyperparathyroidism. There is also an atypical lucent appearance to the cranial aspect of the T11 and T12 pedicles on the lateral projection. On the VD projection, the left 11th rib has a mottled appearance axially and the T13 rib heads are thickened bilaterally. </t>
  </si>
  <si>
    <t xml:space="preserve">1) Right sided cardiomegaly with suspected PTE or other cause for arterial flow obstruction to the right and left cranial lung lobes. Caudal lung lobe overcirculation with suspected overcirculation edema. Protein-losing nephropathy is a primary consideration given the potential PTEs.
2) Right heart failure resulting in abdominal fluid.
3) Potential gastritis. Rule out uremic gastritis. 
4) Diffuse osteopenia. Rule out renal secondary hyperparathyroidism. An alternative cause for the more lytic appearing changes to T11 and T12 pedicles cannot be excluded.  
5) Increased soft tissue opacity caudodorsal to the stomach. DDx: splenic silhouette vs. renal silhouette or less likely, adrenal enlargement. 
6) Microhepatia. This may be indirectly related to the renal disease via chronic uremia and intestinal inflammation. Alternatively, this may be unrelated to the renal disease. DDx: microvascular dysplasia vs. congenital portosystemic shunt vs. chronic hepatopathy. </t>
  </si>
  <si>
    <t xml:space="preserve">Referral to a 24-hour facility for ongoing monitoring. Oxygen therapy as needed. Cardiac ultrasound as soon as possible. Oxygen therapy if needed. Bloodwork and urinalysis with culture. Abdominal ultrasound to assess the liver and kidneys as well as for abdominal fluid. 
Thoracic CT with contrast would be necessary to confirm PTEs. </t>
  </si>
  <si>
    <t>Study:_x000D_
Thoracic radiography: three images dated August 9, 2024_x000D_
_x000D_
Compared to prior study dated June 10,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unstructured heterogeneous soft tissue material presumed to be ingesta. The right thoracic limb is absent. There is mild T5-T6 and T6-T7 spondylosis deformans.</t>
  </si>
  <si>
    <t>4 images of the entire body are presented for review.  The cardiovascular structures are normal.  Focal alveolar opacity is seen superimposed over the apex of the heart on the left lateral views, consistent with localization to the right middle lung lobe.  The pleural and mediastinal structures are normal.  Abdominal serosal detail is poor in all quadrants.  The stomach contains a moderate amount of gas.  The small intestines are gas-filled.  Gas and scant feces are present in the colon.  The remaining abdominal organs are not visible a hemivertebrae is present at T12.  Open physes are present..</t>
  </si>
  <si>
    <t>Focal alveolar pulmonary pattern concerning for bronchopneumonia.  Underlying viral or Bordetella type pneumonitis, cleft palate, or other underlying cause cannot be excluded.  Airway sampling may be helpful.  Radiographically normal pediatric abdomen.  Congenital hemivertebra.</t>
  </si>
  <si>
    <t xml:space="preserve">
1.Severe pleural effusion has been detected._x000D_
2.Are respiratory signs present? If YES._x000D_
3.Are respiratory signs present? If NO._x000D_
4.The cardiac silhouette size is normal._x000D_
5.A moderate to severe interstitial to alveolar infiltrate with a mild perihilar infiltrate has been identified._x000D_
6.SEVERE PLEURAL EFFUSION; MODERATE TO SEVERE INTERSTITIAL to ALVEOLAR PATTERN; MILD BRONCHIAL PATTERN._x000D_
7.Based on the AI airway/pulmonary findings, the probability of this patient having clinically detectable respiratory signs is VERY HIGH (&gt;75%)</t>
  </si>
  <si>
    <t xml:space="preserve">Patient Name : Canela Torres, Date of study: Aug 9, 2024
10 images are provided for review
There are no previous radiographs for comparison. Ungloved human digits primary beam.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mildly symmetrically widened without increased soft tissue.
Trachea: The trachea is normal.
Esophagus: The esophagus is not well-identified.
Pleural space: The pleural space is normal.
Bones/Joints:
Increased soft tissue in or over the right caudal nasal passage in the dorsoventral image that obscures nasal turbinates.  This soft tissue is just rostral to the cribriform plate region.  
The maxilla and mandible are normal.
The dental arcades are subjectively normal.
There is no evidence of medullary sclerosis, osteolysis, endosteal scalloping, or periosteal proliferation
Soft tissues:  The included soft tissues are normal.
</t>
  </si>
  <si>
    <t>1. Right caudal nasal passage soft tissue is suspicious for a mass such as from neoplasia (primary carcinoma versus malignant melanoma or other) , or unlikely evolving bascessation such as from dental disease/periodontal disease.
2. Mild diffuse bronchial pulmonary pattern due to fibrosis from prior disease, age-related changes, or unlikely infectious/immune-mediated lower airway disease or other.
3. Mild cranial mediastinal widening due to fat deposition or unlikely evolving lymphadenomegaly or other.</t>
  </si>
  <si>
    <t>Consider computed tomography of the head and thorax for further evaluation of suspected right-sided nasal passage mass and a more sensitive evaluation for metastatic disease.  Consider rhinoscopy and tissue sampling depending on results of advanced imaging, and oncologist consultation depending on results.  If an abscess is instead suspected after cross-sectional imaging, dentists and/or surgeon consultation my be contributory. Empirical therapy and supportive care in the interim as needed.  Monitoring as directed or sooner if clinical signs acutely change, fail to improve or worsen.</t>
  </si>
  <si>
    <t xml:space="preserve">
1.MILD BRONCHOINTERSTITIAL PULMONARY PATTERN; MILD DYNAMIC AIRWAY DISEASE; MINIMAL PERIHILAR INFILTRATE._x000D_
2.Based on these AI airway/pulmonary findings, the probability of this patient having clinically detectable respiratory signs is MEDIUM (50%)_x000D_
3.Are respiratory signs present? If YES._x000D_
4.Are respiratory signs present? If NO._x000D_
5.There is no evidence of PULMONARY NODULES or PLEURAL EFFUSION._x000D_
6.Minimal cardiomegaly has been detected but Heart Failure is NOT suspected.</t>
  </si>
  <si>
    <t>Orthogonal views of the thorax are provided (and compared to the previous exam on the 01/26/24):_x000D_
_x000D_
Thorax:_x000D_
_x000D_
No abnormalities seen in the trachea._x000D_
Cardiac silhouette shows a severe enlargement of the left atrium dorsally displacing the carina. There is also rounding of the right atrium in the VD view. Can not really make a comparison given the lateral views today are rotated (questionable mild progression of cardiomegaly though)._x000D_
Pulmonary vessels are within normal limits of size and shape._x000D_
Pulmonary parenchyma is within normal limits. No evidence of pulmonary nodules/masses._x000D_
Pleural space, mediastinum, diaphragm and thoracic wall within normal limits.</t>
  </si>
  <si>
    <t>1) Suspected progression of the left atrial enlargement secondary to chronic mitral endocardiosis without signs of CHF. Rule out concomitant tricuspid endocardiosis with post-capillary pulmonary hypertension._x000D_
2) Unremarkable lungs do not exclude a bronchitis of allergic vs inflammatory/infectious or parasitic origin.</t>
  </si>
  <si>
    <t xml:space="preserve">
1.MILD BRONCHOINTERSTITIAL PATTERN; MILD PERIHILAR INFILTRATE._x000D_
2.Based on the AI airway/pulmonary findings, the probability of this patient having clinically detectable respiratory signs is LOW to MEDIUM (25%-50%)_x000D_
3.Are respiratory signs present? If YES._x000D_
4.Are respiratory signs present? If NO._x000D_
5.Severe cardiomegaly has been detected but Heart Failure is NOT suspected.</t>
  </si>
  <si>
    <t>8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</si>
  <si>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Fourteen radiographs are provided, with images of the thorax, abdomen, pelvis, and right stifle. The cardiac silhouette and pulmonary vessels are normal size and shape. There is a severe unstructured interstitial pattern throughout the lungs, as well as numerous small variably sized well delineated round soft tissue opaque nodules measuring up to 1.1 cm. All lung lobes are affected. There is no pleural effusion. Normal tracheal diameter and cranial mediastinal width._x000D_
_x000D_
In the abdomen there is mild to moderate peritoneal effusion. The liver, spleen, and kidneys are normal size. The gastrointestinal tract and urinary bladder are minimally distended. Narrowed L2-3 intervertebral disc space is of doubtful clinical significance today. Both femoral heads are mildly flattened, the femoral necks are severely thickened, with poor coverage of the femoral heads by the acetabular rims. Pelvic limb musculature is reduced. There is small volume of fluid in the cranial aspect of the right stifle.</t>
  </si>
  <si>
    <t>1. Mild to moderate peritoneal effusion, and diffuse pulmonary metastatic disease. Neoplasia such as splenic hemangiosarcoma is of concern. The effusion may be hemorrhagic._x000D_
2. Bilateral hip dysplasia with subluxation and osteoarthritis._x000D_
3. Mild right stifle effusion suggestive of partial cranial cruciate ligament tear.</t>
  </si>
  <si>
    <t>Abdominal ultrasound could be considered in an effort to locate a primary lesion if a definitive diagnosis is desired, however complete surgical resection is not possible. Prognosis is very poor.</t>
  </si>
  <si>
    <t xml:space="preserve">
1.The evaluation result has a strong suspicion of soft tissue pulmonary nodules being present._x000D_
2.PULMONARY NODULAR PATTERN likely due to END ON PULMONARY VESSELS, PULMONARY OSTEOMAS or COSTOCHONDRAL JUNCTIONS; MILD INTERSTITIAL TO ALVEOLAR PATTERN; MILD BRONCHITIS._x000D_
3.Based on the AI airway/pulmonary findings, the probability of this patient having clinically detectable respiratory signs is LOW to MEDIUM (25-50%)_x000D_
4.Are respiratory signs present? If YES._x000D_
5.MILD BRONCHOINTERSTITIAL PULMONARY PATTERN WITH ATELECTASIS or LESS LIKELY, PNEUMONIA, MILD PERIHILAR INFILTRATE._x000D_
6.Probability these AI pulmonary findings will accompany clinically detectable respiratory signs: MILD TO MODERATE (25-50%)_x000D_
7.Are respiratory signs present? If YES._x000D_
8.Are respiratory signs present? If NO._x000D_
9.The cardiac silhouette size is normal._x000D_
10.Are respiratory signs present? If NO.</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</si>
  <si>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soft tissue material.  The small intestines are normal in size.  Gas and feces are present in the colon.  The urinary bladder is small.  The remaining abdominal organs are normal.  Hemivertebrae are present in the thoracolumbar and sacrocaudal spine.</t>
  </si>
  <si>
    <t>Material within the stomach may represent residual ingesta or foreign material.  Consider repeat radiographs following strict fasting to determine if gastric contents persist.  Congenital hemivertebrae.  Radiographically normal thorax for patient of this age.</t>
  </si>
  <si>
    <t xml:space="preserve">
1.The cardiac silhouette size is normal._x000D_
2.MINIMAL to MILD DIFFUSE, MIXED BRONCHOINTERSTITIAL PULMONARY PATTERN with ATELECTASIS or less likely, pneumonia._x000D_
3.Probability these AI pulmonary findings will accompany clinically detectable respiratory signs: LOW (25%)_x000D_
4.Are respiratory signs present? If YES._x000D_
5.Are respiratory signs present? If NO._x000D_
6.Pleural fissure lines or small volume pleural effusion has been detected. In a mildly overweight animal, excessive pericardial fat can artifactually mimic the result of minimal pleural effusion.</t>
  </si>
  <si>
    <t>Orthogonal views of the thorax are provided:_x000D_
_x000D_
Thorax:_x000D_
_x000D_
No abnormalities seen in the trachea (single lateral view)._x000D_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t>
  </si>
  <si>
    <t>1) Left atrial enlargement secondary to chronic mitral endocardiosis without signs of CHF. Rule out concomitant tricuspid endocardiosis with pulmonary hypertension._x000D_
2) Lack of visualization of tracheal collapse does not exclude this differential (especially taking into account the breed). Unremarkable lungs do not exclude a bronchitis of allergic vs inflammatory/infectious or parasitic origin. No signs of pulmonary metastases nor signs of thoracic lymphadenopathy.</t>
  </si>
  <si>
    <t xml:space="preserve">
1.MODERATE DYNAMIC AIRWAY DISEASE; MILD BRONCHOINTERSTITIAL PULMONARY PATTERN +/- PULMONARY HYPOINFLATION._x000D_
2.Based on these AI airway/pulmonary findings, the probability of this patient having clinically detectable respiratory signs is MEDIUM (50%)_x000D_
3.Are respiratory signs present? If YES._x000D_
4.AI linked dynamic airway treatment: https://platform.v2.vetology.net/doc/canine-tracheal-collapse-treatment_x000D_
5.Are respiratory signs present? If NO._x000D_
6.There is no evidence of PULMONARY NODULES._x000D_
7.Mild cardiomegaly has been detected but Heart Failure is NOT suspected.</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</si>
  <si>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An ovoid soft tissue mass is seen in the ventral mid abdomen in the tail of the spleen.  The stomach contains a moderate amount of ingesta.  The small intestines are normal in size.  Gas and feces are present in the colon.  The urinary bladder is small.  The remaining abdominal organs are normal.</t>
  </si>
  <si>
    <t>Splenic mass=ZZ90= consider neoplasia or hematoma.  Radiographically normal thorax for patient of this age.</t>
  </si>
  <si>
    <t>Abdominal ultrasound could be considered prior to abdominal exploratory.</t>
  </si>
  <si>
    <t xml:space="preserve">
1.A minimal interstitial pattern has been detected._x000D_
2.There is detection of a few small soft tissue opacities overlying the lungs._x000D_
3.The cardiac silhouette size is normal._x000D_
4.There is no evidence of DYNAMIC AIRWAY COLLAPSE or BRONCHIECTASIS or PLEURAL EFFUSION._x000D_
5.MINIMAL INTERSITIAL PATTERN; OVERLYING CUTANEOUS NODULES or END-ON VESSELS._x000D_
6.Based on these AI airway/pulmonary findings, the probability of this patient having clinically detectable respiratory signs due to lower airway disease is UNLIKELY (&lt;25%) with the exception of acute tracheobronchitis or PTE.</t>
  </si>
  <si>
    <t>Orthogonal views of the thorax are provided:_x000D_
_x000D_
Thorax:_x000D_
_x000D_
Cardiac silhouette has a normal shape and size._x000D_
Pulmonary vessels are within normal limits of size and shape._x000D_
Pulmonary parenchyma shows some pulmonary nodules throughout the different lung lobes. In the VD view the scapulae are superimposed with the cranial lung lobes._x000D_
Pleural space, mediastinum, diaphragm and thoracic wall within normal limits._x000D_
_x000D_
Incidental gallbladder choleliths.</t>
  </si>
  <si>
    <t>1) Multiple pulmonary nodules consistent with pulmonary metastases.</t>
  </si>
  <si>
    <t>Abdominal US to try find a primary neoplasia with US guided FNAs from some of the pulmonary nodules along with oncologist consultation.</t>
  </si>
  <si>
    <t xml:space="preserve">
1.Pleural fissure lines or moderate to severe pleural effusion has been detected. An overlying skin fold or in an obese animal, excessive pericardial fat could artifactually mimic the result of severe pleural effusion._x000D_
2.The evaluation has a strong suspicion of pulmonary nodules or mass lesion being present._x000D_
3.MILD to MODERATE INTERSTITIAL TO ALVEOLAR PATTERN; MILD DYNAMIC AIRWAY DISEASE._x000D_
4.Based on these AI airway/pulmonary findings, the probability of this patient having clinically detectable respiratory signs is MEDIUM (50%)_x000D_
5.Are respiratory signs present? If YES._x000D_
6.Are respiratory signs present? If NO._x000D_
7.The cardiac silhouette size is normal.</t>
  </si>
  <si>
    <t xml:space="preserve">Patient Name : Shadow Franciosa, Date of study: Aug 9, 2024
9 images are provided for review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Suspicious fluid opaque striations are over peritoneal fat and the enlarged mid-ventral intestinal segment in the left lateral image.  
Gastrointestinal tract: The stomach contains a moderate gas and soft tissue material.  The stomach is within normal limits for size.
In the final left lateral image, a segment of small intestine in the mid-ventral abdomen is moderately enlarged and contains heterogeneous soft tissue material admixed with gas.  This segment is larger than small intestinal segments in the caudal abdomen.
The colon contains minimal soft tissue material and gas.  The colon is within normal limits for size.  
Musculoskeletal: Multifocal thoracolumbar spondylosis deformans is present.  A round to lobular soft tissue nodule ariss from the ventral extra-thoracic soft tissues, which superimposes over the left caudal lung in the ventrodorsal images.  The remaining included musculoskeletal structures are normal.
</t>
  </si>
  <si>
    <t>1. Suspicious segmental small intestinal enlargement in the mid-abdomen due to foreign material/ or unlikely an occult mass and evolving mechanical ileus, or enteritis/functional ileus.
2. Possible peritoneal fluid from malignant effusion, secondary to enteritis, or less likely other.
3. Minimal diffuse bronchial pulmonary pattern due to fibrosis from prior disease, age-related changes, or unlikely infectious/immune-mediated lower airway disease or other.
4. Extra-thoracic soft tissue nodule such as from benign/malignant neoplasia, papilloma or unlikely other.</t>
  </si>
  <si>
    <t>Consider abdominal ultrasonography  for further evaluation of the small intestine and suspected peritoneal fluid.  Abdominocentesis with fluid analysis/cytology if peritoneal fluid is confirmed.  Consider celiotomy if mechanical ileus is confirmed.  Routine blood work, urinalysis for further evaluation if not recently performed.  This examination does not definitively identify etiology of reported urinary tract incontinence, consider internist consultation depending on results of additional diagnostics.    Empirical therapy and supportive care in the interim as needed.  Monitoring as directed, or sooner if clinical signs acutely change, fail to improve or worsen.</t>
  </si>
  <si>
    <t xml:space="preserve">
1.The evaluation has come up positive for a pulmonary nodular pattern._x000D_
2.A mild interstitial pattern has been detected._x000D_
3.Pleural fissure lines or moderate to severe pleural effusion has been detected. An overlying skin fold or in an obese animal, excessive pericardial fat could artifactually mimic the result of severe pleural effusion._x000D_
4.The cardiac silhouette size is normal._x000D_
5.There is no evidence of DYNAMIC AIRWAY COLLAPSE or BRONCHIECTASIS._x000D_
6.A mild perihilar infiltrate has been detected.</t>
  </si>
  <si>
    <t>Patient Name : Jake Waddle, Date of study: Aug 9, 2024
3 images are provided for review
There are no previous radiographs for comparison.  Limited evaluation without orthogonal images. 
Liver: The liver is subjectively normal in size.
Spleen: The spleen is normal in size with smooth margins and homogeneous soft tissue.
Kidneys: The kidneys are  obscured without obvious enlargement or mineral.
Retroperitoneum: Retroperitoneal detail is adequate.
Urogenital: The urinary bladder is normal in size, homogeneous soft tissue, and smoothly marginated.
Peritoneum: Peritoneal detail is adequate.
Gastrointestinal tract: The stomach contains a moderate volume of heterogeneous soft tissue admixed with gas.   The stomach is within normal limits for size.
The small intestine contains moderate heterogeneous fluid/soft tissue admixed with gas.  Some granular mineral is in the small intestinal segments.
The colon contains moderate gas or is empty.  Few mineral foci are suspected in the colon.  The colon is within normal limits for size.  
Musculoskeletal: The included musculoskeletal structures are normal.</t>
  </si>
  <si>
    <t>1. Gastric material due to recent meal, versus gastritis/delayed gastric emptying or given reported history, unlikely pyloric outflow tract obstruction given lack of vomiting.
2. Non-specific small intestinal appearance such as from enteritis and delayed gastrointestinal transit, or less likely individual variation of normal.
- There is no current evidence of gastrointestinal mechanical ileus.
- Differential diagnoses include dietary indiscretion (and passage of mineral foci), and/or toxin ingestion, diet/antibiotic responsive disease, inflammatory bowel disease, pancreatitis, occult systemic disease or unlikely other.
3. Suspected colonic mineral due to dietary indiscretion with/without colitis.</t>
  </si>
  <si>
    <t>Empirical therapy for gastritis/enteritis/colitis and consider repeat abdominal radiographs after 8-12 hours of fasting to monitor for passage of the gastric material.  Abdominal ultrasonography may also be contributory.  Consider  routine blood work and diet elimination trial. Focused thoracic radiographs and echocardiography, eCG and blood pressure for further evaluation of reported heartworm disease.  Consider internist consultation, especially if gastrointestinal clinical signs and weight loss progresses in the interim.</t>
  </si>
  <si>
    <t xml:space="preserve">
1.The evaluation result has a strong suspicion of soft tissue pulmonary nodules being present._x000D_
2.Are respiratory signs present? If YES._x000D_
3.PULMONARY NODULAR PATTERN likely due to END ON PULMONARY VESSELS, PULMONARY OSTEOMAS or COSTOCHONDRAL JUNCTIONS; MILD INTERSTITIAL TO ALVEOLAR PATTERN; MILD BRONCHITIS._x000D_
4.Based on the AI airway/pulmonary findings, the probability of this patient having clinically detectable respiratory signs is LOW to MEDIUM (25-50%)_x000D_
5.Are respiratory signs present? If YES._x000D_
6.Are respiratory signs present? If NO._x000D_
7.MILD BRONCHOINTERSTITIAL PULMONARY PATTERN WITH ATELECTASIS or LESS LIKELY, PNEUMONIA, MILD PERIHILAR INFILTRATE._x000D_
8.Probability these AI pulmonary findings will accompany clinically detectable respiratory signs: MILD TO MODERATE (25-50%)_x000D_
9.Are respiratory signs present? If NO._x000D_
10.The cardiac silhouette size is normal.</t>
  </si>
  <si>
    <t xml:space="preserve">Patient Name : Bentley Haynes, Date of study: Aug 9, 2024
9 images are provided for review
There are no previous radiographs for comparison.
Ungloved human digits primary beam.
Bones/Joints:
A dens is present.  There is no evidence of atlantoaxial joint subluxation. 
Variable intervertebral disc narrowing due to patient obliquity/positioning.  Best identified in the ventrodorsal images, there is suspected persistent narrowing of the T11-12, T12-13 and L1-2 intervertebral disc spaces.  
There is no evidence of mineral over the intervertebral foramina.  There is no evidence of intervertebral dorsal articulation osteoarthrosis.
There is no evidence of medullary sclerosis, osteolysis, endosteal scalloping, or periosteal proliferation.
Soft tissues:  The included soft tissues are normal.
</t>
  </si>
  <si>
    <t xml:space="preserve">1. Possible intervertebral disc space narrowing at T11-12, T12-13 and L1-2, versus artifact.
</t>
  </si>
  <si>
    <t>Depending on clinical signs, consider neurologist consultation and MRI for further evaluation.  Consider routine blood work and focused abdominal imaging for further evaluation depending on clinical signs.  Empirical therapy and supportive care in the interim as needed.  Monitoring as directed or sooner if clinical signs acutely change, fail to improve or worsen.</t>
  </si>
  <si>
    <t xml:space="preserve">
1.Are respiratory signs present? If NO._x000D_
2.MILD BRONCHOINTERSTITIAL PULMONARY PATTERN; MILD DYNAMIC AIRWAY DISEASE; MILD PERIHILAR INFILTRATE._x000D_
3.Based on these AI airway/pulmonary findings, the probability of this patient having clinically detectable respiratory signs is MEDIUM (50%)_x000D_
4.Are respiratory signs present? If YES._x000D_
5.Mild cardiomegaly has been detected but Heart Failure is NOT suspected.</t>
  </si>
  <si>
    <t xml:space="preserve">Patient Name : Zoey Day, Date of study: Aug 9, 2024
10 images are provided for review
There are no previous radiographs for comparison.
Pulmonary parenchyma: In the left lateral image, over the ventral aspect of the lungs in the 6th intercostal space is a round, soft tissue nodule.  This nodule is suspected over the right 6-7th intercostal space and right caudal lung in the ventrodorsal images.   A mild diffuse bronchial pattern is present.  A minimal diffuse interstitial pattern is present and the lungs are mildly hypoinflated.
Pulmonary vasculature: The pulmonary vasculature is subjectively normal in size and tapers in the periphery of the lungs.
Cardiac silhouette: Rounded increased soft tissue is suspected in the region of the left atrium in the ventrodorsal image.
Mediastinum: The cranial mediastinum is normal.
Trachea: The trachea is normal.
Esophagus: The esophagus is not well-identified.
Pleural space: The pleural space is normal.
Musculoskeletal: A well-defined ovoid and slightly pedunculated soft tissue mass arises from the left ventrolateral extra-thoracic soft tissues, partially superimposing over the left caudal thorax at the 9 through 11th intercostal spaces in the ventrodorsal images.  The remaining included musculoskeletal structures are normal.
</t>
  </si>
  <si>
    <t>1. Small right caudal lung lobe soft tissue nodule is most likely from evolving metastatic neoplasia.
2. Mild diffuse bronchial and minimal interstitial patterns such as from fibrosis from prior disease, age-related changes, or unlikely atypical metastatic neoplasia or infectious/immune-mediated lower airway disease or other.
3. Equivocal left atrial enlargement versus artifact from phase of the cardiopulmonary cycle and patient positioning.
- Consider myxomatous mitral valvular disease versus other.
- There is no current evidence of left-sided congestive heart failure.
4. Left extra-thoracic soft tissue mass such as from malignancy (possible mammary gland carcinoma, versus soft tissue sarcoma) or papilloma, versus other.</t>
  </si>
  <si>
    <t>Consider computed tomography of the thorax for further evaluation of the suspected pulmonary nodule for pre-surgical planning of suspected mammary associated neoplasia. Echocardiography, eCG and blood pressure prior to advanced imaging given reported heart murmur. Oncologist consultation depending on results of advanced imaging and histopathology of the mammary associated mass.  Empirical therapy and supportive care in the interim as needed.  Monitoring as directed, or sooner if clinical signs acutely change, fail to improve or worsen.</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</si>
  <si>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kidneys are small.  The remaining abdominal organs are normal.</t>
  </si>
  <si>
    <t>Small kidneys consistent with chronic renal disease.  Lack of specific gastrointestinal changes does not rule out pancreatitis or infiltrative neoplasia.  Abdominal ultrasound could be considered based on the clinical history provided.  Radiographically normal thorax for patient of this age.</t>
  </si>
  <si>
    <t>Four radiographs of the abdomen, and a lateral view of the thorax are provided. The heart is a normal size and shape. There are no abnormalities in the pulmonary parenchyma. No pleural effusion. The trachea is normal diameter. No esophageal dilation. In the abdomen there is small volume gas in the stomach. Formed feces and gas fills the colon. Stippled soft tissue density overlying the pylorus on the left lateral view is superimposed colon. Small intestines are mildly filled with fluid, small volume gas, and small volume stippled soft tissue density. No radiopaque foreign material or severe intestinal distention is appreciated. The liver, spleen, and left kidney are normal size. The right kidney is incompletely visible.</t>
  </si>
  <si>
    <t>Normal thorax and abdomen. There is no evidence of gastrointestinal obstruction. The reason for coughing is not identified. Inhaled irritant/allergens should be considered. There is no evidence of cardiovascular disease or pneumonia on this study, however subtle pneumonia on the opposite side remains possible.</t>
  </si>
  <si>
    <t>If coughing persists despite supportive care, a ventral dorsal and both lateral radiographs of the thorax should be considered to rule out pneumonia. If the patient has gastrointestinal signs, consider an upper GI series.</t>
  </si>
  <si>
    <t>A single RL view of the thorax is provided:_x000D_
_x000D_
Thorax:_x000D_
_x000D_
Suspected soft tissue mas superimposed with the craniodorsal most thorax and scapulae._x000D_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irregular/nodular margins.</t>
  </si>
  <si>
    <t>1) Left atrial enlargement secondary to chronic mitral endocardiosis without signs of CHF._x000D_
2) Hepatomegaly: Neoplastic /metastatic is the main differential. Other concomitant differentials such as Metabolic vs Vacuolar infiltration vs Hepatic nodular hyperplasia vs Inflammatory vs Toxic or hepatopathies are not excluded._x000D_
3) Rule out craniodorsal soft tissue mass.</t>
  </si>
  <si>
    <t>Consider a VD view and a contralateral view along with a cardiology consultation with ECG and echocardiogram and abdominal US to further evaluate the liver with US guided FNAs.</t>
  </si>
  <si>
    <t xml:space="preserve">
1.Are respiratory signs present? If NO._x000D_
2.MILD to MODERATE BRONCHOINTERSTITIAL PATTERN; MILD DYNAMIC AIRWAY DISEASE._x000D_
3.Based on these AI airway/pulmonary findings, the probability of this patient having clinically detectable respiratory signs is MEDIUM (50%)_x000D_
4.Are respiratory signs present? If YES._x000D_
5.Severe cardiomegaly has been detected but Heart Failure is NOT suspected._x000D_
6.There is no evidence of PULMONARY NODULES.</t>
  </si>
  <si>
    <t>6 views of the thorax and abdomen are submitted for review._x000D_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A moderate amount of heterogeneous soft tissue opacity ingesta is noted in the stomach.  The small bowel is normal and uniform in diameter and contains a mild amount of gas and ingesta.  A mild amount of stool is noted throughout the colon.  The liver and spleen are normal in size, shape, and margination.  The bilateral renal silhouettes are within normal limits.  The urinary bladder is unremarkable.  Serosal detail is normal._x000D_
No osseous abnormalities are seen.</t>
  </si>
  <si>
    <t>The material in the stomach is nonspecific and could be associated with food, radiolucent foreign material, or possibly admixture of both.  No evidence of mechanical obstruction of the small bowel is seen.  Acute gastroenteritis and/or pancreatitis is considered most likely.</t>
  </si>
  <si>
    <t>Correlation with blood work may be helpful.  Empirical medical management appears appropriate in the short-term.</t>
  </si>
  <si>
    <t>Study:_x000D_
Thoracic/abdominal radiography: three images dated August 9, 2024_x000D_
_x000D_
Findings:_x000D_
There is moderate left ventricular and left atrial enlargement. The pulmonary vasculature is normal in size. The pulmonary parenchyma is unremarkable. The pleural space is normal. There is no intrathoracic lymphadenopathy. The trachea is normal in diameter. There is no lobar bronchi narrowing. The stomach contains a small amount of ill-defined soft tissue material presumed to be ingesta. There is a thin linear metallic opacity in the mesentery adjacent to the pylorus. The small intestines are gas and fluid-filled and normal in size and course. The liver extends moderately beyond the costal arch with smooth margins. The spleen is normal in size and margin. The renal silhouettes are normal in size and contour. There are multiple indistinct punctate mineral foci in the kidneys. Four mineral opaque calculi measuring up to 0.6 cm present in the urinary bladder. No calculi present in the region of the urethra. There is no prostatomegaly. There is mild bilateral stifle periarticular bone formation. The patient is of overweight body condition.</t>
  </si>
  <si>
    <t>1. Moderate left-sided cardiomegaly, indicative of mitral valve disease, without evidence of decompensation. Echocardiography and ECG should be considered for further evaluation._x000D_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airway sampling plus/minus heartworm testing and Baermann fecal flotation can be considered to further evaluate the reported coughing._x000D_
3. The generalized hepatomegaly is nonspecific. Rule out vacuolar hepatopathy (possibly secondary to Temaril-P/corticosteroid therapy), hyperplasia, hepatitis or infiltrative neoplasia. Sonography can be considered for further evaluation._x000D_
4. Bilateral nephrolithiasis and/or nephrocalcinosis._x000D_
5. Cystolithiasis. Recommend urinalysis for further evaluation. Consider dissolution versus cystotomy._x000D_
6. Peritoneal linear metallic (possibly wire or brush bristle) foreign body. This is a relatively common incidental finding._x000D_
7. Mild bilateral stifle osteoarthrosis.</t>
  </si>
  <si>
    <t>7 images of the thorax and abdomen are presented for review.  The trachea is mildly dorsally deviated.  There is straightening of the caudal cardiac waist in the region of the left atrium.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rounded soft tissue structure protrudes from the dorsal aspect of the tail of the spleen.  The stomach contains a moderate amount of soft tissue material.  The small intestines are normal in size.  Gas and feces are present in the colon.  The urinary bladder is moderately distended.  The remaining abdominal organs are normal.  Opacity masses are present in the subcutaneous tissues, most notable along the left</t>
  </si>
  <si>
    <t>Mild left-sided cardiomegaly without current evidence of cardiogenic pulmonary edema.  Echocardiography may be helpful in further evaluation.  Consistently visible small splenic mass=ZZ90= consider regeneration, extramedullary hematopoiesis, inflammation, hematoma, neoplasia.  Abdominal ultrasound may be helpful.  Material within the stomach may represent residual ingesta or foreign material.  Consider repeat radiographs following strict fasting to determine if gastric contents persist.</t>
  </si>
  <si>
    <t xml:space="preserve">
1.There is no evidence of BRONCHITIS, PERIHILAR INFILTRATE, PULMONARY NODULES or PLEURAL EFFUSION._x000D_
2.Mild dynamic airway disease has been detected._x000D_
3.Moderate cardiomegaly has been detected but Heart Failure is NOT suspected.</t>
  </si>
  <si>
    <t>3 views of the entire body are provided for review. There is a severe bronchial pattern in all lung lobes.  The cardiovascular structures are normal.  The mediastinal and pleural structures are normal.  Abdominal serosal detail is adequate in all quadrants.  The stomach contains a moderate amount of gas.  The small intestines are normal in size.  Gas and feces are present in the colon.  The urinary bladder is small.  The remaining abdominal organs are normal.</t>
  </si>
  <si>
    <t>Radiographically normal abdomen.  Severe bronchial pulmonary pattern.  Considerations include asthma, heartworm, lungworm, atypical infection, bronchitis.</t>
  </si>
  <si>
    <t>Consider empiric therapy versus further diagnostics such as heartworm testing, Baermann fecal, airway sampling.</t>
  </si>
  <si>
    <t xml:space="preserve">
1.Are respiratory signs present? If NO._x000D_
2.MINIMAL to MILD DIFFUSE, MIXED BRONCHOINTERSTITIAL PULMONARY PATTERN with ATELECTASIS or less likely, pneumonia._x000D_
3.Based on these AI airway/pulmonary findings, the probability of this patient having clinically detectable respiratory signs is LOW (25%)_x000D_
4.Are respiratory signs present? If YES._x000D_
5.The cardiac silhouette size is normal.</t>
  </si>
  <si>
    <t>Orthogonal views of the thorax are provided:_x000D_
_x000D_
Thorax:_x000D_
_x000D_
There is abnormal dilation of the cervical tracheal collapse with marked narrowing at the carina._x000D_
Cardiac silhouette shows a mild enlargement of the left atrium dorsally displacing the carina, shifted to the right hemithorax with secondary collapse of the right middle lung lobe._x000D_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margins._x000D_
Right renolith.</t>
  </si>
  <si>
    <t>1) Findings consistent with dynamic cervical and intrathoracic tracheal collapse._x000D_
2) Left atrial enlargement secondary to chronic mitral endocardiosis without signs of CHF. Rule out tricuspid endocardiosis with pulmonary hypertension._x000D_
3) Hepatomegaly: Metabolic vs Vacuolar infiltration vs Hepatic nodular hyperplasia vs Inflammatory vs Toxic vs Neoplastic or a combination of these differentials_x000D_
4) Right regolith.</t>
  </si>
  <si>
    <t>Consider a cardiology consultation with ECG and echocardiogram prior to a fluoroscopy with tracheobronchoscopy to rule in extrathoracic and intrathoracic tracheal collapse and to rule in/out bronchial component, evaluating treatment options. Take advantage of the bronchoscopy to further evaluate the larynx given 30% of patients with tracheal collapse display different degrees of laryngeal paralysis._x000D_
Consider also abdominal US to further evaluate the liver and urinary tract with renal function test, urinalysis, UPC and urine culture.</t>
  </si>
  <si>
    <t xml:space="preserve">
1.Are respiratory signs present? If YES._x000D_
2.Are respiratory signs present? If NO._x000D_
3.Are respiratory signs present? If YES._x000D_
4.AI linked information on dynamic airway collapse treatment in dogs: https://platform.v2.vetology.net/doc/canine-tracheal-collapse-treatment_x000D_
5.Are respiratory signs present? If NO._x000D_
6.MILD BRONCHOINTERSTITIAL PULMONARY PATTERN WITH ATELECTASIS or LESS LIKELY, PNEUMONIA, MILD PERIHILAR INFILTRATE._x000D_
7.MODERATE DYNAMIC AIRWAY DISEASE; MILD BRONCHOINTERSTITIAL PULMONARY PATTERN; ATELECTASIS or ALVEOLAR INFILTRATE._x000D_
8.Based on these AI airway/pulmonary findings, the probability of this patient having clinically detectable respiratory signs is MEDIUM (50%)_x000D_
9.Probability these AI pulmonary findings will accompany clinically detectable respiratory signs: MILD TO MODERATE (25-50%)_x000D_
10.Moderate cardiomegaly has been detected but Heart Failure is NOT suspected._x000D_
11.Pleural fissure lines or moderate to severe pleural effusion has been detected. An overlying skin fold or in an obese animal, excessive pericardial fat could artifactually mimic the result of severe pleural effusion.</t>
  </si>
  <si>
    <t>Orthogonal views of the thorax are provided:_x000D_
_x000D_
Thorax:_x000D_
_x000D_
There is cervical tracheal collapse more marked at the thoracic inlet._x000D_
Cardiac silhouette is WNL._x000D_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t>
  </si>
  <si>
    <t>1) Findings consistent with cervical tracheal collapse._x000D_
2) Unremarkable thorax without signs of pulmonary metastases nor signs of thoracic lymphadenopathy._x000D_
3) Hepatomegaly: Metabolic vs Vacuolar infiltration vs Hepatic nodular hyperplasia vs Inflammatory vs Toxic vs Neoplastic or a combination of these differentials</t>
  </si>
  <si>
    <t>Consider a fluoroscopy with tracheobronchoscopy to better evaluate the extrathoracic tracheal collapse and to rule in/out intrathoracic tracheal collapse or bronchial component, evaluating treatment options. Take advantage of the bronchoscopy to further evaluate the larynx given 30% of patients with tracheal collapse display different degrees of laryngeal paralysis._x000D_
Consider also abdominal US to further evaluate the liver.</t>
  </si>
  <si>
    <t xml:space="preserve">
1.MINIMAL TO MILD BRONCHOINTERSTITIAL PULMONRAY PATTERN; MILD PERIHILAR PATTERN._x000D_
2.MILD DYNAMIC AIRWAY DISEASE; MINIMAL BRONCHOINTERSTITIAL PULMONARY PATTERN._x000D_
3.Based on these AI airway/pulmonary findings, the probability of this patient having clinically detectable respiratory signs is LOW (25%)_x000D_
4.Based on the AI airway/pulmonary findings, the probability of this patient having clinically detectable respiratory signs is LOW (25%)_x000D_
5.Are respiratory signs present? If YES._x000D_
6.Are respiratory signs present? If YES._x000D_
7.Are respiratory signs present? If NO._x000D_
8.The cardiac silhouette size is normal._x000D_
9.There is no evidence of PLEURAL EFFUSION._x000D_
10.Are respiratory signs present? If NO.</t>
  </si>
  <si>
    <t>Thoracolumbar spine: There is narrowing of the intervertebral disc space at T2-3.  There is mild narrowing of intervertebral to space T3-4 and T4-5.  Spondylosis deformans is noted at T2-3, T3-4, and T4-5.  There are no abnormalities involving the visible portions of the thoracic vertebral column._x000D_
_x000D_
Thorax: There are no abnormalities identified._x000D_
_x000D_
Abdomen: There are no abnormalities identified._x000D_
_x000D_
Pelvis: There are no abnormalities involving the pelvis or coxofemoral joints.  On the visible portions of the stifles there is medial subluxation/luxation of the left patella.</t>
  </si>
  <si>
    <t>Intervertebral disc disease at T2-3, T3-4, and T4-5._x000D_
_x000D_
Medial subluxation/luxation of the left patella.</t>
  </si>
  <si>
    <t xml:space="preserve">
1.Pleural fissure lines or small volume pleural effusion has been detected. In a mildly overweight animal, excessive pericardial fat can artifactually mimic the result of minimal pleural effusion._x000D_
2.The cardiac silhouette size is normal._x000D_
3.There is no evidence of BRONCHITIS, ALVEOLAR PATTERN, PERIHILAR INFILTRATE, DYNAMIC AIRWAY COLLAPSE or BRONCHIECTASIS or PULMONARY NODULES.</t>
  </si>
  <si>
    <t xml:space="preserve">Patient Name : Abby Beer, Date of study: Aug 9, 2024
3 images are provided for review
Canine Abdomen (3 Images) - 2 Lateral, 1 Vd
There are no previous radiographs for comparison.
Liver: The liver is equivocal enlarged with a caudoventral margin extending to the level of the 13th ribs and slight caudal displacement of the gastric axis.  
Spleen: The spleen is normal in size with smooth margins and homogeneous soft tissue.
Kidneys: The kidneys are normal in size and shape without obvious mineral.
Retroperitoneum: Retroperitoneal detail is adequate.
Urogenital: The urinary bladder is small in size, homogeneous soft tissue, and smoothly marginated.
Peritoneum:  No discrete mass or mass-effect is identified.  Peritoneal detail is adequate.
Gastrointestinal tract: The stomach contains a moderat gas and mild soft tissue material.  Gas is in the pylorus in the left lateral image.   The stomach is within normal limits for size.
The small intestine mild fluid and gas or is empty with a subjectively uniform population for size. 
The colon contains moderate well-defined soft tissue material and gas.  The colon is within normal limits for size.  
Musculoskeletal: The included musculoskeletal structures are normal.
</t>
  </si>
  <si>
    <t>1. Equivocal hepatomegaly versus variation of normal.
- If present, consider vacuolar change, nodular hyperplasia, hepatitis/cholangiohepatitis, or unlikely evolving neoplasia or other.
2. No discrete abdominal mass/mass effect is identified.</t>
  </si>
  <si>
    <t xml:space="preserve">Consider palpation of the liver and/or colon as etiology of reported physical exam findings.  Consider abdominal ultrasonography for further evaluation of an occult mass, such as from small intestinal or mesenteric origin, which may be masked by normal structures in survey radiographs.  Empirical therapy and supportive care for clinical signs as needed.  Monitoring as directed, or sooner if signs acutely change or worsen in the face of empirical therapy/supportive care.  </t>
  </si>
  <si>
    <t>A three view study of the thorax is provided for interpretation._x000D_
_x000D_
Severe heart enlargement is identified. The carina is markedly elevated, and there is a large bulge at the caudal heart base. The shape of the heart is consistent with left ventricular and left atrial dilation. Pulmonary vessels are within normal limits. No alveolar infiltrates or bronchial thickening are seen. Thin pleural fissure lines are faintly visible. No tracheal or laryngeal abnormalities are identified. There are many punctate mineral density throughout the lungs consistent with benign pulmonary osteomas._x000D_
_x000D_
The liver is moderately enlarged, with normal shape and smooth margins. The other cranial abdominal organs are within normal limits._x000D_
Mild chronic remodeling changes are seen involving the elbows. No other musculoskeletal abnormalities are identified.</t>
  </si>
  <si>
    <t>There is severe left side cardiomegaly. Associated syncope is likely responsible for the recent collapse episode._x000D_
Degenerative mitral valve disease with severe chronic mitral regurgitation would be the most likely explanation for the cardiomegaly._x000D_
No pulmonary edema that would indicate congestive heart failure is seen in this study._x000D_
_x000D_
Significance of the thin pleural fissure lines is unknown. Concurrent non-cardiac disease such as infectious/inflammatory disease or lymphoreticular neoplasia should be ruled out considering the labwork abnormalities and hepatomegaly.</t>
  </si>
  <si>
    <t>Pimobendan therapy is indicated based on the severity of cardiomegaly in this patient._x000D_
Echocardiography and ultrasound of the abdomen is recommended.</t>
  </si>
  <si>
    <t xml:space="preserve">
1.AI linked collapsing airway disease in dogs: https://platform.v2.vetology.net/doc/canine-tracheal-collapse-treatment_x000D_
2.Are respiratory signs preesnt? If NO._x000D_
3.Are respirartory signs present? If YES._x000D_
4.MODERATE BROCHIAL PATTERN; MODERATE DYNAMIC AIRWAY DISEASE; MILD INTERSTITIAL INFILTRATE with ATELECTASIS or less likely, PNEUMONIA._x000D_
5.Based on these AI airway/pulmonary findings, the probability of this patient having clinically detectabe respiratory signs is MEDIUM (50%)_x000D_
6.Severe cardiomegaly has been detected but Heart Failure is NOT suspected.</t>
  </si>
  <si>
    <t>Orthogonal radiographs of the thorax are provided. The cardiac silhouette is normal size on the lateral view. The right heart is prominent on the VD projection. There is slight rotation on the VD view. Pulmonary vessels and caudal vena cava are normal size. The lungs are clear. There is no pleural effusion. Tracheal diameter is adequate. Normal cranial abdomen.</t>
  </si>
  <si>
    <t>Prominence of the right heart only on the VD projection is most likely due to slight rotation. Adjacent fat deposition could be contributing to this appearance. Underlying cardiac disease is not definitively ruled out but felt to be unlikely in the absence of a murmur or arrhythmia. Otherwise normal thorax.</t>
  </si>
  <si>
    <t>If the patient has a murmur or arrhythmia, an echocardiogram should be considered.</t>
  </si>
  <si>
    <t>3 views of the thorax are presented for review.  The cardiovascular and pulmonary structures are normal.  No pulmonary nodules or enlarged intrathoracic lymph nodes are seen.  The pleural and mediastinal structures are normal.  Cranial abdominal detail is adequate.  Multiple hemivertebrae are present in the thoracic spine.</t>
  </si>
  <si>
    <t>Radiographically normal thorax.  Congenital hemivertebrae.</t>
  </si>
  <si>
    <t>Three radiographs of the thorax and abdomen are provided. The cardiac silhouette and pulmonary vessels are normal size. There are mild age-related changes in the lungs. No soft tissue pulmonary nodules or pleural effusion. Small volume fat deposition in the cranial mediastinum. No definitive narrowed cervical intervertebral disc spaces. Normal proximal thoracic limbs. In the abdomen the prostate is moderate to severely enlarged with smooth margins and soft tissue opaque parenchyma. No radiopaque urolithiasis. The liver is prominent with smooth margins. Normal-sized left kidney and spleen. The right kidney is obscured. Possible reduced size of the T12-13 intervertebral foramen, and there is mild kyphosis centered at this level. No narrowed lumbar intervertebral disc spaces. The coxofemoral joints are congruent.</t>
  </si>
  <si>
    <t>1. The appearance of T12-13 is suggestive of intervertebral disc disease. No other definitive spinal abnormalities. With the history, a cervical intervertebral disc lesion is suspected._x000D_
2. Mild hepatomegaly, a nonspecific finding that may be steroid or other hepatopathy, acute inflammation, or least likely neoplasia. This should be correlated with history and blood work._x000D_
3. Moderate to severe prostatomegaly consistent with benign prostatic hyperplasia.</t>
  </si>
  <si>
    <t>If discomfort can be medically managed, this patient may benefit from anti-inflammatories and strict rest. Otherwise, consultation with a neurologist and advanced spinal imaging with CT/MRI would be recommended.</t>
  </si>
  <si>
    <t xml:space="preserve">
1.MILD to MODERATE INTERSTITIAL TO ALVEOLAR PATTERN; MILD DYNAMIC AIRWAY DISEASE._x000D_
2.Based on these AI airway/pulmonary findings, the probability of this patient having clinically detectable respiratory signs is MEDIUM (50%)_x000D_
3.Are respiratory signs present? If YES._x000D_
4.Are respiratory signs present? If NO._x000D_
5.There is no evidence of PERIHILAR INFILTRATE, PULMONARY NODULES or PLEURAL EFFUSION._x000D_
6.Mild cardiomegaly has been detected but Heart Failure is NOT suspected.</t>
  </si>
  <si>
    <t>Consider axillary US to rule out axillary lymphadenopathy and abdominal US to rule out abdominal metastases.</t>
  </si>
  <si>
    <t>Orthogonal radiographs of the thorax and of the abdomen are provided. The cardiac silhouette and pulmonary vessels are normal size and shape. Her lungs are clear. There is no pleural effusion or intrathoracic lymphadenomegaly._x000D_
_x000D_
In the abdomen there is a smoothly lobulated round 16.2 cm soft tissue opaque mass in the mid-ventral abdomen. This appears to originate from the splenic tail, and there is scant adjacent effusion. Normal-sized liver and kidneys. The gastrointestinal tract is minimally filled. Intestines are deviated dorsally and caudally by the mass.</t>
  </si>
  <si>
    <t>Large ventral abdominal mass, most likely originating from the spleen. Hemangiosarcoma is the top differential. Hematoma or hemangioma are next on the differential list. There is scant effusion which may be hemorrhage. No other abdominal abnormalities. Thorax is normal.</t>
  </si>
  <si>
    <t>Abdominal ultrasound is recommended to confirm origin of the mass, and rule out additional intra-abdominal lesions that may preclude surgical intervention.</t>
  </si>
  <si>
    <t xml:space="preserve">Patient Name : Hannah Feick, Date of study: Aug 9, 2024
4 images are provided for review
Canine Abdomen (4 Images) - 2 Lateral, 2 Vd
There are no previous radiographs for comparison.
Liver: The liver is subjectively normal in size.
Spleen: The spleen is normal in size with smooth margins and homogeneous soft tissue.
Kidneys: Small ovoid or linear well- and ill-defined mineral is consistently over the right and left kidney in orthogonal images.  The kidneys are normal in size and smoothly marginated.
Retroperitoneum: Retroperitoneal detail is adequate.
Urogenital: Approximately nine small ovoid smoothly marginated mineral foci are superimposed centrally over the urinary bladder.  The urinary bladder is otherwise normal in size and smoothly marginated.  
Peritoneum: Peritoneal detail is adequate.
Gastrointestinal tract: The stomach contains a moderate volume of gas.   Gastric rugal folds are mildly prominent. The stomach is within normal limits for size.
The small intestine contains mild gas or is empty with a subjectively uniform population for size. 
The colon contains moderate well-defined soft tissue material and gas.  The colon is within normal limits for size.  
Musculoskeletal:  Bilateral medial patella luxation in the ventrodorsal image. The remaining included musculoskeletal structures are normal.
</t>
  </si>
  <si>
    <t xml:space="preserve">1. Multiple small urocystoliths and presumed underlying cystitis.
2. Bilateral nephroliths and suspected chronic renal disease.
3. Prominent gastric rugal folds such as from normal variation or given reported history unlikely non-specific gastritis.
4. Bilateral medial patella luxation.  </t>
  </si>
  <si>
    <t>Urinalysis, urine culture/sensitivity testing,  SDMA, blood pressure and routine blood work for further evaluation if not recently performed.  Consider ultrasonography for further evaluation of the kidneys and urinary bladder.  Therapy for cystitis and possible diet dissolution protocol may be beneficial. Monitoring as directed or sooner if clinical signs acutely change, fail to improve or worsen.</t>
  </si>
  <si>
    <t xml:space="preserve">Patient Name : Noah Crane, Date of study: Aug 9, 2024
7 images are provided for review
There are no previous radiographs for comparison.
Bones/Joints:
The T12-13, T13-L1 and L1-2 intervertebral disc spaces are narrowed.  Spondylosis deformans is lateral and ventral to T12-13, T13-L1 and L1-2.
There is no evidence of mineral over the intervertebral foramina.  There is no evidence of intervertebral dorsal articulation osteoarthrosis.
There is no evidence of medullary sclerosis, osteolysis, endosteal scalloping, or periosteal proliferation.
Soft tissues:  The included soft tissues are normal.
Limited thorax:  Increased soft tissue in the region of the middle tracheobronchial lymph node with suspected ventral caudal bronchi displacement in the lateral image.
</t>
  </si>
  <si>
    <t xml:space="preserve">1. T12-13, T13-L1 and L1-2 intervertebral disc disease.
2. Suspected middle tracheobronchial lymphadenopathy such as from metastatic/multicentric versus primary neoplasia or less likely evolving granulomatous/fungal disease, or unlikely left atrial enlargement or other.
</t>
  </si>
  <si>
    <t>Consider routine blood work and focused thoracic imaging with radiographs or computed tomography for further evaluation of the suspicious tracheobronchial lymphadenomegaly versus other. Fungal serology depending on exposure/travel history.  Abdominal imaging for further evaluation of occult systemic disease. Consider MRI for further evaluation of the thoracolumbar spine.  Empirical therapy and supportive care in the interim as needed.  Monitoring with serial radiographs if signs fail to improve or worsen.</t>
  </si>
  <si>
    <t xml:space="preserve">
1.Moderate cardiomegaly has been detected but Heart Failure is NOT suspected._x000D_
2.A mild perihilar infiltrate and minimal bronchial pattern have been detected</t>
  </si>
  <si>
    <t>Orthogonal views of the thorax are provided:_x000D_
_x000D_
Thorax:_x000D_
_x000D_
Cardiac silhouette has a normal shape and size._x000D_
Pulmonary vessels are within normal limits of size and shape._x000D_
Pulmonary parenchyma shows an alveolar pulmonary pattern with air bronchograms ventrally located on both cranial lung lobes, the left cranial being more severely affected. The caudal lung lobe shows a mixed broncho-interstitial lung pattern. _x000D_
Pleural space, mediastinum, diaphragm and thoracic wall within normal limits.</t>
  </si>
  <si>
    <t>1) Alveolar pulmonary pattern with air bronchograms ventrally located on both cranial lung lobes, the left cranial being more severely affected, in combination with the mixed broncho-interstitial lung pattern in the caudal lung lobes consistent with infectious bronchopneumonia +/- parasitic pneumonia.</t>
  </si>
  <si>
    <t xml:space="preserve">
1.The cardiac silhouette size is normal._x000D_
2.There is no evidence of BRONCHITIS, PERIHILAR INFILTRATE or PULMONARY NODULES._x000D_
3.A severe alveolar pattern has been detected._x000D_
4.Mild dynamic airway disease has been detected._x000D_
5.Pleural fissure lines or moderate to severe pleural effusion has been detected. An overlying skin fold or in an obese animal, excessive pericardial fat could artifactually mimic the result of severe pleural effusion.</t>
  </si>
  <si>
    <t xml:space="preserve">Patient Name : Panda rubio, Date of study: Aug 9, 2024
3 images are provided for review
Canine Thorax (3 Images) - 2 Lateral, 1 Vd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Multiple round metal ballistic pellets (BBs) are present in the right extra-thoracic soft tissues and left caudal thorax.  Arising from the left mid-ventral abdominal body wall is a nodule with multiple internal mineral foci.  healed fractures of the right 5th and 6th ribs are present.  The remaining included musculoskeletal structures are normal.
</t>
  </si>
  <si>
    <t>1. Mild diffuse bronchial pulmonary pattern.
- Differential diagnoses include fibrosis from prior disease/injury, age-related changes, or unlikely infectious/immune-mediated lower airway disease or other.
2. No obvious intra-thoracic lymphadenomegaly or pulmonary nodules.  
3. Multiple extra-thoracic and left caudal thoracic BBs.
4. Left mid-ventral abdominal body wall mass with internal mineral.
- This is consistent with suspected mammary gland malignancy/neoplasm.</t>
  </si>
  <si>
    <t>Consider computed tomography of the thorax/abdomen for pre-surgical planning and a more sensitive evaluation of the thorax.  Empirical therapy and supportive care in the interim as needed.  Oncologist consultation depending on results of histopathology.  Monitoring as directed or sooner if clinical signs acutely change, fail to improve or worsen.</t>
  </si>
  <si>
    <t xml:space="preserve">
1.The cardiac silhouette size is normal._x000D_
2.There is no evidence of BRONCHITIS, DYNAMIC AIRWAY COLLAPSE or BRONCHIECTASIS or PULMONARY NODULES._x000D_
3.A mild perihilar infiltrate has been detected.</t>
  </si>
  <si>
    <t>3 views of the thorax are provided for review.  The trachea is dorsally deviated, indicating left ventricular enlargement.  A bulge is present in the region of the left atrium.  Increased bronchial markings are present in all lung lobes.  The trachea is uniform in diameter.  No perihilar pulmonary infiltrates are seen.  The pulmonary vasculature is normal in size.  The mediastinal and pleural structures are normal.  Cranial abdominal detail is adequate.</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</si>
  <si>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3.MODERATE to SEVERE BRONCHOINTERSTITIAL PULMONARY PATTERN; DYNAMIC AIRWAY COLLAPSE and/or BRONCHIECTASIS; ALVEOLAR INFILTRATE or ATELECTASIS._x000D_
4.Based on these AI airway/pulmonary findings, the probability of this patient having clinically detectable repsiratory signs is VERY HIGH (&gt;75%)_x000D_
5.Are respiratory signs present? If YES._x000D_
6.AI link to canine airway collapse treatment article: https://platform.v2.vetology.net/doc/canine-tracheal-collapse-treatment_x000D_
7.Are respiratory signs present? If NO.</t>
  </si>
  <si>
    <t>Orthogonal views of the thorax are provided:_x000D_
_x000D_
Thorax:_x000D_
_x000D_
Mild esophageal gas distension._x000D_
Cardiac silhouette has a normal shape and size._x000D_
Pulmonary vessels are within normal limits of size and shape._x000D_
Pulmonary parenchyma shows an alveolar pulmonary pattern with air bronchograms ventrally located on both cranial lung lobes and in the right middle lung lobe. No evidence of pulmonary nodules/masses._x000D_
Pleural space, mediastinum, diaphragm and thoracic wall within normal limits.</t>
  </si>
  <si>
    <t>1) Alveolar pulmonary pattern with air bronchograms on both cranial lung lobes and on the right middle lung lobe consistent with aspiration pneumonia._x000D_
2) Mild esophageal gas distension: aerophagia vs regurgitation vs esophagitis.</t>
  </si>
  <si>
    <t xml:space="preserve">
1.A severe alveolar pattern and mild perihilar pattern have been detected._x000D_
2.The evaluation has a strong suspicion of pulmonary nodules or mass lesion being present._x000D_
3.Pleural fissure lines or small volume pleural effusion has been detected. In a mildly overweight animal, excessive pericardial fat can artifactually mimic the result of minimal pleural effusion._x000D_
4.The cardiac silhouette size is normal._x000D_
5.There is no evidence of DYNAMIC AIRWAY COLLAPSE or BRONCHIECTASIS.</t>
  </si>
  <si>
    <t>Three radiographs of the thorax are provided. The cardiac silhouette and pulmonary vessels are normal size and shape. There are no abnormalities in the pulmonary parenchyma. No pleural effusion. The plane of the esophagus is normal. Adequate tracheal diameter. In the cranial abdomen there is small to moderate volume of amorphous soft tissue density in the stomach, slightly less than was present in the stomach on the August 8, 2024 study.</t>
  </si>
  <si>
    <t>Normal thorax. Gastric contents appears to be normal ingesta. Foreign material is not ruled out and would be likely if the patient has been completely anorexic/strictly fasted since the previous study.</t>
  </si>
  <si>
    <t>If the patient has been completely anorexic/fasted since the previous images, retrieval of gastric contents via either inducing vomiting or gastroscopy would be recommended. If the patient has been fed since the previous study, current gastric contents will likely interfere with ultrasound evaluation of the stomach, and a positive contrast gastrogram (liquid barium, no food admixed) may provide more information regarding presence of gastric foreign material.</t>
  </si>
  <si>
    <t>Three radiographs of the thorax, and three views of the abdomen are provided. The heart is a normal size and shape. Pulmonary vessels are normal size. There are mild age-related changes in the lungs. Mild narrowed caudal cervical trachea. No pleural effusion._x000D_
_x000D_
In the abdomen the liver is mildly enlarged with smooth margins. The kidneys and spleen are normal size. There is no effusion. Formed feces in the descending colon. The stomach and small bowel are minimally distended. There are no radiopaque cystoliths. Osseous structures are unremarkable.</t>
  </si>
  <si>
    <t>1. Probable dynamic cervical tracheal collapse. No intrathoracic abnormalities._x000D_
2. Mild hepatomegaly, a nonspecific finding and may be steroid or other hepatopathy, acute inflammation, or least likely neoplasia. This should be correlated with history and blood work. Otherwise normal abdomen.</t>
  </si>
  <si>
    <t xml:space="preserve">
1.Minimal cardiomegaly has been detected but Heart Failure is NOT suspected._x000D_
2.There is no evidence of INTERSTITIAL PATTERN, BRONCHITIS, PERIHILAR INFILTRATE, PULMONARY NODULES or PLEURAL EFFUSION.</t>
  </si>
  <si>
    <t>19 images of the spine are provided for review.  No fractures, luxations, or aggressive osseous lesions are seen.  Osteophytes present in the caudal aspects of humeral heads and mildly on the femoral necks.  No mineralized intervertebral discs or cystically narrowed intervertebral disc spaces are seen.  The soft tissue structures included are normal.</t>
  </si>
  <si>
    <t>Mild bilateral coxofemoral DJD.  Moderate bilateral shoulder DJD.  Radiographically normal spine.  This does not rule out intervertebral disc herniation or other causes of spinal cord compression.</t>
  </si>
  <si>
    <t xml:space="preserve">
1.A severe alveolar pattern has been detected._x000D_
2.The cardiac silhouette size is normal._x000D_
3.There is no evidence of PERIHILAR INFILTRATE, DYNAMIC AIRWAY COLLAPSE or BRONCHIECTASIS or PULMONARY NODULES._x000D_
4.Pleural fissure lines or moderate pleural effusion has been detected. An overlying skin fold or in a moderately overweight animal, excessive pericardial fat could artifactually mimic the result of moderate pleural effusion.</t>
  </si>
  <si>
    <t>1) Unremarkable lungs do not exclude a canine infectious respiratory disease complex or a parasitic bronchitis.</t>
  </si>
  <si>
    <t>Consider empirical treatment for canine infectious respiratory disease complex and deworming evaluating response to treatment.</t>
  </si>
  <si>
    <t>Orthogonal views of the thorax and abdomen are provided:_x000D_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contain a well defined mildly curved mineral foreign body in the jejunum of the left hemiabdomen caudoventral to the spleen. Rest o the small intestines are mildly gas and fluid filled, not overtly distended. _x000D_
Serosal detail is preserved._x000D_
Liver and spleen are within normal limits of size and smoothly marginated._x000D_
Kidneys and urinary bladder WNL._x000D_
_x000D_
Unremarkable pelvis.</t>
  </si>
  <si>
    <t>1) Unremarkable thorax_x000D_
2) Jejunal foreign body without signs of mechanical ileus.</t>
  </si>
  <si>
    <t>Consider CBC and abdominal US to further evaluate this foreign body and the relationship with the clinical presentation (hyporexia and lethargy).</t>
  </si>
  <si>
    <t xml:space="preserve">
1.A moderate alveolar pattern has been detected._x000D_
2.There is no evidence of PERIHILAR INFILTRATE or DYNAMIC AIRWAY COLLAPSE or BRONCHIECTASIS._x000D_
3.The cardiac silhouette size is normal.</t>
  </si>
  <si>
    <t>Orthogonal views of the thorax are provided:_x000D_
_x000D_
Thorax:_x000D_
_x000D_
Cardiac silhouette has a normal shape and size._x000D_
Pulmonary vessels are within normal limits of size and shape._x000D_
Pulmonary parenchyma shows indistinct opacities some of them superimposed with the cardiac silhouette in the LL view._x000D_
Pleural space, mediastinum, diaphragm and thoracic wall within normal limits._x000D_
_x000D_
Large cranioventral abdominal wall irregular mass and thickened SC tissues caudal to it. Visible abdomen is unremarkable (incomplete exam without a VD view).</t>
  </si>
  <si>
    <t>1) Rule out indisctint pulmonary metastases._x000D_
2) Rule out mammary mass and inflammatory/neoplastic change sin the rest of the mammary tissue.</t>
  </si>
  <si>
    <t>Consider abdominal US to rule out abdominal metastases with FNAs from the visible mass and thickened caudal SC tissues along with a CT of the thorax to completely rule in/out pulmonary metastases.</t>
  </si>
  <si>
    <t xml:space="preserve">
1.In the PRESENCE of respiratory signs, low grade active pneumonitis (allergic, bacterial, parasitic (including heartworm disease), inhaled allergen or toxin) or upper airway disease causing pulmonary hypoinflation and/or recurrent microaspiration may be more likely._x000D_
2.The cardiac silhouette size is normal._x000D_
3.In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4.Are respiratory signs present? If YES._x000D_
5.Are respiratory signs present? If NO._x000D_
6.MINIMAL to MILD BRONCHOINTERSTITIAL PULMONARY PATTERN; POTENTIAL FOR FOCAL ATELECTASIS._x000D_
7.MILD BRONCHOINTERSTITIAL PULMONARY PATTERN; MINIMAL to MILD PERIHILAR PATTERN._x000D_
8.Based on the AI airway/pulmonary findings, the probability of this patient having clinically detectable respiratory signs is LOW (25%)_x000D_
9.Based on these AI airway/pulmonary findings, the probability of this patient having clinically detectable respiratory signs is LOW (25%)</t>
  </si>
  <si>
    <t xml:space="preserve">Patient Name : Jackson May, Date of study: Aug 8, 2024
3 images are provided for review
Canine Thorax (3 Images) - 2 Lateral, 1 Vd
Prior images dated November 11, 2021 are available.  
Pulmonary parenchyma: A minimal to mild diffuse bronchial pattern is present.
Pulmonary vasculature: The pulmonary vasculature is subjectively normal in size and tapers in the periphery of the lungs.
Cardiac silhouette: The cardiac silhouette is normal in size and shape.
Mediastinum: Rounded soft tissue over the middle mediastinum/peri-hilar region in the lateral images is not corroborated in the ventrodorsal image.  The cranial mediastinum is normal.
Trachea: The trachea is normal.
Esophagus: The esophagus is not well-identified.
Pleural space: The pleural space is normal.
Musculoskeletal: The included musculoskeletal structures are normal.
Abdomen:  Ovoid mineral superimposes over the right cranial liver.  
</t>
  </si>
  <si>
    <t xml:space="preserve">1. Minimal-mild diffuse bronchial pulmonary pattern.
- Differential diagnoses include fibrosis from prior disease, age-related changes, or less likely infectious/immune-mediated lower airway disease or unlikely other.
2. Presumed superimposed normal structures/obliquity versus evolving tracheobronchial lymphadenomegaly or mass.
- If present, consider lymphadenomegaly from underlying granulomatous/fungal infectious disease or evolving metastatic/multicentric neoplasia.
- This is not in a similar position or and is less severe than middle mediastinal findings in the prior examination.
3. Suspected gallbladder mineral in the right cranial abdomen.  </t>
  </si>
  <si>
    <t>Consider routine blood work and computed tomography of the thorax given reported history and clinical signs.  Sedated laryngeal examination and esophagoscopy may be contributory depending on results of advanced imaging.  Consider respiratory PCR panel, airway sampling, and fecal analysis/deworming for further evaluation.  Empirical therapy and supportive care in the interim as needed for coughing.  Monitoring as directed or sooner if clinical signs acutely change, fail to improve or worsen.</t>
  </si>
  <si>
    <t xml:space="preserve">Patient Name : Butters Lund, Date of study: Aug 8, 2024
3 images are provided for review
Canine Thorax (3 Images) - 2 Lateral, 1 Vd
There are no previous radiographs for comparison.
Pulmonary parenchyma: A mild to moderate diffuse bronchial and mild diffuse interstitial pulmonary pattern are present.  
Pulmonary vasculature: The pulmonary vasculature is subjectively normal in size and tapers in the periphery of the lungs.
Cardiac silhouette: The cardiac silhouette is mildly wide and occupies the width of 3.5-4 intercostal spaces.  The cardiac silhouette is prominent in the region of the main pulmonary artey in the right lateral and ventrodorsal images.  
Mediastinum: The cranial mediastinum is normal.
Trachea: The trachea is normal.
Esophagus: The esophagus is not well-identified.
Pleural space: The pleural space is normal.
Musculoskeletal: t13-L1 ands L1-2 spondylosis deformans is present.  The remaining included musculoskeletal structures are normal.
</t>
  </si>
  <si>
    <t>1. Mild-moderate diffuse bronchial and mild interstitial pulmonary patterns.
- Differential diagnoses include infectious/immune-mediated lower airway disease such as from bordetella spp., mycoplasma spp., parasitism, or inhaled allergen/irritant, fibrosis from prior disease such as from reported heartworm disease and pulmonary thromboembolic disease, or age-related changes. or unlikely other.
2. Mild right-sided cardiomegaly and main pulmonary artery enlargement is most likely due to pulmonary hypertension/cor pulmonale as a result of reported heartworm disease, or less likely other.</t>
  </si>
  <si>
    <t>Consider echocardiography, eCG, blood pressure, respiratory PCR panel, airway sampling, and fecal analysis/deworming for further evaluation.  Empirical therapy and supportive care in the interim as needed for coughing.  Monitoring as directed or sooner if clinical signs acutely change, fail to improve or worsen.</t>
  </si>
  <si>
    <t>Orthogonal views of the thorax and abdomen are provided:_x000D_
_x000D_
Thorax:_x000D_
_x000D_
Cardiac silhouette shows a mild enlargement of the left atrium dorsally displacing the carina._x000D_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and urinary bladder WNL._x000D_
_x000D_
Visible spine is unremarkable without signs of disc herniation, aggressive bone lesions, vertebral fractures or subluxations._x000D_
Bilateral abnormal medial bowiong of both tibiae with the calcaneus bones places laterally in the VD view of the pelvis with mild bilateral MPL.</t>
  </si>
  <si>
    <t>1) Left atrial enlargement secondary to chronic mitral endocardiosis without signs of CHF._x000D_
2) Unremarkable abdomen._x000D_
3) Mild bilateral MPL due to marked medial bowing o the tibiae with external rotation of the tarsi.</t>
  </si>
  <si>
    <t>Consider a cardiology consultation with ECG and echocardiogram with abdominal US._x000D_
Consider a neuro exam with MRI if necessary: if negative, consider an orthopedic exam under sedation.</t>
  </si>
  <si>
    <t>Study:_x000D_
Thoracic/abdominal radiography: four images dated August 8,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a small volume of gas with the pylorus probably gas-filled on the left lateral image. The small intestines are normal in size, course and content. The colon is gas and fluid-filled. The liver and spleen are normal in size and margin. The kidneys are normal in size and contour. The urinary bladder is normal in size and opacity. The L1 vertebra is transitional with bilateral hypoplastic ribs. There is mild L3-L4 spondylosis deformans.</t>
  </si>
  <si>
    <t>1. The fluid in the colon is suggestive of incipient diarrhea. The abdomen is otherwise unremarkable. There is no radiographic evidence of gastrointestinal foreign material or small intestinal mechanical obstruction. Abdominal sonography can be considered for further evaluation if clinical signs persist or worsen in spite of medical management._x000D_
2. Normal thorax.</t>
  </si>
  <si>
    <t>Thorax: There is no evidence of pneumonia.  The pulmonary parenchyma is unremarkable.  There is mild left-sided cardiomegaly.  There is no evidence of cardiogenic pulmonary edema or pleural effusion.  The pulmonary vasculature is unremarkable.  There is no evidence of lymphadenopathy.  On the visible portions of the abdomen there are no abnormalities identified.</t>
  </si>
  <si>
    <t>Mild left-sided cardiomegaly without evidence of decompensation.</t>
  </si>
  <si>
    <t xml:space="preserve">
1.MILD BRONCHOINTERSTITIAL PATTERN; MILD PERIHILAR INFILTRATE._x000D_
2.Based on the AI airway/pulmonary findings, the probability of this patient having clinically detectable respiratory signs is LOW to MEDIUM (25%-50%)_x000D_
3.Are respiratory signs present? If YES._x000D_
4.Are respiratory signs present? If NO._x000D_
5.There is no evidence of PLEURAL EFFUSION._x000D_
6.Mild cardiomegaly has been detected but Heart Failure is NOT suspected.</t>
  </si>
  <si>
    <t>Opposite lateral and VD views of the thorax and abdomen are provided for interpretation._x000D_
_x000D_
The cardiovascular structures are within normal limits. No pulmonary infiltrates or pleural effusion are identified. No tracheal or esophageal abnormalities are seen._x000D_
_x000D_
There is persistent mild gas dilation of the duodenum in all three of the abdomen views. No foreign bodies are identified in the GI tract. The stomach is not dilated, and the rest of the intestinal tract is unremarkable. There is subtle mottled opacity in the cranial abdomen just caudal to the stomach=ZZ90= this is presumed to represent fecal material in the transverse colon, although radiolucent foreign material in the intestine cannot be entirely excluded. No obstructive pattern is seen. Serosal detail in the abdomen is normal. The other organs are within normal limits.</t>
  </si>
  <si>
    <t>No foreign bodies or obstructive pattern are identified. There is mild gas dilation of the duodenum which is persistent. There is still potential that this could be due to obstruction at the distal duodenum with radiolucent for material, but this is speculative. Inflammation with secondary physiologic ileus could cause a similar appearance._x000D_
_x000D_
No thoracic abnormalities are identified.</t>
  </si>
  <si>
    <t>No definitive explanation for the vomiting is seen in the radiographs. Symptomatic therapy and supportive care for gastroenteritis/pancreatitis is recommended._x000D_
Follow up imaging such as a barium upper GI study or ultrasound of the abdomen could be considered if clinical signs are not improving with medical management over the next 48 hours.</t>
  </si>
  <si>
    <t xml:space="preserve">Patient Name : Bella Bean Torres-Cleveland, Date of study: Aug 8, 2024
3 images are provided for review
Canine Thorax (3 Images) - 2 Lateral, 1 Vd
There are no previous radiographs for comparison.
Pulmonary parenchyma:The caudal subsegment of the left cranial lung lobe is small with moderate alveolar soft tissue.  A mild diffuse interstitial and bronchial pulmonary pattern are present. The lungs are all mild to moderately small due to pleural space changes.  
Pulmonary vasculature: The pulmonary vasculature is subjectively normal in size and tapers in the periphery of the lungs.
Cardiac silhouette: The cardiac silhouette is tall in the lateral images with dorsal tracheal displacement.  The cardiac silhouette is mildly generally enlarged and rounded in the ventrodorsal image.  
Mediastinum: The cranial mediastinum is symmetrically widened in the ventrodorsal image.
Trachea: The trachea is normal.
Esophagus: The esophagus is not well-identified.
Pleural space: Moderate to severe pleural fluid is present with widening of all pleural fissures, and diffuse retraction of lung lobe margins from the thoracic body wall and diaphragmatic recesses.  
Musculoskeletal: T4-5 spondylosis deformans is present.  The remaining included musculoskeletal structures are normal.
</t>
  </si>
  <si>
    <t>1. Moderate-severe pleural fluid such as from atypical right-sided congestive heart failure, idiopathic pleural effusion, malignant effusion, or chylous effusion or unlikely other.  
2. Mild-moderate generalized cardiomegaly.
- Differential diagnoses include pulmonary hypertension/cor pulmonale and/or tricuspid/mitral valvular disease, or unlikely other.  
- This is unlikely from heartworm disease, especially given repoted history.
3. Left cranial lung lobe alveolar pattern due to atelectasis with/without bronchopneumonia/aspiration pneumonia, or unlikely other such as neoplasia or other.
4. Mild diffuse interstitial and bronchial pulmonary patterns due to pleural space changes/atelectasis with/without fibrosis from prior disease,age-related changes, or unlikely infectious/inflammatory lower airway disease (bronchitis), or other.</t>
  </si>
  <si>
    <t>Consider thoracocentesis with fluid analysis/cytology and repeat thoracic radiographs versus computed tomography of the thorax for further evaluation.  Routine bloodwork, abdominal imaging, echocardiography, ECG and blood pressure for further evaluation.   Empirical therapy and supportive care in the interim as needed.  Monitoring as directed or sooner if clinical signs acutely change, fail to improve or worsen.</t>
  </si>
  <si>
    <t xml:space="preserve">
1.Are respiratory signs present? If YES._x000D_
2.Are respiratory signs present? If NO._x000D_
3.PULMONARY NODULES or NODULAR PATTERN; MODERATE TO SEVERE INTERSTITIAL TO ALVEOLAR PATTERN; PLEURAL EFFUSION; BRONCHITIS; PERIHILAR INFILTRATE._x000D_
4.Based on the AI airway/pulmonary findings, the probability of this patient having clinically detectable respiratory signs is VERY HIGH (&gt;75%)_x000D_
5.The evaluation has a strong suspicion of soft tissue pulmonary nodules or mass lesion being present._x000D_
6.Severe cardiomegaly has been detected but Heart Failure is NOT suspected.</t>
  </si>
  <si>
    <t>Given the lack of cardiomegaly but audible murmur and the breed, consider a cardiology consultation with ECG and echocardiogram.</t>
  </si>
  <si>
    <t xml:space="preserve">
1.MILD BROCHIAL/BRONCHOINTERSTITIAL PULMONARY PATTERN._x000D_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DYNAMIC AIRWAY COLLAPSE or BRONCHIECTASIS, PULMONARY NODULES or PLEURAL EFFUSION.</t>
  </si>
  <si>
    <t>Two orthogonal thoracic radiographs dated 8th August 2024 are available for review. There are no previous radiographs available for comparison. The radiographs are underexposed, limiting interpretation._x000D_
_x000D_
Airway findings: The cervical and thoracic trachea have a normal size, outline and position. The carina, tracheal bifurcation and mainstem bronchi are normal. Throughout the lung parenchyma there is a homogenous interstitial opacification consistent with body habitus and hypoinflation, and underexposure. In the right caudal dorsal lung field, a faint spherical soft tissue opacity filled by gas consistent with a bulla is visible. Surrounding more intense interstitial to alveolar opacification is present._x000D_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No significant abnormalities are detected._x000D_
_x000D_
Musculoskeletal findings: The patient is obese. There is intervertebral disc narrowing at C7-T1 with ventral spondylosis deformans._x000D_
_x000D_
Included abdomen: No significant abnormalities are detected.</t>
  </si>
  <si>
    <t>1. Left atrial dilation. This is most likely due to mixoid degeneration of the mitral valve. There is no evidence for cardiac insufficiency. _x000D_
2. Bulla formation with pulmonary opacification is indicative of chronic bronchitis of viral-bacterial, parasitic or less likely fungal origin. An abscess with central gas formation, or neoplasia with central necrosis is considered unlikely._x000D_
3. Intervertebral disc disease with ventral spondylosis. Likely incidental.</t>
  </si>
  <si>
    <t>Consider repeat fully inspired well exposed radiographs. Respiratory workup including CBC, serum chemistry, urinalysis, Baermann faecal testing, 4DX, +/- respiratory panel or fungal testing as indicated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 _x000D_
Radiography is insensitive for early cardiac insufficiency, therefore ECG, blood pressure measurements, and echocardiography may be considered for further evaluation, or baseline measurements.</t>
  </si>
  <si>
    <t xml:space="preserve">
1.Are respiratory signs present? If NO._x000D_
2.Are respiratory signs present? If NO._x000D_
3.Are respiratory signs present? If NO._x000D_
4.The cardiac silhouette size is normal._x000D_
5.MINIMAL to MILD BRONCHOINTERSTITIAL PULMONARY PATTERN; MILD DYNAMIC AIRWAY DISEASE; FOCAL ATELECTASIS, or less likely, ALVEOLAR INFILTRATE._x000D_
6.MINIMAL to MILD BRONCHOINTERSTITIAL PULMONARY PATTERN; MILD DYNAMIC AIRWAY DISEASE; MILD PERIHILAR INFILTRATE._x000D_
7.MILD DYNAMIC AIRWAY DISEASE; MINIMAL INTERSTITIAL TO ALVEOLAR PATTERN; MILD PERIHILAR INFILTRATE._x000D_
8.MILD BRONCHOINTERSTITIAL PATTERN; MILD PERIHILAR INFILTRATE._x000D_
9.Based on these AI airway/pulmonary findings, the probability of this patient having clinically detectable respiratory signs is LOW to MEDIUM (25-50%)_x000D_
10.Based on the AI airway/pulmonary findings, the probability of this patient having clinically detectable respiratory signs is LOW to MEDIUM (25%-50%)_x000D_
11.Based on the AI airway/pulmonary findings, the probability of this patient having clinically detectable respiratory signs is LOW to MEDIUM (25-50%)_x000D_
12.Based on these AI airway/pulmonary findings, the probability of this patient having clinically detectable resspiratory signs is LOW (25%)_x000D_
13.Are respiratory signs present? If YES._x000D_
14.Are respiratory signs present? If YES._x000D_
15.Are respiratory signs present? If YES._x000D_
16.Are respiratory signs present? If YES._x000D_
17.Are respiratory signs present? If NO.</t>
  </si>
  <si>
    <t>Orthogonal views of the thorax and abdomen are provided (rotated radiographs):_x000D_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and urinary bladder WNL._x000D_
_x000D_
Visible spine shows L4-L5 IVDS moderately narrow. No signs of disc aggressive bone lesions, vertebral fractures or subluxations.</t>
  </si>
  <si>
    <t>1) Unremarkable thorax and abdomen._x000D_
2) L4-L5: Rule out old change vs current change due to acute disc herniation.</t>
  </si>
  <si>
    <t xml:space="preserve">
1.MILD BRONCHOINTERSTITIAL PULMONARY PATTERN._x000D_
2.Based on these AI airway/pulmonary findings, the probability of this patient having clinically detectable respiratory signs are LOW (25%)_x000D_
3.Are respiratory signs present? If YES._x000D_
4.Are respiratory signs present? If NO._x000D_
5.The cardiac silhouette size is normal._x000D_
6.There is no evidence of DYNAMIC AIRWAY COLLAPSE or BRONCHIECTASIS or PLEURAL EFFUSION.</t>
  </si>
  <si>
    <t>Orthogonal views of the thorax are provided:_x000D_
_x000D_
Thorax:_x000D_
_x000D_
Cardiac silhouette has a normal shape and size._x000D_
Pulmonary vessels are within normal limits of size and shape._x000D_
Pulmonary parenchyma shows an alveolar pulmonary pattern with air bronchograms ventrally located on both cranial lung lobes more marked in the right cranial lung lobe. No evidence of pulmonary nodules/masses._x000D_
Pleural space, mediastinum, diaphragm and thoracic wall within normal limits.</t>
  </si>
  <si>
    <t>1) Alveolar pulmonary pattern with air bronchograms ventrally located on both cranial lung lobes more marked in the right cranial lung lobe consistent with aspiration pneumonia.</t>
  </si>
  <si>
    <t>Orthogonal radiographs of the thorax and of the right manus are provided. The cardiac silhouette and pulmonary vessels are normal size and shape. There are no abnormalities in the pulmonary parenchyma. No pleural effusion. Normal cranial mediastinal width. Tracheal diameter is adequate._x000D_
_x000D_
In the right thoracic limb, there is moderate soft tissue swelling in the 3rd digit. On the lateral view there is a well delineated 0.7 cm fragment of the flexor tuberosity of the 3rd digit that is approximately 0.2 cm displaced in the palmar direction. This fragment has relatively distinct margins and is equivocally mildly increased in opacity. This fragment is only faintly visible on the dorsopalmar projection. Linear lucency overlying the 1st phalanx of this digit is a mach line artifact. There is mild degenerative change in the 3rd and 4th metacarpophalangeal joints, incidental.</t>
  </si>
  <si>
    <t>1. Osseous fragment separated from the 3rd phalanx of the right 3rd digit, with possible increased opacity of the fragment. This may be due to previous trauma and fracture, with subsequent sequestrum formation. Neoplasia or paronychia resulting in the small fracture fragment is not ruled out._x000D_
2. Normal thorax.</t>
  </si>
  <si>
    <t>Options include either histopathology of the digit, or more conservative treatment with systemic antibiotics. Lack of resolution with antibiotics would support a diagnosis of neoplasia.</t>
  </si>
  <si>
    <t xml:space="preserve">
1.Based on the AI airway/pulmonary findings, the probability of this patient having clinically detectable respiratory signs is LOW to MEDIUM (25%-50%)_x000D_
2.Are respiratory signs present? If YES._x000D_
3.Are respiratory signs present? If NO_x000D_
4.The cardiac silhouette size is normal._x000D_
5.MINIMAL to MILD INTERSTITIAL TO ALVEOLAR INFILTRATE; MILD BRONCHIAL PATTERN; MINIMAL PERIHILAR INFILTRATE.</t>
  </si>
  <si>
    <t>Study:_x000D_
Thoracic radiography: three images dated August 8, 2024_x000D_
_x000D_
Findings:_x000D_
The cardiac silhouette is normal in size and shape. The pulmonary vasculature is normal in size. The lungs are hypoinflated on the right lateral view leading to the increased opacity of the pulmonary parenchyma on this image relative to the left lateral and orthogonal views. The previously noted bronchointerstitial pulmonary pattern is improved and only mild in the present examination. The right middle lung lobe nodule is unchanged in size. The pleural space is normal. There is no intrathoracic lymphadenopathy. The trachea is normal in diameter. There is a small volume of gas in the esophagus. The included abdomen is unremarkable. There is mild bilateral elbow periarticular bone formation.</t>
  </si>
  <si>
    <t>1. Improvement of the bronchointerstitial pulmonary pattern from the prior examination may indicate response antibiotic therapy. It is also possible that the severity of the changes in the prior examination are overestimated by lung hypoinflation/patient expiration in the previous images. The persistent mild bronchointerstitial pulmonary pattern is nonspecific and could represent benign age-related change or allergic, inflammatory, and inhaled irritant or parasitic bronchitis._x000D_
2. Static right middle lung lobe nodule. This could represent a granuloma, primary pulmonary neoplasia or metastatic neoplasia._x000D_
3. Mild bilateral elbow osteoarthrosis.</t>
  </si>
  <si>
    <t>Given that the patient has responded clinically from the prior examination, continued antibiotic therapy with another set of radiographs in 10 to 14 days can be considered. Ideally, airway sampling plus/minus heartworm testing and Baermann fecal flotation can be considered to further evaluate for lower airway disease. The pulmonary nodule should be monitored on subsequent examinations.</t>
  </si>
  <si>
    <t xml:space="preserve">
1.MINIMAL to MILD BRONCHOINTERSTITIAL PULMONARY PATTERN; MILD DYNAMIC AIRWAY DISEASE; MILD PERIHILAR INFILTRATE._x000D_
2.Based on these AI airway/pulmonary findings, the probability of this patient having clinically detectable respiratory signs is LOW to MEDIUM (25-50%)_x000D_
3.Are respiratory signs present? If YES._x000D_
4.Are respiratory signs present? If NO._x000D_
5.Minimal cardiomegaly has been detected but Heart Failure is NOT suspected._x000D_
6.There is no evidence of PLEURAL EFFUSION.</t>
  </si>
  <si>
    <t>Two orthogonal thoracic radiographs dated 8th August 2024 are available for review. There are no previous radiographs available for comparison. _x000D_
_x000D_
Airway findings: The cervical and thoracic trachea have a normal size, outline and position. The carina, tracheal bifurcation and mainstem bronchi are normal. There is a moderate caudal dorsal bronchointerstitial opacification.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increased mediastinal fat._x000D_
_x000D_
Musculoskeletal findings: The patient is obese._x000D_
_x000D_
Included abdomen: There is mild hepatomegaly with smooth borders.</t>
  </si>
  <si>
    <t>1. Caudal dorsal bronchointerstitial pattern: Part of the opacification can be attributed to normal ageing/fibrosis from previous disease. Allergic bronchitis, chronic bacterial /viral bronchitis +/- parasitic bronchitis should also be considered. Less likely are hyperardenocorticism, neoplasia (such a lymphoma) or idiopathic pulmonary fibrosis. Heart worm is possible._x000D_
2. The hepatomegaly is most likely due to vacuolar hepatopathy, or underlying endocrine disease.</t>
  </si>
  <si>
    <t>Correlate with palpation testing for upper respiratory disease. Considering poor response to empiric management, respiratory workup including CBC, serum chemistry, urinalysis, Baermann faecal testing, 4DX, +/- respiratory panel as advised, as well as airway sampling.</t>
  </si>
  <si>
    <t xml:space="preserve">
1.MODERATE to SEVERE BRONCHOINTERSTITIAL PULMONARY PATTERN; DYNAMIC AIRWAY COLLAPSE and/or BRONCHIECTASIS; ALVEOLAR INFILTRATE or ATELECTASIS._x000D_
2.Based on these AI airway/pulmonary findings, the probability of this patient having clinically detectable repsiratory signs is VERY HIGH (&gt;75%)_x000D_
3.Are respiratory signs present? If YES._x000D_
4.AI link to canine airway collapse treatment article: https://platform.v2.vetology.net/doc/canine-tracheal-collapse-treatment_x000D_
5.Pleural fissure lines or small volume pleural effusion has been detected. In a mildly overweight animal, excessive pericardial fat can artifactually mimic the result of minimal pleural effusion._x000D_
6.Moderate cardiomegaly has been detected but Heart Failure is NOT suspected.</t>
  </si>
  <si>
    <t>Study:_x000D_
Thoracic and abdominal radiography: six images dated August 8, 2024_x000D_
_x000D_
Findings:_x000D_
The cardiac silhouette and pulmonary vasculature are normal in size. Multiple punctate mineral foci consistent with incidental pulmonary osteomas are scattered throughout the pulmonary parenchyma. The pulmonary parenchyma is otherwise unremarkable. The pleural space is normal. There is no intrathoracic lymphadenopathy. There is a large soft tissue opaque mass effect in the retropharyngeal region causing ventral displacement of the larynx and proximal trachea. There is also severe soft tissue swelling in the submandibular region likely secondary to the reported mandibular lymphadenopathy. The trachea is normal in diameter and course. The abdominal serosal detail is normal. The stomach contains a small volume of gas with the pylorus appropriately gas-filled on the left lateral image.. The small intestines are normal in size, course and content. The colon contains a small volume of gas. The liver extends mildly beyond the costal arch with smooth and sharp margins. The spleen is moderately enlarged with smooth margins. The renal silhouettes are normal in size and contour. The urinary bladder is normal in size and opacity. There is variable mild to severe multifocal cervical, thoracolumbar and lumbosacral spondylosis deformans. There is narrowing of the C5-C6, L3-L4, L4-L5 and L5-L6 intervertebral disc spaces There is moderate bilateral remodeling/thickening of the femoral head and neck.</t>
  </si>
  <si>
    <t>1. Submandibular swelling. As stated above, this finding is likely secondary to the reported mandibular lymphadenopathy. Rule out round cell neoplasia (prioritized) versus reactivity. Fine needle aspiration and cytology is recommended._x000D_
2. The retropharyngeal soft tissue opaque mass effect likely indicates the retropharyngeal lymphadenopathy. Given the concurrent mandibular lymphadenopathy and reported left superficial cervical lymphadenopathy, multicentric round cell neoplasia is prioritized._x000D_
3. Incidental pulmonary osseous metaplasia=ZZ90= otherwise, unremarkable thorax. There is no radiographic evidence of cardiopulmonary disease or intrathoracic neoplasia._x000D_
4. The mild hepatomegaly is nonspecific. Rule out multicentric round cell neoplasia, metabolic/vacuolar hepatopathy, hepatitis or hyperplasia. Sonography should be considered for further evaluation._x000D_
5. Similarly, the splenomegaly is also nonspecific. Rule out multicentric round cell neoplasia, extramedullary hematopoiesis, lymphoid hyperplasia, splenitis or congestion. Sonography should be considered for further evaluation._x000D_
6. Multifocal intervertebral disc disease._x000D_
7. Moderate bilateral coxofemoral osteoarthrosis.</t>
  </si>
  <si>
    <t xml:space="preserve">
1.MINIMAL to MILD BRONCHOINTERSTITIAL PULMONARY PATTERN; MINIMAL DYNAMIC AIRWAY DISEASE._x000D_
2.Based on these AI airway/pulmonary findings, the probability of this patient having clinically detectable respiratory signs are LOW (25%)_x000D_
3.Are respiratory signs present? If YES._x000D_
4.Are respiratory signs present? If NO._x000D_
5.The cardiac silhouette size is normal._x000D_
6.There is no evidence of PERIHILAR INFILTRATE or PLEURAL EFFUSION.</t>
  </si>
  <si>
    <t xml:space="preserve">Patient Name : Wally Hefti, Date of study: Aug 8, 2024
7 images are provided for review
There are no previous radiographs for comparison.
Bones/Joints:
The right elbow is normal.  
The right shoulder is normal.
The included right carpus, metacarpus and digits are normal.
The left elbow is normal.  
The left shoulder is normal.  
The included left carpus, metacarpus and digits are normal. 
The cervical spine is normal.  
There is no evidence of medullary sclerosis, osteolysis, endosteal scalloping, or periosteal proliferation.
Soft tissues:  The included soft tissues are normal.
</t>
  </si>
  <si>
    <t>1. Normal right elbow joint.
2. Normal right shoulder joint.
3. Normal left elbow joint.
4. Normal left shoulder joint.
5. Normal cervical and thoracic spine.</t>
  </si>
  <si>
    <t>This examination does not rule out soft tissue strain/sprain injury, such as tot he right supraspinatus/infraspinatus muscles, or less likely the biceps brachii.  Consider ultrasonography versus MRI of the shoulder for further evaluation.  Consider neurologist consultation and MRI of the neck/brachial plexus region if orthopedic/soft tissue injury to the right shoulder is ruled out.  Empirical therapy and supportive care in the interim as needed..  Monitoring as directed or sooner if clinical signs acutely change, fail to improve or worsen.</t>
  </si>
  <si>
    <t>Orthogonal views of the thorax and abdomen are provided:_x000D_
_x000D_
Thorax:_x000D_
_x000D_
No abnormalities seen in the trachea._x000D_
Cardiac silhouette shows a questionable mild enlargement of the left atrium dorsally displacing the carina._x000D_
Pulmonary vessels are within normal limits of size and shape._x000D_
Pulmonary parenchyma is within normal limits. No signs of pneumonia nor signs of pulmonary nodules._x000D_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and urinary bladder WNL._x000D_
The prostate gland is enlarged protruding in the caudal abdomen pushing the bladder cranially .</t>
  </si>
  <si>
    <t>1) Rule out mild left atrial enlargement secondary to chronic mitral endocardiosis without signs of CHF._x000D_
2) Unremarkable lungs do not exclude a bronchitis of allergic vs inflammatory/infectious or parasitic origin._x000D_
3) Prostatomegaly compatible with BPH. Prostatitis less likely. Prostatic neoplasia unlikely.</t>
  </si>
  <si>
    <t>Consider a cardiology consultation with ECG and echocardiogram prior to a laryngeal exam under sedation evaluating the benefit of an empirical treatment for chronic bronchitis evaluating response to treatment._x000D_
Consider abdominal US to further evaluate the urinary tract with renal function test, urinalysis, UPC and urine culture.</t>
  </si>
  <si>
    <t xml:space="preserve">
1.Are respiratory signs present? If NO._x000D_
2.The cardiac silhouette size is normal._x000D_
3.There is no evidence of DYNAMIC AIRWAY COLLAPSE or BRONCHIECTASIS._x000D_
4.MINIMAL INTERSTITIAL PATTERN; MINIMAL PERIHILAR INFILTRATE._x000D_
5.Based on these AI airway/pulmonary findings, the probability of this patient having clinically detectable respiratory signs is LOW (25%)_x000D_
6.Are respiratory signs present? If YES.</t>
  </si>
  <si>
    <t>Study:_x000D_
Thoracic radiography: three images dated August 8, 2024_x000D_
_x000D_
Findings:_x000D_
The cardiac silhouette and pulmonary vasculature are normal in size. The pulmonary parenchyma is unremarkable. The pleural space is normal. There is no intrathoracic lymphadenopathy. The larynx is normal. The trachea is normal in diameter and course. The stomach contains unstructured heterogeneous soft tissue material presumed to be ingesta. No skeletal abnormalities present._x000D_
_x000D_
A human digit is present in the primary beam on the VD view.</t>
  </si>
  <si>
    <t>Normal thorax.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can be considered to further evaluate for possible tracheal collapse as a cause of the reported coughing. Airway sampling plus/minus heartworm testing and Baermann fecal flotation can be considered to further evaluate for non-radiographically evident lower airway disease.</t>
  </si>
  <si>
    <t>Four orthogonal thoracic radiographs dated 8th August 2024 are available for review. There are no previous radiographs available for comparison. _x000D_
_x000D_
Airway findings: The tracheal diameter is small, consistent with breed. Throughout the lung parenchyma there is a mild to moderate bronchointerstitial opacification predominantly caudal dorsally._x000D_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mild cranial oesophageal gas._x000D_
_x000D_
Musculoskeletal findings: Mild mid thoracic congenital vertebral abnormalities are present consistent with breed._x000D_
_x000D_
Included abdomen: No significant abnormalities are detected.</t>
  </si>
  <si>
    <t>The opacification is consistent with likely mixed infectious-inflammatory lower airway disease (kennel cough)._x000D_
Hypoplastic trachea: This may normalise up to the normal level for breed when maturing.</t>
  </si>
  <si>
    <t>Respiratory workup including CBC, serum chemistry, urinalysis, Baermann faecal testing, 4DX, +/- respiratory panel or fungal testing as indicated is advised.  Alternatively, empirical therapy for lower airway disease, empirical deworming, and can be considered. Repeat radiographs prior to end of therapy. Consider radiographic monitoring for resolution of tracheal hypoplasia.</t>
  </si>
  <si>
    <t>Three orthogonal thoracic radiographs and 2 orthogonal cervical radiographs dated 8th August 2024 are available for review. There are no previous radiographs available for comparison. _x000D_
_x000D_
Thorax: _x000D_
Airway findings: No nodules, masses, or lymphadenomegaly is visible. The trachea has a normal position, shape and size. The pulmonary parenchyma is normal. _x000D_
_x000D_
Cardiovascular findings: The cardiac silhouette, and pulmonary vasculature is within normal limits._x000D_
_x000D_
Mediastinum and pleura: There is no evidence of pleural effusion, _x000D_
_x000D_
Included abdomen: No significant abnormalities are detected. _x000D_
_x000D_
Musculoskeletal system: The cervical vertebral body alignment is normal. At the ventral aspect of the C2-C3 intervertebral disc there is smoothly marginated spondylosis. No mineral opaque material is seen within, or dorsal to the intervertebral disc spaces. The intervertebral disc width is within normal limits. The size of the lateral foramina is within normal limits. There is ventral spondylosis at T4-T5.</t>
  </si>
  <si>
    <t>1. Negative metastasis check, normal thorax._x000D_
2. Spondylosis deformans at C2-C3. This should normally not cause the pain reported. Occult intervertebral disease such as intervertebral disk protrusion or other spinal cord pathology including embolic (FCE), high velocity disk, inflammatory or neoplastic disease or degenerative myelopathy is not excluded .</t>
  </si>
  <si>
    <t>Full neurologic examination if not already performed. If no proprioceptive deficits or patients neck pain is mild, consider treating for intervertebral disk disease/arthritis (exercise restriction, NSAIDs with supportive bloodwork, +/- multimodal analgesia). If no response to therapy, patient has proprioceptive deficits or is worsening in general, referral to a neurologist for discussion regarding feasibility of MRI vs. CT of the spine can be considered_x000D_
_x000D_
Computed tomography has a higher resolution capability to detect small pulmonary parenchyma nodules and may be considered.</t>
  </si>
  <si>
    <t xml:space="preserve">
1.Mild cardiomegaly has been detected but Heart Failure is NOT suspected._x000D_
2.There is no evidence of PLEURAL EFFUSION._x000D_
3.MILD BRONCHOINTERSTITIAL PULMONARY PATTERN; MILD PERIHILAR INFILTRATE; MINIMAL DYNAMIC AIRWAY DISEASE; ATELECTASIS or less likely, pneumonia._x000D_
4.Based on the AI airway/pulmonary findings, the probability of this patient having clinically detectable respiratory signs is MEDIUM (50%)_x000D_
5.Are respiratory signs present? If YES._x000D_
6.Are respiratory signs present? If NO.</t>
  </si>
  <si>
    <t>Orthogonal views of the thorax are provided:_x000D_
_x000D_
Thorax:_x000D_
_x000D_
No abnormalities seen in the trachea._x000D_
Cardiac silhouette has a normal shape and size._x000D_
Pulmonary vessels are within normal limits of size and shape._x000D_
Pulmonary parenchyma is within normal limits (end expiratory false interstitial lung pattern). No evidence of pneumonia._x000D_
Pleural space, mediastinum, diaphragm and thoracic wall within normal limits._x000D_
_x000D_
Signs of caudal cervical chronic IVDD.</t>
  </si>
  <si>
    <t>Consider CBC and abdominal US to further evaluate the increased respiratory rate and abdominal effort noted during exam. _x000D_
Given the history of chronic intermittent coughing for years and lack of radiological abnormalities consider a bronchoscopy with BAL, culture, cytology, Baermann test and deworming.</t>
  </si>
  <si>
    <t xml:space="preserve">Patient Name : Harley Weller, Date of study: Aug 8, 2024
3 images are provided for review
Canine Thorax (3 Images) - 2 Lateral, 1 Vd
Prior images dated December 4, 2023 and previous are available.
Pulmonary parenchyma: A mild diffuse bronchial pattern is present.  The carina is slightly narrowed in a dorsoventral dimension in the right lateral image.  
Pulmonary vasculature: The pulmonary vasculature is subjectively normal in size and tapers in the periphery of the lungs.
Cardiac silhouette: The cardiac silhouette is tall and occupies greater than 2/3 the height of the thorax.  The caudodorsal margin of the cardiac silhouette is rounded and enlarged.  Rounded increased soft tissue is present in the region of the left atrium.  The cardiac silhouette is severely generally enlarged with the apex shifted into the right hemithorax.   The cardiac silhouette is widened and occupies the width of 3.5-4 intercostal spaces.  
Mediastinum: The cranial mediastinum is normal.
Trachea: The trachea is normal.
Esophagus: The esophagus is not well-identified.
Pleural space: The pleural space is normal.
Musculoskeletal: L1-2 spondylosis deformans is present. The remaining included musculoskeletal structures are normal.
</t>
  </si>
  <si>
    <t>1. Progressive moderate-severe left and mild right-sided cardiomegaly.
- Differential diagnoses include myxomatous mitral and/or tricuspid valvular disease, or cor pulmonale/pulmonary hypertension, or unlikely other.  
- No current evidence of left-sided congestive heart failure.  
2. Mild diffuse bronchial pulmonary pattern such as from fibrosis from prior disease, age-related changes, and/or infectious/immune-mediated lower airway disease (mycoplasma spp., bordetella spp., parasitism such as lung worms, or less likely other), or unlikely other.
3. Suspected dynamic airway disease with carina narrowing versus artifact from positioning/technique.</t>
  </si>
  <si>
    <t>Consider respiratory PCR panel, fecal analysis/deworming, and empirical therapy for cough in the interim as needed.  Bronchoscopy/tracheoscopy and fluoroscopy may be contributory.  Echocardiography, eCG and blood pressure as well as repeat thoracic radiographs for monitoring as directed, or sooner if clinical signs acutely change, fail to improve or worsen.</t>
  </si>
  <si>
    <t xml:space="preserve">
1.SEVERE ALVEOLAR PATTERN; CONCURRENT MODERATE BRONCHOINTERSTITIAL PATTERN; MILD DYNAMIC AIRWAY DISEASE._x000D_
2.Based on these AI airway/pulmonary findings, the probability of this patient having clinically detectable respiratory signs is HIGH (75%)_x000D_
3.Are respiratory signs present? If YES._x000D_
4.Are respiratory signs present? If NO._x000D_
5.A moderate perihilar infitlrate has been detected._x000D_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</si>
  <si>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Patient Name : Ellie Ward, Date of study: Aug 8, 2024
6 images are provided for review
There are no previous radiographs for comparison.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to large volume of fluid and gas.   Gas is in the pylorus in the left lateral image.  The stomach is within normal limits for size.
The small intestine contains mild fluid or is empty with a subjectively uniform population for size. 
The colon contains moderate to large volume of soft tissue or fluid.  In the left lateral image, the colon wall is spastic.  The colon is within normal limits for size.  
Musculoskeletal: L3-4, L4-5 and L5-6 spondylosis deformans is present.  The remaining included musculoskeletal structures are normal.</t>
  </si>
  <si>
    <t xml:space="preserve">1. Colonic appearance is consistent with reported hematochezia and suspected large bowel diarrhea.
2. Non-specific gastrointestinal tract appearance such as from gastritis, enteritis, colitis, or unlikely individual variation of normal given reported history.
- There is no current evidence of gastrointestinal mechanical ileus.
- Differential diagnoses include dietary indiscretion, toxin ingestion, diet/antibiotic responsive disease, inflammatory bowel disease, pancreatitis, occult systemic disease or unlikely other.
</t>
  </si>
  <si>
    <t>Consider GI panel, fecal analysis/deworming, coagulation testing and abdominal ultrasonography for further evaluation of the colon and gastrointestinal tract.  Continue empirical therapy and supportive care in the interim as needed for suspected hemorrhagic gastroenterocolitis/colitis and hematochezia.  Monitoring as directed or sooner if clinical signs acutely change, fail to improve or worsen.</t>
  </si>
  <si>
    <t>2 views of the thorax are presented for review.  The cardiovascular structures are normal.  There is a diffuse interstitial pulmonary pattern that is considered appropriate for the age of the patient.  No pulmonary nodules are seen.  A rounded soft tissue mass is seen at the tracheal bifurcation, causing ventral and lateral deviation of the primary bronchi.  A separate mass is present at the medial aspect of the right lobar bronchus.  The pleural structures are normal.  Cranial abdominal detail is adequate.</t>
  </si>
  <si>
    <t>Hilar lymphadenopathy.  Consider neoplasia such as lymphoma most likely.  If the patient has visited the Southwestern US (particularly Arizona or similar), coccidioidomycosis could also be considered and titers may be helpful.</t>
  </si>
  <si>
    <t xml:space="preserve">
1.Are respiratory signs present? If NO._x000D_
2.Mild cardiomegaly has been detected but Heart Failure is NOT suspected._x000D_
3.SEVERE ALVEOLAR INFILTRATE; MILD PERIHILAR PATTERN; MORE DIFFUSE MILD BRONCHOINTERSTITIAL PULMONARY PATTERN._x000D_
4.Based on the AI airway/pulmonary findings, the probability of this patient having clinically detectable respiratory signs is VERY HIGH (&gt;75%)_x000D_
5.Are respiratory signs present? If YES._x000D_
6.AI linked canine bacterial pneumonia treatment: https://platform.v2.vetology.net/doc/pneumonia-in-dogs-and-cats</t>
  </si>
  <si>
    <t>Study:_x000D_
Abdominal radiography: three images dated August 8, 2024_x000D_
_x000D_
Findings:_x000D_
The stomach contains a small volume of gas. The small intestines are normal in size, course and content. The colon contains gas and formed fecal material. The liver is normal in size with smooth and sharp margins. There is a mild amount of indistinct granular mineral in the region of the gallbladder. The spleen is normal in size and margin. The renal silhouettes are normal in size and contour. Multiple indistinct mineral foci are present in each kidney. The urinary bladder is normal in size and opacity. No mineral opaque calculi are present in the bladder or region the urethra. The uterus is not visualized. The included thorax is normal. The L1 vertebra is transitional with a hypoplastic rib on the right.</t>
  </si>
  <si>
    <t>1. Bilateral nephrolithiasis and/or nephrocalcinosis. There is no cystolithiasis._x000D_
2. There is no radiographic uterine dilation. This does not exclude the possibility of open pyometra._x000D_
3. Cholelithiasis.</t>
  </si>
  <si>
    <t>Consider urinalysis and urine culture to further evaluate for a possible urinary tract infection. Abdominal sonography can be considered for further evaluation of the uterus.</t>
  </si>
  <si>
    <t>8 images of the thorax and abdomen are provided for review.  The cardiovascular structures are normal.  There is a moderate bronchial pattern in all lung lobes.  The mediastinal and pleural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</si>
  <si>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Radiographically normal abdomen.  Moderate bronchial pulmonary pattern=ZZ90= consider bronchitis, response to inhaled irritants, response to circulating parasites, eosinophilic bronchopneumopathy.</t>
  </si>
  <si>
    <t xml:space="preserve">
1.Pleural fissure lines or moderate pleural effusion has been detected. An overlying skin fold or in a moderately overweight animal, excessive pericardial fat could artifactually mimic the result of moderate pleural effusion._x000D_
2.The cardiac silhouette size is normal._x000D_
3.There is no evidence of DYNAMIC AIRWAY COLLAPSE or BRONCHIECTASIS._x000D_
4.MILD BRONCHOINTERSTITIAL PULMONARY PATTERN; MINIMAL PERIHILAR PATTERN._x000D_
5.Based on the AI airway/pulmonary findings, the probability of this patient having clinically detectable respiratory signs is LOW (25%)_x000D_
6.In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7.In the PRESENCE of respiratory signs, low grade active pneumonitis (allergic, bacterial, parasitic (including heartworm disease), inhaled allergen or toxin) or upper airway disease causing pulmonary hypoinflation and/or recurrent microaspiration may be more likely.</t>
  </si>
  <si>
    <t>Orthogonal views of the thorax are provided:_x000D_
_x000D_
Thorax:_x000D_
_x000D_
Cardiac silhouette has a normal shape and size._x000D_
Pulmonary vessels are within normal limits of size and shape._x000D_
Pulmonary parenchyma show a pulmonary nodule ion the periphery off. the left cuddle lung lobe medial to the 8th left rib. Other smaller nodules are seen superimposed with the cardiac apex in the lateral view._x000D_
Pleural space, mediastinum, diaphragm and thoracic wall within normal limits._x000D_
_x000D_
Liver extends beyond the costal arch</t>
  </si>
  <si>
    <t>1) Multiple pulmonary nodules consistent with pulmonary metastases._x000D_
2) Hepatomegaly: Neoplastic vs Metabolic vs Vacuolar infiltration vs Hepatic nodular hyperplasia vs Inflammatory vs Toxic or a combination of these differentials.</t>
  </si>
  <si>
    <t>Abdominal US to try find a primary neoplasia (ruling out hepatic neoplasm) with CT of the thorax and US guided FNAs from some of the pulmonary nodules along with oncologist consultation.</t>
  </si>
  <si>
    <t>Three radiographs of the thorax, and three views of the abdomen are provided. The cardiac silhouette and pulmonary vessels are normal size and shape. There are no abnormalities in the pulmonary parenchyma. No pleural effusion. Normal cranial mediastinal width.
In the abdomen there is small to moderate volume peritoneal fluid. The liver is normal size. The kidneys are visible on the lateral view and are normal size. The spleen is obscured. The gastrointestinal tract is minimally filled. No radiopaque urolithiasis. Osseous structures are unremarkable.</t>
  </si>
  <si>
    <t>Mild to moderate peritoneal effusion of uncertain etiology. The blood was reportedly hemorrhagic, therefore there is significant concern for neoplasia such as splenic hemangiosarcoma. The thorax is normal.</t>
  </si>
  <si>
    <t>Recommend abdominal ultrasound to rule out presence of additional intra-abdominal lesions which may preclude surgical intervention.</t>
  </si>
  <si>
    <t xml:space="preserve">
1.MODERATE BRONCHOINTERSTITIAL PULMONARY PATTERN; MILD PERIHILAR INFILTRATE; MILD DYNAMIC AIRWAY DISEASE; ATELECTASIS or less likely, pneumonia._x000D_
2.Based on the AI airway/pulmonary findings, the probability of this patient having clinically detectable respiratory signs is MEDIUM to HIGH (50%-75%)_x000D_
3.Are respiratory signs present? If YES._x000D_
4.Are respiratory signs present? If NO._x000D_
5.Mild cardiomegaly has been detected but Heart Failure is NOT suspected.</t>
  </si>
  <si>
    <t>Orthogonal views of the thorax are provided:_x000D_
_x000D_
Thorax:_x000D_
_x000D_
Focal dorsal kinking of the intrathoracic trachea is due to ventroflexion of the chin._x000D_
Cardiac silhouette shows a mild enlargement of the left atrium dorsally displacing the carina._x000D_
Pulmonary vessels are within normal limits of size and shape._x000D_
Pulmonary parenchyma shows an alveolar pulmonary pattern with air bronchograms ventrally located in the right cranial lung lobe. No evidence of pulmonary nodules/masses.Pleural space, mediastinum, diaphragm and thoracic wall within normal limits.</t>
  </si>
  <si>
    <t>1) Left atrial enlargement secondary to chronic mitral endocardiosis without signs of CHF._x000D_
2) Alveolar pulmonary pattern with air bronchograms ventrally located in the right cranial lung lobe consistent with aspiration pneumonia.</t>
  </si>
  <si>
    <t xml:space="preserve">
1.MILD BRONCHIAL PATTERN; MILD PERIHILAR PATTERN._x000D_
2.Based on these AI airway/pulmonary findings, the probability of this patient having clinically detectable respiratorysigns is LOW (25%)_x000D_
3.Are respiratory signs present? If YES._x000D_
4.Are respiratory signs present? If NO._x000D_
5.The cardiac silhouette size is normal._x000D_
6.There is no evidence of ALVEOLAR PATTERN, DYNAMIC AIRWAY COLLAPSE or BRONCHIECTASIS or PULMONARY NODULES.</t>
  </si>
  <si>
    <t>Six radiographs of the thorax and abdomen are provided. The cardiac silhouette is normal size. Fat deposition separates the heart from the sternum on the lateral views. There is increased opacity in the mid and caudal right thorax on the VD projection, with loss of right diaphragm margin visibility. There is increased opacity overlying the heart and caudoventral thorax on the left lateral view, but no definitive air bronchograms. In the abdomen there is small volume peritoneal fluid. There is a small focus of gas overlying the craniodorsal abdomen on the lateral views, possibly seen in the region of the pylorus on the VD projection. The liver is mildly enlarged. The gastric axis is mildly caudally deviated. Normal size kidneys and spleen. The gastrointestinal tract is minimally distended. The urinary bladder is mildly filled and soft tissue opaque.</t>
  </si>
  <si>
    <t>1. Mild peritoneal effusion and scant peritoneal free gas. Gastric or proximal small intestinal perforation, with secondary septic peritonitis is of concern. This could occur due to intraluminal foreign material versus gastrointestinal wall lesion._x000D_
2. Mild hepatomegaly, a nonspecific finding that may be due to acute inflammation, hepatopathy, or neoplasia._x000D_
3. Soft tissue opacity in the caudal right thorax, significantly concerning for neoplasia originating from the lung. Pneumonia is given secondary consideration. A right-sided diaphragmatic hernia, with extension of fat into the thorax is felt to be much less likely.</t>
  </si>
  <si>
    <t>Ideally, the caudal thorax could be evaluated with ultrasound to rule in/out a mass. Since there is free peritoneal gas, immediate surgical intervention is recommended.</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</si>
  <si>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3.A severe perihilar infiltrate has been detected._x000D_
4.A severe alveolar pattern has been detected._x000D_
5.A severe interstitial to alveolar pattern has been detected._x000D_
6.Mild dynamic airway disease has been identified._x000D_
7.A concurrent minimal bronchial pattern has been detected._x000D_
8.A minimal bronchial pattern and concurrent mild dynamic airway disease have been identified.</t>
  </si>
  <si>
    <t>A single right lateral thoracic and abdominal radiographs dated 8th August 2024 is available for review. There are no previous radiographs available for comparison. A minimum of 2 view orthogonal images are required for a a diagnostic interpretation._x000D_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_x000D_
_x000D_
Mediastinum and pleural space: No significant abnormalities are detected._x000D_
_x000D_
Abdomen: The hepatic silhouette is normal in size with smooth borders. The spleen is normal in shape, size and position. The kidneys are partially obscured by gastrointestinal contents, but the visible aspect are normal. The stomach contains granular food material with a normal axis. The small intestines are distributed evenly and are within normal limits for shape, size and contents. The ascending, transverse and descending colon have a normal position and contain gradually more formed faeces. The urinary bladder is filled. The serosal detail is normal. There is mild enlargement of the prostate._x000D_
_x000D_
Musculoskeletal system: There is extensive mid thoracic intervertebral disc narrowing with smooth vertebral endplates, and bridging or near bridging spondylosis deformans. There is intervertebral disc narrowing at is T12-T13 with smooth vertebral endplates and ventral spondylosis. There is ventral spondylosis deformans at T13-L3. There is spondylosis deformans at L7 S1.</t>
  </si>
  <si>
    <t>.1. Normal thorax and abdomen. The study is non-diagnostic due to single view series._x000D_
2. Extensive intervertebral disc disease with ventral spondylosis. This may cause some back pain. There is no evidence for extrusion of mineralised disc material. Protrusion of nonmineralised disc material is possible._x000D_
3. Mild prostatomegaly, most likely due to benign prostatic hyperplasia.</t>
  </si>
  <si>
    <t>Full neurologic examination if not already performed. If no proprioceptive deficits or patients clinical signs are mild, consider treating for intervertebral disk disease/arthritis (exercise restriction, NSAIDs with supportive bloodwork, +/- multimodal analgesia). If no response to therapy, patient has proprioceptive deficits or is worsening in general, referral to a neurologist for discussion regarding feasibility of MRI vs. CT of the spine can be considered</t>
  </si>
  <si>
    <t xml:space="preserve">
1.The evaluation has a strong suspicion of pulmonary nodules or mass lesion being present._x000D_
2.The cardiac silhouette size is normal._x000D_
3.There is no evidence of BRONCHITIS, ALVEOLAR PATTERN or DYNAMIC AIRWAY COLLAPSE or BRONCHIECTASIS._x000D_
4.A mild perihilar infiltrate has been detected.</t>
  </si>
  <si>
    <t>Opposite lateral and VD thoracoabdominal views are provided for interpretation._x000D_
_x000D_
There is a soft tissue shadow with lobular margins in the cranioventral abdomen is concerning for a mass lesion. The location and appearance would be compatible with a mass involving the liver or spleen. A normal spleen shadow cannot be identified in the lateral views. There is a moderate quantity of free gas in the abdomen consistent with the history of laparotomy. The other abdominal organs are within normal limits._x000D_
The cardiovascular structures are within normal limits. No pulmonary infiltrates or pleural effusion are identified._x000D_
There is moderate spondylosis deformans involving the lumbar spine. There is moderate chronic remodeling involving both elbows. The right 13th rib arises from the transverse process, and the left 13th rib is hypoplastic and barely visible. No destructive bone lesions are seen.</t>
  </si>
  <si>
    <t>There is a mass effect in the cranioventral abdomen. The appearance is concerning for neoplastic lesion involving the liver or spleen. The organ of origin cannot be determined in the radiographs. There is also a generally irregular appearance to the entire area because of the free gas in the abdomen that can alter the appearance of the organs. Benign hyperplastic changes involving the liver or spleen, superimposition of GI structures on mildly abnormal liver and spleen cannot be entirely excluded._x000D_
_x000D_
No thoracic abnormalities are identified.</t>
  </si>
  <si>
    <t>There is concern for a mass lesion that is potentially neoplastic._x000D_
No evidence of pulmonary metastases or significant cardiopulmonary disease is identified._x000D_
Follow up imaging such as ultrasound should be considered for more definitive evaluation.</t>
  </si>
  <si>
    <t xml:space="preserve">
1.A moderate bronchointerstitial pattern, regions of alveolar infiltrate, a mild perihilar infiltrate and concurrent dynamic airway disease (see #2) have been detected._x000D_
2.Moderate dynamic airway disease has been detected._x000D_
3.Severe cardiomegaly has been detected but Heart Failure is NOT suspected._x000D_
4.SEVERE ALVEOLAR PATTERN; PLEURAL EFFUSION or PLEURAL FISSURE LINES; MODERATE DYNAMIC AIRWAY DISEASE; MILD, DIFFUSE BRONCHOINTERSTITIAL PULMONARY PATTERN._x000D_
5.Based on the AI airway/pulmonary findings, the probability of this patient having clinically detectable respiratory signs is VERY HIGH (&gt;75%)_x000D_
6.Are respiratory signs present? If YES._x000D_
7.Are respiratory signs present? If NO.</t>
  </si>
  <si>
    <t>Three radiographs of the thorax, and three views of the abdomen are provided. The heart is upper normal size on the lateral views. The heart appears larger on the VD projection, likely due to partial expiration and adjacent fat deposition. There is a mild bronchial pattern throughout the lungs consistent with age. There is hazy increased opacity in the cranial lungs on both sides of the VD projection, possibly seen cranial to the heart on the right lateral view. No pleural effusion._x000D_
_x000D_
In the abdomen the liver is mildly enlarged with smooth margins. Normal size kidneys and spleen. The gastrointestinal tract is minimally filled. The urinary bladder is markedly distended and soft tissue opaque. Small round increased opacity overlying the urinary bladder on the VD projection is superimposed intestinal debris or nipple. There is narrowed T13-L1, L1-2 intervertebral disc spaces and foramina. The coxofemoral joints are congruent.</t>
  </si>
  <si>
    <t>1. The appearance of T13-L1 and L1-2 are both suggestive of intervertebral disc disease. This is the most likely cause for the clinical signs._x000D_
2. Mild hepatomegaly consistent with steroid hepatopathy. Otherwise normal abdomen._x000D_
3. Possible small area of severe interstitial pattern in the cranial lungs, concerning for aspiration pneumonia. If this patient does not have associated current clinical signs, significance is doubtful. The thorax is otherwise normal.</t>
  </si>
  <si>
    <t>It appears the patient is improving, therefore consider supportive care with anti-inflammatories and strict rest. If the patient does not continue to improve, consultation with a neurologist and advanced spinal imaging with CT/MRI would be recommended.</t>
  </si>
  <si>
    <t xml:space="preserve">
1.Are respiratory signs present? If YES._x000D_
2.Are respiratory signs present? If NO._x000D_
3.AI linked bacterial pneumonia treatment in dogs: https://platform.v2.vetology.net/doc/pneumonia-in-dogs-and-cats_x000D_
4.Are respiratory signs present? If NO._x000D_
5.MODERATE BRONCHOINTERSTITIAL PULMONARY PATTERN; MODERATE ALVEOLAR INFILTRATE or ATELECTASIS; MODERATE DYNAMIC AIRWAY DISEASE._x000D_
6.MODERATE INTERSTITIAL TO ALVEOLAR INFILTRATE; CONCURRENT MODERATE BRONCHIAL PATTERN; MILD PERIHILAR INFILTRATE._x000D_
7.Based on these AI airway/pulmonary findings, the probability of this patient having clinically detectable respiratory signs is HIGH (75%)_x000D_
8.Based on the AI airway/pulmonary findings, the probability of this patient having clinically detectable respiratorysigns is HIGH (75%)_x000D_
9.Are respiratory signs present? If YES._x000D_
10.Mild cardiomegaly has been detected but Heart Failure is NOT suspected.</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</si>
  <si>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  Numerous hemivertebrae are present in the thoracolumbar and sacrocaudal spine.  Multiple mineral opaque intervertebral discs are seen in situ, most notable at L1-3 and L4-6.</t>
  </si>
  <si>
    <t>Radiographically normal abdomen.  Radiographically normal thorax for patient of this age.  Congenital hemivertebrae.  Multiple sites of intervertebral disc disease.</t>
  </si>
  <si>
    <t>Study:_x000D_
Thoracic radiography: three images dated August 8, 2024_x000D_
_x000D_
Compared to prior study dated July 19, 2024_x000D_
_x000D_
Findings:_x000D_
The cardiac silhouette is normal in size and shape. The pulmonary vasculature is normal in size. There is a mild generalized bronchial pulmonary pattern. This finding is unchanged from the prior examination. The pleural space is normal. There is no intrathoracic lymphadenopathy. The trachea is normal in diameter. The stomach contains unstructured heterogeneous/granular soft tissue material presumed to be ingesta. There is mild multifocal thoracolumbar spondylosis deformans. There is a mineral opaque nodule along the caudoventral thorax thought to be associated with one of the patient=ZZ91=s mammary glands.</t>
  </si>
  <si>
    <t>The (static) mild generalized bronchial pulmonary pattern is nonspecific may indicate allergic, inflammatory, infectious, parasitic or inhaled irritant bronchitis.</t>
  </si>
  <si>
    <t>Airway sampling, heartworm testing and Baermann fecal flotation can be considered for further evaluation.</t>
  </si>
  <si>
    <t xml:space="preserve">
1.MILD BRONCHOINTERSTITIAL PULMONARY PATTERN with ATELECTASIS or less likely, PNEUMONIA; MILD PERIHILAR INFILTRATE._x000D_
2.Based on the AI airway/pulmonary findings, the probability of this patient having clinically detectable respiratory signs is LOW to MEDIUM (25%-50%)_x000D_
3.Are respiratory signs present? If YES._x000D_
4.Are respiratory signs present? If NO_x000D_
5.The cardiac silhouette size is normal.</t>
  </si>
  <si>
    <t>Four radiographs of the thorax/abdomen are provided. The cardiac silhouette and pulmonary vessels are normal size. The left ventricle is shifted to the left on the VD projection due to thoracic conformation. There is peripheral pulmonary vascular mineralization in the caudodorsal right lung, incidental. No pleural effusion. Adequate tracheal diameter. No esophageal dilation. In the abdomen serosal detail is poor consistent with mild effusion. The stomach is severely distended with amorphous soft tissue density and diffuse fluid-like mineral density. Small bowel are poorly delineated but appear to be diffusely mildly filled with similar mineral density. The colon contains minimally formed and fluid-like mineral opaque feces. The liver and spleen are normal size. The kidneys are obscured. No radiopaque urolithiasis.</t>
  </si>
  <si>
    <t>1. Peritoneal effusion, most likely due to hypoproteinemia. Etiology is uncertain._x000D_
2. Mineral content throughout the gastrointestinal tract is presumably due to barium administration. Ingested foreign material is not ruled out._x000D_
3. Normal thorax.</t>
  </si>
  <si>
    <t>Study:_x000D_
Thoracic radiography: three images dated August 8, 2024_x000D_
_x000D_
Findings:_x000D_
There is a severe amount of subcutaneous emphysema along the right aspect of the cervical region and both the left and right lateral aspects of the thorax. A small volume of gas dissects through the fascial planes of the neck and extends into the cranial mediastinum. On the VD view, there is a small region of lucency devoid of pulmonary markings in the left caudal thorax. The cardiac silhouette is normal in size and shape. The pulmonary vasculature is normal in size. On the VD view, there is a mild unstructured interstitial pattern in the right middle lung lobe. The larynx is unremarkable. The trachea is normal diameter. There is no apparent intrathoracic lymphadenopathy. The stomach contains unstructured heterogeneous soft tissue material presumed to be ingesta. The included abdomen is otherwise unremarkable. No skeletal abnormalities are present. There are no apparent fractures or luxations.</t>
  </si>
  <si>
    <t>1. Severe extensive cervical and thoracic subcutaneous emphysema secondary to the reported coyote bite wounds with dissection through the fascial planes of the neck and mild pneumomediastinum._x000D_
2. There is concern for a small volume pneumothorax. It is unclear if this finding is secondary to lung trauma or penetrating thoracic wall injury._x000D_
3. The mild interstitial pattern in the right middle lung lobe may indicate mild pulmonary contusions.</t>
  </si>
  <si>
    <t>The patient=ZZ91=s superficial wounds should be probed to evaluate for any communication with the thoracic cavity. Repeat radiography in 48 to 72 hours (sooner if the patient=ZZ91=s respiratory status decompensates) should be considered to monitor the pneumomediastinum and suspected pneumothorax.</t>
  </si>
  <si>
    <t xml:space="preserve">
1.MODERATE INTERSITIAL TO ALVEOLAR PATTERN; MINIMAL PERIHILAR INFILTRATE._x000D_
2.Based on these AI airway/pulmonary findings, the probability of this patient having clinically detectable respiratory signs is MEDIUM (50%)._x000D_
3.Are respiratory signs present? If YES._x000D_
4.AI linked bacterial pneumonia treatment in dogs: https://platform.v2.vetology.net/doc/pneumonia-in-dogs-and-cats_x000D_
5.Are respiratory signs present? If NO._x000D_
6.The cardiac silhouette size is normal._x000D_
7.There is no evidence of DYNAMIC AIRWAY COLLAPSE or BRONCHIECTASIS, PULMONARY NODULES or PLEURAL EFFUSION.</t>
  </si>
  <si>
    <t>Study:_x000D_
Eight images that include the cervical region, thoracic limbs, thorax and abdomen dated August 8, 2024_x000D_
_x000D_
Findings:_x000D_
The cardiac silhouette and pulmonary vasculature are normal in size. The pulmonary parenchyma is unremarkable. The pleural space is normal. There is no intrathoracic lymphadenopathy. There is a broad-based soft tissue opaque band superimposed with the cervical trachea lumen representing either a redundant dorsal tracheal membrane or superimposition of the esophagus. The trachea is normal in diameter and course. The stomach contains heterogeneous/granular soft tissue material presumed to be ingesta. The small intestines are normal in size, course and content. The colon contains formed fecal material. The liver and spleen are normal in size and margin. The kidneys are normal in size and contour. The urinary bladder is not visualized and is likely small/empty. There is no uterine dilation. There is narrowing of the C3-C4 through C5-C6, T 13-L1 and L1-L2 intervertebral disc spaces with sclerotic endplates and variable mild to severe spondylosis deformans. The C2-C3 intervertebral disc base also appears mildly narrowed=ZZ90= however, this finding may be artifact created by beam distortion. Mild periarticular bone formation is present at the caudodistal aspect of the humeral head and infraglenoid process of the scapula bilaterally. There is moderate bilateral elbow periarticular new bone formation. The coxofemoral joints are unremarkable with good coverage of the femoral head by the acetal bilaterally. There is moderate bilateral stifle periarticular bone formation. There is a small amount of linear mineral which appears to be at the continues margin along the dorsal cervical region. The patient is of overweight body condition.</t>
  </si>
  <si>
    <t>1. C3-C4 through C5-C6, T 13-L1, L1-L2 plus/minus C2-C3 intervertebral disc disease. Neurology consultation and MRI can be considered for further evaluation if the spinal pain persists or worsens in spite of activity restriction and pain management._x000D_
2. Mild bilateral shoulder osteoarthrosis._x000D_
3. Moderate bilateral elbow osteoarthrosis._x000D_
4. Moderate bilateral stifle osteoarthrosis. Consider underlying cranial cruciate and/or meniscal injury._x000D_
5. Normal thorax._x000D_
6. Unremarkable abdomen._x000D_
7. The small amount of cutaneous mineral along the dorsal cervical region may indicate calcinosis cutis secondary to the reported Cushing=ZZ91=s disease.</t>
  </si>
  <si>
    <t>A ventral dorsal and both lateral radiographs of the thorax are provided. The cardiac silhouette is normal size and shape on the right lateral and VD views. The appearance of prominent left atrium on the left lateral view is likely due to superimposed rib. Pulmonary vessels are normal size. No abnormalities are appreciated in the pulmonary parenchyma, although there is slight patient motion artifact on these images (blur most significant on the right lateral and VD views). There is no pleural effusion or soft tissue pulmonary nodules. Tracheal diameter is adequate. No abnormalities along the plane of the esophagus. No laryngeal abnormalities. Narrowed C5-6, C6-7 intervertebral disc spaces, doubtful significance today. Normal cranial abdomen.</t>
  </si>
  <si>
    <t>Normal thorax. A reason for the chronic cough is not identified. Inhaled irritant/allergens should be considered. With the signalment, dynamic tracheal collapse remains on the differential list, as it may not be imaged on a static radiographic study. This should be correlated with characteristic of the cough and tracheal palpation.</t>
  </si>
  <si>
    <t>Recommend palpate for tracheal sensitivity. This patient may benefit from utilization of a body harness in place of a neck lead, and symptomatic treatment for the cough.</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</si>
  <si>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4.Moderate cardiomegaly has been detected but Heart Failure is NOT suspected._x000D_
5.Are respiratory signs present? If NO._x000D_
6.There is no evidence of PULMONARY NODULES or PLEURAL EFFUSION.</t>
  </si>
  <si>
    <t>Study:_x000D_
Thoracic and abdominal radiography: six images dated August 7, 2024_x000D_
_x000D_
Findings:_x000D_
The cardiac silhouette and pulmonary vasculature are normal in size. The pulmonary parenchyma is unremarkable. A thin pleural fissure joint is seen between the segments of the left cranial lung lobe on the VD view.. There is no intrathoracic lymphadenopathy. The trachea is normal in diameter and course. There is gas dilation of the esophagus. There is a small amount of granular mineral in the pylorus and a small intestinal segment in the cranioventral abdomen. The small intestines are normal in size and courseThe colon contains formed fecal material and five mineral opacities measuring up to 1.3 cm. The liver and spleen are normal in size and margin. The kidneys are normal in size and contour. The urinary bladder is normal in size and opacity. There is no prostatomegaly. The osseous structures are unremarkable/age appropriate.</t>
  </si>
  <si>
    <t>1. Gas dilation of the esophagus may be secondary to aerophagia or may indicate an esophageal motility disorder. An esophagogram can be considered for further evaluation._x000D_
2. There is no evidence of pneumonia. Infectious respiratory disease PCR testing can be considered to further evaluate for possible infectious trachea bronchitis._x000D_
3. The thin pleural fissure lines seen between the segments of the left cranial lung lobe on the VD view may indicate incidental tangential visualization, pleural thickening or trace nonspecific pleural effusion._x000D_
4. The mineral material in the gastrointestinal tract is suggestive of dietary indiscretion. There is no evidence of small intestinal mechanical obstruction.</t>
  </si>
  <si>
    <t>Four orthogonal radiographs of the abdomen dated 7th August 2024 are available for review. There are no previous radiographs available for comparison. _x000D_
_x000D_
Intra-abdominal findings: The stomach contains a mild amount of gas and soft tissue opaque material and has a normal axis. The small intestines are within normal limits for shape, size and contents. Some small intestinal loops are present at the cranial aspect of the urinary bladder. On the ventrodorsal image, there are some fluid filled loops left and right to the urinary bladder, which not visible on the lateral images. The descending colon has a mildly corrugated appearance with only gas present. The hepatic silhouette is normal in size with smooth borders. The spleen is normal in shape, size and position. The kidneys are partially obscured by gastrointestinal contents, but the visible aspect are normal. The serosal detail is normal._x000D_
_x000D_
Extra-abdominal findings: No significant abnormalities are detected._x000D_
_x000D_
Included thorax: No significant abnormalities are detected.</t>
  </si>
  <si>
    <t>1. The intestinal loops in the caudal abdomen are most likely small intestinal, however minimally dilated uterine horns is possible. This may be due to an open pyometra. A vaginitis, trauma could also be the cause for the reported bleeding.</t>
  </si>
  <si>
    <t>Ultrasonographic examination is advised. alternatively, treat empirically and repeat radiographs.</t>
  </si>
  <si>
    <t>Study:_x000D_
Thoracic radiography: three images dated August 7, 2024_x000D_
_x000D_
Findings:_x000D_
The cardiac silhouette and pulmonary vasculature are normal in size. The pulmonary parenchyma is unremarkable. The pleural space is normal. There is no intrathoracic lymphadenopathy. There is an indistinct broad-based soft tissue opaque band superimposed with the cervical trachea lumen representing other redundant dorsal tracheal membrane or superimposition of the esophagus. There is dilation of the cervical trachea lumen on the left lateral view. The liver extends mildly bound the costal arch with smooth margins. The included abdomen is otherwise unremarkable. The osseous structures are unremarkable. The patient is of overweight body condition.</t>
  </si>
  <si>
    <t>1. While there is no trachea lumen narrowing, the relative dilation of the cervical trachea lumen on the left lateral projection is suggestive of chondromalacia. Fluoroscopy can be considered to further evaluate for possible dynamic airway disease._x000D_
2. Normal thorax. There is no radiographic evidence of cardiopulmonary disease. The lack of a bronchial pulmonary pattern does not exclude the possibility of lower airway disease._x000D_
3. The generalized hepatomegaly is nonspecific. Rule out metabolic/vacuolar hepatopathy, hyperplasia, hepatitis or infiltrative neoplasia. Sonography can be considered for further evaluation.</t>
  </si>
  <si>
    <t xml:space="preserve">
1.Moderate cardiomegaly has been detected but Heart Failure is NOT suspected._x000D_
2.MODERATE BRONCHIAL PATTERN; MODERATE DYNAMIC AIRWAY DISEASE._x000D_
3.Based on these AI airway/pulmonary findings, the probability of this patient having clinically detectable respiratory signs is HIGH (75%)_x000D_
4.Are respiratory signs present? If YES._x000D_
5.Are respiratory signs present? If NO._x000D_
6.There is no evidence of PERIHILAR INFILTRATE or PLEURAL EFFUSION.</t>
  </si>
  <si>
    <t>Three orthogonal thoracic radiographs dated 7th August 2024 are available for review. There are no previous radiographs available for comparison. _x000D_
_x000D_
Airway findings: The cervical and thoracic trachea have a normal size, outline and position. The carina, tracheal bifurcation and mainstem bronchi are normal. Throughout the lung parenchyma there is a mainly granular type interstitial opacification. Some increased bronchial markings are also present. The mainstem bronchi are partially mineralised and have reduced tapering. Skin folds are superimposed on the ventral thorax on the lateral images._x000D_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Some gas is present in the cranial oesophagus dorsal to the tracheal bifurcation._x000D_
_x000D_
Musculoskeletal findings: No significant abnormalities are detected._x000D_
_x000D_
Included abdomen: No significant abnormalities are detected.</t>
  </si>
  <si>
    <t>1. Differentials for the pulmonary opacification include fungal lower airway disease, parasitic bronchitis, eosinophilic bronchopneumonia, unlikely round cell infiltration. The reduced tapering of the mainstem bronchi indicates chronic lower airway disease. Heart worm is considered unlikely.</t>
  </si>
  <si>
    <t>Respiratory workup including CBC, serum chemistry, urinalysis, Baermann faecal testing, 4DX, +/- respiratory panel or fungal testing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 Evaluate for upper airway disease as clinically indicated.</t>
  </si>
  <si>
    <t xml:space="preserve">
1.A minimal interstitial pattern has been detected._x000D_
2.There is detection of a few small soft tissue opacities overlying the lungs._x000D_
3.The cardiac silhouette size is normal._x000D_
4.There is no evidence of ALVEOLAR PATTERN._x000D_
5.MINIMAL INTERSITIAL PATTERN; OVERLYING CUTANEOUS NODULES or END-ON VESSELS._x000D_
6.Based on these AI airway/pulmonary findings, the probability of this patient having clinically detectable respiratory signs due to lower airway disease is UNLIKELY (&lt;25%) with the exception of acute tracheobronchitis or PTE.</t>
  </si>
  <si>
    <t xml:space="preserve">Patient Name : Eli Bennett, Date of study: Aug 7, 2024
3 images are provided for review
There are no previous radiographs for comparison.
Pulmonary parenchyma: A minimal diffuse interstitial pattern is present.  The lungs are mildly hypoinflated. Cranial lobar bronchi are subjectively narrow in a dorsoventral dimension in the lateral images.  
Pulmonary vasculature: The pulmonary vasculature is subjectively normal in size and tapers in the periphery of the lungs.
Cardiac silhouette: The cardiac silhouette tall and occupies greater than 2/3 the height of the thorax, with dorsal tracheal displacement.  The cardiac silhouette is widened and rounded in the region of the right atrium/ventricle.  Subtle increased soft tissue is suspected in the region of the left atrium in the ventrodorsal image.  The caudodorsal margin of the cardiac silhouette is flattened.  
Mediastinum: The cranial mediastinum is normal.
Trachea: The trachea is normal.
Esophagus: The esophagus is not well-identified.
Pleural space: The pleural space is normal.
Musculoskeletal: The T13-L1, L1-2 and L2-3 intervertebral disc spaces are severely narrowed and mineral is superimposed over the corresponding intervertebral foramina.  Ventral spondylosis deformans is at T13-L1 through L2-3.  The remaining included musculoskeletal structures are normal.
</t>
  </si>
  <si>
    <t>1. Moderate left and mild right-sided cardiomegaly such as from mitral with/without tricuspid valvular disease, cor pulmonale/pulmonary hypertension, or unlikely other.
- There is no current evidence of left-sided congestive heart failure.  
2. Mild diffuse interstitial pulmonary pattern such as from hypoinflation, fibrosis from prior disease, age-related change, or unlikely other.
3. Suspected cranial lobar bronchial narrowing due to dynamic airway disease versus artifact.
4. Multifocal thoracolumbar intervertebral disc disease as above.</t>
  </si>
  <si>
    <t>Echocardiography, eCG, blood pressure and routine blood work for further evaluation.  Consider respiratory PCR panel, airway sampling and empirical therapy/supportive care in the interim as needed. Consider bronchoscopy/tracheoscopy/fluroscopy for further evaluation of dynamic airway disease if clinically indicated.   Monitoring as directed or sooner if clinical signs acutely change, fail to improve or worsen.</t>
  </si>
  <si>
    <t>Study:_x000D_
Thoracic, abdominal and pelvic radiography: six images dated August 6, 2020_x000D_
_x000D_
Findings:_x000D_
The cardiac silhouette and pulmonary vasculature are normal in size. The pulmonary parenchyma is unremarkable. The pleural space is normal. There is no intrathoracic lymphadenopathy. The trachea is normal in diameter and course. The stomach contains a small volume of gas and a small amount stippled mineral. The small intestines are normal in size, course and content. The colon contains formed fecal material and interspersed granular mineral. The liver and spleen are normal in size and margin. The kidneys are normal in size and contour. The urinary bladder is normal in size and opacity. There is moderate T5-T6 and mild L5-L6 spondylosis deformans. There is no intervertebral disc space or foraminal narrowing. There is good coverage of the femoral head by the acetabulum bilaterally. The pelvic limb musculature is bilaterally symmetric.</t>
  </si>
  <si>
    <t>1. Normal thorax._x000D_
2. Unremarkable abdomen._x000D_
3. Unremarkable coxofemoral joints. A cause of the hind end pain is not evident.</t>
  </si>
  <si>
    <t>Orthopedic and/or neurology consultation can be considered if the client hind end discomfort persists or worsens.</t>
  </si>
  <si>
    <t>Study:_x000D_
Thoracic radiography: three images dated August 7, 2024_x000D_
_x000D_
Findings:_x000D_
The cardiac silhouette and pulmonary vasculature are normal in size. The pulmonary parenchyma is unremarkable. The pleural space is normal. There is no intrathoracic lymphadenopathy. Superimposition of a human digit limits evaluation of the pharynx/larynx. The larynx appears unremarkable. The trachea is normal in diameter and course. The included abdomen is unremarkable. There is mild spondylosis deformans from T 13 to L4. Mild periarticular bone formation is present at the caudodistal aspect the humeral head bilaterally. The patient is of overweight body condition._x000D_
_x000D_
Human digits are present in the primary beam on the right lateral projection.</t>
  </si>
  <si>
    <t>1. Unremarkable thorax and cervical region.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 Sedated laryngeal exam, fluoroscopy, airway sampling plus/minus heartworm testing and Baermann fecal flotation can be considered to further evaluate the reported coughing._x000D_
2. Mild bilateral shoulder osteoarthrosis.</t>
  </si>
  <si>
    <t>6 images of the thorax and abdomen are provided for review.  The caudal lobar arteries are dilated.  The cardiac silhouette is mildly widened with rounding of the right ventricular border.  There is a marked bronchial pattern in all lung lobes.  The mediastinal and pleural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</si>
  <si>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Severe bronchial pulmonary pattern=ZZ90= consider bronchitis, response to inhaled irritants, response to circulating parasites, eosinophilic bronchopneumopathy.  Right-sided cardiomegaly and pulmonary arterial enlargement may indicate heartworm disease, cor pulmonale, or pulmonary hypertension.  Radiographically normal abdomen.</t>
  </si>
  <si>
    <t>Heartworm testing, echocardiography, and airway sampling may be helpful in further evaluation.</t>
  </si>
  <si>
    <t xml:space="preserve">
1.Are respiratory signs are present? If NO._x000D_
2.The evaluation has a strong suspicion of pulmonary nodules or mass lesion being present._x000D_
3.A severe bronchointerstitial pulmonary pattern with lung consolidation or atelectasis, a perihilar infiltrate and concurrent dynamic airway disease have been detected._x000D_
4.Based on these AI airway/pulmonary findings, the probability this patient will have clinically detectable respiratory signs is NEAR CERTAINTY (&gt;99%)_x000D_
5.Are respiratory signs are present? If YES._x000D_
6.Pleural fissure lines or moderate to severe pleural effusion has been detected. An overlying skin fold or in an obese animal, excessive pericardial fat could artifactually mimic the result of severe pleural effusion._x000D_
7.Mild cardiomegaly has been detected but Heart Failure is NOT suspected.</t>
  </si>
  <si>
    <t>Consider empirical treatment for canine infectious respiratory disease complex and deworming evaluating response to treatment.
(amended on 08/08/2024 03:47)
Evaluate the benefit of a bronchoscopy with BAL, cytology, culture and Baermann test.</t>
  </si>
  <si>
    <t>Eleven orthogonal survey radiographs of the thorax and abdomen dated 7th August 2024 are available for review. These images are compared with previous radiographs dated 20th February 2024._x000D_
_x000D_
Thorax: _x000D_
Airway findings: The cervical and thoracic trachea have a normal size, outline and position. The carina, tracheal bifurcation and mainstem bronchi are normal. Throughout the lung parenchyma there is a mild bronchointerstitial opacification._x000D_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There is severe hepatomegaly with rounded borders. The spleen is normal. The kidneys are partially obscured by gastrointestinal contents, but the visible aspect are normal. The stomach contains a moderate amount of gas and has a caudally displaced axis. The small intestines are distributed evenly and are within normal limits for shape, size and contents. The ascending, transverse and descending colon have a normal position and contain gradually more formed faeces. The urinary bladder is filled. The serosal detail is normal._x000D_
_x000D_
Musculoskeletal findings: There is collapse of the lumbosacral intervertebral disc, with ventral spondylosis, and mild densification of the vertebral endplates.</t>
  </si>
  <si>
    <t>1. Diffuse mild bronchointerstitial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This is comparable to previous radiographs._x000D_
2. Hepatomegaly: Considering size and extent, a neoplastic origin should be prioritised. Chronic hepatitis as reported as possible.</t>
  </si>
  <si>
    <t>Respiratory workup including CBC, serum chemistry, urinalysis, Baermann faecal testing, 4DX, +/- respiratory panel as indicated may be considered. _x000D_
A complete abdominal ultrasonographic examination is advised, with a view to FNA of abnormal organs, after complete blood work, and a normal coagulation panel._x000D_
No imaging findings can explain the presenting clinical signs of ataxia and nystagmus. A complete neurologic evaluation as well as complete bloodwork is advised. Advanced imaging depending on results.</t>
  </si>
  <si>
    <t xml:space="preserve">
1.MILD BRONCHOINTERSTITIAL PULMONARY PATTERN; MILD DYNAMIC AIRWAY DISEASE; ATELECTASIS or less likely, pneumonia._x000D_
2.MILD BRONCHOINTERSTITIAL PULMONARY PATTERN; MILD DYNAMIC AIRWAY DISEASE; MILD PERIHILAR INFILTRATE._x000D_
3.Based on these AI airway/pulmonary findings, the probability of this patient having clinically detectable respiratory signs is MEDIUM (50%)_x000D_
4.Are respiratory signs present? If YES._x000D_
5.Pleural fissure lines or small volume pleural effusion has been detected. In a mildly overweight animal, excessive pericardial fat can artifactually mimic the result of minimal pleural effusion._x000D_
6.Are respiratory signs present? If NO._x000D_
7.Are respiratory signs present? If NO._x000D_
8.The cardiac silhouette size is normal._x000D_
9.Are respiratory signs present? If YES.</t>
  </si>
  <si>
    <t>Study:_x000D_
Thoracic radiography: five images dated August 7, 2024_x000D_
_x000D_
Findings:_x000D_
The cardiac silhouette is normal in size and shape. The pulmonary vasculature is normal in size. There is a mild generalized bronchial pulmonary pattern. The pleural space is normal. There is no intrathoracic lymphadenopathy. The soft palate appears elongated and thickened on both lateral projections. The tracheal diameter is within normal limits for patient signalment. There is no lobar bronchi narrowing. The stomach contains unstructured heterogeneous soft tissue material presumed to be ingesta. There is mild multifocal thoracic spondylosis deformans. The patient is of overweight body condition._x000D_
_x000D_
A human digit is present in the primary beam on the VD view timestamped 12:10 PM.</t>
  </si>
  <si>
    <t>1. Likely elongated soft palate/brachycephalic airway syndrome. Sedated oropharyngeal/laryngeal exam can be considered for further evaluation._x000D_
2. The mild diffuse bronchial pulmonary pattern is a nonspecific finding. This finding could be within normal limits for patient signalment or could indicate bronchitis of allergic, inflammatory, infectious, inhaled irritant or parasitic etiologies. Infectious respiratory disease PCR testing, airway sampling plus/minus heartworm testing and Baermann fecal flotation can be considered to further evaluate for lower disease.</t>
  </si>
  <si>
    <t xml:space="preserve">
1.MILD BRONCHOINTERSTITIAL PULMONARY PATTERN WITH ATELECTASIS or LESS LIKELY, PNEUMONIA, MILD PERIHILAR INFILTRATE._x000D_
2.Probability these AI pulmonary findings will accompany clinically detectable respiratory signs: MILD TO MODERATE (25-50%)_x000D_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6.Minimal cardiomegaly has been detected but Heart Failure is NOT suspected.</t>
  </si>
  <si>
    <t>Six orthogonal survey radiographs of the thorax and abdomen dated 7th August 2024 are available for review. There are no previous radiographs available for comparison. _x000D_
_x000D_
Thorax: _x000D_
Airway findings: The cervical and thoracic trachea have a normal size, outline and position. The carina, tracheal bifurcation and mainstem bronchi are normal. Throughout the lung parenchyma there is a mild mainly caudal dorsal bronchial pattern. In the left caudal dorsal lung field there is a mineral opaque spherical opacity of approximately 5 mm diameter._x000D_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hepatic silhouette is normal in size with smooth borders. The spleen is normal in shape, size and position. The kidneys are partially obscured by gastrointestinal contents, but the visible aspect are normal. The stomach contains granular food material. Granular material is present in the pylorus on the left lateral image. The small intestines are distributed evenly and are within normal limits for shape, size and contents. The ascending, transverse and descending colon have a normal position and contain gradually more formed faeces. The urinary bladder is small. The serosal detail is normal._x000D_
_x000D_
Musculoskeletal findings: No significant abnormalities are detected.</t>
  </si>
  <si>
    <t>1.Diffuse mild bronchial pattern: Primary consideration should be given to normal ageing/fibrosis from previous disease in absence of respiratory signs. Allergic bronchitis, chronic bacterial /viral bronchitis +/- parasitic bronchitis should also be considered. The mineral opacity is likely dystrophic mineralisation of a granuloma, unlikely of clinical significance._x000D_
2. Normal heart and abdomen.</t>
  </si>
  <si>
    <t>Orthogonal thorax views are provided for interpretation. A previous study dated 3-13-24 is also provided for comparison._x000D_
_x000D_
Severe heart enlargement is identified. The shape of the heart is consistent with left atrial and left ventricular dilation. The suspected left ventricular dilation appears slightly increased relative to the previous study, where is the atrial dilation appears slightly less prominent. The heart also appears slightly more rounded than it did in the previous study. Vertebral Heart Score is increased from 11.6 to 12.0 in the recheck interim._x000D_
Interstitial lung opacity is slightly increased but within the limits of age related change and hypoinflation artifact. No pulmonary changes convincing for pulmonary edema or pneumonia are identified. Pulmonary vessels are within normal limits._x000D_
No tracheal or esophageal abnormalities are identified._x000D_
_x000D_
_x000D_
The cranial abdomen is unremarkable.</t>
  </si>
  <si>
    <t>There is severe cardiomegaly, which has progressed slightly relative to the previous study five months ago. No changes indicative of congestive heart failure or significant pulmonary disease are identified. No tracheal collapse is seen._x000D_
Dynamic compression of the caudal lobe bronchus by the enlarged heart could still be a contributor to the cough, although not documented in the radiographs._x000D_
The rounded appearance of the heart is likely due to progressive chamber dilation. A contribution of mild pericardial effusion cannot be excluded as a less likely possibility.</t>
  </si>
  <si>
    <t>Continuation of the current cardiac medical regimen is recommended._x000D_
Symptomatic therapy for the cough could be considered if clinically indicated. If the coughing persists, recheck radiographs are recommended.</t>
  </si>
  <si>
    <t xml:space="preserve">
1.MODERATE ALVEOLAR PATTERN; CONCURRENT MILD to MODERATE BRONCHOINTERSTITIAL PATTERN; MILD DYNAMIC AIRWAY DISEASE._x000D_
2.Based on the AI airway/pulmonary findings, the probability of this patient having clinically detectable respiratory signs is MEDIUM to HIGH (50-75%)._x000D_
3.Are respiratory signs present? If YES._x000D_
4.Are respiratory signs present? If NO._x000D_
5.Severe cardiomegaly has been detected but Heart Failure is NOT suspected.</t>
  </si>
  <si>
    <t>Three radiographs of the thorax, and three views of the abdomen are provided. The heart is a normal size and shape. The cardiac apex is shifted to the left on the VD projection due to thoracic conformation. Mild bronchial pattern is present. No pleural effusion or soft tissue pulmonary nodules. Normal tracheal diameter. Fat deposition in the cranial mediastinum. Osteoarthritis in both elbows._x000D_
_x000D_
In the abdomen there is no effusion. The urinary bladder is mildly filled and soft tissue opaque. The prostate is not enlarged. No medial iliac lymphadenomegaly. Normal size liver, spleen, kidneys. Formed feces fills the distal colon. The stomach and small bowel are mildly gas-filled. There is a single punctate mineral opaque focus in the stomach, likely incidental. Mild spondylosis deformans at the lumbosacral junction is likely incidental.</t>
  </si>
  <si>
    <t>1. Mild bronchial pattern is most likely normal age-related change. Chronic airway inflammation such as allergic bronchitis is given lesser consideration in the absence of a chronic cough. Otherwise normal thorax._x000D_
2. Normal abdomen. There is no evidence of radiopaque urolithiasis. A reason for intermittent vomiting is not identified.</t>
  </si>
  <si>
    <t>Recommend routine blood work and supportive care. If vomiting persists, fasting abdominal ultrasound would be recommended.</t>
  </si>
  <si>
    <t xml:space="preserve">
1.Mild cardiomegaly has been detected but Heart Failure is NOT suspected._x000D_
2.Pleural fissure lines or moderate to severe pleural effusion has been detected. An overlying skin fold or in an obese animal, excessive pericardial fat could artifactually mimic the result of severe pleural effusion._x000D_
3.SEVERE INTERSTITIAL TO ALVEOLAR PATTERN; MODERATE BRONCHIAL PATTERN; SEVERE DYNAMIC AIRWAY DISEASE._x000D_
4.Based on these AI airway/pulmonary findings, the probability of this patient having clinically detectable respiratory signs is VERY HIGH (&gt;75%)_x000D_
5.Are respiratory signs present? If YES._x000D_
6.Are respiratory signs present? If NO._x000D_
7.The evaluation has a strong suspicion of pulmonary nodules or mass lesion being present.</t>
  </si>
  <si>
    <t>Twenty survey radiographs of the axial and appendicular skeleton dated 7th August 2024 are available for review. There are no previous radiographs available for comparison. _x000D_
_x000D_
Thoracic limbs: The shoulders and elbows are normal (mediolateral images only). Both carpi are normal. There is mild osteophytic and enthesiophytic modelling of the fifth metacarpophalangeal joint of the left limb. There is minimal osteophytic modelling of the second metacarpophalangeal joint of the right limb._x000D_
_x000D_
Vertebral column: There is mild spondylosis deformans at L6 L7 and L7 S1. The vertebral and plates are smooth._x000D_
_x000D_
Pelvis and pelvic limbs: There is 50% coverage of the femoral head by the acetabulum and widening of the left coxofemoral joint space. There is mild cranial acetabular sclerosis. There is variable outward rotation and abduction of the left limb in the images. There is mild widening of the caudal coxofemoral joint space of the right limb. No degenerative modelling is present. Both stifle joints are normal. There is minimal modelling of the dorsal distal intertarsal joints of the left and right tarsus. The pelvic extremities are normal (mediolateral image only)._x000D_
_x000D_
Soft tissues: The caudal thigh musculature is normal. No localised or diffuse soft tissue swelling is noted.</t>
  </si>
  <si>
    <t>1. Mild left hip dysplasia with coxofemoral laxity and minimal osteoarthritis. Minimal right hip dysplasia with coxofemoral laxity._x000D_
2. Minimal metacarpophalangeal osteoarthritis: Unlikely of clinical significance._x000D_
3. Mild distal intertarsal osteoarthritis in both tarsal joints: Unlikely of clinical significance.</t>
  </si>
  <si>
    <t>Correlate with manipulative testing under sedation or anaesthesia. The findings are exacerbated by limb positioning. Consider repeat radiographs, or distraction radiographs (PennHip)._x000D_
Lifelong management including keeping the patient at an appropriate weight and feeding a healthy diet +/- joint supplementation is recommended. Recommend activity restriction with acute lameness and slow return to function. Medical management is likely necessary with acute lameness. Labwork should be checked consistently when undergoing medical management. Physical therapy and low impact exercise (i.e. water treadmill or other) can be employed to strengthen and build muscle. Orthopedic consultation especially if medical management does not control clinical signs. Recheck radiographs as clinically indicated.</t>
  </si>
  <si>
    <t>Study:_x000D_
Thoracic radiography: three images dated August 7, 2024_x000D_
_x000D_
Findings:_x000D_
The cardiac silhouette and pulmonary vasculature are normal in size. The pulmonary parenchyma is unremarkable. No pulmonary nodules or masses are present. The pleural space is normal. There is no intrathoracic lymphadenopathy. There is gas dilation laryngeal ventricles. There is slight trachea lumen narrowing at the thoracic inlet on the right lateral projection comparison to the left lateral view. The stomach contains unstructured heterogeneous soft tissue material presumed to be ingesta. The osseous structures are unremarkable. There is a small lipomatous mass in the subcutaneous tissues caudoventral to the xiphoid.</t>
  </si>
  <si>
    <t>1. Gas dilation laryngeal ventricles can be an indicator of laryngeal paralysis. Sedated laryngeal exam can be considered for further evaluation._x000D_
2. There is suspicion for chondromalacia and dynamic airway disease/tracheal collapse. Fluoroscopy can be considered for further evaluation._x000D_
3. Normal thorax. There is no evidence of cardiopulmonary disease.</t>
  </si>
  <si>
    <t xml:space="preserve">
1.A minimal to mild bronchointerstitial pulmonary pattern has been detected._x000D_
2.There is no evidence of PERIHILAR INFILTRATE or DYNAMIC AIRWAY COLLAPSE or BRONCHIECTASIS._x000D_
3.Pleural fissure lines or small volume pleural effusion has been detected. In a mildly overweight animal, excessive pericardial fat can artifactually mimic the result of minimal pleural effusion._x000D_
4.Mild cardiomegaly has been detected but Heart Failure is NOT suspected.</t>
  </si>
  <si>
    <t xml:space="preserve">Patient Name : Dexter Guerrero, Date of study: Aug 7, 2024
3 images are provided for review
Canine Thorax (3 Images) - 2 Lateral, 1 Vd
There are no previous radiographs for comparison.
Bones/Joints:
The right elbow is normal.  
The right shoulder is normal.
The included right carpus, metacarpus are normal.
The left elbow is normal.  
The left shoulder is normal.  
The included left carpus, metacarpus are normal. 
The cervical spine is normal.
There is no evidence of medullary sclerosis, osteolysis, endosteal scalloping, or periosteal proliferation.
Soft tissues:  The included soft tissues are normal.
</t>
  </si>
  <si>
    <t xml:space="preserve">1. Normal bilateral shoulders.
2. Normal bilateral elbows.
3. Normal cervical spine.
</t>
  </si>
  <si>
    <t xml:space="preserve">Etiology of non-specific reported signs is not definitively identified.  This does not exclude soft tissue strain/sprain injury or least likely vascular accident or other.  Consider routine blood work and echocardiography, eCG and blood pressure given reported murmur and gallop rhythm.  EMpirical therapy and supportive care in the interim as needed.  Monitoring as directed or sooner if signs acutely change, fail to improve or worsen.  </t>
  </si>
  <si>
    <t>Six orthogonal thoracic radiographs dated 7th August 2024 are available for review. There are no previous radiographs available for comparison. _x000D_
_x000D_
Airway findings: The cervical and thoracic trachea have a normal size, outline and position. The carina, tracheal bifurcation and mainstem bronchi are normal. There is interstitial to alveolar opacification of the right middle lung lobe, predominantly ventrally. Throughout the remainder of the lung parenchyma there is a mild bronchointerstitial opacification. Homogenous opacification due to body habitus is also present._x000D_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A lobar sign is present._x000D_
_x000D_
Musculoskeletal findings: The patient is overweight._x000D_
_x000D_
Included abdomen: No significant abnormalities are detected.</t>
  </si>
  <si>
    <t>Findings are consistent with aspiration pneumonia, or Lobar bronchopneumonia. The remaining bronchointerstitial opacification is likely extension of disease.</t>
  </si>
  <si>
    <t>Considering poor response to empiric management, consider respiratory workup including CBC, serum chemistry, urinalysis, Baermann faecal testing, 4DX, +/- respiratory panel or fungal testing as indicated. Bronchoscopy/BAL vs. endotracheal wash +/- consultation with an Internist should be considered. Alternatively, continued treatment and repeat radiographs prior to end of therapy.</t>
  </si>
  <si>
    <t>Two orthogonal thoracic radiographs dated 7th August 2024 are available for review. There are no previous radiographs available for comparison. _x000D_
_x000D_
Airway findings: The trachea is normal. The tracheal bifurcation is normal. Throughout the lung parenchyma there is a severe bronchointerstitial opacification. This is a mild deterioration in comparison with previous radiographs._x000D_
_x000D_
Cardiovascular findings: The cardiac silhouette is partially border effaced, however the overall size is within normal limits. The pulmonary vasculature is poorly visible. The mainstem vessels are normal._x000D_
_x000D_
Mediastinum and pleural space: No significant abnormalities are detected._x000D_
_x000D_
Musculoskeletal findings: No significant abnormalities are detected._x000D_
_x000D_
Included abdomen: No significant abnormalities are detected.</t>
  </si>
  <si>
    <t>Severe diffuse bronchointerstitial pattern: Lower airway infectious-inflammatory disease is prioritised (viral-bacterial, parasitic, fungal). Eosinophilic bronchopneumopathy, round cell infiltration, idiopathic pulmonary fibrosis, should be considered. Heart worm is considered unlikely. Severe allergic lower airway disease should also be considered.</t>
  </si>
  <si>
    <t>Respiratory workup including CBC, serum chemistry, urinalysis, Baermann faecal testing, 4DX, +/- respiratory panel or fungal testing as indicated is advised.  Bronchoscopy/BAL vs. endotracheal wash +/- consultation with an Internist should be considered in light of deterioration.</t>
  </si>
  <si>
    <t xml:space="preserve">
1.SEVERE INTERSTITIAL TO ALVEOLAR PATTERN; SEVERE BRONCHIAL PATTERN; SEVERE DYNAMIC AIRWAY DISEASE._x000D_
2.Based on these AI airway/pulmonary findings, the probability of this patient having clinically detectable respiratory signs is VERY HIGH (&gt;75%)_x000D_
3.Are respiratory signs present? If YES._x000D_
4.Are respiratory signs present? If NO._x000D_
5.The evaluation has a strong suspicion of pulmonary nodules or mass lesion being present._x000D_
6.A severe perihilar infiltrate has been detected._x000D_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t>
  </si>
  <si>
    <t>Three radiographs of the thorax, and orthogonal views of the abdomen are provided. Images dated 7/15/24 and earlier are available for comparison. The left atrium appears prominent on the left lateral view, not definitively seen on the other projections. Cardiac to thoracic ratio and pulmonary vessel size is normal. There are mild bronchial markings in the lungs. No pleural effusion. Increased opacity dorsal to the 2nd sternal segment is superimposed skin fold. Mild narrowed cervical trachea on the right lateral view._x000D_
_x000D_
In the abdomen the liver is upper normal size. Normal-sized kidneys and spleen. The gastrointestinal tract is moderately filled. Punctate mineral density overlying the dorsal aspect of the urinary bladder is likely superimposed incidental fecal debris. No lumbar spinal abnormalities. Small stippled lucencies in the lateral aspect of the right thigh musculature is presumably recent injection site.</t>
  </si>
  <si>
    <t>1. The appearance of the cervical trachea is consistent with dynamic collapse. This is the most likely cause for coughing._x000D_
2. Faint bronchial markings as before, most likely normal age-related change. Chronic airway inflammation due to inhaled irritants/allergens could cause a similar appearance, and could be contributing to the cough. No other intrathoracic abnormalities._x000D_
3. Normal abdomen.</t>
  </si>
  <si>
    <t>Current diagnostics and treatment are appropriate. Recommend weight management.</t>
  </si>
  <si>
    <t xml:space="preserve">
1.Moderate cardiomegaly has been detected but Heart Failure is NOT suspected._x000D_
2.MINIMAL to MILD BRONCHOINTERSTITIAL PULMONARY PATTERN; MILD DYNAMIC AIRWAY DISEASE; MILD PERIHILAR INFILTRATE._x000D_
3.Based on these AI airway/pulmonary findings, the probability of this patient having clinically detectable respiratory signs is LOW to MEDIUM (25-50%)_x000D_
4.Are respiratory signs present? If YES._x000D_
5.Are respiratory signs present? If NO._x000D_
6.There is no evidence of PLEURAL EFFUSION.</t>
  </si>
  <si>
    <t>Three radiographs of the thorax, and two views of the abdomen are provided. Images dated 7/8/23 were reviewed for comparison. There is severe left atrial enlargement today, the left ventricle is elongated. There is further dorsal displacement of the caudal thoracic trachea and mainstem bronchi. The mainstem bronchi are compressed. There is a moderate interstitial pattern in the right perihilar region. No other pulmonary parenchymal abnormalities. No pleural effusion. Moderate narrowed cervical trachea._x000D_
_x000D_
In the abdomen the liver, spleen, and kidneys are normal size and shape. The stomach and small bowel are minimally filled. There is large volume formed and mineral opaque feces filling the colon. The distal fecal column measures up to 3.0 cm diameter. There are several sharply marginated mineral opaque fragments measuring up to 2.3 x 0.6 cm within the colon. No radiopaque urolithiasis. Osseous structures are unremarkable.</t>
  </si>
  <si>
    <t>1. Moderate to severe left-sided cardiomegaly, progressed since the previous study and consistent with acquired mitral valve disease. There is pulmonary edema indicating left-sided heart failure. Concurrent mainstem bronchial compression._x000D_
2. Cervical tracheal collapse._x000D_
3. Constipation with several bone-like mineral fragments in the colon that are expected to pass successfully. No other abdominal abnormalities.</t>
  </si>
  <si>
    <t>Recommend treatment for heart failure, and follow-up echocardiogram. Due to the large size of the heart, recommend obtaining a dorsoventral thoracic view on all future studies of this patient. This will allow for maximum dorsal lung aeration to help rule in/out pulmonary edema.</t>
  </si>
  <si>
    <t xml:space="preserve">
1.Pleural fissure lines or moderate pleural effusion has been detected. An overlying skin fold or in a moderately overweight animal, excessive pericardial fat could artifactually mimic the result of moderate pleural effusion._x000D_
2.Severe cardiomegaly has been detected but Heart Failure is NOT suspected._x000D_
3.Are respiratory signs preesnt? If NO._x000D_
4.MODERATE BROCHIAL PATTERN; MODERATE DYNAMIC AIRWAY DISEASE; MILD INTERSTITIAL INFILTRATE with ATELECTASIS or less likely, PNEUMONIA._x000D_
5.Based on these AI airway/pulmonary findings, the probability of this patient having clinically detectabe respiratory signs is MEDIUM (50%)_x000D_
6.Are respirartory signs present? If YES._x000D_
7.AI linked collapsing airway disease in dogs: https://platform.v2.vetology.net/doc/canine-tracheal-collapse-treatment</t>
  </si>
  <si>
    <t xml:space="preserve">Patient Name : BARNEY Olson, Date of study: Aug 7, 2024
3 images are provided for review
Canine Thorax (3 Images) - 1 Vd, 2 Lateral
There are no previous radiographs for comparison.  Linear positive density artifact over the trachea and thorax.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Unilateral elbow osteoarthrosis is present.  The remaining included musculoskeletal structures are normal.
</t>
  </si>
  <si>
    <t xml:space="preserve">1. Mild diffuse bronchial pulmonary pattern.
- Differential diagnoses include infectious/immune-mediated lower airway disease such as from mycoplasma spp., bordetella spp., parasitism, or inhaled allergen/irritant, fibrosis from prior disease, age-related changes, or unlikely other.
2. No obvious intra-thoracic lymphadenomegaly or pulmonary nodules.
3. Unilateral elbow osteoarthrosis.  </t>
  </si>
  <si>
    <t>Consider respiratory PCR panel, airway sampling, and fecal analysis for further evaluation depending on clinical signs.  Empirical therapy and supportive care as needed in the interim.  Monitoring as directed or sooner if clinical signs acutely change, fail to improve or worsen.</t>
  </si>
  <si>
    <t xml:space="preserve">
1.MILD BRONCHIAL PATTERN; MILD PERIHILAR PATTERN._x000D_
2.MILD BROCHIAL/BRONCHOINTERSTITIAL PULMONARY PATTERN._x000D_
3.Based on these AI airway/pulmonary findings, the probability of this patient having clinically detectable respiratory signs is LOW (25%)_x000D_
4.Based on these AI airway/pulmonary findings, the probability of this patient having clinically detectable respiratorysigns is LOW (25%)_x000D_
5.Are respiratory signs present? If YES._x000D_
6.Are respiratory signs present? If YES._x000D_
7.Are respiratory signs present? If NO._x000D_
8.Are respiratory signs present? If NO._x000D_
9.The cardiac silhouette size is normal._x000D_
10.There is no evidence of DYNAMIC AIRWAY COLLAPSE or BRONCHIECTASIS or PLEURAL EFFUSION.</t>
  </si>
  <si>
    <t>Study:_x000D_
Thoracic radiography: three images dated August 7, 2024_x000D_
_x000D_
Findings:_x000D_
There is mild to moderate generalized cardiomegaly. The cranial lobar veins are dilated in comparison to the corresponding arteries. On the lateral projections, there is a mild caudodorsal unstructured interstitial pulmonary pattern. The pleural space is normal. There is no intrathoracic lymphadenopathy. The trachea is normal in diameter. The the included abdomen is unremarkable. No skeletal abnormalities are present.</t>
  </si>
  <si>
    <t>1. Mild moderate generalized cardiomegaly with pulmonary venous distention, concerning for dilated cardiomyopathy._x000D_
2. Given the suspicion for heart disease, the mild caudodorsal unstructured interstitial pulmonary pattern is concerning for decompensated congestive heart failure/mild cardiogenic pulmonary edema. Noncardiogenic pulmonary edema and pneumonia/pneumonitis cannot be completely excluded.</t>
  </si>
  <si>
    <t>Recommend echocardiography for further evaluation. Consider diuretic therapy with repeat radiography to monitor for response to treatment in the interim.</t>
  </si>
  <si>
    <t xml:space="preserve">
1.The evaluation has come up positive for a pulmonary nodular pattern._x000D_
2.The cardiac silhouette size is normal._x000D_
3.There is no evidence of ALVEOLAR PATTERN, DYNAMIC AIRWAY COLLAPSE or BRONCHIECTASIS or PLEURAL EFFUSION._x000D_
4.A mild bronchial pattern has been detected.</t>
  </si>
  <si>
    <t>Orthogonal views of the thorax are provided:_x000D_
_x000D_
Thorax:_x000D_
_x000D_
Cardiac silhouette shows a mild enlargement of the left atrium dorsally displacing the carina._x000D_
Pulmonary vessels are within normal limits of size and shape._x000D_
Pulmonary parenchyma shows a mild bronchial pattern. No evidence of pneumonia nor signs of pulmonary nodules/masses._x000D_
Pleural space, mediastinum, diaphragm and thoracic wall within normal limits._x000D_
_x000D_
Liver extends beyond the costal arch with sharp margins.</t>
  </si>
  <si>
    <t xml:space="preserve">
1.Mild cardiomegaly has been detected but Heart Failure is NOT suspected._x000D_
2.In the PRESENCE of respiratory signs, low grade active pneumonitis (allergic, bacterial, parasitic (including heartworm disease), inhaled allergen or toxin) or upper airway disease causing pulmonary hypoinflation and/or recurrent microaspiration may be more likely._x000D_
3.There is no evidence of DYNAMIC AIRWAY COLLAPSE or BRONCHIECTASIS._x000D_
4.MILD BRONCHOINTERSTITIAL PULMONARY PATTERN; MINIMAL to MILD PERIHILAR PATTERN._x000D_
5.Based on the AI airway/pulmonary findings, the probability of this patient having clinically detectable respiratory signs is LOW (25%)_x000D_
6.In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t>
  </si>
  <si>
    <t>A two view study of the thorax is provided for interpretation._x000D_
_x000D_
There is a mild to moderate diffuse bronchial pulmonary pattern. The appearance is more prominent than what would typically be expected for the age of the patient, in spite of the breed (commonly some degree of bronchial pattern in the French bulldog). No alveolar infiltrates are identified. No thoracic lymphadenopathy or pleural effusion is seen. There is slight dorsal deviation of the trachea at the thoracic inlet. This could be the result of exudate in the trachea but this can also be seen as a benign incidental finding. The cardiovascular structures are within normal limits. The cranial abdomen is unremarkable._x000D_
Multiple congenital hemivertebrae are seen in the thoracic spine, considered a breed associated congenital anomaly.</t>
  </si>
  <si>
    <t>The appearance of the lungs is compatible with bronchitis. Infectious vs. allergic causes should be ruled out. Viral disease would be a primary consideration given the other clinical findings and the age of the patient.</t>
  </si>
  <si>
    <t>CBC is recommended._x000D_
Antibiotic therapy depending on clinical suspicion, CBC results, and patient status.</t>
  </si>
  <si>
    <t>Seven radiographs of the thorax are provided. Images dated 11/13/23 are available for comparison. An endotracheal tube is present consistent with anesthesia. The cardiac silhouette is normal size. The right caudal pulmonary artery is prominent at the intersection with the 9th rib on the VD views. Left lungs are poorly aerated, with subsequent increased opacity in ipsilateral mediastinal shift. Mild age-related changes in the right lungs. No soft tissue pulmonary nodules are appreciated. No pleural effusion. Small volume gas in the esophagus consistent with anesthesia.</t>
  </si>
  <si>
    <t>Enlarged right caudal pulmonary artery, a new development that is consistent with canine heartworm disease. No other definitive thoracic abnormalities. There is no evidence of nodule or pulmonary metastatic disease, although evaluation of left lungs is limited by atelectasis.</t>
  </si>
  <si>
    <t xml:space="preserve">
1.MILD BRONCHOINTERSTITIAL PULMONARY PATTERN; MINIMAL DYNAMIC AIRWAY DISEASE; END ON VESSELS, PROMINENT COSTOCHONDRAL JUNCTIONS or CUTANEOUS NODULES OR LESS LIKELY, PULMONARY NODULES OR NODULAR PATTERN._x000D_
2.MODERATE INTERSTITIAL TO ALVEOLAR PATTERN; PULMONARY NODULES or NODULAR PATTERN; MILD BRONCHITIS_x000D_
3.MODERATE INTERSTITIAL TO ALVEOLAR INFILTRATE; MILD BRONCHIAL PATTERN; MINIMAL PERIHILAR INFILTRATE._x000D_
4.Based on the AI airway/pulmonary findings, the probability of this patient having clinically detectable respiratory signs is MEDIUM (50%). A few (&lt;5) soft tissue pulmonary nodules may be present._x000D_
5.Based on the AI airway/pulmonary findings, the probability of this patient having clinically detectable respiratory signs is LOW (25%)_x000D_
6.Based on these AI airway/pulmonary findings,  the probability of this patient having clinically detectable respiratory signs is HIGH (75%)_x000D_
7.The evaluation has detected soft tissue pulmonary nodules._x000D_
8.Pleural fissure lines or small volume pleural effusion has been detected. In a mildly overweight animal, excessive pericardial fat can artifactually mimic the result of minimal pleural effusion._x000D_
9.The cardiac silhouette size is normal._x000D_
10.Are respiratory signs present? If YES._x000D_
11.Are respiratory signs present? If NO._x000D_
12.Are respiratory signs present? If YES._x000D_
13.Are respiratory signs present? If NO._x000D_
14.The evaluation has come up positive for a pulmonary nodular pattern._x000D_
15.Are respiratory signs present? If NO._x000D_
16.Are respiratory signs present? If YES.</t>
  </si>
  <si>
    <t>Study:_x000D_
Thoracic radiography: four images dated August 27,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unstructured heterogeneous soft tissue material presumed to be ingesta. There is mild T3-T4 and T4-T5 spondylosis deformans.</t>
  </si>
  <si>
    <t>Normal thorax. There is no radiographic evidence of heart disease.</t>
  </si>
  <si>
    <t>Computed tomography of the head and sedated oral pharyngeal/laryngeal exam can be considered for further evaluation of the reported snoring if clinically relevant.</t>
  </si>
  <si>
    <t>Study:_x000D_
Thoracic radiography: left lateral and DV projections dated August 7, 2024_x000D_
_x000D_
Findings:_x000D_
Evaluation is limited by the lack of a right lateral projection. Motion artifact also limits evaluation. The cardiac silhouette is normal in size and shape. The pulmonary vasculature is normal in size. On the lateral projection, there is a 0.6 cm round opacity in the ventral aspect of the second intercostal space. This finding is not seen on the orthogonal view. The pleural space is normal. There is no intrathoracic lymphadenopathy. The trachea is normal in diameter. The included abdomen is normal. The osseous structures are unremarkable.</t>
  </si>
  <si>
    <t>The round opacity seen in the ventral aspect of the second intercostal space on the lateral projection is concerning but not definitive for a pulmonary nodule (neoplasia versus granuloma) but could also be artifact created by an end-on pulmonary vessel or superimposition of an extrathoracic cutaneous or subcutaneous nodule accentuated by motion artifact and mediastinal fat.</t>
  </si>
  <si>
    <t>Consider sedated (to minimize patient motion) repeat complete three view thoracic radiography.</t>
  </si>
  <si>
    <t>Three radiographs of the thorax, and four views of the abdomen are provided. The cardiac silhouette and pulmonary vessels are normal size and shape. There is a smoothly marginated lobulated 6.4 cm mass in the caudal thorax on both of the lateral views. This mass has a cavitary lucent center and thick irregular soft tissue opaque wall. The mass is ventral to the expected location of the esophagus, and is in close proximity to the diaphragm. There is possible increased opacity with central lucency immediately caudal to the cardiac apex on the VD projection, otherwise the cavitary lesion is not definitively seen on the VD views. No other pulmonary nodules or masses. No pleural effusion. Adequate tracheal diameter._x000D_
_x000D_
In the abdomen the liver is upper normal size. Normal-sized spleen. The left kidney is enlarged with smoothly irregular cranial pole. The right kidney is partially visible and appears to be normal size. The gastrointestinal tract and urinary bladder are minimally filled. Mild degenerative change in the coxofemoral joints.</t>
  </si>
  <si>
    <t>1. Cavitary caudal thoracic mass, most likely primary pulmonary neoplasia in the accessory lung lobe or medial aspect of the left or right caudal lung lobes. A large abscess is given much lesser consideration._x000D_
2. Enlarged irregular left kidney, concerning for neoplasia. Large renal cysts or abscess is next on the differential list.</t>
  </si>
  <si>
    <t>The lung mass is not in a location amenable to sampling with ultrasound guidance. The abdomen could be evaluated with ultrasound, in an effort to locate evidence of neoplasia for guided sampling, if a definitive diagnosis is desired.</t>
  </si>
  <si>
    <t xml:space="preserve">
1.MILD BRONCHOINTERSTITIAL PATTERN; MILD PERIHILAR INFILTRATE._x000D_
2.Based on the AI airway/pulmonary findings, the probability of this patient having clinically detectable respiratory signs is LOW to MEDIUM (25%-50%)_x000D_
3.Are respiratory signs present? If YES._x000D_
4.Are respiratory signs present? If NO._x000D_
5.The cardiac silhouette size is normal._x000D_
6.Pleural fissure lines or moderate pleural effusion has been detected. An overlying skin fold or in a moderately overweight animal, excessive pericardial fat could artifactually mimic the result of moderate pleural effusion.</t>
  </si>
  <si>
    <t>Thorax:_x000D_
_x000D_
No abnormalities seen in the trachea._x000D_
Cardiac silhouette has a normal shape and size._x000D_
Pulmonary vessels are within normal limits of size and shape._x000D_
Pulmonary parenchyma is within normal limits. No evidence of pneumonia._x000D_
Pleural space, mediastinum, diaphragm and thoracic wall within normal limits.</t>
  </si>
  <si>
    <t>Consider empirical treatment for chronic bronchitis evaluating response to treatment. If clinical signs persist, consider a bronchoscopy with BAL, culture, cytology, Baermann test and deworming._x000D_
Evaluate the convenience of a CT of the nasal cavity and ayes. to further evaluate causes of bilateral aye tearing more marked in the left side.</t>
  </si>
  <si>
    <t xml:space="preserve">
1.MINIMAL INTERSTITIAL PATTERN; MINIMAL PERIHILAR INFILTRATE._x000D_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DYNAMIC AIRWAY COLLAPSE or BRONCHIECTASIS.</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</si>
  <si>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Masslike structure seen in the cranioventral abdomen extending from the caudal aspect of the head of the spleen, visible on the VD view.  The stomach contains a moderate amount of ingesta.  The small intestines are normal in size.  Gas and feces are present in the colon.  The urinary bladder is small.  The remaining abdominal organs are normal.  There is spondylosis deformans of the thoracolumbar spine.</t>
  </si>
  <si>
    <t>Small splenic mass.  Consider neoplasia or hematoma.  Abdominal ultrasound could be considered prior to exploratory for removal.  Radiographically normal thorax for patient of this age.</t>
  </si>
  <si>
    <t xml:space="preserve">
1.PLEURAL EFFUSION or PLEURAL FISSURE LINES; PULMONARY NODULES or NODULAR PATTERN; MODERATE TO SEVERE INTERSTITIAL TO ALVEOLAR PATTERN; MILD BRONCHITIS._x000D_
2.Based on the AI airway/pulmonary findings, the probability of this patient having clinically detectable respiratory signs is VERY HIGH (&gt;75%)_x000D_
3.Are respiratory signs present? If YES._x000D_
4.Resource: https://vsso.org/lung-tumors-canine_x000D_
5.Are respiratory signs present? If NO._x000D_
6.The cardiac silhouette size is normal._x000D_
7.There is no evidence of DYNAMIC AIRWAY COLLAPSE or BRONCHIECTASIS._x000D_
8.The evaluation has a suspicion of pleural effusion and soft tissue pulmonary nodules or a mass lesion being present.</t>
  </si>
  <si>
    <t>Four orthogonal thoracic radiographs dated 7th August 2024 are available for review. These are compared with previous radiographs dated 30th July 2024._x000D_
_x000D_
Thorax: _x000D_
Airway findings: The cervical and thoracic trachea have a normal size, outline and position. The carina, tracheal bifurcation and mainstem bronchi are normal. The pulmonary parenchyma is normal. This is improved in comparison with previous radiographs._x000D_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No significant abnormalities are detected.</t>
  </si>
  <si>
    <t>Resolution of previously diagnosed bronchial pattern consistent with resolution of disease radiographically.</t>
  </si>
  <si>
    <t>Discontinuation of antibiotic therapy needs to be based on clinical signs, laboratory pathology, and imaging findings.</t>
  </si>
  <si>
    <t>Opposite lateral views of the thorax are provided:_x000D_
_x000D_
Thorax:_x000D_
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t>
  </si>
  <si>
    <t>1) Unremarkable thorax in this incomplete exam. Unremarkable lungs do not exclude a bronchitis of allergic origin vs inflammatory/infectious or parasitic origin.</t>
  </si>
  <si>
    <t>Consider a VD or a DV view if easier to be complete prior to any further treatment.</t>
  </si>
  <si>
    <t xml:space="preserve">
1.MODERATE BRONCHOINTERSTITIAL PULMONARY PATTERN; MILD PERIHILAR INFILTRATE; MILD DYNAMIC AIRWAY DISEASE; ATELECTASIS or less likely, pneumonia._x000D_
2.Based on the AI airway/pulmonary findings, the probability of this patient having clinically detectable respiratory signs is MEDIUM to HIGH (50%-75%)_x000D_
3.Are respiratory signs present? If YES._x000D_
4.Are respiratory signs present? If NO._x000D_
5.The cardiac silhouette size is normal.</t>
  </si>
  <si>
    <t>Patient Name: Willie Shurtleff, Date of study: Aug 7, 2024
Canine Thorax (3 Images) - 2 Lateral, 1 VD
There are no previous radiographs for comparison.
Findings:
Cardiac silhouette: The cardiac silhouette is normal in size and shape.
Pulmonary vessels: The pulmonary arteries and veins are normal in size and are symmetrical.
Pulmonary parenchyma: There is a ventrally distributed alveolar pattern in the caudal subsegment of the left cranial lung lobe. This is superimposed with the cardiac silhouette on the right lateral view. There is an interstitial to alveolar pattern in the mid, peripheral aspect of the right middle lung lobe, which is superimposed with the cardiac silhouette on the left lateral view.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Cranial abdomen: There is adequate serosal detail in the cranial abdomen.
Musculoskeletal: There is focal soft tissue swelling caudal to the right distal humerus/elbow. The included skeletal structures are within normal limits.</t>
  </si>
  <si>
    <t>1. There is a bilateral, ventrally distributed pulmonary pattern, consistent with bronchopneumonia or aspiration pneumonia.
2. The cardiovascular structures are normal.</t>
  </si>
  <si>
    <t>Antibiotic treatment for pneumonia is recommended. Recheck three view thoracic radiographs are recommended following antibiotic therapy.</t>
  </si>
  <si>
    <t xml:space="preserve">
1.A severe alveolar infiltrate or pulmonary mass has been identified._x000D_
2.The evaluation has a strong suspicion of pulmonary nodules or mass lesion being present._x000D_
3.The cardiac silhouette size is normal._x000D_
4.There is no evidence of PERIHILAR INFILTRATE or DYNAMIC AIRWAY COLLAPSE or BRONCHIECTASIS._x000D_
5.Pleural fissure lines or moderate to severe pleural effusion has been detected. An overlying skin fold or in an obese animal, excessive pericardial fat could artifactually mimic the result of severe pleural effusion.</t>
  </si>
  <si>
    <t>Three radiographs of the thorax are provided. The abdomen is included on two of the views. Previous images dated 5/13/24 were reviewed. There is severe generalized cardiac silhouette enlargement, increased in size compared to the previous study. The cranial pulmonary vein is enlarged. Severe interstitial to alveolar pattern in the perihilar region and radiating distally. The caudal thoracic trachea and mainstem bronchi are dorsally deviated. The mainstem bronchi are compressed. No pleural effusion. Possible redundant dorsal trachealis membrane in the cervical region, of uncertain significance. In the abdomen the liver is mildly enlarged as before. Hepatic margins remain smooth. There is no effusion. Normal-sized left kidney. The spleen and right kidney are obscured. No gastrointestinal or urinary bladder abnormalities.</t>
  </si>
  <si>
    <t>1. Severe, progressive generalized cardiomegaly consistent with acquired mitral and tricuspid valve disease. There is pulmonary edema indicating left-sided heart failure. Concurrent mainstem bronchial compression._x000D_
2. Unchanged mild hepatomegaly, consider hepatopathy or venous congestion primarily. Inflammation or hepatic neoplasia are given lesser consideration.</t>
  </si>
  <si>
    <t xml:space="preserve">
1.A moderate perihilar infitlrate has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4.Are respiratory signs present? If NO._x000D_
5.SEVERE INTERSTITIAL TO ALVEOLAR PATTERN; SEVERE BRONCHIAL PATTERN; SEVERE DYNAMIC AIRWAY DISEASE._x000D_
6.Based on these AI airway/pulmonary findings, the probability of this patient having clinically detectable respiratory signs is VERY HIGH (&gt;75%)_x000D_
7.Are respiratory signs present? If YES._x000D_
8.The evaluation has come up positive for a pulmonary nodular pattern.</t>
  </si>
  <si>
    <t>Three radiographs of the thorax/abdomen are provided. The cardiac silhouette is normal size and shape. Pulmonary vessels are normal size. There are mild bronchial markings consistent with the age of this patient. No soft tissue pulmonary nodules or pleural effusion. Moderate narrowed cervical trachea. In the abdomen there is no effusion or organomegaly. The gastrointestinal tract is mildly filled. Normal-sized liver, spleen, left kidney. The right kidney is obscured. Narrowed L1-2 intervertebral disc space, of doubtful significance today.</t>
  </si>
  <si>
    <t>Normal thorax and abdomen. No evidence of cardiovascular disease is identified on this study. Small valvular regurgitant jet can result in a relatively loud murmur.</t>
  </si>
  <si>
    <t>1) Unremarkable thorax without signs of cardiomegaly (this does not exclude a cardiac disease or hypovolemia).</t>
  </si>
  <si>
    <t>Given the lack of cardiomegaly but audible murmur, consider CBC and a cardiology consultation with ECG and echocardiogram.</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</si>
  <si>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empty._x000D_
Small intestines are mildly gas and fluid filled, not overtly distended. No signs of mechanical ileus._x000D_
Serosal detail is preserved._x000D_
Liver is within normal limits of size and smoothly marginated._x000D_
There is an irregular soft tissue mass silhouetting with the ventral extremity of the spleen._x000D_
Kidneys and urinary bladder WNL.</t>
  </si>
  <si>
    <t>1) Unremarkable thorax without signs of pulmonary metastases nor signs of thoracic lymphadenopathy._x000D_
2) Findings compatible with splenic mass: rule out neoplasia (HS vs round cell neoplasia felt far less likely) vs benign such as lymphoid hyperplasia or hematoma. Other differentials such as a pedunculate hepatic mass are less likely.</t>
  </si>
  <si>
    <t>Two orthogonal survey radiographs of the thorax and abdomen dated 6th August 2024 are available for review. There are no previous radiographs available for comparison. _x000D_
_x000D_
Thorax:_x000D_
Airway findings: The trachea is elevated within the thorax. There is narrowing of the mainstem bronchi. There is widening of the tracheal bifurcation. Throughout the lung parenchyma there is a severe interstitial opacification, most prominent in the perihilar region. In the right caudal dorsal lung field, there is an alveolar pattern. Thin pleural fissure lines are present. No nodules or masses are seen._x000D_
_x000D_
Cardiovascular findings: There is a large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70% of the width of the thoracic volume. The cranial and caudal pulmonary vasculature are enlarged. The caudal vena cava is poorly visible._x000D_
_x000D_
Mediastinum and pleural space: No significant abnormalities are detected._x000D_
Musculoskeletal findings: No significant abnormalities are detected._x000D_
_x000D_
Abdomen: There is significant hepatomegaly with rounded borders. The stomach contains a moderate amount of granular food material and has a normal axis. The head of the spleen is normal. The spleen is mildly caudal displaced. Caudal to the stomach and dorsal to the enlarged liver there is another soft tissue opacity, which may be splenic or hepatic in origin. The small intestines are caudally displaced they are within normal limits for shape, size and contents. The descending colon contains mainly gas. The urinary bladder is small. The serosal detail is normal.</t>
  </si>
  <si>
    <t>1.Mainly left sided cardiomegaly with pulmonary venous distension and cardiogenic pulmonary edema consistent with left sided congestive heart failure. Ddx: myxomatous degeneration of the mitral (+- tricuspid) valves with post-capillary pulmonary hypertension vs systolic dysfunction (DCM)._x000D_
2. The interstitial opacification is most likely due to cardiogenic pulmonary oedema. Lower airway infectious/inflammatory disease is less likely._x000D_
3. The hepatomegaly may be due to venous congestion secondary to cardiac insufficiency, however hepatic neoplasia, endocrine disease, vacuolar hepatopathy, or other parenchymal disease is possible._x000D_
4. The soft tissue opacity caudal to the stomach may be a splenic mass (haematoma, haemangioma, haemangiosarcoma, primary or metastatic neoplasia) or hepatic (adenocarcinoma prioritised).</t>
  </si>
  <si>
    <t>Complete bloodwork if not already performed. Management for left sided congestive heart failure including diuretic therapy with oxygen support as needed. ECG and systemic blood pressure monitoring. Recommend repeat thoracic radiographs after 24-48 hours of therapy, sooner if clinically indicated. Continued monitoring of renal values and urinalysis._x000D_
Once stabilized, an echocardiogram is recommended._x000D_
A complete abdominal ultrasonographic examination is advised, with a view to FNA of abnormal organs, after complete blood work, and a normal coagulation panel.</t>
  </si>
  <si>
    <t xml:space="preserve">
1.Severe cardiomegaly has been detected but Heart Failure is NOT suspected._x000D_
2.PULMONARY NODULES or NODULAR PATTERN; MODERATE TO SEVERE INTERSTITIAL TO ALVEOLAR PATTERN; PLEURAL EFFUSION; BRONCHITIS; PERIHILAR INFILTRATE._x000D_
3.Based on the AI airway/pulmonary findings, the probability of this patient having clinically detectable respiratory signs is VERY HIGH (&gt;75%)_x000D_
4.The evaluation has a strong suspicion of soft tissue pulmonary nodules or mass lesion being present._x000D_
5.Are respiratory signs present? If YES._x000D_
6.Are respiratory signs present? If NO.</t>
  </si>
  <si>
    <t xml:space="preserve">Patient Name : meela Molezion, Date of study: Aug 6, 2024
4 images are provided for review
There are no previous radiographs for comparison. An endotracheal tube is present that terminates in the thoracic inlet tracheal segment.  
Bones/Joints:
A dens is present.  There is no evidence of atlantoaxial joint subluxation.
There is no evidence of intervertebral disc space narrowing, or mineral over the intervertebral foramina.  There is no evidence of intervertebral dorsal articulation osteoarthrosis.
Slight right elbow osteoarthrosis is suspected with osteophytes at the humeral condyle in the lateral image.
The right shoulder is normal.
The left elbow is normal.  
The left shoulder is normal.  
There is no evidence of medullary sclerosis, osteolysis, endosteal scalloping, or periosteal proliferation.
Soft tissues:  A catheter is present in the right cranial antebrachial soft tissues.  The remaining included soft tissues are normal.
</t>
  </si>
  <si>
    <t xml:space="preserve">1. Suspected slight right elbow osteoarthrosis.
2. Normal right shoulder.
3. Normal left elbow.
4. Normal left shoulder.
5. No evidence of obvious cervical intervertebral disc space narrowing.  </t>
  </si>
  <si>
    <t>Consider focused orthogonal radiographs of the elbows versus computed tomography for further evaluation. Empirical therapy and supportive care in the interim as needed.  Monitoring as directed or sooner if clinical signs acutely change, fail to improve or worsen.</t>
  </si>
  <si>
    <t xml:space="preserve">Patient Name : zeek Jellison, Date of study: Aug 6, 2024
3 images are provided for review
Canine Thorax (3 Images) - 1 Vd, 2 Lateral
Prior images dated April 17, 2024 are also available.  
Pulmonary parenchyma: A large, ovoid to lobular soft tissue mass is in the left caudal lung lobe.  This is progressive in size between examinations.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</si>
  <si>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Progressive left caudal lung lobe soft tissue mass.
- Differential diagnoses include neoplasia such as primary pulmonary carcinoma or less likely metastatic disease from an occult primary malignancy, or unlikely granulomatous/fungal pneumonia such as from blastomycosis spp. infection.
2. Minimal to mild diffuse bronchial pattern due to artifact, fibrosis from prior disease, age-related changes, or unlikely infectious/immune-mediated lower airway disease or other.</t>
  </si>
  <si>
    <t>Consider computed tomography of the thorax for further evaluation, and possible lung lobectomy and/or oncologist/surgeon consultation.  Empirical therapy and supportive care in the interim as needed.  Monitoring as directed or sooner if clinical signs acutely change, fail to improve or worsen.</t>
  </si>
  <si>
    <t xml:space="preserve">
1.Are respiratory signs present. If NO._x000D_
2.MINIMAL TO MILD BRONCHOINTERSTITIAL PULMONRAY PATTERN; MILD PERIHILAR PATTERN._x000D_
3.Based on the AI airway/pulmonary findings, the probability of this patient having clinically detectable respiratory signs is LOW (25%)_x000D_
4.A minimal bronchointerstitial pulmonary pattern with a concurrent, minimal perihilar infiltrate have been detected._x000D_
5.The cardiac silhouette size is normal._x000D_
6.PULMONARY NODULAR PATTERN; MINIMAL BRONCHOINTERSTITIAL PULMONARY PATTERN._x000D_
7.The evaluation has come up positive for a pulmonary nodular pattern._x000D_
8.Based on these AI airway/pulmonary findings, the probability of this patient having clinically detectable respiratory signs is MEDIUM (50%)_x000D_
9.Are respiratory signs present. If YES.</t>
  </si>
  <si>
    <t>Study:_x000D_
Thoracic radiography: three images dated August 6,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stomach contains unstructured heterogeneous soft tissue material presumed to be ingesta. No skeletal abnormalities are present.</t>
  </si>
  <si>
    <t>Normal thorax. There is no radiographic evidence of vomiting metastatic disease.</t>
  </si>
  <si>
    <t>Study:_x000D_
Thoracic and abdominal radiography: six images dated August 6, 2024_x000D_
_x000D_
Findings:_x000D_
The cardiac silhouette and pulmonary vasculature are normal in size there is a mild generalized bronchial pulmonary pattern. The pleural space is normal. There is no intrathoracic lymphadenopathy. The patient has redundant dorsal tracheal membrane. The trachea is normal in diameter and course. There is dilation and retraction of the larynx. The stomach contains a small volume of gas. The small intestines are normal in size, course and content. The colon contains formed fecal material. The liver extends mildly bound the costal arch with smooth and sharp margins. The spleen is normal in size and margin. The kidneys are normal in size and contour. The urinary bladder is normal in size and opacity. The prostate is severely enlarged with smooth margins. There is narrowing of the T 12-T 13 and L2-L3 intervertebral disc spaces. There is mild to moderate multifocal thoracolumbar spondylosis deformans.</t>
  </si>
  <si>
    <t>1. The mild generalized bronchial pulmonary pattern may indicate allergic, inflammatory, infectious, parasitic or irritant bronchitis. Airway sampling, heartworm testing and Baermann fecal flotation can be considered for further evaluation._x000D_
2. Redundant dorsal tracheal membrane. Normal diameter of the trachea does not exclude concomitant tracheal collapse. Fluoroscopy can be considered to further evaluate for possible dynamic airway disease._x000D_
3. The dilation retraction of the larynx is a nonspecific finding. This can be secondary to laryngeal dysfunction, dynamic airway disease, chronic lower airway disease or nasal disease._x000D_
4. If patient signalment is correct and the patient is neutered, the severe prostatomegaly is concerning for prostatic neoplasia. If intact, rule out benign prostatic hyperplasia plus/minus para-prostatic cyst or abscess. Abdominal sonography can be considered for further evaluation._x000D_
5.  The generalized hepatomegaly is nonspecific. Rule out metabolic/vacuolar hepatopathy, hyperplasia, hepatitis or infiltrative neoplasia. Sonography can be considered for further evaluation._x000D_
6. T 12-T 13 and L2-L3 intervertebral disc disease.</t>
  </si>
  <si>
    <t>Study:_x000D_
Thoracic radiography: three images dated August 6, 2024_x000D_
_x000D_
Findings:_x000D_
The cardiac silhouette and pulmonary vasculature are normal in size. There is a mild generalized bronchial pulmonary pattern There is a mild alveolar pattern in the ventral aspect of the right caudal lung lobe. There is also a mild alveolar pattern overlying the ventral aspect of the cardiac silhouette on the right lateral projection. There is no intrathoracic lymphadenopathy. The trachea is normal in diameter and course. The included abdomen is normal. The osseous structures are age appropriate/unremarkable.</t>
  </si>
  <si>
    <t>The multifocal alveolar pulmonary pattern and mild generalized bronchial pulmonary pattern likely indicate infectious bronchopneumonia/bronchitis. Recommend continued plus/minus expanded antibiotic therapy with repeat radiography in 10 to 14 days to monitor for response to treatment. Airway sampling and culture can also be considered.</t>
  </si>
  <si>
    <t xml:space="preserve">
1.The evaluation has a strong suspicion of soft tissue pulmonary nodules being present._x000D_
2.PULMONARY NODULES or NODULAR PATTERN; MILD to MODERATE BRONCHOINTERSTITIAL PATTERN with an ALVEOLAR COMPONENT; MILD PERIHILAR INFILTRATE._x000D_
3.Based on the AI airway/pulmonary findings, the probability of this patient having soft tissue pulmonary nodules and clinically detectable respiratory signs is MEDIUM to HIGH (50-75%)_x000D_
4.Are respiratory signs present? If YES._x000D_
5.Are respiratory signs present? If NO._x000D_
6.The cardiac silhouette size is normal.</t>
  </si>
  <si>
    <t>Study:_x000D_
Thoracic radiography: three images dated August 6, 2024_x000D_
_x000D_
Findings:_x000D_
The cardiac silhouette and pulmonary vasculature are normal in size. There is incidental age-related bronchial wall mineralization. The pulmonary parenchyma is otherwise unremarkable. The pleural space is normal. There is no intrathoracic lymphadenopathy. The trachea is normal in diameter and course. The stomach contains unstructured heterogeneous soft tissue material presumed to be ingesta. There is severe T 12-T 13 spondylosis deformans. There is a moderate amount of heterogeneous mineral in the subcutaneous tissues of the right axillary region the right axillary region. The patient is of overweight body condition.</t>
  </si>
  <si>
    <t>1. Unremarkable thorax. There is no radiographic evidence of heart disease. Consider echocardiography for further evaluation of the reported heart murmur._x000D_
2. The right axillary subcutaneous mineralization may indicate dystrophic mineralization secondary to inflammation, fat necrosis, trauma or, less likely, neoplasia.</t>
  </si>
  <si>
    <t xml:space="preserve">
1.The cardiac silhouette size is normal._x000D_
2.There is no evidence of PERIHILAR INFILTRATE or DYNAMIC AIRWAY COLLAPSE or BRONCHIECTASIS._x000D_
3.A mild to moderate bronchointerstitial pulmonary pattern has been detected.</t>
  </si>
  <si>
    <t>Study:_x000D_
Thoracic/abdominal radiography: three images dated August 6,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The liver is normal in size and margin. There is a small amount of indistinct granular mineral in the region of the gallbladder. The spleen is normal in size and shape. The kidneys are normal in size and contour. The urinary bladder is normal in size and opacity. The prostate is mildly to moderately enlarged with smooth margins. There is a large ovoid soft tissue opaque mass in the right inguinal region, consistent with the reported cryptorchid testicle. The osseous structures are unremarkable. There is no intervertebral disc space or foraminal narrowing.</t>
  </si>
  <si>
    <t>1. Normal thorax. There is no radiographic evidence of cardiopulmonary disease or intrathoracic neoplasia._x000D_
2. Cholelithiasis._x000D_
3. Mild to moderate prostatomegaly, likely indicating benign prostatic hyperplasia._x000D_
4. Enlarged right inguinal cryptorchid testicle. Consider seminoma, Leydig cell tumor or Sertoli cell tumor. _x000D_
5. A cause of the reported proprioceptive deficits is not evident. Lack of any apparent intervertebral disc space narrowing does not exclude the possibility of intervertebral disc disease. Neurology consultation and MRI can be considered for further evaluation.</t>
  </si>
  <si>
    <t xml:space="preserve">
1.A mild perihilar infiltrate and concurrent, mild dynamic airway disease have been detected._x000D_
2.A mild interstitial pattern has been detected._x000D_
3.Mild cardiomegaly has been detected but Heart Failure is NOT suspected._x000D_
4.Mild dynamic airway disease has been detected._x000D_
5.There is no evidence of ALVEOLAR PATTERN or PULMONARY NODULES.</t>
  </si>
  <si>
    <t>Study:_x000D_
Thoracic radiography: three images dated August 6, 2024_x000D_
_x000D_
Findings:_x000D_
The cardiac silhouette and pulmonary vasculature are normal in size. There is no main pulmonary or lobar arterial enlargement. There is a mild generalized bronchointerstitial pulmonary pattern. The pleural space is normal. There is no intrathoracic lymphadenopathy. The trachea is normal in diameter and course. The included abdomen is unremarkable. There two thin linear metallic opacities in the cranial abdomen superimposed with the liver. Moderate periarticular bone formation is present at the caudodistal aspect of the humeral head bilaterally. There is mild T5-T6 spondylosis deformans.</t>
  </si>
  <si>
    <t>1. The mild generalized bronchointerstitial pulmonary pattern is a nonspecific finding. This could be a benign age-related change or may indicate heartworm associated bronchitis._x000D_
2. There no cardiovascular changes associated with the reported heartworm disease._x000D_
3. Peritoneal versus hepatic linear metallic (possibly wire or brush bristle) foreign bodies. These are a relatively common incidental finding._x000D_
4. Moderate bilateral shoulder osteoarthrosis._x000D_
_x000D_
Comments:_x000D_
The lack of any radiographic cardiovascular changes and reported coughing are suggestive of class I heartworm disease.</t>
  </si>
  <si>
    <t>Recommend treatment for heartworm disease as outlined by the American Heartworm Society._x000D_
_x000D_
Sedated laryngeal exam can be considered to evaluate for possible laryngeal paralysis.</t>
  </si>
  <si>
    <t xml:space="preserve">
1.MINIMAL to MILD BRONCHOINTERSTITIAL PULMONARY PATTERN; POTENTIAL FOR FOCAL ATELECTASIS._x000D_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DYNAMIC AIRWAY COLLAPSE or BRONCHIECTASIS.</t>
  </si>
  <si>
    <t>Three radiographs of the thorax, and three views of the abdomen are provided. Images dated 7/14/22 are available for comparison. The cardiac silhouette is normal size and shape. Several incidental pulmonary osteomas within the lungs. A mild unstructured interstitial pattern is normal for the age and size of this patient. There is no pleural effusion or soft tissue pulmonary nodules. Small volume fluid in the caudal esophagus is transient and incidental. Soft tissue opacity overlying the dorsal aspect of the cervical trachea is likely adjacent esophagus._x000D_
_x000D_
In the abdomen the stomach contains a moderate amount of granular soft tissue opacity. Small intestines are mildly gas-filled. Large volume of formed feces in the colon. There is no effusion. The liver and spleen are normal size. The kidneys are obscured by intestines. No radiopaque urolithiasis. No osseous abnormalities.</t>
  </si>
  <si>
    <t>1. Normal postprandial abdomen. Gastric contents appears to be normal ingesta. There may also be radiolucent foreign material within the stomach causing gastritis and pyloric outflow obstruction. There is no evidence of small bowel obstruction._x000D_
2. Normal thorax.</t>
  </si>
  <si>
    <t>If vomiting persists, recommend strictly fasted abdominal radiographs +/- positive contrast gastrogram to rule out gastric foreign material.</t>
  </si>
  <si>
    <t>Consider a bronchoscopy with BAL, culture, cytology, Baermann test and deworming.</t>
  </si>
  <si>
    <t>Opposite lateral and VD views of the thorax and orthogonal abdomen views are provided._x000D_
_x000D_
The cardiovascular structures are within normal limits. There is a moderate diffuse bronchial pattern and mildly increased interstitial lung opacity. No alveolar infiltrates or pleural effusion are identified. There is mild narrowing of the caudal cervical trachea that is within the limits of benign variation._x000D_
_x000D_
The stomach is mildly gas dilated. There is an irregular mineral opacity in the ventral aspect of the stomach in the lateral views that cannot be localized in the VD view. It is unclear whether this is something in the gastric lumen or whether it could represent mineralization of the gastric wall. The intestinal tract is gas filled, but no intestinal distention is identified. The other abdominal organs are within normal limits. No mass lesions or loss of detail are seen._x000D_
_x000D_
There is severe narrowing of disc spaces and moderate spondylosis involving the thoracolumbar spine. C2-C3 is also suspected to be narrowed. No destructive bone lesions are seen.</t>
  </si>
  <si>
    <t>The appearance of the lungs is consistent with the history of chronic bronchitis. No evidence of pneumonia or heart failure is seen._x000D_
_x000D_
The cause of the recent onset respiratory distress is not apparent=ZZ90= upper airway pathology involving the larynx/pharynx should still be ruled out. Viral infection or allergic reaction aggravating the pre-existing chronic bronchitis should also be considered._x000D_
_x000D_
The gassy appearance of the GI tract is consistent with aerophagia secondary to the respiratory distress._x000D_
There is an unusual mineral opacity associated with the stomach. Clinical significance of this is unclear. It may represent a transient finding of something ingested, vs. an area of pathologic gastric mural mineralization._x000D_
_x000D_
There is evidence of chronic disc degeneration in the thoracolumbar spine.</t>
  </si>
  <si>
    <t>Sedated laryngeal/pharyngeal exam should be considered._x000D_
A straight lateral radiographic view of the larynx may be helpful._x000D_
CBC and serum chemistry is also recommended.</t>
  </si>
  <si>
    <t xml:space="preserve">
1.Minimal cardiomegaly has been detected but Heart Failure is NOT suspected._x000D_
2.SEVERE ALVEOLAR PATTERN; CONCURRENT MODERATE BRONCHOINTERSTITIAL PATTERN; MILD DYNAMIC AIRWAY DISEASE._x000D_
3.Based on these AI airway/pulmonary findings, the probability of this patient having clinically detectable respiratory signs is HIGH (75%)_x000D_
4.Are respiratory signs present? If YES._x000D_
5.Are respiratory signs present? If NO.</t>
  </si>
  <si>
    <t>Orthogonal radiographs of the thorax are provided. There is prominence of the left atrium. Cardiac to thoracic ratio and pulmonary vessel size is normal. There are faint bronchial markings in the periphery. No pleural effusion or intrathoracic lymphadenomegaly. Mild narrowed trachea at the thoracic inlet.</t>
  </si>
  <si>
    <t>1. Faint bronchial markings may be normal for age change versus airway inflammation such as infectious airway disease or inhaled irritants/allergens. Mild narrowed caudal cervical trachea. In this breed, dynamic collapse may be present. This should be correlated with characteristic of the cough and tracheal palpation. No other abnormalities are identified to explain the cough._x000D_
2. Prominent left atrium consistent with mitral valve regurgitation. This is of doubtful clinical significance today, and not responsible for the cough.</t>
  </si>
  <si>
    <t xml:space="preserve">
1.There is no evidence of ALVEOLAR PATTERN, PERIHILAR INFILTRATE, DYNAMIC AIRWAY COLLAPSE or BRONCHIECTASIS, PULMONARY NODULES or PLEURAL EFFUSION._x000D_
2.A moderate bronchial pattern has been detected._x000D_
3.Moderate cardiomegaly has been detected but Heart Failure is NOT suspected.</t>
  </si>
  <si>
    <t>5 images of the thorax and abdomen are provided for review.  The trachea is dorsally deviated, indicating left ventricular enlargement.  There is straightening of the caudal cardiac waist in the region of the left atrium.  No pulmonary infiltrates are seen.  The pulmonary vasculature is normal in size.  The mediastinal and pleural structures are normal.  Abdominal serosal detail is adequate in all quadrants.  The stomach contains a small amount of ingesta.  The small intestines are normal in size.  Gas and feces are present in the colon.  The urinary bladder is small.  The kidneys are small with irregular margins.  The remaining abdominal organs are normal.</t>
  </si>
  <si>
    <t>Radiographically normal abdomen.  Mild left-sided cardiomegaly without current evidence of cardiogenic pulmonary edema.  Echocardiography may be helpful in further evaluation.  Chronic renal changes.  Correlation with serum biochemistry, SDMA, and urinalysis may be helpful.</t>
  </si>
  <si>
    <t>Patient Name : CHIP RAQUENIO, Date of study: Aug 6, 2024
5 images are provided for review (3 lateral, 2 VD).
There are no previous radiographs for comparison.
Findings:
Gastrointestinal tract: The stomach is empty and normal in position. The small intestines are diffusely within normal limits of diameter and are primarily soft tissue opaque. The colon is filled with loosely formed feces and gas.
Liver: The liver is normal in size and shape.
Spleen: The spleen is unremarkable.
Urinary: The visible margins of the kidneys are within normal limits. The urinary bladder is normal in size, shape, and opacity.
Peritoneal space: There is adequate serosal detail.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Musculoskeletal: The included skeletal and superficial soft tissue structures of the study are within normal limits.</t>
  </si>
  <si>
    <t>1. Normal abdomen. There is no evidence of a mechanical gastrointestinal obstruction or mineral/metal opaque foreign body. Gastroenteritis and pancreatitis are not excluded.
2. Normal thorax.</t>
  </si>
  <si>
    <t>Medical management and supportive care are recommended. If clinical signs persist despite treatment, repeated abdominal radiographs or an abdominal ultrasound would be recommended.</t>
  </si>
  <si>
    <t>Patient Name: Banjo Matias, Date of study: Aug 6, 2024
Thorax and abdomen. 8 images are provided for review (5 lateral, 3 VD).
There are no previous radiographs for comparison.
Findings:
Cardiac silhouette: The cardiac silhouette is normal in size and shape (VHS 10.7).
Pulmonary vessels: The pulmonary arteries and veins are normal in size and are symmetrical.
Pulmonary parenchyma: The pulmonary parenchyma is normal with no abnormal pulmonary patterns, nodules, or masses.
Pleural space: The pleural space is within normal limits.
Mediastinum: There is no evidence of intrathoracic lymphadenopathy.
Trachea: The trachea is normal in diameter and course.
Esophagus: The region of the esophagus is within normal limits.
Gastrointestinal tract: The stomach is small in size containing a minimal amount of heterogeneous ingesta admixed with gas. The small intestine is diffusely within normal limits of diameter and distribution. The colon is filled with loosely formed feces and gas.
Liver: The liver is within normal limits of size and shape.
Spleen: The spleen is normal in size with smooth margins.
Urinary: The visible margins of the kidneys are normal. The urinary bladder is moderately distended and normal in opacity.
Peritoneal space: There is adequate serosal detail.
Musculoskeletal: There is moderate spondylosis deformans of L2-3 and L5-6, mild at T12-13.</t>
  </si>
  <si>
    <t>1. Normal thorax. There is no evidence of cardiac enlargement or heart failure. Differentials for the reported murmur include physiological murmur and valvular insufficiency.
2. Normal abdomen. There is no evidence of a mechanical gastrointestinal obstruction or mineral/metal opaque foreign material.
3. There is mild degenerative changes of the caudal thoracic and lumbar spine.</t>
  </si>
  <si>
    <t>If not already performed, CBC, biochemistry, and urinalysis are recommended to screen for systemic disease which may be contributing to clinical signs. proBNP could be considered as a screening test, if elevated, an echocardiogram, EKG, and blood pressure would be recommended.</t>
  </si>
  <si>
    <t xml:space="preserve">
1.The cardiac silhouette size is normal._x000D_
2.There is no evidence of ALVEOLAR PATTERN or PERIHILAR INFILTRATE._x000D_
3.Minimal dynamic airway disease has been detected._x000D_
4.A mild interstitial pattern has been detected.</t>
  </si>
  <si>
    <t>Orthogonal views of the thorax are provided:_x000D_
_x000D_
Thorax:_x000D_
_x000D_
Even if there is an endotracheal tube in place, the radiographs are end expiratory. Pulmonary parenchyma is within normal limits. No evidence of pulmonary nodules/masses._x000D_
Cardiac silhouette has a normal shape and size._x000D_
Pulmonary vessels are within normal limits of size and shape._x000D_
Pleural space, mediastinum, diaphragm and thoracic wall within normal limits.</t>
  </si>
  <si>
    <t>FNAs of the mas and CT of the fore limbs and thorax along with oncologist consultation.</t>
  </si>
  <si>
    <t xml:space="preserve">
1.Are respiratory signs present? If NO._x000D_
2.The cardiac silhouette size is normal._x000D_
3.There is no evidence of PERIHILAR INFILTRATE or PLEURAL EFFUSION._x000D_
4.MILD BRONCHIAL PATTERN; MILD DYNAMIC AIRWAY DISEASE._x000D_
5.Based on these AI airway/pulmonary findings, the probability of this patient having clinically detectable respiratory signs is LOW to MEDIUM (25-50%)_x000D_
6.Are respiratory signs present? If YES.</t>
  </si>
  <si>
    <t>Orthogonal views of the thorax and pelvis and lateral views of both hind limbs are provided. There are six images total._x000D_
_x000D_
The heart is within normal size and shape limits. The caudal vena cava appears diminished. The pulmonary vessels and parenchyma are within normal limits for the age of the patient._x000D_
_x000D_
In the lateral pelvis view, there is an ovoid mineral opacity superimposed over the wing of the ilium that appears to correspond to a similar opacity superimposed over the wing of the right ilium in the VD view. The location suggest this is an endosteal productive or sclerotic lesion. There is a very faint round opacity at the cranial aspect of the right hip in the VD view. No remodeling changes are seen involving the hip joint margins, and the appearance of the femoral head and acetabulum is normal. The left hip is unremarkable._x000D_
No lumbosacral abnormalities are identified._x000D_
_x000D_
There is an osseous body visible within the left stifle joint. There is minimal swelling of the joint capsule. There is mild osteophyte production involving the margins of the left stifle. Small linear and punctate mineral opacities are identified associated with the distal aspect of the left calcaneal tendon. There is mild chronic remodeling involving the distal intertarsal joint._x000D_
_x000D_
The right stifle has more prominent mild to moderate periarticular remodeling. Multiple tiny osseous bodies are seen in the cranial aspect of the stifle joint. There is minimal swelling of the joint capsule. There is mild chronic remodeling involving the distal intertarsal joint.</t>
  </si>
  <si>
    <t>No abnormalities are seen involving the lumbosacral joint or caudal lumbar spine. If the presenting complaint includes hind limb paresis or other neurologic abnormalities, the radiographic findings may not be related to the primary complaint. Soft tissue pathology affecting the cauda equina not visible in the radiographs should still be ruled out._x000D_
_x000D_
There is a small bone island in the wing of the right ilium. The appearance is subjectively benign=ZZ90= this is suspected to be an incidental finding. Similarly, the faint opacity seen at the cranial aspect of the right hip appears subjectively benign and no other changes are seen in the area of the hip joint. The appearance would be compatible with a synovial osteochondroma, but these are more commonly seen associated with chronic degenerative joint disease. Superimposition artifact also cannot be excluded._x000D_
_x000D_
Both stifle joints have intra-articular osseous bodies are suggestive of possible avulsion fragments. This would usually be associated with significant joint effusion, but this is not consistent and is not always present. There are secondary remodeling changes that would be compatible with chronic ligamentous instability. Cruciate ligament injury or meniscal injury should be ruled out in both stifle joints._x000D_
_x000D_
There is evidence of chronic tendinopathy involving the left distal calcaneal tendon. There is no associate swelling, so this is more likely incidental to the current clinical signs._x000D_
_x000D_
There is mild chronic degenerative change involving the distal intertarsal joint of both hind limbs. This is most commonly seen as an incidental finding and is not expected to be related to the presenting complaint._x000D_
_x000D_
The heart and lungs appear normal. Allergic lung disease could still be present._x000D_
The diminished appearance of the caudal vena cava is a finding commonly associated with the hydration. However, this can also be a transient incidental finding.</t>
  </si>
  <si>
    <t>Palpation of the stifle joints under sedation is recommended to best assess joint stability and meniscal integrity.</t>
  </si>
  <si>
    <t>Roxz: There is moderate left-sided cardiomegaly.  There is a diffuse interstitial pattern associated with the caudal dorsal aspect of the right and left caudal lung lobes.  On the ventrodorsal view there is a somewhat circular soft tissue opacity located at the ninth right intercostal space.  There is no evidence of lymphadenopathy or pleural effusion.  On the lateral view there appears to be collapse of the mainstem bronchi._x000D_
_x000D_
Abdomen: There are no abnormalities identified.</t>
  </si>
  <si>
    <t>Left-sided cardiomegaly.  The described pulmonary pattern may represent congestive heart failure._x000D_
_x000D_
The soft tissue opacity located at the ninth right intercostal space most likely represents a summation artifact.  The pulmonary nodule cannot definitively be ruled out.</t>
  </si>
  <si>
    <t xml:space="preserve">
1.A moderate to severe interstitial to alveolar infiltrate with a mild perihilar infiltrate has been identified._x000D_
2.Severe cardiomegaly has been detected but Heart Failure is NOT suspected._x000D_
3.SEVERE PLEURAL EFFUSION; MODERATE TO SEVERE INTERSTITIAL to ALVEOLAR PATTERN; MILD BRONCHIAL PATTERN._x000D_
4.Based on the AI airway/pulmonary findings, the probability of this patient having clinically detectable respiratory signs is VERY HIGH (&gt;75%)_x000D_
5.Severe pleural effusion has been detected._x000D_
6.Are respiratory signs present? If YES._x000D_
7.Are respiratory signs present? If NO.</t>
  </si>
  <si>
    <t>Orthogonal views of the left forelimb including the neck are provided for interpretation._x000D_
_x000D_
There is moderate narrowing of the C3-C4 intervertebral disc space. The soft tissues of the neck are unremarkable. No abnormalities are seen involving the shoulder or scapula._x000D_
_x000D_
There is mild to moderate chronic periarticular remodeling involving the elbow joint. A small elliptical osseous body is seen at the cranial aspect of the joint in the lateral views, and a similarly sized but potentially separate small osseous body is identified at the medial aspect of the elbow in the craniocaudal view. There is an enthesiophyte arising from the lateral epicondyle. No abnormalities are seen involving the carpus. No soft tissue swelling or joint effusion is identified.</t>
  </si>
  <si>
    <t>There is mild to moderate chronic remodeling change consistent with previous injury or osteoarthritis involving the left elbow. This is a probable source for the lameness._x000D_
_x000D_
There is narrowing of the C3-C4 intervertebral disc space consistent with disc degeneration at this location. Clinical relevance is unknown.</t>
  </si>
  <si>
    <t>Symptomatic therapy is recommended as needed.</t>
  </si>
  <si>
    <t xml:space="preserve">
1.The cardiac silhouette size is normal._x000D_
2.There is no evidence of PERIHILAR INFILTRATE or PULMONARY NODULES._x000D_
3.A severe alveolar infiltrate or pulmonary mass has been identified._x000D_
4.Minimal dynamic airway disease has been detected._x000D_
5.Pleural fissure lines or moderate to severe pleural effusion has been detected. An overlying skin fold or in an obese animal, excessive pericardial fat could artifactually mimic the result of severe pleural effusion.</t>
  </si>
  <si>
    <t>Study:_x000D_
Thoracic radiography: three images dated August 6, 2024_x000D_
_x000D_
Findings:_x000D_
The cardiac silhouette (VHS approximately 10.25) and pulmonary vasculature are normal in size. The pulmonary parenchyma is unremarkable. The pleural space is normal. There is no intrathoracic lymphadenopathy. The trachea is normal in diameter and course. The stomach contains heterogeneous soft tissue material presumed to be ingesta. No skeletal abnormalities are present.</t>
  </si>
  <si>
    <t>1) Unremarkable lungs do not exclude a bronchitis of allergic origin vs inflammatory/infectious or parasitic origin vs canine infectious respiratory disease complex.</t>
  </si>
  <si>
    <t>Thorax: Today=ZZ91=s study is compared to a study dated 7/30/2024.  There is moderate to severe left-sided cardiomegaly and mild right-sided cardiomegaly as previous.  The cardiac silhouette has not changed for shape or size.  There is mild diffuse bronchointerstitial pattern as previous.  Faint pleural fissure lines are again noted.  There is no evidence of lymphadenopathy._x000D_
_x000D_
Abdomen: There is diffuse hepatomegaly as previous.  Bilateral nephroliths are again noted.</t>
  </si>
  <si>
    <t>Static cardiomegaly without evidence of decompensation._x000D_
_x000D_
Static faint pleural fissure lines which may be incidental or possible trace pleural effusion._x000D_
_x000D_
Static diffuse hepatomegaly._x000D_
_x000D_
Static bilateral nephroliths.</t>
  </si>
  <si>
    <t xml:space="preserve">
1.A moderate to severe interstitial to alveolar pattern has been detected._x000D_
2.MODERATE DYNAMIC AIRWAY DISEASE; MILD BRONCHIAL PATTERN._x000D_
3.Based on these AI airway/pulmonary findings, the probability of this patient having clinically detectable respiratory signs is MEDIUM (50%)_x000D_
4.Are respiratory signs present? If YES._x000D_
5.Are respiratory signs present? If NO._x000D_
6.A concurrent bronchial pattern has been detected._x000D_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suspected._x000D_
9.A severe alveolar pattern has been detected._x000D_
10.A severe perihilar infiltrate has been detected.</t>
  </si>
  <si>
    <t>Thorax: The cardiac silhouette and pulmonary vasculature are unremarkable.  There is a mild bronchointerstitial pattern.  There is no evidence of pleural effusion or lymphadenopathy.  On the visible portions of the abdomen there is a large fat opacity which appears to be associated with the spleen.  The remainder of the visible portions of the abdomen are unremarkable.</t>
  </si>
  <si>
    <t>Mild bronchointerstitial pattern which may be age-related or bronchitis._x000D_
_x000D_
Suspect lipoma associated with the spleen.</t>
  </si>
  <si>
    <t xml:space="preserve">
1.Pleural fissure lines or moderate to severe pleural effusion has been detected. An overlying skin fold or in an obese animal, excessive pericardial fat could artifactually mimic the result of severe pleural effusion._x000D_
2.MILD BRONCHOINTERSTITIAL PULMONARY PATTERN; MINIMAL to MILD PERIHILAR PATTERN._x000D_
3.Based on the AI airway/pulmonary findings, the probability of this patient having clinically detectable respiratory signs is LOW (25%)_x000D_
4.In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5.In the PRESENCE of respiratory signs, low grade active pneumonitis (allergic, bacterial, parasitic (including heartworm disease), inhaled allergen or toxin) or upper airway disease causing pulmonary hypoinflation and/or recurrent microaspiration may be more likely._x000D_
6.The cardiac silhouette size is normal.</t>
  </si>
  <si>
    <t>Four orthogonal survey radiographs of the thorax and abdomen dated 6th August 2024 are available for review. There are no previous radiographs available for comparison. _x000D_
_x000D_
Thorax:_x000D_
Airway findings: The trachea is elevated within the thorax. There is narrowing of the mainstem bronchi. There is widening of the tracheal bifurcation. Throughout the lung parenchyma there is a moderate interstitial opacification, most prominent in the perihilar region. Thin pleural fissure lines are present. No nodules or masses are seen._x000D_
_x000D_
Cardiovascular findings: There is a moderate sized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80% of the width of the thoracic volume. There is increased cardiac sternal contact. The cranial and caudal pulmonary vasculature are enlarged. The caudal vena cava is enlarged._x000D_
_x000D_
Mediastinum and pleural space: There is mild ventral soft tissue attenuation consistent with mild pleural effusion._x000D_
_x000D_
Musculoskeletal findings: No significant abnormalities are detected._x000D_
_x000D_
Abdomen: There is loss of serosal detail. The hepatic silhouette is enlarged. The stomach is mainly empty. The small intestines are diffusely mildly filled with fluid and gas and soft tissue opaque material. The descending colon is gas-filled. The urinary bladder is small. The spleen is normal. The kidneys are partially obscured by gastrointestinal contents, but the visible aspect are normal.</t>
  </si>
  <si>
    <t>1.Mainly left sided cardiomegaly with pulmonary venous distension and cardiogenic pulmonary edema consistent with left sided congestive heart failure. Ddx: myxomatous degeneration of the mitral (+- tricuspid) valves with post-capillary pulmonary hypertension vs systolic dysfunction (DCM)._x000D_
2. The interstitial opacification is most likely due to cardiogenic pulmonary oedema. Lower airway infectious/inflammatory disease is less likely._x000D_
3. The loss of serosal detail is likely due to ascites due to increased central venous pressures._x000D_
4. The hepatomegaly is most likely due to congestion secondary to right-sided failure. Alternatively, the hepatomegaly may be due to vacuolar hepatopathy, or underlying endocrine disease.</t>
  </si>
  <si>
    <t xml:space="preserve">
1.A severe perihilar infiltrate has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4.SEVERE INTERSTITIAL TO ALVEOLAR PATTERN; SEVERE BRONCHIAL PATTERN; SEVERE DYNAMIC AIRWAY DISEASE._x000D_
5.Based on these AI airway/pulmonary findings, the probability of this patient having clinically detectable respiratory signs is VERY HIGH (&gt;75%)_x000D_
6.Are respiratory signs present? If YES._x000D_
7.Are respiratory signs present? If NO.</t>
  </si>
  <si>
    <t>Six orthogonal thoracic radiographs dated 6th August 2024 are available for review. There are no previous radiographs available for comparison. _x000D_
_x000D_
Airway findings: The cervical and thoracic trachea have a normal size, outline and position. The carina, tracheal bifurcation and mainstem bronchi are normal. Throughout the lung parenchyma there is a mild interstitial opacification. The thorax is mildly hypoinflated._x000D_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</si>
  <si>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The interstitial opacification is likely due to mild hypoinflation and body habitus, however a mild viral pneumonia is possible. An upper airway abnormality such as laryngitis, pharyngitis, mild mixed tracheobronchitis is possible.</t>
  </si>
  <si>
    <t>Evaluate for upper airway disease as clinically indicated. Observational management is advised. Depending on clinical progression, respiratory workup including CBC, serum chemistry, urinalysis, Baermann faecal testing, 4DX, +/- respiratory panel or fungal testing as indicated is advised.</t>
  </si>
  <si>
    <t>Seven radiographs of the thorax and abdomen are provided. The cardiac silhouette and pulmonary vessels are normal size and shape. On the edge of the VD abdominal view and on the 1st VD thoracic view, there is a small area of well delineated soft tissue opacity in the right 4th intercostal space. This is not definitively seen on the left lateral view. No other pulmonary parenchymal abnormalities. Tracheal diameter is adequate and uniform. There is no pleural effusion. No esophageal dilation._x000D_
_x000D_
In the abdomen the prostate is mildly enlarged and soft tissue opaque. No radiopaque urolithiasis. Small round soft tissue density ventral to L5-6 is end-on deep circumflex iliac vessel. Normal-sized kidneys, spleen, liver. The gastrointestinal tract is mildly filled. No osseous abnormalities.</t>
  </si>
  <si>
    <t>1. Increased right cranial lung opacity only on the VD projections. Focal/mild pneumonia is most likely. Artifact caused by superimposed extrathoracic tissue is next on the differential list. Otherwise normal thorax._x000D_
2. Mild prostatomegaly, likely due to benign hyperplasia and relatively recent neuter. No other abdominal abnormalities.</t>
  </si>
  <si>
    <t>Consider airway cytology. With the epistaxis, there is also concern for intranasal disease (foreign material, rhinitis, less likely neoplasia), therefore additional imaging of the head such as nasal computed tomography should be considered.</t>
  </si>
  <si>
    <t xml:space="preserve">
1.The cardiac silhouette size is normal._x000D_
2.There is no evidence of PERIHILAR INFILTRATE or DYNAMIC AIRWAY COLLAPSE or BRONCHIECTASIS._x000D_
3.A moderate interstitial to alveolar pattern has been detected.</t>
  </si>
  <si>
    <t>Study:_x000D_
Thoracic and abdominal radiography: five images dated August 6, 2024_x000D_
_x000D_
Findings:_x000D_
The cardiac silhouette and pulmonary vasculature are normal in size. There is moderate bilateral pleural effusion. There is associated reduced lung volume/atelectasis. No pulmonary nodules or masses are present. The pleural space is normal. There is no apparent intrathoracic lymphadenopathy. There is a broad-based soft tissue opaque band superimposed with the dorsal aspect of the trachea lumen representing superposition of the esophagus, superimposition of the hypaxial musculature or a redundant dorsal tracheal membrane. There is a moderate amount of peritoneal effusion. The stomach contains a small volume of gas. The small intestines are normal in size, course and content. The colon contains formed fecal material. The liver is severely enlarged with smooth margins. The spleen is normal in size and margin. The renal silhouettes are normal in size and contour. The urinary bladder is normal in size and opacity. There is mild multifocal thoracolumbar spondylosis deformans. There is mild bilateral stifle periarticular bone formation.</t>
  </si>
  <si>
    <t>1. Non-specific bicavitary effusion. A cause is not radiographically evident. Differentials include infection, inflammation, bile peritonitis and pleuritis, pancreatitis, cardiac disease (unlikely in the absence of any cardiomegaly), neoplasia, hypoproteinemia, coagulopathy and nonneoplastic liver disease._x000D_
2. The generalized hepatomegaly is nonspecific. Rule out metabolic/vacuolar hepatopathy, hyperplasia, hepatitis or neoplasia. Sonography can be considered for further evaluation._x000D_
3. Mild bilateral stifle osteoarthrosis.</t>
  </si>
  <si>
    <t>Recommend abdominal sonography, abdominocentesis and/or thoracocentesis with fluid analysis for further evaluation.</t>
  </si>
  <si>
    <t xml:space="preserve">
1.SEVERE INTERSTITIAL TO ALVEOLAR PATTERN; SEVERE BRONCHIAL PATTERN; MILD DYNAMIC AIRWAY DISEASE._x000D_
2.Based on these AI airway/pulmonary findings, the probability of this patient having clinically detectable respiratory signs is VERY HIGH (&gt;75%)_x000D_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</si>
  <si>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Opposite lateral and VD views of the thorax and abdomen are provided._x000D_
_x000D_
There is moderate dynamic narrowing of the cervical trachea. No esophageal abnormalities are identified. There is a mild diffuse bronchial pulmonary pattern. The cardiovascular structures are within normal limits._x000D_
_x000D_
The liver is moderately enlarged, with normal shape and smooth margins. The other abdominal organs are unremarkable. The GI tract appears empty and otherwise normal. No mass effect or loss of detail are seen in the abdomen._x000D_
_x000D_
No spinal abnormalities are identified. No destructive or productive bone lesions are seen.</t>
  </si>
  <si>
    <t>The liver is enlarged. Possible etiologies would include endocrine associated hepatopathies or other metabolic liver disease, neoplasia such as hepatic lymphoma, or hepatitis. Relevance to the presenting complaint is unknown. The rest of the abdomen is unremarkable._x000D_
_x000D_
There is a mild bronchial pulmonary pattern which would be most compatible with prominent age related change or chronic bronchitis of and idiopathic or allergic nature. Relevance to the presenting complaint is probably limited in the absence of significant coughing._x000D_
The moderate dynamic narrowing of the cervical trachea could also be contributing to cough, if present._x000D_
_x000D_
The patient has overweight, but no other significant musculoskeletal abnormalities are identified.</t>
  </si>
  <si>
    <t>Relevance of the reported anatomic abnormalities to the clinical signs is unknown, but liver pathology is a concern._x000D_
_x000D_
Ultrasound evaluation cytology of the liver may be indicated depending on lab results and response to therapy.</t>
  </si>
  <si>
    <t xml:space="preserve">
1.There is no evidence of ALVEOLAR PATTERN, PERIHILAR INFILTRATE, DYNAMIC AIRWAY COLLAPSE or BRONCHIECTASIS, PULMONARY NODULES or PLEURAL EFFUSION._x000D_
2.Mild cardiomegaly has been detected but Heart Failure is NOT suspected._x000D_
3.A mild bronchial pattern has been detected.</t>
  </si>
  <si>
    <t>Three orthogonal thoracic radiographs dated 6th August 2024 are available for review. These are compared with previous radiographs dated 7th February 2024._x000D_
_x000D_
Thorax:_x000D_
Airway findings: The trachea is elevated within the thorax. There is widening of the tracheal bifurcation. Throughout the lung parenchyma there is a mild interstitial opacification, most prominent in the perihilar region. Thin pleural fissure lines are present. No nodules or masses are seen._x000D_
_x000D_
Cardiovascular findings: There is a moderate sized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80% of the width of the thoracic volume. The cranial and caudal pulmonary vasculature are within upper normal limits. The caudal vena cava is enlarged._x000D_
_x000D_
Mediastinum and pleural space: There is mild ventral soft tissue attenuation consistent with mild pleural effusion._x000D_
_x000D_
Musculoskeletal findings: No significant abnormalities are detected._x000D_
_x000D_
Included abdomen: There is moderate hepatomegaly</t>
  </si>
  <si>
    <t>1.Mainly left sided cardiomegaly with pulmonary venous distension and cardiogenic pulmonary edema consistent with left sided congestive heart failure. Ddx: myxomatous degeneration of the mitral (+- tricuspid) valves with post-capillary pulmonary hypertension vs systolic dysfunction (DCM). The cardiomegaly has mildly deteriorated in comparison with previous images._x000D_
2. The interstitial opacification is most likely due to cardiogenic pulmonary oedema. Lower airway infectious/inflammatory disease is less likely._x000D_
3. The hepatomegaly is most likely due to vacuolar hepatopathy, or underlying endocrine disease. Alternatively, congestion due to right-sided insufficiency is possible.</t>
  </si>
  <si>
    <t xml:space="preserve">
1.Based on these AI airway/pulmonary findings, the probability of this patient having clinically detectable respiratory signs is MEDIUM to HIGH (50-75%)_x000D_
2.Based on the AI airway/pulmonary findings, the probability of this patient having clinically detectable respiratory signs is MEDIUM (50%)_x000D_
3.Are respiratory signs present? If YES._x000D_
4.Are respiratory signs present? If YES._x000D_
5.Are respiratory signs present? If NO._x000D_
6.Are respiratory signs present? If NO._x000D_
7.MILD to MODERATE BRONCHINTERSTITIAL PATTERN with ATELECTASIS or less likely, PNEUMONIA; MILD DYNAMIC AIRWAY DISEASE._x000D_
8.MILD INTERSTITIAL TO ALVEOLAR PATTERN; MILD DYNAMIC AIRWAY DISEASE; MILD PERIHILAR INFILTRATE._x000D_
9.Pleural fissure lines or moderate to severe pleural effusion has been detected. An overlying skin fold or in an obese animal, excessive pericardial fat could artifactually mimic the result of severe pleural effusion._x000D_
10.Severe cardiomegaly has been detected but Heart Failure is NOT suspected.</t>
  </si>
  <si>
    <t>5 images of the thorax and abdomen are presented for review.  The cardiovascular structures are normal.  There is a moderate increase in bronchial markings in all lung lobes.  The pleural and mediastinal structures are normal.  Abdominal serosal detail is adequate in all quadrants.  The stomach contains a small amount of soft tissue material.  The small intestines are normal in size.  Gas and feces are present in the colon.  The urinary bladder is small.  The remaining abdominal organs are normal.</t>
  </si>
  <si>
    <t>Moderate bronchial pulmonary pattern=ZZ90= consider early bronchopneumonia, bronchitis, response to inhaled irritants, response to circulating parasites, eosinophilic bronchopneumopathy.  Airway sampling may be helpful in further evaluation.  _x000D_
_x000D_
Material within the stomach may represent residual ingesta or foreign material.  Consider repeat radiographs following strict fasting to determine if gastric contents persist.</t>
  </si>
  <si>
    <t>Patient Name: Prince Chiaventone, Date of study: Aug 2, 2024
Canine Thorax (2 Images) - 1 Lateral, 1 VD
There are no previous radiographs for comparison.
Findings:
Cardiac silhouette: There is mild enlargement and rounding in the region of the left atrium. The cardiac silhouette is increased in height causing dorsal displacement of the carina.
Pulmonary vessels: The pulmonary arteries and veins are within normal limits of size and are symmetrical.
Pulmonary parenchyma: There is a mild diffuse bronchointerstitial pulmonary pattern. There is no evidence of pulmonary consolidation, nodules, or masses.
Pleural space: The pleural space is within normal limits.
Mediastinum: The cranial mediastinum is normal in width. There is no evidence of intrathoracic lymphadenopathy.
Trachea: The trachea is normal in diameter.
Esophagus: The region of the esophagus is within normal limits.
Cranial abdomen: The stomach is filled with heterogeneous ingesta admixed with gas. There is adequate serosal detail in the cranial abdomen.
Musculoskeletal: There is mild spondylosis deformans of T13-L1 and L1-2. The remaining skeletal and superficial soft tissue structures of the study are within normal limits.</t>
  </si>
  <si>
    <t>1. There is mild left-sided cardiomegaly. The primary differential is myxomatous mitral valve disease. There is no evidence of heart failure.
2. Mild diffuse bronchointerstitial pulmonary pattern. Differentials include age-related changes, fibrosis from prior disease, or chronic bronchitis from allergic, infectious/inflammatory, parasitic, and irritant etiologies.</t>
  </si>
  <si>
    <t>An echocardiogram, EKG, and blood pressure are recommended to further evaluate the heart. If there is any clinical evidence of respiratory disease such as coughing, airway sampling would be recommended to guide treatment (respiratory PCR, transtracheal wash). A Baermann fecal analysis could be considered to screen for lung worms.</t>
  </si>
  <si>
    <t>Three orthogonal thoracic radiographs dated 6th August 2024 are available for review. There are no previous radiographs available for comparison. Both lateral images are severely obliqued limiting interpretation._x000D_
_x000D_
Airway findings: The trachea is dorsally displaced. The left mainstem bronchus is compressed. The pulmonary parenchyma is normal._x000D_
_x000D_
Cardiovascular findings: The cardiac silhouette is comparable to previous radiographs, with severe left atrial and irregular dilation, upright caudal cardiac contour, overall increased cardiac silhouette size, but normal cardiac sternal contact. The pulmonary veins are within upper normal limits for size. The aorta and caudal vena cava are normal._x000D_
_x000D_
Mediastinum and pleural space: No significant abnormalities are detected._x000D_
_x000D_
Musculoskeletal findings: No significant abnormalities are detected._x000D_
_x000D_
Included abdomen: [ ]</t>
  </si>
  <si>
    <t>1. The cardiac silhouette findings are comparable to previous radiographs._x000D_
2. The previously described interstitial opacification is not visible, consistent with control of the cardiogenic pulmonary oedema.</t>
  </si>
  <si>
    <t>The previously present cardiac insufficiency is likely controlled for by medication. Depending on clinical progression, consider repeat ECG, blood pressure measurements and echocardiography. Continue radiographic monitoring.</t>
  </si>
  <si>
    <t xml:space="preserve">
1.Are respiratory signs present? If NO._x000D_
2.Severe cardiomegaly has been detected but Heart Failure is NOT suspected._x000D_
3.MILD BRONCHOINTERSTITIAL PULMONARY PATTERN; MILD PERIHILAR INFILTRATE; MILD DYNAMIC AIRWAY DISEASE; ATELECTASIS or less likely, pneumonia._x000D_
4.Based on the AI airway/pulmonary findings, the probability of this patient having clinically detectable respiratory signs is MEDIUM (50%)_x000D_
5.Are respiratory signs present? If YES.</t>
  </si>
  <si>
    <t>3 views of the thorax are provided for review and compared with the study dated 7/4/2024.  The cardiovascular structures are normal.  The pulmonary vasculature is normal in size.  Interstitial to early alveolar opacity is present in the right cranial, right middle, ventral aspect of the proximal right caudal, and the caudal subsegment of the left cranial lung lobes.  This is overall improved from previous images with an overall more cranioventral distribution than previously.  The mediastinal and pleural structures are normal.  Cranial abdominal detail is adequate.</t>
  </si>
  <si>
    <t>Improved pulmonary infiltrates with persistence as described.  The current distribution is not typical for cardiogenic pulmonary edema and there is no cardiac enlargement or pulmonary venous congestion to suggest an underlying cardiac cause.  However, given previous response to diuretic therapy, cardiogenic pulmonary edema cannot be completely excluded, particularly as diuretic therapy may change the distribution of cardiogenic edema.  Consider BNP or echocardiography with repeat radiographs following diuretic therapy to initially rule in/out a cardiac cause.  With the current distribution, bronchopneumonia, hemorrhage, or neoplasia would typically be more likely and if the patient does not respond to diuretic therapy airway sampling may be helpful.</t>
  </si>
  <si>
    <t xml:space="preserve">
1.Pleural fissure lines or moderate to severe pleural effusion has been detected. An overlying skin fold or in an obese animal, excessive pericardial fat could artifactually mimic the result of severe pleural effusion._x000D_
2.The cardiac silhouette size is normal._x000D_
3.A severe interstitial to alveolar pattern has been detected._x000D_
4.Moderate bronchointerstitial pulmonary pattern detected._x000D_
5.The evaluation has a strong suspicion of pulmonary nodules or mass lesion being present._x000D_
6.A mild perihilar infiltrate has been detected._x000D_
7.Moderate bronchial and severe alveolar pattern.</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</si>
  <si>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beyond the costal arch.  The stomach contains a moderate amount of ingesta.  The small intestines are normal in size.  Gas and feces are present in the colon.  The urinary bladder is small.  The remaining abdominal organs are normal.</t>
  </si>
  <si>
    <t xml:space="preserve">
1.A minimal to mild bronchointerstitial pulmonary pattern has been detected._x000D_
2.Mild cardiomegaly has been detected but Heart Failure is NOT suspected._x000D_
3.There is no evidence of PERIHILAR INFILTRATE, DYNAMIC AIRWAY COLLAPSE or BRONCHIECTASIS, PULMONARY NODULES or PLEURAL EFFUSION.</t>
  </si>
  <si>
    <t>Opposite lateral and VD views of the thorax and abdomen are provided._x000D_
_x000D_
Heart is at the upper limit of normal range to slightly enlarged overall. VHS is equivocal at 11.2. The caudal waist of the cardiac silhouette has a straight appearance suggesting mild left atrial dilation could be present. Pulmonary vessels are normal. Interstitial lung opacity is mildly increased compatible with age related change. No pulmonary nodules or pleural effusion are identified._x000D_
_x000D_
There is a discrete round mass in the left caudal abdomen that measures approximately 7 cm. A specific organ of origin cannot be determined, although the mass approximates the edge of the spleen in the lateral views._x000D_
There is also a rounded soft tissue shadow concerning for another mass in the range of 6 cm in the right cranial abdomen. This mass appears as if it might be arising from the right side of the liver. The liver is enlarged overall. The other organs are within normal limits. Serosal detail in the abdomen is normal._x000D_
_x000D_
The patient has overweight body condition. There is metal hardware in the right distal humerus consistent with a previous surgery. Moderate to severe chronic remodeling is evident involving both elbows. No destructive bone lesions are seen.</t>
  </si>
  <si>
    <t>There is a discrete round mass in the left caudal abdomen. Although a definitive organ of origin cannot be determined from the radiographs, this mass most likely arises from the spleen. Intestinal origin should also be ruled out._x000D_
_x000D_
There is a mass-like shadow in the right cranial abdomen that is slightly smaller and also compatible with a mass lesion. This appears as if it might be arising from the right side liver, but splenic origin still cannot be entirely excluded._x000D_
_x000D_
No loss of detail to suggest abdominal hemorrhage is identified. The other organs are within normal limits._x000D_
_x000D_
Heart size is borderline. Mild left atrial dilation is suspected._x000D_
No evidence of neoplasia is seen in the thorax.</t>
  </si>
  <si>
    <t>Additional imaging of the abdomen such as CT or specialty ultrasound should be considered to further define the origin of reported mass lesions. Neoplasia involving more than one organ may be present._x000D_
_x000D_
Echocardiography should also be considered. The need for cardiac medications is equivocal based on the radiographic appearance of the heart.</t>
  </si>
  <si>
    <t xml:space="preserve">
1.Severe cardiomegaly has been detected but Heart Failure is NOT suspected._x000D_
2.There is no evidence of PLEURAL EFFUSION._x000D_
3.MINIMAL to MILD BRONCHOINTERSTITIAL PULMONARY PATTERN; MILD DYNAMIC AIRWAY DISEASE; FOCAL ATELECTASIS, or less likely, ALVEOLAR INFILTRATE._x000D_
4.MILD BRONCHOINTERSTITIAL PULMONARY PATTERN; MILD DYNAMIC AIRWAY DISEASE; MINIMAL PERIHILAR INFILTRATE._x000D_
5.Based on these AI airway/pulmonary findings, the probability of this patient having clinically detectable respiratory signs is MEDIUM (50%)_x000D_
6.Based on these AI airway/pulmonary findings, the probability of this patient having clinically detectable resspiratory signs is LOW (25%)_x000D_
7.Are respiratory signs present? If YES._x000D_
8.Are respiratory signs present? If YES._x000D_
9.Are respiratory signs present? If NO._x000D_
10.Are respiratory signs present? If NO.</t>
  </si>
  <si>
    <t>Four radiographs of the thorax are provided. Images dated 1/11/24 are available for comparison. The cardiac silhouette and pulmonary vessels are normal size and shape. There is soft tissue opacity with air bronchograms in the ventral aspect of the right middle lung lobe. There is a well-defined round 1.4 cm soft tissue opaque nodule in the craniodorsal lungs on the lateral views, not definitively seen on the VD projections. No pleural effusion. No esophageal dilation. Ovoid 1.6 cm mineralized caudoventral extrathoracic mineralized nodule, of uncertain significance.</t>
  </si>
  <si>
    <t>1. Aspiration pneumonia in the right middle lung lobe._x000D_
2. Solitary pulmonary nodule in the cranial lungs, significantly concerning for neoplasia. This may be primary pulmonary neoplasia or metastatic disease from a distant site. A solitary small pulmonary abscess is given lesser consideration.</t>
  </si>
  <si>
    <t>Antibiotics are recommended for aspiration pneumonia, along with repeat three view thoracic radiographs upon completion to monitor for resolution of pneumonia and to confirm persistence of the pulmonary nodule.</t>
  </si>
  <si>
    <t>Orthogonal views of the thorax and abdomen dated 8-5-24 and follow up fasted abdomen radiographs made 8-6-24 are provided for interpretation and comparison._x000D_
_x000D_
The cardiovascular structures are within normal limits. Bronchial markings are mildly increased above average but within the limits of what might be expected as a breed associated appearance. No tracheal or esophageal abnormalities are identified. There are multiple congenital hemivertebrae in the cranial thoracic and caudal thoracic spine. The lumbar spine and pelvis are within normal limits._x000D_
Small quantity of amorphous soft tissue dense ingesta is present in the stomach in the initial radiographs. There is a small quantity of soft appearing fecal material in the colon as well as one small mineral density compatible with a tiny rock in the descending colon. The appearance of the urinary tract and the other organs is unremarkable._x000D_
_x000D_
In the follow up fasted radiographs made the next day, the upper GI tract appears empty. There is a small quantity of soft appearing fecal material in the colon. The tiny rocks seen in the previous study is no longer present. No dilation of the stomach or intestine is identified. The other organs are unremarkable. Serosal detail is normal.</t>
  </si>
  <si>
    <t>No significant anatomic abnormalities are identified involving the esophagus or the gastrointestinal tract. The urinary tract is also unremarkable._x000D_
There are breed associated congenital vertebral deformities in the thoracic spine which are presumed incidental._x000D_
_x000D_
No findings that would explain the presenting complaint of regurgitation are identified.</t>
  </si>
  <si>
    <t>Symptomatic therapy for possible gastritis/gastroenteritis or pancreatitis is recommended.</t>
  </si>
  <si>
    <t>3 images of the thorax and abdomen are presented for review.  The trachea is narrowed in the cervical region, worse on the left lateral view.  The cardiac silhouette is mildly generally enlarged.  There is a diffuse interstitial pulmonary pattern that is considered appropriate for the age of the patient.  No pulmonary nodules or enlarged intrathoracic lymph nodes are seen.  Thin pleural fissure lines present.  The mediastinal structures are normal.  Abdominal serosal detail is mildly reduced in the right cranial quadrant.  The stomach contains a moderate amount of ingesta.  The small intestines are normal in size.  Gas and feces are present in the colon.  The urinary bladder is small.  The kidneys are small with irregular margins.  The remaining abdominal organs are normal.  There is narrowing of the intervertebral disc space and spondylosis deformans at L2-3.</t>
  </si>
  <si>
    <t>Chronic renal changes.  Reduced serosal detail in the right cranial abdomen may indicate focal peritonitis such as secondary to pancreatitis or other causes such as neoplasia.  Abdominal ultrasound may be helpful.  Scant pleural effusion.  Mild generalized cardiomegaly.  Echocardiography and thoracic ultrasound for fluid sampling may be helpful.  Lumbar changes consistent with chronic intervertebral disc herniation.</t>
  </si>
  <si>
    <t xml:space="preserve">
1.A mild perihilar infiltrate has been detected._x000D_
2.Pleural fissure lines or moderate to severe pleural effusion has been detected. An overlying skin fold or in an obese animal, excessive pericardial fat could artifactually mimic the result of severe pleural effusion._x000D_
3.Mild cardiomegaly has been detected but Heart Failure is NOT suspected._x000D_
4.SEVERE INTERSTITIAL TO ALVEOLAR PATTERN; MODERATE BRONCHIAL PATTERN; MODERATE DYNAMIC AIRWAY DISEASE._x000D_
5.Based on these AI airway/pulmonary findings, the probability of this patient having clinically detectable repsiratory signs is VERY HIGH (&gt;75%)_x000D_
6.Are respiratory signs present? If YES._x000D_
7.AI linked pneumonia in dogs article: https://platform.v2.vetology.net/doc/pneumonia-in-dogs-and-cats_x000D_
8.Are respiratory signs present? If NO.</t>
  </si>
  <si>
    <t>A single lateral thoracic radiograph dated 6th August 2024 are available for review. There are no previous radiographs available for comparison. _x000D_
_x000D_
Airway findings: The cervical and thoracic trachea have a normal size, outline and position. The carina, tracheal bifurcation and mainstem bronchi are normal. Throughout the lung parenchyma there is a severe bronchointerstitial opacification. In the caudal dorsal lung region this intensifies to almost an alveolar pattern. A ventrodorsal image is not available to spatially correlate. Cranioventral to the cardiac silhouette there are some poorly marginated soft tissue opacities._x000D_
_x000D_
Cardiovascular findings: The cardiac silhouette is normal in shape, size and margination. The single visible cranial pulmonary artery is distended. The caudal vena cava is normal. The mainstem vessels are poorly visible._x000D_
_x000D_
Mediastinum and pleural space: Thin pleural fissure lines are present._x000D_
_x000D_
Musculoskeletal findings: No significant abnormalities are detected._x000D_
_x000D_
Included abdomen: No significant abnormalities are detected.</t>
  </si>
  <si>
    <t>1. The bronchointerstitial opacification is consistent with severe lower airway disease, either viral-bacterial bronchitis/bronchopneumonia, parasitic bronchitis, heart worm or fungal disease. The enlarged cranial pulmonary artery raises suspicion of heartworm. The cranial ventral opacities may be granulomata, abscesses, but may be also neoplastic (metastases, round cell infiltration)</t>
  </si>
  <si>
    <t>A 3 view thoracic series is indicated. Respiratory workup including CBC, serum chemistry, urinalysis, Baermann faecal testing, 4DX, +/- respiratory panel or fungal testing is indicated. Empirical therapy for lower airway disease, empirical deworming, is advised.If the patient=ZZ91=s signs continue despite supportive care, bronchoscopy/BAL vs. endotracheal wash +/- consultation with an Internist should be considered. Repeat radiographs prior to end of therapy.</t>
  </si>
  <si>
    <t xml:space="preserve">
1.A mild perihilar infiltrate has been detected._x000D_
2.Pleural fissure lines or small volume pleural effusion has been detected. In a mildly overweight animal, excessive pericardial fat can artifactually mimic the result of minimal pleural effusion._x000D_
3.The cardiac silhouette size is normal._x000D_
4.Are respiratory signs present? If NO._x000D_
5.A mild to moderate interstitial to alveolar pattern has been detected._x000D_
6.Moderate bronchointerstitial pulmonary pattern detected._x000D_
7.PULMONARY NODULAR PATTERN; MINIMAL INTERSTITIAL PULMONARY PATTERN._x000D_
8.Based on these AI airway/pulmonary findings, the probability of this patient having clinically detectable respiratorysigns is LOW (25%)_x000D_
9.A FALSE POSITIVE result for the pulmonary nodular pattern due to pulmonary osteomas, cutaneous nodules or nipples overlying the thorax; prominentcostochondral junctions or end-on pulmonary vessels is suspected.._x000D_
10.Are respiratory signs present? If YES.</t>
  </si>
  <si>
    <t xml:space="preserve">Patient Name: Layla Mcaleer, Date of study: Aug 6, 2024
3 images are provided for review
Canine Thorax (3 Images) - 1 VD, 2 Lateral
Prior radiographs (Case ID 1427282) representing an approximate 5 year recheck. 
Thorax:
Airway/pulmonary parenchyma: The lungs are hypoinflated on all projections. On the lateral projections, a diffuse bronchial pattern is present, mildly improved in the recheck interim but there is mild progression to the bronchiectasis. On the VD projection, a pulmonary infiltrate overlying the left cranial lung lobe has resolved in the recheck interim while focal heavy interstitial to alveolar infiltrate overlies the right middle and right caudal lung lobes. No pulmonary nodules are noted. 
Cardiovascular: The height of the cardiac silhouette has decreased in the recheck interim resulting in ventral positioning to the carina. The width of the heart on the lateral projection has increased in the recheck interim. On the VD projection, cardiac size has increased, particularly the left ventricle. The pulmonary vasculature in the lung periphery has also decreased in the recheck interim and an enlarged main pulmonary artery dorsal to the carina on the previous lateral projections has resolved in the recheck interim.  
Mediastinum: On the right lateral projection, the cranial mediastinum has increased in height in the recheck interim and the cranial thoracic trachea has become more dorsally positioned in the thorax in the recheck interim. This latter finding is atypical as the cardiac height has decreased in the recheck interim.  On the VD projection, the aortic root is further left lateral than on the previous study which may be secondary to aortic root enlargement, or a soft tissue structure positioned axial to the aorta causing lateral displacement. Fluid is present in the caudal thoracic esophagus on both study dates. The quantity of pericardial fat has mildly increased in the recheck interim consistent with an overall increase in body habitus in the recheck interim. 
Pleural space: Normal
Cranial abdomen: Minimal hepatomegaly is present, and liver size has increased in the recheck interim. 
Msk: Bone density appears to have slightly decreased diffusely in the recheck interim. On the VD projection, a stippled mineral opacity is positioned axial to the right 9th costochondral junction. A lesion is not definitively identified on the visible portion of the 9th rib on the lateral projections however a portion of the 9th rib and costochondral junction are not visible on the lateral projection. </t>
  </si>
  <si>
    <t xml:space="preserve">1) Fluid in the caudal thoracic esophagus. Concurrent bronchial pattern with bronchiectasis. Rule out chronic gastroesophageal reflux disease and recurrent microaspiration. This could explain the clinical signs.
2) Right lung patchy infiltrates. DDx: focal pneumonia vs. regions of partial atelectasis. No discrete soft tissue pulmonary nodules noted.   
3) Hypoinflation on all projections. Rule out pulmonary fibrosis secondary to chronic lower airway disease vs. secondary to abdominal distention vs. sedation at the time of the current radiographs.
4) Cardiomegaly with left ventricular enlargement. Rule out systemic hypertension given this finding and the suspected increase in aortic root size in the recheck interim. A component of right heart enlargement associated with cor pulmonale cannot be excluded from this study. 
5) Mild cranial mediastinal widening. DDx: secondary to fat deposition vs. secondary to lymphadenopathy. If lymphadenopathy is present, this is a secondary consideration for the aortic root appearance on the recent study. 
6) Mineral opacity adjacent to the right 9th rib on the VD projection. DDx: GI contents suspected over an osseous lesion.  
Several of the findings could be associated with chronic renal disease and dehydration. Assess bloodwork and urinalysis for evidence of chronic renal disease. </t>
  </si>
  <si>
    <t xml:space="preserve">Empirical therapy for potential focal pneumonia and gastroesophageal reflux disease with recheck thoracic radiographs in 10-14 days, sooner if clinically warranted. Inclusion of the right 9th rib on all projections on the recheck study to rule in/out an osseous lesion. 
Further evaluation of the cranial mediastinum via ultrasound and/or thoracic CT to assess for a mass. Echocardiogram to further evaluate the heart. 
Further evaluation of the abdomen via ultrasound or abdominal CT to assess for hepatic disease and/or renal disease. Bloodwork and urinalysis if not recently performed. </t>
  </si>
  <si>
    <t>Opposite lateral and ventrodorsal thoracic radiographs (3 images) dated August 6, 2020 for accompanied by a dorsoventral radiograph from the day prior._x000D_
_x000D_
_x000D_
The cardiac silhouette is normal in size and shape. The pulmonary vasculature and great vessels are within normal limits. The pulmonary parenchyma is hypoinflated and has a diffuse bronchial pattern coupled with unstructured interstitial changes. No pulmonary nodules or masses are identified. No alveolar infiltrates are detected. No intrathoracic lymphadenopathy is present. The trachea is normal in diameter and course with gas filling its lumen. The pleural space, mediastinum, and diaphragm are normal._x000D_
No aggressive or clinically significant osseous pathology is identified.</t>
  </si>
  <si>
    <t>The bronchointerstitial pulmonary changes can represent a long-term sequela from the previously noted heartworm infection vs. unrelated lower airway disease/bronchitis ( allergic/inflammatory vs. infectious [bacterial or parasitic] vs. chronic inhaled irritants). Note that heartworm patients can develop pulmonary hypertension, another potential cause of coughing.</t>
  </si>
  <si>
    <t>Airway sampling may be needed for definitive diagnosis (bronchoalveolar lavage or transtracheal wash).  Recheck heartworm testing and fecal parasite screening (float and Baermann) +/- empirical deworming.  Empirical antibiotic or anti-inflammatory steroidal therapy is reasonable to consider.  Internal medicine consultation if the patient remains clinical despite treatment and the cause remains unknown._x000D_
Echocardiogram could be considered=ZZ90= ONLY IF the patient has some tricuspid or pulmonic insufficiency can pulmonary arterial pressures be measured non-invasively.</t>
  </si>
  <si>
    <t xml:space="preserve">
1.Based on these AI airway/pulmonary findings, the probability of this patient having clinically detectable respiratory signs is LOW to MEDIUM (25%-50%)_x000D_
2.Based on the AI airway/pulmonary findings, the probability of this patient having clinically detectable respiratory signs is LOW (25%)_x000D_
3.Based on these AI airway/pulmonary findings, the probability of this patient having clinically detectable respiratory signs is LOW (25%)_x000D_
4.Are respiratory signs present? If YES._x000D_
5.Are respiratory signs present? If YES._x000D_
6.Are respiratory signs present? If YES._x000D_
7.Are respiratory signs present? If NO._x000D_
8.Are respiratory signs present? If NO._x000D_
9.Are respiratory signs present? If NO._x000D_
10.The cardiac silhouette size is normal._x000D_
11.There is no evidence of PLEURAL EFFUSION._x000D_
12.A minimal to mild, diffuse mixed bronchointerstitial pattern with atelectasis or less likely, pneumonia, has been detected._x000D_
13.MINIMAL TO MILD BRONCHOINTERSTITIAL PULMONRAY PATTERN; MILD PERIHILAR PATTERN._x000D_
14.MILD INTERSTITIAL to ALVEOLAR INFILTRATE; MILD PERIHILAR INFILTRATE.</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</si>
  <si>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Hemivertebrae are present in the thoracic and sacrocaudal spine.  There is spondylosis deformans of the thoracolumbar and lumbosacral spine.</t>
  </si>
  <si>
    <t>5 images of the thorax, abdomen, and thoracolumbar spine are provided for review.  The cardiovascular structures are normal.  There is a moderate bronchial pattern in all lung lobes.  There is focal widening of the cranial mediastinum at the heart base.  The pleural structures are normal.  Abdominal serosal detail is adequate in all quadrants.  The liver margins are rounded and extend beyond the costal arch, causing caudal displacement of the gastric axis.  The stomach contains a moderate amount of gas.  A poorly defined soft tissue mass is seen caudal to the pylorus on the VD view.  The small intestines are normal in size.  Gas and feces are present in the colon.  The urinary bladder contains an irregular mineral structure.  Mild mineral is seen in the renal diverticula.  The remaining abdominal organs are normal.  Spinal alignment is normal with no consistently narrowed intervertebral disc spaces.  No fractures or aggressive osseous lesions are seen.  Osteophytes are present on the femoral necks bilaterally.</t>
  </si>
  <si>
    <t>Cranial abdominal mass=ZZ90= similar neoplasia or hematoma is considered most likely based on the location.  Hepatomegaly=ZZ90= this is a nonspecific finding that may be seen with congestion, vacuolar hepatopathy, inflammation, neoplasia, etc.  Abdominal ultrasound may be helpful in further evaluation.  Chronic renal changes.  Cystic calculus.  _x000D_
_x000D_
Widening of the cranial mediastinum concerning for a heart base mass in this region.  No lymphadenopathy or aortic enlargement could also be considered.  Echocardiography or thoracic CT may be helpful.  Moderate bronchial pulmonary pattern=ZZ90= consider bronchitis, response to inhaled irritants, response to circulating parasites, eosinophilic bronchopneumopathy.  Airway sampling may be helpful in further evaluation.  _x000D_
_x000D_
Bilateral coxofemoral DJD.</t>
  </si>
  <si>
    <t xml:space="preserve">
1.Mild cardiomegaly has been detected but Heart Failure is NOT suspected._x000D_
2.SEVERE INTERSTITIAL TO ALVEOLAR PATTERN; MODERATE BRONCHIAL PATTERN; MODERATE DYNAMIC AIRWAY DISEASE._x000D_
3.Based on these AI airway/pulmonary findings, the probability of this patient having clinically detectable repsiratory signs is VERY HIGH (&gt;75%)_x000D_
4.Are respiratory signs present? If YES._x000D_
5.Are respiratory signs present? If NO.</t>
  </si>
  <si>
    <t>Orthogonal radiographs of the thorax/abdomen are provided. Images dated 5/30/24 and earlier are available for comparison. There is severe narrowed caudal cervical trachea. Thoracic tracheal diameter is adequate. The heart and pulmonary vessels are normal size. There are mild age-related changes in the lungs. Mediastinal fat deposition causes the triangular increased opacity in the cranial left thorax on the VD view. In the abdomen the liver is upper normal size, and is increased in size compared to the previous study dated 10/4/21. Curved soft tissue opacity overlying the ventral liver is likely distended gallbladder. There is no abdominal effusion. Normal-sized kidneys and spleen. The gastrointestinal tract is minimally filled. Possible narrowed T12-13 intervertebral disc space, of doubtful clinical significance today.</t>
  </si>
  <si>
    <t>1. Severe cervical tracheal collapse as before. No intrathoracic abnormalities._x000D_
2. The liver is at the upper limits of normal size, but is increased in size compared to the previous abdominal study. Steroid or other hepatopathy should be considered. An acute inflammatory process or neoplasia are next on the differential list. No other abdominal abnormalities.</t>
  </si>
  <si>
    <t>There is no contraindication for general anesthesia based on this study. If further evaluation of the liver is desired, abdominal ultrasound would be recommended.</t>
  </si>
  <si>
    <t>7 images of the thorax and thoracic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The joint surfaces are smooth and regular.  No fractures or aggressive osseous lesions are seen.  Osteophytes are present on the anconeal processes, humeral epicondyles, and proximal radii bilaterally.  There is sclerosis of the semilunar notch of the inguinal bilaterally.  On the left side, there is concern for a vertical lucency through the anconeal process.</t>
  </si>
  <si>
    <t>Radiographically normal thorax for patient of this age.  Severe bilateral elbow DJD.  Concern for potential underlying ununited anconeal process on the left, although this lucency may also represent a mach line due to superimposition of the humeral condyle.  If possible, fully flexed lateral views could be considered to rule out ununited anconeal process.</t>
  </si>
  <si>
    <t xml:space="preserve">
1.MODERATE DYNAMIC AIRWAY DISEASE; MILD BRONCHOINTERSTITIAL PULMONARY PATTERN +/- PULMONARY HYPOINFLATION._x000D_
2.Based on these AI airway/pulmonary findings, the probability of this patient having clinically detectable respiratory signs is MEDIUM (50%)_x000D_
3.Are respiratory signs present? If YES._x000D_
4.AI linked dynamic airway collapse in dogs: https://platform.v2.vetology.net/doc/canine-tracheal-collapse-treatment_x000D_
5.Are respiratory signs present? If NO._x000D_
6.The cardiac silhouette size is normal.</t>
  </si>
  <si>
    <t>Study:_x000D_
Thoracic radiography: three images dated August 20 24_x000D_
_x000D_
Findings:_x000D_
The cardiac silhouette and pulmonary vasculature are normal in size. There is a 4 cm soft tissue opaque mass in the dorsal aspect of the right caudal lung lobe. No alveolar disease is present. The pleural space is normal. There is no intrathoracic lymphadenopathy. The trachea is normal in diameter and course. The stomach contains unstructured heterogeneous soft tissue material presumed to be ingesta. The osseous structures are unremarkable.</t>
  </si>
  <si>
    <t>1. Right caudal lung lobe mass. Primary pulmonary neoplasia (carcinoma) is prioritized. Lung lobectomy can be considered._x000D_
2. There is no evidence of pneumonia.</t>
  </si>
  <si>
    <t xml:space="preserve">
1.The cardiac silhouette size is normal._x000D_
2.There is no evidence of DYNAMIC AIRWAY COLLAPSE or BRONCHIECTASIS._x000D_
3.A minimal interstitial pattern has been detected._x000D_
4.A minimal bronchial pattern has been detected.</t>
  </si>
  <si>
    <t>Opposite lateral and VD views of the thorax and abdomen are provided._x000D_
_x000D_
The heart is at the smaller end of normal size range. The caudal vena cava appears mildly diminished. The pulmonary vessels and parenchyma are within normal limits. No tracheal or laryngeal abnormalities are identified._x000D_
_x000D_
The spleen is prominent, but still felt to be within normal limits. The liver is at the small end of acceptable size range. The other abdominal organs are unremarkable.</t>
  </si>
  <si>
    <t>No evidence of cardiac chamber dilation is identified._x000D_
_x000D_
The appearance of the respiratory tract is unremarkable. Viral tracheobronchitis or allergic lung disease could still be present without significant radiographic changes._x000D_
_x000D_
The liver is smaller than expected for patient size. This may still be normal for this patient. Pathologic causes such as a shunting defect should still be considered.</t>
  </si>
  <si>
    <t>Symptomatic therapy for the cough is recommended._x000D_
CBC and heartworm testing is recommended._x000D_
_x000D_
Recheck radiograph of the thorax are recommended if the cough worsens or does not improve over the next few weeks.</t>
  </si>
  <si>
    <t>Study:_x000D_
Thoracic radiography: four images dated August 5, 2024_x000D_
_x000D_
Findings:_x000D_
The cardiac silhouette and pulmonary vasculature are normal in size. The pulmonary parenchyma is unremarkable. The pleural space is normal. There is no intrathoracic lymphadenopathy. The trachea is normal in diameter and course. There is a small amount of amorphous soft tissue material presumed to be ingesta and a small amount of granular mineral in the stomach. No skeletal abnormalities are present.</t>
  </si>
  <si>
    <t>1. Normal thorax.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disease._x000D_
2. The granular mineral in the stomach may indicate dietary indiscretion or may be an incidental finding depending on the contents of the patient=ZZ91=s normal diet and treats.</t>
  </si>
  <si>
    <t>Infectious respiratory disease PCR testing, airway sampling plus/minus heartworm testing and Baermann fecal flotation be considered for further evaluation if the respiratory signs persist or worsen.</t>
  </si>
  <si>
    <t>6 images of the spine are provided for review.  No fractures, luxations, or aggressive osseous lesions are seen.  There is consistent narrowing of the intervertebral disc spaces and spondylosis deformans at L4-6.  Additional narrowed intervertebral disc spaces are seen at C7-T1 and L6-7.  Additional spondylosis deformans and remodeling of the articular facets is seen throughout the thoracolumbar spine.  The soft tissue structures included are normal.</t>
  </si>
  <si>
    <t>Narrowed intervertebral disc spaces suggestive of intervertebral disc herniations, multiple chronic.  Degenerative changes of the thoracolumbar spine.  This does not rule out intervertebral disc herniation at another site or other causes of spinal cord compression.</t>
  </si>
  <si>
    <t xml:space="preserve">
1.The evaluation has come up positive for a pulmonary nodular pattern._x000D_
2.A severe alveolar infiltrate or pulmonary mass has been identified._x000D_
3.A severe perihilar infiltrate has been detected._x000D_
4.Pleural fissure lines or moderate pleural effusion has been detected. An overlying skin fold or in a moderately overweight animal, excessive pericardial fat could artifactually mimic the result of moderate pleural effusion._x000D_
5.The cardiac silhouette size is normal._x000D_
6.There is no evidence of DYNAMIC AIRWAY COLLAPSE or BRONCHIECTASIS.</t>
  </si>
  <si>
    <t>Six orthogonal survey radiographs of the thorax and abdomen dated 5th August 2024 are available for review. There are no previous radiographs available for comparison. _x000D_
_x000D_
Thorax: _x000D_
Airway findings: A smoothly marginated soft tissue opacity is variably present overlying the dorsal aspect of the trachea at the thoracic inlet. This opacity reduces approximately 50% of the dorsoventral diameter of the trachea. The intrathoracic trachea is normal. The pulmonary parenchyma is normal. There is no evidence for aspiration._x000D_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No significant abnormalities are detected._x000D_
_x000D_
Abdomen: There is moderate fluid and gas filling of the stomach. There is gas in the pylorus on the left lateral image. The small intestines are within upper normal limits for shape and size, and contain mainly fluid. The descending colon contains gradually more formed faeces. The urinary bladder is small. The hepatic silhouette is normal in size with smooth borders. The spleen is normal in shape, size and position. The kidneys are partially obscured by gastrointestinal contents, but the visible aspect are normal._x000D_
_x000D_
Musculoskeletal findings: There is mild multisite spondylosis deformans.</t>
  </si>
  <si>
    <t>1. The dorsal attenuation of the trachea is consistent with redundant trachealis membrane or overlying musculature._x000D_
2. Left atrial dilation. This is most likely due to mixoid degeneration of the mitral valve. There is no evidence for cardiac insufficiency. _x000D_
3. The mildly dilated fluid-filled stomach is suggestive of a gastritis. This may be due to dietary indiscretion. Partial pyloric outflow obstruction by non-radiopaque foreign material is possible. Pancreatitis is possible. Infectious-inflammatory gastroenteritis is also possible.</t>
  </si>
  <si>
    <t>Supportive management including rehydration, gastroprotectants,  full blood work,  if clinically indicated is advised, if not already performed. Repeat 3-view radiographs depending on clinical progression or consider an abdominal ultrasound. If vomiting continues without development of diarrhea, an upper GI contrast study may also be considered.</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</si>
  <si>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DYNAMIC AIRWAY COLLAPSE or BRONCHIECTASIS or PLEURAL EFFUSION.</t>
  </si>
  <si>
    <t>THORAX (3 images):_x000D_
Images are dated August 5, 2024_x000D_
_x000D_
Pulmonary parenchyma: A minimal to mild diffuse bronchial pattern is present. Few small opvoid mineral foci are suspected over the cranioventral lungs. One of these foci is suspected in the periphery of the left lung over the 3rd intercostal space in the ventrodorsal image._x000D_
Pulmonary vasculature: The pulmonary vasculature is subjectively normal in size and tapers in the periphery of the lungs._x000D_
Cardiac silhouette: The cardiac silhouette is slightly tall in the lateral images and occupies 2/3 the height of the thorax, with slight dorsal tracheal displacement._x000D_
Mediastinum: The cranial mediastinum is normal._x000D_
Trachea: The trachea is normal._x000D_
Esophagus: The esophagus is not well-identified._x000D_
Pleural space: The pleural space is normal._x000D_
_x000D_
Musculoskeletal: Multifocal lumbar spondylosis deformans is present. The remaining included musculoskeletal structures are normal.</t>
  </si>
  <si>
    <t>1. Minimal-mild diffuse bronchial pulmonary pattern._x000D_
- Differential diagnoses include fibrosis from prior disease, age-related changes, or unlikely infectious/immune-mediated lower airway disease or other._x000D_
2. Cranioventral pulmonary mineral foci due to benign osteomas or unlikely other._x000D_
3. Equivocal left ventriculomegaly versus artifact from phase of the cardiopulmonary cycle._x000D_
- If present, myxomatous mitral valvular disease is considered._x000D_
- No current evidence of left-sided congestive heart failure.  _x000D_
4. No obvious pulmonary soft tissue nodules or intra-thoracic lymphadenomegaly.</t>
  </si>
  <si>
    <t>Especially if a murmur is later identified, consider echocardiography, eCG and blood pressure.  Consider computed tomography for a more sensitive evaluation of the thorax and pre-surgical planning of suspected mammary gland mass with histopathology for a definitive diagnosis. Oncologist consultation depending on results. Empirical therapy and supportive care in the interim as needed. Monitoring as directed or sooner if clinical signs acutely change, fail to improve or worsen.</t>
  </si>
  <si>
    <t>5 images of the spine are provided for review.  No fractures, luxations, or aggressive osseous lesions are seen.  There is spondylosis deformans in the cranial lumbar spine.  No mineralized intervertebral discs or overtly narrowed intervertebral disc spaces are seen.  The soft tissue structures included are normal.</t>
  </si>
  <si>
    <t>Degenerative change of the lumbar spine.  This does not rule out intervertebral disc herniation or other causes of spinal cord compression.</t>
  </si>
  <si>
    <t xml:space="preserve">
1.MILD BRONCHIAL PATTERN; MILD PERIHILAR PATTERN._x000D_
2.Based on these AI airway/pulmonary findings, the probability of this patient having clinically detectable respiratorysigns is LOW (25%)_x000D_
3.Are respiratory signs present? If YES._x000D_
4.Are respiratory signs present? If NO._x000D_
5.The cardiac silhouette size is normal._x000D_
6.There is no evidence of ALVEOLAR PATTERN or DYNAMIC AIRWAY COLLAPSE or BRONCHIECTASIS.</t>
  </si>
  <si>
    <t>Study:_x000D_
Thoracic radiography: three images dated August 5,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included cranial abdomen is unremarkable. No skeletal abnormalities present.</t>
  </si>
  <si>
    <t>Normal thorax. There is no evidence of pulmonary metastatic disease.</t>
  </si>
  <si>
    <t>Full diagnostic abdominal sonography can be considered prior to splenectomy to ensure no intra-abdominal metastatic disease.</t>
  </si>
  <si>
    <t>Study:_x000D_
Thoracic radiography: three images dated August 5, 2024_x000D_
_x000D_
Four projections of the skull are also present in the study but not interpreted at the request of the submitting clinician._x000D_
_x000D_
Findings:_x000D_
There is mild left ventricular, left auricular and left atrial enlargement. The pulmonary vasculature is normal in size. The pulmonary parenchyma is unremarkable. The pleural space is normal. There is no intrathoracic lymphadenopathy. There is a broad-based soft tissue opaque band superimposed with the dorsal aspect of the cervical trachea lumen representing other redundant dorsal tracheal membrane or superimposition of the esophagus. The trachea is normal in diameter. The stomach contains unstructured heterogeneous/granular soft tissue material presumed to be ingesta. The osseous structures included in the thoracic images are unremarkable.</t>
  </si>
  <si>
    <t>Mild left-sided cardiomegaly, indicative of mitral valve disease, without evidence of decompensation. Echocardiography should be considered for further evaluation.</t>
  </si>
  <si>
    <t xml:space="preserve">
1.A mild perihilar infiltrate and more diffuse, minimal interstitial pulmonary pattern have been detected._x000D_
2.MINIMAL TO MILD BRONCHOINTERSTITIAL PULMONRAY PATTERN; MILD PERIHILAR PATTERN._x000D_
3.MINIMAL BRONCHOINTERSTITIAL PULMONARY PATTERN; POTENTIAL FOR FOCAL ATELECTASIS._x000D_
4.Based on the AI airway/pulmonary findings, the probability of this patient having clinically detectable respiratory signs is LOW (25%)_x000D_
5.Based on these AI airway/pulmonary findings, the probability of this patient having clinically detectable respiratory signs is LOW (25%)_x000D_
6.Moderate cardiomegaly has been detected but Heart Failure is NOT suspected._x000D_
7.There is no evidence of PLEURAL EFFUSION._x000D_
8.Are respiratory signs present? If YES._x000D_
9.Are respiratory signs present? If YES._x000D_
10.Are respiratory signs present? If NO._x000D_
11.Are respiratory signs present? If NO.</t>
  </si>
  <si>
    <t>Three orthogonal thoracic radiographs dated 5th August 2024 are available for review. There are no previous radiographs available for comparison. _x000D_
_x000D_
Airway findings: The caudal cervical and cranial thoracic trachea is variable in dimension, and reduced. The tracheal bifurcation is widened. A minimal bronchial pattern is present._x000D_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Thin pleural fissure lines are present._x000D_
_x000D_
Musculoskeletal findings: Multisite mild spondylosis is present._x000D_
_x000D_
Included abdomen: The hepatic silhouette is enlarged with smooth margins.</t>
  </si>
  <si>
    <t>1. The dorsal attenuation of the trachea is consistent with tracheomalacia, and/or redundant trachealis membrane. The extent of attenuation would be expected to cause coughing._x000D_
2. Diffuse mild bronchial pattern: Primary consideration should be given to normal ageing/fibrosis from previous disease. Allergic bronchitis, chronic bacterial /viral bronchitis +/- parasitic bronchitis should also be considered._x000D_
3. Left atrial dilation. This is most likely due to mixoid degeneration of the mitral valve. There is no evidence for cardiac insufficiency.</t>
  </si>
  <si>
    <t>Consider evaluation for airway collapse (fluoroscopy vs. right lateral inspiratory and expiratory radiographs vs. CT with virtual bronchoscopy). Alternatively consider medical management. Consider surgical consultation depending on clinical progression._x000D_
Respiratory workup including CBC, serum chemistry, urinalysis, Baermann faecal testing, 4DX, +/- respiratory panel as indicated may be considered.</t>
  </si>
  <si>
    <t xml:space="preserve">
1.Are respiratory signs present? If NO._x000D_
2.MILD BRONCHOINTERSTITIAL PULMONARY PATTERN; MILD DYNAMIC AIRWAY DISEASE._x000D_
3.Based on these AI airway/pulmonary findings, the probability of this patient having clinically detectable respiratory signs is LOW to MEDIUM (25-50%)_x000D_
4.Are respiratory signs present? If YES._x000D_
5.Mild cardiomegaly has been detected but Heart Failure is NOT suspected.</t>
  </si>
  <si>
    <t>Three orthogonal radiographs of the thoracic limbs dated 5th August 2024 are available for review. There are no previous radiographs available for comparison. _x000D_
_x000D_
Shoulder joints: Normal._x000D_
_x000D_
Elbow joints: Normal. The dorsal anconeal process is smooth. The medial coronoid process is smooth. There is no subtrochlear sclerosis. The epicondylar fossa are smooth. No degenerative modelling is present._x000D_
_x000D_
Carpi: There is mild swelling of the left carpal region. No bony abnormalities are detected. The right carpus is normal._x000D_
_x000D_
Extremities: The left and right extremities are normal._x000D_
_x000D_
Soft tissues: As described above.</t>
  </si>
  <si>
    <t>Differentials include traumatic arthritis of the left carpus. Nonerosive arthritis is possible. Alternatively, cellulitis (puncture wound), less likely lymphangitis is possible.</t>
  </si>
  <si>
    <t>Careful empirical management, including controlled exercise, non-steroidal anti-inflammatories, or multimodal analgesia, after normal blood work may be considered. Consider repeat radiographs depending on clinical progression with or without synoviocenthesis.</t>
  </si>
  <si>
    <t>Three radiographs of the thorax are provided. The abdomen is included on one of the lateral views. The cardiac silhouette is normal size and shape. The cranial pulmonary artery is larger than the vein on the left lateral view, otherwise no pulmonary vascular abnormalities are appreciated. Caudal vena cava size is normal. There are no abnormalities in the pulmonary parenchyma. No pleural effusion. Normal tracheal diameter. Mineralized intervertebral disc material in situ at T10-11 is incidental. Incidental ribs on L1, and eight lumbar vertebrae. Narrowed T12-13 intervertebral disc space, of doubtful significance today. In the abdomen the prostate is mildly enlarged with smooth margins. There is no effusion. Normal-sized liver and spleen. The kidneys are obscured. The gastrointestinal tract is moderately filled.</t>
  </si>
  <si>
    <t>1. Prominent cranial lobar artery on one of the images, otherwise the thorax is radiographically normal. This is class I heartworm disease._x000D_
2. Mild prostatomegaly. In a neutered patient this is concerning for prostatic neoplasia or prostatitis. Recent/late neuter could also cause this appearance. No other abdominal abnormalities.</t>
  </si>
  <si>
    <t>If further evaluation of the prostate is desired, ultrasound would be recommended.</t>
  </si>
  <si>
    <t>Study:_x000D_
Thoracic and radiography: three images dated August 5, 2024_x000D_
_x000D_
Findings:_x000D_
The cardiac silhouette is normal in size and shape. The pulmonary vasculature is normal in size. There is mild to moderate bilateral pleural effusion. There is secondary atelectasis. No pulmonary nodules or masses are visualized in the pulmonary parenchyma. On the lateral projection, there is a rounded soft tissue opaque mass in the cranial mediastinum. There is secondary dorsal elevation of the trachea. The tracheal diameter is normal. Evaluation the abdomen is limited by the lack of a VD view The stomach contains a small volume of gas. The small intestines are normal in size, course and content. The colon contains formed fecal material. The liver and spleen are normal in size and margin. The kidneys are normal in size and contour. The urinary bladder is normal in not visualized and is likely small/empty. The osseous structures are unremarkable.</t>
  </si>
  <si>
    <t>1. Cranial mediastinal mass with mild to moderate bilateral pleural effusion. Rule out cranial mediastinal lymphadenopathy, thymoma, thymic lymphoma or ectopic thyroid carcinoma. Recommend thoracic sonography and tissue sampling for further evaluation._x000D_
2. Unremarkable incomplete abdominal study.</t>
  </si>
  <si>
    <t xml:space="preserve">
1.SEVERE ALVEOLAR INFILTRATE; MILD PERIHILAR PATTERN; MORE DIFFUSE MILD BRONCHOINTERSTITIAL PULMONARY PATTERN._x000D_
2.Based on the AI airway/pulmonary findings, the probability of this patient having clinically detectable respiratory signs is HIGH (75%)_x000D_
3.AI linked canine pneumonia treatment: https://platform.v2.vetology.net/doc/pneumonia-in-dogs-and-cats_x000D_
4.The cardiac silhouette size is normal._x000D_
5.Are respiratory signs present? If YES._x000D_
6.Are respiratory signs present? If NO._x000D_
7.Pleural fissure lines or moderate to severe pleural effusion has been detected. An overlying skin fold or in an obese animal, excessive pericardial fat could artifactually mimic the result of severe pleural effusion.</t>
  </si>
  <si>
    <t>A three view study of the thorax is provided._x000D_
_x000D_
Moderate overall heart enlargement is identified. There is a prominent bulge in the region of the left atrium. The pulmonary vessels and parenchyma are within normal limits. There is moderate dynamic narrowing of the cervical trachea and severe redundant dorsal tracheal membrane. The cranial abdomen is unremarkable.</t>
  </si>
  <si>
    <t>Moderate left sided cardiomegaly with left atrial dilation is identified. Chronic mitral regurgitation is most likely responsible._x000D_
There is no evidence of congestive heart failure at this time. No changes concerning for neoplasia or pulmonary disease are seen._x000D_
_x000D_
The appearance of the trachea is suggestive of probable tracheal collapse is the most likely cause of coughing if coughing is present.</t>
  </si>
  <si>
    <t>Echocardiography should be considered for more complete evaluation.</t>
  </si>
  <si>
    <t xml:space="preserve">
1.MODERATE DYNAMIC AIRWAY DISEASE; MILD BRONCHITIS; MINIMAL INTERSTITIAL PATTERN WITH ATELECTASIS or less likely, PNEUMONIA._x000D_
2.MILD BRONCHOINTERSTITIAL PATTERN; MILD PERIHILAR INFILTRATE._x000D_
3.Severe cardiomegaly has been detected but Heart Failure is NOT suspected._x000D_
4.Are respiratory signs present? If NO._x000D_
5.Based on the AI airway/pulmonary findings, the probability of this patient having clinically detectable respiratory signs is LOW to MEDIUM (25%-50%)_x000D_
6.Based on the AI airway/pulmonary findings, the probability of this patient having clinically detectable respiratory signs is MEDIUM to HIGH (50-75%)._x000D_
7.Are respiratory signs present? If YES._x000D_
8.Are respiratory signs present? If YES._x000D_
9.AI linked collapsing airway disease treatment in dogs: https://platform.v2.vetology.net/doc/canine-tracheal-collapse-treatment_x000D_
10.Are respiratory signs present? If NO.</t>
  </si>
  <si>
    <t>Three orthogonal thoracic radiographs dated 5th August 2024 are available for review. There are no previous radiographs available for comparison. _x000D_
_x000D_
Airway findings: The thorax is well inflated in the images. The trachea has a normal position, shape and size. The tracheal diameter is mildly variable between images. The carina and tracheal bifurcation are normal. There is a mild caudal dorsal bronchial pattern.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</si>
  <si>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1.Caudal dorsal mild bronchial pattern: Consideration should be given to normal ageing, allergic bronchitis, chronic bacterial /viral bronchitis +/- parasitic bronchitis. Less likely are heart worm, hyperardenocorticism, neoplasia (such a lymphoma) or idiopathic pulmonary fibrosis.</t>
  </si>
  <si>
    <t>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considered._x000D_
Evaluate for upper airway disease as clinically indicated. Consider evaluation for airway collapse (fluoroscopy vs. right lateral inspiratory and expiratory radiographs vs. CT with virtual bronchoscopy).</t>
  </si>
  <si>
    <t>Opposite lateral and VD thorax views are provided. Previous thoracic radiographs dated 9-20-22 are visible for comparison._x000D_
_x000D_
The mild bronchial pattern is identified. The smaller airways are more prominently affected. This is partly due to age related change but is more prominent than the appearance in the previous study. No alveolar infiltrates are seen. No thoracic lymphadenopathy or pleural effusion is identified. The trachea is normal.</t>
  </si>
  <si>
    <t>There is a mild bronchial pattern that is slightly more prominent than typical age related change. The appearance is still equivocal overall, and not convincing for infectious disease. Viral tracheobronchitis or low-grade infectious bronchitis cannot be excluded, but allergic lung disease would be more likely. Parasitic infection such as lungworms or heartworm disease should still be ruled out._x000D_
No cardiac or tracheal abnormalities are identified.</t>
  </si>
  <si>
    <t>Symptomatic therapy for the cough is recommended._x000D_
CBC, heartworm testing, and Baermann fecal exam for lungworms is recommended._x000D_
_x000D_
If clinical response to symptomatic therapy is limited, sampling from the lower airways via TTW/BAL for cytology and culture is recommended.</t>
  </si>
  <si>
    <t xml:space="preserve">
1.A moderate bronchial pattern and concurrent mild interstitial pattern with potential regions of alveolar infiltrate have been detected._x000D_
2.The cardiac silhouette size is normal._x000D_
3.There is no evidence of DYNAMIC AIRWAY COLLAPSE or BRONCHIECTASIS.</t>
  </si>
  <si>
    <t>Nine radiographs are provided, with images of the thorax, abdomen, pelvis, and stifles. Images dated 1/22/24 and earlier are available for comparison. There is slight prominence of the left atrium as before. The left auricle is not definitively seen today. Pulmonary vessels and caudal vena cava size are normal. There are a few incidental pulmonary osteomas. No pleural effusion or soft tissue pulmonary nodules. Adequate tracheal diameter. Small volume fat deposition in the cranial mediastinum._x000D_
_x000D_
In the abdomen there is no effusion or organomegaly. The gastrointestinal tract is moderately filled. No radiopaque cystic calculi. Reduced size of the L2-3 intervertebral disc space and foramen as before. Punctate mineral density overlying the L1-2 intervertebral foramen. Reduced size of the T11-12, T12-13 intervertebral disc spaces, possibly present before. The coxofemoral joints are congruent. Pelvic limb musculature is adequate and symmetric. Patellar location is normal. There is scant fluid in the cranial aspect of both stifle joints, similar to the previous study.</t>
  </si>
  <si>
    <t>1. Bilateral scant stifle effusion as before suggestive of partial cranial cruciate ligament tear. Normal coxofemoral joints._x000D_
2. Possible intervertebral disc disease at several sites in the caudal thoracic and cranial lumbar spine as before. This may be contributing to discomfort._x000D_
3. Mild left atrial enlargement, unchanged. This is consistent with acquired mitral valve disease and is of doubtful clinical significance today. Otherwise normal thorax._x000D_
4. Normal abdomen.</t>
  </si>
  <si>
    <t>Recommend palpate for spinal discomfort and a neurologic examination.</t>
  </si>
  <si>
    <t xml:space="preserve">
1.Are respiratory signs present? If NO._x000D_
2.MINIMAL TO MILD BRONCHOINTERSTITIAL PULMONRAY PATTERN; MILD PERIHILAR PATTERN._x000D_
3.Based on the AI airway/pulmonary findings, the probability of this patient having clinically detectable respiratory signs is LOW (25%)_x000D_
4.Are respiratory signs present? If YES._x000D_
5.Mild cardiomegaly has been detected but Heart Failure is NOT suspected.</t>
  </si>
  <si>
    <t>A ventral dorsal radiograph of the thorax, three views of the abdomen, VD pelvis, and lateral view of each stifle are provided. The cardiac silhouette is prominent. Pulmonary vessels are normal size. There are no abnormalities in the pulmonary parenchyma. No pleural effusion._x000D_
_x000D_
In the abdomen the liver, spleen, and kidneys are normal size. There is a faint curved 2.4 cm soft tissue contour overlying the caudal lateral aspect of the spleen on the VD projection. The gastrointestinal tract is minimally filled. No radiopaque cystic calculi. Normal lumbar spine. There is mild degenerative change in the left coxofemoral joint. Smooth osseous proliferation medial to the left acetabulum appears as chronic change due to osteoarthritis or trauma. Patella location is normal. Pelvic limb musculature is reduced on the left. There is small volume fluid in the cranial aspect of the left stifle joint. Mild left stifle degenerative change. No abnormalities in the right stifle or either tarsus.</t>
  </si>
  <si>
    <t>1. Mild left stifle effusion most consistent with cranial cruciate ligament tear/rupture. This is the most likely cause for lameness. There is mild left coxofemoral osteoarthritis which could be contributing to discomfort. No spinal abnormalities are appreciated on this study, however an intervertebral disc lesion remains possible._x000D_
2. Prominent heart, concerning for underlying cardiomyopathy. A lateral view would be necessary for thorough cardiac evaluation. No other thoracic abnormalities._x000D_
3. Soft tissue contour overlying the spleen is concerning for a splenic nodule. This could be summating normal anatomy. Otherwise normal abdomen.</t>
  </si>
  <si>
    <t>Recommend a right lateral radiograph of the thorax to evaluate the heart, and palpation for left stifle instability. If further evaluation of the spleen is desired, ultrasound would be recommended. With the neurologic deficits, consultation with a neurologist and advanced spinal imaging such as MRI should be considered.</t>
  </si>
  <si>
    <t xml:space="preserve">
1.The evaluation has a strong suspicion of pulmonary nodules or mass lesion being present._x000D_
2.There is no evidence of PERIHILAR INFILTRATE, DYNAMIC AIRWAY COLLAPSE or BRONCHIECTASIS or PLEURAL EFFUSION._x000D_
3.A mild interstitial pattern has been detected._x000D_
4.Severe cardiomegaly has been detected but Heart Failure is NOT suspected.</t>
  </si>
  <si>
    <t>Abdomen: There are numerous urinary bladder calculi.  Urethral calculi are not identified.  The remainder of the abdominal viscera is unremarkable.  There are no abnormalities involving the visible portions of the thorax._x000D_
_x000D_
Pelvis: There is bilateral coxofemoral joint incongruency.  Both acetabular are shallow.  There is bilateral femoral neck osseous remodeling.</t>
  </si>
  <si>
    <t>Urinary bladder calculi._x000D_
_x000D_
Bilateral coxofemoral osteoarthrosis.</t>
  </si>
  <si>
    <t xml:space="preserve">
1.SEVERE ALVEOLAR INFILTRATE; MINIMAL TO MILD BRONCHOINTERSTITIAL PATTERN._x000D_
2.Based on the AI airway/pulmonary findings, the probability of this patient having clinically detectable respiratory signs is VERY HIGH (&gt;75%)_x000D_
3.Mild cardiomegaly has been detected but Heart Failure is NOT suspected._x000D_
4.Are respiratory signs present? If YES._x000D_
5.AI linked canine pneumonia treatment: https://platform.v2.vetology.net/doc/pneumonia-in-dogs-and-cats_x000D_
6.Are respiratory signs present? If NO._x000D_
7.There is no evidence of DYNAMIC AIRWAY COLLAPSE or BRONCHIECTASIS or PULMONARY NODULES.</t>
  </si>
  <si>
    <t>Study:_x000D_
Thoracic radiography: three images dated August 5, 2024_x000D_
_x000D_
Findings:_x000D_
The cardiac silhouette and pulmonary vasculature are normal in size. The combination of lung hypoinflation and overlying fat/scatter radiation leading to a generalized increase in opacity in the pulmonary parenchyma. On the left lateral projection, there is an indistinct, somewhat rounded soft tissue opacity in the cranioventral lung field at the level of the third ribs. This finding is not seen on the orthogonal view. The pleural space is normal. There is no apparent intrathoracic lymphadenopathy. The trachea is normal. The stomach contains heterogeneous soft tissue material presumed to be ingesta. There multiple metallic surgical clips in the cranial abdomen. The patient has numerous, breed associated, congenitally anomalous thoracic vertebrae. There is severe L1-L2 and L2-L3 spondylosis deformans.</t>
  </si>
  <si>
    <t>1. The indistinct round soft tissue opacity seen in the cranioventral lung field on the left lateral projection may represent a small focus of pneumonia, a superimposition artifact or a pulmonary nodule (neoplasia versus granuloma). Empiric antibiotic therapy with repeat radiography to monitor for response to treatment can be considered._x000D_
2. There is no evidence of heart disease. A definitive cause of the respiratory signs is not evident. Consider upper airway disease/brachycephalic airway syndrome.</t>
  </si>
  <si>
    <t xml:space="preserve">Patient Name : Chabo Kobayashi, Date of study: Aug 5, 2024
3 images are provided for review
There are no previous radiographs for comparison.
Liver: The liver is subjectively normal in size.
Spleen: The spleen is normal in size with smooth margins and homogeneous soft tissue.
Kidneys: The left kidney is normal.  The right kidney is obscured without obvious enlargement or mineral.  
Retroperitoneum: Retroperitoneal detail is adequate.
Urogenital: The urinary bladder is normal in size, homogeneous soft tissue, and smoothly marginated.
Peritoneum: Peritoneal detail is adequate.
Gastrointestinal tract: The stomach contains a moderate volume of heterogeneous gas and admixed soft tissue material.  Minimal mineral is admixed with gastric content.   The stomach is within normal limits for size.
The small intestine contains minimal gas and mild fluid or is empty with a subjectively uniform population for size. 
The colon contains minimal admixed heterogeneous soft tissue material and gas.  Minimal mineral is admixed with gastric content.  The colon is within normal limits for size.  
Bones/Joints:
L1-2, L2-3 and L3-4 in situ intervertebral disc mineralization is present.
There is no evidence of intervertebral disc space narrowing, or mineral over the intervertebral foramina.  There is no evidence of intervertebral dorsal articulation osteoarthrosis.
There is no evidence of medullary sclerosis, osteolysis, endosteal scalloping, or periosteal proliferation.
Soft tissues:  The included soft tissues are normal.
</t>
  </si>
  <si>
    <t>1. Gastric material due to recent meal/dietary indiscretion given mineral content, versus gastritis/delayed emptying or unlikely pyloric outflow tract obstruction.
2. Non-specific small intestinal and colon appearance such as from enteritis, colitis, or individual variation of normal.
- There is no current evidence of gastrointestinal mechanical ileus.
- Differential diagnoses include dietary indiscretion such as from gastric/colonic mineral content, toxin ingestion, diet/antibiotic responsive disease, inflammatory bowel disease, pancreatitis, occult systemic disease or unlikely other.
3. Multifocal in situ intervertebral disc mineralization as above.</t>
  </si>
  <si>
    <t>Consider GI panel, fecal analysis/deworming, and routine blood work for further evaluation.  Empirical therapy and supportive care as needed in the interim.  Monitoring with repeat abdominal radiographs after 8-12 hours of empirical therapy and fasting to monitor for passage of gastric material.  Consider MRI and neurologist consultation for further evaluation of myelopathy contributing to reported pain.  Thoracic imaging prior to referral and advanced imaging.  Monitoring with serial thoracic and abdominal imaging as directed, or sooner if clinical signs acutely change, fail to improve or worsen.</t>
  </si>
  <si>
    <t>6 views of the thorax are submitted for review.  The cardiac silhouette and pulmonary vasculature are within normal limits.  Mild bronchial and interstitial markings are noted throughout the lung fields.  No evidence of intrathoracic lymphadenopathy is seen.  No pleural effusion or mediastinal abnormalities are noted.  The trachea is normal in diameter.  No definitive abnormalities are seen in the visible cranial abdomen or skeletal structures.</t>
  </si>
  <si>
    <t>The appearance of the lung field is consistent with chronic inflammatory airway disease, either infectious or allergic/immune mediated.</t>
  </si>
  <si>
    <t>Lower airway sampling with transtracheal wash or BAL could be considered.  Otherwise, empirical medical management as clinically indicated appears appropriate.</t>
  </si>
  <si>
    <t xml:space="preserve">
1.MINIMAL to MILD BRONCHOINTERSTITIAL PULMONARY PATTERN; POTENTIAL FOR FOCAL ATELECTASIS._x000D_
2.Based on these AI airway/pulmonary findings, the probability of this patient having clinically detectable respiratory signs is LOW (25%)_x000D_
3.Are respiratory signs present? If NO._x000D_
4.The cardiac silhouette size is normal._x000D_
5.There is no evidence of DYNAMIC AIRWAY COLLAPSE or BRONCHIECTASIS._x000D_
6.Are respiratory signs present? If YES.</t>
  </si>
  <si>
    <t>3 VD views of the neck and thorax are submitted for review.  No definitive abnormalities are noted in the imaged portion of the skull or cervical spine.  In the thorax, there is equivocal increased convexity of the right heart.  The pulmonary vasculature is not overtly enlarged.  Mild bronchointerstitial markings are noted throughout the lung fields.  The film represents moderate expiratory exposure.  No pleural effusion is seen.  No rib lesions are noted.  The limited view of the cranial abdomen is unremarkable.</t>
  </si>
  <si>
    <t>The appearance of the lung fields is nonspecific but can be associated with chronic inflammatory airway disease.  The subjective prominence of the right heart is likely within normal limits of variation and also likely accentuated by expiratory exposure.</t>
  </si>
  <si>
    <t>Lateral radiographs of the thorax should be considered for better evaluation of the lung fields. Lower airway sampling with transtracheal wash or BAL may be indicated.  Otherwise, empirical medical management may be helpful.
(amended on 08/06/2024 09:14)
The lateral views are included in a separately submitted study of which I had not seen prior to reading this study.</t>
  </si>
  <si>
    <t xml:space="preserve">
1.PULMONARY NODULES or NODULAR PATTERN; MODERATE INTERSTITIAL TO ALVEOLAR PATTERN; MILD BRONCHITIS._x000D_
2.Based on the AI airway/pulmonary findings, the probability of this patient having soft tissue pulmonary nodules and clinically detectable respiratory signs is MEDIUM (&gt;50%)_x000D_
3.Concurrent bronchointerstitial lung disease (bacterial vs allergic vs parasitic lung disease, including heartworm patholsis), atelectasis, pneumonia or pulmonary hemorrhage may be present._x000D_
4.Mild cardiomegaly has been detected but Heart Failure is NOT suspected._x000D_
5.The evaluation result has a strong suspicion of soft tissue pulmonary nodules being present.</t>
  </si>
  <si>
    <t>Ten orthogonal radiographs of the abdomen dated 5th August 2024 are available for review. There are no previous radiographs available for comparison. _x000D_
_x000D_
Intra-abdominal findings: The stomach contains a moderate amount of gas and has a normal axis. The fundus is fluid-filled and moderately dilated in both lateral images and the VD. The duodenum is mildly distended. The small intestines are homogenously empty. The colon gradually contains more formed faeces. The urinary bladder is distended. No mineral opaque material is seen within the urinary bladder. A subsequent image shows partial emptying of the urinary bladder. No urethroliths are seen. Some irregular mineral opaque material is seen adjacent and superimposed on the os penis on several images. The hepatic silhouette is normal in size with smooth borders. The spleen is normal in shape, size and position. The kidneys are partially obscured by gastrointestinal contents, but the visible aspect are normal._x000D_
_x000D_
Extra-abdominal findings: No significant abnormalities are detected._x000D_
_x000D_
Included thorax: There is a moderate amount of gas in the caudal thoracic oesophagus on the left lateral image.</t>
  </si>
  <si>
    <t>1. The pyloric distension is suspicious of non-radiopaque foreign material causing partial pyloric outflow obstruction, however no vomiting is reported._x000D_
2. The mineral opaque material in the region of the os penis can be seen dorsal to the os penis, therefore is most likely dystrophic skin mineralisation or a small skin mass. A ureterolith is considered unlikely. Voluntary retention should be considered. Cystitis is possible. Peripheral neuropathy is considered unlikely._x000D_
3. The gas in the oesophagus is most likely stomach gas reentering the oesophagus. Oesophagitis is possible.</t>
  </si>
  <si>
    <t>Supportive management including rehydration, gastroprotectants,  full blood work,  if clinically indicated is advised, if not already performed. Repeat 3-view post fasting radiographs depending on clinical progression or consider an abdominal ultrasound also to further evaluate the urinary bladder. An upper GI contrast study may also be considered.</t>
  </si>
  <si>
    <t>Patient Name : Dax Schmidt, Date of study: Aug 5, 2024
7 images are provided for review
There are no previous radiographs for comparison.
Liver: The liver is subjectively normal in size.
Spleen: The spleen is prominent but smoothly marginated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mild volume of gas and soft tissue material or fluid.   Gas is suspected in the pylorus in the left lateral image.The stomach is within normal limits for size.
The small intestine contains mild gas and fluid or is empty with a subjectively uniform population for size. 
The colon contains minimal heterogeneous admixed soft tissue material and gas.  The colon is within normal limits for size.  
Musculoskeletal: The patient has a tucked abdominal confirmation.  The remaining included musculoskeletal structures are normal.
(amended on 08/05/2024 13:32)
In the thoracic imagines, and thick tubular soft tissue to slightly mineral focus is suspected in the stomach partially surrounded by gas.</t>
  </si>
  <si>
    <t>1. Non-specific gastrointestinal tract changes such as from enteritis, colitis, or individual variation of normal.
- There is no current evidence of gastrointestinal mechanical ileus.
- Differential diagnoses include dietary indiscretion, toxin ingestion, diet/antibiotic responsive disease, inflammatory bowel disease, pancreatitis, occult systemic disease or unlikely other.
2. Equivocal splenomegaly versus artifact from body condition.
- If present, consider splenitis, extramedullary hematopoiesis, lymphoid hyperplasia, passive congestion from sedation, or unlikely other.
(amended on 08/05/2024 13:32)
3. Minimal gastric material such as from foreign material without current evidence of pyloric outflow obstruction._x000D_
- Consider dietary indiscretion, especially given reported history.</t>
  </si>
  <si>
    <t>Empirical therapy and supportive care for gastritis/enteritis in the interim as needed.   Routine blood work, 4DX testing,  GI panel, fecal analysis/deworming if not already performed.  Consider repeat abdominal imaging versus computed tomography or ultrasonography if clinical signs fail to improve, change or worsen in the face of empirical therapy.   Monitoring as directed or sooner if clinical signs acutely change, fail to improve or worsen.
(amended on 08/05/2024 13:32)
Dietary indiscretion and passage of foreign material and suspected small volume residual gastric material is considered most likely given reported history.  Repeat radiographs to monitor for passage of this material after empirical therapy/supportive care.</t>
  </si>
  <si>
    <t>A three view study of the thorax, a VD pelvis view, and lateral views of both stifles are provided. There are six images total._x000D_
_x000D_
The heart is within normal size and shape limits. Pulmonary vessels are normal. Pulmonary density is slightly increased compatible with age related change. No pulmonary nodules or pleural effusion are seen. The cranial abdomen is unremarkable._x000D_
_x000D_
There is moderate to severe swelling of the right stifle joint capsule. Minimal remodeling of the stifle margins is seen. The tarsus is unremarkable._x000D_
_x000D_
There is moderate capsular swelling involving the left stifle joint. No bony changes are identified. The left tarsus is unremarkable._x000D_
_x000D_
The pelvis and both hip joints are within normal limits.</t>
  </si>
  <si>
    <t>There is bilateral stifle joint effusion, more severe in the right stifle. Bony changes are minimal._x000D_
This finding would be most commonly associated with bilateral cruciate ligament injury. A primary inflammatory condition such as polyarthritis cannot be excluded._x000D_
The hips are unremarkable._x000D_
_x000D_
No evidence of cardiac chamber dilation or pulmonary/pleural disease is identified.</t>
  </si>
  <si>
    <t>Palpation of the stifle joints under heavy sedation or anesthesia is recommended to assess joint stability and meniscal integrity. If no physical evidence of mechanical injury can be documented, arthrocentesis joint fluid analysis is recommended to rule out a primary inflammatory condition in the stifle.</t>
  </si>
  <si>
    <t>A three view study of the thorax is provided for interpretation._x000D_
_x000D_
The heart is within normal size and segments. Pulmonary vessels are unremarkable. Bronchial markings are a more prominent than expected considering the young age of the patient. No alveolar infiltrates or pleural effusion are seen. The appearance of the trachea is normal. The cranial abdomen is unremarkable.</t>
  </si>
  <si>
    <t>Bronchial markings are slowly more prominent than expected, but this change is not severe enough to likely be indicative of significant pulmonary disease that would account for the clinical signs without a concurrent cough to suggest active bronchitis. Benign variation is more likely._x000D_
No findings concerning for cardiac disease are identified.</t>
  </si>
  <si>
    <t>Cause of the presenting complaint is not apparent in the radiographs._x000D_
Clinical monitoring is recommended as needed, with recheck radiographs if signs worsen.</t>
  </si>
  <si>
    <t>Four orthogonal thoracic radiographs dated 5th August 2024 are available for review. There are no previous radiographs available for comparison. _x000D_
_x000D_
Airway findings: The cervical and thoracic trachea have a normal size, outline and position. The carina, tracheal bifurcation and mainstem bronchi are normal. Throughout the lung parenchyma there is a severe interstitial patchy opacification, which is most dominant on the left caudal dorsal lung region. Alveolar opacification is visible in the right cranial ventral lung lobe._x000D_
_x000D_
Cardiovascular findings: There is partial border effacement of the cardiac silhouette. The overall size is within normal limits. The visible pulmonary vasculature and mainstem vessels are normal._x000D_
_x000D_
Mediastinum and pleural space: Thickened pleural fissure lines are present. There is mild increased ventral pleural fat. Mild gas is present in the cranial thoracic oesophagus._x000D_
_x000D_
Musculoskeletal findings: The patient is overweight._x000D_
_x000D_
Included abdomen: No significant abnormalities are detected.</t>
  </si>
  <si>
    <t>1. The findings are suggestive of microaspiration, and aspiration of the right cranial lung lobe. Viral-bacterial pneumonia is considered less likely in light of history.</t>
  </si>
  <si>
    <t>Treat for aspiration ammonia. Emergency supportive management including oxygen therapy is advised. Full blood work and pulse oximetry is advised. repeat radiographs prior to end of therapy.</t>
  </si>
  <si>
    <t xml:space="preserve">
1.PULMONARY NODULES or NODULAR PATTERN; PLEURAL EFFUSION or PLEURAL FISSURE LINES; SEVERE INTERSTITIAL TO ALVEOLAR PATTERN; MODERATE BRONCHIAL PATTERN; DYNAMIC AIRWAY DISEASE._x000D_
2.Based on the AI airway/pulmonary findings, the probability of this patient having clinically detectable respiratory signs is VERY HIGH (&gt;75%)_x000D_
3.In older dogs, a pulmonary mass or pulmonary nodules, pulmonary hemorrhage, pleural effusion or PTE are primary considerations._x000D_
4.In the ABSENCE of respiratory signs, lung lobe collapse or severe atelectasis secondary to anesthesia or deep sedation could artifactually create this appearance._x000D_
5.If this AI evaluation is inconsistent with your assessment or the clinical picture, a Vetology AI overread may be beneficial._x000D_
6.The cardiac silhouette size is normal._x000D_
7.The evaluation has detected soft tissue pulmonary nodules and pleural fluid.</t>
  </si>
  <si>
    <t xml:space="preserve">Patient Name : Abigail More, Date of study: Aug 5, 2024
5 images are provided for review
Prior abdominal images dated August 31, 2023 and previous are available.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No evidence of acute or prior rib fractures or periosteal proliferation on the lateral margins of the ribs.  no evidence of soft tissue swelling of the right/left lateral thoracic body wall soft tissues.  
</t>
  </si>
  <si>
    <t>1. Mild diffuse bronchial pulmonary pattern.
- Differential diagnoses include fibrosis from prior disease, age-related changes, artifact and/or infectious/immune-mediated lower airway disease, or unlikely other.</t>
  </si>
  <si>
    <t>Consider respiratory PCR panel, airway sampling, and fecal analysis for further evaluation if clinically indicated.  Consider computed tomography or MRI for further evaluation of the thorax/thoracic body wall, especially if clinical signs worsen in the interim.  Empirical therapy and supportive care in the interim as needed. Monitoring as directed or sooner if clinical signs acutely change, fail to improve or worsen.</t>
  </si>
  <si>
    <t xml:space="preserve">
1.A minimal interstitial pattern has been detected._x000D_
2.A minimal bronchial pattern has been detected._x000D_
3.The cardiac silhouette size is normal._x000D_
4.There is no evidence of PERIHILAR INFILTRATE or DYNAMIC AIRWAY COLLAPSE or BRONCHIECTASIS.</t>
  </si>
  <si>
    <t>3 views of the thorax are provided for review.  The trachea is dorsally deviated, indicating left ventricular enlargement.  A small bulge is present in the region of the left atrium.  There is moderate bronchial pattern in all lung lobes.  No perihilar pulmonary infiltrates or pulmonary nodules are seen.  The pulmonary vasculature is normal in size.  The mediastinal and pleural structures are normal.  Cranial abdominal detail is adequate._x000D_
_x000D_
Echocardiogram images and video clips are also provided for review.  Fractional shortening is adequate (42%).  The left atrium is enlarged (LA/Ao 1.99).  The mitral valve leaflets are thickened.  Regurgitant flow is demonstrated at the mitral valve with color Doppler.  No pleural or pericardial effusion is seen.</t>
  </si>
  <si>
    <t>Moderate bronchial pulmonary pattern=ZZ90= consider bronchitis, response to inhaled irritants, response to circulating parasites, eosinophilic bronchopneumopathy.  Inflammatory change secondary to previous heartworm disease could be considered.  Airway sampling may be helpful in further evaluation if clinically indicated.  Cardiac changes consistent with mitral endocardiosis.</t>
  </si>
  <si>
    <t xml:space="preserve">
1.Are respiratory signs present? If YES._x000D_
2.Are respiratory signs present? If YES._x000D_
3.Are respiratory signs present? If NO._x000D_
4.AI linked bacterial pneumonia treatment in dogs: https://platform.v2.vetology.net/doc/pneumonia-in-dogs-and-cats_x000D_
5.Are respiratory signs present? If NO._x000D_
6.MODERATE BRONCHOINTERSTITIAL PULMONARY PATTERN; MODERATE ALVEOLAR INFILTRATE or ATELECTASIS; MODERATE DYNAMIC AIRWAY DISEASE._x000D_
7.MODERATE INTERSTITIAL TO ALVEOLAR INFILTRATE; CONCURRENT MODERATE BRONCHIAL PATTERN; MILD PERIHILAR INFILTRATE._x000D_
8.Based on these AI airway/pulmonary findings, the probability of this patient having clinically detectable respiratory signs is HIGH (75%)_x000D_
9.Based on the AI airway/pulmonary findings, the probability of this patient having clinically detectable respiratorysigns is HIGH (75%)_x000D_
10.Pleural fissure lines or small volume pleural effusion has been detected. In a mildly overweight animal, excessive pericardial fat can artifactually mimic the result of minimal pleural effusion._x000D_
11.Severe cardiomegaly has been detected but Heart Failure is NOT suspected.</t>
  </si>
  <si>
    <t xml:space="preserve">Patient Name : Lollipop Robertson, Date of study: Aug 5, 2024
3 images are provided for review
Canine Thorax (3 Images) - 1 Vd, 2 Lateral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</si>
  <si>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Mild diffuse bronchial pulmonary pattern.
- Differential diagnoses include infectious/immune-mediated lower airway disease such as from mycoplasma spp., bordetella spp., parasitism, or inhaled allergen/irritant or unlikely fibrosis from prior disease, or age-related changes, or other.</t>
  </si>
  <si>
    <t>Three orthogonal thoracic radiographs dated 5th August 2024 are available for review. There are no previous radiographs available for comparison. _x000D_
_x000D_
Thorax: _x000D_
Airway findings: No nodules, masses, or lymphadenomegaly is visible. The trachea has a normal position, shape and size. The pulmonary parenchyma has a mild interstitial opacification consistent with body habitus._x000D_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 There is no evidence of pleural effusion, _x000D_
_x000D_
Included abdomen: Hepatomegaly as reported previously, consistent with the reported liver mass._x000D_
_x000D_
Musculoskeletal system: No significant abnormalities are detected.</t>
  </si>
  <si>
    <t>1. Left atrial dilation. This is most likely due to mixoid degeneration of the mitral valve. There is no evidence for cardiac insufficiency. This is the most likely cause for the murmur._x000D_
2. Negative metastasis check.</t>
  </si>
  <si>
    <t>Computed tomography has a higher resolution capability to detect small pulmonary parenchyma nodules and may be considered</t>
  </si>
  <si>
    <t xml:space="preserve">
1.MINIMAL to MILD BRONCHOINTERSTITIAL PULMONARY PATTERN; MILD DYNAMIC AIRWAY DISEASE; MILD PERIHILAR INFILTRATE._x000D_
2.Based on these AI airway/pulmonary findings, the probability of this patient having clinically detectable respiratory signs is LOW to MEDIUM (25-50%)_x000D_
3.Are respiratory signs present? If YES._x000D_
4.Severe cardiomegaly has been detected but Heart Failure is NOT suspected._x000D_
5.Are respiratory signs present? If NO.</t>
  </si>
  <si>
    <t>Eleven survey radiographs of the thoracic limbs and thorax dated 5th August 2024 are available for review. There are no previous radiographs available for comparison._x000D_
_x000D_
Thoracic limbs: Both shoulder joints are normal. There is bilateral dorsal anconeal new bone formation, osteophyte formation at the articular margin of the radius, and modelling in the region of the medial coronoid process. Within the distal right radius there is a zone of ill-defined moth-eaten and geographic lysis, with circumferential cortical thinning. An ill-defined soft tissue swelling surrounding. The transition zone to the normal medulla is ill-defined. The included extremities are normal._x000D_
_x000D_
Thorax: The thorax is mildly underexposed, limiting interpretation._x000D_
Airway findings: No nodules, masses, or lymphadenomegaly is visible. The trachea has a normal position, shape and size. The pulmonary parenchyma is normal. _x000D_
Cardiovascular findings: The cardiac silhouette, and pulmonary vasculature is within normal limits._x000D_
Mediastinum and pleura: There is no evidence of pleural effusion, _x000D_
included abdomen: No significant abnormalities are detected.</t>
  </si>
  <si>
    <t>1. Monostotic aggressive mixed lytic and proliferative bone lesion of distal right radius.  No evidence of pathologic fracture on views provided. Extended transitional zone, cortical destruction, and active periosteal reaction most concerning for primary bone neoplasia (osteosarcoma).  _x000D_
2. Negative metastasis check, normal thorax.</t>
  </si>
  <si>
    <t>6 views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mild amount of gas and ingesta.  The small bowel is normal and uniform in diameter.  A mild amount of gas is noted in the colon.  The liver and spleen are normal in size, shape, and margination.  The bilateral renal silhouettes are within normal limits.  The urinary bladder is unremarkable.  Serosal detail is normal._x000D_
No significant osseous abnormalities are seen.</t>
  </si>
  <si>
    <t>The appearance of the colon is very nonspecific but consistent with a history of diarrhea.  Otherwise, radiographically normal abdomen._x000D_
Radiographically normal thorax.</t>
  </si>
  <si>
    <t>Correlation with fecal analysis and blood work may be helpful.  An abdominal ultrasound may ultimately be indicated.</t>
  </si>
  <si>
    <t>Study:_x000D_
Thoracic radiography: three images dated August 5, 2024_x000D_
_x000D_
Findings:_x000D_
The cardiac silhouette and pulmonary vasculature are normal in size. The pulmonary parenchyma is unremarkable. The pleural space is normal. There is no intrathoracic lymphadenopathy. The larynx is normal. There is a broad-based soft tissue opaque band superimposed with the cervical trachea lumen, more evident on the left lateral projection, likely representing a redundant dorsal tracheal membrane. The trachea is normal in diameter and course. The included abdomen is normal. No skeletal abnormalities are present.</t>
  </si>
  <si>
    <t>1. Redundant dorsal tracheal membrane. Normal diameter of the trachea does not exclude the possibility of concomitant tracheal collapse. Fluoroscopy can be considered to further evaluate for possible dynamic airway disease given the reported tracheal sensitivity on physical exam._x000D_
2. Normal thorax. There is no radiographic evidence of cardiopulmonary disease.</t>
  </si>
  <si>
    <t xml:space="preserve">
1.Are respiratory signs present? If YES._x000D_
2.AI linked bacterial bronchitis in dogs article: https://platform.v2.vetology.net/doc/bacterial-bronchitis-in-dogs-and-cats_x000D_
3.Are respiratory signs present? If NO._x000D_
4.The cardiac silhouette size is normal._x000D_
5.MILD to MODERATE BRONCHOINTERSTITIAL PATTERN; MINIMAL DYNAMIC AIRWAY DISEASE._x000D_
6.Based on these AI airway/pulmonary findings, the probability of this patient having clinically detectable respiratory signs is LOW to MEDIUM (25%-50%)</t>
  </si>
  <si>
    <t>Study:_x000D_
Thoracic radiography: four images dated August 5, 2024_x000D_
_x000D_
Findings:_x000D_
The cardiac silhouette and pulmonary vasculature are normal in size. The pulmonary parenchyma is unremarkable. The pleural space is normal. There is no intrathoracic lymphadenopathy. The larynx is normal. The trachea is normal in diameter and course. There is no esophageal dilation. The included abdomen is normal. No skeletal abnormalities are present.</t>
  </si>
  <si>
    <t>Normal thorax. There is no radiographic evidence of cardiopulmonary disease. A cause of coughing is not evident. Lack of a definitive bronchial pulmonary pattern does not exclude the possibility of allergic/inflammatory, infectious, irritant or parasitic bronchitis.</t>
  </si>
  <si>
    <t>Study:_x000D_
Thoracic radiography: three images dated August 5, 2024_x000D_
_x000D_
Compared to prior study dated July 16, 2024_x000D_
_x000D_
Findings:_x000D_
There is similar moderate to severe cardiomegaly characterized by biventricular, left auricular and left atrial enlargement. The pulmonary vasculature is normal in size. The pulmonary parenchyma is unremarkable. The pleural space is normal. There is no intrathoracic lymphadenopathy. On the left lateral projection, there is a broad-based soft tissue opaque band superimposed with the dorsal aspect of the cervical trachea lumen representing other redundant dorsal tracheal membrane or superimposition of the esophagus. The tracheal diameter is normal. There is no lobar bronchi narrowing. The included abdomen is unremarkable. Suture material is present in the mid-ventral abdominal body wall. There is in situ mineralization of the T 10-T 11 intervertebral disc.</t>
  </si>
  <si>
    <t>1. Moderate to severe cardiomegaly (unchanged from the prior study) without evidence of decompensation. Both mitral and tricuspid valve disease are suspected. Echocardiography is recommended for further evaluation._x000D_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airway sampling plus/minus heartworm testing and Baermann fecal flotation can be considered to further evaluate the reported coughing._x000D_
3. In situ T 10-T 11 degenerative disc disease.</t>
  </si>
  <si>
    <t xml:space="preserve">
1.Are respiratory signs present? If YES._x000D_
2.Are respiratory signs present? If NO._x000D_
3.AI linked bacterial pneumonia treatment in dogs: https://platform.v2.vetology.net/doc/pneumonia-in-dogs-and-cats_x000D_
4.Are respiratory signs present? If NO._x000D_
5.MODERATE BRONCHOINTERSTITIAL PULMONARY PATTERN; MODERATE DYNAMIC AIRWAY DISEASE; MODERATE ALVEOLAR INFILTRATE or ATELECTASIS._x000D_
6.MODERATE INTERSTITIAL TO ALVEOLAR INFILTRATE; CONCURRENT MODERATE BRONCHIAL PATTERN; MILD PERIHILAR INFILTRATE._x000D_
7.Based on these AI airway/pulmonary findings, the probability of this patient having clinically detectable respiratory signs is HIGH (75%)_x000D_
8.Based on the AI airway/pulmonary findings, the probability of this patient having clinically detectable respiratorysigns is MEDIUM to HIGH (50-75%)_x000D_
9.Are respiratory signs present? If YES._x000D_
10.Pleural fissure lines or moderate to severe pleural effusion has been detected. An overlying skin fold or in an obese animal, excessive pericardial fat could artifactually mimic the result of severe pleural effusion._x000D_
11.Severe cardiomegaly has been detected but Heart Failure is NOT suspected.</t>
  </si>
  <si>
    <t>Seven radiographs of the thorax/proximal thoracic limbs are provided. The cardiac silhouette and pulmonary vessels are normal size. No cardiac chamber enlargement is appreciated. The lungs are clear. No pleural effusion. Adequate tracheal diameter. No narrowed cervical intervertebral disc spaces are appreciated. Scapular contour and opacity is normal. The glenohumeral and cubital joints are congruent. There is no fracture or subluxation. No soft tissue swelling. There is a smoothly marginated ovoid 0.2 cm mineral density overlying the caudal aspect of the left metacarpal pad on the lateral view. This is questionably seen along the abaxial aspect of the metacarpal pad on the dorsopalmar projection.</t>
  </si>
  <si>
    <t>1. Mineral density overlying the left metacarpal pad is most likely incidental superficial debris. Foreign material within the tissue is given lesser consideration, particularly in the absence of significant discomfort with palpation. No other thoracic limb abnormalities are identified to explain the acute lameness. Soft tissue sprain/strain is most likely. A lateralized intervertebral disc lesion is next on the differential list._x000D_
2. Normal thorax. There is no evidence of cardiovascular disease on this study. A small valvular regurgitant jet can result in a relatively loud murmur.</t>
  </si>
  <si>
    <t>Six radiographs of the abdomen are provided. There is no peritoneal or retroperitoneal effusion. Small volume gas is present in the stomach. Small intestines are diffusely mildly filled with fluid and gas. The cecum and ascending colon are gas dilated. Small-volume semi-formed feces in the distal colon. No radiopaque foreign material. Normal-sized liver, spleen, left kidney. The right kidney is incompletely visible. No radiopaque cystic calculi. There are no ribs on T13. Narrowed T11-12, L1-2 intervertebral disc spaces with spondylosis deformans. Normal caudal thorax and proximal joints.</t>
  </si>
  <si>
    <t>Probable intervertebral disc disease at T11-12 and L1-2. This may be responsible for discomfort. Otherwise normal abdomen and thorax. Gastroenteritis/pancreatitis remains possible. There is no evidence of an obstructive process.</t>
  </si>
  <si>
    <t>Recommend palpate for spinal discomfort and a neurologic examination. If GI signs have persisted, abdominal ultrasound would be recommended.</t>
  </si>
  <si>
    <t xml:space="preserve">
1.The cardiac silhouette size is normal._x000D_
2.There is no evidence of BRONCHITIS, PERIHILAR INFILTRATE or PULMONARY NODULES._x000D_
3.A minimal interstitial pattern has been detected.</t>
  </si>
  <si>
    <t>Six orthogonal survey radiographs of the thorax and abdomen dated 5th August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stomach is empty with a normal axis. There is appropriate gas in the pylorus on the left lateral image. The small intestines are diffusely filled with an increased amount of gas. There are mildly stacked in the caudal aspect of the abdomen. The descending colon is empty. The kidneys are partially obscured by gastrointestinal contents, but the visible aspect are normal. The spleen is normal. The hepatic silhouette is relatively small with normal margins._x000D_
_x000D_
Musculoskeletal findings: There is caudal thoracic intervertebral disc narrowing with mineralisation of the T11-T12 intervertebral disc space and ventral spondylosis. Multisite mild to moderate spondylosis deformans is present.</t>
  </si>
  <si>
    <t>1. The diffusely empty GI tract with increased gas and weight loss is suspicious of a chronic enteropathy such as food allergy, IBD, intestinal lymphoma. An infectious-inflammatory underlying gastroenteritis is considered less likely. Haemorrhagic gastroenteritis should be considered. Pancreatitis is possible._x000D_
2. Normal thorax._x000D_
3. The mild Microhepatica may be positional/due to thoracic conformation. Cirrhosis or microvascular dysplasia is less likely.</t>
  </si>
  <si>
    <t>Considering chronicity and diffuse nature, a complete abdominal ultrasonographic examination is advised, as well as further workup for diffuse enteropathy.</t>
  </si>
  <si>
    <t xml:space="preserve">Patient Name : Jazzy Cruz, Date of study: Aug 5, 2024
7 images are provided for review
There are no previous radiographs for comparison.
Pulmonary parenchyma:   In the right lateral image, an ovoid soft tissue nodule is superimposed over the ventral aspect of the 3rd intercostal space.   A mild diffuse interstitial and bronchial pattern is present.  In the ventrodorsal image, the interstitial pattern is more severe in the right cranial lung lobe. This is not identified in the ventrodorsal image.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In the cranioventral abdomen in the left lateral image is a rounded soft tissue opacity at the cranioventral margin of the liver.  This is suspected to be the rounded/folded or enlarged caudoventral liver margin in the right lateral image.  The liver is subjectively normal in size.
Spleen: The spleen is normal in size with smooth margins and homogeneous soft tissue.
Kidneys: The left kidney is normal.  The right kidney is obscured without obvious enlargement or mineral.  
Retroperitoneum: Retroperitoneal detail is adequate.
Urogenital: Extra-abdominal soft tissue superimposes over the urinary bladder in the right lateral image, not corroborated in the left lateral image.  The urinary bladder is normal in size, homogeneous soft tissue, and smoothly marginated.
Peritoneum: Peritoneal detail is adequate.
Gastrointestinal tract: The stomach contains a mild volume of gas.  Gastric rugal folds are prominent.   The stomach is within normal limits for size.
The small intestine contains mild gas with a subjectively uniform population for size. 
The colon contains mild to moderate gas and mild admixed soft tissue material with gas.  The colon is within normal limits for size.  
Musculoskeletal: A soft tissue and fat opaque nodule arises from the ventral extra-thoracic soft tissues. Multifocal lumbar spondylosis deformans is present.   Bilateral stifle osteoarthrosis is present.  Right coxofemoral joint osteoarthrosis is present.  A left-sided cutaneous soft tissue nodule superimposes over the urinary bladder in the lateral images.  The remaining included musculoskeletal structures are normal.
</t>
  </si>
  <si>
    <t>1.  Possible soft tissue nodule in the ventral periphery of the left cranial lung lobe versus superimposed external soft tissue or artifact.
- If present, consider evolving metastatic neoplasia.
2. Right cranial lung lobe interstitial pattern and mild diffuse interstitial /bronchial pulmonary patterns such as from 
infectious/immune-mediated lower airway disease (mycoplasma spp., bordetella spp., parasitism, inhaled allergen/irritant), or unlikely other.
3. Rounded/enlarged and/or folded caudoventral liver margin, versus other.
- If this is the liver, consider evolving neoplasia (metastatic versus primary) or nodular hyperplasia, or unlikely other.
4. Prominent gastric rugal folds due to non-specific gastritis versus individual variation of normal.
5. Bilateral stifle osteoarthrosis.
6. Mild right coxofemoral joint osteoarthrosis.
7. Ventral  extra-thoracic soft tissue nodule such as from evolving neoplasia (malignant versus benign) versus lipoma or other.
8. Left caudolateral extra-abdominal cutaneous soft tissue nodule such as from evolving neoplasia (malignant versus benign) versus papilloma or other.</t>
  </si>
  <si>
    <t>Consider computed tomography of the thorax and abdomen for further evaluation of the liver/cranioventral soft tissue opacity in the abdomen, as well as confirmation of possible pulmonary nodule.  Routine blood work and coagulation testing if not recently performed.  Consider tissue sampling depending on results of advanced imaging.  Ultrasonography of the abdomen may also be contributory.  This examination does not rule out gastric/intestinal ulceration or evolving neoplasia given reported hematemesis and melena.  Empirical therapy and supportive care in the interim as needed.  Monitoring as directed, or sooner if clinical signs acutely change, fail to improve or worsen.</t>
  </si>
  <si>
    <t>Thorax: There is mild generalized cardiomegaly.  There is no evidence of cardiogenic pulmonary edema or pleural effusion.  The pulmonary vasculature is unremarkable.  There are no abnormalities involving the pulmonary parenchyma.  There is no evidence of lymphadenopathy.  The trachea and mainstem bronchi are unremarkable.  There are no abnormalities involving the visible portions of the abdomen.</t>
  </si>
  <si>
    <t>Mild generalized cardiomegaly without evidence of decompensation.</t>
  </si>
  <si>
    <t xml:space="preserve">
1.A mild perihilar infiltrate and concurrent, mild dynamic airway disease have been detected._x000D_
2.A minimal interstitial pulmonary pattern with a concurrent, mild perihilar infiltrate have been detected._x000D_
3.Mild dynamic airway disease has been detected._x000D_
4.A minimal interstitial pulmonary and concurrent, mild dynamic airway disease have been detected._x000D_
5.There is no evidence of PULMONARY NODULES._x000D_
6.Mild dynamic airway disease has been detected._x000D_
7.Severe cardiomegaly has been detected but Heart Failure is NOT suspected.</t>
  </si>
  <si>
    <t>Five radiographs of the thorax and seven views of the abdomen are provided. The cardiac silhouette is normal size. Mild unstructured interstitial pattern is consistent with the age and size of this patient. Increased opacity between the lungs, heart, and sternum is fat deposition. There is no pleural effusion or pulmonary nodules. Adequate tracheal diameter._x000D_
_x000D_
In the abdomen there is no effusion. The liver extends caudal ventral to the pylorus but maintains smooth margins and there is no deviation of the gastric axis. Normal spleen and kidneys. Moderate volume of gas and small volume amorphous soft tissue density in the stomach. Small bowel and colon are minimally filled. No radiopaque foreign material. No urolithiasis. The uterus is not definitively seen. No narrowed intervertebral disc spaces or foramina. Normal coxofemoral joints.</t>
  </si>
  <si>
    <t>Normal thorax and abdomen. A reason for the clinical signs is not identified on this study. Cervical intervertebral disc lesion, intracranial lesion (cerebrovascular insult, less likely neoplasia) should be considered.</t>
  </si>
  <si>
    <t>Recommend medical support and close monitoring for development of respiratory signs, as noncardiogenic pulmonary edema can occur within 24 hours of hyperthermia event. Consider consultation with a neurologist.</t>
  </si>
  <si>
    <t>6 views of the thorax and abdomen are submitted for review.  There is subjective increased convexity of the right heart.  No evidence of significant left-sided cardiomegaly is seen.  The pulmonary vasculature is normal.  A mild to moderate bronchointerstitial pattern is noted throughout the lung fields.  No pleural effusion or intrathoracic lymphadenopathy is seen.  The trachea is normal in diameter._x000D_
In the abdomen, the liver is mildly prominent extending beyond the costal arch but with smooth serosal margins.  The spleen is normal in size and shape.  The renal silhouettes and urinary bladder are normal.  The stone contains a moderate amount of food like material.  The small bowel and colon are unremarkable.  Serosal detail is adequate._x000D_
Chronic intervertebral disc disease is noted in the caudal thoracic and cranial lumbar spine.  No aggressive bony changes are seen.</t>
  </si>
  <si>
    <t>The appearance of the heart could be consistent with a right-sided cardiomegaly is with pulmonary hypertension or other right-sided heart disease.  This may also be artifact and within normal limits.  Correlation with thoracic auscultation for evidence of a heart murmur is recommended._x000D_
The appearance of the lungs is consistent with chronic inflammatory airway disease, either infectious or allergic/immune mediated._x000D_
The mild prominence of the liver is nonspecific but could be associated with vacuolar hepatopathy, inflammation, or possibly venous congestion._x000D_
Incidental finding of chronic intervertebral disc disease in the thoracolumbar spine of unknown clinical significance.</t>
  </si>
  <si>
    <t>Correlation with a chemistry and CBC is recommended.  If there is clinical concern for right-sided heart disease, an echocardiogram could be considered for further evaluation.  An abdominal ultrasound can be considered to further evaluate the liver.  Otherwise, empirical medical management for inflammatory airway disease versus lower airway sampling with transtracheal wash or BAL could be considered.</t>
  </si>
  <si>
    <t xml:space="preserve">
1.Based on these AI airway/pulmonary findings, the probability this patient will have clinically detectable respiratory signs is LOW (25%)_x000D_
2.Are respiratory signs present? If NO._x000D_
3.A moderate BRONCHIAL PATTERN has been detected._x000D_
4.Moderate to severe bronchointerstitial pulmonary pattern._x000D_
5.MILD INTERSTITIAIL TO ALVEOLAR PATTERN; MINIMAL DYNAMIC AIRWAY DISEASE._x000D_
6.Are respiratory signs present? If YES._x000D_
7.There is no evidence of INTERSTITIAL or ALVEOLAR DISEASE; or PERIHILAR INFILTRATE detected. The PLEURAL SPACE and THORACIC LYMPH NODES are suspected to be normal._x000D_
8.Minimal DYNAMIC AIRWAY DISEASE has been detected._x000D_
9.A severe perihilar infiltrate has been detected._x000D_
10.Severe cardiomegaly has been detected but Heart Failure is NOT suspected._x000D_
11.A moderate bronchial pattern and concurrent mild interstitial pattern with potential regions of alveolar infiltrate have been detected_x000D_
12.A moderate interstitial pattern has been detected.</t>
  </si>
  <si>
    <t>Consider empirical treatment for chronic bronchitis with deworming evaluating response to treatment. If clinical signs persist, consider a bronchoscopy with BAL, culture, cytology, Baermann test and deworming.</t>
  </si>
  <si>
    <t>Thirty-one radiographs are provided, with images of the thorax, thoracic limbs, abdomen, and pelvic limbs. Within the thorax the cardiac silhouette and pulmonary vessels are normal size and shape. Mild unstructured interstitial pattern is normal for the age of this patient. There are no soft tissue pulmonary nodules or pleural effusion. Adequate tracheal diameter. Normal cervicothoracic spine. Scapular contour is normal. There is mild enthesophyte formation on the caudal aspect of both humeral heads. Smoothly marginated thin 0.8 x 0.4 cm mineral density overlying and extending cranial to the left humeral greater tubercle. Similar change is not present on the right side. Cubital joints are congruent. There is mild enthesophyte formation on the cranial margin of the right radial head. No osseous lysis. Carpal bones are in appropriate alignment. No metacarpal or phalangeal osseous abnormalities._x000D_
_x000D_
In the abdomen there is no effusion. Normal size liver, kidneys, spleen. The gastrointestinal tract is minimally filled. No radiopaque cystic calculi. Vertebral alignment is normal. No narrowed intervertebral disc spaces or foramina are appreciated. The coxofemoral joints are congruent and without degenerative change. Thigh musculature is approximately symmetric. Patellar location is normal. No stifle joint effusion or popliteal lymphadenomegaly is present. The tarsi are unremarkable.</t>
  </si>
  <si>
    <t>1. Osseous body cranial to the left shoulder, most consistent with supraspinatus tendinopathy. This is the most likely cause for lameness. There is bilateral mild shoulder osteoarthritis and mild left cubital osteoarthritis, likely incidental. A lateralized intervertebral disc lesion is not ruled out._x000D_
2. Normal thorax, abdomen, proximal pelvic limbs.</t>
  </si>
  <si>
    <t>If further evaluation of the shoulder is desired, MRI should be considered.</t>
  </si>
  <si>
    <t xml:space="preserve">
1.MODERATE INTERSTITIAL TO ALVEOLAR PATTERN; MILD BRONCHITIS._x000D_
2.Based on these AI airway/pulmonary findings, the probability of this patient having clinically detectable respiratory signs is MEDIUM (50%)_x000D_
3.Are respiratory signs present? If YES._x000D_
4.Are respiratory signs present? If NO._x000D_
5.The evaluation has come up positive for a pulmonary nodular pattern._x000D_
6.The cardiac silhouette size is normal._x000D_
7.There is no evidence of DYNAMIC AIRWAY COLLAPSE or BRONCHIECTASIS.</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</si>
  <si>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small.  The remaining abdominal organs are normal.  There is spondylosis deformans of the thoracic and lumbosacral spine.</t>
  </si>
  <si>
    <t>Three radiographs of the thorax are provided. The cardiac silhouette and pulmonary vessels are normal size and shape. There are a few areas of suspect focal interstitial infiltrates overlying the caudal heart on the right lateral view. No other pulmonary parenchymal abnormalities. There is no pleural effusion. The trachea is normal diameter and position. No esophageal abnormalities. The cranial abdomen is unremarkable.</t>
  </si>
  <si>
    <t>Suspect focal interstitial infiltrates in the caudal segment of the left cranial lung lobe. Mild pneumonia due to infectious etiology or aspiration is most likely. The thorax is otherwise normal.</t>
  </si>
  <si>
    <t>Consider switching antibiotics.</t>
  </si>
  <si>
    <t xml:space="preserve">
1.A moderate interstitial to alveolar pattern has been detected._x000D_
2.The cardiac silhouette size is normal._x000D_
3.There is no evidence of BRONCHITIS, PERIHILAR INFILTRATE, DYNAMIC AIRWAY COLLAPSE or BRONCHIECTASIS or PLEURAL EFFUSION.</t>
  </si>
  <si>
    <t>Orthogonal radiographs of the thorax are provided. The heart and pulmonary vessels are normal size. The caudal vena cava is normal size. There are no abnormalities in the pulmonary parenchyma. No pleural effusion. Tracheal diameter and position are normal. The cranial abdomen is unremarkable.</t>
  </si>
  <si>
    <t>Normal thorax. A reason for coughing is not identified. Infectious airway disease is most likely. Inhaled irritant/allergens is next on the differential list.</t>
  </si>
  <si>
    <t>Consider supportive care for infectious airway disease.</t>
  </si>
  <si>
    <t>Study:_x000D_
Thoracic radiography: four images dated August 5, 2024_x000D_
_x000D_
Findings:_x000D_
The cardiac silhouette is normal in size and shape. The pulmonary vasculature is normal in size. The pulmonary parenchyma is unremarkable. The pleural space is normal. There is no intrathoracic lymphadenopathy. The trachea is normal in diameter. There is no esophageal dilation. The included abdomen is unremarkable. There is mild periarticular new bone formation at the caudodistal aspect of the humeral head bilaterally. There is mild T4-T5 spondylosis deformans.</t>
  </si>
  <si>
    <t>1. Normal thorax. There is no radiographic evidence of cardiopulmonary disease or intrathoracic neoplasia._x000D_
2. Mild bilateral shoulder osteoarthrosis.</t>
  </si>
  <si>
    <t>Echocardiography can be considered to further evaluate for heart disease if applicable. Airway sampling plus/minus heartworm testing and Baermann fecal flotation can be considered to further evaluate for lower airway disease if applicable.</t>
  </si>
  <si>
    <t>Orthogonal radiographs of the thorax, abdomen, and a VD view of the pelvis/proximal pelvic limbs are provided. The heart is a normal size and shape. There are several incidental pulmonary osteomas in the lungs. No soft tissue pulmonary nodules or pleural effusion. The trachea is normal diameter. Normal cervicothoracic spine and proximal thoracic limbs._x000D_
_x000D_
In the abdomen the liver is mildly enlarged, with smoothly irregular rounded margins. Normal-sized spleen and kidneys. The gastrointestinal tract is mildly filled. No radiopaque urolithiasis. Narrowed T12-13 intervertebral disc space. The coxofemoral joints are congruent. There is a large area of lysis around irregular osseous proliferation in the lateral aspect of the left ischial table. Poorly delineated lysis in the right femoral neck and proximal metaphysis, with moderate amount of smooth uninterrupted periosteal proliferation encircling the proximal diaphysis.</t>
  </si>
  <si>
    <t>1. Aggressive lytic and proliferative lesions in the left ischium and right femur. This is most consistent with malignant neoplasia such as osteosarcoma. Osteomyelitis of fungal or bacterial etiology is given much lesser consideration._x000D_
2. The appearance of T12-13 is suggestive of intervertebral disc disease._x000D_
3. Mild hepatomegaly with smoothly irregular margins. With the osseous changes, metastatic disease is of concern. Hepatopathy or acute inflammation are next on the differential list. No other abdominal abnormalities._x000D_
4. Normal thorax.</t>
  </si>
  <si>
    <t>Histopathology of the pelvis or right femoral lesion would be necessary for a definitive diagnosis.</t>
  </si>
  <si>
    <t xml:space="preserve">
1.The cardiac silhouette size is normal._x000D_
2.A mild perihilar infiltrate has been detected._x000D_
3.A mild to moderate bronchointerstitial pulmonary pattern has been detected.</t>
  </si>
  <si>
    <t>Orthogonal radiographs of the thorax/abdomen are provided. The cardiac silhouette is normal size on the VD projection. The heart appears larger on the lateral view due to thoracic conformation. The lungs are clear. Normal tracheal diameter. In the abdomen the liver is mildly enlarged with smooth margins. Normal-sized spleen. The kidneys are poorly delineated. The stomach and small bowel are mildly filled with fluid and gas. There is gas in the cecum and colon, with small volume fluid in the distal colon. No radiopaque foreign material or urolithiasis. Narrowed L5-6 intervertebral disc space, with spondylosis deformans is of doubtful clinical significance today.</t>
  </si>
  <si>
    <t>1. Liquid diarrhea. Gastroenteritis secondary to dietary indiscretion is most likely. There is no evidence of an obstructive process._x000D_
2. Mild hepatomegaly, a nonspecific finding that may be steroid or other hepatopathy. Acute inflammation or neoplasia are given lesser consideration. This should be correlated with history and blood work._x000D_
3. Normal thorax.</t>
  </si>
  <si>
    <t>If the patient does not continue to improve, abdominal ultrasound would be recommended.</t>
  </si>
  <si>
    <t>Study:_x000D_
Thoracic and abdominal radiography: four images dated August 5, 2024_x000D_
_x000D_
Findings:_x000D_
The cardiac silhouette and pulmonary vasculature are normal in size. The pulmonary parenchyma is unremarkable. The pleural space is normal. There is no intrathoracic lymphadenopathy. The trachea is normal in diameter and course. The intrathoracic esophagus is gas dilated. The stomach contains a small amount of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 osseous structures are unremarkable. There is good coverage of the femoral head by the acetabulum bilaterally.</t>
  </si>
  <si>
    <t>1. Gas dilation of the esophagus may be secondary to aerophagia or may indicate an esophageal motility disorder/megaesophagus. An esophagogram can be considered for further evaluation._x000D_
2. Postprandial stomach=ZZ90= otherwise, unremarkable abdomen. Abdominal sonography and a G.I. panel can be considered for further evaluation of the reported chronic vomiting and diarrhea.</t>
  </si>
  <si>
    <t xml:space="preserve">
1.A mild interstitial to alveolar pattern has been detected._x000D_
2.The cardiac silhouette size is normal._x000D_
3.There is no evidence of BRONCHITIS, PERIHILAR INFILTRATE or DYNAMIC AIRWAY COLLAPSE or BRONCHIECTASIS.</t>
  </si>
  <si>
    <t>Opposite lateral and VD thorax views are provided for interpretation. This study is compared to the previous dated 7-23-24._x000D_
_x000D_
The region of alveolar opacity previously described involving the right caudal lung in the area of the accessory lobe is resolved. No alveolar infiltrates are seen in the current study. There is a mild bronchial pattern, more prominent involving the smaller airways. There are small mineralized pulmonary opacities consistent with benign pulmonary osteomas. No tracheal abnormalities are identified._x000D_
The irregular appearance of the vertebral endplates in the mid thoracic spine seen in the previous radiographs is less prominent and appears improved.</t>
  </si>
  <si>
    <t>The changes suspicious for pneumonia in the previous study appear resolved. There is still a mild bronchial pattern compatible with bronchitis. This suspicious soft tissue nodules seen previously are also are not identified in the current study._x000D_
_x000D_
The improvement in the appearance of the vertebral endplates could indicate resolving discospondylitis, although changes in positioning might also affect the appearance.</t>
  </si>
  <si>
    <t>Considering the clinical and radiographic improvement but with persistent coughing, continuation of the current medical regimen for another two weeks is recommended.</t>
  </si>
  <si>
    <t xml:space="preserve">
1.The evaluation result has a strong suspicion of soft tissue pulmonary nodules being present._x000D_
2.Are respiratory signs present? If YES._x000D_
3.Are respiratory signs present? If NO._x000D_
4.The cardiac silhouette size is normal._x000D_
5.PULMONARY NODULAR PATTERN likely due to END ON PULMONARY VESSELS, PULMONARY OSTEOMAS or COSTOCHONDRAL JUNCTIONS; MILD INTERSTITIAL TO ALVEOLAR PATTERN; MILD BRONCHITIS._x000D_
6.Based on the AI airway/pulmonary findings, the probability of this patient having clinically detectable respiratory signs is LOW to MEDIUM (25-50%)_x000D_
7.Are respiratory signs present? If YES._x000D_
8.Are respiratory signs present? If NO._x000D_
9.MILD BRONCHOINTERSTITIAL PULMONARY PATTERN WITH ATELECTASIS or LESS LIKELY, PNEUMONIA, MILD PERIHILAR INFILTRATE._x000D_
10.Probability these AI pulmonary findings will accompany clinically detectable respiratory signs: MILD TO MODERATE (25-50%)_x000D_
11.Pleural fissure lines or small volume pleural effusion has been detected. In a mildly overweight animal, excessive pericardial fat can artifactually mimic the result of minimal pleural effusion.</t>
  </si>
  <si>
    <t>Three radiographs of the thorax, and a lateral view of the abdomen are provided. The cardiac silhouette and pulmonary vessels are normal size and shape. There are a few incidental pulmonary osteomas. No pulmonary parenchymal abnormalities. Small round soft tissue densities adjacent to the heart represent end-on pulmonary vessels. No pleural effusion. Normal tracheal diameter._x000D_
_x000D_
In the abdomen there is no effusion or organomegaly. The gastrointestinal tract and urinary bladder mildly filled. No radiopaque cystic calculi. Two round 0.6 cm metal opaque BBs overlying the liver are likely incidental today. Osseous structures are unremarkable.</t>
  </si>
  <si>
    <t>Normal thorax and abdomen. A reason for the respiratory sign is not identified. Upper airway infection is most likely.</t>
  </si>
  <si>
    <t>Treatment for upper airway infection appears indicated.</t>
  </si>
  <si>
    <t>Four orthogonal thoracic radiographs and for orthogonal radiographs of the left pelvic extremity dated 5th August 2024 are available for review. There are no previous radiographs available for comparison. _x000D_
_x000D_
Thorax: _x000D_
Airway findings: No nodules, masses, or lymphadenomegaly is visible. The trachea has a normal position, shape and size. The pulmonary parenchyma is normal. _x000D_
_x000D_
Cardiovascular findings: The cardiac silhouette, and pulmonary vasculature is within normal limits._x000D_
_x000D_
Mediastinum and pleura: There is no evidence of pleural effusion, _x000D_
_x000D_
Included abdomen: No significant abnormalities are detected. _x000D_
_x000D_
Musculoskeletal system: There is moderate swelling of the fourth digit of the left limb. No bony lysis is seen. The other digits are normal. The contralateral extremity is also normal.</t>
  </si>
  <si>
    <t>1. Negative metastasis check, normal thorax._x000D_
2. Paronychia prioritised over neoplasia (benign would be favored (e.g subungual keratoacanthoma, sebaceous adenoma, histiocytoma, keratoma) over aggressive (e.g.  squamous cell carcinoma, melanoma, soft tissue sarcoma, metastatic neoplasia).</t>
  </si>
  <si>
    <t>Computed tomography has a higher resolution capability to detect small pulmonary parenchyma nodules and may be considered. Continue empiric management. Consider FNA or biopsy depending clinical progression.</t>
  </si>
  <si>
    <t>6 views of the thorax and abdomen are submitted for review.  The cardiac silhouette is subjectively normal in size and shape.  The pulmonary vasculature is not enlarged.  Mild bronchointerstitial markings are noted in the lung fields.  No pleural effusion or intrathoracic lymphadenopathy is seen.  The trachea is normal in diameter._x000D_
In the abdomen, the stomach contains a moderate amount of food like material.  The small bowel contains a mild amount of gas and ingesta.  Formed stool is noted throughout the colon.  The liver is mildly enlarged with rounded serosal margins.  The visible margins of the spleen are within normal limits.  A large, somewhat ill-defined soft tissue opacity mass effect is noted in the right mid to caudal dorsal abdomen.  The renal silhouettes are not well-delineated but appear subjectively normal in size.  The urinary bladder is minimally distended.  Serosal detail in the abdomen is adequate._x000D_
There is chronic intervertebral disc disease at the caudal thoracic and cranial lumbar spine.  Mild degenerative changes are noted in the left hip.</t>
  </si>
  <si>
    <t>Large soft tissue mass in the right mid to caudal abdomen.  Differentials include malignant neoplasia or possibly a large granuloma or abscess._x000D_
Moderate hepatomegaly.  Differentials include vacuolar hepatopathy, neoplasia, or possibly inflammation._x000D_
The appearance of the lung fields is nonspecific and most consistent with incidental age-related change and likely accentuated by expiratory exposure.  The cardiovascular structures are subjectively normal.  Given the history, mild/subclinical mitral insufficiency is considered most likely.</t>
  </si>
  <si>
    <t>An abdominal ultrasound and echocardiogram appear indicated.</t>
  </si>
  <si>
    <t xml:space="preserve">
1.A moderate interstitial to alveolar pattern with a concurrent mild bronchial pattern and dynamic airway disease has been detected._x000D_
2.Moderate dynamic airway disease has been detected._x000D_
3.Pleural fissure lines or moderate to severe pleural effusion has been detected. An overlying skin fold or in an obese animal, excessive pericardial fat could artifactually mimic the result of severe pleural effusion._x000D_
4.Severe cardiomegaly has been detected but Heart Failure is NOT suspected._x000D_
5.The evaluation has come up positive for a pulmonary nodular pattern.</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</si>
  <si>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beyond the costal arch, with overall liver enlargement from previous images dated 2/23/2023.  The stomach contains a moderate amount of ingesta.  The small intestines are normal in size.  Gas and feces are present in the colon.  The urinary bladder is small.  The remaining abdominal organs are normal.  There is spondylosis deformans of the thoracolumbar and lumbosacral spine.</t>
  </si>
  <si>
    <t>Mild hepatomegaly=ZZ90= this is a nonspecific finding that may be seen with congestion, vacuolar hepatopathy, inflammation, neoplasia, etc.  Radiographically normal thorax for patient of this age.</t>
  </si>
  <si>
    <t>Four radiographs of the thorax/abdomen are provided. The cardiac silhouette and pulmonary vessels are normal size. There is a mild bronchial pattern throughout the lungs. Redundant dorsal trachealis membrane causing severe narrowed cervical trachea on the right lateral view. Moderate narrowed cervical trachea on the left lateral view. No esophageal or laryngeal abnormalities. Soft tissue opacity overlying the cranial left thorax on the VD projection is mediastinal fat deposition (right laterality marker located on the left side of the patient). In the abdomen, soft tissue opacity ventral to the pylorus is normal splenic tail. The liver and kidneys are normal sized. The gastrointestinal tract is mildly filled. No radiopaque cystic calculi. Osseous structures are unremarkable.</t>
  </si>
  <si>
    <t>1. Dynamic cervical tracheal collapse, the most likely cause for coughing. This should be correlated with characteristic of the cough and tracheal palpation._x000D_
2. Mild bronchial pattern may be normal age-related change versus airway inflammation such as bronchitis or infectious airway disease. This could be contributing to the cough._x000D_
3. Normal abdomen.</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</si>
  <si>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PULMONARY NODULES or PLEURAL EFFUSION.</t>
  </si>
  <si>
    <t>Orthogonal radiographs of the thorax/abdomen are provided. The cardiac silhouette is normal size and shape. There are no abnormalities in the pulmonary parenchyma. No pleural effusion. Redundant dorsal trachealis membrane causes narrowed caudal cervical trachea. In the abdomen there is no effusion. The liver is upper normal size. Normal-sized spleen and kidneys. Moderate volume of formed feces in the colon. The stomach and small bowel are minimally filled. There are two smoothly marginated mineral opaque calculi in the urinary bladder, measuring 2.7 x 2.1 cm, and 1.7 x 2.0 cm. One of the patella is likely medially displaced.</t>
  </si>
  <si>
    <t>1. Large cystic calculi, of a size that is too large to pass the urethra. No other abdominal abnormalities._x000D_
2. Cervical tracheal collapse._x000D_
3. No intrathoracic abnormalities. There is no evidence of cardiovascular disease on this study. A small valvular regurgitant jet can result in a relatively loud murmur.</t>
  </si>
  <si>
    <t>Orthogonal views of the thorax are provided._x000D_
_x000D_
There is a moderate diffuse bronchial pulmonary pattern. No alveolar infiltrates are identified. No thoracic lymphadenopathy or pleural effusion is seen. The trachea has normal diameter and does not collapse on expiration. The cardiovascular structures are within normal limits._x000D_
A rounded appearance is suspected involving the body of the spleen, although the spleen is not entirely included in this study and cannot be fully evaluated. The other cranial abdominal organs are unremarkable.</t>
  </si>
  <si>
    <t>There is a moderate bronchial pattern. The appearance is consistent with bronchitis. Allergic vs. infectious causes should be ruled out._x000D_
Considering the lack of response to antibiotic so far, allergic bronchitis or idiopathic chronic bronchitis would be more likely._x000D_
Parasitic infection such as lungworms or heartworm disease should also be ruled out._x000D_
_x000D_
There is no evidence of significant cardiac chamber dilation or congestive heart failure._x000D_
_x000D_
There is suspicion of rounding involving the body of the spleen, a mass should be ruled out.</t>
  </si>
  <si>
    <t>CBC, heartworm testing, and Baermann fecal exam for lungworms is recommended._x000D_
_x000D_
Sampling from the lower airways via BAL/TTW should be considered to assist definitive diagnosis._x000D_
_x000D_
Follow up imaging of the spleen with abdominal radiographs or ultrasound should be considered.</t>
  </si>
  <si>
    <t xml:space="preserve">
1.Pleural fissure lines or moderate pleural effusion has been detected. An overlying skin fold or in a moderately overweight animal, excessive pericardial fat could artifactually mimic the result of moderate pleural effusion._x000D_
2.Moderate cardiomegaly has been detected but Heart Failure is NOT suspected._x000D_
3.A moderate to severe interstitial to alveolar infiltrate with a mild perihilar infiltrate has been identified._x000D_
4.SEVERE INTERSTITIAL TO ALVEOLAR PATTERN; PULMONARY NODULES or NODULAR PATTERN; MILD DYNAMIC AIRWAY DISEASE; MILD BRONCHITIS._x000D_
5.Aspiration, bacterial pneumonia, atelectasis or recurrent microaspiration (brachycephalic dogs or laryngeal paralysis) causing lower airway inflammation with atelectasis or pneumonia is most likely._x000D_
6.A mild perihilar infiltrate has been identified.</t>
  </si>
  <si>
    <t>Four radiographs of the thorax are provided. There is mild left atrial and ventricular enlargement. Cranial pulmonary veins are enlarged. There is a moderate interstitial pattern in the left perihilar region. No pleural effusion. The left mainstem bronchus is compressed. Mild narrowed caudal cervical trachea. Normal cranial abdomen.</t>
  </si>
  <si>
    <t>Mild left-sided cardiomegaly consistent with acquired mitral valve disease. There is pulmonary venous congestion and mild pulmonary edema indicating left-sided heart failure. Concurrent mainstem bronchial compression. Possible dynamic cervical tracheal collapse, could be contributing to clinical signs.</t>
  </si>
  <si>
    <t>Treatment for heart failure and an echocardiogram are recommended.</t>
  </si>
  <si>
    <t xml:space="preserve">
1.A mild perihilar infiltrate has been identified._x000D_
2.A moderate to severe interstitial to alveolar infiltrate with a mild perihilar infiltrate has been identified._x000D_
3.Pleural fissure lines or moderate pleural effusion has been detected. An overlying skin fold or in a moderately overweight animal, excessive pericardial fat could artifactually mimic the result of moderate pleural effusion._x000D_
4.Severe cardiomegaly has been detected but Heart Failure is NOT suspected.</t>
  </si>
  <si>
    <t>Four orthogonal survey radiographs of the thorax and abdomen dated 4th August 2024 are available for review. There are no previous radiographs available for comparison. _x000D_
_x000D_
Thorax: _x000D_
Airway findings: No nodules, masses, or lymphadenomegaly is visible. The trachea has a normal position, shape and size. The pulmonary parenchyma is normal. _x000D_
_x000D_
Cardiovascular findings: The cardiac silhouette, and pulmonary vasculature is within normal limits._x000D_
_x000D_
Mediastinum and pleura: There is no evidence of pleural effusion, _x000D_
_x000D_
Abdomen: The hepatic silhouette is normal in size with smooth borders. The spleen is mildly enlarged, with suspicion of a small mass in the splenic body in the ventrodorsal image. The kidneys are partially obscured by gastrointestinal contents, but the visible aspect are normal. The stomach contains some gas and soft tissue opaque material and has a normal axis. There is mild gas dilation of the pyloric antrum/cranial duodenum in the ventrodorsal image. The small intestines are distributed evenly and are within normal limits for shape, size and contents. The ascending, transverse and descending colon have a normal position and contain gradually more formed faeces. The urinary bladder is filled. The serosal detail is normal._x000D_
_x000D_
Musculoskeletal system: A poorly delineated mass is present cranial to the right shoulder region</t>
  </si>
  <si>
    <t>1. Negative metastasis check, normal thorax._x000D_
2. Mild splenomegaly: differential diagnoses include passive congestion from sedation (if administered), splenitis, extramedullary hematopoiesis, lymphoid hyperplasia, or neoplasia. The suspect mass may be positional artefact. If present, haematoma, haemangioma, haemangiosarcoma, metastatic neoplasia is possible._x000D_
3. The gastric contents may be post-prandial, however pyloric partial outflow obstruction due to a non-radiopaque foreign material is possible._x000D_
4. Shoulder region soft tissue mass as reported.</t>
  </si>
  <si>
    <t>Computed tomography has a higher resolution capability to detect small pulmonary parenchyma nodules and may be considered._x000D_
A complete abdominal ultrasonographic examination may be considered, with a view to FNA of abnormal organs, after complete blood work, and a normal coagulation panel._x000D_
Supportive management including rehydration, gastroprotectants, if clinically indicated is advised, if not already performed. Repeat 3-view post fasting radiographs depending on clinical progression. If vomiting continues without development of diarrhea, an upper GI contrast study may also be considered._x000D_
Consider FNA or biopsy of the shoulder mass.</t>
  </si>
  <si>
    <t xml:space="preserve">
1.A mild interstitial to alveolar infiltrate has been detected._x000D_
2.MINIMAL INTERSITIAL PATTERN; OVERLYING CUTANEOUS NODULES or END-ON VESSELS._x000D_
3.Based on these AI airway/pulmonary findings, the probability of this patient having clinically detectable respiratory signs due to lower airway disease is UNLIKELY (&lt;25%) with the exception of acute tracheobronchitis or PTE._x000D_
4.A minimal interstitial pattern has been detected._x000D_
5.There is detection of a few small soft tissue opacities overlying the lungs._x000D_
6.Pleural fissure lines or small volume pleural effusion has been detected. In a mildly to moderately overweight animal, excessive pericardial fat can artifactually mimic the result of mild pleural effusion._x000D_
7.The cardiac silhouette size is normal._x000D_
8.There is no evidence of PERIHILAR INFILTRATE or DYNAMIC AIRWAY COLLAPSE or BRONCHIECTASIS.</t>
  </si>
  <si>
    <t>Patient Name : Dakota Soden, Date of study: Aug 4, 2024
3 images are provided for review
Canine Thorax (3 Images) - 2 Vd, 1 Lateral
There are no previous radiographs for comparison.
Findings:
There is a focal unstructured interstitial to patchy alveolar pattern in the caudal part of the left cranial lung lobe.
On the left lateral image, there is fluid in the caudal thoracic esophagus.
The cardiovascular structures are normal.
The pleural space is normal.
The musculoskeletal structures and cranial abdomen are normal.</t>
  </si>
  <si>
    <t>1.  Pneumonia; considering the patient history, either aspiration pneumonia or bronchopneumonia are considered.</t>
  </si>
  <si>
    <t xml:space="preserve">Antibiotic therapy is recommended.  Repeated radiographs in ~2 weeks are recommended to monitor progression/resolution.  If the patient is not improving, radiographs may be repeated sooner.
</t>
  </si>
  <si>
    <t xml:space="preserve">Patient Name : Nash Keppler, Date of study: Aug 4, 2024
3 images are provided for review
Canine Thorax (3 Images) - 2 Lateral, 1 Vd
There are no previous radiographs for comparison.
Pulmonary parenchyma:  A moderate interstitial pattern is in the caudodorsal aspect of the lungs in the mid-zones of the caudal lung lobes.   this is most severe in the left caudal lung in the ventrodorsal image.A mild diffuse interstitial pattern is present.   A mild diffuse bronchial pattern is present.
Pulmonary vasculature: The pulmonary vasculature is subjectively normal in size and tapers in the periphery of the lungs.
Cardiac silhouette:   In the ventrodorsal image, a focal bulge of the cardiac silhouette is at the 1-2 o'clock region, at the level of the main pulmonary artery. .
Mediastinum: The cranial mediastinum is normal.
Trachea: The trachea is normal.
Esophagus: The esophagus is not well-identified.
Pleural space: The pleural space is normal.
Musculoskeletal: The included musculoskeletal structures are normal.
</t>
  </si>
  <si>
    <t xml:space="preserve">1. Moderate-severe interstitial pattern, most severe in the left caudal lung lobe.
- Differential diagnoses include  vascular accident/pulmonary thromboembolism, or less likely hemorrhage such as from systemic coagulopathy,, or pneumonitis from underlying heartworm disease, or a combination of these, or unlikely other.
2. Mild diffuse bronchial and interstitial patterns.
- Differential diagnoses include extension of #1 above, and/or underlying infectious/immune-mediated lower airway disease or unlikely other.
3. Suspected main pulmonary arterial enlargement is consistent with pulmonary hypertension and underlying heartworm disease.  
</t>
  </si>
  <si>
    <t>Consider empirical therapy and supportive care for pulmonary thromboembolic disease with oxygen therapy and supportive care in the interim as needed.   Empirical therapy/supportive care for pneumonia in the interim as needed.   Repeat thoracic radiographs as directed to monitor for progression/resolution of the pulmonary patterns.  Echocardiograph, ecg and blood pressure may be contributory.  Monitoring as directed, or sooner if clinical signs acutely change, fail to improve or worsen.</t>
  </si>
  <si>
    <t xml:space="preserve">
1.PULMONARY NODULES or NODULAR PATTERN; MODERATE TO SEVERE INTERSTITIAL TO ALVEOLAR PATTERN; PLEURAL EFFUSION; MILD BRONCHITIS; MILD PERIHILAR INFILTRATE._x000D_
2.Based on the AI airway/pulmonary findings, the probability of this patient having clinically detectable respiratory signs is VERY HIGH (&gt;75%)_x000D_
3.The evaluation has a strong suspicion of soft tissue pulmonary nodules or mass lesion being present._x000D_
4.Are respiratory signs present? If YES._x000D_
5.Are respiratory signs present? If NO._x000D_
6.The cardiac silhouette size is normal.</t>
  </si>
  <si>
    <t>Three orthogonal radiographs of the abdomen dated 4th August 2024 are available for review. There are no previous radiographs available for comparison. _x000D_
_x000D_
Intra-abdominal findings: The stomach is mainly empty, with subjectively prominent rugal folds. The pylorus is appropriately gas-filled in the left lateral image. To small intestines are variably dilated with gas, fluid. The caecum is moderately gas dilated. The transverse and descending colon are gas dilated. The urinary bladder is small. The hepatic silhouette is normal in size with smooth borders. The spleen is normal in shape, size and position. The kidneys are partially obscured by gastrointestinal contents, but the visible aspect are normal. The serosal detail is normal._x000D_
_x000D_
Extra-abdominal findings: No significant abnormalities are detected._x000D_
_x000D_
Included thorax: No significant abnormalities are detected.</t>
  </si>
  <si>
    <t>The overall impression is one of gastroenteritis/colitis.  This may be due to dietary indiscretion, or infectious-inflammatory causes. There is no evidence of a mineral opaque foreign body, or complete mechanical obstruction.  Hemorrhagic gastroenteritis, or pancreatitis cannot be excluded.</t>
  </si>
  <si>
    <t>Supportive management including rehydration, gastroprotectants,  full blood work, faecal analysis if clinically indicated is advised, if not already performed. Repeat 3-view post fasting radiographs depending on clinical progression or consider an abdominal ultrasound.</t>
  </si>
  <si>
    <t xml:space="preserve">
1.The cardiac silhouette size is normal._x000D_
2.There is no evidence of ALVEOLAR PATTERN, DYNAMIC AIRWAY COLLAPSE or BRONCHIECTASIS, PULMONARY NODULES or PLEURAL EFFUSION._x000D_
3.A moderate bronchial pattern has been detected.</t>
  </si>
  <si>
    <t>Study:_x000D_
Thoracic radiography: six images dated August 4, 2024_x000D_
_x000D_
Findings:_x000D_
There is mild to moderate left ventricular and left atrial enlargement characterized by dorsal elevation of the trachea and straightening of the caudal cardiac waist. The pulmonary vasculature is normal in size. There is a severe bilateral caudodorsal unstructured interstitial pulmonary pattern. On all right lateral projections, there is a thin pleural fissure line in the caudodorsal thorax. There is no apparent intrathoracic lymphadenopathy. The width of the cranial mediastinum is considered within normal limits for patient signalment. The soft palate appears elongated and thickened on the lateral projections including the cervical region. The trachea is normal in diameter. The included abdomen is unremarkable. The patient has multiple, breed associated, congenitally anomalous thoracic vertebrae. There is multifocal variable mild to severe thoracic spondylosis deformans. There is moderate bilateral elbow periarticular bone formation. The patient is of overweight body condition.</t>
  </si>
  <si>
    <t>1. Mild to moderate left-sided cardiomegaly. Rule out degenerative valve disease versus cardiomyopathy. Echocardiography should be considered for further evaluation._x000D_
2. Given the suspicion for heart disease, the caudodorsal unstructured interstitial pulmonary pattern may indicate cardiogenic pulmonary edema such decompensated congestive heart failure. Noncardiogenic pulmonary edema secondary to upper airway obstruction/brachycephalic airway syndrome (given the suspect elongated soft palate) is also possible. Pneumonia is considered less likely. Consider diuretic therapy with repeat radiography to monitor for response to treatment. Oxygen support (if the patient is hypoxic) is also recommended._x000D_
3. The thin pleural fissure lines seen on the right lateral projections may represent incidental tangential visualization and/or pleural thickening. Trace pleural effusion is considered less likely._x000D_
4. Moderate bilateral elbow osteoarthrosis.</t>
  </si>
  <si>
    <t xml:space="preserve">
1.The evaluation has a strong suspicion of soft tissue pulmonary nodules or mass lesion being present._x000D_
2.Severe cardiomegaly has been detected but Heart Failure is NOT suspected._x000D_
3.Are respiratory signs present? If NO._x000D_
4.Are respiratory signs present? If YES._x000D_
5.PULMONARY NODULES or NODULAR PATTERN; MODERATE TO SEVERE INTERSTITIAL TO ALVEOLAR PATTERN; PLEURAL EFFUSION; MILD BRONCHITIS; MILD PERIHILAR INFILTRATE._x000D_
6.Based on the AI airway/pulmonary findings, the probability of this patient having clinically detectable respiratory signs is VERY HIGH (&gt;75%)</t>
  </si>
  <si>
    <t>Three orthogonal thoracic radiographs dated 4th August 2024 are available for review. There are no previous radiographs available for comparison. _x000D_
_x000D_
Airway findings: The cervical and thoracic trachea have a normal size, outline and position. The carina, tracheal bifurcation and mainstem bronchi are normal. Throughout the lung parenchyma there is a minimal bronchointerstitial opacification._x000D_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 Long bone physes are open consistent with young age._x000D_
_x000D_
Included abdomen: No significant abnormalities are detected.</t>
  </si>
  <si>
    <t>1. Relatively unremarkable thorax. The mild bronchointerstitial opacification may be due to hypoinflation, however a mild mixed origin tracheobronchitis, or a viral pneumonia may be present. An upper airway abnormality such as laryngitis, tracheatis is also possible.</t>
  </si>
  <si>
    <t>Respiratory workup including CBC, serum chemistry, urinalysis, Baermann faecal testing, 4DX, +/- respiratory panel or fungal testing as indicated is advised.  Alternatively, continued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 Evaluate for upper airway disease as clinically indicated.</t>
  </si>
  <si>
    <t>Three orthogonal thoracic radiographs dated 4th August 2024 are available for review. There are no previous radiographs available for comparison. _x000D_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</si>
  <si>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1.Diffuse mild bronchial pattern: Consideration should be given to normal ageing, allergic bronchitis, chronic bacterial /viral bronchitis +/- parasitic bronchitis. Less likely are heart worm, hyperardenocorticism, neoplasia (such a lymphoma) or idiopathic pulmonary fibrosis. _x000D_
2. Negative metastasis check._x000D_
3. The murmur reported is most likely a physiologic murmur, or a compensated valvular disease.</t>
  </si>
  <si>
    <t>Further workup including endoscopy, skull CT, swab or a biopsy is advised._x000D_
Respiratory workup including CBC, serum chemistry, urinalysis, Baermann faecal testing, 4DX, +/- respiratory panel may be considered.</t>
  </si>
  <si>
    <t xml:space="preserve">
1.The evaluation has a strong suspicion of pulmonary nodules or mass lesion being present._x000D_
2.The cardiac silhouette size is normal._x000D_
3.There is no evidence of BRONCHITIS, ALVEOLAR PATTERN, PERIHILAR INFILTRATE or DYNAMIC AIRWAY COLLAPSE or BRONCHIECTASIS.</t>
  </si>
  <si>
    <t>Four orthogonal thoracic radiographs dated 4th August 2024 are available for review. There are no previous radiographs available for comparison. _x000D_
_x000D_
Airway findings: The cervical and thoracic trachea have a normal size, outline and position. The carina, tracheal bifurcation and mainstem bronchi are normal. Throughout the lung parenchyma there is a very mild bronchointerstitial opacification._x000D_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</si>
  <si>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1. The mild bronchointerstitial opacification may be due to hypoinflation, however a mild mixed tracheobronchitis, viral pneumonia may be present.</t>
  </si>
  <si>
    <t>Observational management, or empiric management of a mild mixed tracheobronchitis may be considered. Depending on clinical progression, respiratory workup including CBC, serum chemistry, urinalysis, Baermann faecal testing, 4DX, +/- respiratory panel or fungal testing may be considered.</t>
  </si>
  <si>
    <t>4 images of the thorax and abdomen are presented for review.  The cardiovascular structures are normal.  Patchy interstitial and alveolar opacities present in the left cranial and caudal lung lobes.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</si>
  <si>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Patchy interstitial to alveolar pulmonary pattern concerning for contusion.  Radiographically normal abdomen.</t>
  </si>
  <si>
    <t>Recommend supportive therapy for pulmonary contusions with repeat radiographs to monitor for progression/improvement.</t>
  </si>
  <si>
    <t xml:space="preserve">
1.MILD DIFFUSE MIXED BRONCHOINTERSTITIAL PULMONARY PATTERN; ATELECTASIS or less likely, PNEUMONIA._x000D_
2.Probability these AI pulmonary findings will accompany clinically detectable respiratory signs: LOW (25%)_x000D_
3.Pleural fissure lines or moderate pleural effusion has been detected. An overlying skin fold or in a moderately overweight animal, excessive pericardial fat could artifactually mimic the result of moderate pleural effusion._x000D_
4.The cardiac silhouette size is normal._x000D_
5.There is no evidence of DYNAMIC AIRWAY COLLAPSE or BRONCHIECTASIS or PULMONARY NODULES._x000D_
6.Are respiratory signs present? If YES._x000D_
7.Are respiratory signs present? If NO.</t>
  </si>
  <si>
    <t>4 images of the pelvis are provided for review.  3 images of the thorax are not requested to be reviewed.  Lumbosacral transitional vertebra is present.  Coverage of the femoral heads by their acetabulae is adequate bilaterally.  No fractures, luxations, or aggressive osseous lesions are seen.  The joint surfaces are smooth and regular.  Moderate soft tissue is present in the right stifle joint.  Osteophytes are present on the femoral trochlear ridges, tibial plateau, and patella on the right.  The remaining soft tissue structures included are normal.</t>
  </si>
  <si>
    <t>Congenital lumbosacral transitional vertebra.  Moderate right stifle effusion and DJD consistent with chronic soft tissue injury such as to the cranial cruciate ligaments or menisci.  Consider acute on chronic injury to account for the acute presentation.</t>
  </si>
  <si>
    <t>Consider supportive therapy versus surgical consultation.</t>
  </si>
  <si>
    <t>Three orthogonal thoracic radiographs dated 3rd August 2024 are available for review. There are no previous radiographs available for comparison. _x000D_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</si>
  <si>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Abdomen: There is mild amount of heterogeneous soft tissue opacity within the gastric lumen.  Within the mid to caudal abdomen there is a segment of bowel that is gas-filled.  This most likely represents colon however a segment of jejunum on the upper limits of normal for diameter cannot be ruled out.  A small intestinal foreign body is not identified.  On the ventrodorsal view there is gas within the proximal descending duodenum and an increase in opacity adjacent to it.  The liver and spleen are unremarkable.  There are no abnormalities involving the visible portions of the urinary tract.  There are no abnormalities involving the visible portions of the thorax.  On the visible portions of the pelvis there is left coxofemoral joint incongruency and suspected healed fracture of the left femoral neck.  On the lateral view there is luxation of one of the patella=ZZ91=s (laterality uncertain).</t>
  </si>
  <si>
    <t>The heterogeneous soft tissue opacity within the gastric lumen most likely represents normal ingesta however foreign material manus not be ruled out.  The appearance of the proximal descending duodenum and increased opacity adjacent to it may represent pancreatitis._x000D_
_x000D_
The gas distended segment within the mid to caudal abdomen most likely represents a portion of the colon.  If this represents a segment of jejunal and obstructive process cannot definitively be ruled out._x000D_
_x000D_
Left coxofemoral osteoarthrosis with suspected previous fracture of the left femoral neck._x000D_
_x000D_
Luxated patella of unknown laterality (left versus right stifle).</t>
  </si>
  <si>
    <t>Study:_x000D_
Thoracic radiography: three images dated August 3, 2024_x000D_
_x000D_
Findings:_x000D_
The cardiac silhouette is overall normal in size (VHS approximately 10.5). On the left lateral projection, there is impression of mild dorsal bulging of the left atrium. This finding is not repeatable on the right lateral view. The pulmonary parenchyma is unremarkable. The pleural space is normal. There is no intrathoracic lymphadenopathy. The larynx is unremarkable. The trachea is normal in diameter and course. There is a small mineral opacity, presumed to be within intestinal loop, in the mid-dorsal abdomen the included abdomen is otherwise unremarkable. No skeletal abnormalities are present. There is a small lipomatous mass in the subcutaneous tissues of the cranioventral abdomen.</t>
  </si>
  <si>
    <t>While the vertebral heart score is normal, mild specific left atrial enlargement (suggestive of mitral valve disease) is suspected. There is no evidence of cardiac decompensation. Echocardiography and ECG can be considered for further evaluation.</t>
  </si>
  <si>
    <t xml:space="preserve">
1.Are respiratory signs present? If NO._x000D_
2.MILD BRONCHIAL PATTERN; MILD PERIHILAR PATTERN._x000D_
3.Based on these AI airway/pulmonary findings, the probability of this patient having clinically detectable respiratorysigns is LOW (25%)_x000D_
4.Are respiratory signs present? If YES._x000D_
5.Mild cardiomegaly has been detected but Heart Failure is NOT suspected._x000D_
6.There is no evidence of ALVEOLAR PATTERN or DYNAMIC AIRWAY COLLAPSE or BRONCHIECTASIS.</t>
  </si>
  <si>
    <t>Study:_x000D_
Thoracic radiography: four images dated August 3,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liver extends mildly to moderately beyond the costal arch with smooth and sharp margins. The stomach contains unstructured heterogeneous soft tissue material presumed to be ingesta. Mild periarticular bone formation is present at the caudodistal aspect of the right humeral head. There is in situ mineralization of the T 10-T 11 and T 12-T 13 intervertebral discs. The patient is of obese body condition.</t>
  </si>
  <si>
    <t>1. Unremarkable thorax. There is no radiographic evidence of intrathoracic metastatic/multicentric mast cell disease._x000D_
2. The generalized hepatomegaly is nonspecific. Rule out metabolic/vacuolar hepatopathy, hyperplasia, hepatitis or infiltrative neoplasia._x000D_
3. Mild right shoulder osteoarthrosis._x000D_
4. T 10-T 11 and T 12-T 13 in situ degenerative disc disease.</t>
  </si>
  <si>
    <t>Abdominal sonography plus/minus aspirates of the liver and spleen can be considered for further mast cell tumor staging.</t>
  </si>
  <si>
    <t xml:space="preserve">
1.Mild cardiomegaly has been detected but Heart Failure is NOT suspected._x000D_
2.MODERATE BRONCHOINTERSTITIAL PULMONARY PATTERN; MILD PERIHILAR INFILTRATE; MILD DYNAMIC AIRWAY DISEASE; ATELECTASIS or less likely, pneumonia._x000D_
3.Based on the AI airway/pulmonary findings, the probability of this patient having clinically detectable respiratory signs is MEDIUM to HIGH (50%-75%)_x000D_
4.Are respiratory signs present? If YES._x000D_
5.Are respiratory signs present? If NO.</t>
  </si>
  <si>
    <t>Three views of the thorax are reviewed.  The cardiac silhouette is within normal limits in size and shape. The pulmonary vasculature is normal in size and tapers as it extends into the periphery.  A mild generalized nonstructured interstitial pattern is noted throughout the lung fields.  The VD view and left lateral are mild to moderately expiratory in exposure which accentuates the opacity of the lungs however. No pleural effusion or intrathoracic lymphadenopathy is noted. The trachea is normal in diameter.  The visible abdomen and skeletal structures are unremarkable.</t>
  </si>
  <si>
    <t>The appearance of the lung fields is nonspecific and could be consistent with inflammatory lung disease as with allergic or infectious bronchitis or pneumonitis, or artifact associated with expiratory exposure.  No evidence of congestive heart failure is noted in this study.</t>
  </si>
  <si>
    <t>Correlation with bloodwork may be helpful.  Lower airway sampling with transtracheal wash or BAL could also be considered.</t>
  </si>
  <si>
    <t>Three orthogonal thoracic radiographs dated 3rd August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50% of the dorsoventral diameter of the trachea. The intrathoracic trachea is normal. In the caudal dorsal lung fields there is a very mild bronchointerstitial opacification._x000D_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There is mild hepatomegaly with rounded borders.</t>
  </si>
  <si>
    <t>1. The dorsal attenuation of the trachea is consistent with redundant trachealis membrane or overlying musculature. Tracheomalacia is possible. This may cause coughing._x000D_
2. The caudal dorsal bronchointerstitial opacification is most likely due to hypoinflation. Pulmonary fibrosis, parasitic, viral-bacterial bronchitis should be considered. Heart worm is considered unlikely._x000D_
3. The hepatomegaly is most likely due to vacuolar hepatopathy, or underlying endocrine disease.</t>
  </si>
  <si>
    <t>Consider evaluation for airway collapse (fluoroscopy vs. right lateral inspiratory and expiratory radiographs vs. CT with virtual bronchoscopy). Alternatively consider medical management. _x000D_
Respiratory workup including CBC, serum chemistry, urinalysis, Baermann faecal testing, 4DX, +/- respiratory panel or fungal testing as indicated is advised.  Alternatively, empirical therapy for lower airway disease, empirical deworming, and removal of allergens and environmental irritants (i.e. smoke, dust, perfumes, etc.) can be considered.</t>
  </si>
  <si>
    <t xml:space="preserve">
1.The cardiac silhouette size is normal._x000D_
2.There is no evidence of BRONCHITIS or PULMONARY NODULES._x000D_
3.A minimal interstitial pattern has been detected.</t>
  </si>
  <si>
    <t>THORAX (3 total radiographs for review). Compared to previous examination dated 06/11/2024._x000D_
_x000D_
- The previously described focal alveolar pattern in the region of the ventral aspect of the right middle lung lobe has resolved._x000D_
- Cardiac silhouette, pulmonary vasculature normal._x000D_
- Persistent pleural thickening surrounding the left caudal lung lobe, which is mildly hyperinflated and has rounded margins._x000D_
- The remaining included intrathoracic structures are unremarkable._x000D_
- Newly visible today due to increased caudal collimation as well as progression in size, there is a very large (at least 15 x 10 cm) rounded soft-tissue opaque mass in the region of the dorsal aspect of the cranial abdomen, which bulges into the thorax and ventrally and caudally displaces gastric gas._x000D_
- The liver is mildly enlarged, with rounded margins._x000D_
- Included osseous structures are normal, besides the previously identified left shoulder joint osteoarthritis.</t>
  </si>
  <si>
    <t>1. Resolved alveolar pattern in the right middle lung lobe, consistent with positive response to reported therapy for aspiration pneumonia._x000D_
_x000D_
2. Rapidly progressive, large craniodorsal abdominal mass may originate from the gastric cardia/caudal esophageal region (e.g. leiomyosarcoma, carcinoma) or the hepatic parenchyma (e.g. carcinoma, abscess). This may be a reason for regurgitation/vomiting (if present) and may be a predisposing factor for aspiration pneumonia. I would recommend considering abdominal ultrasonography and fine needle aspirates in this case, or alternatively whole-body CT for further assessment. There is no distinct evidence of metastatic neoplasia._x000D_
_x000D_
3. Mild hepatomegaly. Most likely vacuolar (metabolic) hepatopathy. Hepatic congestion, hepatitis or neoplasia are less likely, but possible._x000D_
_x000D_
4. Persistent pleural thickening surrounding the left caudal lung lobe and mild lobar hyperinflation may simply be due to alteration of the margins of the lungs from the mass-effect of the cranial abdominal mass, but may also indicate a degree of acquired lower airway disease (e.g. pulmonary emphysema). No obvious pleural effusion is identified.</t>
  </si>
  <si>
    <t xml:space="preserve">
1.A minimal to mild bronchointerstitial pulmonary pattern has been detected._x000D_
2.The evaluation has come up positive for a pulmonary nodular pattern._x000D_
3.The cardiac silhouette size is normal._x000D_
4.There is no evidence of DYNAMIC AIRWAY COLLAPSE or BRONCHIECTASIS._x000D_
5.Pleural fissure lines or small volume pleural effusion has been detected. In a mildly overweight animal, excessive pericardial fat can artifactually mimic the result of minimal pleural effusion.</t>
  </si>
  <si>
    <t>Three orthogonal thoracic radiographs dated 3rd August 2024 are available for review. There are no previous radiographs available for comparison. _x000D_
_x000D_
Airway findings: The cervical and thoracic trachea have a normal size, outline and position. The carina, tracheal bifurcation and mainstem bronchi are normal. Throughout the lung parenchyma there is a mild bronchial pattern. An overlying interstitial pattern is also present, consistent with body habitus._x000D_
_x000D_
Cardiovascular findings: There is increased pericardial fat. The overall cardiac silhouette is within normal limits for size. The pulmonary vasculature is normal. The mainstem vessels are normal._x000D_
_x000D_
Mediastinum and pleural space: There is increased cranial mediastinal and ventral pleural fat._x000D_
_x000D_
Musculoskeletal findings: The patient is severely obese._x000D_
_x000D_
Included abdomen: No significant abnormalities are detected.</t>
  </si>
  <si>
    <t>1. Diffuse mild bronchial pattern: Primary consideration should be given to normal ageing/fibrosis from previous disease and body habitus. Allergic bronchitis, chronic bacterial /viral bronchitis +/- parasitic bronchitis should also be considered. Less likely are hyperardenocorticism, neoplasia (such a lymphoma) or idiopathic pulmonary fibrosis.</t>
  </si>
  <si>
    <t>Correlate with palpation testing for upper respiratory disease.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 _x000D_
Obesity predisposes for airway collapse, and reduction of thoracic volume (pickwickian syndrome), reducing pulmonary clearance, therefore weight management is advised._x000D_
Consider evaluation for airway collapse (fluoroscopy vs. right lateral inspiratory and expiratory radiographs vs. CT with virtual bronchoscopy).</t>
  </si>
  <si>
    <t xml:space="preserve">
1.Based on these AI airway/pulmonary findings, the probability of this patient having clinically detectable respiratory signs is LOW to MEDIUM (25-50%)_x000D_
2.Based on the AI airway/pulmonary findings, the probability of this patient having clinically detectable respiratory signs is LOW (25%)_x000D_
3.A mild bronchial pattern and concurrent mild dynamic airway disease have been detected._x000D_
4.MILD BRONCHOINTERSTITIAL PULMONARY PATTERN; MILD DYNAMIC AIRWAY DISEASE._x000D_
5.MILD BRONCHOINTERSTITIAL PULMONARY PATTERN; MINIMAL PERIHILAR PATTERN._x000D_
6.In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7.Are respiratory signs present? If YES._x000D_
8.In the PRESENCE of respiratory signs, low grade active pneumonitis (allergic, bacterial, parasitic (including heartworm disease), inhaled allergen or toxin) or upper airway disease causing pulmonary hypoinflation and/or recurrent microaspiration may be more likely._x000D_
9.Are respiratory signs present? If NO._x000D_
10.A minimal to mild perihilar infiltrate has been detected._x000D_
11.The cardiac silhouette size is normal.</t>
  </si>
  <si>
    <t>Study:_x000D_
Thoracic radiography: three images dated August 3, 2024_x000D_
_x000D_
Findings:_x000D_
The cardiac silhouette and pulmonary vasculature are normal in size. There is a mild to moderate multifocal alveolar pattern in both segments of the left cranial lung lobe, right cranial lung lobe and right middle lung lobe. The pleural space is normal. There is no intrathoracic lymphadenopathy. The trachea is normal in diameter and course. There is a small volume of gas in the esophagus likely secondary to aerophagia. The included abdomen is unremarkable. No skeletal abnormalities present. The patient is of overweight body condition.</t>
  </si>
  <si>
    <t>The multifocal alveolar pattern likely indicates pneumonia. Recommend empiric antibiotic therapy with repeat radiography in 10 to 14 days to monitor for response to treatment.</t>
  </si>
  <si>
    <t xml:space="preserve">
1.A moderate to severe interstitial to alveolar infiltrate with a mild perihilar infiltrate has been identified._x000D_
2.Pleural fissure lines or small volume pleural effusion has been detected. In a mildly overweight animal, excessive pericardial fat can artifactually mimic the result of minimal pleural effusion._x000D_
3.The cardiac silhouette size is normal.</t>
  </si>
  <si>
    <t>8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small.  The remaining abdominal organs are normal.  There is spondylosis deformans lumbar spine</t>
  </si>
  <si>
    <t>Radiographically normal abdomen.  Lack of specific changes does not rule out neoplasia or chronic pancreatitis.  Abdominal ultrasound could be considered.  Radiographically normal thorax for patient of this age.</t>
  </si>
  <si>
    <t>Three radiographs of the thorax/abdomen are provided. The heart and pulmonary vessels are normal size and shape. The lungs are clear. No pleural effusion. In the abdomen there is small volume gas in the stomach. Small bowel are mildly filled with a mixture of fluid and gas. Moderate volume of formed feces in the colon. No radiopaque foreign material. Normal-sized liver, spleen, left kidney. The right kidney is obscured. Osseous structures are unremarkable.</t>
  </si>
  <si>
    <t>Normal thorax and abdomen. Gastroenteritis should be considered.</t>
  </si>
  <si>
    <t>If the patient does not improve with supportive care, routine blood work and abdominal ultrasound would be recommended.</t>
  </si>
  <si>
    <t>WHOLE-BODY (6 total radiographs for review).  No previous examinations are available for comparison._x000D_
_x000D_
- There is a loss in mid abdominal peritoneal serosal detail._x000D_
- There is an ill-defined, rounded increase in soft tissue opacity centrally within the abdomen and lateralizing to the right that is regionally adjacent to multiple mildly to moderately distended intestinal segments._x000D_
- The stomach contains mild gas and gas stippled soft tissue opaque material._x000D_
- The majority of the small intestinal segments are relatively nondistended and contain mild gas and soft tissue opaque material._x000D_
- The cecum is not distinctly identified and the region of the ascending/transverse colon is indistinct.  The descending colon contains mild heterogeneous soft tissue opaque material and a few small mineral opaque foci._x000D_
- The liver, spleen, kidneys and urinary bladder are normal._x000D_
- The cardiac silhouette, pulmonary vasculature, pleural space and remaining included intrathoracic structures are unremarkable._x000D_
- Mild multifocal vertebral spondylosis deformans._x000D_
- Bilateral stifle osteoarthritis (limited assessment).</t>
  </si>
  <si>
    <t>1.  Probable right cranial abdominal mass, as clinically reported.  The mass is in the region of the ileocolic junction/cecum and most likely gastrointestinal in origin.  The primary consideration would be neoplasia (e.g. smooth muscle tumor such as leiomyosarcoma, intestinal adenocarcinoma, lymphoma).  Nonneoplastic etiologies such as fungal granulomatous disease are unlikely but possible.  Consider correlation to complete abdominal ultrasonography and ultrasound-guided fine-needle aspirates of the mass for further evaluation._x000D_
_x000D_
2.  Aerophagia._x000D_
_x000D_
3.  Normal thorax.  Negative examination for evidence of thoracic metastatic neoplasia.</t>
  </si>
  <si>
    <t>Study:_x000D_
Nine images that include the cervical region, thorax and abdomen dated August 3, 2024_x000D_
_x000D_
Findings:_x000D_
The cardiac silhouette and pulmonary vasculature are normal in size. There is incidental age-related bronchial wall mineralization in the caudodorsal lung fields. The pulmonary parenchyma is otherwise unremarkable. The pleural space is normal. There is no intrathoracic lymphadenopathy. The larynx and pharynx are unremarkable. The trachea is normal in diameter and course. The abdominal serosal detail is normal. The stomach contains a small volume of gas with the pylorus appropriately gas-filled on the left lateral image. The small intestines are normal in size, course and content. The colon contains formed fecal material. The liver and spleen are normal in size and margin. The kidneys are normal in size and contour. The urinary bladder is normal in size and opacity. There is no prostatomegaly. The dens is intact and well defined. The atlantoaxial joint space is normal. There is no intervertebral disc space or foraminal narrowing. There is no evidence of discospondylitis. The included appendicular skeletal structures are unremarkable.</t>
  </si>
  <si>
    <t>1. The spine is unremarkable. The lack of any apparent intervertebral disc space narrowing does not exclude the possibility of intervertebral disc disease. Neurology consultation and MRI can be considered for further evaluation if the clinical signs persist or worsen in spite of activity restriction and pain management._x000D_
2. Incidental age-related bronchial wall mineralization=ZZ90= otherwise, unremarkable thorax. There is no evidence of pneumonia, heart disease or intrathoracic neoplasia. Infectious respiratory disease PCR testing, computed tomography of the head/nasal passages and rhinoscopy can be considered for further evaluation of the reported nasal discharge._x000D_
3. Unremarkable abdomen.</t>
  </si>
  <si>
    <t>Three radiographs of the thorax/abdomen are provided. There is severe left-sided cardiomegaly. Subsequent dorsal deviation of the thoracic trachea and mainstem bronchi. The left mainstem bronchus is compressed. Pulmonary vessels are normal size. There is no loss of perihilar vessel visibility. No abnormalities in the pulmonary parenchyma. No pleural effusion. Redundant dorsal trachealis membrane in the cervical region on the right lateral view. In the abdomen there is no effusion or organomegaly. The gastrointestinal tract is mildly filled. No radiopaque cystic calculi. The inguinal hernia is not visible on this study. Osseous structures are unremarkable.</t>
  </si>
  <si>
    <t>1. Severe left-sided cardiomegaly consistent with acquired mitral valve disease. There is no evidence of heart failure, however there is mainstem bronchial compression._x000D_
2. Dynamic cervical tracheal collapse. This, coupled with the mainstem bronchial compression is the most likely cause for coughing._x000D_
3. Normal abdomen.</t>
  </si>
  <si>
    <t>An echocardiogram is recommended.</t>
  </si>
  <si>
    <t xml:space="preserve">
1.SEVERE DYNAMIC AIRWAY DISEASE; MODERATE BRONCHOINTERSTITIAL PULMONARY PATTERN; MODERATE ALVEOLAR INFILTRATE or ATELECTASIS._x000D_
2.MODERATE INTERSTITIAL TO ALVEOLAR INFILTRATE; CONCURRENT MODERATE BRONCHIAL PATTERN; MILD PERIHILAR INFILTRATE._x000D_
3.Based on the AI airway/pulmonary findings, the probability of this patient having clinically detectable respiratorysigns is MEDIUM to HIGH (50-75%)_x000D_
4.Based on these AI airway/pulmonary findings, the probability of this patient having clinically detectable respiratory signs is HIGH (75%)_x000D_
5.Are respiratory signs present? If YES._x000D_
6.Severe cardiomegaly has been detected but Heart Failure is NOT suspected._x000D_
7.Are respiratory signs present? If YES._x000D_
8.Are respiratory signs present? If NO._x000D_
9.AI linked bacterial pneumonia treatment in dogs: https://platform.v2.vetology.net/doc/pneumonia-in-dogs-and-cats_x000D_
10.Are respiratory signs present? If NO.</t>
  </si>
  <si>
    <t>Nine radiographs are provided, with images of the thorax, abdomen, pelvis, stifles. The cardiac silhouette and pulmonary vessels are normal size and shape. There are numerous incidental pulmonary osteomas. No soft tissue pulmonary nodules or pleural effusion. Small round soft tissue density to the left of the heart on the VD projection is end-on pulmonary vessel._x000D_
_x000D_
In the abdomen the spleen is normal size for this breed. Normal-sized liver and kidneys. There is no effusion. The gastrointestinal tract is minimally distended. No radiopaque urolithiasis. Mild thickened left femoral neck. There is curvilinear enthesophyte formation in the femoral intertrochanteric groove bilaterally. Pelvic limb musculature is symmetric. Patellar location is normal. There is scant fluid in the cranial aspect of both stifle joints, more prominent on the right. No popliteal lymphadenomegaly.</t>
  </si>
  <si>
    <t>1. Bilateral scant stifle effusion, worse on the right. This is most consistent with partial cranial cruciate ligament tear._x000D_
2. Bilateral mild coxofemoral osteoarthritis, worse on the left. A combination of this and cruciate ligament insult is suspected to be the cause for the lameness._x000D_
3. Normal thorax and abdomen.</t>
  </si>
  <si>
    <t>Three radiographs of the thorax are provided. The cardiac silhouette is upper normal size, with no definitive chamber enlargement. Pulmonary vessels are normal size. There are no abnormalities in the pulmonary parenchyma. No pleural effusion. Small volume fat deposition in the cranial mediastinum. There is redundant dorsal trachealis membrane causing severe narrowed cervical trachea. Moderate narrowed thoracic trachea and mainstem bronchi. The cranial abdomen is unremarkable. Narrowed L1-2 intervertebral disc space is are of doubtful clinical significance today.</t>
  </si>
  <si>
    <t>Severe narrowed cervical trachea, with moderate narrowed thoracic trachea. This is the most likely cause for coughing. Inhaled irritant/allergens could be contributing. There is no definitive evidence of cardiovascular disease on this study. A small valvular regurgitant jet can result in a relatively loud murmur.</t>
  </si>
  <si>
    <t xml:space="preserve">
1.Are respiratory signs present? If NO._x000D_
2.MILD BRONCHOINTERSTITIAL PULMONARY PATTERN; MILD DYNAMIC AIRWAY DISEASE._x000D_
3.Based on these AI airway/pulmonary findings, the probability of this patient having clinically detectable respiratory signs is LOW to MEDIUM (25-50%)_x000D_
4.Are respiratory signs present? If YES._x000D_
5.Moderate cardiomegaly has been detected but Heart Failure is NOT suspected.</t>
  </si>
  <si>
    <t>Orthogonal views of the thorax are provided:_x000D_
_x000D_
Thorax:_x000D_
_x000D_
There is cervical tracheal collapse more marked at the thoracic inlet._x000D_
Cardiac silhouette is WNL._x000D_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rounded margins.</t>
  </si>
  <si>
    <t>Consider a fluoroscopy with tracheobronchoscopy to better evaluate the extrathoracic tracheal collapse and to rule in/out intrathoracic tracheal collapse or bronchial component, evaluating treatment options. Take advantage of the bronchoscopy to further evaluate the larynx given 30% of patients with tracheal collapse display different degrees of laryngeal paralysis._x000D_
Consider also abdominal US to further evaluate the liver with +/- US guided FNAs.</t>
  </si>
  <si>
    <t xml:space="preserve">
1.MILD to MODERATE BRONCHOINTERSTITIAL PATTERN; MINIMAL DYNAMIC AIRWAY DISEASE._x000D_
2.Based on these AI airway/pulmonary findings, the probability of this patient having clinically detectable respiratory signs is LOW to MEDIUM (25%-50%)_x000D_
3.Are respiratory signs present? If YES._x000D_
4.AI linked bacterial bronchitis in dogs article: https://platform.v2.vetology.net/doc/bacterial-bronchitis-in-dogs-and-cats_x000D_
5.Are respiratory signs present? If NO._x000D_
6.There is no evidence of PERIHILAR INFILTRATE or PULMONARY NODULES._x000D_
7.Mild cardiomegaly has been detected but Heart Failure is NOT suspected.</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</si>
  <si>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The reported left axillary lesion is not observed._x000D_
_x000D_
Both shoulders and elbows are unremarkable. No evidence of fractures, subluxations or soft tissue swelling. No signs of aggressive bone lesions.</t>
  </si>
  <si>
    <t>1) Unremarkable thorax without signs of pulmonary metastases nor signs of thoracic lymphadenopathy._x000D_
2) Unremarkable shoulders and elbows.</t>
  </si>
  <si>
    <t>Consider CBC, evaluating the benefit of a left axillary region and full neuro exam with MRI if necessary: if negative, consider an orthopedic exam under sedation.</t>
  </si>
  <si>
    <t xml:space="preserve">
1.MILD BRONCHOINTERSTITIAL PULMONARY PATTERN with ATELECTASIS or less likely, PNEUMONIA; MILD PERIHILAR INFILTRATE._x000D_
2.Based on the AI airway/pulmonary findings, the probability of this patient having clinically detectable respiratory signs is LOW to MEDIUM (25%-50%)_x000D_
3.Are respiratory signs present? If YES._x000D_
4.Are respiratory signs present? If NO_x000D_
5.The cardiac silhouette size is normal._x000D_
6.There is no evidence of PULMONARY NODULES or PLEURAL EFFUSION.</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</si>
  <si>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are within normal limits._x000D_
Old rib fractures in the left 5th, 6th and 7th ribs.</t>
  </si>
  <si>
    <t>Two views of the thorax are provided for review.  The cardiovascular structures are normal.  There is a moderate bronchial pattern in all lung lobes.  The trachea appears narrowed in the cervical region.  The mediastinal and pleural structures are normal.  Cranial abdominal detail is adequate.</t>
  </si>
  <si>
    <t>Moderate bronchial pulmonary pattern=ZZ90= consider bronchitis, response to inhaled irritants, response to circulating parasites, eosinophilic bronchopneumopathy.  Airway sampling may be helpful in further evaluation.  Sedated upper airway examination to rule out laryngeal paralysis may also be helpful.  Apparent cervical tracheal narrowing is likely due to superimposition of esophagus in a patient of this breed.</t>
  </si>
  <si>
    <t>7 images of the thorax, pelvis, and pelvic limbs are presented for review.  The cardiovascular structures are normal.  There is a diffuse interstitial pulmonary pattern that is considered appropriate for the age of the patient.  No distinct pulmonary nodules or enlarged intrathoracic lymph nodes are seen.  Poorly defined soft tissue ventral to T8-9 on the right lateral view appears to be due to superimposition of the vessels in this region.  The pleural and mediastinal structures are normal.  Cranial abdominal detail is adequate.  The joint surfaces are smooth and regular.  There is lysis of the lateral cortex of the right tibia at the mid diaphysis.  Surrounding periosteal reaction and sclerosis is present.</t>
  </si>
  <si>
    <t>Radiographically normal thorax for patient of this age.  Proliferative and lytic changes of the right tibia.  The location and appearance are not typical of primary osseous neoplasia such as osteosarcoma.  Primary consideration is given to other neoplasia such as metastatic or hematopoietic origin based on the location.  Osteomyelitis cannot be excluded.  Biopsy would be necessary for definitive diagnosis.  A chronic process related to previous trauma cannot be completely excluded, but would not fit with the reported acute lameness.</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</si>
  <si>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WNL._x000D_
_x000D_
Multiple hemivertebrae and butterfly vertebrae are observed (consistent with the breed)._x000D_
Pelvis shows borderline coverage of both femoral heads by the craniodorsal edge of the acetabula, yet without signs of periarticular osteophytosis._x000D_
Stifles are unremarkable except for questionable mild effusion in the left stifle, otherwise without any other change. No signs of periarticular osteophytosis.</t>
  </si>
  <si>
    <t>1) Unremarkable thorax and abdomen._x000D_
2) Pelvis: Suspected hip dysplasia without periarticular osteophytosis. Consider a Penn-Hip study. This is unlikely the cause of the weakness in rear legs._x000D_
3) Questionable (minimal if any) synovial effusion in the left stifle.</t>
  </si>
  <si>
    <t>Given the history of weakness in rear legs with CP deficits slightly decreased, consider a full neuro exam with MRI if necessary. If the neuro exam is negative, consider an orthopedic exam under sedation with radiographs of the affected region.</t>
  </si>
  <si>
    <t xml:space="preserve">
1.MILD BRONCHOINTERSTITIAL PULMONARY PATTERN; MILD DYNAMIC AIRWAY DISEASE; ATELECTASIS or less likely, pneumonia._x000D_
2.Based on these AI airway/pulmonary findings, the probability of this patient having clinically detectable respiratory signs is MEDIUM (50%)_x000D_
3.Are respiratory signs present? If YES._x000D_
4.Are respiratory signs present? If NO._x000D_
5.Pleural fissure lines or moderate pleural effusion has been detected. An overlying skin fold or in a moderately overweight animal, excessive pericardial fat could artifactually mimic the result of moderate pleural effusion._x000D_
6.Minimal cardiomegaly has been detected but Heart Failure is NOT suspected.</t>
  </si>
  <si>
    <t>Patient Name : Stormi Bryant, Date of study: Aug 2, 2024
3 images are provided for review
Canine Thorax (3 Images) - 2 Lateral, 1 Vd
Prior images dated December 29, 2023 and previous are available.  Ventrodorsal image is mislabeled given position of the gastric fundus.  
Pulmonary parenchyma: A moderate alveolar pattern with increased soft tissue and faint air-bronchograms is present in the ventral periphery and mid-zones of the right middle and caudal subsegment of the left cranial lung lobes.  A  mild diffuse bronchial pattern is also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</si>
  <si>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Bilateral moderate alveolar pulmonary patterns in the right middle and left cranial lung lobes.
- Differential diagnoses include bronchopneumonia/aspiration pneumonia or unlikely other.
2. Mild diffuse bronchial pattern due to infectious/immune-mediated lower airway disease, fibrosis from prior disease, age-related changes, or unlikely other.</t>
  </si>
  <si>
    <t xml:space="preserve">Therapy for suspected bronchopneumonia with broad-spectrum antibiotics, oxygen therapy as needed, and supportive care in the interim.   Routine blood work and abdominal imaging to screen for occult systemic disease may be contributory.   Monitoring as directed or sooner if clinical signs acutely change, fail to improve or worsen.  Consider therapy for 1-2 weeks past radiographic resolution of pneumonia.  </t>
  </si>
  <si>
    <t>The date of study is 7/26/2024 and is compared to a study dated 1/19/2024._x000D_
_x000D_
Thorax: There is a static mild to moderate generalized cardiomegaly.  The pulmonary vasculature is unremarkable.  There is a static unchanged bronchial interstitial pattern.  There is no evidence of cardiogenic pulmonary edema or pleural effusion.  On the visible portion of the abdomen there is diffuse hepatomegaly with rounding of the caudal ventral margins.  This may have increased in size compared to previous.</t>
  </si>
  <si>
    <t>Unchanged mild to moderate generalized cardiomegaly without evidence of decompensation._x000D_
_x000D_
Unchanged diffuse bronchointerstitial pattern which may reflect age-related changes or bronchitis._x000D_
_x000D_
Diffuse hepatomegaly which may have increased in size compared to previous.</t>
  </si>
  <si>
    <t>Three radiographs of the thorax are provided. There is moderate cardiomegaly, predominantly left sided. Cranial pulmonary vessels are normal size. There is a moderate interstitial pattern in the left perihilar region. No other pulmonary parenchymal abnormalities. The trachea and mainstem bronchi are dorsally deviated by the enlarged heart. The left mainstem bronchus is compressed. Normal tracheal diameter and cranial abdomen.</t>
  </si>
  <si>
    <t>Moderate, predominantly left-sided cardiomegaly consistent with acquired mitral and tricuspid valve disease. Moderate interstitial pattern in the perihilar region is most likely pulmonary edema indicating left-sided cardiac decompensation. There is also mainstem bronchial compression.</t>
  </si>
  <si>
    <t xml:space="preserve">
1.MODERATE DYNAMIC AIRWAY DISEASE; MILD BRONCHOINTERSTITIAL PULMONARY PATTERN +/- PULMONARY HYPOINFLATION._x000D_
2.MILD BRONCHOINTERSTITIAL PULMONARY PATTERN; MINIMAL to MILD PERIHILAR PATTERN._x000D_
3.Based on these AI airway/pulmonary findings, the probability of this patient having clinically detectable respiratory signs is MEDIUM (50%)_x000D_
4.Based on the AI airway/pulmonary findings, the probability of this patient having clinically detectable respiratory signs is LOW (25%)_x000D_
5.AI linked dynamic airway treatment: https://platform.v2.vetology.net/doc/canine-tracheal-collapse-treatment_x000D_
6.Are respiratory signs present? If YES._x000D_
7.In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8.Severe cardiomegaly has been detected but Heart Failure is NOT suspected._x000D_
9.In the PRESENCE of respiratory signs, low grade active pneumonitis (allergic, bacterial, parasitic (including heartworm disease), inhaled allergen or toxin) or upper airway disease causing pulmonary hypoinflation and/or recurrent microaspiration may be more likely._x000D_
10.Are respiratory signs present? If NO.</t>
  </si>
  <si>
    <t>Patient Name: Muddy Paws Motenko, Date of study: Aug 2, 2024
4 images are provided for review
Canine Thorax (4 Images) - 3 Lateral, 1 Vd
Previous images dated [07/27/2024 Case#2725275] are available for comparison.
Thorax:
Airway/pulmonary parenchyma: The diffuse primarily bronchial and less severe interstitial pulmonary pattern has changed in appearance in the recheck interim. On the current study, the bronchial component is less severe while the interstitial component to the caudal lung lobes is more severe. Additionally, there is a new finding of an alveolar infiltrate cranial to the heart on both lateral projections. Tracheal diameter has increased in the recheck interim. The degree of lobar bronchiectasis affecting the ventrally positioned lung lobes has also progressed in the recheck interim. 
Cardiovascular: Cardiac size has increased in the recheck interim with both rounding to the right heart and subtle loss to the caudal cardiac waist. On the VD projection, the pulmonary vasculature to the periphery of the right middle and left cranial lung lobes has decreased while the remaining vasculature has increased in diameter and the caudal pulmonary vasculature is partially obscured by the pulmonary infiltrate.
Mediastinum: Normal with minimal pericardial fat. No esophageal dilation is noted. 
Pleural space: Minimal blunting/rounding to the caudal lung tips on the VD projection, static in the recheck interim.
Cranial abdomen: The stomach is gas filled. The gastric rugae are prominent. 
Msk: Normal</t>
  </si>
  <si>
    <t xml:space="preserve">1) Improved bronchial pattern in the recheck interim. 
2) New finding of mild cardiomegaly and asymmetric pulmonary vasculature. PTE with overcirculation and overcirculation edema to the right cranial and caudal lung lobes suspected along with pulmonary hypertension. Concurrent pneumonia cannot be excluded but heart failure should be ruled out.
3) Progressive bronchiectasis affecting the ventral bronchi. This finding is consistent with chronic, recurrent aspiration pneumonia. 
4) Gastric appearance suggestive of gastritis. Rule out gastroesophageal reflux disease and/or an upper airway cause for recurrent pneumonia. </t>
  </si>
  <si>
    <t xml:space="preserve">Consider a cardiac ultrasound, ECG and systemic blood pressure evaluation for further investigation. Treatment for heart failure as clinically warranted. Bloodwork to assess for evidence of pneumonia. Concurrent treatment for aspiration pneumonia can be considered while awaiting cardiac evaluation. 
Question owner about historical gastroesophageal reflux disease and/or vomiting with abdominal ultrasound as needed. </t>
  </si>
  <si>
    <t>Study:_x000D_
Thoracic radiography: three images dated August 2, 2024_x000D_
_x000D_
Findings:_x000D_
There is mild left ventricular and left atrial enlargement. The pulmonary vasculature is normal in size. The pulmonary parenchyma is unremarkable. The pleural space is normal. There is no intrathoracic lymphadenopathy. The patient has a redundant dorsal tracheal membrane. The trachea is normal in diameter. The stomach contains unstructured heterogeneous soft tissue material presumed to be ingesta. The included abdomen is otherwise unremarkable. The osseous structures are unremarkable. The patient is of obese body condition.</t>
  </si>
  <si>
    <t>1. Mild left-sided cardiomegaly, indicative of mitral valve disease, without evidence of decompensation. Echocardiography should be considered for further evaluation._x000D_
2. Redundant dorsal tracheal membrane. Normal diameter of the trachea does not exclude concomitant tracheal collapse. Fluoroscopy can be considered to further evaluate for dynamic airway disease if the patient exhibits any tracheal sensitivity on physical exam.</t>
  </si>
  <si>
    <t xml:space="preserve">
1.MODERATE BRONCHINTERSTITIAL PATTERN; MILD DYNAMIC AIRWAY DISEASE; ATELECTASIS or less likely, PNEUMONIA._x000D_
2.Based on these AI airway/pulmonary findings, the probability of this patient having clinically detectable respiratory signs is MEDIUM (50%)_x000D_
3.Are respiratory signs present? If YES._x000D_
4.Are respiratory signs present? If NO._x000D_
5.Mild cardiomegaly has been detected but Heart Failure is NOT suspected.</t>
  </si>
  <si>
    <t>A LL view of the thorax and orthogonal views of the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small volume of food._x000D_
Small intestines are mildly gas and fluid filled, not overtly distended. No signs of mechanical ileus._x000D_
Unformed feces in the colon._x000D_
Serosal detail is preserved._x000D_
Liver and spleen are within normal limits of size and smoothly marginated._x000D_
Kidneys and urinary bladder WNL.</t>
  </si>
  <si>
    <t>1) Incomplete exam for the thorax._x000D_
2) Unremarkable abdomen.</t>
  </si>
  <si>
    <t>Abdominal US to further evaluate causes of V/D and a VD view of the thorax.</t>
  </si>
  <si>
    <t>Abdomen: There is a large soft tissue mass within the cranial to mid abdomen.  There is a mineral opacity within the gastric lumen which appears to represent a bone fragment.  The remainder of the abdominal viscera is unremarkable._x000D_
_x000D_
Thorax: The pulmonary parenchyma, cardiac silhouette, and pulmonary vasculature are unremarkable.  There is no evidence of pleural effusion or lymphadenopathy.</t>
  </si>
  <si>
    <t>Large soft tissue mass.  Primary differential consideration is a splenic origin._x000D_
_x000D_
Gastric foreign body suspected to be a bone fragment.</t>
  </si>
  <si>
    <t>Orthogonal radiographs of the thorax, and three views of the abdomen are provided. The heart and pulmonary vessels are normal size and shape. There are no abnormalities in the pulmonary parenchyma. No pleural effusion. Normal cranial mediastinal width. No esophageal dilation._x000D_
_x000D_
In the abdomen the stomach contains small volume gas and scant amorphous soft tissue density. Small intestines are mildly filled. Moderate volume of formed feces in the colon. The cecum is gas dilated. There is no effusion. Normal-sized liver and spleen. The kidneys are incompletely visible. Uterus is not definitively seen. Osseous structures are unremarkable.</t>
  </si>
  <si>
    <t>Normal thorax and abdomen. Gastric contents appears to be normal ingesta. All or a portion of gastric contents could be foreign material causing gastritis and intermittent pyloric outflow obstruction. There is no evidence of small bowel obstruction or aspiration pneumonia.</t>
  </si>
  <si>
    <t>Recommend a CBC, blood chemistry profile, and strictly fasted abdominal ultrasound. If ultrasound is not available, a positive contrast gastrogram could be considered.</t>
  </si>
  <si>
    <t>Study:_x000D_
Thoracic radiography: three images dated August 2, 2024_x000D_
_x000D_
Findings:_x000D_
There is mild left ventricular and left atrial enlargement. The pulmonary vasculature is normal in size. The pulmonary parenchyma is unremarkable. The pleural space is normal. There is no intrathoracic lymphadenopathy. The larynx is unremarkable. There is a broad-based soft tissue opaque band superimposed with the cervical trachea lumen representing other redundant dorsal tracheal membrane or superimposition of the esophagus. The trachea is normal in diameter. The included abdomen is unremarkable. No skeletal abnormalities are present.</t>
  </si>
  <si>
    <t>1. Mild left-sided cardiomegaly, indicative of mitral valve disease, without evidence of decompensation. Echocardiography should be considered for further evaluation._x000D_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airway sampling, infectious respiratory disease PCR testing plus/minus sedated laryngeal exam, heartworm testing and Baermann fecal flotation can be considered to further evaluate the reported coughing.</t>
  </si>
  <si>
    <t xml:space="preserve">
1.A moderate interstitial to alveolar pattern has been detected._x000D_
2.The cardiac silhouette size is normal._x000D_
3.There is no evidence of PERIHILAR INFILTRATE, DYNAMIC AIRWAY COLLAPSE or BRONCHIECTASIS, PULMONARY NODULES or PLEURAL EFFUSION.</t>
  </si>
  <si>
    <t xml:space="preserve">Patient Name : phoebe farber, Date of study: Aug 2, 2024
3 images are provided for review
Prior images dted April 11, 2024 and previous are available.  
Bones/Joints:
The right elbow is normal.  
The right shoulder is normal.
The included right carpus is normal.
The left elbow is normal.  
The left shoulder is normal.  
The included left carpus is normal.
Lucency over the right C2 transverse process in the ventrodorsal image such as from reported prior trauma.  
There is no evidence of medullary sclerosis, osteolysis, endosteal scalloping, or periosteal proliferation.
Soft tissues:  The included soft tissues are normal.
</t>
  </si>
  <si>
    <t>1. Normal left elbow.
2. Normal right elbow.
3. Unchanged lucency over C2 right transverse process such as from prior trauma.</t>
  </si>
  <si>
    <t xml:space="preserve">Consider neurologic consultation and MRI for further evaluation of occult intervertebral disc herniation or brachial plexus injury contributing to the reported clinical signs.  No obvious shoulder or elbow osteoarthrosis is identified.  Empirical therapy and supportive care in the interim as needed.  </t>
  </si>
  <si>
    <t xml:space="preserve">
1.MILD BRONCHIAL PATTERN; NODULAR PULMONARY PATTERN which is likely due to overlying CUTANEOUS NODULES or MINERALIZED COSTOCHONDRAL JUNCTIONS._x000D_
2.MILD BRONCHIAL PATTERN; MILD DYNAMIC AIRWAY DISEASE._x000D_
3.Mild cardiomegaly has been detected but Heart Failure is NOT suspected._x000D_
4.There is no evidence of ALVEOLAR PATTERN or PERIHILAR INFILTRATE._x000D_
5.Based on the AI airway/pulmonary findings, the probability of this patient having clinically detectable respiratory signs is LOW to MEDIUM (25%-50%)_x000D_
6.The evaluation has come up positive for a pulmonary nodular pattern._x000D_
7.Are respiratory signs present? If YES._x000D_
8.Are respiratory signs present? If NO._x000D_
9.Are respiratory signs present? If YES._x000D_
10.Are respiratory signs present? If NO._x000D_
11.Based on these AI airway/pulmonary findings, the probability of this patient having clinically detectable respiratory signs is LOW to MEDIUM (25-50%)</t>
  </si>
  <si>
    <t>Four radiographs of the thorax are provided. There is moderate left atrial enlargement. Cardiac to thoracic ratio remains normal. Pulmonary arteries and veins are symmetric and taper as expected. A mild bronchial pattern is present. There is no pleural effusion. Smoothly contoured 1.2 cm soft tissue opacity with central stippled mineral density noted ventral to the mid right thorax. Moderate narrowed cervical trachea on the right lateral view. Small volume fluid in the caudal esophagus is transient and incidental.</t>
  </si>
  <si>
    <t>1. Dynamic cervical tracheal collapse, the most likely cause for coughing. The bronchial pattern may be normal age-related changes versus allergic bronchitis, which could be contributing to the cough._x000D_
2. Moderate left atrial enlargement consistent with acquired mitral valve disease. There is no evidence of pulmonary venous congestion or heart failure. This is not responsible for the cough._x000D_
3. Partially mineralized right extrathoracic nodule, concerning for mammary neoplasia. A granuloma is also possible.</t>
  </si>
  <si>
    <t>Recommend utilization of a body harness in place of a neck lead and symptomatic treatment for the cough. Cytology/histopathology of the ventral extrathoracic nodule should also be considered.</t>
  </si>
  <si>
    <t>Thorax: There are no abnormalities involving the pulmonary parenchyma.  There is a mild amount of fluid within the distal esophagus.  The cardiac silhouette is on the lower limits of normal for size.  There is decreased diameter of the pulmonary vasculature and caudal vena cava.  There is no evidence of pleural effusion or lymphadenopathy.  On the visible portions of the abdomen there is moderate gas distention of the stomach without evidence of malpositioning.</t>
  </si>
  <si>
    <t>Fluid within the distal esophagus most likely an incidental finding.  Alternatively but considered less likely foreign body or mass cannot be ruled out._x000D_
_x000D_
Mild microcardia and decreased diameter of the pulmonary vasculature and caudal vena cava.  Dehydration/hypovolemia should be considered._x000D_
_x000D_
Gas-distended stomach.</t>
  </si>
  <si>
    <t xml:space="preserve">
1.A moderate interstitial to alveolar pattern has been detected._x000D_
2.Pleural fissure lines or small volume pleural effusion has been detected. In a mildly overweight animal, excessive pericardial fat can artifactually mimic the result of minimal pleural effusion._x000D_
3.The cardiac silhouette size is normal._x000D_
4.There is no evidence of BRONCHITIS, PERIHILAR INFILTRATE or DYNAMIC AIRWAY COLLAPSE or BRONCHIECTASIS.</t>
  </si>
  <si>
    <t>3 views of the thorax are provided for review and compared with the study dated 5/23/2024.  The trachea is mildly dorsally deviated, indicating left ventricular enlargement.  There is straightening of the caudal cardiac waist in the region of the left atrium.  The trachea remains narrowed in the cervical region.  Moderate bronchial markings are unchanged.  No perihilar pulmonary infiltrates are seen.  The pulmonary vasculature is normal in size.  The mediastinal and pleural structures are normal.  Cranial abdominal detail is adequate.  The liver appears more rounded with caudal displacement of the gastric axis.</t>
  </si>
  <si>
    <t>Persistent moderate bronchial pulmonary pattern consistent with chronic bronchitis.  Persistent tracheal narrowing suggestive of tracheal collapse.  Mild left-sided cardiomegaly without current evidence of cardiogenic pulmonary edema.  Persistent hepatomegaly=ZZ90= this is a nonspecific finding that may be seen with congestion, vacuolar hepatopathy, inflammation, neoplasia, etc.</t>
  </si>
  <si>
    <t xml:space="preserve">
1.Severe dynamic airway disease and a concurrent, mild to moderate bronchointerstitial pattern have been detected._x000D_
2.Severe cardiomegaly has been detected but Heart Failure is NOT suspected._x000D_
3.A mild to moderate bronchointerstitial pattern has been detected._x000D_
4.MILD TO MODERATE BRONCHOINTERSTITIAL PULMONARY PATTERN; ATELECTASIS or ALVEOLAR INFILTRATE._x000D_
5.Based on these AI airway/pulmonary findings, the probability of this patient having clinically detectable respiratory signs is LOW to MEDIUM (25-50%)_x000D_
6.Are respiratory signs present? If YES._x000D_
7.Are respiratory signs present? If NO._x000D_
8.A mild perihilar infiltrate has been detected.</t>
  </si>
  <si>
    <t>Three radiographs of the thorax, and five views of the abdomen are provided. Images dated 12/4/23 and earlier are available for comparison. The cardiac silhouette and pulmonary vessels are normal size and shape. There are no abnormalities in the pulmonary parenchyma. The trachea is normal diameter and position. Osseous structures are unremarkable._x000D_
_x000D_
In the abdomen there is gas in the cecum and a moderate volume of feces in the colon. Small bowel are minimally distended. Small volume soft tissue opaque ingesta in the stomach. On the 2nd right lateral view, there is a well delineated rectangular 2.2 x 2.4 cm thin-walled lucent structure within the stomach. This is not definitively seen on the other views. No other evidence of foreign material. Normal-sized liver, spleen, kidneys. The urinary bladder is minimally distended.</t>
  </si>
  <si>
    <t>Gastric foreign object. It is unknown if this represents one of the reported bait objects, and is of a size that may be able to pass successfully. No other abdominal abnormalities, and the thorax is normal.</t>
  </si>
  <si>
    <t>With the potential exposure to rodenticide, consider inducing vomiting, medical support, and vitamin K supplementation.</t>
  </si>
  <si>
    <t xml:space="preserve">
1.MODERATE BROCHOINTERSTITIAL PULMONARY PATTERN; ATELECTASIS or less likley, PNEUMONIA._x000D_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PERIHILAR INFILTRATE or DYNAMIC AIRWAY COLLAPSE or BRONCHIECTASIS.</t>
  </si>
  <si>
    <t>THORAX and CERVICAL (5 total radiographs for review).  No previous examinations are available for comparison._x000D_
_x000D_
- The cardiac silhouette and pulmonary vasculature are normal._x000D_
- The pulmonary parenchyma is normal_x000D_
- The trachea, esophagus and remainder of the mediastinum are normal._x000D_
- The pleural space and remaining intrathoracic structures are normal._x000D_
- The stomach contains mild gas stippled soft tissue opaque material and a few small amorphous mineral opaque fragments/foci._x000D_
- The remaining cranial abdominal structures are normal._x000D_
- No discrete musculoskeletal abnormalities are identified.</t>
  </si>
  <si>
    <t>1.  Normal thorax.  A discrete radiographic cause for the reported hacking cough is not clearly identified.  Radiographic sensitivity for subtle lower airway disease such as tracheobronchitis can be limited._x000D_
_x000D_
2.  Mild nonspecific gastric undigested food and/or foreign material and few small mineral opaque foci in the stomach and intestinal tract, potentially representing dietary indiscretion.  Correlate to clinical impression and timing of recent meal, if performed.</t>
  </si>
  <si>
    <t>7 images of the thorax, abdomen, pelvis, and pelvic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There is apparent narrowing of the intervertebral disc spaces at T12-L2.  The coxofemoral joints are congruent.  No fractures or aggressive osseous lesions are seen.  The joint surfaces are smooth and regular.  No stifle effusion is seen.</t>
  </si>
  <si>
    <t>Narrowed intervertebral disc spaces suggestive of intervertebral disc herniations.  This does not rule out intervertebral disc herniation at another site or other causes of spinal cord compression.  CT or MRI could be considered in further evaluation.  Radiographically normal abdomen, pelvis, and stifles.  Radiographically normal thorax for patient of this age on the view provided.</t>
  </si>
  <si>
    <t xml:space="preserve">
1.Are respiratory signs present? If YES._x000D_
2.Are respiratory signs present? If NO._x000D_
3.The cardiac silhouette size is normal._x000D_
4.MODERATE INTERSTITIAL TO ALVEOLAR INFILTRATE; MILD BRONCHIAL PATTERN; MILD PERIHILAR INFILTRATE._x000D_
5.Based on these AI airway/pulmonary findings,  the probability of this patient having clinically detectable respiratory signs is HIGH (75%)</t>
  </si>
  <si>
    <t xml:space="preserve">Patient Name : Samantha Proctor, Date of study: Aug 2, 2024
3 images are provided for review
Canine Thorax (3 Images) - 2 Lateral, 1 Vd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has slightly flattened caudodorsal margin.  Minimal rounded increased soft tissue is suspected in thee region of the left atrium in the ventrodorsal image.  
Mediastinum: The cranial mediastinum is normal.
Trachea: The trachea is normal.
Esophagus: The esophagus is not well-identified.
Pleural space: The pleural space is normal.
Musculoskeletal: The included musculoskeletal structures are normal.
</t>
  </si>
  <si>
    <t>1. Mild left-sided cardiomegaly such as from myxomatous mitral valvular disease and insufficiency.
- There is no current evidence of left-sided congestive heart failure.  
2. Minimal diffuse bronchial pulmonary pattern due to fibrosis from prior disease, age-related changes, or unlikely infectious/immune-mediated lower airway disease, or other.</t>
  </si>
  <si>
    <t>Echocardiography, ECG and blood pressure for further evaluation, as well as routine blood work and urinalysis if not recently performed.  Consider respiratory PCR panel, fecal analysis/deworming and empirical therapy for cough in the interim.  This examination does not rule out underlying dynamic airway disease.  Monitoring as directed or sooner if clinical signs acutely change, fail to improve or worsen.</t>
  </si>
  <si>
    <t>Patient Name : Chester Roo Moonshine, Date of study: Aug 2, 2024
2 images are provided for review
Canine Thorax (2 Images) - 1 Vd, 1 Lateral
Prior images dated July 1, 2024 and prior are available.
Pulmonary parenchyma: In the right lateral image, superimposed over the 4th intercostal space is an possible ovoid soft tissue nodule. This is not corroborated in the ventrodorsal image. The thoracic limbs superimpose over this region in the lateral image.  A similar mild diffuse bronchial pattern is present.
Pulmonary vasculature: The pulmonary vasculature is subjectively normal in size and tapers in the periphery of the lungs.
Cardiac silhouette: The cardiac silhouette is normal in size and shape.
Mediastinum: The cranial mediastinum mildly symmetrically widened without obvious increased soft tissue.
Trachea: The trachea is normal.
Esophagus: The esophagus is not well-identified.
Pleural space: The pleural space is normal.
Musculoskeletal: The T4, T5, T6, T7, T8, T9, T10, and T11 vertebrae are variably narrowe or wedge-butterfly shaped.  The T6-7 and T7-8 spinous processes are partially fused. T4-5 spondylosis deformans is present. The remaining included musculoskeletal structures are normal.</t>
  </si>
  <si>
    <t>1. Possible soft tissue pulmonary nodule versus superimposed structures/artifact
2. Similar mild diffuse bronchial pattern such as from infectious/immune-mediated lower airway disease (mycoplasma spp., bordetella spp., parasitism, or other), inhaled allergen/irritant, fibrosis from prior disease, age-related changes, or less likely other.
3. Widened cranial mediastinum due to breed conformation/fat deposition or unlikely evolving lymphadenomegaly or mass.
4. Multifocal congenital vertebral anomalies.</t>
  </si>
  <si>
    <t>Consider computed tomography of the thorax for further evaluation of the possible soft tissue pulmonary nodule, and as a more sensitive evluation of the lungs.  Consider air way sampling and bronchoscopy/tracheoscopy for further evaluation of lower airway disease and occult dynamic airway disease.  Consider sedated laryngeal examination and evaluation of brachycephalic airway syndrome contributing to reported signs.   No obvious evidence of cardiomegaly, but underlying/evolving right-sided disease such as from chronic pulmonary disease cannot be completely ruled out.  Consider echocardiography if other diagnostics are inconclusive, especially if signs fail to improve or worsen.   Empirical therapy and supportive care in the interim as needed. Monitoring as directed or sooner if clinical signs acutely change, fail to improve or worsen.</t>
  </si>
  <si>
    <t xml:space="preserve">
1.MINIMAL to MILD BRONCHOINTERSTITIAL PULMONARY PATTERN; MILD DYNAMIC AIRWAY DISEASE; FOCAL ATELECTASIS, or less likely, ALVEOLAR INFILTRATE._x000D_
2.Based on these AI airway/pulmonary findings, the probability of this patient having clinically detectable resspiratory signs is LOW (25%)_x000D_
3.Are respiratory signs present? If YES._x000D_
4.Are respiratory signs present? If NO._x000D_
5.The cardiac silhouette size is normal.</t>
  </si>
  <si>
    <t>Six radiographs of the thorax and abdomen are provided. The left ventricle is elongated. Pulmonary vessels are normal size. There are no abnormalities in the pulmonary parenchyma. Normal tracheal diameter. No cervicothoracic spinal abnormalities. Normal proximal thoracic limbs._x000D_
_x000D_
In the abdomen the prostate is moderately enlarged consistent with the reproductive status of this patient. No radiopaque urolithiasis. Normal-sized spleen, liver, kidneys. Slight narrowing T12-13 intervertebral disc space. No other narrowed intervertebral disc spaces or foramina. There is mineralized intervertebral disc material in situ at L6-7, likely incidental. Previous right femoral head ostectomy. The left coxofemoral joint is congruent.</t>
  </si>
  <si>
    <t>1. The appearance of T12-13 is suggestive of a protruding/extruded intervertebral disc. Such a lesion at this or another site is the most likely cause for the clinical signs._x000D_
2. Mild left-sided cardiomegaly consistent with acquired mitral valve disease. There is no evidence of pulmonary venous congestion or pulmonary edema. This is of doubtful clinical significance today. The thorax is otherwise normal._x000D_
3. Normal abdomen.</t>
  </si>
  <si>
    <t>Consultation with a neurologist and advanced spinal imaging with MRI is recommended.</t>
  </si>
  <si>
    <t>4 lateral views of the thorax are provided for review and compared with the study dated 5/10/2024.  The cardiovascular structures are normal.  There is a persistent mild bronchial pattern in all lung lobes.  The mediastinal and pleural structures are normal.  Cranial abdominal detail is adequate.</t>
  </si>
  <si>
    <t>Unchanged mild bronchial pulmonary pattern=ZZ90= consider bronchitis, response to inhaled irritants, response to circulating parasites, eosinophilic bronchopneumopathy.</t>
  </si>
  <si>
    <t>Airway sampling may be helpful in further evaluation of the medications necessary.</t>
  </si>
  <si>
    <t>3 views of the thorax are provided for review.  The trachea is mildly dorsally deviated, indicating left ventricular enlargement.  There is straightening of the caudal cardiac waist in the region of the left atrium.  There is a moderate bronchial pattern in all lung lobes.  The mediastinal and pleural structures are normal.  Cranial abdominal detail is adequate.</t>
  </si>
  <si>
    <t>Opposite lateral and VD views of the neck and thorax are provided. There are six images total._x000D_
_x000D_
No laryngeal/pharyngeal or tracheal abnormalities are identified._x000D_
There is a mild interstitial pattern. Bronchial markings are also mildly increased. The heart is shifted toward the left thoracic wall. The heart is within normal size limits. There is a slight bulge at the caudal heart base in the left lateral view. Pulmonary vessels are normal. The cranial abdomen is unremarkable.</t>
  </si>
  <si>
    <t>There is a mild interstitial pattern that is slightly more prominent than typical age related change. Bronchial markings are mildly increased. The overall appearance would be most compatible with allergic lung disease or prominent age related changes. Viral pneumonitis/viral tracheobronchitis could also be present without more significant radiographic abnormalities._x000D_
No findings consistent convincing for pneumonia or neoplasia are identified._x000D_
The slight bulge at the caudal heart base is equivocal. This could be a simple benign variant or an indicator of slight left atrial dilation. Clinical significance is limited.</t>
  </si>
  <si>
    <t>Symptomatic therapy for the cough is recommended._x000D_
CBC and heartworm testing is recommended.</t>
  </si>
  <si>
    <t xml:space="preserve">
1.Pleural fissure lines or moderate to severe pleural effusion has been detected. An overlying skin fold or in an obese animal, excessive pericardial fat could artifactually mimic the result of severe pleural effusion._x000D_
2.Based on the AI airway/pulmonary findings, the probability of this patient having clinically detectable respiratory signs is HIGH (75%)_x000D_
3.Are respiratory signs present? If YES._x000D_
4.Are respiratory signs present? If NO._x000D_
5.A mild perihilar infiltrate has been detected._x000D_
6.The cardiac silhouette size is normal._x000D_
7.MODERATE INTERSTITIAL TO ALVEOLAR INFILTRATE; MILD BRONCHIAL PATTERN; MILD PERIHILAR INFILTRATE.</t>
  </si>
  <si>
    <t>Orthogonal views of the thorax are provided:_x000D_
_x000D_
Thorax:_x000D_
_x000D_
Cardiac silhouette has a normal shape and size._x000D_
Pulmonary vessels are within normal limits of size and shape._x000D_
Pulmonary parenchyma shows an alveolar pulmonary pattern with air bronchograms ventrally located in both the right cranial lung lobe and in the right middle lung lobe which are associated with mild lung atelectasis with ipsilateral mediastinal shift. _x000D_
Pleural space, mediastinum, diaphragm and thoracic wall within normal limits.</t>
  </si>
  <si>
    <t>1) Alveolar pulmonary pattern with air bronchograms ventrally located in both the right cranial lung lobe and in the right middle lung lobe compatible with infectious bronchopneumonia vs aspiration pneumonia.</t>
  </si>
  <si>
    <t xml:space="preserve">
1.Pleural fissure lines or small volume pleural effusion has been detected. In a mildly overweight animal, excessive pericardial fat can artifactually mimic the result of minimal pleural effusion._x000D_
2.The cardiac silhouette size is normal._x000D_
3.In the ABSENCE of respiratory signs, lung lobe collapse or severe atelectasis secondary to anesthesia or deep sedation would be more likely._x000D_
4.Are respiratory signs present? If YES._x000D_
5.AI linked canine pneumonia treatment: https://platform.v2.vetology.net/doc/pneumonia-in-dogs-and-cats_x000D_
6.Are respiratory signs present? If NO._x000D_
7.A severe alveolar pattern and minimal perihilar pattern have been detected._x000D_
8.AI linked canine bacterial pneumonia treatment: https://platform.v2.vetology.net/doc/pneumonia-in-dogs-and-cats_x000D_
9.MINIMAL TO MILD BRONCHOINTERSTITIAL PULMONRAY PATTERN; MILD PERIHILAR PATTERN._x000D_
10.SEVERE ALVEOLAR INFILTRATE; MINIMAL BRONCHOINTERSTITIAL PATTERN._x000D_
11.Based on the AI airway/pulmonary findings, the probability of this patient having clinically detectable respiratory signs is VERY HIGH (&gt;75%)_x000D_
12.Based on the AI airway/pulmonary findings, the probability of this patient having clinically detectable respiratory signs is LOW (25%)_x000D_
13.A minimal bronchointerstitial pulmonary pattern with a concurrent, minimal perihilar infiltrate have been detected.</t>
  </si>
  <si>
    <t>Study:_x000D_
Thoracic radiography: right lateral and VD views dated August 2, 2024_x000D_
_x000D_
Findings:_x000D_
The cardiac silhouette and pulmonary vasculature are normal in size. There is a mild to moderate generalized bronchointerstitial pulmonary pattern. Multiple punctate mineral opacities consistent with incidental pulmonary osteomas are scattered throughout the pulmonary parenchyma. The pleural space is normal. There is no intrathoracic lymphadenopathy. The trachea is normal in diameter and course. The included abdomen is normal. There is a soft tissue opaque mass in the subcutaneous tissues of the right caudal thorax. The osseous structures are unremarkable.</t>
  </si>
  <si>
    <t>1. The diffuse bronchointerstitial pulmonary pattern is a nonspecific finding. This could be a benign age-related change or may indicate allergic, inflammatory, infectious, inhaled irritant or parasitic bronchitis. Airway sampling plus/minus heartworm testing and Baermann fecal flotation can be considered to further evaluate for lower airway disease. Laryngeal paralysis should also be considered as a potential cause of the wheezing._x000D_
2. Incidental pulmonary osseous metaplasia._x000D_
3. Right caudal thoracic subcutaneous soft tissue mass. Rule out benign or malignant neoplasia, cyst, abscess or granuloma. Tissue sampling can be considered for further evaluation.</t>
  </si>
  <si>
    <t xml:space="preserve">Patient Name : Auzzie Hoy, Date of study: Aug 2, 2024
3 images are provided for review
Canine Thorax (3 Images) - 1 Vd, 2 Lateral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mildly tall in the lateral image and occupies approximately 2/3  the height of the thorax with dorsal tracheal dispalcement.  The caudodorsal margin of the cardiac silhouette is slightly flat.  
Mediastinum: The cranial mediastinum is normal.
Trachea: A soft tissue band is over the dorsal margin of the cervical trachea.  
Esophagus: The esophagus is not well-identified.
Pleural space: The pleural space is normal.
Musculoskeletal: A broad-based fat opaque nodule arises from the ventral extra-thoracic soft tissues.  Mild osteoarthrosis of at least one shoulder is present.  The remaining included musculoskeletal structures are normal.
Cranial abdomen:  Mineral over the right cranial liver.  </t>
  </si>
  <si>
    <t>1. Mild left-sided cardiomegaly or unlikely cartifact from phase of the cardiopulmonary cycle or other.
- If present the primary differential diagnosis is myxomatous mitral valvular disease and insufficiency.
- no current evidence of left-sided congestive heart failure.  
2. Mild diffuse bronchial pulmonary pattern due to fibrosis from prior disease, age-related changes, or infectious/immune-mediated lower airway disease, or less likely other.
3. Dorsal redundant tracheal membrane with/without dynamic airway disease versus superimposed normal structures.
4. Right cranial liver mineral such as from choleliths/choledocoliths and presumed cholangiohepatitis.</t>
  </si>
  <si>
    <t>Echocardiography, ECG and blood pressure for further evaluation.  Routine blood work and urinalysis if not recently performed.  Airway sampling, respiratory PCR panel and bronchoscopy/tracheoscopy may be contributory. 
 Empirical therapy and supportive care in the interim as needed. Abdominal imaging may be contributory for further evaluation of the hepatobiliary tract/liver. Monitoring as directed or sooner if clinical signs acutely change, fail to improve or worsen.</t>
  </si>
  <si>
    <t xml:space="preserve">
1.A minimal interstitial pulmonary pattern with a concurrent, mild perihilar infiltrate have been detected._x000D_
2.Severe cardiomegaly has been detected but Heart Failure is NOT suspected._x000D_
3.There is no evidence of DYNAMIC AIRWAY COLLAPSE or BRONCHIECTASIS.</t>
  </si>
  <si>
    <t>Three radiographs of the thorax are provided. Abdominal images dated 8/1/24 (Case ID number 272-5133, patient 1st/last name reversed) were reviewed. There is a well delineated 3.4 cm soft tissue opacity in the caudodorsal aspect of the left caudal lung lobe. This has an ovoid contour on the lateral views, slightly angular on the VD projection. There is a small amount of smooth uninterrupted periosteal proliferation along the caudal aspect of the left 7th and 8th ribs. No other pulmonary parenchymal abnormalities. The cardiac silhouette and pulmonary vessels are normal size. Mild narrowed caudal cervical trachea on the left lateral view, of doubtful significance today. On the edge of the VD projection, a small amount of smooth uninterrupted periosteal proliferation is seen along the distal humeri.</t>
  </si>
  <si>
    <t>Caudodorsal left lung mass. Primary pulmonary neoplasia is most likely. With the angular appearance on the VD view, thromboembolic insult is possible but felt to be very unlikely with the concurrent hypertrophic osteopathy. There may be concurrent mild pneumonia adjacent to the mass, causing the blood work abnormalities.</t>
  </si>
  <si>
    <t>The thoracic mass is adjacent to the thoracic wall and should be visible with ultrasound for guided sampling if a definitive diagnosis is desired for type of neoplasia.</t>
  </si>
  <si>
    <t>Orthogonal radiographs of the thorax, and four views of the head/neck are provided. The cardiac silhouette is normal size and shape. There are no abnormalities in the pulmonary parenchyma. No pleural effusion. Possible redundant dorsal trachealis membrane, of doubtful significance today. No cervical spinal abnormalities. There is reduced alveolar bone opacity adjacent to the left maxillary incisors, canine tooth, and 1st premolar. Suspect reduced left maxillary bone opacity extending caudal to the left maxillary 1st premolar, although evaluation is limited by positioning. There is loss of left palatine foramen margin visibility, with soft tissue opacity overlying this area. Root margins of the left maxillary canine tooth and 3rd incisor are smoothly irregular. The patient has reduced/absent frontal sinuses, a normal variant. Curved 3.1 cm soft tissue thickening caudoventral to the mandibles may be incidental skinfold. On the edge of the VD views, there is a broad-based 1.7 cm soft tissue thickening with focal gas lucency lateral to the proximal right antebrachium.
(amended on 08/05/2024 05:17)
The following sentence should read, =ZZ92=There is loss of left palatine FISSURE margin visibility...=ZZ92=</t>
  </si>
  <si>
    <t>1. Lysis in the rostral left maxilla. Coupled with the history, a neoplastic process is most likely. Possible mandibular lymphadenopathy versus superimposed skinfold._x000D_
2. Normal thorax._x000D_
3. Focal thickening with emphysema in the right antebrachium, consider recent trauma or ulcerated neoplasm.</t>
  </si>
  <si>
    <t>Further investigation of the head with computed tomography could be considered to confirm a mass lesion, determine structures involved, and guide sampling and potential treatment options.</t>
  </si>
  <si>
    <t xml:space="preserve">Patient Name: Nena Fisher, Date of study: Aug 2, 2024
1 images are provided for review
Canine Thorax (1 Images) - 1 Lateral
There are no previous radiographs for comparison.
Thorax:
Airway/pulmonary parenchyma: A decrease in left atrial margin visualization is present dorsally consistent with regional edema. A mild bronchointerstitial pattern is also present in the caudodorsal thorax. Dorsal tracheal elevation is present secondary to the cardiomegaly. 
Cardiovascular: Cardiomegaly is present, with both right-sided and left-sided enlargement detected. Moderate left atrial enlargement and diffuse pulmonary vessel enlargement, more severe caudodorsally, are present. CVC distention is present. 
Mediastinum: Minimal mediastinal enlargement is present.
Pleural space: Thin pleural fissure lines are present. 
Cranial abdomen: The liver is mildly enlarged. The spleen is minimally enlarged. Abdominal detail between the stomach and spleen is slightly decreased suggestive of scant abdominal fluid. </t>
  </si>
  <si>
    <t xml:space="preserve">1. Cardiomegaly with moderate left atrial enlargement. Findings consistent with biventricular congestive heart failure. DDX: valvular disease +/- systolic dysfunction. Pericardial effusion secondary to left atrial rupture is a lesser consideration but not excluded. 
2. Pulmonary parenchymal changes are most likely secondary to the cardiogenic edema.
3. Mild hepatomegaly. Hepatic venous distention associated with right heart failure suspected given the concurrent suspicion of scant abdominal fluid. </t>
  </si>
  <si>
    <t xml:space="preserve">Complete the orthogonal radiographic study. Oxygen therapy if needed. Cardiac ultrasound, ECG and systemic blood pressure evaluation as soon as possible. If cardiac ultrasound is not immediately available, consider a Lasix trial, monitor renal values and repeat thoracic radiographs 24-48 hours after initiating Lasix therapy. </t>
  </si>
  <si>
    <t xml:space="preserve">
1.Severe cardiomegaly has been detected but Heart Failure is NOT suspected._x000D_
2.MODERATE DYNAMIC AIRWAY DISEASE; MILD to MODERATE INTERSTITIAL to ALVEOLAR INFILTRATE._x000D_
3.Based on these AI airway/pulmonary findings, the probability of this patient having clinically detectable respiratory signs is MEDIUM (50%)_x000D_
4.Are respiratory signs present? If YES._x000D_
5.Are respiratory signs present? If NO._x000D_
6.A mild perihilar infiltrate has been detected.</t>
  </si>
  <si>
    <t>Orthogonal views that include the thorax, abdomen, and pelvis are provided. There are five images total._x000D_
_x000D_
No calculi are identified in the urinary tract. The appearance of the kidneys and bladder is unremarkable. The other abdominal organs are also within normal limits. Serosal detail is normal. No mass effect is seen in the abdomen or pelvic canal. The appearance of the GI tract is unremarkable._x000D_
The cardiovascular structures are within normal limits. There is mild bronchial mineralization. No active appearing pulmonary infiltrates are identified.</t>
  </si>
  <si>
    <t>No abdominal abnormalities are identified._x000D_
Urinary tract infection should be ruled out._x000D_
Soft tissue pathology affecting the bladder cannot be entirely ruled out on the basis of radiographic appearance. Ultrasound may be indicated if clinical signs persist._x000D_
_x000D_
The bronchial mineralization is generally an incidental finding, although this could also be seen secondary to chronic inflammation. Relevance should be correlated with associated clinical signs of lower airway disease. No cardiac abnormalities are identified.</t>
  </si>
  <si>
    <t>No specific cause for the clinical signs is identified._x000D_
CBC, serum chemistry, and urinalysis is recommended._x000D_
_x000D_
Ultrasound of the urinary tract could be considered if no diagnosis or resolution is obtained with labwork and medical management.</t>
  </si>
  <si>
    <t>Orthogonal views of the thorax are provided:_x000D_
_x000D_
Thorax:_x000D_
_x000D_
There is cervical tracheal collapse more marked at the thoracic inlet. Questionable protrusion in the area of the right atrium in the VD view._x000D_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Bilateral renoliths.</t>
  </si>
  <si>
    <t>1) Findings consistent with cervical tracheal collapse._x000D_
2) Left atrial enlargement secondary to chronic mitral endocardiosis without signs of CHF. Rule out concomitant tricuspid endocardiosis with pulmonary hypertension._x000D_
3) Questionable protrusion in the area of the right atrium in the VD view compatible with focal deposits of fat in the pericardium vs right atrial mass._x000D_
4) Bilateral renoliths.</t>
  </si>
  <si>
    <t>Consider a cardiology consultation with ECG and echocardiogram prior to a fluoroscopy with tracheobronchoscopy to rule in extrathoracic tracheal collapse and to rule in/out intrathoracic tracheal collapse or bronchial component, evaluating treatment options. Take advantage of the bronchoscopy to further evaluate the larynx given 30% of patients with tracheal collapse display different degrees of laryngeal paralysis._x000D_
Consider abdominal US to further evaluate the urinary tract with renal function test, urinalysis, UPC and urine culture.</t>
  </si>
  <si>
    <t xml:space="preserve">
1.Are respiratory signs present? If NO._x000D_
2.Are respiratory signs present? If NO._x000D_
3.Are respiratory signs present? If YES._x000D_
4.Are respiratory signs present? If YES._x000D_
5.MODERATE BRONCHOINTERSTITIAL PULMONARY PATTERN; MODERATE ALVEOLAR INFILTRATE or ATELECTASIS; MODERATE DYNAMIC AIRWAY DISEASE._x000D_
6.MODERATE BRONCHOINTERSTITIAL PULMONARY PATTERN, MODERATE DYNAMIC AIRWAY DISEASE,  SLIGHT PERIHILAR INFILTRATE._x000D_
7.Based on these AI airway/pulmonary findings, the probability of this patient having clinically detectable respiratory signs is HIGH (75%)_x000D_
8.Based on these AI airway/pulmonary findings, the probability of this patient having clinically detectable respiratorysigns is MEDIUM (50%)_x000D_
9.AI linked bronchitis disease treatment in dogs and cats: https://platform.v2.vetology.net/doc/bacterial-bronchitis-in-dogs-and-cats_x000D_
10.Pleural fissure lines or moderate pleural effusion has been detected. An overlying skin fold or in a moderately overweight animal, excessive pericardial fat could artifactually mimic the result of moderate pleural effusion._x000D_
11.Severe cardiomegaly has been detected but Heart Failure is NOT suspected.</t>
  </si>
  <si>
    <t>Orthogonal views of the thorax are provided and compared to the two prior studies on the 10/18/23 and on the 07/24/24:_x000D_
_x000D_
Thorax:_x000D_
_x000D_
Cardiac silhouette has a normal shape and size._x000D_
Pulmonary vessels are within normal limits of size and shape._x000D_
Superimposed with the caudal pulmonary parenchyma in the area of the caudal mediastinum/accessory lung lobe there is an unchanged ill defined soft tissue mass widening the caudal mediastinum. No evidence of concomitant pulmonary nodules/masses._x000D_
Pleural space, mediastinum, diaphragm and thoracic wall within normal limits.</t>
  </si>
  <si>
    <t>1) Unchanged large soft tissue mass in the caudal thorax. Given the shape of this thorax this dog is probably a brachycephalic breed or mixed brachycephalic breed so main differentials would include a fixed esophageal hernia with +/- adhesions vs diaphragmatic caval foramen hernia vs diaphragmatic eventration or paraesophageal hernia are less likely. Strangulation or rotation of the internal organs in case of a hernia are. not excluded. Other differentials such as a caudal mediastinal mass such as a cyst, granuloma or abscess although not excluded are less likely. The same applies for a pulmonary mass, being less likely without a change size in 10 months between the exams.</t>
  </si>
  <si>
    <t>Consider a CT of the thorax for a better evaluation of this mass along with abdominal US.</t>
  </si>
  <si>
    <t xml:space="preserve">
1.PULMONARY NODULES or NODULAR PATTERN; MODERATE TO SEVERE INTERSTITIAL TO ALVEOLAR PATTERN; PLEURAL EFFUSION; BRONCHITIS; PERIHILAR INFILTRATE._x000D_
2.Based on the AI airway/pulmonary findings, the probability of this patient having clinically detectable respiratory signs is VERY HIGH (&gt;75%)_x000D_
3.The evaluation has a strong suspicion of soft tissue pulmonary nodules or mass lesion being present._x000D_
4.Severe cardiomegaly has been detected but Heart Failure is NOT suspected._x000D_
5.Are respiratory signs present? If YES._x000D_
6.Are respiratory signs present? If NO.</t>
  </si>
  <si>
    <t>Patient Name : Wyatt Landers, Date of study: Aug 2, 2024
3 images are provided for review
Canine Thorax (3 Images) - 2 Lateral, 1 Vd
There are no previous radiographs for comparison.  Mild motion artifact.  Ventrodorsal image has electronic L marker on the presumed right side of the patient given position of the caudal vena cava.  
Pulmonary parenchyma: Only in the ventrodorsal image, ill-defined mild to moderate interstitial to alveolar soft tissue is in the right middle and caudal lung lobes.  A slight interstitial pattern is suspected in the ventral periphery of the right middle lung in the left lateral image. A minimal diffuse bronchial pattern is present.
Pulmonary vasculature: The pulmonary vasculature is subjectively normal in size and tapers in the periphery of the lungs.
Cardiac silhouette: The cardiac silhouette is normal in size and shape.
Mediastinum: A rightward mediastinal shift is present in the ventrodorsal image.  The cranial mediastinum is normal.
Trachea: The trachea is normal.
Esophagus: The esophagus contains a mild to moderate volume of gas.  A tracheal stripe sign is present.  
Pleural space: The pleural space is normal.
Musculoskeletal: The included musculoskeletal structures are normal.
.</t>
  </si>
  <si>
    <t>1. Right middle and caudal lung lobe interstitial to alveolar soft tissue combined with rightward mediastinal shift.
- Differential diagnoses include recumbency induced atelectasis or given reported history, unlikely bronchopneumonia/aspiration pneumonia, or other.
- A pulmonary nodule could be obscured as a result of this pulmonary pattern.  
2. Minimal diffuse bronchial pattern due to fibrosis from prior disease, age-related changes, or less likely infectious/immune-mediated lower airway disease or unlikely other.
3. No obvious intra-thoracic lymphadenomegaly.
4. Esophageal gas due to aerophagia/variation of normal, or given reported history less likely or unlikely other.</t>
  </si>
  <si>
    <t>Consider repeat radiographs versus computed tomography for a more sensitive evaluation of the thorax.  Computed tomography and ventilation control positive pressure ventilation for a more sensitive evalaution of occult metastatic disease if desired.  Consider abdominal ultrasonography or computed tomography, coagulation testing and hepatic/splenic tissue sampling, especially if mast cell tumor is grade 2 or higher.  Monitoring as directed or sooner if clinical signs acutely change, fail to improve or worsen.</t>
  </si>
  <si>
    <t xml:space="preserve">Patient Name : Taz Carlile, Date of study: Jul 25, 2024
5 images are provided for review
Canine Thorax (5 Images) - 4 Lateral, 1 Vd
There are no previous radiographs for comparison.  Underexposure/overexposure  in the image partially limits evaluation.  
Pulmonary parenchyma: A minimal to mild diffuse bronchial pattern is present.  The lungs are minimally hypoinflated.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</si>
  <si>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Minimal-mild diffuse bronchial pulmonary pattern.
- Differential diagnoses include fibrosis from prior disease, age-related changes, artifact,  infectious/immune-mediated lower airway disease, inhaled allergen/irritant, or unlikely other.  
2. No evidence of pulmonary soft tissue nodules or intra-thoracic lymphadenomegaly.</t>
  </si>
  <si>
    <t xml:space="preserve">  Empirical therapy and supportive care as needed in the interim.  Monitoring as directed or sooner if clinical signs acutely change, fail to improve or worsen.</t>
  </si>
  <si>
    <t xml:space="preserve">
1.The cardiac silhouette size is normal._x000D_
2.There is no evidence of BRONCHITIS, ALVEOLAR PATTERN, PERIHILAR INFILTRATE or PLEURAL EFFUSION._x000D_
3.Minimal dynamic airway disease has been detected.</t>
  </si>
  <si>
    <t>Orthogonal views of the thorax are provided:_x000D_
_x000D_
Thorax:_x000D_
_x000D_
Cardiac silhouette has a normal shape and size._x000D_
Pulmonary vessels are within normal limits of size and shape._x000D_
Pulmonary parenchyma shows an alveolar pulmonary pattern with air bronchograms ventrally located in the right middle lung lobe and suspected in the caudal segment of the left cranial lung lobe. No evidence of pulmonary nodules/masses._x000D_
Pleural space, mediastinum, diaphragm and thoracic wall within normal limits.</t>
  </si>
  <si>
    <t>1) Alveolar pulmonary pattern with air bronchograms in the right middle lung lobe and suspected in the caudal segment of the left cranial lung lobe consistent with aspiration pneumonia vs an infectious pneumonia is not excluded.</t>
  </si>
  <si>
    <t xml:space="preserve">
1.PULMONARY NODULES or NODULAR PATTERN; MODERATE to SEVERE INTERSTITIAL TO ALVEOLAR PATTERN; MILD BRONCHITIS._x000D_
2.Based on the AI airway/pulmonary findings, the probability of this patient having soft tissue pulmonary nodules and clinically detectable respiratory signs is VERY HIGH (&gt;75%)_x000D_
3.SEVERE ALVEOLAR INFILTRATE; MILD PERIHILAR PATTERN; MORE DIFFUSE MILD BRONCHOINTERSTITIAL PULMONARY PATTERN._x000D_
4.Based on the AI airway/pulmonary findings, the probability of this patient having clinically detectable respiratory signs is HIGH (75%)_x000D_
5.The evaluation result has a strong suspicion of soft tissue pulmonary nodules being present._x000D_
6.Are respiratory signs present? If YES._x000D_
7.Are respiratory signs present? If NO._x000D_
8.Are respiratory signs present? If YES._x000D_
9.Are respiratory signs present? If NO._x000D_
10.The cardiac silhouette size is normal.</t>
  </si>
  <si>
    <t>Opposite lateral and VD thorax views are provided for interpretation and comparison to previous radiographs._x000D_
_x000D_
There is a moderate bronchointerstitial pattern involving all lung fields. The lung pattern is mildly improved relative to the previous radiographs dated 7-13-24 but still abnormal. The heart is at the upper end of normal range, similar to previous radiographs. The heart appears slightly larger than it did in the previous study, but similar enough that this could be an artifactual change. Vertebral Heart Score is at the upper end of acceptable range for breed at 12.0. Pulmonary vessels are normal. No pleural effusion or thoracic lymphadenopathy is seen. Thin pleural fissure lines are faintly visible. This is a subtle change, but slightly more prominent than the appearance in previous radiographs.</t>
  </si>
  <si>
    <t>There is mild improvement in the lung pattern, but overall there is still a moderate bronchointerstitial pattern consistent with bronchitis. No alveolar infiltrates indicative of bacterial pneumonia are identified. Fungal pneumonia should still be ruled out._x000D_
_x000D_
Heart size is borderline. Boxer cardiomyopathy could still be present without radiographic cardiomegaly, and would be a primary differential given the other clinical findings._x000D_
_x000D_
The faint pleural fissure lines are subtle enough as to not be definitive for active pleural effusion, but this is still a concern given the clinical history of ascites and potential for Boxer cardiomyopathy and possible heart failure in this patient._x000D_
The current lung pattern is similar to the previous studies and most compatible with inflammatory lung disease, but biventricular heart failure or right-sided heart failure should be ruled out.</t>
  </si>
  <si>
    <t>The presentation suggests heart failure could be responsible for the ascites. Other causes including neoplasia or other primary abdominal disease should still be ruled out._x000D_
Empiric diuretic therapy should be considered._x000D_
Electrocardiography is recommended._x000D_
Ultrasound of the abdomen to rule out neoplasia or other primary abdominal disease is recommended._x000D_
Echocardiography should be considered if a diagnosis is not obtained with other diagnostics.</t>
  </si>
  <si>
    <t xml:space="preserve">
1.Based on these AI airway/pulmonary findings, the probability of this patient having clinically detectable respiratory signs is MEDIUM to HIGH (50%-75%)_x000D_
2.Pleural fissure lines or moderate to severe pleural effusion has been detected._x000D_
3.Are respiratory signs present? If YES._x000D_
4.Bacterial pneumonia treatment in dogs: https://platform.v2.vetology.net/doc/pneumonia-in-dogs-and-cats_x000D_
5.Are respiratory signs present? If NO._x000D_
6.The evaluation has a strong suspicion of pulmonary nodules or mass lesion being present._x000D_
7.MODERATE BRONCHOINTERSTITIAL PULMONARY PATTERN; MODERATE ALVEOLAR INFILTRATE or ATELECTASIA; PLEURAL FISSURE LINES or PLEURAL EFFUSION; MILD DYNAMIC AIRWAY DISEASE._x000D_
8.Severe cardiomegaly has been detected but Heart Failure is NOT suspected.</t>
  </si>
  <si>
    <t>Study:_x000D_
Thoracic radiography: three images dated August 1, 2024_x000D_
_x000D_
Findings:_x000D_
There is severe cardiomegaly characterized by biventricular, left auricular and left atrial enlargement. The pulmonary vasculature is normal in size. On the lateral projections, there is a mild perihilar unstructured interstitial pulmonary pattern. The pleural space is normal. There is no intrathoracic lymphadenopathy. The trachea is normal in diameter. The caudal lobar bronchi appear narrowed on the right lateral projection comparison to the left lateral view. The liver extends beyond the costal arch with smooth margins. The stomach contains unstructured heterogeneous soft tissue material presumed to be ingesta. Mild periarticular new bone formation is present at the infraglenoid tubercle of the scapula bilaterally.</t>
  </si>
  <si>
    <t>1. Severe cardiomegaly, with likely decompensated congestive heart failure/mild cardiogenic pulmonary edema. Both mitral and tricuspid valve disease or suspected. Recommend echocardiography for further evaluation. Continue diuretic therapy with repeat radiography to monitor for response to treatment should be considered in the interim._x000D_
2. Suspect bronchomalacia and dynamic bronchial compression/collapse._x000D_
3. The generalized hepatomegaly is nonspecific. Rule out metabolic/vacuolar hepatopathy, hyperplasia, hepatitis or infiltrative neoplasia. Sonography can be considered for further evaluation._x000D_
4. Mild bilateral shoulder osteoarthrosis.</t>
  </si>
  <si>
    <t xml:space="preserve">
1.Severe cardiomegaly has been detected but Heart Failure is NOT suspected._x000D_
2.SEVERE DYNAMIC AIRWAY DISEASE; MODERATE ALVEOLAR INFILTRATE; DIFFUSE BRONCHOINTERSTITIAL PATTERN; PERIHILAR OPACITY._x000D_
3.Based on these AI airway/pulmonary findings, the probability of this patient having clinically detectable respiratory signs is HIGH (75%)_x000D_
4.Are respiratory signs present? If YES._x000D_
5.Are respiratory signs present? If NO.</t>
  </si>
  <si>
    <t>Abdomen: There is a mild amount of heterogeneous soft tissue opacity within the gastric lumen.  There is no evidence of a outflow obstruction.  There is no evidence of a small intestinal foreign body or obstruction.  The liver and spleen are unremarkable.  There are no abnormalities involving the visible portions of the urinary tract.  Serosal detail is normal._x000D_
_x000D_
Thorax: The pulmonary parenchyma, cardiac silhouette, and pulmonary vasculature are unremarkable.  There is no evidence of pleural effusion or lymphadenopathy.</t>
  </si>
  <si>
    <t>The appearance of the gastric lumen most likely represents normal ingesta.  Foreign material cannot be ruled out but this is considered less likely.</t>
  </si>
  <si>
    <t>If clinical signs persist, consider abdominal ultrasound for further evaluation.</t>
  </si>
  <si>
    <t>PELVIS/HINDLIMBS and THORAX (7 radiographs for review).  No previous examinations are available for comparison._x000D_
_x000D_
- Few small subcutaneous gas opacities in the left hip soft tissues._x000D_
- Moderate left pelvic limb muscle atrophy._x000D_
- Coxofemoral joints normal.  _x000D_
- Mild increase in soft tissue opacity in the left stifle joint capsule.  Impression of cranial subluxation of the left tibia relative to the distal femur.  Mild periarticular osteophyte formation along the margins of the left stifle joint._x000D_
- Left crural region, tarsus and included portions of the distal limb normal._x000D_
- Prior right tibial plateau leveling osteotomy with expected increased soft tissue opacity in the stifle joints and stifle osteoarthritis.  No evidence of implant lucency, failure or fragmentation._x000D_
- Included portions of the abdomen are unremarkable._x000D_
- The cardiac silhouette and pulmonary vasculature are normal._x000D_
- The pulmonary parenchyma is normal_x000D_
- The trachea, esophagus and remainder of the mediastinum are normal._x000D_
- The pleural space and remaining intrathoracic structures are normal._x000D_
- Small lipomatous nodule associated with the xiphoid.</t>
  </si>
  <si>
    <t>1. The appearance of the left stifle joint can be compatible with intra-articular injury (e.g. cranial cruciate ligament +/- meniscus) resulting in stifle instability, leading to femorotibial subluxation, synovial effusion/synovitis and osteoarthritis. There is moderate associated pelvic limb muscle atrophy. In addition to sedated orthopedic examination for instability, consider consultation with an orthopedic specialist regarding therapeutic options (surgical stabilization vs. medical management)._x000D_
_x000D_
2.  Prior right tibial plateau leveling osteotomy, without complication._x000D_
_x000D_
3.  Normal thorax.  Negative examination for evidence of metastatic neoplasia or contraindication to general anesthesia._x000D_
_x000D_
4.  Mild aerophagia._x000D_
_x000D_
5.  A few small foci of subcutaneous gas in the left hip region may be from recent injection. _x000D_
_x000D_
6.  Small lipoma associated with the xiphoid.</t>
  </si>
  <si>
    <t>Study:_x000D_
Thoracic radiography: six images dated August 1, 2024_x000D_
_x000D_
Findings:_x000D_
The cardiac silhouette and pulmonary vasculature are normal in size. There is incidental age-related bronchial wall mineralization in the perihilar and caudodorsal lung fields. The pulmonary parenchyma is otherwise unremarkable. The pleural space is normal. There is no intrathoracic lymphadenopathy. The trachea is normal in diameter and course. There are three indistinct mineral foci superimposed with the liver in the cranial abdomen cranial to the gastric margin. There is multifocal cervical and thoracolumbar intervertebral disc space narrowing with sclerotic endplates and variable mild to severe spondylosis deformans. There is moderate bilateral elbow periarticular bone formation.</t>
  </si>
  <si>
    <t>1. Unremarkable thorax. There is no radiographic evidence of cardiopulmonary disease._x000D_
2. The the indistinct mineral opacities seen in the cranial abdomen, superimposed with the liver may represent choleliths, biliary mineralization or, less likely, hepatic parenchymal mineralization._x000D_
3. Moderate bilateral elbow osteoarthrosis._x000D_
4. Multifocal chronic intervertebral disc disease.</t>
  </si>
  <si>
    <t>See skull submission for recommendations.</t>
  </si>
  <si>
    <t xml:space="preserve">
1.There is no evidence of BRONCHITIS or PERIHILAR INFILTRATE._x000D_
2.A minimal interstitial pattern has been detected._x000D_
3.Mild dynamic airway disease has been detected._x000D_
4.Mild cardiomegaly has been detected but Heart Failure is NOT suspected.</t>
  </si>
  <si>
    <t>Study:_x000D_
Thoracic/abdominal radiography: four images dated August 1, 2024_x000D_
_x000D_
Findings:_x000D_
The cardiac silhouette and pulmonary vasculature are normal in size. There is a moderate alveolar pattern in the ventral aspect of the right cranial lung lobe. On both lateral views, there is indistinct increased rounded soft tissue opacity in the hilar region, superimposed with the caudal trachea. The pleural space is normal. The trachea is normal in diameter and course.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 prostate is mildly enlarged with smooth margins. No skeletal abnormalities are present.</t>
  </si>
  <si>
    <t>1. The alveolar pattern in the right cranial lung lobe likely indicates pneumonia. Recommend empiric antibiotic therapy with repeat radiography in 10 to 14 days to monitor for response to treatment._x000D_
2. The indistinct round soft tissue opacity in the hilar region, superimposed with the caudal trachea may indicate tracheobronchial lymphadenopathy. Rule out reactivity, fungal disease or, less likely, round cell neoplasia. It is also possible that this represents a dorsally distributed focus of pneumonia. This finding should be monitored on the recheck study. Fungal serology testing can also be considered._x000D_
3. Mild prostatomegaly. Rule out intact normal variant, benign prostatic hyperplasia and/or prostatitis. The abdomen is otherwise unremarkable.</t>
  </si>
  <si>
    <t xml:space="preserve">
1.A mild to moderate, diffuse mixed bronchointerstitial pattern with concurrent dynamic airway disease have been detected._x000D_
2.Mild dynamic airway disease has been detected._x000D_
3.The cardiac silhouette size is normal._x000D_
4.There is no evidence of PULMONARY NODULES.</t>
  </si>
  <si>
    <t>3 views of the thorax are provided for review.  The cardiac silhouette is mildly generally enlarged.  The trachea is uniform in diameter.  There is a moderate bronchial pattern in all lung lobes.  The mediastinal and pleural structures are normal.  Cranial abdominal detail is adequate.</t>
  </si>
  <si>
    <t>Moderate bronchial pulmonary pattern=ZZ90= consider bronchitis, response to inhaled irritants, response to circulating parasites, eosinophilic bronchopneumopathy.  Airway sampling may be helpful in further evaluation.  Mild generalized cardiomegaly without current evidence of cardiogenic pulmonary edema.  Echocardiography may be helpful in further evaluation.</t>
  </si>
  <si>
    <t>Orthogonal views of the thorax are provided and compared to the previous exam win the 02/20/24:_x000D_
_x000D_
Thorax:_x000D_
_x000D_
No abnormalities seen in the trachea._x000D_
Cardiac silhouette has a normal shape and size._x000D_
Pulmonary vessels are within normal limits of size and shape._x000D_
Pulmonary parenchyma is unchanged, within normal limits. No evidence of pneumonia._x000D_
Pleural space, mediastinum, diaphragm and thoracic wall within normal limits.</t>
  </si>
  <si>
    <t>Given the response to medication consider a bronchoscopy with BAL, culture, cytology, Baermann test and deworming.</t>
  </si>
  <si>
    <t>Study:_x000D_
Thoracic radiography: three images dated August 1, 2024_x000D_
_x000D_
Findings:_x000D_
The cardiac silhouette and pulmonary vasculature are normal in size. On the right lateral view, there is a mild alveolar pattern in the cranioventral lung field. The pleural space is normal. There is no intrathoracic lymphadenopathy. The patient is intubated. The trachea is normal in diameter and course. There is gas dilation of the esophagus on the right lateral view, likely secondary to anesthesia. The included abdomen is unremarkable. No skeletal abnormalities are present.</t>
  </si>
  <si>
    <t>The mild alveolar pattern in the cranial segment of the left cranial lung lobe is concerning for aspiration pneumonia given the patient=ZZ91=s history of vomiting while under anesthesia. Atelectasis secondary to anesthesia and/or recumbency during anesthesia cannot be excluded. Empiric antibiotic therapy with repeat radiography in 10 to 14 days to monitor for response to treatment should be considered.</t>
  </si>
  <si>
    <t>A three view study of the pelvis including the caudal half of the abdomen and orthogonal thorax views are provided for interpretation (five images)._x000D_
_x000D_
No abnormalities are seen involving the urinary tract. There are no visible calculi. No mass effect is identified in the sublumbar area or pelvic canal. The other visible organs are unremarkable._x000D_
There is severe chronic remodeling involving both hip joints. There is moderate spondylosis involving L3-L4._x000D_
_x000D_
The cardiovascular structures are within normal limits. No pulmonary infiltrates or pleural effusion are identified.</t>
  </si>
  <si>
    <t>No anatomic abnormalities are identified involving the urinary tract or nearby structures that would explain the clinical signs._x000D_
Soft tissue pathology within the bladder including neoplasia still cannot be excluded on the basis of radiographic appearance._x000D_
_x000D_
There is severe bilateral hip joint osteoarthritis._x000D_
_x000D_
No thoracic abnormalities are identified.</t>
  </si>
  <si>
    <t>Ultrasound evaluation of the urinary tract or cross sectional imaging of the pelvic region such as MRI could be considered for more definitive evaluation.</t>
  </si>
  <si>
    <t xml:space="preserve">Patient Name: Harley Windmiller, Date of study: Aug 1, 2024
Thorax: 3 images are provided for review (2 lateral, 1 VD).
There are no previous radiographs for comparison.
Findings:
Cardiac silhouette: The cardiac silhouette is normal in size and shape.
Pulmonary vessels: The pulmonary arteries and veins are normal in size and are symmetrical.
Pulmonary parenchyma: There is a mild diffuse bronchial pattern, several small airways are noted extending into the periphery of the pulmonary margins. There is no evidence of pulmonary consolidation, soft tissue opaque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Musculoskeletal: The included skeletal and superficial soft tissue structures are within normal limits.
</t>
  </si>
  <si>
    <t>1. There is a mild diffuse bronchial pattern, consistent with lower airway inflammation. Infectious/inflammatory bronchitis is prioritized given bilateral nasal discharge. Parasitic, irritant, and allergic etiologies are not ruled out.
2. The cardiovascular structures are within normal limits. A cardiogenic cough is not suspected.</t>
  </si>
  <si>
    <t>Further evaluation of the nasal cavity is recommended given chronic bilateral nasal discharge. Nasal sampling following additional imaging of the head such as skull radiographs or a head CT (pre and postcontrast) would be recommended for additional information. Airway sampling (respiratory PCR, transtracheal wash) could also be considered to guide treatment.</t>
  </si>
  <si>
    <t>Study:_x000D_
Thoracic radiography: four images dated August 1, 2024_x000D_
_x000D_
Findings:_x000D_
The cardiac silhouette and pulmonary vasculature are normal in size. There is a moderate alveolar pattern in the ventral aspect of the cranial and caudal segments of the left cranial lung lobe. The pleural space is normal. There is no intrathoracic lymphadenopathy. The trachea is normal in diameter and course. The liver is small with associated cranial rotation of the gastric axis. There is mild bilateral elbow periarticular bone formation. There is mild multifocal thoracolumbar spondylosis deformans. A metallic BB ballistic, presumably within the subcutaneous or superficial soft tissues, is superimposed with the cranioventral abdomen on all projections.</t>
  </si>
  <si>
    <t>1. The alveolar pattern in the left cranial lung lobe likely indicates pneumonia. Recommend empiric antibiotic therapy with repeat radiography in 10 to 14 days to monitor for response to treatment._x000D_
2. Microhepatia. Rule out normal variant, vascular anomaly or chronic hepatitis/cirrhosis. Correlate with any liver enzyme abnormalities. Abdominal sonography and bile acid testing can be considered for further evaluation if clinically relevant._x000D_
3. Mild bilateral elbow osteoarthrosis.</t>
  </si>
  <si>
    <t xml:space="preserve">
1.MODERATE INTERSTITIAL TO ALVEOLAR PATTERN; MILD BRONCHITIS._x000D_
2.Based on these AI airway/pulmonary findings, the probability of this patient having clinically detectable respiratory signs is MEDIUM (50%)_x000D_
3.Are respiratory signs present? If YES._x000D_
4.The cardiac silhouette size is normal._x000D_
5.There is no evidence of PULMONARY NODULES or PLEURAL EFFUSION._x000D_
6.Are respiratory signs present? If NO.</t>
  </si>
  <si>
    <t>Study:_x000D_
Thoracic radiography: six images dated August 1, 2024_x000D_
_x000D_
Findings:_x000D_
The cardiac silhouette and pulmonary vasculature normal in size. There is a severe alveolar pattern in the right cranial lung lobe and a mild to moderate alveolar pattern in the right middle lung lobe and caudal segment of the left cranial lung lobe. The pleural space is normal. Most evident on the right lateral projection timestamped 3:05 PM, there is a large round soft tissue opaque mass cranial to the cardiac silhouette, silhouetting the cranial margin of the heart. There is widening of the cranial mediastinum in the same region on the orthogonal views. The trachea is normal in diameter. There is a pneumoperitoneum from the reported recent laparotomy. There is multifocal thoracolumbar intervertebral disc space narrowing and variable mild to severe spondylosis deformans. There is moderate L2-L3 articular facet periarticular bone formation.</t>
  </si>
  <si>
    <t>1. Cranial mediastinal mass. Rule out thymoma, thymic lymphoma, 20 mediastinal lymphadenopathy or ectopic thyroid carcinoma. Thoracic sonography is recommended for further evaluation._x000D_
2. The multifocal alveolar pulmonary pattern likely indicates pneumonia. Recommend empiric antibiotic therapy with repeat radiography in 10 to 14 days to monitor for response to treatment._x000D_
3. Multifocal chronic intervertebral disc disease._x000D_
4. Moderate L2-L3 articular facet osteoarthrosis.</t>
  </si>
  <si>
    <t xml:space="preserve">
1.Based on these AI airway/pulmonary findings,  the probability of this patient having clinically detectable respiratory signs is HIGH (75%)_x000D_
2.Pleural fissure lines or moderate to severe pleural effusion has been detected. An overlying skin fold or in an obese animal, excessive pericardial fat could artifactually mimic the result of severe pleural effusion._x000D_
3.The cardiac silhouette size is normal._x000D_
4.MODERATE to SEVERE INTERSTITIAL TO ALVEOLAR INFILTRATE; MILD PERIHILAR INFILTRATE; MINIMAL BRONCHIAL PATTERN._x000D_
5.Are respiratory signs present? If YES._x000D_
6.Are respiratory signs present? If NO.</t>
  </si>
  <si>
    <t>A three view study of the thorax is provided. All images have moderate motion blurring, and there are some areas of overexposure._x000D_
_x000D_
No tracheal abnormalities are identified. There is a subtle but suspicious ovoid region of lucency in the ventral aspect of the left caudal lobe suspected to represent a pulmonary bulla. No bronchial thickening or alveolar pulmonary infiltrates are identified. The cardiovascular structures are within normal limits. There are a few thin pleural fissure lines are faintly visible, but clinically relevant pleural effusion is not appreciated. The cranial abdomen is unremarkable. There is severe spondylosis involving the mid thoracic spine.</t>
  </si>
  <si>
    <t>There is suspicion of a left caudal lobe bulla. This is generally an incidental finding, and is not expected to be responsible for the cough._x000D_
_x000D_
No pulmonary changes that would explain the primary complaint of coughing are identified._x000D_
_x000D_
There are some subtle pleural fissure lines, the clinical significance of which is unknown. There is potential for pleuritis, but this appearance is more likely to be an incidental finding.</t>
  </si>
  <si>
    <t>No definitive cause for the cough is identified._x000D_
Symptomatic therapy is recommended.</t>
  </si>
  <si>
    <t xml:space="preserve">
1.The cardiac silhouette size is normal._x000D_
2.There is no evidence of ALVEOLAR PATTERN or DYNAMIC AIRWAY COLLAPSE or BRONCHIECTASIS._x000D_
3.A mild bronchial pattern and minimal perihilar infiltrate have been detected.</t>
  </si>
  <si>
    <t>5 images of the spine are provided for review.  No fractures, luxations, or aggressive osseous lesions are seen.  Hemivertebrae are present in the thoracic spine at T6-13, most notable at T9 and T12.  There is mild lateral scoliosis centered at T12.  No mineralized intervertebral discs or overtly narrowed intervertebral disc spaces are seen.  The thoracic and abdominal structures included are normal.</t>
  </si>
  <si>
    <t>Congenital hemivertebrae with secondary scoliosis.  This does not rule out intervertebral disc herniation, tethered cord syndrome, or other causes of spinal cord compression.</t>
  </si>
  <si>
    <t>CT myelography or MRI could be considered in further evaluation.</t>
  </si>
  <si>
    <t xml:space="preserve">
1.A minimal interstitial pulmonary pattern with a concurrent, mild perihilar infiltrate have been detected._x000D_
2.The cardiac silhouette size is normal._x000D_
3.There is no evidence of DYNAMIC AIRWAY COLLAPSE or BRONCHIECTASIS, PULMONARY NODULES or PLEURAL EFFUSION.</t>
  </si>
  <si>
    <t>Study:_x000D_
Thoracic and cervical radiography: seven images dated August 1, 2024_x000D_
_x000D_
Findings:_x000D_
The cardiac silhouette and pulmonary vasculature are normal in size. The pulmonary parenchyma is unremarkable. The pleural space is normal. There is no intrathoracic lymphadenopathy. The larynx and pharynx are unremarkable. On the right lateral projection of the cervical region, there is a small round soft tissue opacity along the dorsal wall of the cervical trachea lumen at the level of C5. Also on the lateral projection of the cervical region, there is a broad-based soft tissue opaque band superimposed with the trachea lumen at the thoracic inlet representing other redundant dorsal tracheal membrane or superimposition of the esophagus. The trachea is normal in diameter and course. There is no esophageal dilation. The included abdomen is normal.</t>
  </si>
  <si>
    <t>1. Normal thorax. There is no radiographic evidence of cardiopulmonary disease. The lack of a bronchial pulmonary pattern does not exclude the possibility of allergic, inflammatory, infectious or inhaled irritant bronchitis. Infectious respiratory disease PCR testing, airway sampling plus/minus heartworm testing and Baermann fecal flotation can be considered to further evaluate for lower disease._x000D_
2. The small round soft tissue opacity along the dorsal wall of the cervical trachea lumen may represent a superimposition artifact or focal adherent mucoid debris. An esophageal foreign body, granuloma or neoplasia cannot be completely excluded. A left lateral projection can be considered to evaluate the repeatability of this finding.</t>
  </si>
  <si>
    <t xml:space="preserve">Patient Name : kobe elizondo, Date of study: Aug 1, 2024
3 images are provided for review
Previous images dated [07/31/2024 Case#2724646] are available for comparison.
Pulmonary parenchyma: A minimal to mild diffuse bronchial pattern is present.  Cranial lobar bronchi are subjectively narrow in the lateral images.  
Pulmonary vasculature: The pulmonary vasculature is subjectively normal in size and tapers in the periphery of the lungs.
Cardiac silhouette: The cardiac silhouette is severely enlarged and tall, occupying greater than 2//3 the height of the thorax.   the trachea is dorsally displaced.  The caudodorsal margin of the cardiac silhouette is flattened.  Rounded increased soft tissue in the region of the left atrium in the ventrodorsal image.  The cardiac silhouette is widened and occupies the width of at least four intercostal spaces.  
Mediastinum: The cranial mediastinum is mildly symmetrically widened without obvious increased soft tissue in the lateral image.
Trachea: The trachea is normal.
Esophagus: The esophagus is not well-identified.
Pleural space: The pleural space is normal.
Musculoskeletal: The T12-13 and T13-L1 and L1-2 intervertebral disc spaces are severely narrow. multifocal thoracolumbar spondylosis deformans is present.  Minimal unilateral shoulder osteoarthrosis is suspected. The remaining included musculoskeletal structures are normal.
</t>
  </si>
  <si>
    <t xml:space="preserve">1. Severe left-sided and right-sided cardiomegaly such as from myxomatous mitral with/without tricuspid valvular disease and insufficiency and/or cor pulmonale/pulmonary hypertension, or unlikely other.
- There is no current evidence of left-sided congestive heart failure.
2. Minimal to mild diffuse bronchial pulmonary pattern due to fibrosis from prior disease, age-related changes, or less likely infectious/immune-mediated lower airway disease, or unlikely other.
3. Suspected cranial lobar bronchial narrowing or less likely artifact.
- This is likely from underlying chondromalacia and dynamic airway disease.
4. T12-13, T13-L1 and L1-2 intervertebral disc disease.
5. Minimal unilateral shoulder osteoarthrosis.  </t>
  </si>
  <si>
    <t>Echocardiography, blood pressure and ECG for further evaluation if not recently performed.  Routine blood work and urinalysis if not recently performed.  Consider bronchoscopy/tracheoscopy and/or fluroscopy for further evaluation of dynamic airway disease contributing to reported clinical signs of cough.  cough may also be solely due to cardiomegaly and not cardiogenic edema.   Empirical therapy and supportive care in the interim as needed.  Monitoring as directed, or sooner if clinical signs acutely change, fail to improve or worsen.</t>
  </si>
  <si>
    <t xml:space="preserve">
1.Are respiratory signs are present? If NO._x000D_
2.SEVERE INTERSTITIAL TO ALVEOLAR INFILTRATE with PNEUMONIA or less likely, ATELECTASIS; SEVERE DYNAMIC AIRWAY DISEASE; MILD PERIHILAR INFILTRATE._x000D_
3.Based on these AI airway/pulmonary findings, the probability this patient will have clinically detectable respiratory signs is NEAR CERTAINTY (&gt;99%)_x000D_
4.Are respiratory signs present? If YES._x000D_
5.Bacterial pneumonia treatment in dogs: https://platform.v2.vetology.net/doc/pneumonia-in-dogs-and-cats_x000D_
6.Airway collapse treatment in dogs: https://platform.v2.vetology.net/doc/canine-tracheal-collapse_x000D_
7.Pleural fissure lines or moderate to severe pleural effusion has been detected. An overlying skin fold or in an obese animal, excessive pericardial fat could artifactually mimic the result of severe pleural effusion._x000D_
8.There is no evidence of PULMONARY NODULES._x000D_
9.Severe cardiomegaly has been detected but Heart Failure is NOT suspected.</t>
  </si>
  <si>
    <t xml:space="preserve">Patient Name : Riiley Medina, Date of study: Aug 1, 2024
3 images are provided for review
Canine Thorax (3 Images) - 1 Vd, 2 Lateral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soft tissue band superimposes over the dorsal margin of the cervical tracheal segment.  
Esophagus: The esophagus is not well-identified.
Pleural space: The pleural space is normal.
Musculoskeletal: The soft tissues in the right 4th intercostal space are focally enlarged with a convex visceral margin, and slight displacement/compression of the right cranial lung lobe is suspected.  The remaining included musculoskeletal structures are normal.
</t>
  </si>
  <si>
    <t xml:space="preserve">1. Minimal-mild diffuse bronchial pulmonary pattern.
- Differential diagnoses include fibrosis from prior disease, age-related changes, or unlikely  infectious/immune-mediated lower airway disease or other.
2. Right 4th intercostal space/body wall focal soft tissue swelling.
- If present, this may be due to an evolving neoplasm versus trauma and hemorrhage/bruising, or less likely artifact/normal variation or other
3. Dorsal redundant tracheal membrane with/without underlying dynamic airway disease versus superimposed normal structures.  </t>
  </si>
  <si>
    <t>Consider computed tomography of the thorax for further evaluation of the body wall and a more sensitive evluation of the lungs.  Routine blood work if not recently performed.  Empirical therapy and supportive care in the interim as needed. Monitoring as directed or sooner if clinical signs acutely change, fail to improve or worsen.</t>
  </si>
  <si>
    <t>Study:_x000D_
Thoracic/abdominal radiography: three images dated August 1, 2024_x000D_
_x000D_
Findings:_x000D_
The cardiac silhouette and pulmonary vasculature are normal in size. The pulmonary parenchyma is unremarkable. The pleural space is normal. There is no intrathoracic lymphadenopathy. The trachea is normal in diameter and course.the abdominal serosal detail is normal. The stomach contains a small volume of gas. The small intestines are normal in size, course and content. The colon contains a small volume of gas with a normal diameter. The liver and spleen are normal in size and margin. The renal silhouettes are normal in size and contour. The urinary bladder is normal in size and opacity. There is no prostatomegaly. There is mild bilateral stifle periarticular bone formation. There is a discrete lucency in the cranial proximal aspect of the left tibia either represent a drill tract from prior lateral suture procedure or an incidental retained cartilaginous core. There is a small lipomatous mass in the subcutaneous tissues of the mid-ventral thorax. This mass is superimposed with the caudal segment of the left cranial lung lobe on the VD view. There is also a lipomatous mass in the subcutaneous tissues at the level of the right distal humerus.</t>
  </si>
  <si>
    <t>1. Unremarkable abdomen. A cause of chronic diarrhea is not evident. Abdominal sonography and a G.I. panel can be considered for further evaluation._x000D_
2. Normal thorax._x000D_
3. Mild bilateral stifle osteoarthrosis.</t>
  </si>
  <si>
    <t>Five radiographs of the thorax, abdomen, and spine are provided. Cervical vertebral alignment is normal, with no definitive narrowed intervertebral disc spaces. Tracheal diameter and position are normal. The cardiac silhouette and pulmonary vessels are normal size and shape. The lungs are clear. No pleural effusion. No rib or sternal abnormalities. Normal thoracic spine. In the abdomen there is no peritoneal effusion or organomegaly. Small-volume semi-formed feces in the colon. The stomach and small bowel are minimally filled. Scant peritoneal gas consistent with recent surgery. The urinary bladder is not seen due to minimal distention. No narrowed thoracolumbar intervertebral disc spaces. The coxofemoral joints are congruent.</t>
  </si>
  <si>
    <t>Normal thorax, abdomen, spine. A reason for discomfort is not identified. A non-mineralized protruding/extruded intervertebral disc is suspected.</t>
  </si>
  <si>
    <t>Current treatment is appropriate. If spinal discomfort persists, additional spinal imaging such as CT/MRI should be considered.</t>
  </si>
  <si>
    <t>A three view study of the thorax is provided for interpretation._x000D_
_x000D_
The heart is within normal size and shape limits. Pulmonary vessels are normal. There is a moderate diffuse bronchial pattern. The appearance is more prominent than typical age related change. There is a subtle area of opacity ventral to the distal trachea in the right lateral view cannot be corroborated in the left lateral view. In the VD view, a small defined triangular soft tissue opacity is seen just cranial to the heart on the left side. The appearance is typical of a visible fine this shadow, considered unusual in an aged patient. No pulmonary nodules are identified. No findings that convincingly represent thoracic lymphadenopathy are identified. There is no pleural effusion. The cranial abdomen is unremarkable. No destructive or productive bone lesions are seen.</t>
  </si>
  <si>
    <t>The pulmonary pattern is consistent with bronchitis. Considering the lack of reported clinical signs, this could represent idiopathic chronic bronchitis or residual pulmonary changes from the reported previous lung disease. No infiltration of the right middle lobe or pleural effusion is seen in this study._x000D_
_x000D_
There is a subtle but unusual shadow at the base of the heart in the right lateral view, and a curious thymic shadow in the VD view. The appearance is not highly suggestive of metastatic disease, and is most likely incidental.</t>
  </si>
  <si>
    <t>No findings that convincingly represent metastatic neoplasia are identified._x000D_
Removal of the reported shoulder tumor is recommended.</t>
  </si>
  <si>
    <t xml:space="preserve">
1.A minimal to mild bronchointerstitial pulmonary pattern has been detected._x000D_
2.The evaluation has come up positive for a pulmonary nodular pattern._x000D_
3.The cardiac silhouette size is normal._x000D_
4.There is no evidence of DYNAMIC AIRWAY COLLAPSE or BRONCHIECTASIS.</t>
  </si>
  <si>
    <t xml:space="preserve">Patient Name : Rocky Walsworth, Date of study: Aug 1, 2024
4 images are provided for review
Prior abdominal images dated November 2, 2021 are available.  
Pulmonary parenchyma: Only in the ventrodorsal image, ovoid soft tissue is in over the right cranial lung in the 2nd intercostal space, which is not corroborated in the left lateral image.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minimal gas or is empty.  
Pleural space: The pleural space is normal.
Musculoskeletal: The included musculoskeletal structures are normal.
</t>
  </si>
  <si>
    <t xml:space="preserve">1. Mild diffuse bronchial pattern due to infectious/immune-mediated lower airway disease (such as from bordetella spp., mycoplasma spp., parasitism such as lung worms, or inhaled allergen/irritant),  fibrosis from prior disease, age-related changes, or less likely other.
2. Possible right cranial lung lobe soft tissue nodule versus artifact/superimposed normal structures.
- Given the young age of this patient, a pulmonary nodule is considered unlikely compared to artifact/superimposition.
- If present, consider evolving granulomatous/fungal pneumonia such as from blastomycosis spp. or unlikely metastatic neoplasia or other.  </t>
  </si>
  <si>
    <t>Consider computed tomography versus repeat thoracic radiographs for monitoring or further evaluation of possible right cranial lung lobe lesion versus other. Consider respiratory PCR panel, fecal analysis/deworming and airway sampling for further evaluation of reported cough.  Routine blood work if not recently performed.  Sedated laryngeal examination given reproted stertorous respiratory noises may be contributory.  Empirical therapy and supportive care in the interim as needed. Monitoring as directed or sooner if clinical signs acutely change, fail to improve or worsen.</t>
  </si>
  <si>
    <t>WHOLE-BODY (6 total radiographs for review). _x000D_
_x000D_
- The pulmonary parenchyma is normal_x000D_
- The cardiac silhouette and pulmonary vasculature are normal._x000D_
- On the only lateral projection of the thorax provided, there is a smooth round soft tissue opacity dorsal to the second sternal segment._x000D_
- The trachea, esophagus and remainder of the mediastinum are normal._x000D_
- The pleural space and remaining intrathoracic structures are normal._x000D_
- Peritoneal serosal detail is normal._x000D_
- The stomach contains moderate gas and mild gas-stippled soft-tissue opaque material_x000D_
- The small intestine contains mild multifocal gas and soft-tissue opaque material_x000D_
- The colon contains gas, soft-tissue/fluid and poorly formed fecal material._x000D_
- The spleen is mildly enlarged, with rounded margins._x000D_
- The liver, region of the kidneys and urinary bladder are normal._x000D_
- No musculoskeletal abnormalities are noted.</t>
  </si>
  <si>
    <t>1.  A discrete radiographic cause for the reported hacking/gagging is not clearly identified.  The bronchopulmonary structures are normal. There is no evidence of pulmonary consolidation to suggest active pneumonia, however radiographic sensitivity for subtle lower airway disease such as tracheobronchitis can be limited.  No evidence of esophageal foreign material or esophagitis is distinctly noted._x000D_
_x000D_
2.  Possible sternal lymphadenopathy.  This is an uncertain finding as it is only seen on one lateral projection (and may be artefactual from superimposed fascial planes) however if real may represent enlargement from reactive etiologies is most likely.  The sternal lymph node can drain both the thoracic and peritoneal cavities.  You may consider evaluating for persistence of this finding over time with treatment via serial/recheck thoracic radiographs._x000D_
_x000D_
3. Mild splenomegaly. DDx congestion from sedation, lymphoid hyperplasia, EMH, less likely neoplasia._x000D_
_x000D_
4.  Aerophagia.</t>
  </si>
  <si>
    <t>WHOLE-BODY (4 total radiographs for review). _x000D_
_x000D_
- Peritoneal serosal detail is normal._x000D_
- The stomach contains mild gas and gas-stippled soft-tissue opaque material_x000D_
- The small intestine is mildly multifocally distended and contains gas and soft-tissue opaque material_x000D_
- The colon contains gas, soft-tissue/fluid and minimal formed fecal material._x000D_
- The liver, spleen, region of the kidneys and urinary bladder are normal._x000D_
- The left side of the cardiac silhouette is mildly enlarged, with a rounded bulge in the region of the left atrium.  The pulmonary vasculature is unremarkable._x000D_
- The pulmonary parenchyma is normal_x000D_
- The trachea, esophagus and remainder of the mediastinum are normal._x000D_
- The pleural space and remaining intrathoracic structures are normal._x000D_
- Mild bilateral coxofemoral periarticular osteophyte formation.</t>
  </si>
  <si>
    <t>1. The appearance of the stomach, small intestine and colon can be compatible with a non-specific generalized functional ileus (e.g. gastroenterocolitis). There is no evidence of small intestinal foreign material or mechanical obstruction. If clinically indicated (such as if the patient does not improve or worsens despite medical management), abdominal ultrasonography might be considered._x000D_
_x000D_
2. Mild left-sided cardiomegaly, without pulmonary vasculature congestion or congestive heart failure. Most likely compatible with degeneration of the mitral valve. Consider careful cardiac auscultation and echocardiography/ECG for further assessment.  _x000D_
_x000D_
3. Mild bilateral coxofemoral osteoarthritis.</t>
  </si>
  <si>
    <t xml:space="preserve">
1.MILD BRONCHOINTERSTITIAL PULMONARY PATTERN; MILD DYNAMIC AIRWAY DISEASE; MILD PERIHILAR INFILTRATE._x000D_
2.Based on these AI airway/pulmonary findings, the probability of this patient having clinically detectable respiratory signs is MEDIUM (50%)_x000D_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6.Severe cardiomegaly has been detected but Heart Failure is NOT suspected.</t>
  </si>
  <si>
    <t xml:space="preserve">Patient Name : Shadow Manuel, Date of study: Aug 1, 2024
4 images are provided for review
There are no previous radiographs for comparison.  Cranial thorax tip is excluded in the ventrodorsal image.  Respiratory motion artifact.  Ventrodorsal image is mislabeled given position of the spleen/caudal vena cava.  
Pulmonary parenchyma: A minimal to mild diffuse bronchial pattern is present.  Few end-on vasculature structures are occasionally identified in the lungs.  
Pulmonary vasculature: The pulmonary vasculature is subjectively normal in size and tapers in the periphery of the lungs.
Cardiac silhouette: The cardiac silhouette is normal in size and shape.
Mediastinum: The cranial mediastinum is widened in the ventrodorsal image with a convex left lateral margin.
Trachea: The trachea is normal.
Esophagus: The esophagus is not well-identified.
Pleural space: The pleural space is normal.
Musculoskeletal: The included musculoskeletal structures are normal.
</t>
  </si>
  <si>
    <t xml:space="preserve">1. Mild diffuse bronchial pulmonary pattern such as from fibrosis from prior disease, age-related changes, or unlikely infectious/immune-mediated lower airway disease or other.
- No pulmonary soft tissue nodules are identified.
2. Widened cranial mediastinum due to fat deposition and/or evolving lymphadenomegaly or mass.
</t>
  </si>
  <si>
    <t>Consider thoracic ultrasonography and/or computed tomography for further evaluation of the mediastinum and more sensitive evaluation of the lungs. Empirical therapy and supportive care in the interim as needed.  Monitoring as directed or sooner if clinical signs acutely change, fail to improve or worsen.</t>
  </si>
  <si>
    <t xml:space="preserve">
1.The cardiac silhouette size is normal._x000D_
2.There is no evidence of ALVEOLAR PATTERN, DYNAMIC AIRWAY COLLAPSE or BRONCHIECTASIS or PLEURAL EFFUSION._x000D_
3.A minimal bronchial pattern has been detected.</t>
  </si>
  <si>
    <t xml:space="preserve">Patient Name : Rawlly Tanguay, Date of study: Aug 1, 2024
3 images are provided for review
Canine Thorax (3 Images) - 1 Vd, 2 Lateral
There are no previous radiographs for comparison.
Pulmonary parenchyma: A minimal to mild diffuse bronchial pattern is present.
Pulmonary vasculature: The pulmonary vasculature is subjectively normal in size and tapers in the periphery of the lungs.
Cardiac silhouette: A slight bulge is at the 1-2 o'clock region of the cardiac silhouette in the ventrodorsal image.
Mediastinum: The cranial mediastinum is normal.
Trachea: The trachea is normal.
Esophagus: The esophagus is not well-identified.
Pleural space: The pleural space is normal.
Musculoskeletal:   Multifocal thoracic spondylosis deformans is present.  The remaining included musculoskeletal structures are normal.
</t>
  </si>
  <si>
    <t xml:space="preserve">1. Minimal-mild diffuse bronchial pulmonary pattern.
- Differential diagnoses include fibrosis from prior disease, age-related changes, infectious/immune-mediated lower airway disease such as from mycoplasma spp., bordetella spp., parasitism, or inhaled allergen/irritant, or unlikely other.
2. Minimal main pulmonary arterial enlargement is consistent with reported history of pulmonic stenosis.
</t>
  </si>
  <si>
    <t>Etiology of reported clinical signs is not definitively identified.  Consider routine blood work, abdominal imaging and echocardiography, eCG and blood pressure for further evaluation. Empirical therapy and supportive care in the interim as needed.  Monitoring as directed or sooner if clinical signs acutely change, fail to improve or worsen.</t>
  </si>
  <si>
    <t xml:space="preserve">
1.MINIMAL TO MILD BRONCHOINTERSTITIAL PULMONRAY PATTERN; MILD PERIHILAR PATTERN._x000D_
2.Based on the AI airway/pulmonary findings, the probability of this patient having clinically detectable respiratory signs is LOW (25%)_x000D_
3.A minimal bronchointerstitial pulmonary pattern with a concurrent, minimal perihilar infiltrate have been detected._x000D_
4.The cardiac silhouette size is normal._x000D_
5.There is no evidence of DYNAMIC AIRWAY COLLAPSE or BRONCHIECTASIS.</t>
  </si>
  <si>
    <t xml:space="preserve">Patient Name : Pulga Casanova, Date of study: Aug 1, 2024
3 images are provided for review
Canine Abdomen (3 Images) - 2 Lateral, 1 Vd
There are no previous radiographs for comparison.
Liver: The liver is subjectively normal in size.
Spleen: The spleen is normal in size with smooth margins and homogeneous soft tissue.
Kidneys: The kidneys are partially obscured without obvious enlargement or mineral.  
Retroperitoneum: Retroperitoneal detail is adequate.
Urogenital: The urinary bladder is not well-identified but no obvious enlargement or mineral is present.  
Peritoneum: Peritoneal detail is adequate.
Gastrointestinal tract: The stomach contains a mild volume of gas and fluid or is empty.   The stomach is within normal limits for size.
The small intestine contains minimal gas, mild fluid or is empty with a subjectively uniform population for size. 
The colon contains moderate heterogeneous soft tissue material and gas.  The colon is within normal limits for size.  
Musculoskeletal: The included musculoskeletal structures are normal.
</t>
  </si>
  <si>
    <t>1. Non-specific gastrointestinal tract appearance such as from evolving  enteritis,, or given reported history, individual variation of normal/passing ingesta.
- There is no evidence of small intestinal mechanical ileus.</t>
  </si>
  <si>
    <t>Consider repeat abdominal radiographs if clinical signs such as vomiting or diarrhea or persistent anorexia manifest. Empirical therapy and supportive care in the interim as needed.  Monitoring as directed or sooner if clinical signs acutely change, fail to improve or worsen.</t>
  </si>
  <si>
    <t>A lateral thorax view, a VD view that includes the cranial thorax and neck, and orthogonal abdomen views are provided._x000D_
_x000D_
There is a mild bronchointerstitial pulmonary pattern, that is more prominent than expected considering the relatively young age of the patient. No alveolar infiltrates are seen. No thoracic lymphadenopathy or pleural effusion is identified. The trachea has smooth walls and normal uniform diameter. No esophageal abnormalities are seen._x000D_
_x000D_
The abdominal organs are all within normal size and shape limits. The appearance of the GI tract is unremarkable._x000D_
No musculoskeletal abnormalities are identified.</t>
  </si>
  <si>
    <t>There is a mild bronchointerstitial pattern. Considering the chronic history of coughing, this patient likely has allergic bronchitis or idiopathic chronic bronchitis. There is potential for secondary infection but probably of a low-grade nature. No evidence of pneumonia or esophageal pathology is seen that would easily account for the presenting complaint._x000D_
Upper airway pathology involving the pharynx/larynx should still be ruled out._x000D_
_x000D_
No abdominal abnormalities are identified.</t>
  </si>
  <si>
    <t>The radiographic appearance suggests chronic lower airway disease that likely accounts for the chronic cough, but is equivocal as to the current presenting complaint with more acute signs._x000D_
Sedated laryngeal/pharyngeal exam should be considered._x000D_
CBC, heartworm testing, and Baermann fecal exam for lungworms is recommended.</t>
  </si>
  <si>
    <t xml:space="preserve">Patient Name : Axl McCammond, Date of study: Aug 1, 2024
3 images are provided for review
There are no previous radiographs for comparison.
Pulmonary parenchyma:  A possible ovoid ill-defined nodule is in the dorsal aspect of the left cranial lung in the 5th intercostal space in the right lateral image, which is not identified in the ventrodorsal image.   A minimal to mild diffuse bronchial and mild diffuse interstitial pulmonary pattern is present.
Pulmonary vasculature: The pulmonary vasculature is subjectively normal in size and tapers in the periphery of the lungs.
Cardiac silhouette: The cardiac silhouette is normal in size and shape.
Mediastinum: Lobular or ovoid increased soft tissue is suspected in the cranial and middle mediastinum, ventral and leftward to the cardiac silhouette.
Trachea: The trachea is normal.
Esophagus: The esophagus is not well-identified.
Pleural space: Moderate pleural fluid is present, with widened pleural fissure lines diffusely and retraction of lung lobe margins from the body wall and diaphragmatic recesses.
Musculoskeletal: The included musculoskeletal structures are normal.
</t>
  </si>
  <si>
    <t xml:space="preserve">1. Suspected cranial/middle mediastinal mass.
- Differential diagnoses include lymphadenomegaly such as from reactive hyperplasia, metastatic neoplasia or unlikely other, or unlikely thymoma or ectopic thyroid carcinoma.
2. Possible left cranial lung lobe soft tissue nodule or less likely artifact/superimposed structures.
- If present, this may be due to primary pulmonary neoplasm such as a bronchogenic carcinoma, metastatic disease from a distant site neoplasm or unlikely other.
3. Moderate pleural fluid is suspicious for mediastinal/pleural malignant effusion or unlikely other.
4. Minimal to mild diffuse bronchial and interstitial pulmonary patterns.
- Differential diagnoses include secondary to pleural space changes/hypoinflation, fibrosis from prior disease, age-related changes, or unlikely other.
</t>
  </si>
  <si>
    <t>Consider computed tomography of the thorax for further evaluation of the cranial/middle mediastinal mass, pleural fluid and possible left lung lobe nodule.   Thoracocentesis with fluid analysis/cytology and coagulation testing with mass tissue sampling depending on results.  Abdominal imaging may be contributory to screen for occult systemic disease.  Oncologist consultation depending on results.  Empirical therapy and supportive care in the interim as needed.  Monitoring as directed, or sooner if clinical signs acutely change, fail to improve or worsen.</t>
  </si>
  <si>
    <t xml:space="preserve">
1.A severe perihilar infiltrate has been detected._x000D_
2.SEVERE PLEURAL EFFUSION; MODERATE TO SEVERE INTERSTITIAL to ALVEOLAR PATTERN; MODERATE DYNAMIC AIRWAY DISEASE._x000D_
3.Based on the AI airway/pulmonary findings, the probability of this patient having clinically detectable respiratory signs is VERY HIGH (&gt;75%)_x000D_
4.Severe cardiomegaly has been detected but Heart Failure is NOT suspected._x000D_
5.Severe pleural effusion has been detected._x000D_
6.If NO respiratory signs are present, lung lobe collapse or severe atelectasis secondary to anesthesia or deep sedation could create this appearance._x000D_
7.The evaluation has a strong suspicion of pulmonary nodules or mass lesion being present.</t>
  </si>
  <si>
    <t>MUSCULOSKELETAL (21 total radiographs for review).  No previous for comparison._x000D_
_x000D_
- Moderate to severe enlargement and irregularity of the articular process joints of the mid and caudal cervical vertebral column.  The enlarged joints extend and superimpose over the spinal canal and intervertebral foramina._x000D_
- Thoracic vertebral column unremarkable._x000D_
- Thoracolumbar junction mild spondylosis deformans._x000D_
- Enlargement and irregularity of the L3-4 articular process joint._x000D_
- Mild lumbosacral spondylosis deformans._x000D_
- Sacroiliac joints normal._x000D_
- Small mineral opacity superimposed caudal to the caudal aspect of the right dorsal acetabular rim._x000D_
- Bilaterally but more severe on the right, there is increased soft tissue opacity within the stifle joint capsules.  On the right there is impression of cranial subluxation of the proximal tibia relative to the distal femur._x000D_
- On the right there is a small bony fragment distal to the patellar apex_x000D_
- There is moderate right and mild left stifle joint osteoarthritis._x000D_
- The crural region, tarsi and included portions of the metatarsal region are normal._x000D_
- No distinct intrathoracic or intra-abdominal abnormalities are detected.</t>
  </si>
  <si>
    <t>1.  The appearance of the stifle joints bilaterally (more significantly the right stifle joint) suggests intracapsular injury to the cruciate ligaments and/or meniscus with secondary synovial effusion/synovitis and stifle osteoarthritis.  On the right, there is a small fragment distal to the patellar apex that may be a small prior chip fracture. Orthopedic consultation may be considered to explore possible treatment options (e.g. surgical, medical)._x000D_
_x000D_
2.  The changes seen affecting the mid- and caudal cervical vertebral column most likely reflect severe articular process joint osteoarthritis, leading to possible spinal cord and spinal nerve root impingement/compressive myelopathy/radiculopathy, which is likely part of the well-described condition in Great Danes=ZZ90= osseous-associated caudal cervical spondylomyelopathy (e.g. Wobbler=ZZ91=s disease).  Consider consultation with a veterinary neurologist regarding advanced imaging (CT/MRI) of the vertebral column for improved assessment of the spinal cord and spinal nerve roots and possible treatment modalities._x000D_
_x000D_
3.  L3-4 nuclear process joint osteoarthritis._x000D_
_x000D_
4.  Mild thoracolumbar and lumbosacral spondylosis deformans._x000D_
_x000D_
5.  Small mineral opacity caudal to the right coxofemoral joint could indicate dystrophic mineralization or intra-articular fragment and support degenerative coxal osteoarthritis.</t>
  </si>
  <si>
    <t xml:space="preserve">
1.A mild perihilar infiltrate has been detected._x000D_
2.The evaluation has a strong suspicion of pulmonary nodules or mass lesion being present._x000D_
3.The cardiac silhouette size is normal._x000D_
4.There is no evidence of BRONCHITIS, ALVEOLAR PATTERN, DYNAMIC AIRWAY COLLAPSE or BRONCHIECTASIS or PLEURAL EFFUSION.</t>
  </si>
  <si>
    <t xml:space="preserve">Patient Name: Buko Barrica, Date of study: Aug 1, 2024
6 images are provided for review
There are no previous radiographs for comparison. Patient age is listed as 1 month which is incorrect based on skeletal structures. 
Image quality: Only on the VD projection, the collar and tags overlie the heart. A metal opacity also overlies the right thoracic wall. 
Thorax:
Airway/pulmonary parenchyma: Nodular opacities are present in the cranioventral and caudodorsal thorax on the lateral projection. On the VD projection, there is asymmetry to the lung opacity with the left appearing lucent and the right having an increased opacity. The lungs are hypoinflated on all projections. 
Cardiovascular: Severe right sided is present resulting in dorsal elevation to the trachea. On the VD projection, the left caudal pulmonary artery appears severely enlarged and tortuous. The remainder of the pulmonary vasculature to the left lung appears decreased in diameter while the pulmonary vasculature to the right lung appears distended. 
Mediastinum: Mild widening is present likely secondary to fat deposition.
Pleural space: Normal
Cranial abdomen: Liver size is normal.
Msk: No aggressive osseous lesions are noted. </t>
  </si>
  <si>
    <t xml:space="preserve">1) Severe right sided cardiomegaly. Left pulmonary artery enlargement. Rule out heartworm disease and pulmonary granulomas vs. PTE or other cause for pulmonary vessel asymmetry. Other consideration for pulmonary nodules includes primary or metastatic neoplasia. 
2) Right lung overcirculation. A component of overcirculation edema affecting the right lung is suspected. </t>
  </si>
  <si>
    <t xml:space="preserve">Echocardiogram, ECG, and blood pressure evaluation, along with a cardiology consultation, prior to any anesthetic event. Heartworm testing. Oxygen therapy as needed.  Blood work and urinalysis prior to Lasix therapy. 
Abdominal ultrasound to assess for a primary lesion causing pulmonary nodules should also be considered if heartworm is negative. </t>
  </si>
  <si>
    <t xml:space="preserve">
1.SEVERE INTERSTITIAL TO ALVEOLAR PATTERN; SEVERE BRONCHIAL PATTERN; MODERATE DYNAMIC AIRWAY DISEASE._x000D_
2.Based on these AI airway/pulmonary findings, the probability of this patient having clinically detectable respiratory signs is VERY HIGH (&gt;75%)_x000D_
3.Are respiratory signs present? If YES._x000D_
4.Are respiratory signs present? If NO._x000D_
5.The evaluation has a strong suspicion of pulmonary nodules or mass lesion being present._x000D_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suspected._x000D_
8.A mild perihilar infiltrate has been detected.</t>
  </si>
  <si>
    <t xml:space="preserve">Patient Name : Gus Bermingham, Date of study: Jul 30, 2024
3 images are provided for review
Canine Thorax (3 Images) - 1 Vd, 2 Lateral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</si>
  <si>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Minimal-mild diffuse bronchial pulmonary pattern.
- Differential diagnoses include infectious/immune-mediated lower airway disease such as from mycoplasma spp., bordetella spp., parasitism, or inhaled allergen/irritant, fibrosis from prior disease, age-related changes, or unlikely other.
2. No obvious alveolar pattern/bronchopneumonia in this examination, but radiographic changes may lag behind clinical signs.  </t>
  </si>
  <si>
    <t>Consider fever of unknown origin panel, respiratory PCR panel, airway sampling, and fecal analysis for further evaluation.   Blood cultures during a period of increased temperature may be contributory.  Consider echocardiography to screen for endocarditis lesion, especially if a murmur manifests and additional etiologies of fever of unknown origin (FUO) are ruled out. Empirical therapy and supportive care in the interim as needed. Monitoring as directed or sooner if clinical signs acutely change, fail to improve or worsen.</t>
  </si>
  <si>
    <t>6 views of the thorax and abdomen are submitted for review._x000D_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The stomach and small bowel are within normal limits.  A mild amount of gas is noted throughout the colon.  The liver is mildly enlarged.  The spleen is normal in size and shape.  The renal silhouettes and urinary bladder are normal.  Serosal detail is adequate._x000D_
No osseous abnormalities are seen.</t>
  </si>
  <si>
    <t>Mild hepatomegaly.  Differentials include vacuolar hepatopathy or less likely inflammation or neoplasia._x000D_
Radiographically normal thorax.</t>
  </si>
  <si>
    <t>Empirical medical management for gastroenteritis and PLE may be helpful._x000D_
_x000D_
Abdominal ultrasound could be considered for further evaluation if there is sufficient clinical concern.</t>
  </si>
  <si>
    <t xml:space="preserve">Patient Name: Lola Baca, Date of study: Aug 1, 2024
3 images are provided for review.
There are no previous radiographs for comparison.
Pulmonary parenchyma: A minimal to mild diffuse bronchial and minimal diffuse interstitial pattern is present.  The lungs are mildly hypoinflated.
Pulmonary vasculature: The pulmonary vasculature is subjectively normal in size and tapers in the periphery of the lungs.
Cardiac silhouette: The cardiac silhouette is mildly tall and occupies 2/3 the height of the thorax in the lateral images.  
Mediastinum: The cranial mediastinum is mildly widened on the left in the ventrodorsal image, likely exacerbated by obliquity, without obvious increased soft tissue in the lateral image.
Trachea: A soft tissue band partially superimposed over the dorsal cervical trachea.  
Esophagus: The esophagus is not well-identified.
Pleural space: The pleural space is normal.
Musculoskeletal: Gas is suspected in the dorsal extra-thoracic soft tissues.  The nipples are prominent and superimpose over the caudal lungs in the 9th-10th intercostal spaces.   L1-2 and L2-3 spondylosis deformans is present.  The remaining included musculoskeletal structures are normal.
</t>
  </si>
  <si>
    <t>1. Equivocal left-sided cardiomegaly such as from phase of the cardiopulmonary cycle/patient confirmation versus myxomatous mitral valvular disease and insufficiency.
- There is no current evidence of left-sided congestive heart failure.  
2. Minimal diffuse bronchial and interstitial pulmonary patterns due to fibrosis from prior disease, age-related changes, or less likely infectious/immune-mediated lower airway disease, or unlikely other.
- No obvious pulmonary soft tissue nodules.  
3. Widened cranial mediastinum due to fat deposition/obliquity or less likely evolving lymphadenomegaly or mass.
4. Prominent nipples consistent with intact status of this patient.
5. Suspected dorsal extra-thoracic subcutaneous gas due to recent medication administration versus artifact or unlikely other.</t>
  </si>
  <si>
    <t>Consider echocardiography, ECG and blood pressure for further evaluation especially if a murmur is later identified.  Computed tomography of the thorax/abdomen for a more sensitive evaluation of the lungs and pre-surgical planning of mammary gland associated mass removal. Empirical therapy and supportive care in the interim as needed.  Monitoring as directed or sooner if clinical signs acutely change, fail to improve or worsen.</t>
  </si>
  <si>
    <t xml:space="preserve">
1.The cardiac silhouette size is normal._x000D_
2.There is no evidence of BRONCHITIS, ALVEOLAR PATTERN, PULMONARY NODULES or PLEURAL EFFUSION._x000D_
3.Mild dynamic airway disease has been detected.</t>
  </si>
  <si>
    <t xml:space="preserve">Patient Name : KRIEGER HOWELL, Date of study: Aug 1, 2024
10 images are provided for review
There are no previous radiographs for comparison.
Bones/Joints:
An ovoid lucency is over the proximal aspect of the right greater tubercle in the lateral image, with a thin sclerotic rim.  A similar   ovoid lucency is over the proximal aspect of the left greater tubercle in the lateral image, with a thin sclerotic rim.
The right elbow is normal.  
The left elbow is normal.  
There is no evidence of medullary sclerosis, osteolysis, endosteal scalloping, or periosteal proliferation.
Soft tissues:  The included soft tissues are normal.
</t>
  </si>
  <si>
    <t>1. Bilateral ill-defined ovoid lucent lesions suspected in the greater tubercle bilaterally.
- This may be due to osseous cyst-like lesion, synovial invagination associated with the supraspinatus muscle insertion, or unlikely retained cartilage cor, or artifact.
2. Normal right elbow.
3. Normal left elbow.</t>
  </si>
  <si>
    <t xml:space="preserve">Consider orthopedist consultation and computed tomography and/or MRI of the shoulders/elbows for further evaluation.  Empirical therapy and supportive care in the interim as needed. Monitoring as directed or sooner if clinical signs fail to improve or worsen with empirical therapy.  </t>
  </si>
  <si>
    <t xml:space="preserve">
1.Are respiratory signs present? If YES._x000D_
2.AI linked canine pneumonia treatment: https://platform.v2.vetology.net/doc/pneumonia-in-dogs-and-cats_x000D_
3.MODERATE TO SEVERE INTERSTITIAL TO ALVEOLAR PATTERN; PLEURAL EFFUSION or PLEURAL FISSURE LINES; PULMONARY NODULES or NODULAR PATTERN; MILD BRONCHITIS._x000D_
4.Based on the AI airway/pulmonary findings, the probability of this patient having clinically detectable respiratory signs is VERY HIGH (&gt;75%)_x000D_
5.Are respiratory signs present? If NO._x000D_
6.The cardiac silhouette size is normal.</t>
  </si>
  <si>
    <t>A three view study of the thorax is provided for interpretation._x000D_
_x000D_
No pulmonary nodules or parenchymal infiltrates are identified. There is a linear shadow in the cranial dorsal thorax is consistent with an incidental finding of benign platelike atelectasis. No thoracic lymphadenopathy or pleural effusion is seen. The cardiovascular structures are within normal limits. There is a 5 cm well defined ovoid mass in the cranioventral abdomen consistent with the reported splenic mass. The other cranial abdominal organs are unremarkable. There is a slight reduction in serosal detail around the mass.</t>
  </si>
  <si>
    <t>The presence of a cranial abdominal mass that likely involves the spleen is confirmed. There is slightly reduced detail around the mass that would be compatible with mild local inflammation or minimal effusion._x000D_
_x000D_
The thorax is within normal limits. No findings concerning for metastatic neoplasia are seen.</t>
  </si>
  <si>
    <t>Surgical exploration of the abdomen for presumed splenectomy is recommended._x000D_
Abdomen ultrasound could also be considered to look for evidence of abdominal organ or mesenteric metastases prior to surgery.</t>
  </si>
  <si>
    <t xml:space="preserve">Patient Name : Ren Foy, Date of study: Aug 1, 2024
3 images are provided for review
There are no previous radiographs for comparison.
Pulmonary parenchyma: A minimal to mild diffuse bronchial pattern is present.  the lungs are hypoinflated in all images, and a minimal diffuse interstitial pattern is present.   The tip of the left cranial lung lobe is cranially herniated through the thoracic inlet  in the ventrodorsal image.  The cranial lungs are subjectively caudally displaced in the lateral image, and the carina is displaced to the level of T6-7.
Pulmonary vasculature: The pulmonary vasculature is subjectively normal in size and tapers in the periphery of the lungs.
Cardiac silhouette: The cardiac silhouette is subjectively tall in the lateral images with a flat caudodorsal margin.  Suspected rounded increased soft tissue in the region of the left atrium in the ventrodorsal image.  
Mediastinum: The cranial mediastinum is widened with a convex left lateral margin in the ventrodorsal image.
Trachea: The trachea is severely narrowed in a dorsoventral dimension in the lateral images.  The lumen of the thoracic trachea is tapered cranially towards the thoracic inlet.
Esophagus: The esophagus is not well-identified.
Pleural space: The pleural space is normal.
Musculoskeletal: The patient is obese.  The remaining included musculoskeletal structures are normal.
</t>
  </si>
  <si>
    <t>1. Suspicious for cranial mediastinal mass with tracheal narrowing/compression, versus combination of dynamic/collapsing airway disease, hypoinflation of the lungs, obliquity and mediastinal fat deposition.
- If a cranial mediastinal mass is present, consider lymphadenomegaly (metastatic/multicentric neoplasia, possibly from primary abdominal disease) versus thymoma or unlikely other.
2. Left-sided cardiomegaly versus artifact from phase of the cardiopulmonary cycle/patient obliquity/phase of the cardiopulmonary cycle.
- If present, consider myxomatous mitral valvular disease or unlikely other.
- There is no current evidence of left-sided congestive heart failure.  
3. Minimal-mild diffuse bronchial and interstitial pulmonary patterns such as from fibrosis from prior disease, age-related changes, hypoinflation/artifact from obesity, or less likely infectious/immune-mediated lower airway disease.
4. Transient cranial herniation of the left cranial lung lobe.
5. Obesity.</t>
  </si>
  <si>
    <t>Consider computed tomography of the thorax versus ultrasonography of the mediastinum for further evaluation.  Coagulation testing and tissue sampling if a cranial mediastinal mass/lymphadenomegaly is confirmed.  If ruled out, consider tracheoscopy/bronchoscopy and airway sampling may be contributory.  Routine blood work and abdominal imaging to screen for occult systemic disease.  Consider echocardiography, eCG and blood pressure, especially if a murmur is later identified.   Empirical therapy and supportive care in the interim as needed.  Monitoring as directed or sooner if clinical signs acutely change, fail to improve or worsen.</t>
  </si>
  <si>
    <t xml:space="preserve">
1.SEVERE INTERSTITIAL TO ALVEOLAR PATTERN; SEVERE DYNAMIC AIRWAY DISEASE; MODERATE BRONCHIAL PATTERN._x000D_
2.Based on these AI airway/pulmonary findings, the probability of this patient having clinically detectable respiratory signs is VERY HIGH (&gt;75%)_x000D_
3.Pleural fissure lines or moderate pleural effusion has been detected. An overlying skin fold or in a moderately overweight animal, excessive pericardial fat could artifactually mimic the result of moderate pleural effusion._x000D_
4.Severe cardiomegaly has been detected but Heart Failure is NOT suspected._x000D_
5.Are respiratory signs present? If YES._x000D_
6.AI linked collapsing airway disease treatment in dogs: https://platform.v2.vetology.net/doc/canine-tracheal-collapse-treatment_x000D_
7.AI linked bacterial pneumonia treatment in dogs: https://platform.v2.vetology.net/doc/pneumonia-in-dogs-and-cats_x000D_
8.Are respiratory signs present? If NO._x000D_
9.There is no evidence of PULMONARY NODULES.</t>
  </si>
  <si>
    <t xml:space="preserve">Patient Name : Leo Khouri, Date of study: Aug 1, 2024
3 images are provided for review
Canine Thorax (3 Images) - 1 Vd, 2 Lateral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soft tissue band partially superimposes over the dorsal margin of the cervical trachea.
Esophagus: The esophagus is not well-identified.
Pleural space: The pleural space is normal.
Musculoskeletal: The included musculoskeletal structures are normal.
</t>
  </si>
  <si>
    <t xml:space="preserve">1. Mild diffuse bronchial pulmonary pattern.
- Differential diagnoses include infectious/immune-mediated lower airway disease such as from mycoplasma spp., bordetella spp., parasitism, or inhaled allergen/irritant or less likely other given reported clinical signs.
2. Suspected redundant dorsal tracheal membrane with/without underlying dynamic airway disease, versus superimposed normal structures.
3. No obvious evidence of bronchopneumonia/alveolar pattern but radiographic changes can lag behind clinical signs.  </t>
  </si>
  <si>
    <t>Consider routine blood work,, respiratory PCR panel, airway sampling, and empirical deworming/fecal analysis for further evaluation.  Empirical therapy and supportive care in the interim as needed.   If a cranioventral/ventral distributed alveolar pattern is present in recheck images, especially if the patients conditions persists or worsens, consider therapy for bronchopneumonia. Monitoring as directed or sooner if clinical signs acutely change, fail to improve or worsen.</t>
  </si>
  <si>
    <t>Study:_x000D_
Thoracic radiography: three images dated August 1, 2024_x000D_
_x000D_
Findings:The cardiac silhouette and pulmonary vasculature are normal in size. There multiple endo-n pulmonary vessels seen is punctate soft tissue opacities throughout the pulmonary parenchyma. The pulmonary parenchyma is otherwise unremarkable. No nodules or masses are present. The pleural space is normal. There is no intrathoracic lymphadenopathy. The trachea is normal in diameter and course. There is a small volume of gas in the esophagus. The included abdomen is normal. The osseous structures are unremarkable. The patient is of overweight body condition.</t>
  </si>
  <si>
    <t xml:space="preserve">
1.The cardiac silhouette size is normal._x000D_
2.A minimal interstitial pulmonary pattern with a concurrent, minimal perihilar infiltrate have been detected._x000D_
3.A moderate bronchointerstitial pulmonary pattern detected._x000D_
4.The evaluation has come up positive for a pulmonary nodular pattern.</t>
  </si>
  <si>
    <t>THORAX and CERVICAL (3 radiographs for review).  No previous for comparison._x000D_
_x000D_
- The pulmonary parenchyma is normal._x000D_
- The cardiac silhouette and pulmonary vasculature are normal._x000D_
- The region of the tracheobronchial lymph nodes is normal._x000D_
- The trachea, mediastinum, pleural space and remaining included intrathoracic structures are normal._x000D_
- The cervical region is unremarkable._x000D_
- The cranial abdomen is normal._x000D_
- No distinct musculoskeletal abnormalities are identified.</t>
  </si>
  <si>
    <t>1.  Normal thorax and cervical region.  A discrete radiographic cause for the reported daily coughing is not clearly identified.  Radiographic sensitivity for subtle lower airway disease such as tracheobronchitis can be limited.  If the coughing persists or worsens despite medical management, consultation with an internal medicine specialist and/or thoracic CT and airway sampling might be considered for further evaluation.</t>
  </si>
  <si>
    <t>5 images of the thorax and abdomen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Abdominal serosal detail is adequate. The stomach contains a small amount of gas. The small intestines are normal in size. Gas and feces are present in the colon. The remaining abdominal organs are normal.</t>
  </si>
  <si>
    <t>Radiographically normal thorax for a patient of this age. Radiographically normal abdomen.</t>
  </si>
  <si>
    <t>Three radiographs of the thorax, and three views of the abdomen are provided. The cardiac silhouette is normal size and shape. Pulmonary vessels and caudal vena cava are normal size. No abnormalities in the pulmonary parenchyma. No pleural fluid or gas. The diaphragm is intact. Increased opacity overlying the caudal right thorax on the VD projection (left laterality marker located on the right side of the patient) is due to superimposed skinfold and expiration._x000D_
_x000D_
In the abdomen there is small volume gas and scant mineral opaque debris in the stomach. Small intestines are minimally distended. Small volume of formed feces in the distal colon. Normal-sized kidneys, liver, spleen. The urinary bladder is minimally distended and soft tissue opaque. Normal lumbar spine. Mild degenerative change in the right coxofemoral joint, of doubtful significance.</t>
  </si>
  <si>
    <t>Mineral debris in the stomach may be residual ingesta and administered medications. Foreign material is given lesser consideration in the absence of vomiting. Otherwise normal abdomen and thorax. There is no evidence of trauma on this study.</t>
  </si>
  <si>
    <t>A CBC and blood chemistry profile could be considered.</t>
  </si>
  <si>
    <t xml:space="preserve">Patient Name : Alex Michelle Danielson, Date of study: Aug 1, 2024
3 images are provided for review
Canine Thorax (3 Images) - 1 Vd, 2 Lateral
Additional image of the abdomen dated the same day and prior images dated May 1, 2024 are available.   Cranial thorax tip is excluded from all images. Motion artifact in the ventrodorsal image.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mild fluid or is empty.
Pleural space: The pleural space is normal.
Musculoskeletal: T12-13, T13-L1, L1-2 and L2-3 spondylosis deformans is present.  The remaining included musculoskeletal structures are normal.
</t>
  </si>
  <si>
    <t>1. Mild-moderate diffuse bronchial pulmonary pattern.
- Differential diagnoses include fibrosis from prior disease, age-related changes, or less likely infectious/immune-mediated lower airway disease or unlikely other.
2. No obvious pulmonary soft tissue nodules or intra-thoracic lymphadenomegaly.</t>
  </si>
  <si>
    <t>Consider respiratory PCR panel, airway sampling, and fecal analysis for further evaluation if clinically indicated.  Consider routine blood work and coagulation testing given reported splenic mass, and excisional/incisional biopsy.  Oncologist consultation depending on results.    Empirical therapy and supportive care in the interim as needed. Monitoring as directed or sooner if clinical signs acutely change, fail to improve or worsen.</t>
  </si>
  <si>
    <t xml:space="preserve">
1.The cardiac silhouette size is normal._x000D_
2.There is no evidence of PERIHILAR INFILTRATE or DYNAMIC AIRWAY COLLAPSE or BRONCHIECTASIS._x000D_
3.A minimal interstitial pattern has been detected._x000D_
4.Pleural fissure lines or small volume pleural effusion has been detected. In a mildly overweight animal, excessive pericardial fat can artifactually mimic the result of minimal pleural effusion.</t>
  </si>
  <si>
    <t>Ten radiographs are provided, with images of the thorax, abdomen, pelvis, and left stifle. Previous thoracic images dated 12/28/2020 are available for comparison. The cardiac silhouette is normal size and shape. Mild age-related changes are present in the lungs. There are no soft tissue pulmonary nodules or intrathoracic lymphadenomegaly. Small round soft tissue densities caudal to the tracheal bifurcation are end-on pulmonary vessels. Adequate tracheal diameter._x000D_
_x000D_
In the abdomen the liver and spleen are normal size. The kidneys are incompletely visible due to superimposed intestinal loops. The gastrointestinal tract is moderately filled. No radiopaque cystic calculi. Normal lumbar spine. The coxofemoral joints are congruent. Pelvic limb musculature is mildly reduced on the left. Patellar location is normal. There is small volume fluid in the cranial aspect of the left stifle joint.</t>
  </si>
  <si>
    <t>1. Mild left stifle effusion most consistent with partial cranial cruciate ligament tear. This is the most likely cause for lameness. No other pelvic limb abnormalities._x000D_
2. Normal thorax and abdomen.</t>
  </si>
  <si>
    <t xml:space="preserve">
1.Are respiratory signs present? If NO._x000D_
2.The cardiac silhouette size is normal._x000D_
3.There is no evidence of DYNAMIC AIRWAY COLLAPSE or BRONCHIECTASIS._x000D_
4.A moderate interstitial to alveolar infiltrate, mild bronchial pattern and concurrent mild perihilar infiltrate have been detected._x000D_
5.Probability these AI pulmonary findings will accompany clinically detectable respiratory signs: MEDIUM (50%)_x000D_
6.Are respiratory signs present? If YES._x000D_
7.Pleural fissure lines or small volume pleural effusion has been detected. In a mildly overweight animal, excessive pericardial fat can artifactually mimic the result of minimal pleural effusion.</t>
  </si>
  <si>
    <t>8 images of the thorax, lumbar spine, pelvis, and pelvic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Spinal alignment is normal with no cortically narrowed intervertebral disc spaces.  Coverage of the femoral heads by the acetabular rims is adequate bilaterally.  No fractures or aggressive osseous lesions are seen.  The joint surfaces are smooth and regular.  There appears to be moderate soft tissue in the right stifle joint.  Obliquity of both stifles on the lateral views limits evaluation however.</t>
  </si>
  <si>
    <t>Radiographically normal thorax for patient of this age.  Suspect moderate right stifle effusion consistent with soft tissue injury such as to the cranial cruciate ligament or meniscus.</t>
  </si>
  <si>
    <t>Four radiographs of the thorax/abdomen are provided. The cardiac silhouette is normal size with no chamber enlargement. Faint bronchial markings and a few pulmonary osteomas is normal for the age of this patient. There is no pleural effusion or soft tissue pulmonary nodules. The trachea is normal diameter. Broad-based dorsal right extrathoracic 4.7 cm mass, with no adjacent osseous abnormalities._x000D_
_x000D_
In the abdomen the prostate is severely enlarged, consistent with the reproductive status of this patient. Serosal detail is adequate. The gastrointestinal tract is mildly filled. Normal-sized liver, spleen. One of the kidneys is visible on the lateral views and is normal size. Otherwise the kidneys are obscured by superimposed bowel loops. The T12-13, T13-L1 intervertebral disc spaces are severely narrowed, with mild kyphosis centered at T13. Ovoid lucency in the spinous process of T13 is incidental. Narrowed L3-4, L4-5 intervertebral disc spaces, with mineral density overlying the intervertebral foramina.</t>
  </si>
  <si>
    <t>1. Probable intervertebral disc disease at T12-13, T 13-L1, L3-4, L4-5. Such a lesion at these or another site is the most likely cause for the neurologic deficits._x000D_
2. Dorsolateral right extrathoracic mass is most likely incidental lipoma. A malignant soft tissue neoplasm is given lesser consideration. This should be correlated with cytology. No intrathoracic abnormalities. There is no evidence of cardiovascular disease on this study. A small valvular regurgitant jet can result in a relatively loud murmur._x000D_
3. Normal abdomen.</t>
  </si>
  <si>
    <t>With the mild clinical signs, this patient may benefit from anti-inflammatories and strict rest. If no improvement, consultation with a neurologist and advanced spinal imaging with MRI/CT should be considered.</t>
  </si>
  <si>
    <t>THORAX (4 total radiographs for review).  No previous examinations are available for comparison._x000D_
_x000D_
- Severe, dynamic collapse of the trachea extending from the caudal cervical region through the thoracic inlet to the level of the carina._x000D_
- Pulmonary parenchyma is normal._x000D_
- Very mild, subtle, questionable straightening of the caudal cardiac margin and dorsal displacement of the caudal aspect of the thoracic trachea supporting left-sided cardiomegaly._x000D_
- Remaining included intrathoracic structures are unremarkable._x000D_
- No discrete cranial abdominal abnormalities are noted._x000D_
- L2-3 intervertebral disc space collapse with endplate sclerosis and spondylosis deformans._x000D_
- Mild cervicothoracic spondylosis deformans._x000D_
- Excessive body habitus.</t>
  </si>
  <si>
    <t>1.  The appearance of the trachea is consistent with severe, dynamic tracheal collapse secondary to chondromalacia.  This is most likely the cause of the reported coughing.  Consider empirical therapy towards tracheal collapse and given the severity and may be reasonable to pursue internal medicine consultation and fluoroscopic evaluation for further characterization._x000D_
_x000D_
2. Mild/questionable left-sided cardiomegaly, without pulmonary vasculature congestion.  May be a normal patient variant, artifact of the cardiac cycle or due to dexmedetomidine sedation administration (if used). If real, most likely compatible with degeneration of the mitral valve. _x000D_
_x000D_
3.  L2-3 intervertebral disc disease._x000D_
_x000D_
4.  Excessive body habitus.</t>
  </si>
  <si>
    <t xml:space="preserve">
1.MODERATE BRONCHIAL PATTERN; MODERATE DYNAMIC AIRWAY DISEASE._x000D_
2.Based on these AI airway/pulmonary findings, the probability of this patient having clinically detectable respiratory signs is HIGH (75%)_x000D_
3.Are respiratory signs present? If YES._x000D_
4.Are respiratory signs present? If NO._x000D_
5.There is no evidence of PERIHILAR INFILTRATE, PULMONARY NODULES or PLEURAL EFFUSION._x000D_
6.Mild cardiomegaly has been detected but Heart Failure is NOT suspected.</t>
  </si>
  <si>
    <t>Study:_x000D_
Abdominal radiography: three images dated July 31, 2024_x000D_
_x000D_
Findings:_x000D_
The cardiac silhouette is normal in size and shape (VHS approximately 10.25). The pulmonary vasculature is normal in size. The pulmonary parenchyma is unremarkable. The pleural space is normal. There is no intrathoracic lymphadenopathy. The trachea is normal in diameter. The stomach contains unstructured heterogeneous/granular soft tissue material presumed to be ingesta. No skeletal abnormalities are present.</t>
  </si>
  <si>
    <t>Orthogonal views of the thorax are provided:_x000D_
_x000D_
Thorax:_x000D_
_x000D_
There is moderate left atrium enlargement that dorsally displaces the carina, producing an overall severe cardiomegaly._x000D_
The pulmonary veins are enlarged when crossing the 4th ribs._x000D_
There is a peri-hilar and diffuse alveolo-interstitial pulmonary pattern throughout the lung field._x000D_
Normal mediastinum, diaphragm and thoracic wall._x000D_
_x000D_
Liver extends beyond the costal arch with sharp margins.</t>
  </si>
  <si>
    <t>1) Cardiomegaly (left sided), enlarged pulmonary veins with peri-hilar and caudodorsal alveolo-interstitial pulmonary pattern. Findings consistent with left sided congestive heart failure secondary to chronic mitral endocardiosis. Rule out tricuspid endocardiosis with post-capillary pulmonary hypertension._x000D_
2) Hepatomegaly: RSCHF vs Metabolic vs Vacuolar infiltration vs Hepatic nodular hyperplasia vs Inflammatory vs Toxic vs Neoplastic or a combination of these differentials.</t>
  </si>
  <si>
    <t xml:space="preserve">
1.SEVERE ALVEOLAR PATTERN; PLEURAL EFFUSION or PLEURAL FISSURE LINES; MODERATE DYNAMIC AIRWAY DISEASE; MILD, DIFFUSE BRONCHOINTERSTITIAL PULMONARY PATTERN._x000D_
2.Based on the AI airway/pulmonary findings, the probability of this patient having clinically detectable respiratory signs is VERY HIGH (&gt;75%)_x000D_
3.Are respiratory signs present? If YES._x000D_
4.A moderate perihilar infitlrate has been detected._x000D_
5.Severe cardiomegaly has been detected but Heart Failure is NOT suspected._x000D_
6.Are respiratory signs present? If NO.</t>
  </si>
  <si>
    <t>Orthogonal views of the thorax and abdomen are provided:_x000D_
_x000D_
Thorax:_x000D_
_x000D_
No abnormalities are seen in the trachea._x000D_
Cardiac silhouette has a normal shape and size._x000D_
Pulmonary vessels are within normal limits of size and shape._x000D_
Pulmonary parenchyma shows a false broncho-interstitial lung pattern due to expiration phase. No evidence of pneumonia nor signs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extends beyond the costal arch with sharp margins._x000D_
Spleen is within normal limits of size and smoothly marginated.</t>
  </si>
  <si>
    <t>1) No signs of cardiomegaly (this does not exclude a cardiac disease). Rule out concomitant tricuspid endocardiosis with pulmonary hypertension. _x000D_
2) Unremarkable lungs do not exclude a bronchitis of allergic origin vs inflammatory/infectious or parasitic origin. _x000D_
3) Hepatomegaly: Metabolic vs Vacuolar infiltration vs Hepatic nodular hyperplasia vs Inflammatory vs Toxic vs Neoplastic or a combination of these differentials.</t>
  </si>
  <si>
    <t>Given the lack of cardiomegaly but audible murmur, consider a cardiology consultation with ECG and echocardiogram and abdominal US to further evaluate the liver and entire abdomen prior to an empirical treatment for chronic bronchitis evaluating response to treatment. If clinical signs persist, consider a bronchoscopy with BAL, culture, cytology, Baermann test and deworming.</t>
  </si>
  <si>
    <t xml:space="preserve">
1.MODERATE BRONCHOINTERSTITIAL PULMONARY PATTERN; ALVEOLAR INFILTRATE or ATELECTASIS; DYNAMIC AIRWAY DISEASE._x000D_
2.Based on these AI airway/pulmonary findings, the probability of this patient having clinically detectable respiratory signs is HIGH (75%)_x000D_
3.Are respiratory signs present? If YES._x000D_
4.Are respiratory signs present? If NO._x000D_
5.Moderate cardiomegaly has been detected but Heart Failure is NOT suspected.</t>
  </si>
  <si>
    <t>Study:_x000D_
Thoracic radiography: three images dated July 31, 2024_x000D_
_x000D_
Findings:_x000D_
There is mild left ventricular and left atrial enlargement. The pulmonary vasculature is normal in size. The pulmonary parenchyma is unremarkable. The pleural space is normal. There is no intrathoracic lymphadenopathy. There is narrowing of the trachea lumen at the thoracic inlet on the right lateral view. The liver is moderately enlarged with smooth margins. Mild periarticular bone formation is present at the caudodistal aspect the humeral head and infraglenoid tubercle of the scapula bilaterally. There is moderate right elbow periarticular bone formation. There is mild to moderate multifocal thoracolumbar spondylosis deformans.</t>
  </si>
  <si>
    <t>1. Mild left-sided cardiomegaly, indicative of mitral valve disease, without evidence of decompensation. Echocardiography should be considered for further evaluation._x000D_
2. Chondromalacia and dynamic airway disease/tracheal collapse._x000D_
3. The generalized hepatomegaly is nonspecific. Rule out metabolic/vacuolar hepatopathy, hypoxic hepatopathy secondary to dynamic airway disease, hyperplasia, hepatitis or infiltrative neoplasia. Sonography can be considered for further evaluation._x000D_
4. Mild bilateral shoulder and moderate right elbow osteoarthrosis.</t>
  </si>
  <si>
    <t xml:space="preserve">
1.MILD to MODERATE BRONCHINTERSTITIAL PATTERN with ATELECTASIS or less likely, PNEUMONIA; MILD DYNAMIC AIRWAY DISEASE._x000D_
2.MILD INTERSTITIAL TO ALVEOLAR PATTERN; MILD DYNAMIC AIRWAY DISEASE; MILD PERIHILAR INFILTRATE._x000D_
3.Based on these AI airway/pulmonary findings, the probability of this patient having clinically detectable respiratory signs is MEDIUM to HIGH (50-75%)_x000D_
4.Based on the AI airway/pulmonary findings, the probability of this patient having clinically detectable respiratory signs is MEDIUM (50%)_x000D_
5.Are respiratory signs present? If YES._x000D_
6.Are respiratory signs present? If YES._x000D_
7.Severe cardiomegaly has been detected but Heart Failure is NOT suspected._x000D_
8.Are respiratory signs present? If NO._x000D_
9.Are respiratory signs present? If NO.</t>
  </si>
  <si>
    <t>Three orthogonal thoracic radiographs dated 31st July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30% of the dorsoventral diameter of the trachea. The intrathoracic trachea is elevated. There is widening of the tracheal bifurcation. A mild to moderate caudal dorsal interstitial opacification is present._x000D_
_x000D_
Cardiovascular findings: There is a large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80% of the width of the thoracic volume. The cranial and caudal pulmonary vasculature are within normal limits. There is increased cardiac sternal contact. The caudal vena cava is enlarged._x000D_
_x000D_
Mediastinum and pleural space: There is mild ventral soft tissue attenuation consistent with mild pleural effusion._x000D_
_x000D_
Musculoskeletal findings: No significant abnormalities are detected._x000D_
_x000D_
Included abdomen: No significant abnormalities are detected.</t>
  </si>
  <si>
    <t>1.Mainly left sided cardiomegaly with cardiogenic pulmonary edema consistent with left sided congestive heart failure. Ddx: myxomatous degeneration of the mitral (+- tricuspid) valves with post-capillary pulmonary hypertension vs systolic dysfunction (DCM)._x000D_
2. The interstitial opacification is most likely due to cardiogenic pulmonary oedema. Lower airway infectious/inflammatory disease is less likely._x000D_
3.The dorsal attenuation of the trachea is consistent with redundant trachealis membrane or overlying musculature.</t>
  </si>
  <si>
    <t xml:space="preserve">
1.Are respiratory signs present? If NO._x000D_
2.MODERATE DYNAMIC AIRWAY DISEASE; MODERATE INTERSTITIAL TO ALVEOLAR INFILTRATE, MILD BRONCHIAL PATTERN, MILD PERIHILAR INFILTRATE._x000D_
3.Based on these AI airway/pulmonary findings, the probability of this patient having clinically detectable respiratory signs is MEDIUM (50%)_x000D_
4.Are respiratory signs present? If YES._x000D_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</si>
  <si>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Three orthogonal thoracic radiographs dated 31st July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90% of the dorsoventral diameter of the trachea. The intrathoracic trachea is normal. A mild homogenous interstitial opacification is present._x000D_
_x000D_
Cardiovascular findings: There is a large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There is increased cranial mediastinal fat. Multisite spondylosis deformans is present._x000D_
_x000D_
Musculoskeletal findings: The patient is obese._x000D_
_x000D_
Included abdomen: No significant abnormalities are detected.</t>
  </si>
  <si>
    <t>1. The dorsal attenuation of the trachea is consistent with tracheomalacia, and/or redundant trachealis membrane. The extent of attenuation would be expected to cause coughing._x000D_
2. Left atrial dilation. This is most likely due to mixoid degeneration of the mitral valve. The evidence for cardiac insufficiency is equivocal. This is a likely cause for the murmur._x000D_
3. The interstitial opacification may be due to body habitus, however early cardiogenic pulmonary oedema, or non-cardiogenic pulmonary oedema secondary to upper airway obstruction should be considered.</t>
  </si>
  <si>
    <t>Consider evaluation for airway collapse (fluoroscopy vs. right lateral inspiratory and expiratory radiographs vs. CT with virtual bronchoscopy). Alternatively consider medical management. Consider surgical consultation depending on clinical progression._x000D_
Radiography is insensitive for early cardiac insufficiency, therefore ECG, blood pressure measurements, and echocardiography are advised._x000D_
Obesity predisposes for airway collapse, and reduction of thoracic volume (pickwickian syndrome), reducing pulmonary clearance, therefore weight management is advised.</t>
  </si>
  <si>
    <t xml:space="preserve">
1.A moderate bronchointerstitial pattern, regions of alveolar infiltrate, a mild perihilar infiltrate and concurrent dynamic airway disease (see #2) have been detected._x000D_
2.Moderate cardiomegaly has been detected but Heart Failure is NOT suspected._x000D_
3.Moderate dynamic airway disease has been detected._x000D_
4.SEVERE ALVEOLAR PATTERN; PLEURAL EFFUSION or PLEURAL FISSURE LINES; MODERATE DYNAMIC AIRWAY DISEASE; MILD, DIFFUSE BRONCHOINTERSTITIAL PULMONARY PATTERN._x000D_
5.Based on the AI airway/pulmonary findings, the probability of this patient having clinically detectable respiratory signs is VERY HIGH (&gt;75%)_x000D_
6.Are respiratory signs present? If YES._x000D_
7.Are respiratory signs present? If NO.</t>
  </si>
  <si>
    <t xml:space="preserve">Patient Name : Samus Reeves, Date of study: Jul 31, 2024
3 images are provided for review
There are no previous radiographs for comparison.
Pulmonary parenchyma:  The cranial lobar bronchi are suspiciously small in a dorsoventral dimension in the right lateral image compared to the left.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Broad-based left extrathoracic fat opaque mass.  The remaining included musculoskeletal structures are normal.
</t>
  </si>
  <si>
    <t xml:space="preserve">1. Suspicious for cranial lobar bronchi dynamic airway disease versus artifact.
2. Minimal-mild diffuse bronchial pattern such as from infectious/immune-mediated lower airway disease (mycoplasma spp., bordetella spp., parasitism, or other) , fibrosis from prior disease, age-related changes, or unlikely other.
3. Presumed left extra-thoracic lipoma.  </t>
  </si>
  <si>
    <t>Consider respiratory PCR panel, airway sampling, and fecal analysis for further evaluation.  Bronchoscopy/tracheoscopy and fluoroscopy for further evaluation of underlying dynamic airway disease may be contributory.  Empirical therapy and supportive care in the interim as needed. Monitoring as directed or sooner if clinical signs acutely change, fail to improve or worsen.</t>
  </si>
  <si>
    <t>Study:_x000D_
Thoracic radiography: three images dated July 31, 2024_x000D_
_x000D_
Findings:_x000D_
There is severe cardiomegaly characterized by biventricular and left atrial enlargement. The pulmonary vasculature is normal in size. There is a moderate to severe interstitial pulmonary pattern in the perihilar, caudal dorsal and cranioventral lung fields. The pleural space is normal. There is no intrathoracic lymphadenopathy. The trachea is normal in diameter. There is no lobar bronchi narrowing. The included abdomen is unremarkable. One of the reported mammary masses is seen in the subcutaneous tissues of the cranioventral abdomen.</t>
  </si>
  <si>
    <t>1. Severe generalized cardiomegaly and decompensated congestive heart failure/cardiogenic pulmonary edema. Both mitral and tricuspid valve disease or suspected. A cardiomyopathy is less likely. Recommend echocardiography for further evaluation. Repeat radiography to monitor for response to continue diuretic therapy should be considered in the interim._x000D_
2. There is no apparent pulmonary metastatic disease. Subtle pulmonary nodules could be missed secondary viewed the suspected congestive heart failure/cardiogenic pulmonary edema._x000D_
3. Mammary mass. Rule out carcinoma versus adenoma.</t>
  </si>
  <si>
    <t xml:space="preserve">
1.Are respiratory signs present? If YES._x000D_
2.Are respiratory signs present? If NO._x000D_
3.SEVERE ALVEOLAR PATTERN; PLEURAL EFFUSION or PLEURAL FISSURE LINES; MODERATE DYNAMIC AIRWAY DISEASE; MILD, DIFFUSE BRONCHOINTERSTITIAL PULMONARY PATTERN._x000D_
4.Based on the AI airway/pulmonary findings, the probability of this patient having clinically detectable respiratory signs is VERY HIGH (&gt;75%)_x000D_
5.A moderate perihilar infitlrate has been detected._x000D_
6.Severe cardiomegaly has been detected but Heart Failure is NOT suspected.</t>
  </si>
  <si>
    <t>Three radiographs of the thorax, and a lateral view of the abdomen are provided. The cardiac silhouette is normal size and shape. Pulmonary vessels are normal size. There are mild bronchial markings throughout the lungs. No pleural effusion. Adequate tracheal diameter. Small volume gas in the cranial cervical esophagus is incidental. Broad-based fat opaque 6.9 cm lipomatous mass ventral to the cranial sternum is incidental._x000D_
_x000D_
In the abdomen, mid-peritoneal detail is reduced, particularly adjacent to the splenic tail. Normal-sized liver and left kidney. The right kidney is obscured. The gastrointestinal tract is minimally filled, and no radiopaque foreign material is appreciated. No radiopaque cystic calculi. Degenerative change in the lumbar spine and one of the stifles is likely incidental.</t>
  </si>
  <si>
    <t>1. Poor abdominal detail adjacent to the spleen. Splenic neoplasia such as hemangiosarcoma is of concern. An inflammatory process or metabolic abnormality are next on the differential list. No other abdominal abnormalities._x000D_
2. Mild bronchial pattern is most likely normal age-related change. Chronic airway inflammation such as allergic bronchitis is next on the differential list. There is no evidence of aspiration pneumonia. Otherwise normal thorax.</t>
  </si>
  <si>
    <t>Three radiographs of the thorax, and three views of the abdomen are provided. Images dated 7/19/23 are available for comparison. The cardiac silhouette and pulmonary vessels are normal size and shape. There are no abnormalities in the pulmonary parenchyma. Thin linear mineral density ventral to the cranial thoracic trachea is incidental platelike atelectasis. No definitive tracheal abnormalities today. There is no pleural effusion._x000D_
_x000D_
In the abdomen the liver is moderately enlarged, slightly increased in size compared to the previous study. Hepatic margins remain smooth. Normal-sized spleen and kidneys. The gastrointestinal tract is mildly filled. Several small mineral opaque fragments in the distal colon are likely incidental. The urinary bladder is distended and no radiopaque urolithiasis is appreciated. No osseous abnormalities.</t>
  </si>
  <si>
    <t>1. Moderate hepatomegaly, slightly increased in size since the previous study. This is nonspecific and is most likely steroid or other hepatopathy. An inflammatory process for neoplasia are given lesser consideration. Otherwise normal abdomen. There is no evidence of radiopaque uroliths._x000D_
2. Normal thorax.</t>
  </si>
  <si>
    <t>A CBC, blood chemistry profile, and urinalysis are recommended. Ultrasound evaluation of the liver, adrenal glands, and urinary tract should be considered.</t>
  </si>
  <si>
    <t xml:space="preserve">
1.Moderate cardiomegaly has been detected but Heart Failure is NOT suspected._x000D_
2.MILD BRONCHIAL PATTERN; MILD DYNAMIC AIRWAY DISEASE._x000D_
3.Based on these AI airway/pulmonary findings, the probability of this patient having clinically detectable respiratory signs is LOW to MEDIUM (25-50%)_x000D_
4.Are respiratory signs present? If YES._x000D_
5.Are respiratory signs present? If NO._x000D_
6.There is no evidence of ALVEOLAR PATTERN, PERIHILAR INFILTRATE or PLEURAL EFFUSION.</t>
  </si>
  <si>
    <t>Study:_x000D_
Thoracic and cervical images: five images total (from two different submissions) dated July 31, 2024_x000D_
_x000D_
Findings:_x000D_
The cardiac silhouette and pulmonary vasculature are normal in size. The pulmonary parenchyma is unremarkable. The pleural space is normal. There is no intrathoracic lymphadenopathy. There is a broad-based soft tissue opaque band superimposed with the cervical trachea lumen representing other redundant dorsal tracheal membrane or superimposition of the esophagus. The trachea is normal in diameter and course. The upper esophageal sphincter is accentuated by gas in the prox small esophagus on the lateral projection timestamped 10:38 AM. The stomach contains unstructured heterogeneous soft tissue material presumed to be ingesta. The included skull is unremarkable. The atlantooccipital junction is normal The dens is intact and well defined. The atlantoaxial joint space is normal. There is no intervertebral disc space or foraminal narrowing. There is no evidence of discospondylitis.</t>
  </si>
  <si>
    <t>1. Normal thorax. There is no radiographic evidence of Cardia pulmonary disease or intrathoracic neoplasia._x000D_
2. Unremarkable cervical spine.</t>
  </si>
  <si>
    <t>Consider neurology consultation and MRI for further evaluation of the reported seizures and Horner=ZZ91=s syndrome.</t>
  </si>
  <si>
    <t xml:space="preserve">
1.MODERATE BRONCHOINTERSTITIAL PULMONARY PATTERN; ALVEOLAR INFILTRATE or ATELECTASIS; DYNAMIC AIRWAY DISEASE._x000D_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PULMONARY NODULES or PLEURAL EFFUSION.</t>
  </si>
  <si>
    <t xml:space="preserve">Patient Name : Axel Carrera, Date of study: Jul 31, 2024
6 images are provided for review
There are no previous radiographs for comparison.
Bones/Joints:
A dens is present.  There is no evidence of atlantoaxial joint subluxation.
There is no evidence of intervertebral disc space narrowing, or mineral over the intervertebral foramina.  There is no evidence of intervertebral dorsal articulation osteoarthrosis.
The coxofemoral joints have no obvious osteoarthrosis.  There is adequate coverage of the femoral heads by the acetabulums.
The left stifle has no evidence of osteoarthrosis.  The left infrapatellar fat pad is well-defined.
The included left tarsus, metatarsus and digits are normal.
The right stifle has no evidence of osteoarthrosis.  The right infrapatellar fat pad is well-defined.
The included right tarsus, metatarsus and digits are normal.  
The Included portion of the lumbar spine is normal.
There is no evidence of medullary sclerosis, osteolysis, endosteal scalloping, or periosteal proliferation.
Soft tissues:  The included soft tissues are normal.
</t>
  </si>
  <si>
    <t xml:space="preserve">1. Normal cervical spine,
2. Normal thoracolumbar spine.
3. Normal coxofemoral joints.
4. Normal right stifle. 
5. Normal left stifle.  </t>
  </si>
  <si>
    <t>Etiology of reported clinical signs is not definitively identified.  Consider occult soft tissue strain/sprain injury such as to the iliopsoas muscle, occult myelopathy such as from non-mineralized herniated intervertebral disc, or less likely other such as epaxial muscle myositis/occult trauma.  Consider neurologist consultation and MRI for further evaluation if clinical signs.  Empirical therapy and supportive care in the interim as needed.  Monitoring as directed, or sooner if clinical signs acutely change, fail to improve or worsen.</t>
  </si>
  <si>
    <t>Study:_x000D_
Thoracic radiography: three images dated July 31, 2024_x000D_
_x000D_
Findings:_x000D_
There is severe left ventricular and left atrial enlargement. The pulmonary vasculature is normal in size. On the lateral projections, there is a mild perihilar unstructured interstitial pulmonary pattern. The pleural space is normal. There is no intrathoracic lymphadenopathy. The trachea is normal in diameter. There is no lobar bronchi narrowing. The liver is moderately enlarged with smooth and sharp margins. There is a thin linear metallic opacity in the midabdomen on the lateral views. There is mild T 12-T 13 and severe L1-L2 spondylosis deformans.</t>
  </si>
  <si>
    <t>1. Severe left-sided cardiomegaly, indicative of mitral valve disease, with suspected decompensated congestive heart failure/mild cardiogenic pulmonary edema. If not recently performed, echocardiography should be considered for further evaluation. Increased diuretic therapy with repeat radiography to monitor for response to treatment can be considered in the interim._x000D_
2. It is difficult to discern if the thin linear metallic opacity in the midabdomen is within intestinal segment or free within the peritoneum. In either case, this is likely an incidental finding.</t>
  </si>
  <si>
    <t xml:space="preserve">
1.MILD BRONCHOINTERSTITIAL PULMONARY PATTERN; MILD DYNAMIC AIRWAY DISEASE; MILD PERIHILAR INFILTRATE._x000D_
2.Based on these AI airway/pulmonary findings, the probability of this patient having clinically detectable respiratory signs is MEDIUM (50%)_x000D_
3.Are respiratory signs present? If YES._x000D_
4.Are respiratory signs present? If NO._x000D_
5.Severe cardiomegaly has been detected but Heart Failure is NOT suspected.</t>
  </si>
  <si>
    <t>Opposite lateral and VD views of the thorax are provided for interpretation._x000D_
_x000D_
No pulmonary infiltrates or bronchial thickening are identified. Fusion is seen. The heart is within normal size and shape limits. The caudal lobe pulmonary arteries are slightly prominent. Other pulmonary vessels are unremarkable. No tracheal abnormalities are identified. The cranial abdomen is unremarkable.</t>
  </si>
  <si>
    <t>No findings concerning for primary pulmonary disease are identified._x000D_
No evidence of cardiac chamber dilation is seen._x000D_
_x000D_
The caudal lobe pulmonary arteries are slightly prominent. This could still be a benign anatomic variant. Heartworm testing is still recommended.</t>
  </si>
  <si>
    <t>No evidence of pulmonary or tracheal disease is identified._x000D_
No cardiac abnormalities are seen. Heartworm disease should be ruled out but the mild pulmonary artery dilation may be incidental._x000D_
Upper airway pathology including laryngeal paralysis should be ruled out in this patient.</t>
  </si>
  <si>
    <t xml:space="preserve">
1.Pleural fissure lines or small volume pleural effusion has been detected. In a mildly overweight animal, excessive pericardial fat can artifactually mimic the result of minimal pleural effusion._x000D_
2.MINIMAL to MILD DIFFUSE, MIXED BRONCHOINTERSTITIAL PULMONARY PATTERN with ATELECTASIS or less likely, pneumonia._x000D_
3.Probability these AI pulmonary findings will accompany clinically detectable respiratory signs: LOW (25%)_x000D_
4.Are respiratory signs present? If YES._x000D_
5.Are respiratory signs present? If NO._x000D_
6.The evaluation has come up positive for a pulmonary nodular pattern._x000D_
7.The cardiac silhouette size is normal._x000D_
8.There is no evidence of DYNAMIC AIRWAY COLLAPSE or BRONCHIECTASIS.</t>
  </si>
  <si>
    <t>Three radiographs of the thorax/abdomen are provided. The cardiac silhouette is normal size and shape. There are no abnormalities in the pulmonary parenchyma. The lungs are clear. Possible redundant dorsal trachealis membrane in the cervical region, of uncertain significance today. In the abdomen formed feces fills the distal colon. Small bowel are mildly filled. Moderate volume soft tissue opaque ingested in the stomach. Normal-sized kidneys, liver, spleen. No radiopaque cystic calculi. No definitive narrowed intervertebral disc spaces or foramina. The coxofemoral joints are congruent. The patellas are medially displaced.</t>
  </si>
  <si>
    <t>Bilateral medial patellar luxation. Normal thorax and abdomen. No spinal abnormalities are appreciated on this study. Non-mineralized intervertebral disc protrusion/extrusion remains possible.</t>
  </si>
  <si>
    <t>Consider strict rest along with current treatment.</t>
  </si>
  <si>
    <t xml:space="preserve">
1.Are respiratory signs present? If YES._x000D_
2.Are respiratory signs present? If NO._x000D_
3.There is no evidence of PLEURAL EFFUSION._x000D_
4.MILD BRONCHOINTERSTITIAL PULMONARY PATTERN; MILD DYNAMIC AIRWAY DISEASE; ATELECTASIS or less likely, pneumonia;  MINIMAL PERIHILAR INFILTRATE._x000D_
5.Based on the AI airway/pulmonary findings, the probability of this patient having clinically detectable respiratory signs is MEDIUM (50%)_x000D_
6.Mild cardiomegaly has been detected but Heart Failure is NOT suspected.</t>
  </si>
  <si>
    <t xml:space="preserve">Patient Name : Poppy Luke, Date of study: Jul 31, 2024
3 images are provided for review
Canine Thorax (3 Images) - 2 Lateral, 1 Vd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</si>
  <si>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Minimal diffuse bronchial pulmonary pattern.
- Differential diagnoses include fibrosis from prior disease, age-related changes, or unlikely infectious/immune-mediated lower airway disease or other.
- There is no current evidence of pulmonary soft tissue nodules or intra-thoracic lymphadenomegaly.  </t>
  </si>
  <si>
    <t xml:space="preserve">Patient Name : Oliver Milano, Date of study: Jul 31, 2024
4 images are provided for review
There are no previous radiographs for comparison.  One image is underexposed and non-diagnostic.
Bones/Joints:
In situ intervertebral disc mineral is at C6-7.  
A dens is present.  There is no evidence of atlantoaxial joint subluxation.
There is no evidence of intervertebral disc space narrowing, or mineral over the intervertebral foramina.  There is no evidence of intervertebral dorsal articulation osteoarthrosis.
There is no evidence of medullary sclerosis, osteolysis, endosteal scalloping, or periosteal proliferation.
Soft tissues:  The included soft tissues are normal.
Limited thorax:  A possible pulmonary nodule is over the right cranial lung in the ventrodorsal image.
</t>
  </si>
  <si>
    <t>1. C6-7 in situ intervertebral disc mineral.
- This may result in cervical pain and reported signs, but this is not definitive.
2. Possible  right cranial lung lobe pulmonary nodule versus superimposed normal structures.</t>
  </si>
  <si>
    <t>Consider thoracic radiographs and routine blood work to screen for occult systemic disease.  Consider MRI of the neck and neurologist consultation for furthere valaution of reported clinical signs depending on results of thoracic imaging.  Consider orthopedist consultation for further evluation of the right thoracic limb, especially if cervical pain is ruled out as an etiology of reported signs.  Monitoring as directed or sooner if clinical signs acutely change, fail to improve or worsen.</t>
  </si>
  <si>
    <t xml:space="preserve">
1.Are respiratory signs present? If NO._x000D_
2.The cardiac silhouette size is normal._x000D_
3.There is no evidence of DYNAMIC AIRWAY COLLAPSE or BRONCHIECTASIS._x000D_
4.MODERATE INTERSITIAL TO ALVEOLAR PATTERN; MINIMAL PERIHILAR INFILTRATE._x000D_
5.Based on these AI airway/pulmonary findings, the probability of this patient having clinically detectable respiratory signs is MEDIUM (50%)_x000D_
6.Are respiratory signs present? If YES._x000D_
7.AI linked bacterial pneumonia treatment in dogs: https://platform.v2.vetology.net/doc/pneumonia-in-dogs-and-cats_x000D_
8.Pleural fissure lines or small volume pleural effusion has been detected. In a mildly to moderately overweight animal, excessive pericardial fat can artifactually mimic the result of mild pleural effusion.</t>
  </si>
  <si>
    <t>Thorax: There is a soft tissue mass within the cranial ventral thorax that wraps around the cranial aspect of the cardiac silhouette on the ventrodorsal view.  The cardiac silhouette and pulmonary vasculature appear unremarkable.  There is no evidence of pleural effusion.  The remainder of the thorax is unremarkable._x000D_
_x000D_
Abdomen: Patient appears thin.  The liver is small.  There are no abnormalities involving the visible portions of the gastrointestinal tract or urinary tract.  There are multiple regions of lumbar vertebral spondylosis deformans.</t>
  </si>
  <si>
    <t>Thoracic mass.  Due to its location, a mediastinal mass should be considered._x000D_
_x000D_
Mild microhepatica.</t>
  </si>
  <si>
    <t xml:space="preserve">
1.A moderate alveolar pattern has been detected._x000D_
2.MINIMAL INTERSITIAL PATTERN; OVERLYING CUTANEOUS NODULES or END-ON VESSELS._x000D_
3.Pleural fissure lines or small volume pleural effusion has been detected. In a mildly to moderately overweight animal, excessive pericardial fat can artifactually mimic the result of mild pleural effusion._x000D_
4.The cardiac silhouette size is normal._x000D_
5.There is no evidence of PERIHILAR INFILTRATE or DYNAMIC AIRWAY COLLAPSE or BRONCHIECTASIS._x000D_
6.Based on these AI airway/pulmonary findings, the probability of this patient having clinically detectable respiratory signs due to lower airway disease is UNLIKELY (&lt;25%) with the exception of acute tracheobronchitis or PTE._x000D_
7.A minimal interstitial pattern has been detected._x000D_
8.There is detection of a few small soft tissue opacities overlying the lungs.</t>
  </si>
  <si>
    <t>Opposite lateral and VD thorax views are provided._x000D_
_x000D_
A moderate bronchointerstitial pattern is identified involving the caudal half of the left cranial lung lobe in the VD view. This cannot be corroborated in the right lateral view, which would be expected to manifest similar changes. However, in the right lateral view there is increased soft tissue opacity superimposed over the ventral aspect of the heart, associate with small linear lucencies suspected to represent smaller bronchograms in the ventral aspect of the lobe. The other lung fields are unremarkable. No cardiovascular abnormalities are identified._x000D_
There is wispy soft tissue opacity associate with the subcutaneous fat in the right caudal thoracic region in the VD view likely representing cellulitis associated with the reported draining tract.</t>
  </si>
  <si>
    <t>There is suspicion of ventral alveolar infiltrates in the caudal subsegment of the left cranial lung lobe. The appearance in the lateral view in the VD view does not correlate well, so artifactual causes cannot be excluded, especially considering the normal CBC.</t>
  </si>
  <si>
    <t>There is concern for focal bronchopneumonia involving the caudal subsegment of the left cranial lobe. Aspiration of a radiolucent foreign body such as a grass awn would be a differential for this appearance._x000D_
CT would be ideal for more definitive evaluation.</t>
  </si>
  <si>
    <t>Eight radiographs of the thorax and abdomen are provided. The cardiac silhouette is normal size for this breed. There is a mild bronchial pattern throughout the lungs. There is a small area of suspect increased opacity overlying the caudal ventral lungs on the right lateral view. There is diffuse increased opacity cranial to the heart on the lateral projections, with poor visibility of the cranial heart waist on these views. No tracheal displacement on the lateral views. On the VD projection there is increased opacity throughout the left hemithorax, but no loss of left cardiac margin visibility. Widened cranial mediastinum. Rightward position of the thoracic trachea on the VD view is a normal variant. No pleural effusion. Normal tracheal diameter. The mainstem bronchi are transiently narrowed. Small volume fluid in the caudal esophagus is transient and incidental._x000D_
_x000D_
In the abdomen the liver is upper normal size. Normal size spleen. The kidneys are obscured. The gastrointestinal tract is moderately filled. No radiopaque urolithiasis. Small round soft tissue density ventral to L5-6 is end-on deep circumflex iliac vessel. The prostate is not definitively seen.</t>
  </si>
  <si>
    <t>1. Suspect mild aspiration pneumonia in the ventral left lungs versus atelectasis and pleural fat deposition._x000D_
2. Bronchial pattern, likely normal age-related change. Chronic airway inflammation such as allergic bronchitis could be contributing to this appearance but is unlikely in the absence of a chronic cough. The mainstem bronchial narrowing is also of uncertain significance in the absence of a cough._x000D_
3. Increased opacity throughout the left thorax and widened cranial mediastinum is most likely fat deposition, a common incidental finding in this breed. I cannot rule out the possibility of a cranial mediastinal mass, but is felt to be much less likely._x000D_
4. Normal abdomen.</t>
  </si>
  <si>
    <t>Current treatment is appropriate. If respiratory signs persist, recommend pharyngeal/laryngeal evaluation. If concern remains regarding a potential cranial mediastinal mass, ultrasound evaluation of the area would be recommended.</t>
  </si>
  <si>
    <t xml:space="preserve">
1.Pleural fissure lines or moderate to severe pleural effusion has been detected. An overlying skin fold or in an obese animal, excessive pericardial fat could artifactually mimic the result of severe pleural effusion._x000D_
2.Mild cardiomegaly has been detected but Heart Failure is NOT suspected._x000D_
3.A moderate to severe interstitial to alveolar infiltrate with a mild perihilar infiltrate has been identified._x000D_
4.A mild perihilar infiltrate has been identified.</t>
  </si>
  <si>
    <t>Study:_x000D_
Thoracic radiography: three images dated July 31, 2024_x000D_
_x000D_
Findings:_x000D_
The cardiac silhouette is normal in size and shape. The pulmonary vasculature is normal in size. There is a mild alveolar pattern in the ventral aspect of the right middle lung lobe. The right cranial lobar bronchus and does not taper is approaches the periphery of the lung lobe. A thin pleural fissure line is seen between the segments of the left cranial lung lobe on the VD view. There is moderate widening the cranial mediastinum with dorsal deviation of the trachea the heart base, more pronounced of the right lateral projection. The tracheal diameter is normal. There is no lobar bronchi narrowing. Granular soft tissue material, presumed to be ingesta is present in the small intestines. There is narrowing of the T6-T7 and T7-T8 intervertebral disc spaces with mild spondylosis deformans. Moderate periarticular bone formation is present at the caudodistal aspect of the humeral head and infraglenoid tubercle of the scapula bilaterally. There is mild bilateral elbow periarticular bone formation.</t>
  </si>
  <si>
    <t>1. The alveolar pattern in the ventral aspect of the right cranial lung lobe is concerning for pneumonia. Repeat radiography in 10 to 14 days should be considered to monitor for response antibiotic therapy._x000D_
2. Right cranial lobar bronchiectasis._x000D_
3. The widening of the cranial mediastinum and dorsal deviation of the trachea at the heart base is concerning for a heart base mass (e.g. chemodectoma given patient signalment) would also could be a normal variant secondary to breed associated fat deposition/confirmation. Echocardiography can be considered for further evaluation._x000D_
4. Moderate bilateral shoulder and mild bilateral elbow osteoarthrosis.</t>
  </si>
  <si>
    <t xml:space="preserve">
1.Are respiratory signs present? If YES._x000D_
2.Are respiratory signs present? If NO._x000D_
3.AI linked bacterial pneumonia treatment in dogs: https://platform.v2.vetology.net/doc/pneumonia-in-dogs-and-cats_x000D_
4.Are respiratory signs present? If NO._x000D_
5.Based on the AI airway/pulmonary findings, the probability of this patient having clinically detectable respiratorysigns is MEDIUM to HIGH (50-75%)_x000D_
6.Based on these AI airway/pulmonary findings, the probability of this patient having clinically detectable respiratory signs is HIGH (75%)_x000D_
7.Are respiratory signs present? If YES._x000D_
8.MODERATE INTERSTITIAL TO ALVEOLAR INFILTRATE; CONCURRENT MODERATE BRONCHIAL PATTERN; MILD PERIHILAR INFILTRATE._x000D_
9.MODERATE BRONCHOINTERSTITIAL PULMONARY PATTERN; ALVEOLAR INFILTRATE or ATELECTASIS; DYNAMIC AIRWAY DISEASE._x000D_
10.Mild cardiomegaly has been detected but Heart Failure is NOT suspected.</t>
  </si>
  <si>
    <t>Opposite lateral and ventrodorsal thoracic radiographs (3 images) dated July 31, 2024._x000D_
_x000D_
_x000D_
The cardiac silhouette, pulmonary vasculature, and great vessels are within normal limits. The pulmonary parenchyma is unremarkable with no nodules, infiltrates, or other pathology detected. There is mild bronchial wall mineralization=ZZ90= this is typically considered an incidental finding in older dogs and those with endocrine disorders. The pleural space and diaphragm are normal. No mediastinal abnormalities are appreciated. The trachea is normal in diameter and course with gas filling its lumen. No intrathoracic lymphadenopathy is evident._x000D_
The liver, visible portions of the spleen and kidneys, mildly gas-filled stomach, included bowel segments, and cranial peritoneal detail are normal._x000D_
No aggressive or clinically significant osseous pathology is identified.</t>
  </si>
  <si>
    <t>Normal thorax. Rule out upper airway causes for the crackles vs. mild bronchitis insensitive to radiographic detection vs. dynamic lower airway collapse not captured in this study.</t>
  </si>
  <si>
    <t>NA=ZZ90= if respiratory clinical signs persist, sedated upper airway exam, fluoroscopic airway study or tracheoscopy, and lower airway sampling could be considered.</t>
  </si>
  <si>
    <t xml:space="preserve">
1.The cardiac silhouette size is normal._x000D_
2.There is no evidence of ALVEOLAR PATTERN, DYNAMIC AIRWAY COLLAPSE or BRONCHIECTASIS or PLEURAL EFFUSION._x000D_
3.A mild bronchial pattern and minimal perihilar infiltrate have been detected.</t>
  </si>
  <si>
    <t>Orthogonal views of the thorax and abdomen are provided:_x000D_
_x000D_
Thorax:_x000D_
_x000D_
Cardiac silhouette has a normal shape and size._x000D_
Pulmonary vessels are within normal limits of size and shape._x000D_
Pulmonary parenchyma shows an alveolar pulmonary pattern with air bronchograms ventrally located in the right cranial lung lobe but especially in the right middle lung lobe. No evidence of pulmonary nodules/masses.Pleural space, mediastinum, diaphragm and thoracic wall within normal limits._x000D_
_x000D_
Abdomen:_x000D_
_x000D_
The stomach is empty._x000D_
Small intestines are mildly gas and fluid filled, not overtly distended. No signs of mechanical ileus._x000D_
Unformed feces in the colon._x000D_
Serosal detail is preserved._x000D_
Liver and spleen are within normal limits of size and smoothly marginated._x000D_
Kidneys and urinary bladder WNL.</t>
  </si>
  <si>
    <t>1) Alveolar pulmonary pattern with air bronchograms ventrally located in the right cranial lung lobe but especially in the right middle lung lobe consistent with infectious pneumonia vs aspiration pneumonia._x000D_
2) Unremarkable abdomen.</t>
  </si>
  <si>
    <t xml:space="preserve">
1.SEVERE INTERSTITIAL TO ALVEOLAR PATTERN; SEVERE DYNAMIC AIRWAY DISEASE; MILD BRONCHIAL PATTERN._x000D_
2.MODERATE INTERSTITIAL TO ALVEOLAR INFILTRATE; MILD BRONCHIAL PATTERN; MILD PERIHILAR INFILTRATE._x000D_
3.Pleural fissure lines or moderate to severe pleural effusion has been detected. An overlying skin fold or in an obese animal, excessive pericardial fat could artifactually mimic the result of severe pleural effusion._x000D_
4.The cardiac silhouette size is normal._x000D_
5.Based on these AI airway/pulmonary findings, the probability of this patient having clinically detectable respiratory signs is VERY HIGH (&gt;75%)_x000D_
6.Based on the AI airway/pulmonary findings, the probability of this patient having clinically detectable respiratory signs is HIGH (75%)_x000D_
7.Are respiratory signs present? If YES._x000D_
8.Are respiratory signs present? If YES._x000D_
9.Are respiratory signs present? If NO._x000D_
10.Are respiratory signs present? If NO._x000D_
11.A mild perihilar infiltrate has been detected.</t>
  </si>
  <si>
    <t>Opposite lateral and ventrodorsal whole body radiographs (3 images) dated July 31, 2024._x000D_
_x000D_
_x000D_
_x000D_
The cardiac silhouette, pulmonary vasculature, and great vessels are within normal limits. The pulmonary parenchyma is hypoinflated, and this accounts for the mild generalized unstructured interstitial pattern. No pulmonary nodules, infiltrates, or other pathology is detected. The pleural space and diaphragm are normal. No mediastinal abnormalities are appreciated. The trachea is normal in diameter and course with gas filling its lumen=ZZ90= a thin horizontal soft-tissue band is superimposed with the dorsal 3rd of the caudal cervical trachea on the left lateral view, consistent with a superimposed esophagus or a redundant dorsal tracheal membrane. No intrathoracic lymphadenopathy is evident._x000D_
_x000D_
The liver is moderately enlarged. The urinary bladder is distended with a large amount of homogeneous fluid opacity. The spleen and both kidneys are unremarkable. The stomach contains a small amount of heterogeneous soft-tissue content. The small intestine is unremarkable in diameter and course and predominantly contains gas. The colon contains somewhat poorly formed stool mixed with gas and has a normal course. Retroperitoneal and peritoneal detail are normal. No regional lymphadenopathy is evident._x000D_
_x000D_
There is T11-T12 and L4-L5 disc space narrowing with spondylosis deformans. There is mild lumbosacral disc space narrowing.</t>
  </si>
  <si>
    <t>1. Unremarkable thorax. The cause for the coughing is not radiographically apparent. Rule out upper airway causes (ex: pharyngitis/laryngitis, postnasal drip from rhinitis, dynamic upper airway collapse, everted laryngeal saccules, less likely a mass) vs. dynamic lower airway collapse/chondromalacia not captured in this study vs. less likely tracheitis or mild bronchitis that is insensitive to radiographic detection._x000D_
2. Moderate hepatomegaly. Rule out a benign metabolic/vacuolar hepatopathy vs. less likely inflammatory and infiltrative neoplastic conditions._x000D_
3. T11-T12 and L4-L5 intervertebral disc disease.</t>
  </si>
  <si>
    <t>Sedated upper airway exam +/- fluoroscopic airway study. If normal:_x000D_
Airway sampling may be needed for definitive diagnosis (bronchoalveolar lavage or transtracheal wash).  Heartworm testing and fecal parasite screening (float and Baermann) +/- empirical deworming.  Empirical antibiotic or anti-inflammatory steroidal therapy is reasonable to consider.  Internal medicine consultation if the patient remains clinical despite treatment and the cause remains unknown._x000D_
Hepatic lab work and ultrasound to further assess the liver.</t>
  </si>
  <si>
    <t xml:space="preserve">
1.MILD BRONCHOINTERSTITIAL PULMONARY PATTERN; MILD PERIHILAR INFILTRATE; MILD DYNAMIC AIRWAY DISEASE; ATELECTASIS or less likely, pneumonia._x000D_
2.Based on the AI airway/pulmonary findings, the probability of this patient having clinically detectable respiratory signs is MEDIUM (50%)_x000D_
3.Are respiratory signs present? If YES._x000D_
4.Are respiratory signs present? If NO._x000D_
5.Minimal cardiomegaly has been detected but Heart Failure is NOT suspected.</t>
  </si>
  <si>
    <t>Six radiographs of the thorax/abdomen, and a dorsopalmar view of the distal thoracic limbs are provided. The cardiac silhouette is normal size with no chamber enlargement. Pulmonary vessels are normal size. Mild bronchial pattern is consistent with the patient=ZZ91=s age. Punctate increased opacity cranial to the heart on the lateral views is end-on pulmonary vessels. Small volume pleural fat deposition is seen on either side of the heart on the VD projection. There is no pleural effusion. Adequate tracheal diameter. There is a smoothly marginated round 1.7 cm soft tissue opaque mass encircling the 3rd phalanx of the left thoracic limb 2nd digit. Diffuse lysis of the associated ungual process. No osseous proliferation. No other osseous abnormalities in this digit or in the remaining manus. Minimal degenerative change in both elbows. In the abdomen there is moderate volume gas in the stomach. Small bowel are minimally filled. Gas in the cecum, with formed feces filling the colon. Normal-sized liver, spleen, kidneys. The urinary bladder is mildly filled and soft tissue opaque. Reduced size of the L2-3 intervertebral foramen, of doubtful significance today.</t>
  </si>
  <si>
    <t>1. Left thoracic limb distal 2nd digit mass with osseous lysis, most consistent with malignant neoplasia. An inflammatory process/paronychia is given much lesser consideration._x000D_
2. Normal thorax. There is no evidence of cardiovascular disease. A small valvular regurgitant jet can result in a relatively loud murmur._x000D_
3. Normal abdomen.</t>
  </si>
  <si>
    <t>Histopathology of the digital mass is recommended for a definitive diagnosis. There is no contraindication for general anesthesia based on this study.</t>
  </si>
  <si>
    <t>Three radiographs of the thorax, three views of the abdomen, and a lateral view of each stifle are provided. Images dated 1/13/2020 are available for comparison. The cardiac silhouette and pulmonary vessels are normal size and shape. There are no abnormalities in the pulmonary parenchyma. No pleural effusion. Normal tracheal diameter. Spondylosis deformans is of doubtful clinical significance._x000D_
_x000D_
In the abdomen the liver is mildly enlarged as before. Hepatic margins are smooth. Normal-sized spleen and left kidney. The right kidney is obscured. No radiopaque cystic calculi. The gastrointestinal tract is mildly filled. Normal lumbar spine. The coxofemoral joints are congruent. Pelvic limb musculature is symmetric. Both patellas are in normal position. Well delineated triangular increased opacity overlying the cranial aspect of both stifle joint is normal meniscal/synovial tissue. No popliteal lymphadenomegaly. The tarsi are unremarkable.</t>
  </si>
  <si>
    <t>Mild hepatomegaly as before. This is a nonspecific finding that may be due to steroid or other hepatopathy. Acute inflammation is also possible. Neoplasia is unlikely with the chronicity. Otherwise normal abdomen and thorax. Normal proximal pelvic limbs.</t>
  </si>
  <si>
    <t>If further evaluation of the liver is desired, abdominal ultrasound should be considered to evaluate the liver and adrenal glands.</t>
  </si>
  <si>
    <t>Three orthogonal thoracic radiographs dated 31st July 2024 are available for review. There are no previous radiographs available for comparison. _x000D_
_x000D_
Airway findings: The cervical and thoracic trachea have a normal size, outline and position. The carina, tracheal bifurcation and mainstem bronchi are normal. The thorax is mildly hypoinflated. Throughout the lung parenchyma there is a mild bronchointerstitial opacification._x000D_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No significant abnormalities are detected. _x000D_
_x000D_
Musculoskeletal findings: No significant abnormalities are detected._x000D_
_x000D_
Included abdomen: No significant abnormalities are detected.</t>
  </si>
  <si>
    <t>1. Mild bronchointerstitial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Part of the opacification can be attributed to hypoinflation._x000D_
2. Left atrial dilation. This is most likely due to mixoid degeneration of the mitral valve. There is no evidence for cardiac insufficiency.</t>
  </si>
  <si>
    <t>Radiography is insensitive for early cardiac insufficiency, therefore ECG, blood pressure measurements, and echocardiography may be considered for further evaluation, or baseline measurements._x000D_
Correlate with palpation testing for upper respiratory disease.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 Consider evaluation for airway collapse (fluoroscopy vs. right lateral inspiratory and expiratory radiographs vs. CT with virtual bronchoscopy).</t>
  </si>
  <si>
    <t xml:space="preserve">
1.The cardiac silhouette size is normal._x000D_
2.There is no evidence of BRONCHITIS, ALVEOLAR PATTERN, PULMONARY NODULES or PLEURAL EFFUSION._x000D_
3.A minimal perihilar infiltrate has been detected._x000D_
4.Minimal dynamic airway disease has been detected.</t>
  </si>
  <si>
    <t>A three view study of the thorax is provided for interpretation._x000D_
_x000D_
There is a mild bronchial pattern and mild bronchial mineralization. No pulmonary nodules or alveolar infiltrates are identified. The heart is within normal size and shape limits. There is mild dilation of vessels to the left caudal lobe and the right caudal lobe artery. No tracheal abnormalities are identified. The cranial abdomen is unremarkable.</t>
  </si>
  <si>
    <t>The appearance of the mild bronchial pattern and mild mineralization is more prominent than what would typically be expected considering the young age of the patient, but nonspecific as to cause. This could be secondary to the reported heartworm disease or other causes of chronic lower airway inflammation including allergic lung disease._x000D_
_x000D_
There are some very mild vascular changes to the caudal lobes. This also could be secondary to the reported heartworm but is subtle enough as to also be within the limits of benign variation or artifact.</t>
  </si>
  <si>
    <t>There are some mild changes suspected to be secondary to the heartworm disease, but overall these changes are fairly mild._x000D_
Adulticide therapy for the heart infection is recommended.</t>
  </si>
  <si>
    <t xml:space="preserve">
1.A moderate interstitial to alveolar pattern has been detected._x000D_
2.Pleural fissure lines or small volume pleural effusion has been detected. In a mildly overweight animal, excessive pericardial fat can artifactually mimic the result of minimal pleural effusion._x000D_
3.The evaluation has come up positive for a pulmonary nodular pattern._x000D_
4.The cardiac silhouette size is normal._x000D_
5.There is no evidence of BRONCHITIS, PERIHILAR INFILTRATE or DYNAMIC AIRWAY COLLAPSE or BRONCHIECTASIS.</t>
  </si>
  <si>
    <t>Five radiographs of the thorax/abdomen are provided. Images dated 6/6/23 and earlier are available for comparison. There is slight prominence of the left atrium. Cardiac to thoracic ratio and pulmonary vessel size remains normal. There are no abnormalities in the pulmonary parenchyma or pleural space. Small round soft tissue density overlying the left atrium on the last left lateral view is end-on pulmonary vessel. Adequate tracheal diameter. Incidental slight dorsal position of the cranial thoracic trachea. In the abdomen there is new development of a round 5.3 cm soft tissue opacity in the cranial left quadrant. The kidneys and liver are normal size. The splenic tail is normal size. The gastrointestinal tract is minimally filled and there is no radiopaque foreign material or urolithiasis. Punctate soft tissue density ventral to L5 is end-on deep circumflex iliac vessel.</t>
  </si>
  <si>
    <t>1. Craniodorsal left abdominal mass. Neoplasia such as hemangiosarcoma originating from the spleen is most likely. A pedunculated hepatic mass is given secondary consideration. No other abdominal abnormalities._x000D_
2. Prominent left atrium consistent with acquired mitral valve disease. This is of doubtful clinical significance today. Otherwise normal thorax.</t>
  </si>
  <si>
    <t>Abdominal ultrasound is recommended to determine origin of the mass, rule out additional lesions which may preclude surgical intervention, and evaluate the kidneys.</t>
  </si>
  <si>
    <t>A ventral dorsal and right lateral radiograph of the thorax are provided. Previous images are not identified for this patient. There is moderate left-sided cardiomegaly. Subsequent dorsal deviation of the thoracic trachea and mainstem bronchi. The mainstem bronchi are compressed. Mild rounded right heart. A large curved soft tissue opacity at 1:00 to 2 o=ZZ91=clock position of the heart on the VD projection. The cranial pulmonary vein is larger than the artery. Caudal pulmonary vessels are normal size. There is no loss of perihilar vessel visibility. No pleural effusion. Round soft tissue contour in the cranioventral abdomen is fluid in the pylorus.</t>
  </si>
  <si>
    <t>Moderate, predominantly left-sided cardiomegaly consistent with degenerative mitral and tricuspid valve disease. There is pulmonary venous congestion but no evidence of heart failure on this study. Main pulmonary arterial segment dilation is concerning for pulmonary hypertension. There is mainstem bronchial compression.</t>
  </si>
  <si>
    <t>Recommend repeat echocardiogram to help guide treatment, if one has not been performed recently.</t>
  </si>
  <si>
    <t xml:space="preserve">
1.PLEURAL FISSURE LINES, EXCESSIVE PERICARDIAL FAT or PLEURAL EFFUSION; MODERATE BRONCHOINTERSTITIAL PATTERN with a PERIHILAR COMPONENT; MILD DYNAMIC AIRWAY DISEASE._x000D_
2.Based on the AI airway/pulmonary findings, the probability of this patient having clinically detectable respiratory signs is MEDIUM (50%)_x000D_
3.Pleural fissure lines or moderate to severe pleural effusion has been detected._x000D_
4.Severe cardiomegaly has been detected but Heart Failure is NOT suspected._x000D_
5.Are respiratory signs present? If YES._x000D_
6.Are respiratory signs present? If NO.</t>
  </si>
  <si>
    <t>Three radiographs of the thorax/abdomen of an adult canine are provided. The cardiac silhouette is normal size and shape on the lateral views. A halo of fat encircles the heart and extends into the cranial mediastinum on the VD projection. Mild bronchial markings is likely normal age-related change. No pleural effusion, pulmonary nodules, or intrathoracic lymphadenomegaly is appreciated. Normal tracheal diameter. Increased opacity in the cranioventral thorax on the left lateral view is superimposed thoracic limb tissue. Curved increased opacity overlying the pharynx on the right lateral view is superimposed skinfold. In the abdomen there is no effusion. Normal-sized liver, spleen, kidneys. Formed feces of the distal colon. Punctate mineral density in the colon is incidental. The stomach and small bowel are unremarkable. No radiopaque cystic calculi. Osseous structures are unremarkable.</t>
  </si>
  <si>
    <t>Mild bronchial pattern is most likely normal age-related change. Airway inflammation due to allergic bronchitis or infectious airway disease is also possible. There is no evidence of cardiovascular disease or pneumonia. Dynamic tracheal collapse is not definitively ruled out, as it may not be visible on a static radiographic study. Otherwise normal thorax and abdomen.</t>
  </si>
  <si>
    <t>Recommend routine blood work to rule out a metabolic abnormality. This patient may benefit from symptomatic treatment for the cough, and utilization of a body harness in place of a neck lead.</t>
  </si>
  <si>
    <t xml:space="preserve">
1.A minimal bronchointerstitial pulmonary pattern has been detected._x000D_
2.The cardiac silhouette size is normal._x000D_
3.There is no evidence of DYNAMIC AIRWAY COLLAPSE or BRONCHIECTASIS or PULMONARY NODULES.</t>
  </si>
  <si>
    <t>Three radiographs of the cervicothoracic spine/thorax, and orthogonal views of the abdomen are provided. Cervical intervertebral disc spaces are uniform in size. No vertebral end plate lysis. In the thorax cardiovascular structures are normal size and shape. A mild bronchial pattern is consistent with the patient=ZZ91=s age. No pleural effusion. Adequate tracheal diameter._x000D_
_x000D_
In the abdomen there is no effusion. Small volume gas in the stomach. Normal rugal folds are visible. Small and large bowel are minimally filled. No radiopaque foreign material. Normal-sized spleen, liver, kidneys. Curved 5.6 cm soft tissue opacity between the gastric fundus and left kidney on the VD projection. Ovoid soft tissue density in the mid dorsal abdomen on the lateral view is likely the left kidney. There are several smoothly marginated ovoid mineral opaque calculi in the urinary bladder. These measure up to 3.2 cm. No definitive narrowed thoracolumbar intervertebral disc spaces.</t>
  </si>
  <si>
    <t>1. Cystic calculi, of a size that is too large to pass the urethra. This may be responsible for discomfort._x000D_
2. Round soft tissue contour in the cranial left quadrant is most likely normal splenic head. A mass lesion such as originating from the spleen is not definitively ruled out. No gastrointestinal abnormalities._x000D_
3. Normal spine and thorax. Intervertebral disc disease remains possible.</t>
  </si>
  <si>
    <t>Recommend urinalysis, diet modification in an effort to dissolve the calculi and prevent further formation, and abdominal ultrasound to rule out a mass lesion and evaluate the gastrointestinal tract.</t>
  </si>
  <si>
    <t xml:space="preserve">
1.SEVERE ALVEOLAR PATTERN; MILD, DIFFUSE BRONCHOINTERSTITIAL PULMONARY PATTERN; MILD DYNAMIC AIRWAY DISEASE._x000D_
2.Based on these AI airway/pulmonary findings, the probability of this patient having clinically detectable respiratory signs is VERY HIGH (&gt;75%)_x000D_
3.Are respiratory signs present? If YES._x000D_
4.Are respiratory signs present? If NO._x000D_
5.The evaluation has come up positive for a pulmonary nodular pattern._x000D_
6.The cardiac silhouette size is normal._x000D_
7.There is no evidence of PLEURAL EFFUSION.</t>
  </si>
  <si>
    <t>Thirteen radiographs are provided, with images of the thorax, abdomen, pelvis, stifles. There is slight prominence of the left atrium, seen as straightened caudal heart waist on the lateral views. The left atrium is questionably visible on the VD projection. Pulmonary vessels are normal size. There are no abnormalities in the pulmonary parenchyma. Punctate increased opacity overlying the ventral heart on the right lateral view is superimposed nipple. Fat deposition separates the ventral lungs from the sternum. No pleural effusion. Normal tracheal diameter. Fat opaque 13.4 cm lipomatous mass lateral to the caudal left ribs is incidental._x000D_
_x000D_
In the abdomen there is no effusion. Normal-sized liver, spleen, kidneys. The gastrointestinal tract is moderately filled. No radiopaque cystic calculi. Normal lumbar spine. The coxofemoral joints are congruent. Pelvic limb musculature is approximately symmetric. There is moderate volume fluid in the cranial aspect of both stifles joints. Mild enthesophyte formation on the femoral trochlear ridges, distal patella, proximal lateral tibias. Mottled appearance of the mid tibias on the lateral views is incidental synostosis with the adjacent fibula.</t>
  </si>
  <si>
    <t>1. Bilateral moderate stifle effusion most consistent with cranial cruciate ligament tear/rupture. This should be correlated with clinical signs and palpation. Normal coxofemoral joints._x000D_
2. Suspect prominent left atrium, concerning for dilated cardiomyopathy. In the absence of a murmur or arrhythmia, significance is doubtful. Otherwise normal thorax._x000D_
3. Normal abdomen.</t>
  </si>
  <si>
    <t>If the patient has a murmur or arrhythmia, an echocardiogram would be recommended.</t>
  </si>
  <si>
    <t xml:space="preserve">
1.The evaluation has a strong suspicion of pulmonary nodules or mass lesion being present._x000D_
2.The cardiac silhouette size is normal._x000D_
3.MODERATE INTERSTITIAL TO ALVEOLAR INFILTRATE; MILD PERIHILAR INFILTRATE; MINIMAL BRONCHIAL PATTERN._x000D_
4.Based on these AI airway/pulmonary findings,  the probability of this patient having clinically detectable respiratory signs is HIGH (75%)_x000D_
5.Are respiratory signs present?  If YES._x000D_
6.Are respiratory signs present? If NO._x000D_
7.Pleural fissure lines or moderate to severe pleural effusion has been detected. An overlying skin fold or in an obese animal, excessive pericardial fat could artifactually mimic the result of severe pleural effusion.</t>
  </si>
  <si>
    <t>6 views of the thorax and abdomen are submitted for review.  The liver is mildly enlarged with smooth serosal margins.  The spleen appears subjectively normal in size with possible mildly nodular serosal margins.  The renal silhouettes are normal in size and shape.  The urinary bladder is minimally distended.  A small to medium sized mineral opacity calculus is noted in the gravity-dependent portion of the urinary bladder.  The GI tract is unremarkable.  Ill-defined soft tissue opacity mass effect is noted in the sublumbar region.  Soft tissue nodular opacities are also noted in the inguinal region._x000D_
In the thorax, the cardiovascular structures are within normal limits.  No pulmonary parenchymal abnormalities are noted.  There is subjective widening of the cranial mediastinum on the VD view and increased soft tissue opacity in the cranioventral thorax on the lateral views.  No pleural effusion is seen.  The trachea is normal in diameter._x000D_
No significant osseous abnormalities are noted.</t>
  </si>
  <si>
    <t>Probable sublumbar lymphadenopathy and inguinal lymphadenopathy.  This could be consistent with multicentric round cell neoplasia as with lymphoma.  Disseminated inflammatory disease as with systemic mycosis cannot be definitively excluded.  Mild enlargement of the liver and spleen.  This could be consistent with round cell neoplasia such as lymphoma.  Vacuolar hepatopathy and nodular hyperplasia in the spleen could also be considered._x000D_
The appearance of the cranial mediastinal region is also suspicious for sternal or cranial mediastinal lymphadenopathy.</t>
  </si>
  <si>
    <t>Fine-needle aspiration of one of the enlarged lymph nodes is recommended for further evaluation.  An abdominal ultrasound and ultrasound of the cranial mediastinal region should also be considered.</t>
  </si>
  <si>
    <t>Three radiographs of the thorax are provided. The cardiac silhouette and pulmonary vessels are normal size and shape. There are no abnormalities in the pulmonary parenchyma. No pleural effusion or soft tissue pulmonary nodules. Normal tracheal diameter.</t>
  </si>
  <si>
    <t xml:space="preserve">
1.The cardiac silhouette size is normal._x000D_
2.There is no evidence of BRONCHITIS, ALVEOLAR PATTERN, PERIHILAR INFILTRATE, DYNAMIC AIRWAY COLLAPSE or BRONCHIECTASIS or PLEURAL EFFUSION._x000D_
3.A minimal interstitial pattern has been detected.</t>
  </si>
  <si>
    <t>Fourteen radiographs are provided, with images of the spine, thorax, pelvis, stifles. No narrowed cervical intervertebral disc spaces. Normal caudal skull and proximal thoracic limbs. In the thorax the cardiac silhouette and pulmonary vessels are normal size. The left ventricle appears prominent on the VD projection due to thoracic conformation and expiration. There are mild age-related changes in the lungs. No pleural effusion. Normal thoracic spine. The T13-L1 intervertebral foramen is slightly reduced in size, with questionable increased opacity. No other lumbar spinal abnormalities. In the abdomen the liver and spleen are normal size. Moderate volume gas in the stomach consistent with aerophagia. Small bowel are minimally filled. Formed feces in the distal colon. No radiopaque cystic calculi. The coxofemoral joints are congruent and without degenerative change. Pelvic limb musculature is adequate and symmetric. There is small volume fluid in the cranial and caudal aspect of both stifle joints. Minimal stifle degenerative change. No popliteal lymphadenomegaly. Mild degenerative change in the distal left tarsus, of doubtful significance.</t>
  </si>
  <si>
    <t>1. Bilateral mild stifle effusion suggestive of partial cranial cruciate ligament tear. This is the most likely cause for acute discomfort._x000D_
2. The appearance of T13-L1 is suggestive of a protruding/extruded intervertebral disc. This could be contributing to discomfort._x000D_
3. Normal coxofemoral joints, thorax, and abdomen.</t>
  </si>
  <si>
    <t>Recommend palpate for stifle instability and a neurologic examination. This patient may benefit from anti-inflammatories and strict rest. If lameness persists and there is palpable stifle instability, surgical stabilization of the stifle(s) would be recommended.</t>
  </si>
  <si>
    <t>Five radiographs of the thorax and abdomen are provided. There is moderate left-sided cardiomegaly and prominence of the right heart. Cranial pulmonary vessels are normal size. There is a moderate interstitial pattern in the left perihilar region. Small area of suspected increased opacity overlying the mid ventral heart on the left lateral view. No pleural effusion. Adequate tracheal diameter. Narrowed mainstem bronchi. In the abdomen there is no peritoneal effusion. Moderate volume gas in the stomach consistent with aerophagia. No organomegaly. Small and large bowel are minimally filled. The urinary bladder is not definitively visible. Narrowed T11-12, T12-13 intervertebral disc spaces, of doubtful clinical significance today.</t>
  </si>
  <si>
    <t>1. Mild to moderate generalized cardiomegaly consistent with acquired mitral and tricuspid valve disease. Moderate interstitial pattern in the left perihilar region is most likely pulmonary edema indicating left-sided heart failure. Mainstem bronchial compression. There is also suspect aspiration pneumonia in the right middle lung lobe._x000D_
2. Normal abdomen.</t>
  </si>
  <si>
    <t>Recommend continue diuretics, with addition of empiric antibiotics for suspected focal aspiration pneumonia.</t>
  </si>
  <si>
    <t xml:space="preserve">
1.MODERATE BRONCHOINTERSTITIAL PULMONARY PATTERN; MODERATE ALVEOLAR INFILTRATE or ATELECTASIA; PLEURAL FISSURE LINES or PLEURAL EFFUSION; MILD DYNAMIC AIRWAY DISEASE._x000D_
2.Moderate cardiomegaly has been detected but Heart Failure is NOT suspected._x000D_
3.Based on these AI airway/pulmonary findings, the probability of this patient having clinically detectable respiratory signs is MEDIUM to HIGH (50%-75%)_x000D_
4.Are respiratory signs present? If NO._x000D_
5.Pleural fissure lines or moderate to severe pleural effusion has been detected._x000D_
6.Are respiratory signs present? If YES._x000D_
7.Bacterial pneumonia treatment in dogs: https://platform.v2.vetology.net/doc/pneumonia-in-dogs-and-cats</t>
  </si>
  <si>
    <t xml:space="preserve">Patient Name : Daisy Pagadala, Date of study: Jul 31, 2024
6 images are provided for review
There are no previous radiographs for comparison. Cranial abdomen is excluded from abdominal images.  Overexposure limits evaluation.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caudoventral margin of the liver is suspected to be in the mid-ventral abdomen, caudal to the last ribs which are excluded in the lateral images.
Spleen: The identified spleen is normal in size with smooth margins and homogeneous soft tissue.
Kidneys: The kidneys are partially excluded, but no obvious enlargement or mineral is identified.  
Retroperitoneum: Retroperitoneal detail is adequate.
Urogenital: The urinary bladder is normal in size, homogeneous soft tissue, and smoothly marginated.
Peritoneum: Peritoneal detail is adequate.
Gastrointestinal tract: The stomach is excluded.   
The  included small intestine contains mild gas and fluid or is empty with a subjectively uniform population for size. 
The colon moderate heterogeneous admixed  soft tissue material and gas.  The colon is within normal limits for size.  
Musculoskeletal: Minimal bilateral shoulder osteoarthrosis is suspected with slight osteophyte production at the caudodistal humeral heads.  The remaining included musculoskeletal structures are normal.
</t>
  </si>
  <si>
    <t xml:space="preserve">1. Minimal-mild diffuse bronchial pulmonary pattern such as from fibrosis from prior disease, age-related changes, infectious/immune-mediated lower airway disease, inhaled allergen/irritant, or unlikely other.
2. Suspected hepatomegaly such as from vacuolar hepatopathy, nodular hyperplasia, or other.
3. Suspected bilateral shoulder osteoarthrosis.  </t>
  </si>
  <si>
    <t>Consider adrenal gland function testing and abdominal computed tomography or ultrasonography for further evaluation of the liver/adrenal glands.  Empirical therapy and supportive care in the interim as needed.  Monitoring as directed or sooner if clinical signs acutely change, fail to improve or worsen.</t>
  </si>
  <si>
    <t>Three radiographs of the thorax/abdomen are provided. The heart and pulmonary vessels are normal size and shape. Moderate narrowed caudal cervical trachea, of doubtful clinical significance today. Fat deposition encircles the heart and extends into the cranial mediastinum. There are no abnormalities in the pulmonary parenchyma or pleural space. There is ventral spondylosis deformans at C4-5. Intervertebral disc space size evaluation is limited by positioning. There is no endplate lysis. No thoracic spinal abnormalities. In the abdomen the liver is upper normal size with smooth margins. Normal-sized spleen and kidneys. No radiopaque urolithiasis. The gastrointestinal tract is mildly filled. Normal lumbar spine.</t>
  </si>
  <si>
    <t>Degenerative change at C4-5. No other definitive cervical spinal abnormalities are appreciated. With the discomfort, intervertebral disc disease is the top differential. Soft tissue sprain/strain is also possible. Otherwise normal thorax and abdomen.</t>
  </si>
  <si>
    <t>If pain can be medically managed and there are no neurologic deficits, this patient may benefit from strict rest and anti-inflammatories. Otherwise, consultation with a neurologist and advanced spinal imaging with CT/MRI would be recommended.</t>
  </si>
  <si>
    <t>Orthogonal views of the abdomen are provided:_x000D_
_x000D_
Abdomen:_x000D_
_x000D_
The stomach is empty._x000D_
Small intestines are mildly gas and fluid filled, not overtly distended. No signs of mechanical ileus._x000D_
Entire colon and cecum homogeneously gas distended._x000D_
Serosal detail is preserved._x000D_
Liver extends beyond the costal arch with sharp margins._x000D_
Spleen is within normal limits of size and smoothly marginated._x000D_
Kidneys and urinary bladder WNL._x000D_
_x000D_
Unremarkable visible thorax, spine and pelvis.</t>
  </si>
  <si>
    <t>Consider abdominal US to further evaluate causes of diarrhea and the liver with +/- US guided FNAs of the hepatic parenchyma.</t>
  </si>
  <si>
    <t xml:space="preserve">
1.The evaluation has come up positive for a pulmonary nodular pattern._x000D_
2.There is no evidence of BRONCHITIS, ALVEOLAR PATTERN, PERIHILAR INFILTRATE or PLEURAL EFFUSION._x000D_
3.Severe dynamic airway disease has been detected._x000D_
4.Mild cardiomegaly has been detected but Heart Failure is NOT suspected.</t>
  </si>
  <si>
    <t xml:space="preserve">Patient Name : Coco Camacho, Date of study: Jul 31, 2024
4 images are provided for review
There are no previous radiographs for comparison.  Cranial thorax is excluded in the ventrodorsal image.
Pulmonary parenchyma:  Throughout the lungs are numerous, well-defined and ill-defined, small and variably sized soft tissue nodules.  The largest of these is in the right middle and caudal lung lobes.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A large ovoid soft tissue mass arises from the dorsal extra-thoracic soft tissues from the level of at least T2-3 through T10-11.  The remaining included musculoskeletal structures are normal.
</t>
  </si>
  <si>
    <t xml:space="preserve">1. Numerous soft tissue pulmonary nodules.
- Differential diagnoses include metastatic neoplasia such as from the extra-thoracic mass, or another primary malignancy, or unlikely other such as granulomatous/fungal pneumonia (blastomycosis spp., coccidiomycosis spp., etc.),
2. Mild diffuse bronchial pattern such as from fibrosis from prior disease, age-related changes, or unlikely infectious/immune-mediated lower airway disease, or other.
3. Dorsal extra-thoracic soft tissue mass is consistent with reported history.
- This is suspicious for a malignancy such as a soft tissue sarcoma versus other.  </t>
  </si>
  <si>
    <t>Consider computed tomography of the thorax and abdomen for further evaluation.  Routine blood work if not recently performed.  Tissue sampling of the extra-thoracic mass  may be necessary for a definitive diagnosis.  Oncologist consultation depending on results.  Empirical therapy and supportive care in the interim as needed.  Monitoring with routine blood work, thoracic imaging, and abdominal imaging as directed, or sooner if clinical signs acutely change, fail to improve or worsen.</t>
  </si>
  <si>
    <t xml:space="preserve">
1.PULMONARY NODULAR PATTERN; MINIMAL BRONCHOINTERSTITIAL PULMONARY PATTERN._x000D_
2.The evaluation has come up positive for a pulmonary nodular pattern._x000D_
3.Based on these AI airway/pulmonary findings, the probability of this patient having clinically detectable respiratory signs is MEDIUM (50%)_x000D_
4.Are respiratory signs present. If YES._x000D_
5.Are respiratory signs present. If NO._x000D_
6.The cardiac silhouette size is normal._x000D_
7.There is no evidence of PERIHILAR INFILTRATE or DYNAMIC AIRWAY COLLAPSE or BRONCHIECTASIS.</t>
  </si>
  <si>
    <t xml:space="preserve">Patient Name : Boo Laporte, Date of study: Jul 31, 2024
10 images are provided for review
There are no previous radiographs for comparison.  Overexposure and grid or other artifact in the ventrodorsal images limits evaluation.  
Pulmonary parenchyma:  A minimal interstitial pattern is present, and the lungs are hypoinflated.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soft tissue band superimposes over the cervical and thoracic tracheal segments.  
Esophagus: The esophagus is not well-identified.
Pleural space: The pleural space is normal.
Musculoskeletal: Ovoid soft tissue enlargement is lateral to the right scapula in the ventrodorsal images.  The remaining included musculoskeletal structures are normal.
</t>
  </si>
  <si>
    <t xml:space="preserve">1. Mild diffuse bronchial and interstitial pulmonary patterns.
- Differential diagnoses include infectious/immune-mediated lower airway disease such as from mycoplasma spp., bordetella spp., parasitism, or inhaled allergen/irritant,, fibrosis from prior disease, age-related changes,  or unlikely other.
- This is exacerbated by pulmonary hypoinflation.
2. Suspected redundant dorsal tracheal membrane with/without underlying dynamic airway disease, versus superimposed normal structures.
3. Right-sided soft tissue enlargement such as from evolving mass (malignant versus benign) or unlikely artifact from positioning/technique.  </t>
  </si>
  <si>
    <t>Consider airway sampling and fecal analysis/deworming for further evaluation.  Computed tomography of the thorax for further evaluation of the lungs and extra-thoracic soft tissues if clinically indicated.  Routine blood work if not recently performed.  Empirical therapy and supportive care in the interim as needed for coughing.  Monitoring as directed, or sooner if clinical signs acutely change, fail to improve or worsen.</t>
  </si>
  <si>
    <t>Orthogonal views of the entire spine are provided:_x000D_
_x000D_
C2 shows a lack of a dens, with a secondary craniodorsal displacement relative to the floor of C1 and with an increased distance between the spinous process of C2 and the lamina of C1, leading to a severe dorsal displacement and compression of the spinal cord._x000D_
C2-C3 IVDS is collapsed/fused._x000D_
No other extradural lesions such as disc herniations, vertebral fractures or  signs of aggressive bone lesions are noted. _x000D_
There are signs of chronic IVDD in the caudal lumbar spine with narrowing of the IVDS._x000D_
Unremarkable pelvis._x000D_
Bilateral periarticular osteophytosis in the stifles with mild MPL in the right stifle.</t>
  </si>
  <si>
    <t>1) C1-C2: Extradural severely compressive lesion consistent with atlanto-axial subluxation due to absence of the dens of C2._x000D_
2) Bilateral periarticular osteophytosis in the stifles with mild MPL in the right stifle.</t>
  </si>
  <si>
    <t>Evaluate therapeutical options for the described AA instability.</t>
  </si>
  <si>
    <t xml:space="preserve">
1.PULMONARY NODULES or NODULAR PATTERN; PLEURAL EFFUSION; MODERATE INTERSTITIAL TO ALVEOLAR PATTERN._x000D_
2.Based on these AI airway/pulmonary findings, the probability of this patient having clinically detectable respiratory signs is HIGH (75%)_x000D_
3.This evaluation has a strong suspicion of soft tissue pulmonary nodules or mass lesion being present._x000D_
4.Are respiratory signs present? If YES._x000D_
5.Are respiratory signs present? If NO._x000D_
6.The cardiac silhouette size is normal._x000D_
7.There is no evidence of DYNAMIC AIRWAY COLLAPSE or BRONCHIECTASIS.</t>
  </si>
  <si>
    <t>Study:_x000D_
Thoracic/abdominal radiography: three images dated July 30, 2024_x000D_
The DV projection of the skull is also present in the study._x000D_
_x000D_
Findings:_x000D_
Motion artifact is present in the thoracic/abdominal images limiting evaluation. The cardiac silhouette and pulmonary vasculature are normal in size. The pulmonary parenchyma is unremarkable. The pleural space is normal. There is no intrathoracic lymphadenopathy. The trachea has an undulating course and appears narrowed in the cranial thorax.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There is moderate to severe bilateral elbow periarticular bone formation. Mild periarticular bone formation is present at the apex of each patella. The spine is unremarkable with no intervertebral disc space or foraminal narrowing. Evaluation of the skull is limited by the lack of lateral projections. Evaluation of the nasal passages is limited by superimposition of the mandibles. There is no gross evidence of aggressive nasal disease or space-occupying lesions on the limited assessment of the skull._x000D_
_x000D_
A human digit is present in the primary beam on the VD view of the thorax.</t>
  </si>
  <si>
    <t>1. The spine is unremarkable. The lack of any apparent intervertebral disc space narrowing does not exclude the possibility of intervertebral disc disease. Neurology consultation and MRI can be considered for further evaluation of the reported caudal thoracic pain persists or worsens in spite of strict activity restriction and pain management._x000D_
2. Unremarkable incomplete skull study. A cause of the reported nasal congestion is not evident. Consider infectious respiratory disease PCR testing, computed tomography of the head and rhinoscopy for further evaluation._x000D_
3. Normal thorax. There is no radiographic evidence of cardiopulmonary disease._x000D_
4. Postprandial stomach=ZZ90= otherwise, unremarkable abdomen._x000D_
5. Moderate to severe bilateral elbow osteoarthrosis._x000D_
6. Mild bilateral stifle osteoarthrosis.</t>
  </si>
  <si>
    <t xml:space="preserve">
1.The evaluation has a strong suspicion of soft tissue pulmonary nodules being present._x000D_
2.PULMONARY NODULES or NODULAR PATTERN; MILD to MODERATE BRONCHOINTERSTITIAL PATTERN with an ALVEOLAR COMPONENT; MILD PERIHILAR INFILTRATE._x000D_
3.Based on the AI airway/pulmonary findings, the probability of this patient having soft tissue pulmonary nodules and clinically detectable respiratory signs is MEDIUM to HIGH (50-75%)_x000D_
4.Are respiratory signs present? If YES._x000D_
5.Mild cardiomegaly has been detected but Heart Failure is NOT suspected._x000D_
6.Are respiratory signs present? If NO._x000D_
7.MODERATE BRONCHOINTERSTITIAL PULMONARY PATTERN; MILD PERIHILAR INFILTRATE; MILD DYNAMIC AIRWAY DISEASE; ATELECTASIS or less likely, pneumonia._x000D_
8.Based on the AI airway/pulmonary findings, the probability of this patient having clinically detectable respiratory signs is MEDIUM to HIGH (50%-75%)_x000D_
9.Are respiratory signs present? If YES._x000D_
10.Are respiratory signs present? If NO.</t>
  </si>
  <si>
    <t>WHOLE-BODY (6 total radiographs for review). _x000D_
_x000D_
- Peritoneal serosal detail is normal._x000D_
- The stomach is moderately distended with gas-stippled soft-tissue opaque material. In the pyloric antrum, the material is more irregular, having a heterogeneous appearance._x000D_
- The small intestine contains mild multifocal gas and soft-tissue opaque material. A few small intestinal segments have the impression of mildly thickened walls. _x000D_
- The colon has a rigid appearance and contains gas, soft-tissue/fluid and minimal formed fecal material._x000D_
- The liver, spleen, region of the kidneys and urinary bladder are normal._x000D_
- There is a soft tissue opaque band dorsally overlying the trachea in the region of the thoracic inlet._x000D_
- Very mild straightening of the caudal cardiac margin and dorsal displacement of the caudal aspect of the thoracic trachea supporting mild left-sided cardiomegaly._x000D_
- The pulmonary vasculature is normal._x000D_
- The pulmonary parenchyma is normal_x000D_
- The trachea, esophagus and remainder of the mediastinum are normal._x000D_
- The pleural space and remaining intrathoracic structures are normal._x000D_
- Mild multifocal vertebral spondylosis deformans.</t>
  </si>
  <si>
    <t>1.  Moderate nonspecific gastric material. The material in the pyloric antrum is irregular in appearance and suspicious for foreign material, however in total the gastric contents likely represent a combination of undigested food and/or foreign material.  Correlate to results of recent feeding/meal and/or vomiting, if present (not reported).  If clinically indicated, you may consider fasting the patient and rechecking the radiographs in 12-24 hours to reevaluate the material in the stomach.  Obvious extension into the small intestinal tract is not appreciated (but is not completely excluded), however sonographic assessment of the area may provide further clarification, as well as to simultaneously evaluate the remainder of the gastrointestinal tract._x000D_
_x000D_
2. The appearance of the small intestine and colon can be compatible with a non-specific generalized functional ileus (e.g. enterocolitis).  The changes could be secondary to pancreatitis, however no overt pancreatic enlargement is appreciated. There is no evidence of small intestinal foreign material or mechanical obstruction. If clinically indicated (such as if the patient does not improve or worsens despite medical management), abdominal ultrasonography might be considered._x000D_
_x000D_
3.  The appearance of the trachea can be compatible with tracheal collapse secondary to chondromalacia._x000D_
_x000D_
4.  Subtle/questionable left-sided cardiomegaly may be artifactual such as from a prominent patient variant, the cardiac cycle or dexmedetomidine administration if used for sedation.  Degenerative mitral valve disease is not excluded and if a cardiac murmur is present, echocardiogram and cardiologist consultation may be considered.</t>
  </si>
  <si>
    <t xml:space="preserve">
1.Are respiratory signs present? If YES._x000D_
2.Are respiratory signs present? If NO._x000D_
3.There is no evidence of PERIHILAR INFILTRATE or PLEURAL EFFUSION._x000D_
4.Moderate cardiomegaly has been detected but Heart Failure is NOT suspected._x000D_
5.MILD BRONCHOINTERSTITIAL PULMONARY PATTERN; MILD DYNAMIC AIRWAY DISEASE._x000D_
6.Based on these AI airway/pulmonary findings, the probability of this patient having clinically detectable respiratory signs is LOW to MEDIUM (25-50%)</t>
  </si>
  <si>
    <t>ABDOMEN, barium contrast gastrointestinal contrast study (14 radiographs for review).  A previous examination is available for comparison from 09/14/2023._x000D_
_x000D_
SURVEY RADIOGRAPHS:_x000D_
- The thorax is unremarkable._x000D_
- Peritoneal serosal detail is normal._x000D_
- The stomach contains mild gas and gas stippled soft tissue opaque material, as well as a few small mineral opaque fragments._x000D_
- The small intestine is nondistended and contains mild multifocal gas and soft tissue opaque material._x000D_
- The colon contains formed fecal material and gas. _x000D_
- The liver is mildly small, resulting in cranial transposition of the gastric axis._x000D_
- The spleen, region of the kidneys are normal.  _x000D_
- The urinary bladder is of limited assessment._x000D_
- No musculoskeletal abnormalities are noted._x000D_
_x000D_
CONTRAST STUDY:_x000D_
- The stomach smoothly fills with an adequate volume of positive contrast medium. Multiple gastric rugal folds are mildly prominent. No gastric filling defects or obvious mucosal alterations are noted.  Pyloric outflow is within adequate timing._x000D_
- The small intestinal filling is homogenous/uniform, without distinct ulceration or obstruction noted. There are a few small intestinal segments with mildly undulant mucosal margination, however no obvious dilation is observed._x000D_
- Near the completion of the study, there is an accumulation of positive contrast medium in the cecum, ascending and transverse colon.  At this time point there is a mild residual volume of positive contrast medium in the stomach and minimal multifocally throughout the small intestine.</t>
  </si>
  <si>
    <t>1.  Overall, a clear cause for the reported chronic intermittent regurgitation is not distinctly identified.  The gastric rugal folds are prominent and there is mild multifocal corrugation of multiple small intestinal segments, which may indicate nonspecific inflammation such as gastroenteritis (or infiltrative bowel disease such as IBD), however the changes are relatively mild and may not be the primary cause of regurgitation.  There is no evidence of obstruction, intestinal mass and/or ulceration appreciated.  _x000D_
_x000D_
If not already performed, after waiting an appropriate time period for evacuation of the barium from the GI tract, consider abdominal ultrasonography for further assessment.  Internal medicine consultation may be indicated in this patient given the reported history and equivocal radiographic findings._x000D_
_x000D_
2.  Impression of a mildly small liver may be due to a normal patient variant however could also indicate chronic hepatic disease such as portosystemic shunt, chronic hepatitis and/or hepatic fibrosis/cirrhosis._x000D_
_x000D_
3. Normal thorax.</t>
  </si>
  <si>
    <t>Study:_x000D_
Thoracic radiography: three images dated July 30, 2024_x000D_
_x000D_
Findings:_x000D_
There is severe left ventricular and left atrial enlargement. The pulmonary vasculature is normal in size. The pulmonary parenchyma is unremarkable. The pleural space is normal. There is no intrathoracic lymphadenopathy. The cervical trachea lumen appears narrowed on the left lateral view. The included abdomen is unremarkable. No skeletal abnormalities are present.</t>
  </si>
  <si>
    <t>1. Severe left-sided cardiomegaly, indicative of mitral valve disease, without evidence of decompensation. Echocardiography should be considered for further evaluation._x000D_
2. Suspect tracheomalacia and dynamic airway disease/tracheal collapse. It is also possible that this perceived narrowing of the trachea lumen on the left lateral projection could be artifact created by superimposition of a redundant dorsal tracheal membrane, the esophagus or hypaxial musculature. Fluoroscopy can be considered for further evaluation.</t>
  </si>
  <si>
    <t xml:space="preserve">
1.MINIMAL TO MILD BRONCHOINTERSTITIAL PULMONRAY PATTERN; MILD PERIHILAR PATTERN._x000D_
2.MODERATE DYNAMIC AIRWAY DISEASE; MILD BRONCHIAL PATTERN._x000D_
3.Based on these AI airway/pulmonary findings, the probability of this patient having clinically detectable respiratory signs is MEDIUM (50%)_x000D_
4.Based on the AI airway/pulmonary findings, the probability of this patient having clinically detectable respiratory signs is LOW (25%)_x000D_
5.Are respiratory signs present? If YES._x000D_
6.Are respiratory signs present? If NO._x000D_
7.Are respiratory signs present? If YES._x000D_
8.Severe cardiomegaly has been detected but Heart Failure is NOT suspected._x000D_
9.Are respiratory signs present? If NO.</t>
  </si>
  <si>
    <t>Abdomen: On the ventrodorsal view there are small lucencies (most prominent along the left side of the abdominal wall) that appear to be gas bubbles within the peritoneum.  Also on the ventrodorsal view there appears to be bunching of small intestines with a fragmented gas pattern and somewhat plicated appearance within the right middle abdomen.  There is decreased serosal detail within this region.  The liver and spleen are unremarkable.  There are no abnormalities involving the visible portions of the urinary tract._x000D_
_x000D_
Thorax: There is a soft tissue opacity located dorsal to the second sternebra.  There is pectus excavatum.  The cardiac silhouette is displaced to the right most likely secondary to pectus excavatum.  There are no abnormalities involving the pulmonary vasculature or pulmonary parenchyma.  There is no evidence of pleural effusion.</t>
  </si>
  <si>
    <t>Small lucencies within the abdomen is highly suspicious for a abdomen._x000D_
_x000D_
Possible plicated fragmented segments of jejunum._x000D_
_x000D_
Suboptimal serosal detail within the right mid abdomen which may represent mild local effusion._x000D_
_x000D_
Suspect sternal lymphadenopathy.</t>
  </si>
  <si>
    <t>Thorax: There is a mild interstitial pattern.  The cardiac silhouette and pulmonary vasculature are unremarkable.  There is no evidence of collapse of the trachea or mainstem bronchi.  There is no evidence of pleural effusion or lymphadenopathy.</t>
  </si>
  <si>
    <t>Mild interstitial pattern which may be incidental or secondary to mild inflammation/infection.</t>
  </si>
  <si>
    <t xml:space="preserve">
1.MODERATE INTERSITIAL TO ALVEOLAR PATTERN; MINIMAL PERIHILAR INFILTRATE._x000D_
2.Based on these AI airway/pulmonary findings, the probability of this patient having clinically detectable respiratory signs is MEDIUM (50%)._x000D_
3.AI linked bacterial pneumonia treatment in dogs: https://platform.v2.vetology.net/doc/pneumonia-in-dogs-and-cats_x000D_
4.Are respiratory signs present? If NO._x000D_
5.The cardiac silhouette size is normal._x000D_
6.There is no evidence of DYNAMIC AIRWAY COLLAPSE or BRONCHIECTASIS._x000D_
7.Are respiratory signs present? If YES.</t>
  </si>
  <si>
    <t>Study:_x000D_
Thoracic/abdominal radiography: three images dated July 30, 2024_x000D_
_x000D_
Findings:_x000D_
There is mild left ventricular and left atrial enlargement. The pulmonary vasculature is normal in size. The pulmonary parenchyma is unremarkable. The pleural space is normal. There is no intrathoracic lymphadenopathy. The patient has a redundant dorsal tracheal membrane. There is mild narrowing of the trachea lumen at the thoracic inlet. The abdominal serosal detail is adequate. The stomach contains a small volume of gas. The small intestines are normal in size, course and content. The colon contains formed fecal material with a normal diameter. The liver extends mildly beyond the costal arch with smooth margins. There multiple indistinct mineral opacities clustered in the region of the gallbladder. The spleen is normal in size and margin. The renal silhouettes are normal in size and contour. A moderate amount of mineral is present in the region the renal pelvis bilaterally. There is a 1 cm mineral opaque calculus in the urinary bladder. No calculi are present in the region of the urethra. There is no prostatomegaly. There is narrowing of the L1-L2, L2-L3 and L4-L5 intervertebral disc spaces with sclerotic endplates and mild to moderate spondylosis deformans.</t>
  </si>
  <si>
    <t>1. Mild left-sided cardiomegaly, indicative of mitral valve disease, without evidence of decompensation. Echocardiography should be considered for further evaluation._x000D_
2. Chondromalacia and dynamic airway disease/tracheal collapse._x000D_
3. The generalized hepatomegaly is nonspecific. Rule out metabolic/vacuolar hepatopathy, hyperplasia, hepatitis or infiltrative neoplasia. Sonography can be considered for further evaluation._x000D_
4. Cholelithiasis._x000D_
5. Bilateral nephrolithiasis versus nephrocalcinosis._x000D_
6. Cystolith. Recommend urinalysis for further evaluation. Consider dissolution versus cystotomy._x000D_
7. Chronic L1-L2, L2-L3 and L4-L5 intervertebral disc disease. Correlate with any spinal pain and/or proprioceptive deficits.</t>
  </si>
  <si>
    <t xml:space="preserve">
1.Are respiratory signs present? If NO._x000D_
2.Severe cardiomegaly has been detected but Heart Failure is NOT suspected._x000D_
3.There is no evidence of PULMONARY NODULES or PLEURAL EFFUSION._x000D_
4.MINIMAL TO MILD BRONCHOINTERSTITIAL PULMONRAY PATTERN; MILD PERIHILAR PATTERN._x000D_
5.MILD DYNAMIC AIRWAY DISEASE; MINIMAL BRONCHOINTERSTITIAL PULMONARY PATTERN._x000D_
6.Based on these AI airway/pulmonary findings, the probability of this patient having clinically detectable respiratory signs is LOW (25%)_x000D_
7.Based on the AI airway/pulmonary findings, the probability of this patient having clinically detectable respiratory signs is LOW (25%)_x000D_
8.Are respiratory signs present? If YES._x000D_
9.Are respiratory signs present? If YES._x000D_
10.Are respiratory signs present? If NO.</t>
  </si>
  <si>
    <t xml:space="preserve">Patient Name : Jubei Chon, Date of study: Jul 30, 2024
5 images are provided for review
Prior images dated February 28, 2024 and previous are available.  Thoracic images are overexposed with saturated lungs.
Pulmonary parenchyma: An ovoid mineral focus is over the mid-ventral lungs in the lateral image. This may correspond to suspected right middle lung lobe soft tissue nodule at the level of T6 in the ventrodorsal image.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slight soft tissue band is over the cervical trachea in the lateral image.  
Esophagus: The esophagus is not well-identified.
Pleural space: The pleural space is normal.
Liver: The liver is slightly enlarged with a sharp caudoventral magin extending past the last ribs.  
Spleen: The spleen is normal in size with smooth margins and homogeneous soft tissue.
Kidneys: the right kidney caudal margin is slightly flat in the lateral image.  The kidneys are otherwise normal.  
Retroperitoneum: Retroperitoneal detail is adequate.
Urogenital: The urinary bladder is normal in size, homogeneous soft tissue, and smoothly marginated.
Peritoneum: Peritoneal detail is adequate.
Gastrointestinal tract: The stomach contains a moderate gas and mild soft tissue material.   The stomach is within normal limits for size.
The small intestine contains mild gas and fluid or is empty with a subjectively uniform population for size. 
The colon contains mild heterogeneous soft tissue material and gas.  The colon is within normal limits for size.  
Musculoskeletal: Normal coxofemoral joints.  No obvious evidence of intervertebral disc space narrowing.  The remaining included musculoskeletal structures are normal.
</t>
  </si>
  <si>
    <t xml:space="preserve">1. Suspected right middle lung lobe soft tissue versus mineralized nodule.
- If present, consider evolving metastatic neoplasia such as from occult osseous neoplasm versus other, or less likely granuloma from prior disease or other.  
2. Minimal to mild diffuse bronchial pattern such as from fibrosis from prior disease, age-related changes, infectious/immune-mediated lower airway disease, artifact or unlikely other.
3. Mild hepatomegaly due to vacuolar change, nodular hyperplasia, hepatitis/cholangiohepatitis, or evolving neoplasia (metastatic versus primary).
4. Suspected right chronic renal changes/cortical infarct.  
5. Dorsal redundant tracheal membrane with/without dynamic airway disease versus superimposed normal structures.  </t>
  </si>
  <si>
    <t>Consider computed tomography of the thorax for further evaluation of suspected right middle lung lobe nodule versus repeat radiographs.  Consider abdominal ultrasonography for further evaluation of the liver and right kidney. Empirical therapy and supportive care in the interim as needed.  Monitoring as directed, or sooner if clinical signs acutely change, fail to improve or worsen.
Etiology of reported ataxia/paraparesis is not definitively identified.  Consider occult myelopathy versus lameness from occult orthopedist disease.</t>
  </si>
  <si>
    <t>Study:_x000D_
Thoracic radiography: four images dated July 30, 2024_x000D_
_x000D_
Findings:_x000D_
There is severe cardiomegaly characterized by biventricular and left atrial enlargement. The lobar veins are mildly dilated in comparison to the corresponding arteries. There is a mild perihilar and caudodorsal unstructured interstitial pulmonary pattern. Multiple thin pleural fissure lines are seen on the VD views. There is no intrathoracic lymphadenopathy. The trachea is normal in diameter. The stomach contains unstructured heterogeneous soft tissue material presumed to be ingesta with interspersed granular mineral. The osseous structures are unremarkable. The patient is of overweight body condition.</t>
  </si>
  <si>
    <t>1. Severe biventricular cardiomegaly and left atrial enlargement with likely decompensated congestive heart failure/mild cardiogenic pulmonary edema. Both mitral and tricuspid valve disease or suspected._x000D_
2. The thin pleural fissure lines seen on the VD views may indicate trace pleural effusion and/or pleural thickening._x000D_
3. The granular mineral material in the stomach may indicate dietary indiscretion or may be an incidental finding depending on the contents of the patient=ZZ91=s normal diet and treats.</t>
  </si>
  <si>
    <t>Echocardiography is recommended for further evaluation. Diuretic therapy with repeat radiography to monitor for response to treatment should be considered in the interim.</t>
  </si>
  <si>
    <t xml:space="preserve">
1.MODERATE DYNAMIC AIRWAY DISEASE; MILD to MODERATE INTERSTITIAL to ALVEOLAR INFILTRATE._x000D_
2.Based on these AI airway/pulmonary findings, the probability of this patient having clinically detectable respiratory signs is MEDIUM (50%)_x000D_
3.Are respiratory signs present? If YES._x000D_
4.Are respiratory signs present? If NO._x000D_
5.A mild perihilar infiltrate has been detected._x000D_
6.Pleural fissure lines or small volume pleural effusion has been detected. In a mildly to moderately overweight animal, excessive pericardial fat can artifactually mimic the result of mild pleural effusion._x000D_
7.Severe cardiomegaly has been detected but Heart Failure is NOT suspected.</t>
  </si>
  <si>
    <t>Study:_x000D_
Thoracic and abdominal radiography: seven images dated July 30, 2024_x000D_
_x000D_
Findings:_x000D_
There is mild microcardia and mild attenuation of the pulmonic vasculature. The caudal vena cava is mildly narrowed. The pulmonary parenchyma is unremarkable. Multiple pleural fissure lines are visualized. On the VD view, there is a triangular-shaped soft tissue opacity bulging from the left aspect of the cranial mediastinum. On the lateral projections, there is indistinct increased opacity in the hilar region is suspicious for tracheobronchial lymphadenopathy. There is mild to moderate peritoneal effusion. The stomach contains a small volume of gas. On the caudally position VD view, there is a 6 cm round soft tissue opaque mass in the caudal abdomen. There is no small intestinal dilation. The colon contains a small volume of gas. The liver is normal in size and margin. The spleen is moderately enlarged with smooth margins. The urinary bladder is normal in size and opacity. There is no uterine dilation. The osseous structures are unremarkable.</t>
  </si>
  <si>
    <t>1. Suspect the tracheobronchial lymphadenopathy concerning for intrathoracic multicentric round cell neoplasia given the reported peripheral lymphadenopathy._x000D_
2. The multiple pleural fissure lines may indicate trace pleural effusion and/or pleural thickening._x000D_
3. The microcardia, attenuation the pulmonary vasculature and narrowing of the caudal vena cava are suggestive of dehydration/hypovolemia._x000D_
4. Right caudal abdominal mass. Consider a small intestinal mass or lymphadenopathy. Recommend abdominal sonography for further evaluation._x000D_
5. The generalized splenomegaly is nonspecific. Rule out multicentric round cell neoplasia, extramedullary hematopoiesis, lymphoid hyperplasia, splenitis or congestion. Sonography should also be considered for further evaluation this finding._x000D_
6. Mild to moderate nonspecific peritoneal effusion. Abdominocentesis can be considered for further evaluation.</t>
  </si>
  <si>
    <t xml:space="preserve">
1.Are respiratory signs present? If YES._x000D_
2.AI linked bacterial pneumonia treatment in dogs: https://platform.v2.vetology.net/doc/pneumonia-in-dogs-and-cats_x000D_
3.Are respiratory signs present? If NO._x000D_
4.The evaluation has come up positive for a pulmonary nodular pattern._x000D_
5.MODERATE ALVEOLAR PATTERN; CONCURRENT MILD to MODERATE BRONCHOINTERSTITIAL PATTERN; MILD DYNAMIC AIRWAY DISEASE._x000D_
6.MODERATE INTERSTITIAL TO ALVEOLAR PATTERN; MILD DYNAMIC AIRWAY DISEASE; MINIMAL PERIHILAR INFILTRATE._x000D_
7.Based on the AI airway/pulmonary findings, the probability of this patient having clinically detectable respiratory signs is MEDIUM to HIGH (50%-75%)_x000D_
8.Based on the AI airway/pulmonary findings, the probability of this patient having clinically detectable respiratory signs is MEDIUM to HIGH (50-75%)._x000D_
9.Are respiratory signs present? If YES._x000D_
10.Severe cardiomegaly has been detected but Heart Failure is NOT suspected._x000D_
11.Are respiratory signs present? If NO.</t>
  </si>
  <si>
    <t>Nine orthogonal survey radiographs of the thorax and abdomen dated 30th July 2024 are available for review. There are no previous radiographs available for comparison. These images are submitted for assessment of the abdomen._x000D_
_x000D_
Abdomen: The hepatic silhouette is normal in size with smooth borders. The tail of the spleen is mildly prominent. The kidneys are partially obscured by gastrointestinal contents, but the visible aspect are normal. The stomach is mainly empty, with a normal axis. The small intestines are distributed evenly and are within normal limits for shape and size. There is mild increased gas within the small intestines, which have a mildly stacked appearance. The ascending, transverse and descending colon have a normal position and contain gradually more formed faeces. The urinary bladder is filled. The serosal detail is normal._x000D_
_x000D_
Musculoskeletal findings: There is extensive bridging spondylosis deformans in the thoracic, lumbar and caudal vertebral column.</t>
  </si>
  <si>
    <t>1.  Mild splenomegaly: differential diagnoses include passive congestion from sedation (if administered), splenitis, extramedullary hematopoiesis, lymphoid hyperplasia, or neoplasia._x000D_
2. Mild increased gas in the small intestines may be due to a transient infectious-inflammatory or dietary indiscretion induced enteritis. IBD, food allergy, exocrine pancreatic insufficiency is considered unlikely._x000D_
3. Multisite spondylosis deformans.</t>
  </si>
  <si>
    <t>Observational or supportive management including rehydration, gastroprotectants,  full blood work, faecal analysis may be considered. Repeat 3-view post fasting radiographs depending on clinical progression or consider an abdominal ultrasound.</t>
  </si>
  <si>
    <t xml:space="preserve">
1.MODERATE INTERSTITIAL TO ALVEOLAR INFILTRATE; MILD PERIHILAR INFILTRATE; MINIMAL BRONCHIAL PATTERN._x000D_
2.Based on these AI airway/pulmonary findings,  the probability of this patient having clinically detectable respiratory signs is HIGH (75%)_x000D_
3.Are respiratory signs present?  If YES._x000D_
4.Are respiratory signs present? If NO._x000D_
5.The evaluation has a strong suspicion of pulmonary nodules or mass lesion being present._x000D_
6.The cardiac silhouette size is normal.</t>
  </si>
  <si>
    <t>Study:_x000D_
Thoracic radiography: four images dated July 30, 2024_x000D_
_x000D_
Findings:_x000D_
The cardiac silhouette and pulmonary vasculature are normal in size. The pulmonary parenchyma is unremarkable. The pleural space is normal. There is no intrathoracic lymphadenopathy. The larynx is unremarkable. The trachea is normal in diameter and course. The stomach contains unstructured heterogeneous soft tissue material presumed to be ingesta. The included abdomen is otherwise unremarkable. No skeletal abnormalities are present. There is a mineral opaque, likely incidental, nodule in the subcutaneous tissues of the lumbar region.</t>
  </si>
  <si>
    <t>Normal thorax.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t>
  </si>
  <si>
    <t>Infectious respiratory disease PCR testing, fluoroscopy, sedated laryngeal exam, airway sampling plus/minus heartworm testing and Baermann fecal flotation can be considered to further evaluate the reported coughing._x000D_
_x000D_
Echocardiography can be considered for further evaluation of the reported heart murmur.</t>
  </si>
  <si>
    <t>Study:_x000D_
Thoracic radiography: three images dated July 30, 2024_x000D_
_x000D_
Findings:_x000D_
The cardiac silhouette and pulmonary vasculature are normal in size. The pulmonary parenchyma is unremarkable. The pleural space is normal. There is no intrathoracic lymphadenopathy. On the right lateral view, there is an indistinct broad-based soft tissue opaque band superimposed with the cervical trachea lumen representing other redundant dorsal tracheal membrane or superimposition of the esophagus. The trachea is normal in diameter and course. The included abdomen is normal. There is in situ mineralization of the T 10-T 11 and T 11-T 12 intervertebral discs.</t>
  </si>
  <si>
    <t>1. Normal thorax.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can be considered to further value for possible trachea class. Airway sampling plus/minus heartworm testing and Baermann fecal flotation can be considered to further evaluate for non-radiographically evident lower airway disease._x000D_
2. In situ T 10-T 11 and T 11-T 12 intervertebral disc disease.</t>
  </si>
  <si>
    <t>Thorax: Today=ZZ91=s study is compared to a study dated 4/24/2023. There is moderate generalized cardiomegaly which has increased in size compared to previous study.  There is persistent collapse of the mainstem bronchi.  There is a soft tissue opacity associated with the dorsal aspect of the intrathoracic trachea with mild narrowing of the trachea.  There is a diffuse bronchointerstitial pattern which has remained relatively static compared to previous.  On all views there is pulmonary underinflation as previous.  There is no evidence of pleural effusion or lymphadenopathy.  On the visible portions of the abdomen there is diffuse hepatomegaly.</t>
  </si>
  <si>
    <t>Increase in severity of generalized cardiomegaly._x000D_
_x000D_
Persistent collapse of the mainstem bronchi._x000D_
_x000D_
Relatively static diffuse bronchointerstitial pattern._x000D_
_x000D_
Diffuse hepatomegaly._x000D_
_x000D_
Narrowing of the intrathoracic trachea which may represent dynamic collapsing._x000D_
_x000D_
Pulmonary underinflation which may represent timing of radiographic acquisition or possible upper airway obstructive process.</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</si>
  <si>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3.Are respiratory signs present? If YES._x000D_
4.AI linked pneumonia in dogs article: https://platform.v2.vetology.net/doc/pneumonia-in-dogs-and-cats_x000D_
5.Are respiratory signs present? If NO._x000D_
6.The evaluation has a strong suspicion of pulmonary nodules or mass lesion being present._x000D_
7.A mild perihilar infiltrate has been detected._x000D_
8.Pleural fissure lines or moderate to severe pleural effusion has been detected. An overlying skin fold or in an obese animal, excessive pericardial fat could artifactually mimic the result of severe pleural effusion._x000D_
9.Severe cardiomegaly has been detected but Heart Failure is NOT suspected.</t>
  </si>
  <si>
    <t>Study:_x000D_
Thoracic radiography: three images dated July 30, 2024_x000D_
_x000D_
Findings:_x000D_
The cardiac silhouette and pulmonary vasculature are normal in size. There is a mild alveolar pattern in the ventral aspect of the right middle lung lobe. The pleural space is normal. There is no intrathoracic lymphadenopathy. The trachea is normal in diameter and course. The stomach contains unstructured heterogeneous soft tissue material presumed to be ingesta. The osseous structures are unremarkable.</t>
  </si>
  <si>
    <t>The mild alveolar pattern in the ventral aspect of the right middle lung lobe likely indicates pneumonia.</t>
  </si>
  <si>
    <t>Continue plus/minus expanded antibiotic therapy with repeat radiography in 10 to 14 days is recommended to monitor for persistence or resolution of this finding. Airway sampling and culture can also be considered.</t>
  </si>
  <si>
    <t xml:space="preserve">
1.A minimal bronchointerstitial pulmonary pattern has been detected._x000D_
2.The cardiac silhouette size is normal._x000D_
3.There is no evidence of PERIHILAR INFILTRATE or DYNAMIC AIRWAY COLLAPSE or BRONCHIECTASIS.</t>
  </si>
  <si>
    <t>Four radiographs of the thorax/abdomen are provided. The heart and pulmonary vessels are normal size and shape. There are no abnormalities in the pulmonary parenchyma or pleural space. Incidental left rib variation on C7/T1. Moderate narrowed cervical trachea. Small volume fluid in the caudal esophagus is transient and incidental. In the abdomen there is moderate volume fluid in the colon. Small intestines are moderately fluid filled. The stomach contains scant gas. Serosal detail is adequate. No radiopaque foreign material is present. Normal-sized liver, spleen, kidneys. The urinary bladder is mildly filled and soft tissue opaque.</t>
  </si>
  <si>
    <t>Liquid diarrhea and small intestinal functional ileus. Gastroenterocolitis secondary to dietary indiscretion is most likely. The thorax is normal.
(amended on 07/31/2024 09:25)
Probable cervical tracheal collapse, of doubtful significance today.</t>
  </si>
  <si>
    <t>Abdominal ultrasound is recommended. If hematemesis persists and/or is severe, exploratory surgery would be recommended.</t>
  </si>
  <si>
    <t>Study:_x000D_
Thoracic radiography: three images dated July 30, 2024_x000D_
_x000D_
Findings:_x000D_
The cardiac silhouette is normal in size and shape. The pulmonary vasculature is normal in size. The pulmonary parenchyma is unremarkable. The pleural space is normal. There is no intrathoracic lymphadenopathy. The trachea is normal in diameter and course. There is a small volume of gas in the esophagus on the right lateral view The included abdomen is normal. No skeletal abnormalities are present.</t>
  </si>
  <si>
    <t>Normal thorax. There is no radiographic evidence of intrathoracic multicentric/metastatic mast cell disease.</t>
  </si>
  <si>
    <t>Abdominal sonography plus/minus aspirates of the liver and spleen can be considered for further mast cell staging.</t>
  </si>
  <si>
    <t xml:space="preserve">Patient Name : Oden Rosas, Date of study: Jul 30, 2024
14 images are provided for review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small with cranial dispalcement of the gastric axis.  Mild to moderate mineral is superimposed over the right liver.
Spleen: The spleen is normal in size with smooth margins and homogeneous soft tissue.
Kidneys: The right kidney is obscured and the left kidney is normal.  
Retroperitoneum: Retroperitoneal detail is adequate.
Urogenital: The urinary bladder is normal in size, homogeneous soft tissue, and smoothly marginated.
Peritoneum: Peritoneal detail is adequate.
Gastrointestinal tract: The stomach contains a moderate volume of heterogeneous soft tissue material admixed with gas  The stomach is within normal limits for size.
The small intestine contains mild to moderate gas and minimal fluid or is empty with a subjectively uniform population for size. 
The colon contains minimal heterogeneous soft tissue material and gas.  The colon is within normal limits for size.  
Bones/Joints:
A dens is present.  There is no evidence of atlantoaxial joint subluxation.
Mineral dorsal to L4-5? spondylosis or other
There is no evidence of intervertebral disc space narrowing, or mineral over the intervertebral foramina.  There is no evidence of intervertebral dorsal articulation osteoarthrosis.
Suspected bilateral erosive arthropathy of the left proximal and distal intertarsal joints.  Moderate increased soft tissue surrounding the left tarsocrural and tarsal joints. Moderate increased soft tissue surrounding the right tarsocrural and tarsal joints.
Mild increased soft tissue is suspected in the left stifle joint.   Moderate increased soft tissue is suspected in the right stifle joint.    The tibias and metatarsal bones and tarsal bones have a coarse trabecular bone pattern.  
Severe soft tissue swelling surrounds the carpi bilaterally.  A small ovoid mineral body is just cranial to the left distal radius.   The bilateral brachium's and antebrachiums have a coarse trabecular bone pattern.  
There is no evidence of medullary sclerosis, osteolysis, endosteal scalloping, or periosteal proliferation.
Soft tissues:  The included soft tissues are normal.
</t>
  </si>
  <si>
    <t xml:space="preserve">1. Bilateral tarsocrural and tarsal joint associated synovial effusion/proliferation and suspected articular surface erosion with severe synovial effusion/proliferation or unlikely evolving neoplasia such as synovial cell sarcoma or other.
- This is suspicious for an erosive polyarthritis such as from lupus, rheumatoid arthritis or septic arthritis.
2. Bilateral severe carpal joint associated soft tissue swelling such as from evolving arthritis similar to above, or unlikely evolving neoplasia.
3. Moderate right stifle synovial effusion/proliferation due to evolving polyarthropathy and/or intra-capsular soft tissue injury
4. Mild left stifle synovial effusion/proliferation due to evolving polyarthropathy and/or intra-capsular soft tissue injury.
5. Polyostotic coarse trabecular bone pattern likely from disuse osteopenia or unlikely other.
6. Mild diffuse bronchial pulmonary pattern such as from fibrosis from prior disease, age-related changes, and/or infectious/immune-mediated lower airway disease (mycoplasma spp., bordetella spp., parasitism, or other), inhaled allergen/irritant, or less likely other.
7. Mild microhepatia versus individual variation of normal.
8. Gallbladder mineral is suspected such as from hereditary/dietary factors or underlying hepatobiliary disease.  
9. Gastric material from recent meal versus gastritis/delayed gastric emptying or unlikely other.  </t>
  </si>
  <si>
    <t>Consider orthopedist consultation, cross-sectional imaging of the carpal/tarsal joints and arthrocentesis with fluid analysis/cytology for further evaluation.   Abdominal ultrasonography and bile acid testing may be contributory.  Empirical therapy and supportive care in the interim as needed.  Monitoring as directed, or sooner if clinical signs acutely change, fail to improve or worsen.</t>
  </si>
  <si>
    <t>Two views of the thorax are provided for review.  The trachea is dorsally deviated, indicating left ventricular enlargement.  A bulge is present in the region of the left atrium.  Cardiac size is overall similar to images dated 2/2/2024.  No pulmonary infiltrates are seen.  The pulmonary vasculature is normal in size.  The mediastinal and pleural structures are normal.  Cranial abdominal detail is adequate.</t>
  </si>
  <si>
    <t>Unchanged mild left-sided cardiomegaly without current evidence of cardiogenic pulmonary edema.</t>
  </si>
  <si>
    <t xml:space="preserve">
1.A minimal interstitial pulmonary and concurrent, mild dynamic airway disease have been detected._x000D_
2.Mild dynamic airway disease has been detected._x000D_
3.There is no evidence of ALVEOLAR PATTERN, PULMONARY NODULES or PLEURAL EFFUSION._x000D_
4.A mild perihilar infiltrate and concurrent, mild dynamic airway disease have been detected._x000D_
5.Mild dynamic airway disease has been detected._x000D_
6.A minimal interstitial pulmonary pattern with a concurrent, mild perihilar infiltrate have been detected._x000D_
7.Severe cardiomegaly has been detected but Heart Failure is NOT suspected.</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</si>
  <si>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The trachea is narrowed in the cervical region.  Abdominal serosal detail is adequate in all quadrants.  The liver margins are rounded and extend beyond the costal arch, causing caudal displacement of the gastric axis.  An irregular soft tissue mass is present in the left cranial abdomen.  The structure silhouettes with both spleen and left kidney on the VD view.  The stomach contains a moderate amount of soft tissue material.  The small intestines are normal in size.  Gas and feces are present in the colon.  The urinary bladder is distended.  The remaining abdominal organs are normal.</t>
  </si>
  <si>
    <t>Material within the stomach may represent residual ingesta or foreign material.  Consider repeat radiographs following strict fasting to determine if gastric contents persist.  Left cranial abdominal mass=ZZ90= splenic origin is considered most likely but cannot completely rule out renal or pedunculated hepatic origin.  Hepatomegaly=ZZ90= this is a nonspecific finding that may be seen with congestion, vacuolar hepatopathy, inflammation, neoplasia, etc.  Abdominal ultrasound may be helpful in further evaluation.  Cervical tracheal narrowing suggestive of tracheal collapse.  Radiographically normal thorax for patient of this age.</t>
  </si>
  <si>
    <t xml:space="preserve">
1.Based on these AI airway/pulmonary findings, the probability of this patient having clinically detectable respiratory signs is VERY HIGH (&gt;75%)_x000D_
2.Are respiratory signs present? If YES._x000D_
3.Are respiratory signs present? If NO._x000D_
4.SEVERE INTERSTITIAL TO ALVEOLAR PATTERN; SEVERE BRONCHIAL PATTERN; SEVERE DYNAMIC AIRWAY DISEASE._x000D_
5.A moderate perihilar infitlrate has been detected._x000D_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</si>
  <si>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Study:_x000D_
Thoracic and abdominal radiography: five images dated July 30,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There is no esophageal dilation. The stomach contains a small volume of gas with the pylorus appropriately gas-filled on the left lateral image. The small intestines are normal in size, course and content. The colon contains gas and formed fecal material with a normal diameter. The liver and spleen are normal in size and margin. The kidneys are normal in size and contour. The urinary bladder is normal in size and opacity. No skeletal abnormalities present.</t>
  </si>
  <si>
    <t>1. Normal thorax. There is no radiographic evidence of cardiopulmonary disease._x000D_
2. Unremarkable abdomen.</t>
  </si>
  <si>
    <t>There are no radiographic contraindications to anesthesia.</t>
  </si>
  <si>
    <t>Study:_x000D_
Thoracic radiography: three images dated July 30, 2024_x000D_
_x000D_
Compared to prior study dated July 20 he 2024_x000D_
_x000D_
Findings:_x000D_
There is unchanged moderate to severe left ventricular and left atrial enlargement. The pulmonary vasculature is normal in size. Both lateral projections or expiratory leading to a mild increase in opacity of the pulmonary parenchyma on these images relative to the orthogonal view. The pulmonary parenchyma is otherwise unremarkable. There multiple pleural fissure lines present. This finding is similar to the prior examination. There is no intrathoracic lymphadenopathy. The trachea is normal in diameter. There is no lobar bronchi narrowing. The included abdomen is unremarkable. There is narrowing of the T 13-L1 intervertebral disc space. There is mild T 13-L1 and L1-L2 spondylosis deformans.</t>
  </si>
  <si>
    <t>1. Static moderate to severe left-sided cardiomegaly, indicative of mitral valve disease, without evidence of decompensation. Echocardiography should be considered for further evaluation._x000D_
2. Persistent pleural fissure lines. Rule out mild nonspecific pleural effusion and/or pleural thickening. Point-of-care thoracic sonography can be considered to further evaluate for pleural effusion._x000D_
3. T 13-L1 intervertebral disc disease.</t>
  </si>
  <si>
    <t xml:space="preserve">
1.MODERATE BRONCHOINTERSTITIAL PULMONARY PATTERN; MODERATE ALVEOLAR INFILTRATE or ATELECTASIA; PLEURAL FISSURE LINES or PLEURAL EFFUSION; MODERATE DYNAMIC AIRWAY DISEASE._x000D_
2.Based on these AI airway/pulmonary findings, the probability of this patient having clinically detectable respiratory signs is HIGH (75%)_x000D_
3.Pleural fissure lines or moderate to severe pleural effusion has been detected._x000D_
4.Severe cardiomegaly has been detected but Heart Failure is NOT suspected._x000D_
5.Are respiratory signs present? If YES._x000D_
6.Are respiratory signs present? If NO.</t>
  </si>
  <si>
    <t>WHOLE-BODY (7 total radiographs for review).  No previous examinations are available for comparison._x000D_
_x000D_
- Moderate to marked left-sided cardiomegaly with overt left atrial enlargement characterized by straightening of the cardiac margin, dorsal displacement of the caudal aspect of the thoracic trachea, and a rounded soft tissue opacity caudal to the tracheal bifurcation._x000D_
- The pulmonary vasculature is normal._x000D_
- The pulmonary parenchyma, pleural space, mediastinum and remaining included thoracic structures are normal._x000D_
- Peritoneal serosal detail is normal._x000D_
- The stomach contains mild gas and gas-stippled soft-tissue opaque material_x000D_
- The small intestine contains mild multifocal gas and soft-tissue opaque material_x000D_
- The colon contains gas, soft-tissue/fluid and moderate formed fecal material._x000D_
- The liver, spleen, region of the kidneys and urinary bladder are normal._x000D_
- The cervical, thoracic and lumbar vertebral columns are normal._x000D_
- The included portions of the proximal forelimbs are normal._x000D_
- The pelvis and included portions of the proximal hind limbs are normal.</t>
  </si>
  <si>
    <t>1.  Overall, a discrete cause for hind-end weakness and hyporexia is not clearly identified. _x000D_
_x000D_
2. Moderate-to-marked left-sided cardiomegaly, with overt left atrial enlargement, without pulmonary vasculature congestion or congestive heart failure. Most likely compatible with degeneration of the mitral valve. Consider  echocardiography/ECG and cardiologist consultation for further assessment._x000D_
_x000D_
3.  Unremarkable abdomen._x000D_
_x000D_
4.  Unremarkable vertebral column and musculoskeletal structures.</t>
  </si>
  <si>
    <t xml:space="preserve">
1.Severe cardiomegaly has been detected but Heart Failure is NOT suspected._x000D_
2.A mild perihilar infiltrate and concurrent, mild dynamic airway disease have been detected._x000D_
3.Mild dynamic airway disease has been detected._x000D_
4.There is no evidence of BRONCHITIS, PULMONARY NODULES or PLEURAL EFFUSION._x000D_
5.A mild interstitial to alveolar pattern has been detected.</t>
  </si>
  <si>
    <t>Three orthogonal thoracic radiographs dated 30th July 2024 are available for review. There are no previous radiographs available for comparison. _x000D_
_x000D_
Airway findings: The lungs are well inflated. The trachea has a normal position, shape and size. The carina and tracheal bifurcation are normal. The pulmonary parenchyma is normal. A homogenous interstitial opacification is overlying consistent with body habitus.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mild ventral pleural fat._x000D_
_x000D_
Musculoskeletal findings: The patient is overweight._x000D_
_x000D_
Included abdomen: No significant abnormalities are detected.</t>
  </si>
  <si>
    <t>Normal thorax. Consider an upper respiratory abnormality such as laryngeal paralysis, tracheitis, or a dynamic tracheal collapse.</t>
  </si>
  <si>
    <t>Consider evaluation for airway collapse (fluoroscopy vs. right lateral inspiratory and expiratory radiographs vs. CT with virtual bronchoscopy).</t>
  </si>
  <si>
    <t xml:space="preserve">
1.A mild bronchial pattern has been detected._x000D_
2.The cardiac silhouette size is normal._x000D_
3.There is no evidence of ALVEOLAR PATTERN, PERIHILAR INFILTRATE or PLEURAL EFFUSION.</t>
  </si>
  <si>
    <t xml:space="preserve">Patient Name : Ruby Clements, Date of study: Jul 30, 2024
6 images are provided for review
Images of the pelvic limbs dated the same day are available.  
Pulmonary parenchyma: A mild to moderate diffuse bronchial pattern is present.  The lungs are moderately hypoinflated.  
Pulmonary vasculature: The pulmonary vasculature is subjectively normal in size and tapers in the periphery of the lungs.
Cardiac silhouette: Rounded soft tissue is suspected in the region of the left atrium in the ventrodorsal image.  This is not corroborated by the lateral images.
Mediastinum: The cranial mediastinum is mildly symmetrically widened without obvious increased soft tissue.
Trachea: The trachea is normal.
Esophagus: The esophagus is not well-identified.
Pleural space: The pleural space is normal.
Musculoskeletal: The  patient is obese.  Osteoarthrosis of at least one shoulder joint is present.  The remaining included musculoskeletal structures are normal.
</t>
  </si>
  <si>
    <t>1. Mild-moderate diffuse bronchial pulmonary pattern from infectious/immune-mediated lower airway disease (mycoplasma spp. versus viral or parasitism etiologies, or inhaled allergen/irritant) and/or fibrosis from prior disease, age-related changes, or unlikely other.
2. Equivocal left atrial enlargement versus artifact /phase of the cardiopulmonary cycle.
- There is no evidence of left-sided congestive heart failure.  
3. Mild cranial mediastinal widening such as from fat deposition or unlikely evolving lymphadenomegaly, mass or other.
4. Obesity.</t>
  </si>
  <si>
    <t>Consider echocardiography, ECG and blood pressure for further evaluation, especially if a murmur is later identified.  Respiratory PCR panel, fcal analysis/deworming may be contributory.  Routine blood work and urinalysis if not recently performed.  Empirical therapy and supportive care in the interim as needed.  Monitoring as directed or sooner if clinical signs acutely change, fail to improve or worsen.</t>
  </si>
  <si>
    <t>Study:_x000D_
Thoracic radiography: four images dated July 30, 2024_x000D_
_x000D_
Findings:_x000D_
The cardiac silhouette and pulmonary vasculature are normal in size. There is a mild generalized bronchointerstitial pulmonary pattern. The pleural space is normal. There is no intrathoracic lymphadenopathy. The trachea is normal in diameter and course. There is no esophageal dilation. The included abdomen is unremarkable. There is mild multifocal thoracic spondylosis deformans. The patient is of overweight body condition.</t>
  </si>
  <si>
    <t>The mild generalized bronchointerstitial pulmonary pattern is a nonspecific finding. The absence of any respiratory signs come of this finding would be considered a benign age-related change. Allergic, inflammatory, infectious, inhaled irritant or parasitic bronchitis should be considered in light of the reported coughing. Airway sampling plus/minus heartworm testing and Baermann fecal flotation can be considered to further evaluate for lower airway disease. Laryngeal paralysis should also be considered as a potential cause of the reported coughing.</t>
  </si>
  <si>
    <t xml:space="preserve">
1.The cardiac silhouette size is normal._x000D_
2.There is no evidence of PERIHILAR INFILTRATE or DYNAMIC AIRWAY COLLAPSE or BRONCHIECTASIS._x000D_
3.A mild interstitial has been identified._x000D_
4.Pleural fissure lines or small volume pleural effusion has been detected. In a mildly to moderately overweight animal, excessive pericardial fat can artifactually mimic the result of mild pleural effusion.</t>
  </si>
  <si>
    <t>8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Large tubular soft tissue structures are seen in the abdomen bilaterally.  These extend within the ventral abdomen and between the urinary bladder and colon.  End on portions of this tubular structure causing masslike appearance in the ventral abdomen on the lateral views.  The remaining abdominal organs are normal.</t>
  </si>
  <si>
    <t>The large tubular structure within the abdomen appears most consistent with enlargement of the uterus.  Confirm the patient received full ovariohysterectomy.  If so, severe segmental intestinal dilation is likely and abdominal exploratory is warranted.  Otherwise, abdominal ultrasound may be helpful.  Radiographically normal thorax for patient of this age.</t>
  </si>
  <si>
    <t xml:space="preserve">
1.MINIMAL to MILD DIFFUSE, MIXED BRONCHOINTERSTITIAL PULMONARY PATTERN with ATELECTASIS or less likely, pneumonia._x000D_
2.Probability these AI pulmonary findings will accompany clinically detectable respiratory signs: LOW (25%)_x000D_
3.Are respiratory signs present? If YES._x000D_
4.Are respiratory signs present? If NO._x000D_
5.There is no evidence of PULMONARY NODULES._x000D_
6.Mild cardiomegaly has been detected but Heart Failure is NOT suspected.</t>
  </si>
  <si>
    <t>Eight radiographs are provided, with images of the thorax, abdomen, proximal pelvic limbs. The patient is overweight, with moderate volume subcutaneous fat. Moderate narrowed cervical trachea. The cardiac silhouette and pulmonary vessels are normal size. There are no abnormalities in the pulmonary parenchyma or pleural space. The C3-4, C5-6 intervertebral disc spaces appear narrowed, although could be artifact due to normal sloping/dependency. In the abdomen, peritoneal and retroperitoneal serosal detail is adequate. The liver, kidneys, and spleen are normal size. Moderate volume soft tissue opaque ingesta fills the stomach. Small bowel are mildly fluid and gas filled. Formed feces in the colon. There are two round spiculated 0.5 cm mineral opaque cystic calculi in the urinary bladder. Thin 0.4 x 0.2 cm mineral density caudoventral to the os penis. No medial iliac lymphadenomegaly. Narrowed T12-13, L1-2 intervertebral disc spaces. The coxofemoral joints are congruent. The left patella is medially displaced. Moderate volume fluid in the right stifle. Small volume fluid in the left stifle. Mild enthesophyte formation on the distal left patella. No popliteal lymphadenomegaly.</t>
  </si>
  <si>
    <t>1. Narrowed T12-13 and L1-2 intervertebral disc spaces, with several suspect narrowed intervertebral disc spaces in the cervical spine. Intervertebral disc disease at any of these sites is likely responsible for the discomfort and neurologic deficits.
2. Bilateral stifle effusion most consistent with cranial cruciate ligament tear/rupture. This is worse on the right side. Concurrent medial patellar luxation on the left. Normal coxofemoral joints.
3. Cervical tracheal collapse. No intrathoracic abnormalities.
4. Cystic calculi, of a size that may or may not be able to pass the urethra. There is a distal penile urethral calculus, of a size that may pass successfully. No other abdominal abnormalities.</t>
  </si>
  <si>
    <t>If the neurologic deficit and pain do not improve with conservative treatment, consultation with a neurologist and advanced spinal imaging with CT/MRI would be recommended.</t>
  </si>
  <si>
    <t>Study:_x000D_
Thoracic radiography: three images dated July 30, 2024_x000D_
_x000D_
Findings:_x000D_
The cardiac silhouette and pulmonary vasculature are normal in size. The pulmonary parenchyma is unremarkable. The pleural space is normal. There is no intrathoracic lymphadenopathy. The trachea is normal in diameter and course. There is no esophageal dilation. The stomach contains unstructured heterogeneous soft tissue material presumed to be ingesta. The included abdomen is otherwise unremarkable. There is mild T 11-T 12 spondylosis deformans. There is a small smoothly marginated mineral body adjacent to the infraglenoid tubercle of the scapula bilaterally which may represent osteophytes/DJD or an incidental separate center of ossification.</t>
  </si>
  <si>
    <t>Normal thorax. There is no radiographic evidence of cardiopulmonary disease. A cause of the respiratory signs is not evident. Consider laryngeal paralysis. Lack of a definitive bronchial pulmonary pattern does not exclude the possibility of allergic/inflammatory, infectious, irritant or parasitic bronchitis.</t>
  </si>
  <si>
    <t>Infectious respiratory disease PCR testing, sedated laryngeal exam, airway sampling plus/minus heartworm testing and Baermann fecal flotation can be considered to further evaluate the reported tachypnea/dyspnea.</t>
  </si>
  <si>
    <t>Patient Name : nikki garcia, Date of study: Jul 30, 2024
3 images are provided for review
There are no previous radiographs for comparison.  Images have poor contrast/dynamic range.  
Pulmonary parenchyma: A  mild diffuse bronchial pattern is present.  A minimal to mild diffuse interstitial pattern is present, exacerbated by hypoinflation in the lateral images.  
Pulmonary vasculature: The pulmonary vasculature is subjectively normal in size and tapers in the periphery of the lungs.
Cardiac silhouette: The cardiac silhouette is mildly tall and occupies 2/3 the height of the thorax in the lateral images.   The caudodorsal margin of the cardiac silhouette is flat in the lateral images.  rounded increased soft tissue that laterally displaces mainstem bronchi is in the region of the left atrium in the ventrodorsal image.  
Mediastinum: The cranial mediastinum is normal.
Trachea: A soft tissue band partially superimposes over the dorsal margin of the cervical and thoracic tracheal segments.  
Esophagus: The esophagus is not well-identified.
Pleural space: The pleural space is normal.
Musculoskeletal: Presumed lipoma in the left lateral extra-thoracic soft tissues.  The remaining included musculoskeletal structures are normal.
(amended on 07/30/2024 13:28)
Spondylosis deformans is at T11-12, T12-13, and T13-L1.  The T11-12, T12-13 and T13-L1 intervertebral disc spaces are narrowed.</t>
  </si>
  <si>
    <t>1. Mild left-sided cardiomegaly such as from myxomatous mitral valvular disease and insufficiency.
- There is no current evidence of left-sided congestive heart failure.  
2. Minimal to mild diffuse bronchial and interstitial pulmonary patterns, exacerbated by artifact/technique and hypoinflation.
- Differential diagnoses include fibrosis from prior disease, age-related changes,  infectious/immune-mediated lower airway disease or unlikely other.
3. Possible redundant dorsal tracheal membrane with/without underlying dynamic airway disease versus superimposed normal structures.
(amended on 07/30/2024 13:28)
4. T11-12, T12-13 and T13-L1 intervertebral disc disease.</t>
  </si>
  <si>
    <t>Consider echocardiography, blood pressure and ECG for further evaluation.  Routine blood work, urinalysis for further evaluation if not recently performed.  Empirical therapy and supportive care in the interim as needed.  Monitoring as directed or sooner if clinical signs acutely change, fail to improve or worsen.</t>
  </si>
  <si>
    <t xml:space="preserve">
1.There is no evidence of BRONCHITIS, PERIHILAR INFILTRATE, DYNAMIC AIRWAY COLLAPSE or BRONCHIECTASIS or PULMONARY NODULES._x000D_
2.A minimal interstitial pattern has been detected._x000D_
3.Pleural fissure lines or moderate to severe pleural effusion has been detected. An overlying skin fold or in an obese animal, excessive pericardial fat could artifactually mimic the result of severe pleural effusion._x000D_
4.Moderate cardiomegaly has been detected but Heart Failure is NOT suspected.</t>
  </si>
  <si>
    <t>4 images of the thoracic limbs are provided for review.  The joint surfaces are smooth and regular.  No fractures, luxations, or aggressive osseous lesions are seen.  Spinal alignment is normal with no overtly narrowed intervertebral disc spaces.  The thoracic structures included are normal.  The liver margin is rounded and extends beyond the costal arch.</t>
  </si>
  <si>
    <t>Radiographically normal thoracic limbs.  Consider soft tissue injury.  Hepatomegaly=ZZ90= this is a nonspecific finding that may be seen with congestion, vacuolar hepatopathy, inflammation, neoplasia, etc.  Abdominal ultrasound may be helpful in further evaluation if biochemically indicated.</t>
  </si>
  <si>
    <t xml:space="preserve">
1.MILD BRONCHOINTERSTITIAL PULMONARY PATTERN._x000D_
2.Based on these AI airway/pulmonary findings, the probability of this patient having clinically detectable respiratory signs are LOW (25%)_x000D_
3.Are respiratory signs present? If YES._x000D_
4.Are respiratory signs present? If NO._x000D_
5.There is no evidence of DYNAMIC AIRWAY COLLAPSE or BRONCHIECTASIS, PULMONARY NODULES or PLEURAL EFFUSION._x000D_
6.Minimal cardiomegaly has been detected but Heart Failure is NOT suspected.</t>
  </si>
  <si>
    <t>Orthogonal views of the thorax and abdomen including a VD pelvis view are provided. There are six images total._x000D_
_x000D_
The cardiovascular structures are within normal limits. In the VD thorax view, the right cranial lung lobe appears mildly retracted in the cranial mediastinum appears slightly widened. There is ill defined increased opacity in the cranial ventral thorax in the lateral view. There is increased retrosternal fat causing elevation of the heart. The patient has overweight body condition._x000D_
_x000D_
There is mild enlargement involving the right lateral liver lobe. The other abdominal organs are all within normal size and shape limits. Rugal folds in the stomach are slightly prominent. No dilation of the stomach or intestine is identified. Abdominal serosal detail is normal._x000D_
_x000D_
No spinal abnormalities are identified. The pelvis and hips are within normal limits.</t>
  </si>
  <si>
    <t>There is mild liver enlargement. This is not uncommon as an incidental finding, clinical relevance in this case is unknown._x000D_
Prominent rugal folds can be associated with gastritis, although this also can sometimes be incidental. The rest of the abdomen is within normal limits._x000D_
_x000D_
There is increased opacity in the cranial mediastinal region. The appearance is nonspecific as to whether this may represent be a spinal fat deposition or more significant pathology such as a mediastinal mass or abscess.</t>
  </si>
  <si>
    <t>Supportive care and symptomatic therapy for gastroenteritis/pancreatitis is recommended._x000D_
Systemic infectious disease or metabolic disease should be ruled out appropriate lab work._x000D_
_x000D_
Ultrasound of the abdomen and cranial mediastinum is recommended if clinical signs are not responding adequately to medical management._x000D_
_x000D_
If thoracic ultrasound is not performed in the short-term, recheck radiographs of the thorax are recommended in 4 to 6 weeks.</t>
  </si>
  <si>
    <t xml:space="preserve">
1.The cardiac silhouette size is normal._x000D_
2.There is no evidence of BRONCHITIS or DYNAMIC AIRWAY COLLAPSE or BRONCHIECTASIS._x000D_
3.A mild perihilar infiltrate has been detected._x000D_
4.A mild interstitial to alveolar pattern has been detected.</t>
  </si>
  <si>
    <t>Three radiographs of the thorax are provided. Images dated 5/27/2020 are available for comparison. The cardiac silhouette is normal size and shape. Pulmonary arteries and veins are symmetric and taper as expected. Caudal vena cava size is normal. There is a mild bronchial pattern throughout the lungs as before. No interstitial infiltrates, pulmonary nodules, or enlarged intrathoracic lymph nodes. Small round soft tissue densities adjacent to the heart represent end-on pulmonary vessels. Tracheal diameter and cranial mediastinal width are normal. No esophageal dilation. Normal cranial abdomen.</t>
  </si>
  <si>
    <t>Mild bronchial pattern as before, most likely normal age-related change. Chronic airway inflammation such as allergic bronchitis could be contributing to this appearance. There is no evidence of cardiovascular disease, pneumonia, or neoplasia.</t>
  </si>
  <si>
    <t xml:space="preserve">
1.Are respiratory signs present? If YES._x000D_
2.Are respiratory signs present? If NO._x000D_
3.The cardiac silhouette size is normal._x000D_
4.There is no evidence of DYNAMIC AIRWAY COLLAPSE or BRONCHIECTASIS._x000D_
5.MINIMAL TO MILD BRONCHOINTERSTITIAL PULMONRAY PATTERN; MILD PERIHILAR PATTERN._x000D_
6.Based on the AI airway/pulmonary findings, the probability of this patient having clinically detectable respiratory signs is LOW (25%)</t>
  </si>
  <si>
    <t>5 images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A mineralized mass is visible in the pectoral region.  There appears to be patchy lysis of the second through fourth sternal segments overlying this mass.  The ribs appear intact.  The joint surfaces are smooth and regular.</t>
  </si>
  <si>
    <t>Mineralized pectoral mass with concern for involvement of multiple sternal segments.</t>
  </si>
  <si>
    <t>CT could be considered in further evaluation.</t>
  </si>
  <si>
    <t xml:space="preserve">
1.Are respiratory signs present? If NO._x000D_
2.SEVERE ALVEOLAR PATTERN; CONCURRENT MODERATE BRONCHOINTERSTITIAL PATTERN; MILD DYNAMIC AIRWAY DISEASE._x000D_
3.Based on these AI airway/pulmonary findings, the probability of this patient having clinically detectable respiratory signs is HIGH (75%)_x000D_
4.Are respiratory signs present? If YES._x000D_
5.Pleural fissure lines or moderate to severe pleural effusion has been detected. An overlying skin fold or in an obese animal, excessive pericardial fat could artifactually mimic the result of severe pleural effusion._x000D_
6.Minimal cardiomegaly has been detected but Heart Failure is NOT suspected.</t>
  </si>
  <si>
    <t>Two views of the thoracolumbar spine are provided for review.  No fractures, luxations, or aggressive osseous lesions are seen.  There is mild consistent narrowing of the intervertebral disc space at T11-12.  The soft tissue structures included are normal.</t>
  </si>
  <si>
    <t>Opposite lateral and VD views of the thorax and abdomen are provided._x000D_
_x000D_
The heart is at the upper end of normal size range. There is a slight bulge in the region of the left atrium, the appearance is subtle and equivocal. A few pleural fissure lines are faintly visible in the VD view. The appearance is not suggestive of clinically relevant pleural effusion is suspected to be incidental. Interstitial opacity is moderately increased. The appearance is still within the limits of what might be expected for age related change of hypoinflation artifact._x000D_
There is severe narrowing of the distal trachea and mainstem bronchi. There is severe redundant dorsal tracheal membrane with irregular contour suspicious for clinical tracheal collapse._x000D_
_x000D_
The liver is mildly to moderately enlarged, with normal shape and smooth margins. There is a linear metallic form body in the left caudal ventral abdomen that measures approximately 2 cm length. It is suspected to be within the small intestine. Serosal detail in the area is normal. No intestinal dilation or plication is seen. The other abdominal organs are within normal limits. There is a small ill-defined mineral density new the tip of the left 13th rib. This is suspected to be an incidental granuloma, or possibly a degenerative change or congenital deformity.</t>
  </si>
  <si>
    <t>Dynamic tracheal and mainstem bronchial collapse appears to be the primary pathology affecting this patient._x000D_
No changes concerning for significant cardiac chamber dilation or heart failure are identified._x000D_
Interstitial lung pattern is within the limits of age related artifactual change, but low-grade bronchitis cannot be excluded._x000D_
 No defined bronchial pattern or chronic airway changes suggestive of COPD identified.</t>
  </si>
  <si>
    <t>Convincing indication for cardiac medications is not seen in this study._x000D_
Echocardiography should be considered for more definitive evaluation._x000D_
_x000D_
Dynamic airway collapse present and concurrent viral pneumonitis or low-grade infectious bronchitis could also be contributing to the clinical signs._x000D_
Antibiotic therapy and symptomatic therapy for the cough is recommended._x000D_
Idiopathic chronic bronchitis can sometimes still be present without significant radiographic changes. Bronchodilator therapy may be of benefit.</t>
  </si>
  <si>
    <t xml:space="preserve">
1.A severe bronchointerstitial pulmonary pattern with atelectasis or pneumonia, a perihilar infiltrate and concurrent moderate dynamic airway disease have been detected._x000D_
2.Based on these AI airway/pulmonary findings, the probability of this patient having clinically detectable respiratory signs is NEAR CERTAINTY (&gt;99%)_x000D_
3.Are respiratory signs are present? If YES._x000D_
4.Are respiratory signs present? If NO._x000D_
5.Pleural fissure lines or small volume pleural effusion has been detected. In a mildly to moderately overweight animal, excessive pericardial fat can artifactually mimic the result of mild pleural effusion._x000D_
6.Severe cardiomegaly has been detected but Heart Failure is NOT suspected.</t>
  </si>
  <si>
    <t xml:space="preserve">Patient Name : Chloe Nevarez, Date of study: Jul 30, 2024
3 images are provided for review
Canine Thorax (3 Images) - 2 Lateral, 1 Vd
There are no previous radiographs for comparison.
Pulmonary parenchyma: A milds diffuse bronchial pattern is present.  A minimal diffuse interstitial pulmonary pattern is present. 
Pulmonary vasculature: The pulmonary vasculature is subjectively normal in size and tapers in the periphery of the lungs.
Cardiac silhouette: The cardiac silhouette is severely tall and occupies greater than 2./3 the height of the thorax with dorsal tracheal displacement.  The caudodorsal margin of the cardiac silhouette is flattened and enlarged.  Rounded increased soft tissue is in the region of the left atrium in the ventrodorsal image.    The cardiac silhouette is widened and occupies 3-4 intercostal spaces width. The cardiac silhouette is rounded in the region of the right ventricle in the ventrodorsal image.  
Mediastinum: The cranial mediastinum is mildly symmetrically widened without obvious increased soft tissue.
Trachea: The trachea is normal.
Esophagus: The esophagus is not well-identified.
Pleural space: A pleural fissure line is present between the right cranial/middle lung lobes in the ventrodorsal image.  
Musculoskeletal: The included musculoskeletal structures are normal.
</t>
  </si>
  <si>
    <t xml:space="preserve">1. Severe left- and right-sided cardiomegaly.
- Differential diagnoses include myxomatous mitral with/without tricuspid valvular disease, cor pulmonale/pulmonary hypertension or unlikely other or a combination of these.
2. Mild diffuse bronchial and minimal interstitial pulmonary patterns.
- Differential diagnoses include evolving/resolving  left-sided congestive heart failure with/without underlying infectious/immune-mediated lower airway disease such as from mycoplasma spp., bordetella spp., parasitism, or inhaled allergen/irritant or unlikely other.
3. Mild cranial mediastinal widening due to fat deposition or unlikely lymphadenomegaly or evolving mass.'
4. Right-sided pleural fissure line due to evolving/resolving pleural fluid such as from left-sided heart failure versus pleural thickening/folding or tangential beam artifact, or unlikely other.  </t>
  </si>
  <si>
    <t>Echocardiography, ECG and blood pressure for further evaluation. Consider diuretic therapy and oxygen therapy with repeat 4-view thoracic radiographs to monitor for progression/resolution of the pulmonary pattern.   Routine blood work and urinalysis if not recently performed.  Consider respiratory PCR panel, airway sampling, and fecal analysis/deworming for further evaluation of the lower airways.  Empirical therapy and supportive care in the interim as needed for coughing and possible concurrent lower airway disease.  Monitoring as directed or sooner if clinical signs acutely change, fail to improve or worsen.</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</si>
  <si>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3.SEVERE INTERSTITIAL TO ALVEOLAR PATTERN; SEVERE BRONCHIAL PATTERN; MODERATE DYNAMIC AIRWAY DISEASE._x000D_
4.Based on these AI airway/pulmonary findings, the probability of this patient having clinically detectable respiratory signs is VERY HIGH (&gt;75%)_x000D_
5.Are respiratory signs present? If YES._x000D_
6.Are respiratory signs present? If NO._x000D_
7.A mild perihilar infiltrate has been detected.</t>
  </si>
  <si>
    <t xml:space="preserve">Patient Name : Snow Milanovits, Date of study: Jul 29, 2024
2 images are provided for review
Canine Thorax (2 Images) - 1 Lateral, 1 Vd
Additional images are attached to case #2723248 dated the same day.
Pulmonary parenchyma: A minimal to mild diffuse bronchial pattern is present.  A minimal diffuse interstitial pattern is present, and the lungs are slightly hypoinflated.  
Pulmonary vasculature: The pulmonary vasculature is subjectively normal in size and tapers in the periphery of the lungs.
Cardiac silhouette: The cardiac silhouette is tall and occupies 2/3 the height of the thorax, with dorsal tracheal displacement.  Suspected increased soft tissue is in the region of the left atrium in the ventrodorsal image.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Peritoneum: Peritoneal detail is adequate.
Gastrointestinal tract: The stomach contains a moderate volume of heterogeneous soft tissue material admixed with gas.   The stomach is within normal limits for size.
The small intestine contains mild heterogeneous gas and soft tissue, or fluid or is empty with a subjectively uniform population for size. 
The colon contains mild to moderate heterogeneous admixed soft tissue material and gas.  The colon is within normal limits for size.  
Musculoskeletal: No obvious cervical intervertebral disc space narrowing is identified.  The remaining included musculoskeletal structures are normal.
</t>
  </si>
  <si>
    <t>1. Mild left-sided cardiomegaly such as from myxomatous mitral valvular disease and insufficiency or unlikely other.
- There is no current evidence of left-sided congestive heart failure.
2. Minimal diffuse bronchial and interstitial pulmonary patterns due to fibrosis from prior disease, age-related changes, infectious/immune-mediated lower airway disease or artifact/hypoinflation, or unlikely other.
3. Gastric material due to recent meal, versus gastritis/delayed gastric emptying, or less likely pyloric outflow tract obstruction.</t>
  </si>
  <si>
    <t>Consider echocardiography, ECG and blood pressure for further evaluation.  Routine blood work and urinalysis if not recently performed.  Consider neurologist consultation and MRI of the neck for further evaluation of occult myelopathy.  Monitoring as directed or sooner if clinical signs acutely change, fail to improve or worsen.</t>
  </si>
  <si>
    <t xml:space="preserve">
1.In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2.Are respiratory signs present? If NO._x000D_
3.Are respiratory signs present? If YES._x000D_
4.In the PRESENCE of respiratory signs, low grade active pneumonitis (allergic, bacterial, parasitic (including heartworm disease), inhaled allergen or toxin) or upper airway disease causing pulmonary hypoinflation and/or recurrent microaspiration may be more likely._x000D_
5.Mild cardiomegaly has been detected but Heart Failure is NOT suspected._x000D_
6.A minimal to mild perihilar infiltrate has been detected._x000D_
7.A mild bronchial pattern and concurrent mild dynamic airway disease have been detected._x000D_
8.MILD BRONCHOINTERSTITIAL PULMONARY PATTERN; MILD DYNAMIC AIRWAY DISEASE._x000D_
9.MILD BRONCHOINTERSTITIAL PULMONARY PATTERN; MINIMAL PERIHILAR PATTERN._x000D_
10.Based on these AI airway/pulmonary findings, the probability of this patient having clinically detectable respiratory signs is LOW to MEDIUM (25-50%)_x000D_
11.Based on the AI airway/pulmonary findings, the probability of this patient having clinically detectable respiratory signs is LOW (25%)</t>
  </si>
  <si>
    <t>6 views of the thorax and abdomen are submitted for review.  There is increased convexity of the right heart.  Mild straightening of the caudal cardiac waist is noted.  The pulmonary vasculature is normal.  Mild bronchointerstitial markings are noted in the lung fields.  No pleural effusion or intra-thoracic of adenopathy is noted.  The trachea is normal in diameter._x000D_
In the abdomen, the stomach contains mild amount of gas and ingesta.  The small bowel and colon are within normal limits.  The liver, spleen, renal silhouettes, and urinary bladder are within normal limits._x000D_
No definitive abnormalities noted in the thoracic or lumbar spine.</t>
  </si>
  <si>
    <t>The appearance of the heart could be consistent with mitral and tricuspid valve endocardiosis and mild chamber enlargement.  The increased convexity of the right heart could also be consistent with pulmonary hypertension or other right-sided heart disease.  However, this is not definitive and may also be within normal limits of variation for the breed._x000D_
Radiographically normal postprandial abdomen.</t>
  </si>
  <si>
    <t>An echocardiogram could be considered to further evaluate cardiac size and function, especially if a heart murmur is present.  Given the profound anemia, an abdominal ultrasound may also be indicated.</t>
  </si>
  <si>
    <t xml:space="preserve">
1.Are respiratory signs present? If NO._x000D_
2.Severe cardiomegaly has been detected but Heart Failure is NOT suspected._x000D_
3.MILD BRONCHOINTERSTITIAL PULMONARY PATTERN; MILD DYNAMIC AIRWAY DISEASE; MILD PERIHILAR INFILTRATE._x000D_
4.Based on these AI airway/pulmonary findings, the probability of this patient having clinically detectable respiratory signs is MEDIUM (50%)_x000D_
5.Are respiratory signs present? If YES.</t>
  </si>
  <si>
    <t xml:space="preserve">Patient Name : Beau Shilling, Date of study: Jul 30, 2024
3 images are provided for review
Canine Thorax (3 Images) - 2 Lateral, 1 Vd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</si>
  <si>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Minimal-mild diffuse bronchial pulmonary pattern.
- Differential diagnoses include fibrosis from prior disease, age-related changes, or less likely infectious/immune-mediated lower airway disease such as from bordetella spp., mycoplasma spp., parasitism, or inhaled allergen/irritant, or unlikely other.
2. No obvious pulmonary soft tissue nodules or intra-thoracic lymphadenomegaly.  </t>
  </si>
  <si>
    <t>Consider respiratory PCR panel, airway sampling, and fecal analysis for further evaluation.  This examination does not rule out underlying/evolving laryngeal paralysis, laryngitis or unlikely dynamic tracheal/bronchial airway disease.  Consider sedated laryngeal examination and tracheoscopy for further evaluation.    Empirical therapy and supportive care in the interim as needed. Monitoring as directed or sooner if clinical signs acutely change, fail to improve or worsen.</t>
  </si>
  <si>
    <t xml:space="preserve">
1.A minimal perihilar infiltrate has been detected._x000D_
2.The cardiac silhouette size is normal._x000D_
3.There is no evidence of BRONCHITIS, DYNAMIC AIRWAY COLLAPSE or BRONCHIECTASIS, PULMONARY NODULES or PLEURAL EFFUSION.</t>
  </si>
  <si>
    <t>A three view study of the abdomen is provided._x000D_
_x000D_
The liver is moderately enlarged. The shape of the liver is normal and the margins are smooth. There is a small area of irregular mineral opacity superimposed over the ventral liver which is suspected to represent mild mineralization in the biliary tree. There is faint arborizing mineral density associated with the kidneys consistent with mineralization in the collecting system. The right kidney is at the small end of acceptable size range. There is a mild reduction in serosal detail in the mid abdominal region. Small round lucencies consistent with gas bubbles can be seen in the urinary bladder._x000D_
_x000D_
There is mild narrowing of disc spaces in the caudal thoracic spine. There is intervertebral disc mineralization at T12-T13 and at L5-L6. No destructive or productive bone lesions are seen. The pelvis and hip joints are within normal limits._x000D_
_x000D_
The cardiovascular structures are within normal limits. There is moderate bronchial mineralization, likely the result of age related change.</t>
  </si>
  <si>
    <t>There is moderate hepatomegaly, and a small quantity of free gas in the bladder. Liver enlargement and cystitis with gas forming bacteria is a combination can occur secondary to endocrine disease such as diabetes mellitus or hyperadrenocorticism._x000D_
_x000D_
There is a mild reduction in overall detail in the abdomen, which is concerning for peritoneal inflammation, slight ascites, or nodular mesentery changes as might occur with carcinomatosis or aberrant parasitic migration._x000D_
_x000D_
There is moderate for calcinosis involving both kidneys. There is also moderate mineralization of the bronchi. These are most likely age related incidental changes, the hypercalcemia should also be ruled out._x000D_
_x000D_
There is evidence of disc degeneration in the caudal thoracic and lumbar spine.</t>
  </si>
  <si>
    <t>CBC, serum chemistry, and urinalysis with urine culture is recommended._x000D_
_x000D_
Ultrasound of the abdomen is recommended, with particular attention to the adrenal glands, liver, bladder, and mesentery._x000D_
_x000D_
Additional testing to rule out hyperadrenocorticism should also be considered.</t>
  </si>
  <si>
    <t xml:space="preserve">
1.MILD BRONCHIAL PATTERN; MILD DYNAMIC AIRWAY DISEASE; MILD PERIHILAR PATTERN._x000D_
2.Based on these AI airway/pulmonary findings, the probability of this patient having clinically detectablerespiratorysigns is LOW (25%)_x000D_
3.Are respiratory signs present? If YES._x000D_
4.Are respiratory signs present? If NO._x000D_
5.A severe interstitial pattern has been detected._x000D_
6.Moderate cardiomegaly has been detected but Heart Failure is NOT suspected.</t>
  </si>
  <si>
    <t>Seven radiographs of the thorax and thoracic limbs are provided. Images dated 4/4/23 are available for comparison. No definitive narrowed cervical intervertebral disc spaces. There is equivocal prominence of the left atrium today. Pulmonary vessels are normal size. Mild age-related changes are present in the lungs. No pleural effusion or soft tissue pulmonary nodules. Scapular contour and opacity is normal. The shoulder and cubital joints are congruent and without degenerative change. There is no osseous lysis. Carpal bone alignment and joint space width is normal. Possible fragmented/multipartite lateral proximal fabella of the left 4th digit, typically incidental. No other metacarpal or phalangeal osseous or soft tissue abnormalities.</t>
  </si>
  <si>
    <t>1. No definitive thoracic limb abnormalities are identified to explain the reported atrophy and lameness. With the described discomfort, a lateralized intervertebral disc lesion is the most likely diagnosis. Soft tissue sprain/strain is next on the differential list._x000D_
2. Equivocal prominent left atrium suggestive of acquired mitral valve disease. This is of doubtful clinical significance today.</t>
  </si>
  <si>
    <t>Advanced soft tissue imaging of the neck and thoracic limbs with MRI should be considered, particularly if there are neurologic deficits.</t>
  </si>
  <si>
    <t xml:space="preserve">Patient Name : fergus danssaert, Date of study: Jul 30, 2024
3 images are provided for review
Canine Thorax (3 Images) - 2 Lateral, 1 Vd
There are no previous radiographs for comparison.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soft tissue band partially superimposes ove rthe dorsal aspect of the trachea in one lateral image.  
Esophagus: The esophagus is not well-identified.
Pleural space: The pleural space is normal.
Musculoskeletal: The included musculoskeletal structures are normal.
</t>
  </si>
  <si>
    <t>1. Mild-moderate diffuse bronchial pulmonary pattern.
- Differential diagnoses include infectious/immune-mediated lower airway disease such as from mycoplasma spp., bordetella spp., parasitism, or inhaled allergen/irritant, or less likely other.
2. Presumed superimposed normal structures versus redundant dorsal tracheal membrane gi9ven patient breed.</t>
  </si>
  <si>
    <t xml:space="preserve">Patient Name : Bugsy Bugsy, Date of study: Jul 23, 2024
14 images are provided for review
There are no previous radiographs for comparison.
Bones/Joints:
There is a fracture of the left capital physis.  The left femoral head remains in place in the acetabulum.  The left femoral neck is displaced cranially. 
The coxofemoral joints have no obvious osteoarthrosis.  There is adequate coverage of the femoral heads by the acetabulums.
The left stifle has no evidence of osteoarthrosis.  Suspected increased soft tissue in the left stifle joint versus artifact due to positioning/motion.
The right stifle has no evidence of osteoarthrosis.  The right infrapatellar fat pad is well-defined.
The S1 segment is lumbarized with transverse processes bilaterally.  The caudal vertebrae are small with a kinkned shape (screw tail anomaly), consistent with patient breed.   The Included portion of the lumbar spine is normal.
There is no evidence of medullary sclerosis, osteolysis, endosteal scalloping, or periosteal proliferation.
Soft tissues:  The included soft tissues are normal.
</t>
  </si>
  <si>
    <t xml:space="preserve">1. Left femoral capital physeal fracture with minimal displacement of the femoral neck.
2. Suspected left stifle joint effusion versus artifact from positioning/motion.
3. Normal right pelvic limb.  </t>
  </si>
  <si>
    <t>Consider orthopedic consultation and possible internal reduction with rigid fixation versus femoral head/neck ostectomy.  Empirical therapy and supportive care in the interim as needed.  Focused stifle radiographs may be contributory for further evaluation.  .  Monitoring as directed, or sooner if clinical signs acutely change, fail to improve or worsen.</t>
  </si>
  <si>
    <t xml:space="preserve">Patient Name : Labrador Retriever R-7293 C-3716 Petland, Date of study: Jul 30, 2024
3 images are provided for review
Canine Thorax (3 Images) - 2 Lateral, 1 Vd
There are no previous radiographs for comparison.
Pulmonary parenchyma: A mild to moderate diffuse bronchial pattern is present.  An alveolar pattern with increased soft tissue and faint air-bronchograms is in the ventral periphery of the right middle lung lobe.  An alveolar pattern is suspected in the ventral periphery of the left cranial lung lobes caudal subsegment.  Possible alveolar soft tissue in the ventral periphery of the left caudal lung lobe.  
Pulmonary vasculature: The pulmonary vasculature is subjectively normal in size and tapers in the periphery of the lungs.
Cardiac silhouette: The cardiac silhouette is normal in size and shape.
Mediastinum: A sail sign is present in the left cranial thorax, likely due to normal thymus and the age of this patient
Trachea: The trachea is normal.
Esophagus: The esophagus is not well-identified.
Pleural space: The pleural space is normal.
Musculoskeletal: The included musculoskeletal structures are normal.
</t>
  </si>
  <si>
    <t xml:space="preserve">1. Right middle lung lobe and suspected left cranial/caudal lung lobes alveolar patterns.
- Differential diagnoses include pneumonia/bronchopneumonia, such as from aspiration, occult foreign material or a combination of these, or unlikely fungal/granulomatous disease such as from blastomycosis spp. or unlikely hemorrhage or other. 
2. Mild-moderate diffuse bronchial pulmonary pattern such as from infectious/immune-mediated lower airway disease (mycoplasma spp., bordetella spp., parasitism, or other) and/or inhaled allergen/irritant, or unlikely other.
</t>
  </si>
  <si>
    <t>Continue therapy for suspected bronchopneumonia.  Routine blood work and coagulation testing if not recently performed.  Consider computed tomography of the thorac for further evaluation.   Consider respiratory PCR panel, airway sampling, and fecal analysis/deworming for further evaluation of a fastidious organism or antibiotic resistant organism complicating clinical presentation/therapy  Abdominal imaging to screen for occult systemic disease may be contributory.  Monitoring as directed or sooner if clinical signs acutely change, fail to improve or worsen.</t>
  </si>
  <si>
    <t xml:space="preserve">
1.Are respiratory signs present? If YES._x000D_
2.Are respiratory signs present? If NO._x000D_
3.SEVERE ALVEOLAR PATTERN; CONCURRENT MODERATE BRONCHOINTERSTITIAL PATTERN; MILD DYNAMIC AIRWAY DISEASE._x000D_
4.Based on these AI airway/pulmonary findings, the probability of this patient having clinically detectable respiratory signs is HIGH (75%)_x000D_
5.Pleural fissure lines or moderate to severe pleural effusion has been detected. An overlying skin fold or in an obese animal, excessive pericardial fat could artifactually mimic the result of severe pleural effusion._x000D_
6.The cardiac silhouette size is normal.</t>
  </si>
  <si>
    <t>A three view study of the thorax including the neck is provided for interpretation. Previous radiographs from April 2024 are available for comparison._x000D_
_x000D_
The heart is at the upper end of normal range to slightly enlarged. The shape of the heart is normal. No pulmonary vascular abnormalities are seen. Interstitial lung opacity is mildly increased, within the limits of age related change. No alveolar infiltrates or pleural effusion are identified. No tracheal or laryngeal abnormalities are identified._x000D_
_x000D_
The liver is moderately enlarged. This was also present in previous radiographs._x000D_
There is a mineral dense foreign body in the stomach compatible with a small rock. A similar structure was present in the stomach in the previous radiographs.</t>
  </si>
  <si>
    <t>Heart size is borderline. No evidence of heart failure is identified._x000D_
No pulmonary abnormalities felt to be clinically significant are identified. The mild increase in interstitial opacity is within the limits of age related change. Viral pneumonitis or allergic lung disease could still be present._x000D_
No changes concerning for tracheal collapse are identified._x000D_
_x000D_
There is moderate hepatomegaly, which was also seen previously. This would be compatible with many types of diffuse hepatopathy._x000D_
_x000D_
There is a foreign body consistent with a small rock in the stomach. This was also present in previous radiographs three months ago. The shape appears slightly different in the current study. Chronic gastric foreign body is a possibility, but this may well represent a different rock if the patient has a tendency to eat small rocks.</t>
  </si>
  <si>
    <t xml:space="preserve">
1.Based on these AI airway/pulmonary findings, the probability of this patient having clinically detectable respiratory signs is VERY HIGH (&gt;75%)_x000D_
2.Are respiratory signs present? If YES._x000D_
3.Are respiratory signs present? If NO._x000D_
4.Severe bronchointerstitial pulmonary pattern present._x000D_
5.A moderate to severe interstitial to alveolar pattern has been detected._x000D_
6.A mild perihilar infiltrate has been detected._x000D_
7.Severe cardiomegaly has been detected but Heart Failure is NOT suspected._x000D_
8.Severe bronchial and severe alveolar pattern._x000D_
9.SEVERE BRONCHIAL PATTERN; MODERATE DYNAMIC AIRWAY DISEASE.</t>
  </si>
  <si>
    <t>Thorax: There is moderate to severe left-sided cardiomegaly.  There is a diffuse bronchial interstitial pattern.  Faint pleural fissure lines are noted.  The remainder of the thorax is unremarkable._x000D_
_x000D_
Abdomen: There is diffuse hepatomegaly with caudal displacement of the body and pylorus of the stomach.  The right kidney is caudally displaced.  There is bilateral nephroliths.  The remainder of the abdomen is unremarkable.</t>
  </si>
  <si>
    <t>Moderate left-sided cardiomegaly._x000D_
_x000D_
Diffuse bronchointerstitial pattern which may be age-related or bronchitis._x000D_
_x000D_
Pleural fissure lines which may be incidental or mild pleural effusion._x000D_
_x000D_
Diffuse hepatomegaly._x000D_
_x000D_
Bilateral nephroliths.</t>
  </si>
  <si>
    <t xml:space="preserve">
1.Pleural fissure lines or small volume pleural effusion has been detected. In a mildly overweight animal, excessive pericardial fat can artifactually mimic the result of minimal pleural effusion._x000D_
2.Severe cardiomegaly has been detected but Heart Failure is NOT suspected._x000D_
3.A moderate bronchointerstitial pattern with alveolar infiltrates has been detected._x000D_
4.A moderate interstitial to alveolar infiltrate, mild bronchial pattern and concurrent mild perihilar infiltrate have been detected._x000D_
5.Probability these AI pulmonary findings will accompany clinically detectable respiratory signs: MEDIUM (50%)_x000D_
6.Are respiratory signs present? If YES._x000D_
7.Are respiratory signs present? If NO.</t>
  </si>
  <si>
    <t>Study:_x000D_
Spinal radiography: seven images dated July 30, 2024_x000D_
_x000D_
Findings:_x000D_
The left occipital junction is normal. The dens is intact and well defined. The atlantoaxial joint space is normal. There is narrowing of the C6-C7, T 12-T 13 through T 13-L1 and L7-S1 intervertebral disc spaces. There is able mild to severe multifocal thoracolumbar and lumbosacral spondylosis deformans. There is no evidence of discospondylitis. The included appendicular skeletal structures are unremarkable. The included thorax is normal. The stomach contains unstructured heterogeneous soft tissue material presumed to be ingesta. The included abdomen is otherwise unremarkable.</t>
  </si>
  <si>
    <t>C6-C7, T 12-T 13 through T 13-L1 and L7-S1 intervertebral disc disease. Neurology consultation and MRI can be considered for further evaluation if clinical signs persist or worsen in spite of continued pain management and strict activity restriction</t>
  </si>
  <si>
    <t xml:space="preserve">Patient Name : Tina Thomas, Date of study: Jun 24, 2024
3 images are provided for review
Canine Thorax (3 Images) - 1 Vd, 2 Lateral
There are no previous radiographs for comparison.
Pulmonary parenchyma: A mild to moderate diffuse bronchial pattern is present.  A minimal diffuse interstitial pulmonary pattern is present and the lungs are hypoinflated in the lateraal images.  
Pulmonary vasculature: The pulmonary vasculature is subjectively normal in size and tapers in the periphery of the lungs.
Cardiac silhouette: The cardiac silhouette is mildly tall and occupies 2/3 the height of the thorax in the lateral images.  The trachea is slightly dorsally displaced.
Mediastinum: The cranial mediastinum is normal.
Trachea: The trachea is normal.
Esophagus: The esophagus is not well-identified.
Pleural space: The pleural space is normal. 
Musculoskeletal: Spondylosis deformans is at T5-6.  A broad-based fat to soft tissue opaque nodule arises from the mid-ventral extra-throacic soft tissues.  The remaining included musculoskeletal structures are normal.
</t>
  </si>
  <si>
    <t>1. Mild-moderate diffuse bronchial pulmonary pattern.
- Differential diagnoses include infectious/immune-mediated lower airway disease such as from mycoplasma spp., bordetella spp., parasitism, or inhaled allergen/irritant, or less likely other, with/without concurrent fibrosis from prior disease, age-related changes, or unlikely other.
2. Equivocal left ventricular enlargement versus artifact from phase of the cardiopulmonary cycle and/or patient positioning.
- If present, consider evolving  mitral valvular disease and insufficiency.
- There is no current evidence of left-sided congestive heart failure.  
3. Minimal diffuse interstitial pulmonary pattern due to fibrosis from prior disease, hypoinflation/artifact, or underlying infectious/immune-mediated lower airway disease, or unlikely other.
4. Mid-ventral extra-thoracic soft tissue nodule such as from lipoma versus other.</t>
  </si>
  <si>
    <t>Consider respiratory PCR panel, airway sampling, bronchoscopy/tracheoscopy, and fecal analysis/deworming for further evaluation.  Routine blood work if not recently performed.  If a murmur is later identified or if progressive/persistent left-sided cardiomegaly is in recheck images, consider echocardiography, ECG and blood pressure for further evaluation.  Empirical therapy for infectious/immune-mediated lower airway disease and cough in the interim as needed.  This examination does not rule out underlying dynamic airway disease contributing to reported clinical signs.  Monitoring as directed or sooner if clinical signs acutely change, fail to improve or worsen.</t>
  </si>
  <si>
    <t>Eight radiographs of the thorax are provided. There are three ventral dorsal views and five right lateral views available. The cardiac silhouette and pulmonary vessels are normal size and shape. There is a mild bronchial pattern throughout the lungs. No soft tissue pulmonary nodules or pleural effusion. There is hazy increased opacity dorsal to the 2nd sternal segment on the lateral views, with only fat deposition seen in the cranial mediastinum on the VD projections. Elongated soft tissue density overlying the dorsal aspect of the caudal cervical trachea is likely adjacent esophagus. There is transient caudal thoracic esophageal dilation, incidental. No abnormalities in the cranial abdomen.</t>
  </si>
  <si>
    <t>1. Mild bronchial pattern. While age-related change could be contributing to this appearance, in light of the history, allergic bronchitis is suspected. There is no evidence of cardiovascular disease or pneumonia._x000D_
2. The appearance of the cranioventral thorax is most likely summating thoracic limb tissue and mediastinal fat. Sternal lymphadenopathy is given lesser consideration.</t>
  </si>
  <si>
    <t>A two view thoracoabdominal study is provided for interpretation._x000D_
_x000D_
No spinal abnormalities are identified. There is mild chronic remodeling involving the left femoral head and neck. The acetabulum and the rest of the pelvis are unremarkable. The appearance of the right hip is normal. The left patella is luxated medially in the VD view. No fractures or destructive/productive bone lesions are identified._x000D_
_x000D_
The cardiovascular structures are within normal limits. The heart is at the upper end of normal size range with normal shape. No pulmonary infiltrates or pleural effusion are identified._x000D_
_x000D_
The abdominal organs are within normal size and shape limits. No mass lesions or loss of detail are seen in the abdomen.</t>
  </si>
  <si>
    <t>No findings that would explain the presenting complaint are identified in the radiographs. Soft tissue pathology affecting the spinal canal or lumbar plexus including neoplasia not visible in the radiographs should still be ruled out._x000D_
_x000D_
No significant thoracic or abdominal abnormalities are identified._x000D_
_x000D_
The left medial patellar luxation in the mild chronic remodeling involving the left hip is probably incidental.</t>
  </si>
  <si>
    <t>Disc disease cannot be entirely excluded, but other soft tissue pathology including neoplasia still be ruled out._x000D_
Soft tissue trauma resulting in nerve damage should also be ruled out._x000D_
MRI should be considered.</t>
  </si>
  <si>
    <t>Three radiographs of the thorax and three views of the head/neck are provided. The cardiac silhouette is normal size for this breed. Pulmonary vessels are normal size. There are mild age-related changes in the lungs. No soft tissue pulmonary nodules or pleural effusion. Small volume fat deposition adjacent to the heart and extending between the right cranial and middle lung lobes on the VD projection. Fat deposition separates the cranioventral lungs from the sternum. Normal tracheal diameter. In the cranial abdomen the liver is upper normal size. There is broad-based 3.8 x 1.4 cm soft tissue swelling ventral to the caudal mandibles and hyoid apparatus on the lateral views, not definitively seen on the VD projection. No mandibular, hyoid bone, or laryngeal abnormalities. There is no osseous lysis or proliferation. No skull osseous abnormalities. The temporomandibular joints are congruent.</t>
  </si>
  <si>
    <t>Submandibular soft tissue swelling, with no adjacent osseous involvement. Consider abscess, salivary mucocele, reactive lymph node, lymph node or salivary gland neoplasia. Normal thorax.</t>
  </si>
  <si>
    <t>Fine needle aspirates of the swelling (+/- ultrasound guidance) should be considered. If further imaging of the area is desired, computed tomography would be recommended.</t>
  </si>
  <si>
    <t xml:space="preserve">
1.Are respiratory signs present? If NO._x000D_
2.MODERATE INTERSTITIAL TO ALVEOLAR PATTERN; MILD DYNAMIC AIRWAY DISEASE; MINIMAL PERIHILAR INFILTRATE._x000D_
3.Based on the AI airway/pulmonary findings, the probability of this patient having clinically detectable respiratory signs is MEDIUM to HIGH (50%-75%)_x000D_
4.Are respiratory signs present? If YES._x000D_
5.AI linked bacterial pneumonia treatment in dogs: https://platform.v2.vetology.net/doc/pneumonia-in-dogs-and-cats_x000D_
6.Moderate cardiomegaly has been detected but Heart Failure is NOT suspected.</t>
  </si>
  <si>
    <t>WHOLE-BODY (2 total radiographs for review). _x000D_
_x000D_
- Moderate to marked diffuse bronchial pulmonary pattern._x000D_
- Mild narrowing and dorsal opacification of the trachea at the level of the thoracic inlet._x000D_
- Slightly prominent aortic root.  Cardiac silhouette otherwise within normal.  Pulmonary vasculature normal._x000D_
- Region of sternal, cranial mediastinal and tracheobronchial lymph nodes normal._x000D_
- Mediastinum, pleural space and remaining included intrathoracic structures normal._x000D_
- The liver is severely enlarged, with rounded margins._x000D_
- Stomach and small intestine are nondistended and contain mild multifocal gas and soft tissue opaque material._x000D_
- The colon contains gas and formed fecal material._x000D_
- The spleen, region of the kidneys and urinary bladder are normal._x000D_
- Mild multifocal vertebral spondylosis deformans._x000D_
- Bilateral stifle osteoarthritis (limited assessment)._x000D_
- On the VD projection partially included in collimation caudally, there is a suspicious region of heterogeneous sclerosis and stippled lysis associated with the greater trochanter of the left femur (limited assessment).</t>
  </si>
  <si>
    <t>1.  Moderate to marked diffuse bronchial pulmonary pattern.  Likely supporting lower airway disease.  Typically, the first differential diagnosis is chronic bronchitis, however in this case given the history and the findings at the left femur (see below), it could be associated with suspected fungal infection (e.g. coccidiomycosis).  However, there is no obvious intrathoracic lymphadenopathy, which is more classic of Valley Fever. I would consider awaiting results of fungal testing/titers, treating the patient for chronic lower airway disease and if indicated a thoracic CT with lower airway sampling might be reasonable._x000D_
_x000D_
2.  The appearance of the trachea at the level of the thoracic inlet can support tracheal collapse secondary to chondromalacia._x000D_
_x000D_
3.  Prominent aortic root.  This can be incidental or associated with systemic hypertension.  There is no obvious radiographic cardiomegaly, however given the reported cardiac murmur, echocardiogram/ECG and systemic blood pressure measurement may be considered regardless in this patient._x000D_
_x000D_
4.  Questionable aggressive bone lesion (e.g. osteomyelitis, neoplasia) on the greater trochanter of the left femur (limited assessment).  Seen only on the VD projection at the caudal periphery of collimation.  Consider collimated radiographs of the region and/or CT for further assessment._x000D_
_x000D_
5. Marked hepatomegaly. Most likely vacuolar (metabolic) hepatopathy. Hepatic congestion, hepatitis or neoplasia are less likely, but possible._x000D_
_x000D_
6.  Bilateral stifle osteoarthritis (limited assessment)._x000D_
_x000D_
7.  Prominent aortic root may be associated with systemic hypertension.</t>
  </si>
  <si>
    <t xml:space="preserve">
1.Based on these AI airway/pulmonary findings, the probability of this patient having clinically detectable respiratory signs is MEDIUM (50%)_x000D_
2.Are respiratory signs present? If YES._x000D_
3.Are respiratory signs present? If NO._x000D_
4.A mild perihilar infiltrate and concurrent, mild dynamic airway disease have been detected._x000D_
5.MODERATE BRONCHIAL PATTERN; MILD DYNAMIC AIRWAY DISEASE._x000D_
6.Mild dynamic airway disease has been detected._x000D_
7.Mild cardiomegaly has been detected but Heart Failure is NOT suspected._x000D_
8.There is no evidence of PULMONARY NODULES.</t>
  </si>
  <si>
    <t>3 views of the thorax are presented for review.  The cardiovascular structures are normal.  There is a diffuse interstitial pulmonary pattern that is considered appropriate for the age of the patient.  No pulmonary nodules or enlarged intrathoracic lymph nodes are seen.  The esophagus is gas distended.  The pleural and mediastinal structures are normal.  Cranial abdominal detail is adequate.</t>
  </si>
  <si>
    <t>Gas distention of the esophagus may indicate megaesophagus, such as associated with myasthenia gravis.</t>
  </si>
  <si>
    <t xml:space="preserve">Patient Name : Pluto Tinklepaugh, Date of study: Jul 30, 2024
6 images are provided for review
There are no previous radiographs for comparison.
Pulmonary parenchyma: A mild diffuse bronchial pattern is present.  Few small ovoid mineral foci are in the cranioventral aspect of the lungs.  
Pulmonary vasculature: The pulmonary vasculature is subjectively normal in size and tapers in the periphery of the lungs.
Cardiac silhouette: The cardiac silhouette is slightly tall and occupies 2/3 the height of the thorax.  The trachea is slightly dorsally displaced.  The caudodorsal margin of the cardiac silhouette is slightly flattened.  
Mediastinum: The cranial mediastinum is normal.
Trachea: The trachea is normal.
Esophagus: The esophagus is not well-identified.
Pleural space: The pleural space is normal.
Liver: The liver is mildly small with cranial displacement of the gastric axis.  
Spleen: The spleen is normal in size with smooth margins and homogeneous soft tissue.
Kidneys: The kidneys are normal in size and shape without obvious mineral.
Retroperitoneum: Retroperitoneal detail is adequate.
Urogenital: The urinary bladder contains at least three, well-defined, smoothly marginated mineral foci centrally over its lumen.  Only one of these mineral foci is over the urinary bladder in the alternate lateral image.  The urinary bladder is normal in size and smoothly marginated.  
Peritoneum: Peritoneal detail is adequate.
Gastrointestinal tract: The stomach contains a moderate heterogeneous soft tissue material admixed with gas.  The stomach is within normal limits for size.
The small intestine contains mild to moderate gas and mild heterogeneous soft tissue material with a subjectively uniform population for size. 
The colon contains mild heterogeneous soft tissue material and gas.  The colon is within normal limits for size.  
Musculoskeletal: At L2-3 and L3-4 have mineral superimposed over the ventral aspect of the intervertebral foramina.  The remaining  included musculoskeletal structures are normal.
</t>
  </si>
  <si>
    <t xml:space="preserve">1.  Mild left-sided cardiomegaly such as from myxomatous mitral valvular disease and insufficiency.
- There is no obvious evidence of right-sided cardiomegaly or pulmonary arterial enlargement in this examination given reported historic heartworm disease.
- There is no current evidence of left-sided congestive heart failure.  
2. Mild diffuse bronchial pulmonary pattern such as from fibrosis from prior disease, age-related changes, or less likely  infectious/immune-mediated lower airway disease, or unlikely other.
3. Presumed benign pulmonary osteomas/
4.   At least one ovoid mineral focus in the urinary bladder.
- This is consistent with reported historic urocystoliths
5. L2-3 and L3-4 suspected dorsal spondylosis deformans versus soft tissue mineral or less likely mineralized herniated intervertebral disc material.  </t>
  </si>
  <si>
    <t>Consider echocardiography, eCG and blood pressure, as well as urinalysis, culture/sensitivity testing for further evaluation.  Routine blood work may be contributory if not recently performed.  Empirical therapy and supportive care in the interim as needed for cough, and cystitis with continued dissolution diet protocol and monitoring as directed or sooner if clinical signs acutely change or worsen.</t>
  </si>
  <si>
    <t xml:space="preserve">
1.Are respiratory signs present? If YES._x000D_
2.MINIMAL TO MILD BRONCHOINTERSTITIAL PULMONRAY PATTERN; MILD PERIHILAR PATTERN._x000D_
3.Based on the AI airway/pulmonary findings, the probability of this patient having clinically detectable respiratory signs is LOW (25%)_x000D_
4.Are respiratory signs present? If NO._x000D_
5.The cardiac silhouette size is normal._x000D_
6.There is no evidence of DYNAMIC AIRWAY COLLAPSE or BRONCHIECTASIS, PULMONARY NODULES or PLEURAL EFFUSION.</t>
  </si>
  <si>
    <t>Study:_x000D_
Thoracic and abdominal radiography: right lateral projections (two images dated July 30, 2024_x000D_
_x000D_
Findings:_x000D_
Evaluation of the thorax is limited by the lack of left lateral and orthogonal views. The cardiac silhouette is normal in size and shape. The pulmonary vasculature is normal in size. There is a 4.3 cm soft tissue opaque pulmonary mass in the cranioventral thorax, partially superimposed with the third ribs. There is impression of a second 2.3 cm round soft tissue opaque nodule dorsal to the carina in the fifth intercostal space. Multiple punctate mineral foci, consistent with incidental pulmonary osteomas are scattered throughout the pulmonary parenchyma. The pleural space is normal. There is no intrathoracic lymphadenopathy. The trachea is normal in diameter. Evaluation the abdomen is limited by the lack of a VD view. There is a 6.8 cm mineral opaque foreign body with a gas lucent center in the pylorus. The small intestines are normal in size, course and content. The colon contains a small volume of gas and poorly formed fecal material. The liver extends mildly beyond the costal arch with smooth margins. There is a 16.6 cm round soft tissue opaque mass in the midabdomen, dorsal to the tail the spleen. The renal silhouettes are normal in size and contour. The included portion of the urinary bladder is unremarkable. The region of the prostate is not included. No skeletal abnormalities present.</t>
  </si>
  <si>
    <t>1. Mid abdominal mass. A splenic mass is prioritized. Rule out neoplasia, hyperplasia or hematoma. Recommend abdominal sonography for further evaluation._x000D_
2. The smaller of the two pulmonary lesions may indicate metastatic disease from the mid abdominal mass. The larger of the pulmonary lesions may represent metastatic disease or a primary lung tumor. Left lateral and orthogonal views are recommended to complete the thoracic series._x000D_
3. Gastric foreign body.</t>
  </si>
  <si>
    <t>Four radiographs of the thorax/abdomen are provided. The cardiac silhouette and pulmonary vessels are normal size and shape. The lungs are clear. Small volume fluid in the caudal esophagus on the lateral views is not persistent and is incidental. Normal tracheal diameter. In the abdomen there is small-volume semi-formed feces in the colon. Punctate mineral density in the colon is likely incidental. There is gas in the cecum and proximal colon. Small-volume fluid and gas in the stomach. Small bowel are minimally filled with fluid and scant gas. No severe intestinal distention. Normal-sized liver, spleen, left kidney. The right kidney is obscured. No radiopaque cystic calculi.</t>
  </si>
  <si>
    <t>Normal thorax and abdomen. Gastroenteritis secondary to dietary indiscretion is most likely. Small radiolucent gastric foreign material is not definitively ruled out. There is no evidence of small bowel obstruction.</t>
  </si>
  <si>
    <t>If the patient does not rapidly improve with supportive care, consider strictly fasted abdominal ultrasound. If ultrasound is not available, a positive contrast gastrogram is another option.</t>
  </si>
  <si>
    <t>Three radiographs of the thorax/abdomen are provided. Images dated 4/26/23 are available for comparison. The heart and pulmonary vessels are of normal size and shape. There are no abnormalities in the pulmonary parenchyma. No pleural effusion. Possible redundant dorsal trachealis membrane in the cervical region on the right lateral view. No esophageal dilation. In the abdomen there is no effusion or organomegaly. The gastrointestinal tract is mildly filled. Small mineral density overlies the L2-3, L3-4, L4-5 intervertebral foramina as before, of doubtful significance today.</t>
  </si>
  <si>
    <t>The appearance of the cervical trachea is suggestive of dynamic tracheal collapse. In the absence of associated honking cough or sensitivity with tracheal palpation, significance is doubtful. Otherwise normal thorax and abdomen. Inhaled irritants/allergens is suspected.</t>
  </si>
  <si>
    <t>If the patient does not improve with treatment for allergic airway disease, airway cytology should be considered.</t>
  </si>
  <si>
    <t xml:space="preserve">Patient Name : Guinness Bahamondes, Date of study: Jul 30, 2024
3 images are provided for review
Canine Thorax (3 Images) - 2 Lateral, 1 Vd
There are no previous radiographs for comparison.
Pulmonary parenchyma: A mild diffuse bronchial pattern is present.  No obvious evidence of an evolving ventral interstitial or alveolar pattern in this examination.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</si>
  <si>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Mild diffuse bronchial pulmonary pattern.
- Differential diagnoses include infectious/immune-mediated lower airway disease such as from mycoplasma spp., bordetella spp., parasitism, or inhaled allergen/irritant, fibrosis from prior disease, age-related changes, or unlikely other.  
2. No evidence of intra-thoracic lymphadenomegaly or pulmonary nodules.</t>
  </si>
  <si>
    <t>Consider respiratory PCR panel, airway sampling, and fecal analysis for further evaluation.   Routine blood work may be contributory to screen for occult systemic disease if not recently performed.   Empirical therapy and supportive care in the interim as needed for reported cough.  Consider repeat radiographs versus computed tomography and airway sampling if signs fail to improve or worsen.  Monitoring as directed or sooner if clinical signs acutely change, fail to improve or worsen.</t>
  </si>
  <si>
    <t>7 orthogonal radiographs of the pelvis and pelvic limbs dated 29th July 2024 are available for review. There are no previous radiographs available for comparison._x000D_
_x000D_
Pelvis: The included lumbar vertebral column is normal. The iliosacral joints are symmetric. There is good coverage of the femoral heads by the acetabuli.  No degenerative modelling is noted at the acetabular rim and femoral heads and there is good articular congruency. The pelvic and caudal thigh musculature is symmetric. The patella are in an anatomical position._x000D_
_x000D_
Joints and long bones: There is cranial translation of the right tibial plateau relative to the femoral condyles. There is moderate soft tissue attenuation of the right stifle joint space, causing infrapatellar fat pad compression. Enthesiophytic modelling is present at the insertion of the left patellar ligament. Mild soft tissue attenuation of the left stifle joint is present._x000D_
_x000D_
Soft tissues: A very large fat opaque mass is present at the right caudal thigh._x000D_
The hepatic silhouette is mildly enlarged with undulating margins in the lateral abdominal image. Mineralisation is present in the regions of the kidneys.</t>
  </si>
  <si>
    <t>1. These findings are consistent with right stifle joint synovitis/arthritis most likely caused by a cranial cruciate partial or complete rupture.  Other intra-articular soft tissue pathology such as meniscal damage cannot be excluded._x000D_
2. Right caudal thigh large lipomatous mass. A liposarcoma is possible._x000D_
3. The hepatomegaly is most likely due to vacuolar hepatopathy, or underlying endocrine disease. Considering the undulating margin, suspicion for neoplasia is increased._x000D_
4. The mineralisation may be within the kidneys (hilar renolithiasis) or associated with the adrenal glands.</t>
  </si>
  <si>
    <t>This is to be correlated with manipulation under sedation or anaesthesia. Depending on outcome, a surgical consultation may be considered._x000D_
Careful empirical management, including controlled exercise, non-steroidal anti-inflammatories, or multimodal analgesia, after normal blood work may be considered in the meantime._x000D_
Consider abdominal ultrasound with FNA of the liver. Consider a complete abdominal radiographic examination.</t>
  </si>
  <si>
    <t xml:space="preserve">
1.A minimal to mild bronchointerstitial pulmonary pattern has been detected._x000D_
2.Severe cardiomegaly has been detected but Heart Failure is NOT suspected._x000D_
3.There is no evidence of DYNAMIC AIRWAY COLLAPSE or BRONCHIECTASIS or PULMONARY NODULES.</t>
  </si>
  <si>
    <t>Three orthogonal thoracic radiographs dated 29th July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A ventral cutaneous fat opaque mass is present.</t>
  </si>
  <si>
    <t>1. Normal thorax. This does not preclude the presence of a mild viral pneumonia, laryngitis or/tracheatis or other upper respiratory disease._x000D_
2. Likely ventral lipoma. Another a soft issue neoplasm is possible.</t>
  </si>
  <si>
    <t>An upper respiratory examination is advised. observational management is advised. Respiratory workup including CBC, serum chemistry, urinalysis, Baermann faecal testing, 4DX, +/- respiratory panel or fungal testing as indicated may be considered depending on clinical progression.</t>
  </si>
  <si>
    <t>Abdomen: There is an increase in wispy soft tissue opacity involving the abdomen as well as suboptimal serosal detail.  There are no abnormalities involving the visible portions of the liver, gastrointestinal tract, or urinary tract._x000D_
_x000D_
Thorax: There is bilateral pleural effusion which is worse on the right side.  The cardiac silhouette appears small.</t>
  </si>
  <si>
    <t>Peritoneal effusion._x000D_
_x000D_
Microcardia which may be secondary to hypovolemia/dehydration._x000D_
_x000D_
Pleural effusion.</t>
  </si>
  <si>
    <t>Consider abdominal and thoracic ultrasound for further evaluation.</t>
  </si>
  <si>
    <t xml:space="preserve">
1.MODERATE TO SEVERE INTERSTITIAL TO ALVEOLAR PATTERN; PLEURAL EFFUSION or PLEURAL FISSURE LINES; PULMONARY NODULES or NODULAR PATTERN; MILD BRONCHITIS._x000D_
2.Based on the AI airway/pulmonary findings, the probability of this patient having clinically detectable respiratory signs is VERY HIGH (&gt;75%)_x000D_
3.Are respiratory signs present? If YES._x000D_
4.AI linked canine pneumonia treatment: https://platform.v2.vetology.net/doc/pneumonia-in-dogs-and-cats_x000D_
5.Are respiratory signs present? If NO._x000D_
6.The cardiac silhouette size is normal._x000D_
7.There is no evidence of DYNAMIC AIRWAY COLLAPSE or BRONCHIECTASIS.</t>
  </si>
  <si>
    <t>WHOLE-BODY (6 total radiographs for review). _x000D_
_x000D_
- Mild bilateral glenohumeral periarticular osteophyte formation. _x000D_
- The cervical vertebrae and cervicothoracic junction are normal._x000D_
- Collapse of the T12-13 intervertebral disc space with endplate sclerosis and spondylosis deformans._x000D_
- The lumbar vertebrae and lumbosacral junction are normal._x000D_
- The sacrum and sacroiliac joints are normal._x000D_
- The pelvic bones are normal._x000D_
- Mildly reduced femoral head coverage by the dorsal acetabular rim, bilaterally._x000D_
- The included portions of the proximal pelvic limbs are normal._x000D_
- Peritoneal serosal detail is normal._x000D_
- The stomach contains mild gas and gas-stippled soft-tissue opaque material_x000D_
- The small intestine is mildly homogeneously distended with gas and soft-tissue opaque material._x000D_
- The colon contains gas, soft-tissue/fluid and minimal formed fecal material. It has a mildly undulant/corrugated appearance. The transverse colon is mildly displaced caudally and to the right._x000D_
- The liver, spleen, region of the kidneys and urinary bladder are normal._x000D_
- The cardiac silhouette and pulmonary vasculature are normal._x000D_
- The pulmonary parenchyma is normal_x000D_
- The trachea, esophagus and remainder of the mediastinum are normal._x000D_
- The pleural space and remaining intrathoracic structures are normal.</t>
  </si>
  <si>
    <t>1. The appearance of the stomach, small intestine and colon can be compatible with a non-specific generalized functional ileus (e.g. gastroenterocolitis).  The changes could be secondary to pancreatitis, as there is a mild displacement of the colon that may be seen with this pathology, however overt pancreatic enlargement is not identified. There is no evidence of small intestinal foreign material or mechanical obstruction. Abdominal ultrasonography might be considered, especially if gastrointestinal signs manifest in this patient._x000D_
_x000D_
2. T12-13 intervertebral disc disease. The clinical relevance of this is uncertain, and it may or may not be contributing to the patient=ZZ91=s clinical picture. Given the appearance of the GI tract (as well as reportedly normal spinal palpation), it is reasonable to consider that this finding is prior/chronic and incidental. _x000D_
_x000D_
3. Mildly reduced femoral head-dorsal acetabular rim coverage may be artefactual due to limb positioning but could indicate laxity from hip dysplasia._x000D_
_x000D_
4. Mild bilateral shoulder osteoarthritis._x000D_
_x000D_
5. Normal thorax.</t>
  </si>
  <si>
    <t>Study:_x000D_
Thoracic radiography: three images dated July 29, 2024_x000D_
_x000D_
Findings:_x000D_
The cardiac silhouette and pulmonary vasculature are normal in size. There is incidental age-related bronchial wall mineralization in the caudodorsal lung fields. The pulmonary parenchyma is otherwise unremarkable. No pulmonary nodules or masses are present. The pleural space is normal. There is no intrathoracic lymphadenopathy. The trachea is normal in diameter and course. The liver is small with associated cranial rotation of the gastric axis. The deep circumflex iliac arteries are seen end-on in the caudal aspect of the retroperitoneal space ventral to L5 on the left lateral projection giving the false impression of a retroperitoneal mineral opacity. There is a small soft tissue opaque nodule adjacent to one of the mammary glands of the mid-ventral abdomen._x000D_
_x000D_
Human digits are present in the primary beam on both lateral projections.</t>
  </si>
  <si>
    <t>1. Unremarkable thorax. There is no radiographic evidence of pulmonary metastatic disease. Consider abdominal sonography for further staging._x000D_
2. Mammary nodule. Rule out adenoma, carcinoma or hyperplasia. Tissue sampling should be considered for further evaluation._x000D_
3. Microhepatia. Rule out normal variant, vascular anomaly or chronic hepatitis/cirrhosis. Correlate with any liver enzyme abnormalities. Abdominal sonography and bile acid testing can be considered for further evaluation if clinically relevant.</t>
  </si>
  <si>
    <t xml:space="preserve">
1.Minimal dynamic airway disease has been detected._x000D_
2.The cardiac silhouette size is normal._x000D_
3.There is no evidence of BRONCHITIS, ALVEOLAR PATTERN, PERIHILAR INFILTRATE or PULMONARY NODULES.</t>
  </si>
  <si>
    <t>THORAX (3 total radiographs for review). _x000D_
_x000D_
- The patient has an excessive body habitus._x000D_
- There is a mild to moderate diffuse bronchial pulmonary pattern present._x000D_
- The aortic root is enlarged._x000D_
- The cardiac silhouette is otherwise within normal limits for size, shape and margins._x000D_
- The pulmonary vasculature is normal._x000D_
- The trachea is unremarkable._x000D_
- The remaining included intrathoracic structures are normal._x000D_
- The liver is moderately enlarged, with rounded margins._x000D_
- The remaining cranial abdominal structures are normal._x000D_
- Mild mid lumbar spondylosis deformans.</t>
  </si>
  <si>
    <t>1. Mild to moderate diffuse bronchial pattern. May represent chronic bronchitis given that there is a history of coughing. This may have a chronic inhaled irritant, allergic or infectious underlying component.  Consider treatment of the patient for lower airway disease and if there is lack of improvement or worsening it may be reasonable to seek internal medicine consultation and/or thoracic CT and lower airway sampling to help guide therapy._x000D_
_x000D_
2.  Prominent aortic root. This can be an incidental finding but has an association with systemic hypertension. You may consider systemic blood pressure measurement in this patient, especially if a cardiac murmur is present (not reported)._x000D_
_x000D_
3. Moderate hepatomegaly. Most likely vacuolar (metabolic) hepatopathy. Hepatic congestion, hepatitis or neoplasia are less likely, but possible._x000D_
_x000D_
4. Excessive body habitus.</t>
  </si>
  <si>
    <t xml:space="preserve">
1.Mild cardiomegaly has been detected but Heart Failure is NOT suspected._x000D_
2.There is no evidence of PERIHILAR INFILTRATE._x000D_
3.A mild to moderate bronchointerstitial pattern has been detected._x000D_
4.Severe dynamic airway disease and a concurrent, mild to moderate bronchointerstitial pattern have been detected.</t>
  </si>
  <si>
    <t>THORAX (3 total radiographs for review). _x000D_
_x000D_
- Moderate diffuse esophageal gas distention. Stomach is also markedly distended with gas and contains irregular soft-tissue opaque material._x000D_
- Increased soft-tissue opacity in the region of the tracheobronchial and cranial mediastinal lymph nodes. On the VD projection, there is a widening/splaying of the principal bronchi appreciated, and compression of the left principal bronchus._x000D_
- Increased soft-tissue opacity in the left caudal lung lobe, with a thick lobar sign visible on the right lateral projection._x000D_
- Undulant appearance of the trachea._x000D_
- Cardiac silhouette, pulmonary vasculature, pleural space normal._x000D_
- Mild mid-thoracic and thoracolumbar spondylosis deformans.</t>
  </si>
  <si>
    <t>1. Suspected tracheobronchial +/- cranial mediastinal lymphadenopathy. DDx fungal disease (e.g. coccidiomycosis is endemic in the region, other fungal etiologies not excluded) vs. round-cell neoplasia (e.g. lymphoma). Consider palpation for peripheral lymphadenopathy, ruling out endemic fungal etiologies and performing a thoracic CT (or repeat/serial thoracic radiographs) for further investigation. _x000D_
_x000D_
2. Diffuse esophageal and gastric gas distention. Can be entirely due to aerophagia, however the degree of esophageal distention is atypical and I would suspect a degree of esophageal dysmotility (megaesophagus), which may be related to the same disease process as might be causing the suspected intrathoracic lymphadenopathy._x000D_
_x000D_
3. Left-caudal lung lobe unstructured interstitial pattern. DDx pneumonia/pneumonitis, atelectasis, less likely pulmonary thromboembolism or non-cardiogenic pulmonary edema._x000D_
_x000D_
4. The material in the stomach may be food, foreign material, or a combination of both (limited assessment).</t>
  </si>
  <si>
    <t>An internal medicine consultation may be high-yield in this case due to the identified findings._x000D_
_x000D_
I am very interested in this case and invested in the care of this patient and would greatly appreciate any follow-up if a diagnosis is reached._x000D_
_x000D_
steven.robi.acvr=ZZ95=gmail.com</t>
  </si>
  <si>
    <t xml:space="preserve">
1.MINIMAL to MILD INTERSTITIAL TO ALVEOLAR INFILTRATE; MILD BRONCHIAL PATTERN; MINIMAL PERIHILAR INFILTRATE._x000D_
2.Based on the AI airway/pulmonary findings, the probability of this patient having clinically detectable respiratory signs is LOW to MEDIUM (25%-50%)_x000D_
3.Are respiratory signs present? If YES._x000D_
4.Minimal cardiomegaly has been detected but Heart Failure is NOT suspected._x000D_
5.There is no evidence of PULMONARY NODULES or PLEURAL EFFUSION._x000D_
6.Are respiratory signs present? If NO</t>
  </si>
  <si>
    <t>Six orthogonal survey radiographs of the thorax and abdomen dated 29th July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hepatic silhouette is normal in size with smooth borders. The spleen is normal in shape, size and position. The kidneys are partially obscured by gastrointestinal contents, but the visible aspect are normal. The stomach is mainly empty, with a normal axis. The small intestines are distributed evenly and are within normal limits for shape, size and contents. The ascending, transverse and descending colon have a normal position and contain gradually more formed faeces. The urinary bladder is filled. The serosal detail is normal.</t>
  </si>
  <si>
    <t>Normal thorax. The murmur reported is most likely a physiologic murmur, or a compensated valvular disease such as myxoid degeneration of the mitral valve. _x000D_
Normal post-prandial abdomen</t>
  </si>
  <si>
    <t>In absence of clinical signs indicative of cardiac disease, conservative management may be considered, alternatively with an acute onset murmur, and signs of exercise intolerance, echocardiography may be considered.</t>
  </si>
  <si>
    <t>WHOLE-BODY (2 total radiographs for review). _x000D_
_x000D_
- Heterogeneous loss in peritoneal serosal detail, with wispy soft tissue opacities border effacing the margins of the abdominal viscera_x000D_
- Ill-defined, rounded soft tissue opacity in the cranioventral abdomen (at least 4 x 4 cm). _x000D_
- The liver is moderately enlarged, with rounded margins._x000D_
- Small mineralized mass in the region of the left adrenal gland._x000D_
- Ill-defined mineral opacity superimposed over the kidneys bilaterally._x000D_
- The stomach contains mild gas and gas stippled soft tissue opaque material._x000D_
- The small intestine is nondistended and mostly homogenously soft-tissue opaque._x000D_
- The colon contains gas and a small volume of formed fecal material._x000D_
- The remaining abdominal structures are normal._x000D_
- There is a mild diffuse bronchial pulmonary pattern present._x000D_
- On the lateral projection of the thorax, there is a rounded soft tissue opacity in the region of the heart base that is dorsally displacing the caudal aspect of the thoracic trachea.  On the VD projection there is mild rightward displacement of the trachea._x000D_
- The pulmonary vasculature and cardiac silhouette are normal._x000D_
- The remaining included intrathoracic structures are normal._x000D_
- There is multifocal spondylosis deformans and most notable at L5-6 there is mineralized material superimposed over the spinal canal. L1-2 disc space is collapsed._x000D_
- Ill-defined mineralized nodule associated with/near the left scapular spine._x000D_
- Bilateral glenohumeral and possible coxofemoral osteoarthritis.</t>
  </si>
  <si>
    <t>1. Moderate peritoneal effusion/peritonitis, with impression of a cranioventral abdominal mass (DDx splenic, hepatic, less likely pancreatic or primary peritoneal). Raises primary concern for rupture of the mass and hemoperitoneum +/- peritoneal metastasis. Consider A-FAST/POCUS, diagnostic abdominocentesis and complete abdominal ultrasonography (or whole-body CT) in this patient for further assessment._x000D_
_x000D_
2. Moderate hepatomegaly. May be vacuolar (metabolic) hepatopathy, however given the presence of a suspected abdominal mass and peritoneal effusion, may represent hepatic infiltration/metastasis. Hepatic congestion, hepatitis are less likely, but possible._x000D_
_x000D_
3. Suspected small mineralized left adrenal gland mass. DDx neoplasia (e.g. adenocarcinoma, adenoma, less likely pheochromocytoma). Sonography or abdominal CT for further assessment._x000D_
_x000D_
4. Mild bilateral nephrolithiasis._x000D_
_x000D_
5. Increased soft-tissue opacity at the level of the heart-base. Consider a mass in this region (e.g. hemangiosarcoma, chemodectoma). The appearance could also be a very prominent aortic root. Echocardiogram or thoracic CT for further assessment._x000D_
_x000D_
6. Mild diffuse bronchial pattern. Most likely representing age-related lower airway changes, however a component of chronic bronchitis is possible, especially if there is a history of abnormal respiratory sounds, wheezing and/or coughing._x000D_
_x000D_
7. L1-2 and L5-6 intervertebral disc disease._x000D_
_x000D_
8. Bilateral glenohumeral and possible coxofemoral osteoarthritis._x000D_
_x000D_
8. Likely incidental small mineralized nodule associated with the left scapular spine.</t>
  </si>
  <si>
    <t xml:space="preserve">
1.A mild to moderate bronchointerstitial pulmonary pattern has been detected._x000D_
2.Pleural fissure lines or small volume pleural effusion has been detected. In a mildly overweight animal, excessive pericardial fat can artifactually mimic the result of minimal pleural effusion._x000D_
3.The cardiac silhouette size is normal._x000D_
4.There is no evidence of PERIHILAR INFILTRATE, DYNAMIC AIRWAY COLLAPSE or BRONCHIECTASIS or PULMONARY NODULES.</t>
  </si>
  <si>
    <t>Three orthogonal thoracic radiographs dated 29th July 2024 are available for review. These are compared with previous radiographs dated 15th July 2024._x000D_
_x000D_
Airway findings: The cervical and thoracic trachea have a normal size, outline and position. The carina, tracheal bifurcation and mainstem bronchi are normal. Throughout the lung parenchyma there is a mild to moderate bronchointerstitial opacification._x000D_
_x000D_
Cardiovascular findings: The cardiac silhouette is normal in shape, size and margination. The cranial pulmonary vasculature is normal. There is mild tortuosity to the right caudal artery.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</si>
  <si>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1. Moderate bronchointerstitial opacification. There is mild improvement in comparison with previous radiographs. This is consistent with resolving lower airway infectious-inflammatory disease either due to viral-bacterial bronchitis, parasitic bronchitis, less likely fungal pneumonia. Considering mild tortuosity of the right caudal pulmonary artery, heart worm needs to be excluded.</t>
  </si>
  <si>
    <t>Discontinuation of antibiotic therapy needs to be based on clinical signs, laboratory pathology, and imaging findings. The imaging findings may lag the clinical improvement._x000D_
Consider heartworm testing.</t>
  </si>
  <si>
    <t>Neck: There is moderate soft tissue swelling/thickening ventral to the caudal mandible and larynx.  There is moderate increase in soft tissue thickening located dorsal to the larynx and pharyngeal region._x000D_
_x000D_
Thorax (lateral view): There are no abnormalities identified.</t>
  </si>
  <si>
    <t>Moderate soft tissue swelling associated ventral to the caudal mandible and larynx as well as dorsal to the pharynx and larynx.  This may represent an infectious process.  Lymphadenopathy especially within the retropharyngeal region should be considered.</t>
  </si>
  <si>
    <t>Consider ultrasound for further evaluation.</t>
  </si>
  <si>
    <t xml:space="preserve">
1.A moderate perihilar infitlrate has been detected._x000D_
2.The cardiac silhouette size is normal._x000D_
3.There is no evidence of BRONCHITIS or DYNAMIC AIRWAY COLLAPSE or BRONCHIECTASIS.</t>
  </si>
  <si>
    <t>Spine: T7 and possible T8 are hemivertebrae.  There are no abnormalities involving the cervical or lumbar vertebral columns._x000D_
_x000D_
Thorax: There are no abnormalities identified._x000D_
_x000D_
Abdomen: There is moderate diffuse splenomegaly._x000D_
_x000D_
Pelvis: There is left coxofemoral joint incongruency, shallow acetabulum, and femoral head and neck osseous remodeling.</t>
  </si>
  <si>
    <t>Thoracic hemivertebrae._x000D_
_x000D_
Diffuse splenomegaly.  This may be secondary to sedative agents.  Alternatively a reactive process/extramedullary hematopoiesis cannot be ruled out.  Diffuse neoplasia cannot be ruled out._x000D_
_x000D_
Left coxofemoral joint osteoarthrosis.</t>
  </si>
  <si>
    <t xml:space="preserve">
1.A severe alveolar pattern and mild perihilar pattern have been detected._x000D_
2.Pleural fissure lines or small volume pleural effusion has been detected. In a mildly to moderately overweight animal, excessive pericardial fat can artifactually mimic the result of mild pleural effusion._x000D_
3.The cardiac silhouette size is normal._x000D_
4.There is no evidence of PULMONARY NODULES.</t>
  </si>
  <si>
    <t>RIGHT ANTEBRACHIUM and WHOLE-BODY (4 radiographs for review).  Multiple previous examinations are available for comparison most recently from 07/05/2024._x000D_
_x000D_
- Impression of right thoracic limb muscle thinning/atrophy._x000D_
- Mild to moderate periarticular osteophyte formation along the margins of the cubital joint.  Mild sclerosis in the region of the trochlear groove._x000D_
- Moderate new bone formation along the cranial srface of the distal antebrachium. Mild focal overlying soft-tissue swelling._x000D_
- Right metacarpal and distal limb regions within normal (limited assessment)._x000D_
- Marked diffuse bronchial pulmonary pattern, as noted prior_x000D_
- Few thickened pleural fissure lines in the thorax._x000D_
- Rounded soft-tissue opacity dorsal to the second sternal segment best visualized on the RLAT projection._x000D_
- Cardiac silhouette, pulmonary vasculature and remaining included intrathoracic structures normal._x000D_
- Focal region of well-defined mineralization in the central to right hepatic division_x000D_
- The stomach contains mild gas and gas stippled soft tissue opaque material._x000D_
- Small intestine contains mild multifocal gas and soft tissue opaque material._x000D_
- The colon contains formed fecal material that has multiple tiny foci of mineral opacity superimposed throughout._x000D_
- The liver is mildly enlarged, with rounded margins._x000D_
- The region of the spleen, kidneys and urinary bladder are normal._x000D_
- The remaining included musculoskeletal structures are normal.</t>
  </si>
  <si>
    <t>1. Mild to moderate right cubital joint osteoarthritis._x000D_
_x000D_
2. The new bone formation along the craniodistal radius is in the position of the tendon of the abductor pollicis longus tendon. It may be contributing to a lameness, if present.  Further assessment might be made with collimated radiographs and/or ultrasonography of the region._x000D_
_x000D_
3.  Similar, marked diffuse bronchial pulmonary pattern with pleural fibrosis.  Likely compatible with chronic lower airway disease (e.g. bronchitis), which may have an underlying immune mediated, infectious (e.g. fungal, parasitic, bacterial) or inhaled irritant etiology.  If clinically indicated, thoracic CT and lower airway sampling might help guide therapy._x000D_
_x000D_
4. Possible sternal lymphadenopathy. Reactive etiologies are prioritized. Further assessment may be considered with ultrasonographic assessment of the region and/or thoracic CT._x000D_
_x000D_
5. The appearance of the small intestine can be within normal but also can be compatible with a non-specific generalized functional ileus (e.g. enteritis). There is no evidence of small intestinal foreign material or mechanical obstruction. Abdominal ultrasound might be considered if clinically indcated._x000D_
_x000D_
5. Mild hepatomegaly. Most likely vacuolar (metabolic) hepatopathy. Hepatic congestion, hepatitis or neoplasia are less likely, but possible.  As there are elevated liver enzymes reported, it may be reasonable to consider abdominal ultrasonography and fine needle aspiration of the hepatic parenchyma if indicated._x000D_
_x000D_
6.  Mineralization in the region of the gallbladder and/or intrahepatic bile ducts. Sonographic assessment for more information if indicated._x000D_
_x000D_
7.  Recent meal.</t>
  </si>
  <si>
    <t xml:space="preserve">
1.Moderate bronchial and severe alveolar pattern._x000D_
2.A severe interstitial to alveolar pattern has been detected._x000D_
3.Moderate bronchointerstitial pulmonary pattern detected._x000D_
4.The evaluation has a strong suspicion of pulmonary nodules or mass lesion being present._x000D_
5.A mild perihilar infiltrate has been detected._x000D_
6.Pleural fissure lines or moderate to severe pleural effusion has been detected. An overlying skin fold or in an obese animal, excessive pericardial fat could artifactually mimic the result of severe pleural effusion._x000D_
7.The cardiac silhouette size is normal.</t>
  </si>
  <si>
    <t>Five orthogonal thoracic radiographs dated 29th July 2024 are available for review. There are no previous radiographs available for comparison. _x000D_
_x000D_
Airway findings: The cervical and thoracic trachea have a normal size, outline and position. The carina, tracheal bifurcation and mainstem bronchi are normal. There is still a mild to moderate bronchointerstitial opacification of the caudal dorsal lung regions._x000D_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Thin fissure lines are present._x000D_
_x000D_
Musculoskeletal findings: No significant abnormalities are detected._x000D_
_x000D_
Included abdomen: No significant abnormalities are detected.</t>
  </si>
  <si>
    <t>1. Bronchointerstitial opacification: This is consistent with infectious-inflammatory lower airway disease, most likely due to the reported tickborne infections. Bacterial or viral underlying pathology is possible. Parasitic bronchitis or fungal pneumonia is possible. Heart worm is considered less likely.</t>
  </si>
  <si>
    <t>Considering the ongoing clinical signs and poor response to empiric management, repeat respiratory workup including CBC, serum chemistry, urinalysis, Baermann faecal testing, 4DX, +/- respiratory panel or fungal testing as indicated is advised.  Bronchoscopy/BAL vs. endotracheal wash +/- consultation with an Internist should be considered.</t>
  </si>
  <si>
    <t>Three orthogonal thoracic radiographs dated 29th July 2024 are available for review. There are no previous radiographs available for comparison. _x000D_
_x000D_
Airway findings: The thoracic trachea is mildly undulating, however normal in size. The tracheal bifurcation is mildly widened. The pulmonary parenchyma has a minimal bronchial opacification._x000D_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No significant abnormalities are detected._x000D_
_x000D_
Musculoskeletal findings: No significant abnormalities are detected._x000D_
_x000D_
Included abdomen: No significant abnormalities are detected.</t>
  </si>
  <si>
    <t>1. Left atrial dilation. This is most likely due to mixoid degeneration of the mitral valve. There is no evidence for cardiac insufficiency. _x000D_
2. Diffuse minimal bronchial pattern: Primary consideration should be given to normal ageing/fibrosis from previous disease. Allergic bronchitis, chronic bacterial /viral bronchitis +/- parasitic bronchitis should also be considered. Dynamic tracheal collapse may be present, as reported, and is most likely the cause for the coughing.</t>
  </si>
  <si>
    <t>Radiography is insensitive for early cardiac insufficiency, therefore ECG, blood pressure measurements, and echocardiography may be considered for further evaluation, or baseline measurements._x000D_
Correlate with palpation testing for upper respiratory disease. Respiratory workup including CBC, serum chemistry, urinalysis, Baermann faecal testing, 4DX, +/- respiratory panel as indicated may be considered.</t>
  </si>
  <si>
    <t xml:space="preserve">
1.Moderate cardiomegaly has been detected but Heart Failure is NOT suspected._x000D_
2.There is no evidence of PERIHILAR INFILTRATE, PULMONARY NODULES or PLEURAL EFFUSION._x000D_
3.A minimal to mild bronchointerstitial pulmonary pattern has been detected.</t>
  </si>
  <si>
    <t>Abdomen: The stomach is gas distended.  There is a heterogeneous soft tissue opacity within the gastric lumen as well.  There appears to be heterogeneous material (fecal?)  Within the ascending colon/cecum.  There are no abnormalities involving the visible portions of the small intestinal tract.  The liver and visible portions of the spleen are unremarkable.  There are no abnormalities involving the visible portions of the urinary tract.  Serosal detail is normal._x000D_
_x000D_
Thorax: There is no evidence of pulmonary metastatic disease.  The pulmonary parenchyma, cardiac silhouette, and pulmonary vasculature are unremarkable.  There is no evidence of pleural effusion or lymphadenopathy.</t>
  </si>
  <si>
    <t>The material within the gastric lumen most likely represents normal ingesta.</t>
  </si>
  <si>
    <t>Ten survey radiographs of the thorax abdomen and vertebral column dated 29th July 2024 are available for review. These images are submitted for assessment of the abdomen. There are no previous radiographs available for comparison. _x000D_
_x000D_
Abdomen: In the centre of the abdomen there is a very large, poorly marginated soft tissue mass in the region of the splenic body and tail. There is regional iced loss of serosal detail. The hepatic silhouette is normal. The stomach contains granular food material, and is mildly dorsally displaced. The small intestines are caudal displaced, containing fluid, gas and soft tissue opaque material. The urinary bladder is small. The kidneys are partially obscured by gastrointestinal contents, but the visible aspect are normal._x000D_
_x000D_
Included thorax:  The caudal vena cava is mildly tapering._x000D_
_x000D_
Other systems: There is mild multisite spondylosis deformans.</t>
  </si>
  <si>
    <t>1. The abdominal mass is mostly splenic in origin: Haematoma, haemangioma, haemangiosarcoma, metastatic neoplasia should be considered. The loss of serosal detail is most likely due to paraneoplastic exudate, or haemorrhage._x000D_
2. A concurrent mild gastroenteritis cannot be excluded, however no radiopaque foreign material or segmental dilation is present._x000D_
3. The tapering caudal vena cava is most likely due to dehydration, however tapering due to phase of cardiac contraction may be possible.</t>
  </si>
  <si>
    <t>A complete abdominal ultrasonographic examination is advised, with a view to FNA of abnormal organs, after complete blood work, and a normal coagulation panel. If not available, an explorative laparotomy may be considered, after complete blood work and stabilisation.</t>
  </si>
  <si>
    <t xml:space="preserve">
1.Severe cardiomegaly has been detected but Heart Failure is NOT suspected._x000D_
2.There is no evidence of INTERSTITIAL PATTERN, BRONCHITIS, PERIHILAR INFILTRATE, DYNAMIC AIRWAY COLLAPSE or BRONCHIECTASIS, PULMONARY NODULES or PLEURAL EFFUSION.</t>
  </si>
  <si>
    <t>A three view study of the thorax is provided for interpretation. Previous radiographs dated 1-18-24 are available for comparison. No more recent previous images are available._x000D_
_x000D_
Mild pleural effusion is evident in the right mid thoracic region. Thin pleural fissure lines are also faintly visible elsewhere. No pulmonary nodules or parenchymal infiltrates are identified. No subpleural abnormalities or mediastinal mass effect is identified. No destructive or productive bone lesions are seen. The cardiovascular structures are within normal limits._x000D_
There is a round shadow superimposed over the ventral aspect of the liver that measures approximately 5 cm. This was also present in previous radiographs but appear slightly more prominent in the current study.</t>
  </si>
  <si>
    <t>Slight pleural effusion is present. No specific underlying cause is evident._x000D_
There are no changes indicative of neoplasia or cardiac disease in the thorax._x000D_
There is an unusual rounded shadow associated with the liver. There is potential for a hepatic mass, although a similar shadow was also present seven months ago and could be a visible anatomic abnormality secondary to historic previous liver lobectomy in this patient.</t>
  </si>
  <si>
    <t>Slight pleural effusion is present. No specific cause is evident._x000D_
CT of the thorax and abdomen could be considered for more definitive evaluation. If this is not an option, ultrasound of the abdomen is recommended to look for evidence of neoplasia or other organ pathology.</t>
  </si>
  <si>
    <t xml:space="preserve">
1.MODERATE INTERSTITIAL TO ALVEOLAR INFILTRATE; CONCURRENT MODERATE BRONCHIAL PATTERN; MILD PERIHILAR INFILTRATE._x000D_
2.Based on the AI airway/pulmonary findings, the probability of this patient having clinically detectable respiratorysigns is MEDIUM to HIGH (50-75%)_x000D_
3.Are respiratory signs present? If YES._x000D_
4.AI linked bacterial pneumonia treatment in dogs: https://platform.v2.vetology.net/doc/pneumonia-in-dogs-and-cats_x000D_
5.Are respiratory signs present? If NO._x000D_
6.The evaluation has a strong suspicion of pulmonary nodules or mass lesion being present._x000D_
7.Pleural fissure lines or moderate to severe pleural effusion has been detected. An overlying skin fold or in an obese animal, excessive pericardial fat could artifactually mimic the result of severe pleural effusion._x000D_
8.The cardiac silhouette size is normal.</t>
  </si>
  <si>
    <t>Four radiographs of the thorax are provided. Images dated 12/19/23 were reviewed. The cardiac silhouette and pulmonary vessels are normal size and shape. There are numerous punctate mineral densities throughout the lungs. These mineral densities measure up to 0.2 cm, and the lung pattern is similar to the previous study. There are no soft tissue pulmonary nodules or pleural effusion. Superimposed extrathoracic fat causes the curved increased opacity extending ventral to the heart on the right lateral view. Mild narrowed cervical trachea on the right lateral view and mild narrowed thoracic trachea on the left lateral view. The cranial abdomen is unremarkable. Narrowed C6-7 and T13-L1 intervertebral disc space, of doubtful clinical significance today.</t>
  </si>
  <si>
    <t>Suspect dynamic tracheal collapse. Otherwise normal thorax. Infectious upper airway disease is suspected.</t>
  </si>
  <si>
    <t>If further evaluation of the nasal sinuses and tympanic bullae is desired, computed tomography would be recommended.</t>
  </si>
  <si>
    <t xml:space="preserve">
1.Are respiratory signs present? If NO._x000D_
2.SEVERE ALVEOLAR INFILTRATE; MILD DYNAMIC AIRWAY DISEASE._x000D_
3.Based on these AI airway/pulmonary findings, the probability of this patient having clinically detectable respiratory signs is VERY HIGH (&gt;75%)_x000D_
4.Are respiratory signs present? If YES._x000D_
5.AI link to bacterial pneumonia treatment in dogs: https://platform.v2.vetology.net/doc/pneumonia-in-dogs-and-cats_x000D_
6.A severe alveolar pattern and mild perihilar pattern have been detected._x000D_
7.Pleural fissure lines or moderate to severe pleural effusion has been detected. An overlying skin fold or in an obese animal, excessive pericardial fat could artifactually mimic the result of severe pleural effusion._x000D_
8.Mild cardiomegaly has been detected but Heart Failure is NOT suspected._x000D_
9.The evaluation has a strong suspicion of pulmonary nodules or mass lesion being present.</t>
  </si>
  <si>
    <t>Three orthogonal thoracic radiographs and 2 orthogonal pelvic radiographs dated 29th July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Pelvis: There is cranial and dorsal luxation of the right coxofemoral joint. There is pre-existing osteophytic modelling of the right femoral neck, and slightly less so at the left femoral neck. There is step formation at the left sacroiliac joint, with caudal displacement of the left ilial wing. No pelvic fractures are seen. The the included lumbar vertebral column is normal.                                                                                                                                                               _x000D_
_x000D_
Abdomen: No significant abnormalities are detected.</t>
  </si>
  <si>
    <t>1. Right coxofemoral luxation._x000D_
2. Pre-existing mild bilateral coxofemoral osteoarthritis._x000D_
3. Normal thorax.</t>
  </si>
  <si>
    <t>An orthopaedic consult is indicated.</t>
  </si>
  <si>
    <t>Orthogonal radiographs of the thorax and of the abdomen are provided. The heart and pulmonary vessels are normal size and shape. The lungs are clear. There is no pleural fluid or gas. No rib fractures. Normal cervicothoracic spine and proximal thoracic limbs._x000D_
_x000D_
In the abdomen the stomach contains moderate volumes soft tissue opaque ingesta. Small bowel are minimally distended. Formed feces fills the distal colon. There is no effusion. The urinary bladder is mildly filled and soft tissue opaque. Normal-sized liver and spleen. The kidneys are obscured. No definitive narrowed intervertebral disc spaces or foramina. Normal pelvis.</t>
  </si>
  <si>
    <t>Normal thorax and abdomen. A reason for the clinical signs is not identified. Intervertebral disc protrusion/extrusion is suspected.</t>
  </si>
  <si>
    <t>If there are no significant neurologic deficits and pain can be medically managed, recommend conservative treatment with anti-inflammatories and strict rest. Otherwise, consultation with a neurologist and advanced spinal imaging with MRI/CT would be recommended.</t>
  </si>
  <si>
    <t>Study:_x000D_
Thoracic radiography: right lateral and orthogonal views dated July 29, 2024_x000D_
_x000D_
Findings:_x000D_
The cardiac silhouette and pulmonary vasculature are normal in size. The pulmonary parenchyma is unremarkable. The pleural space is normal. There is no intrathoracic lymphadenopathy. On the lateral projection, there is a broad-based soft tissue opaque band superimposed with the dorsal aspect of the cervical trachea lumen representing either a redundant dorsal tracheal membrane or superimposition of the esophagus. The trachea is normal in diameter and course. The stomach contains unstructured heterogeneous soft tissue material presumed to be ingesta. There is mild right elbow periarticular bone formation. A large lipomatous mass is present in the subcutaneous tissues of the ventral thorax.</t>
  </si>
  <si>
    <t>1. Unremarkable thorax. There is no radiographic evidence of cardiopulmonary disease or intrathoracic neoplasia. Echocardiography can be considered for further evaluation of the reported heart murmur._x000D_
2. Mild right elbow osteoarthrosis._x000D_
3. Ventral thoracic subcutaneous lipoma.</t>
  </si>
  <si>
    <t xml:space="preserve">
1.Mild cardiomegaly has been detected but Heart Failure is NOT suspected._x000D_
2.There is no evidence of ALVEOLAR PATTERN._x000D_
3.Are respiratory signs present? If NO._x000D_
4.MILD BRONCHIAL PATTERN; MILD DYNAMIC AIRWAY DISEASE; MILD PERIHILAR PATTERN._x000D_
5.Based on these AI airway/pulmonary findings, the probability of this patient having clinically detectablerespiratorysigns is LOW (25%)_x000D_
6.Are respiratory signs present? If YES.</t>
  </si>
  <si>
    <t xml:space="preserve">Patient Name : Daisy Cook, Date of study: Jul 29, 2024
2 images are provided for review
Canine Thorax (2 Images) - 1 Lateral, 1 Vd
There are no previous radiographs for comparison. Ventrodorsal image is mislabeled given position of the fundus of the stomach and caudoventral mediastinal reflection.
Pulmonary parenchyma:  Severe alveolar pattern is present in the caudodorsal portion of the lungs, more severe in the right caudal lung in the ventrodorsal image.  The right and left caudal lung lobe alveolar patterns are categorized by well-defined air-bronchograms and increased soft tissue in the lungs.  A moderate diffuse interstitial pattern and mild bronchial pattern is present in the remainder of the lungs.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</si>
  <si>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Severe caudodorsal alveolar patterns, more severe in the right caudal lung lobe.
- Differential diagnoses include non-cardiogenic pulmonary edema (hematogeneous spread of pneumonia/evolving sepsis, occult seizure activity or other), pulmonary eosinophilia, granulomatous disease such as from fungal infectious agents (blastomycosis spp. versus other).  or unlikely other such as lymphomatoid granulomatosis, atypical metastatic neoplasia such as from round cell or other, or least likely hemorrhage.
- Heartworm disease and thromboembolic disease is possible, but considered unlikely in the absence of obvious cardiomegaly or reported heart murmur.
2. Moderate diffuse interstitial and mild bronchial patterns.
- Differential diagnoses include infectious/immune-mediated lower airway disease such as from mycoplasma spp., bordetella spp., parasitism, or unlikely other, with/without underlying chronic allergic/inflammatory airway disease.
3. No obvious cardiomegaly.
4. No obvious intra-thoracic lymph node enlargement.  </t>
  </si>
  <si>
    <t xml:space="preserve">Routine blood work, heartworm disease testing, urinalysis, and consider specialist referral.  Consider computed tomography of the thorax with possible airway sampling or percutaneous tissue sampling of the lungs depending on results of additional diagnostics and imaging.  Consider abdominal imaging and fungal serology especially if the patient has an appropriate travel/exposure history.  Oxygen therapy and empirical therapy/supportive care in the interim as needed.  Repeat radiographs for monitoring as needed, oir sooner if clinical signs acutely change or worsen in the interim.  </t>
  </si>
  <si>
    <t xml:space="preserve">
1.Moderate bronchial and severe alveolar pattern._x000D_
2.A moderate to severe interstitial to alveolar pattern has been detected._x000D_
3.Moderate to severe bronchointerstitial pulmonary pattern._x000D_
4.The evaluation has a strong suspicion of pulmonary nodules or mass lesion being present._x000D_
5.A moderate perihilar infitlrate has been detected._x000D_
6.Pleural fissure lines or moderate to severe pleural effusion has been detected. An overlying skin fold or in an obese animal, excessive pericardial fat could artifactually mimic the result of severe pleural effusion._x000D_
7.Moderate cardiomegaly has been detected but Heart Failure is NOT suspected.</t>
  </si>
  <si>
    <t xml:space="preserve">Patient Name : BOGEY Chulkas, Date of study: Jul 29, 2024
3 images are provided for review
This examination is compared to prior dated February 3, 2024.
Pulmonary parenchyma: A moderate diffuse bronchial pattern is present.  A minimal interstitial pattern is present and the lungs re hypoinflated in the lateral images.  
Pulmonary vasculature: Only in the ventrodorsal image, a possible right caudal lobar artery is suspected to be enlarged in the periphery of the lung.  
Cardiac silhouette: The cardiac silhouette is enlarged and wide, occupying the width of 3.5-4 intercostal space in the lateral images.  The cardiac silhouette is widened with a prominent right ventricular region in the ventrodorsal image.  The region of the main pulmonary artery is suspected to be enlarged in the lateral images.  
Mediastinum: The cranial mediastinum is mildly symmetrically widened in the ventrodorsal image.
Trachea: The trachea is normal.
Esophagus: The esophagus is not well-identified.
Pleural space: The pleural space is normal.
Musculoskeletal: The included musculoskeletal structures are normal.
</t>
  </si>
  <si>
    <t>1. Moderate right-sided cardiomegaly such as from cor pulmonale/pulmonary hypertension, underlying heartworm disease, or less likely tricuspid valvular disease.
2. Moderate diffuse bronchial and minimal interstitial pulmonary patterns.
- Differential diagnoses include infectious/immune-mediated lower airway disease such as from mycoplasma spp., bordetella spp., parasitism, or allergic/inflammatory bronchitis, or fibrosis from prior disease, age-related changes, or unlikely other.  
3. Suspected right caudal lobar arterial enlargement versus artifact.
- If present, consider occult heartworm disease or pulmonary hypertension.</t>
  </si>
  <si>
    <t>Consider echocardiography, ECG and blood pressure for further evaluation.  Routine blood work heartworm disease testing and fecal analysis/empirical deworming may be contributory depending on preventative status.  Consider respiratory PCR panel and airway sampling for further evaluation especially if cardiac disease is ruled out.  Monitoring as directed, or sooner if clinical signs acutely change, fail to improve or worsen.</t>
  </si>
  <si>
    <t xml:space="preserve">
1.MODERATE BRONCHOINTERSTITIAL PULMONARY PATTERN; ALVEOLAR INFILTRATE or ATELECTASIS; DYNAMIC AIRWAY DISEASE._x000D_
2.Based on these AI airway/pulmonary findings, the probability of this patient having clinically detectable respiratory signs is HIGH (75%)_x000D_
3.Are respiratory signs present? If YES._x000D_
4.Are respiratory signs present? If NO._x000D_
5.The evaluation has come up positive for a pulmonary nodular pattern._x000D_
6.Pleural fissure lines or small volume pleural effusion has been detected. In a mildly overweight animal, excessive pericardial fat can artifactually mimic the result of minimal pleural effusion._x000D_
7.Mild cardiomegaly has been detected but Heart Failure is NOT suspected.</t>
  </si>
  <si>
    <t>Study:_x000D_
Thoracic/abdominal radiography: three images dated July 29, 2024_x000D_
_x000D_
Findings:_x000D_
The cardiac silhouette and pulmonary vasculature are normal in size. There is incidental platelike atelectasis in the cranial lung field in the second intercostal space on both lateral projections. The pulmonary parenchyma is otherwise unremarkable. The pleural space is normal. There is no intrathoracic lymphadenopathy. The trachea is normal in diameter and course. The stomach contains unstructured heterogeneous soft tissue material presumed to be ingesta.. The small intestines are normal in size, course and content. The colon contains gas and poorly formed fecal material. The liver and spleen are normal in size and margin. The kidneys are normal in size and contour. The urinary bladder is normal in size and opacity. The prostate is mildly enlarged with smooth margins. The superficial soft tissues are unremarkable and the reported paraspinal mass is not appreciated radiographically. There is narrowing of the L2-L3 through L4-L5 intervertebral disc spaces on both lateral views. There is no evidence of aggressive osseous disease._x000D_
_x000D_
A human digit is present in the primary beam on the VD view.</t>
  </si>
  <si>
    <t>1. Unremarkable thorax. There is no radiographic evidence of cardiopulmonary or metastatic disease._x000D_
2. As stated above, the reported paraspinal mass is not appreciated radiographically. Computed tomography can be considered for further evaluation/surgical planning._x000D_
3. The mild prostatomegaly may be a normal variant secondary to being neutered later in life (if applicable). Prostatic neoplasia is less likely but cannot be completely excluded._x000D_
4. Suspected multifocal lumbar intervertebral disc disease. Correlate with any spinal pain and/or proprioceptive deficits.</t>
  </si>
  <si>
    <t xml:space="preserve">Patient Name : Harley Griffin, Date of study: Jul 29, 2024
5 images are provided for review
There are no previous radiographs for comparison.  Cranial thorax is excluded from the ventrodorsal image.  cranial and caudal tips of the abdomen are excluded.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left kidney is normal.  The right kidney is obscured.  
Retroperitoneum: Retroperitoneal detail is adequate.
Urogenital: The urinary bladder is normal in size, homogeneous soft tissue, and smoothly marginated.
Peritoneum: Peritoneal detail is adequate.
Gastrointestinal tract: The stomach contains a moderate to mild volume of gas.  Gas is in the pylorus in the lateral image.   The stomach is within normal limits for size.
In the caudal abdomen in the right lateral image is a segment of small intestine that is moderate to severely enlarged compared to segments in the cranial abdomen. The enlarged segment contains fluid or soft tissue material and granular mineral foci or thin linear mineral foci. This mineral material is accumulated in this enlarged segment of intestine.  The  remaining of the small intestine contains mild gas fluid or is empty.
The colon contains moderate gas.  The colon is within normal limits for size.  
Musculoskeletal: L1-2, L2-3 and L7-S1  spondylosis deformans is present.  The remaining included musculoskeletal structures are normal.
</t>
  </si>
  <si>
    <t xml:space="preserve">1. Caudal abdominal enlarged small intestinal segment with mineral material
- Mechanical ileus from foreign material ingestion is considered most likely.
2. Minimal to mild diffuse bronchial pulmonary pattern such as from infectious/immune-mediated lower airway disease (mycoplasma spp., bordetella spp., parasitism, or other), fibrosis from prior disease, age-related changes, or unlikely other.
3. No current evidence of right-sided cardiomegaly given reported prior heartworm disease.  </t>
  </si>
  <si>
    <t>Consider exploratory celiotomy for decompression of enlarged small intestinal segment and mechanical ileus as etiology of reported acute-onset vomiting and anorexia.  Given reported PU/PD, consider routine blood work, urinalysis, urine cortisol:creatinine ratio and abdominal ultrasonography for further evaluation of the adrenal glands and to confirm mechanical ileus.  Empirical therapy and supportive care in the interim as needed.  Monitoring  as directed, or sooner if clinical signs acutely change, fail to improve or worsen.</t>
  </si>
  <si>
    <t>Study:_x000D_
Thoracic and abdominal radiography: six images dated July 29, 2024_x000D_
_x000D_
Compared to prior study dated May 9, 2023_x000D_
_x000D_
Findings:_x000D_
The cardiac silhouette is normal in size/shape and is unchanged appearance from the prior examination. The pulmonary vasculature is normal in size. The pulmonary parenchyma is unremarkable. The pleural space is normal. There is no intrathoracic lymphadenopathy. The larynx is unremarkable. The trachea is normal in diameter. There is a small volume of transient gas in the esophagus. The abdominal serosal detail is normal. The stomach contains gas with the pylorus appropriately gas-filled on the left lateral image. There is mild diffuse gas distention of the small intestines. The colon contains gas and a small amount formed fecal material. The liver and spleen are normal in size and margin. The renal silhouettes are normal in size and contour. As before, there are indistinct punctate mineral foci in the left kidney. There is mild multifocal thoracolumbar spondylosis deformans. There is a small amount of subcutaneous emphysema along the dorsal thorax presumably from prior subcutaneous fluid or medication administration. The patient is of similar overweight body condition.</t>
  </si>
  <si>
    <t>1. Transient esophageal dilation secondary to aerophagia=ZZ90= otherwise, unremarkable thorax. A cause of the respiratory signs is not evident. The lack of a bronchial pulmonary pattern does not exclude the possibility of allergic/inflammatory, infectious, inhaled irritant or parasitic unkind is.. Airway sampling plus/minus heartworm testing and Baermann fecal flotation can be considered to further evaluate for possible lower airway disease._x000D_
2. There is no radiographic evidence of heart disease. Consider echocardiography for further evaluation of the reported gallop rhythm._x000D_
3. The mild diffuse gas dilation of the small intestines may be secondary to aerophagia may indicate nonspecific functional ileus. Consider repeat abdominal sonography and a G.I. panel if the reported vomiting persists or worsens in spite of medical management._x000D_
4. Static left nephrocalcinosis.</t>
  </si>
  <si>
    <t xml:space="preserve">Patient Name : Zephyr Preston, Date of study: Jul 29, 2024
3 images are provided for review
Canine Thorax (3 Images) - 2 Lateral, 1 Vd
Prior images dated July 10, 2024 are available. 
Pulmonary parenchyma: Previously identified alveolar/interstitial patterns are resolved.  A minimal to mild diffuse bronchial pattern is present.
Pulmonary vasculature: The pulmonary vasculature is subjectively normal in size and tapers in the periphery of the lungs.
Cardiac silhouette: The cardiac silhouette is normal in size and shape.
Mediastinum: A leftward mediastinal shift is present.
Trachea: The trachea is normal.
Esophagus: The esophagus contains minimal gas or is empty.
Pleural space: The pleural space is normal.
Musculoskeletal: The included musculoskeletal structures are normal.
</t>
  </si>
  <si>
    <t xml:space="preserve">
1. Resolved bilateral cranial lung lobe alveolar or interstitial patterns.
2. Similar minimal to mild diffuse bronchial pulmonary pattern due to fibrosis from prior disease, age-related changes,  or unlikely infectious/immune-mediated lower airway disease or other.
</t>
  </si>
  <si>
    <t xml:space="preserve">Continue empirical therapy for 1-2 weeks past radiographic resolution. Monitor with routine blood work and thoracic imaging as directed, or sooner if clinical signs acutely change, fail to improve or worsen.
</t>
  </si>
  <si>
    <t>Opposite lateral and VD views of the thorax including the neck are provided for interpretation._x000D_
_x000D_
The heart is within normal size and shape limits. Pulmonary vessels are normal. No pulmonary infiltrates or pleural effusion are identified. No bronchial thickening is seen. The trachea is unremarkable. No laryngeal abnormalities are identified.</t>
  </si>
  <si>
    <t>There is no evidence of heart enlargement, and no visible pathology involving the respiratory tract that would account for the coughing._x000D_
Symptomatic therapy is recommended.</t>
  </si>
  <si>
    <t>A three view study of the abdomen and orthogonal thorax views are provided (five images)._x000D_
_x000D_
There is an area in the mid abdomen that has mottled granular appearing mineral opacity, surrounded by focally reduced detail. There are two segments of small intestine that have moderate to severe gas dilation in the area. The rest of the intestinal tract is gas filled but not distended. The other organs are within normal size and shape limits._x000D_
_x000D_
The cardiovascular structures are within normal limits. No pulmonary nodules or parenchymal infiltrates are identified. No pleural effusion is seen.</t>
  </si>
  <si>
    <t>Focally increased opacity with reduced detail and mottled irregular mineral density in the mid abdomen is a finding suspicious for sedimentation in the intestine secondary to chronic partial obstruction. This suspicion is also supported by segmental dilation of nearby intestinal loops._x000D_
Primary rule outs would include intestinal neoplasia, non-neoplastic causes of intestinal stricture, and chronic foreign body._x000D_
_x000D_
No thoracic abnormalities are identified.</t>
  </si>
  <si>
    <t>Chronic partial obstruction of the small intestine is suspected. Neoplasia would be the most typical underlying cause. Non-neoplastic causes should still be ruled out._x000D_
Ultrasound of the abdomen is recommended.</t>
  </si>
  <si>
    <t>Study:_x000D_
Thoracic/abdominal radiography: three images dated July 29, 2024_x000D_
_x000D_
Compared to prior study dated July 23, 2024_x000D_
_x000D_
Findings:_x000D_
The cardiac silhouette and pulmonary vasculature are normal in size. On the right lateral projection, there is a persistent mild alveolar pattern in the cranioventral lung field. The pleural space is normal. There is no intrathoracic lymphadenopathy. The trachea is normal in diameter and course. The abdominal serosal detail is normal. The stomach contains a small volume of gas with the pylorus appropriately gas-filled on the left lateral image. The small intestines are normal in size, course and content. The colon contains formed fecal material. The liver and spleen are normal in size and margin. The kidneys are normal in size and contour. The urinary bladder is normal in size and opacity. There is no prostatomegaly. As previously noted, the patient has multiple, breed associated, congenitally anomalous thoracic hemivertebrae. The L1 vertebra is transitional with bilateral hypoplastic ribs. There is unchanged moderate T4-T5 spondylosis deformans.</t>
  </si>
  <si>
    <t>1. The persistent alveolar pattern in the cranioventral lung field on the right lateral projection likely indicates persistent aspiration pneumonia. Continued antibiotic therapy with repeat radiography in another 7 to 10 days should be considered to monitor for persistence or resolution of this finding._x000D_
2. The abdomen is unremarkable. There is no radiographic evidence of gastrointestinal foreign material or small intestinal mechanical obstruction. Abdominal sonography can be considered for further evaluation if the vomiting persists or worsens in spite of ongoing medical management.</t>
  </si>
  <si>
    <t xml:space="preserve">
1.A mild interstitial to alveolar pattern has been detected._x000D_
2.The cardiac silhouette size is normal._x000D_
3.There is no evidence of BRONCHITIS, PERIHILAR INFILTRATE, DYNAMIC AIRWAY COLLAPSE or BRONCHIECTASIS, PULMONARY NODULES or PLEURAL EFFUSION.</t>
  </si>
  <si>
    <t>Study:_x000D_
Thoracic radiography: three images dated July 29, 2024_x000D_
_x000D_
Findings:_x000D_
The cardiac silhouette is normal in size and shape (VHS approximately 10). The pulmonary vasculature is normal in size. The pulmonary parenchyma is unremarkable. The pleural space is normal. There is no intrathoracic lymphadenopathy. There is slight narrowing of the trachea lumen at the thoracic inlet on both lateral projections. The stomach contains unstructured heterogeneous soft tissue material presumed to be ingesta with interspersed granular mineral. The included abdomen is otherwise unremarkable. There is mild multifocal thoracic spondylosis deformans._x000D_
_x000D_
Human digits are present in the primary beam on the VD view.</t>
  </si>
  <si>
    <t>1. Suspect chondromalacia and dynamic airway disease/tracheal collapse. Fluoroscopy can be considered for further evaluation._x000D_
2. Normal thorax. There is no radiographic evidence of heart disease. Consider echocardiography for further evaluation of the reported heart murmur.</t>
  </si>
  <si>
    <t>Study:_x000D_
Thoracic radiography: three images dated July 29, 2024_x000D_
_x000D_
Findings:_x000D_
There is mild left ventricular and left atrial enlargement (VHS approximately 11.25). The pulmonary vasculature is normal in size. The pulmonary parenchyma is unremarkable. The pleural space is normal. There is no intrathoracic lymphadenopathy. On the left lateral view, there is a broad-based soft tissue opaque band superimposed with the dorsal aspect of the cervical trachea lumen representing other redundant dorsal tracheal membrane or superimposition of the esophagus. The trachea is normal in diameter. There is no lobar bronchi narrowing. The included abdomen is normal. The osseous structures are unremarkable. There is a small lipomatous mass in the subcutaneous tissues of the ventral thorax.</t>
  </si>
  <si>
    <t>1. Mild left-sided cardiomegaly, indicative of mitral valve disease, without evidence of decompensation. Echocardiography should be considered for further evaluation._x000D_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Sedated laryngeal exam, fluoroscopy, airway sampling plus/minus heartworm testing and Baermann fecal flotation can be considered to further evaluate the reported coughing.</t>
  </si>
  <si>
    <t>Eight radiographs of the thoracic limbs are provided. No abnormalities in the cervicothoracic spine. Scapular contour and opacity is normal. The scapulohumeral joints are congruent. There is enthesophyte formation on the anconeal process and medial humeral epicondyles bilaterally, and on the medial coronoid process of the left ulna. Cortical and medullary opacities are uniform. Carpal bone alignment is normal. There is no soft tissue swelling. No metacarpal or phalangeal osseous abnormalities.</t>
  </si>
  <si>
    <t>Changes in both elbows that are not pathognomonic, but highly suggestive of medial coronoid process disease. This, coupled with soft tissue sprain/strain is the most likely cause for the lameness. No other thoracic limb abnormalities.</t>
  </si>
  <si>
    <t>Recommend cross-sectional imaging of the elbows such as computed tomography.</t>
  </si>
  <si>
    <t xml:space="preserve">
1.Are respiratory signs present? If NO._x000D_
2.MODERATE ALVEOLAR PATTERN; CONCURRENT MILD BRONCHOINTERSTITIAL PATTERN; MILD DYNAMIC AIRWAY DISEASE._x000D_
3.Based on the AI airway/pulmonary findings, the probability of this patient having clinically detectable respiratory signs is MEDIUM to HIGH (50-75%)._x000D_
4.Are respiratory signs present? If YES._x000D_
5.The cardiac silhouette size is normal.</t>
  </si>
  <si>
    <t xml:space="preserve">
1.The evaluation has come up positive for a pulmonary nodular pattern._x000D_
2.SEVERE INTERSTITIAL TO ALVEOLAR PATTERN; MODERATE BRONCHIAL PATTERN; SEVERE DYNAMIC AIRWAY DISEASE._x000D_
3.Based on these AI airway/pulmonary findings, the probability of this patient having clinically detectable respiratory signs is VERY HIGH (&gt;75%)_x000D_
4.Are respiratory signs present? If YES._x000D_
5.Are respiratory signs present? If NO._x000D_
6.Pleural fissure lines or moderate to severe pleural effusion has been detected. An overlying skin fold or in an obese animal, excessive pericardial fat could artifactually mimic the result of severe pleural effusion._x000D_
7.Moderate cardiomegaly has been detected but Heart Failure is NOT suspected.</t>
  </si>
  <si>
    <t>A two view study of the thorax that includes the cranial abdomen is provided for interpretation._x000D_
_x000D_
Moderate to severe heart enlargement is identified. The shape of the heart is compatible left sided chamber dilation, but there is also a bulge at the cranial aspect of the cardiac silhouette in the lateral view that would be consistent with right sided chamber dilation or a pericardial mass effect. There is moderate pleural effusion. No pulmonary infiltrates or nodules are identified. No laryngeal or tracheal abnormalities are seen._x000D_
_x000D_
The liver is moderately to markedly enlarged, with moderate rounding of the caudal ventral margin. Two small mineral opacities are seen superimposed over the liver in the lateral view that could represent choleliths in the gallbladder. These cannot be definitively identified in the VD view. There is a mild to moderate reduction in serosal detail in the abdomen.</t>
  </si>
  <si>
    <t>There is cardiomegaly, which would be compatible with cardiac chamber dilation or less likely pericardial effusion._x000D_
There is an unusual bulge at the cranial aspect of the cardiac silhouette in the lateral view, but this is partially obscured from evaluation by pleural effusion._x000D_
Hepatomegaly and ascites is also present._x000D_
_x000D_
Primary differentials for this combination of findings with the clinical history would include:_x000D_
1) severe bilateral chronic valve disease with right sided congestive heart failure, _x000D_
2) reticuloendothelial neoplasia such as lymphoma concurrent subclinical cardiac disease, _x000D_
and 3) pericardial effusion as a cause of the radiographic abnormalities, which could be secondary to cardiac neoplasia, lymphoma with pericardial involvement, or less likely pericarditis or idiopathic.</t>
  </si>
  <si>
    <t>Echocardiography and ultrasound of the abdomen is recommended.</t>
  </si>
  <si>
    <t xml:space="preserve">
1.SEVERE INTERSTITIAL TO ALVEOLAR PATTERN; SEVERE BRONCHIAL PATTERN; SEVERE DYNAMIC AIRWAY DISEASE._x000D_
2.A severe perihilar infiltrate has been detected._x000D_
3.Pleural fissure lines or moderate to severe pleural effusion has been detected. An overlying skin fold or in an obese animal, excessive pericardial fat could artifactually mimic the result of severe pleural effusion._x000D_
4.Severe cardiomegaly has been detected but Heart Failure is NOT suspected._x000D_
5.Are respiratory signs present? If YES._x000D_
6.Are respiratory signs present? If NO._x000D_
7.Based on these AI airway/pulmonary findings, the probability of this patient having clinically detectable respiratory signs is VERY HIGH (&gt;75%)</t>
  </si>
  <si>
    <t>THORAX (4 total radiographs for review).  No previous examinations available for comparison._x000D_
_x000D_
- Mass-like widening of the cranial mediastinum_x000D_
- Mild to moderate bilateral increase in soft tissue opacity within the pleural space, causing a retraction and rounding of the lung lobe margins._x000D_
- Limited ability to assess the cardiac silhouette and pulmonary vasculature due to border effacement._x000D_
- Increased soft-tissue opacity in the region of the tracheobronchial lymph nodes, causing a splaying of the principal bronchi on the VD projection._x000D_
- Retracted  lung lobes contain an unstructured interstitial pattern._x000D_
- The stomach contains mild gas and soft tissue opaque material._x000D_
- The small intestine is nondistended/empty and contains mild multifocal gas._x000D_
- The remaining cranial abdominal structures are normal._x000D_
- The included osseous structures are normal.</t>
  </si>
  <si>
    <t>1. Cranial mediastinal mass, mild to moderate bilateral pleural effusion and suspected tracheobronchial lymphadenopathy. DDx neoplasia (e.g. lymphoma, less likely thymoma with cranial vena cava invasion or compression, ectopic thyroid carcinoma). Non-neoplastic granuloma or abscess are less likely. Consider diagnostic thoracocentesis +/- fine needle aspiration of the cranial mediastinal mass (which may be accessible via ultrasound guidance).  A thoracic (and whole-body) CT examination and consultation with a veterinary oncologist may be high yield in this case.</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</si>
  <si>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3.AI linked pneumonia in dogs article: https://platform.v2.vetology.net/doc/pneumonia-in-dogs-and-cats_x000D_
4.Are respiratory signs present? If YES._x000D_
5.Are respiratory signs present? If NO._x000D_
6.The evaluation has a strong suspicion of pulmonary nodules or mass lesion being present._x000D_
7.A mild perihilar infiltrate has been detected._x000D_
8.Pleural fissure lines or moderate to severe pleural effusion has been detected. An overlying skin fold or in an obese animal, excessive pericardial fat could artifactually mimic the result of severe pleural effusion._x000D_
9.Mild cardiomegaly has been detected but Heart Failure is NOT suspected.</t>
  </si>
  <si>
    <t>Three radiographs of the thorax and three views of the abdomen are provided. The heart and pulmonary vessels are normal size and shape. There is soft tissue opacity with air bronchograms in the ventral lungs bilaterally. No esophageal dilation or tracheal narrowing. No pleural effusion. Several gas lucencies in the tissues dorsal to the scapulae consistent with recent injections._x000D_
_x000D_
In the abdomen there is moderate volume soft tissue opaque ingesta in the stomach. The intestines are mildly filled. The prostate and urinary bladder are not definitively visible. Normal-sized liver, spleen, kidneys. No osseous abnormalities.</t>
  </si>
  <si>
    <t>Bilateral ventral alveolar pattern consistent with aspiration pneumonia. Infectious etiology is given secondary consideration. The abdomen is normal.</t>
  </si>
  <si>
    <t>Recommend switching antibiotics.</t>
  </si>
  <si>
    <t xml:space="preserve">
1.MODERATE INTERSTITIAL TO ALVEOLAR INFILTRATE; MILD BRONCHIAL PATTERN; MILD PERIHILAR INFILTRATE._x000D_
2.Based on the AI airway/pulmonary findings, the probability of this patient having clinically detectable respiratory signs is HIGH (75%)_x000D_
3.Are respiratory signs present? If YES._x000D_
4.A mild perihilar infiltrate has been detected._x000D_
5.Are respiratory signs present? If NO._x000D_
6.Pleural fissure lines or moderate to severe pleural effusion has been detected. An overlying skin fold or in an obese animal, excessive pericardial fat could artifactually mimic the result of severe pleural effusion._x000D_
7.Minimal cardiomegaly has been detected but Heart Failure is NOT suspected.</t>
  </si>
  <si>
    <t>Three radiographs of the thorax are provided. There is moderate left-sided cardiomegaly. The cranial pulmonary vein is larger than the artery. There is a moderate interstitial pattern in the perihilar region on the VD views. Crisp pleural fissure lines consistent with age. No soft tissue pulmonary nodules or pleural effusion. Adequate tracheal diameter. Mild narrowed left mainstem bronchus.</t>
  </si>
  <si>
    <t>Moderate left-sided cardiomegaly consistent with acquired mitral valve disease. There is pulmonary venous congestion. Moderate interstitial pattern in the perihilar region is most likely pulmonary edema indicating left-sided heart failure. Mainstem bronchial compression could be contributing to the cough.</t>
  </si>
  <si>
    <t>If the patient has increased respiratory rate/effort, abnormal lung auscultation, exercise intolerance, treatment for heart failure would be recommended. Follow-up echocardiogram is recommended.</t>
  </si>
  <si>
    <t xml:space="preserve">
1.MILD BRONCHOINTERSTITIAL PULMONARY PATTERN; MILD PERIHILAR INFILTRATE; MILD DYNAMIC AIRWAY DISEASE; ATELECTASIS or less likely, pneumonia._x000D_
2.Based on the AI airway/pulmonary findings, the probability of this patient having clinically detectable respiratory signs is MEDIUM (50%)_x000D_
3.Are respiratory signs present? If YES._x000D_
4.Are respiratory signs present? If NO._x000D_
5.Severe cardiomegaly has been detected but Heart Failure is NOT suspected.</t>
  </si>
  <si>
    <t>Eight radiographs of the thorax and abdomen are provided. The cardiac silhouette and pulmonary vessels are normal size and shape. The lungs are clear. No pleural effusion. No esophageal dilation. Thin increased opacity between the right cranial and middle lung lobes on the VD projection is incidental pleural fat deposition._x000D_
_x000D_
In the abdomen there is no peritoneal or retroperitoneal effusion. Small volume gas in the stomach. Small bowel are diffusely mildly filled with fluid and gas. There is gas in the cecum. There is striated soft tissue density in a loop of bowel in the craniodorsal abdomen. On the VD projection this appears to be ascending through proximal descending colon. The distal colon contains small volume of formed feces. Normal-sized liver, spleen, left kidney. The right kidney is obscured. The prostate is mildly enlarged. Mild degenerative change in the dorsal articular facets is incidental.</t>
  </si>
  <si>
    <t>1. Striated soft tissue density in a loop of bowel consistent with cloth foreign material. This is most likely located in the proximal colon, and should continue to pass successfully. Small intestinal cloth foreign material with partial obstruction is given secondary consideration._x000D_
2. Mild prostatomegaly, concerning for prostatic neoplasia. Recent/late neuter could also cause this appearance._x000D_
3. Normal thorax.</t>
  </si>
  <si>
    <t>Recommend supportive care, with repeat radiographs as needed to monitor location of the foreign material and degree of intestinal distention. Ultrasound evaluation and fine-needle aspirates of the prostate should be considered if the patient was not neutered recently.</t>
  </si>
  <si>
    <t xml:space="preserve">Patient Name : Iska Noel, Date of study: Jul 29, 2024
8 images are provided for review
There are no previous radiographs for comparison.
Pulmonary parenchyma:  Ill-defined round soft tissue focus is over the cranial lungs ant 1st rib at the level of T1-2 in the left lateral image.  A mild diffuse bronchial pattern is present.   Presumed end-on vasculature structure in the peri-hilar region superimposed over the cardiac silhouette in the left lateral image. The lungs are mildly hypoinflated.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Bones/Joints: C6-7, T4-5 ,T5-6, and T10-11 spondylosis deformans is present.
The coxofemoral joints have no obvious osteoarthrosis.  There is adequate coverage of the femoral heads by the acetabulums.
Only in the ventrodorsal image, severe left stifle osteoarthrosis is suspected.
Minimal osteophytes are suspected at the right fabellae.  The right infrapatellar fat pad is subjectively normal.
The included right tarsus, metatarsus and digits are normal.  
The Included portion of the lumbar spine is normal.
There is no evidence of medullary sclerosis, osteolysis, endosteal scalloping, or periosteal proliferation.
Soft tissues:  The left thigh soft tissues are mildly small compared to the right.  A small left lateral cutaneous soft tissue nodule is at the level of T1-2 in the ventrodorsal image, which may superimpose over the lungs in the lateral image. The remaining included soft tissues are normal.
</t>
  </si>
  <si>
    <t xml:space="preserve">1. Suspected superimposed normal structures or superimposed cutaneous nodule versus cranial lung lobe soft tissue nodule.
- If a pulmonary nodule is present, this may be due to metastatic neoplasia from occult primary malignancy or unlikely granuloma such as from fungal pneumonia (blastomycosis spp., coccidiomycosis spp.) or least likely other.
2. Mild diffuse bronchial pulmonary pattern due to fibrosis from prior disease, age-related changes, infectious/immune-mediated lower airway disease, inhaled allergen/irritant, or unlikely other.
3.  Severe left stifle osteoarthrosis.
4. Mild left thigh disuse muscle atrophy.
5. Minimal right stifle osteoarthrosis.
6. Normal coxofemoral joints.  </t>
  </si>
  <si>
    <t>Confirm laterality of reported clinical signs given changes to the left stifle and right-sided clinical signs. Consider computed tomography of the stifles and thorax for a more sensitive evaluation.  Respiratory PCR panel and fecal analysis/deworming may be contributory if not recently performed.  Empirical therapy and supportive care in the interim as needed for cough and lameness. Monitoring as directed or sooner if clinical signs acutely change, fail to improve or worsen.</t>
  </si>
  <si>
    <t xml:space="preserve">Patient Name : Icey Fletcher, Date of study: Jul 29, 2024
6 images are provided for review
There are no previous radiographs for comparison.
Bones/Joints:
Moderate bilateral coxofemoral joint osteoarthrosis is present, with thickened femoral necks and osteophytes at the craniodorsal acetabular rims and junction of the femoral heads/necks.    Slightly less then 50% coverage of the right femoral head by the acetabulum and subjectively widening of the coxofemoral joint spaces bilaterally.  
The left stifle has no evidence of osteoarthrosis.  The left infrapatellar fat pad is well-defined.
The right stifle has no evidence of osteoarthrosis.  The right infrapatellar fat pad is well-defined.
The Included portion of the lumbar spine is normal.
There is no evidence of medullary sclerosis, osteolysis, endosteal scalloping, or periosteal proliferation.
Soft tissues:  The thigh soft tissues are small bilaterally, slight more severe in the right.  The remaining included soft tissues are normal.
</t>
  </si>
  <si>
    <t xml:space="preserve">1. Moderate bilateral coxofemoral joint osteoarthrosis and possibly laxity/right-sided subluxation versus artifact.
2. Bilateral thigh disuse muscle atrophy, more severe on the right.  </t>
  </si>
  <si>
    <t>Consider orthopedic consultation and medial versus surgical intervention to the coxofemoral joints.  Empirical therapy and supportive care in the interim as needed.  Monitoring as directed, or sooner if clinical signs acutely change, fail to improve or worsen.</t>
  </si>
  <si>
    <t xml:space="preserve">
1.A minimal interstitial pattern has been detected._x000D_
2.The cardiac silhouette size is normal._x000D_
3.There is no evidence of DYNAMIC AIRWAY COLLAPSE or BRONCHIECTASIS.</t>
  </si>
  <si>
    <t>9 images of the thorax, cervical region, and abdomen are presented for review.  The cardiovascular and pulmonary structures are normal.  No esophageal dilation or foreign material is seen.  The pleural and mediastinal structures are normal.  The trachea is normal in diameter.  Pharyngeal pharyngeal structures are normal.  The hyoid apparatus is intact.  Abdominal serosal detail is adequate in all quadrants.  The stomach contains a small amount of gas.  The small intestines are normal in size.  Gas and feces are present in the colon.  The urinary bladder is small.  The remaining abdominal organs are normal.</t>
  </si>
  <si>
    <t>Radiographically normal thorax, cervical region, and abdomen.  Lack of specific changes does not rule out gastroenteritis, pancreatitis, etc.</t>
  </si>
  <si>
    <t>Four orthogonal thoracic radiographs dated 29th July 2024 are available for review. There are no previous radiographs available for comparison. _x000D_
_x000D_
Airway findings: The cervical and thoracic trachea have a normal size, outline and position. The carina, tracheal bifurcation and mainstem bronchi are normal. Throughout the lung, there is a fine bronchial pattern._x000D_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</si>
  <si>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Diffuse mild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t>
  </si>
  <si>
    <t>Correlate with palpation testing for upper respiratory disease (laryngeal paralysis).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t>
  </si>
  <si>
    <t>3 views of the thorax are provided for review.  The trachea is dorsally deviated, indicating left ventricular enlargement.  A bulge is present in the region of the left atrium.  The cardiac silhouette is also widened with rounding of the right ventricular margin.  The trachea and primary bronchi are variably narrowed.  Interstitial opacity is present in the right caudal lung lobe near the hilus.  The mediastinal and pleural structures are normal.  Cranial abdominal detail is adequate.  The liver margin is rounded and extends beyond the costal arch.</t>
  </si>
  <si>
    <t>Variable tracheobronchial narrowing consistent with dynamic collapse.  Generalized cardiomegaly.  Interstitial pulmonary pattern consistent with early cardiogenic pulmonary edema.  Consider repeat radiographs following diuretic therapy.  Echocardiography may be helpful in further evaluation.  Hepatomegaly=ZZ90= this is a nonspecific finding that may be seen with congestion, vacuolar hepatopathy, inflammation, neoplasia, etc.  Abdominal ultrasound may be helpful in further evaluation if biochemically indicated.</t>
  </si>
  <si>
    <t xml:space="preserve">Patient Name : Marco Diaz, Date of study: Jul 29, 2024
3 images are provided for review
There are no previous radiographs for comparison.
Pulmonary parenchyma: A mild diffuse bronchial pattern is present.  A minimal diffuse interstitial pattern is present, and the lungs are hypoinflated in the lateral images.   The carina and cranial lobar bronchi are subjectively narrowed in a dorsoventral dimension.  
Pulmonary vasculature: The pulmonary vasculature is subjectively normal in size and tapers in the periphery of the lungs.
Cardiac silhouette: The cardiac silhouette is severely enlarged and tall, occupying greater than 2/3 the height of the thorax in the lateral images with dorsal tracheal displacement.  The caudodorsal margin of the cardiac silhouette is flattened.  Rounded increased soft tissue is in the region of the left atrium in the ventrodorsal image. 
Mediastinum: The cranial mediastinum is mildly widened slightly more on the right in the ventrodorsal image.
Trachea: The trachea is normal.
Esophagus: The esophagus is not well-identified.
Pleural space: The pleural space is normal.
Musculoskeletal: The included musculoskeletal structures are normal.
</t>
  </si>
  <si>
    <t>1. Severe left-sided cardiomegaly such as from myxomatous mitral valvular disease and insufficiency.
- There is no current evidence of left-sided congestive heart failure.
2. Mild diffuse bronchial pulmonary pattern due to fibrosis from prior disease, age-related changes, infectious/immune-mediated lower airway disease (such as from bordetella spp., mycoplasma spp., or parasitism such as lung worms), or less likely other.
3. Minimal interstitial pulmonary pattern and hypoinflation due hypoinflation or underlying fibrosis or unlikely other.
4. Narrowed carina and lobar airways suspicious for underlying dynamic airway disease/chondromalacia.
5. Widened cranial mediastinum likely due to fat deposition or unlikely evolving lymphadenomegaly or mass.</t>
  </si>
  <si>
    <t>Echocardiography, ECG and blood pressure for further evaluation.  Consider respiratory PCR panel, airway sampling, and fecal analysis/deworming for further evaluation if clinically indicated.  Consider bronchoscopy/tracheoscopy and/or fluroscopy for further evaluation if clinically indicated.  Routine blood work and urinalysis if not recently performed.  Consider  Monitoring as directed or sooner if clinical signs acutely change, fail to improve or worsen.</t>
  </si>
  <si>
    <t xml:space="preserve">
1.Pleural fissure lines or small volume pleural effusion has been detected. In a mildly overweight animal, excessive pericardial fat can artifactually mimic the result of minimal pleural effusion._x000D_
2.Are respiratory signs present? If NO._x000D_
3.Mild cardiomegaly has been detected but Heart Failure is NOT suspected._x000D_
4.MODERATE INTERSTITIAL TO ALVEOLAR INFILTRATE; MILD BRONCHIAL PATTERN; MILD PERIHILAR INFILTRATE._x000D_
5.Based on these AI airway/pulmonary findings,  the probability of this patient having clinically detectable respiratory signs is HIGH (75%)_x000D_
6.Are respiratory signs present? If YES.</t>
  </si>
  <si>
    <t xml:space="preserve">Patient Name : Finley Snyder, Date of study: Jul 29, 2024
3 images are provided for review
There are no previous radiographs for comparison.  Caudal thorax excluded from the ventrodorsal image.
Pulmonary parenchyma: A minimal to mild diffuse bronchial pattern is present.
Pulmonary vasculature: The pulmonary vasculature is subjectively normal in size and tapers in the periphery of the lungs.
Cardiac silhouette: The cardiac silhouette is equivocally tall in the left lateral image, but not corroborated in the other images.
Mediastinum: The cranial mediastinum is normal.
Trachea: The trachea is normal.
Esophagus: The esophagus is not well-identified.
Pleural space: The pleural space is normal.
Musculoskeletal: The included musculoskeletal structures are normal.
</t>
  </si>
  <si>
    <t xml:space="preserve">1. Minimal-mild diffuse bronchial pulmonary pattern.
- Differential diagnoses include fibrosis from prior disease, age-related changes, or unlikely  infectious/immune-mediated lower airway disease such as from mycoplasma spp., bordetella spp., parasitism, or inhaled allergen/irritant.
2. Presumed artifact from obliquity or unlikely minimal left ventricular enlargement.  </t>
  </si>
  <si>
    <t>Consider echocardiography if clinical signs  or a cardiac murmur are later identified.  Monitoring with thoracic radiographs as needed if cardiopulmonary clinical signs manifest.    Empirical therapy and supportive care in the interim as needed. Monitoring as directed or sooner if clinical signs acutely change, fail to improve or worsen.</t>
  </si>
  <si>
    <t>Six radiographs of the thorax are provided. There is severe generalized cardiac silhouette enlargement. The heart is rounded on all views. The enlarged heart causes dorsal deviation and compression of the mainstem bronchi. Tracheal diameter is adequate. The cranial pulmonary vein is prominent. There is a severe interstitial pattern in the right perihilar region. No pleural effusion. In the cranial abdomen the liver is mildly enlarged and there is small volume peritoneal fluid.</t>
  </si>
  <si>
    <t>Severe generalized cardiomegaly consistent with acquired mitral and tricuspid valve disease. The rounded heart contour is concerning for pericardial effusion. There is pulmonary venous congestion, pulmonary edema, mild hepatomegaly, and mild peritoneal effusion, consistent with right and left-sided cardiac decompensation.</t>
  </si>
  <si>
    <t>Recommend an echocardiogram and treatment for heart failure. With the severe cardiac disease, I would not recommend travel for this patient.</t>
  </si>
  <si>
    <t xml:space="preserve">
1.A moderate perihilar infitlrate has been detected._x000D_
2.SEVERE INTERSTITIAL TO ALVEOLAR PATTERN; MODERATE BRONCHIAL PATTERN; SEVERE DYNAMIC AIRWAY DISEASE._x000D_
3.Based on these AI airway/pulmonary findings, the probability of this patient having clinically detectable respiratory signs is VERY HIGH (&gt;75%)_x000D_
4.Are respiratory signs present? If YES._x000D_
5.Are respiratory signs present? If NO._x000D_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</si>
  <si>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Four radiographs of the thorax are provided. The cardiac silhouette and pulmonary vessels are normal size and shape. There are no abnormalities in the pulmonary parenchyma. No pleural effusion. Tracheal diameter and position are normal. Small volume fat deposition in the cranial mediastinum. Incidental laryngeal mineralization. In the cranial abdomen the liver is upper normal size.</t>
  </si>
  <si>
    <t>Normal thorax. A reason for coughing is not identified. Inhaled irritant/allergens is suspected. Although no tracheal abnormalities are appreciated on this study, dynamic collapse is not definitively ruled out, as it may not be imaged on a static radiographic study. This should be correlated with characteristic of the cough and tracheal palpation.</t>
  </si>
  <si>
    <t>Orthogonal views of the thorax and abdomen are provided:_x000D_
_x000D_
Thorax:_x000D_
_x000D_
Cardiac silhouette is severely enlarged and globoid with a questionable protrusion in the area of the right atrium in the VD view. CVC is prominent in the LL view._x000D_
Pulmonary vessels are within normal limits of size and shape._x000D_
Pulmonary parenchyma is within normal limits. _x000D_
Pleural space, mediastinum, diaphragm and thoracic wall within normal limits._x000D_
_x000D_
Abdomen:_x000D_
_x000D_
There is abdominal distension due to a moderate volume of free fluid leading to an almost complete loss of serosal detail._x000D_
The stomach is empty._x000D_
Small intestines are mildly gas and fluid filled, not overtly distended. No signs of mechanical ileus._x000D_
Liver, spleen, kidneys and urinary bladder are poorly distinguished.</t>
  </si>
  <si>
    <t>1) Severe globoid cardiomegaly compatible with pericardial effusion (rule out  secondary to a cardiac mass (i.e: right atrial mass) vs idiopathic)._x000D_
2) Abdominal free fluid: rule out right sided tamponade with ascitis (pure vs modified transudate vs exudate less likely). Other differentials are less likely.</t>
  </si>
  <si>
    <t>Consider a cardiology consultation with ECG and echocardiogram and abdominal US to further evaluate the liver and peritoneum.</t>
  </si>
  <si>
    <t xml:space="preserve">
1.Moderate to severe bronchointerstitial pulmonary pattern._x000D_
2.A moderate interstitial to alveolar pattern has been detected._x000D_
3.MODERATE INTERSTITIAL TO ALVEOLAR PATTERN; MILD PERIHILAR INFILTRATE._x000D_
4.SEVERE DYNAMIC AIRWAY DISEASE; MODERATE BRONCHIAL PATTERN._x000D_
5.A moderate bronchointerstitial pattern with potential areas of alveolar infiltrate, consolidation or pulmonary mass lesion(s) have been identified._x000D_
6.Pleural fissure lines or moderate to severe pleural effusion has been detected. An overlying skin fold or in an obese animal, excessive pericardial fat could artifactually mimic the result of severe pleural effusion._x000D_
7.Mild cardiomegaly has been detected but Heart Failure is NOT suspected._x000D_
8.In the PRESENCE of respiratory signs, moderate pneumonitis (aspiration or bacterial  (including Bordatella, Mycoplasma and Wolbachia), allergic, viral, fungal or parasitic (including heartworm pathosis)) would be most likely._x000D_
9.Based on these AI airway/pulmonary findings, the probability of this patient having clinically detectable respiratory signs is HIGH (75%)_x000D_
10.In the ABSENCE of respiratory signs, atelectasis secondary to heavy sedation or anesthesia or a false positive due to a combination of age-related changes, obesity, pulmonary hypoinflation/partial atelectasis and/or overlying soft tissues such as forelimb musculature overlying the cranial thorax would be most likely._x000D_
11.Are respiratory signs present? If YES._x000D_
12.Are respiratory signs present? If NO._x000D_
13.The evaluation has a strong suspicion of pulmonary nodules or mass lesion being present.</t>
  </si>
  <si>
    <t>5 images of the thorax and abdomen are presented for review.  The cardiovascular structures are normal.  There is a diffuse interstitial pulmonary pattern that is considered appropriate for the age of the patient.  On the right lateral view, a rounded soft tissue structure is seen caudal to the cardiac silhouette superimposed over the diaphragm in the area of the accessory lung lobe.  A corresponding structure is not seen on the left lateral or VD views.  No additional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</si>
  <si>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Radiographically normal abdomen.  Caudal thoracic mass seen on the single view.  Consider primary pulmonary neoplasia versus larger metastatic lesion.  Superimposition of structures cannot be completely excluded but is considered less likely.</t>
  </si>
  <si>
    <t xml:space="preserve">
1.The evaluation has come up positive for a pulmonary nodular pattern._x000D_
2.The cardiac silhouette size is normal._x000D_
3.There is no evidence of BRONCHITIS, ALVEOLAR PATTERN or DYNAMIC AIRWAY COLLAPSE or BRONCHIECTASIS._x000D_
4.A minimal perihilar infiltrate has been detected.</t>
  </si>
  <si>
    <t>Three radiographs of the thorax and three views of the abdomen are provided. The cardiac silhouette and pulmonary vessels are normal size and shape. There are no abnormalities in the pulmonary parenchyma. Small round soft tissue densities caudal to the heart on the lateral views are end-on pulmonary vessels. There is no pleural effusion. Small volume fluid in the caudal esophagus is transient and incidental. There is no persistent/significant esophageal dilation. Normal tracheal diameter. Mild breed-related congenital vertebral malformations in the mid thoracic spine, likely incidental._x000D_
_x000D_
In the abdomen there is small volume gas in the stomach. Small bowel are minimally distended with fluid. Large volume of formed feces fills the colon. The fecal column measures up to 3.1 cm diameter. No radiopaque foreign material. Normal-sized liver. The spleen and kidneys are obscured. Narrowed L3-4 intervertebral disc space, and mineralized intervertebral disc material in situ at several sites is of doubtful significance today. There is mild degenerative change in the coxofemoral joints.</t>
  </si>
  <si>
    <t>Possible mild constipation. Otherwise normal abdomen and thorax.</t>
  </si>
  <si>
    <t>If clinical signs persist following defecation and supportive care, abdominal ultrasound should be considered.</t>
  </si>
  <si>
    <t xml:space="preserve">
1.MINIMAL TO MILD BRONCHOINTERSTITIAL PULMONRAY PATTERN; MILD PERIHILAR PATTERN._x000D_
2.Based on the AI airway/pulmonary findings, the probability of this patient having clinically detectable respiratory signs is LOW (25%)_x000D_
3.A minimal bronchointerstitial pulmonary pattern with a concurrent, minimal perihilar infiltrate have been detected._x000D_
4.The cardiac silhouette size is normal._x000D_
5.There is no evidence of PLEURAL EFFUSION.</t>
  </si>
  <si>
    <t>Twelve radiographs are provided, with images of the thorax, abdomen, pelvis, and stifles. The cardiac silhouette and pulmonary vessels are of normal size and shape. There are a few incidental pulmonary osteomas. No soft tissue pulmonary nodules or pleural effusion. Small volume fat deposition separates the heart from the sternum on the right lateral view. Adequate tracheal diameter._x000D_
_x000D_
In the abdomen there is no effusion or organomegaly. The gastrointestinal tract and urinary bladder are minimally filled. No radiopaque urolithiasis. Normal lumbar spine. Both femoral heads are less rounded than expected, worse on one side (no laterality marker present on the VD projection). A round 1.4 cm osseous fragment overlies the femoral neck, and thigh musculature is reduced on the more affected side. Patella location is normal. Probable fluid in the cranial aspect of the left stifle joint on the lateral view. Soft tissues of the right stifle joint space are not visible. Stifle joint space evaluation is limited by high technique. Slight mottled appearance of the distal femoral diaphyses on the lateral views is due to incidental synostosis with the fibula.</t>
  </si>
  <si>
    <t>1. Bilateral coxofemoral osteoarthritis. Probable left stifle effusion suggestive of cranial cruciate ligament insult. No definitive right stifle abnormalities on the image provided._x000D_
2. Normal abdomen and thorax.</t>
  </si>
  <si>
    <t>If further evaluation of the stifles is desired, recommend repeating the lateral view of each stifle, with reduced technique.</t>
  </si>
  <si>
    <t>Three radiographs of the thorax are provided. Images dated 3/14/24 are available for comparison. There is mild left-sided cardiomegaly, smaller than on the previous study. Pulmonary arteries and veins are symmetric and taper as expected. There are no abnormalities in the pulmonary parenchyma or pleural space. Tracheal and mainstem bronchial diameter is normal. The cranial abdomen is unremarkable.</t>
  </si>
  <si>
    <t>The cardiac silhouette is smaller than on the previous study, with mild left-sided cardiomegaly today. There is no pulmonary venous congestion or pulmonary edema. Cardiac disease is not the cause for the coughing. The thorax is otherwise normal. Inhaled irritant/allergens is suspected. Although no tracheal abnormalities are appreciated on this study, dynamic collapse remains possible. This should be correlated with characteristic of the cough and tracheal palpation.</t>
  </si>
  <si>
    <t>Consider utilization of a body harness in place of the neck lead and treatment for allergic airway disease.</t>
  </si>
  <si>
    <t xml:space="preserve">
1.Moderate cardiomegaly has been detected but Heart Failure is NOT suspected._x000D_
2.There is no evidence of INTERSTITIAL or ALVEOLAR PATTERN, BRONCHITIS, PERIHILAR INFILTRATE, PULMONARY NODULES or PLEURAL EFFUSION.</t>
  </si>
  <si>
    <t>5 images of the thorax and abdomen are presented for review.  The cardiac silhouette is generally enlarged with a rounded appearance.  There is a diffuse interstitial pulmonary pattern that is considered appropriate for the age of the patient.  No pulmonary nodules or enlarged intrathoracic lymph nodes are seen.  The pleural and mediastinal structures are normal.  Abdominal serosal detail is mildly reduced in all quadrants.  The liver and spleen are smoothly margined.  The stomach contains a moderate amount of gas.  The small intestines are normal in size.  Gas and feces are present in the colon.  The urinary bladder is small.  The remaining abdominal organs are normal.  There is spondylosis deformans of the lumbosacral spine.</t>
  </si>
  <si>
    <t>Generalized cardiomegaly with a rounded appearance concerning for pericardial effusion.  Cardiomyopathy cannot be excluded.  Echocardiography may be helpful.  Reduced peritoneal serosal detail suggestive of free fluid.  Abdominal ultrasound may be helpful for evaluation and fluid sampling.</t>
  </si>
  <si>
    <t xml:space="preserve">
1.In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2.Are respiratory signs present? If YES._x000D_
3.Are respiratory signs present? If YES._x000D_
4.Are respiratory signs present? If NO._x000D_
5.Are respiratory signs present? If NO._x000D_
6.In the PRESENCE of respiratory signs, low grade active pneumonitis (allergic, bacterial, parasitic (including heartworm disease), inhaled allergen or toxin) or upper airway disease causing pulmonary hypoinflation and/or recurrent microaspiration may be more likely._x000D_
7.The evaluation has come up positive for a pulmonary nodular pattern._x000D_
8.MINIMAL to MILD BRONCHOINTERSTITIAL PULMONARY PATTERN; POTENTIAL FOR FOCAL ATELECTASIS._x000D_
9.MILD BROCHIAL/BRONCHOINTERSTITIAL PULMONARY PATTERN; MINIMAL PERIHILAR INFILTRATE._x000D_
10.MILD BRONCHOINTERSTITIAL PULMONARY PATTERN; MINIMAL PERIHILAR PATTERN._x000D_
11.Based on the AI airway/pulmonary findings, the probability of this patient having clinically detectable respiratory signs is LOW (25%)_x000D_
12.Based on these AI airway/pulmonary findings, the probability of this patient having clinically detectable respiratory signs is LOW (25%)_x000D_
13.Based on these AI airway/pulmonary findings, the probability of this patient having clinically detectable respiratorysigns is LOW (25%)_x000D_
14.Pleural fissure lines or small volume pleural effusion has been detected. In a mildly overweight animal, excessive pericardial fat can artifactually mimic the result of minimal pleural effusion._x000D_
15.The cardiac silhouette size is normal.</t>
  </si>
  <si>
    <t>Three orthogonal thoracic radiographs dated 28th July 2024 are available for review. There are no previous radiographs available for comparison. _x000D_
_x000D_
Airway findings: The cervical and thoracic trachea have a normal size, outline and position. The carina, tracheal bifurcation and mainstem bronchi are normal. The thorax is well inflated. The pulmonary parenchyma has a mild perihilar and caudal dorsal bronchointerstitial opacification._x000D_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</si>
  <si>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1. The mild bronchointerstitial opacification in spite of good inflation is most consistent with an infectious tracheobronchitis of mixed viral-bacterial, or a parasitic origin. A primary upper respiratory origin such as laryngitis/pharyngitis is also possible.</t>
  </si>
  <si>
    <t>Respiratory workup including CBC, serum chemistry, urinalysis, Baermann faecal testing, 4DX, +/- respiratory panel or fungal testing as indicated is advised.  Alternatively, empirical therapy for lower airway disease, empirical deworming can be considered.  Evaluate for upper airway disease as clinically indicated.</t>
  </si>
  <si>
    <t xml:space="preserve">
1.MILD BRONCHIAL PATTERN; MILD PERIHILAR PATTERN._x000D_
2.Based on these AI airway/pulmonary findings, the probability of this patient having clinically detectable respiratorysigns is LOW (25%)_x000D_
3.Are respiratory signs present? If YES._x000D_
4.Are respiratory signs present? If NO._x000D_
5.The cardiac silhouette size is normal._x000D_
6.There is no evidence of DYNAMIC AIRWAY COLLAPSE or BRONCHIECTASIS.</t>
  </si>
  <si>
    <t>Three orthogonal thoracic radiographs dated 28th July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70% of the dorsoventral diameter of the trachea. _x000D_
The dorsal attenuation of the trachea is consistent with redundant trachealis membrane or overlying musculature. The intrathoracic trachea is elevated. There is lateral narrowing of the mainstem bronchi. There is widening of the tracheal bifurcation. In the caudal dorsal lung fields there is a mild interstitial opacification._x000D_
_x000D_
Cardiovascular findings: There is a large smoothly marginated soft tissue opacity contiguous with the caudal dorsal border of the cardiac silhouette. A soft tissue opacity is superimposed on the caudal cardiac silhouette in the dorsoventral image.  The overall cardiac silhouette is enlarged. The pulmonary vessels as well as the mainstem vasculature are normal._x000D_
_x000D_
Mediastinum and pleural space: No significant abnormalities are detected._x000D_
_x000D_
Musculoskeletal findings: No significant abnormalities are detected._x000D_
_x000D_
Included abdomen: No significant abnormalities are detected.</t>
  </si>
  <si>
    <t>1. Left atrial dilation with left-sided cardiomegaly. This is most likely due to mixoid degeneration of the mitral valve.  Even though the pulmonary vasculature is within normal limits, the caudal interstitial opacification is suspicious of early cardiogenic pulmonary oedema. The compression of the mainstem bronchi would expected to be causing coughing._x000D_
2. The interstitial opacification is as described above most likely due to very early cardiogenic pulmonary oedema. Pulmonary hypoinflation, viral pneumonia, eosinophilic bronchopneumopathy is considered less likely._x000D_
3. Redundant trachealis membrane and compression of mainstem bronchi would cause coughing. Potentially if the compression is extensive enough, may cause secondary non-cardiogenic pulmonary oedema.</t>
  </si>
  <si>
    <t>ECG, blood pressure measurements and echocardiography are advised. Alternatively, consider  diagnostic therapy with diuretics and repeat radiographs. Treatment for tracheal collapse/redundant trachealis membrane is also advised.</t>
  </si>
  <si>
    <t xml:space="preserve">
1.A minimal interstitial pulmonary pattern with a concurrent, minimal perihilar infiltrate have been detected._x000D_
2.Moderate cardiomegaly has been detected but Heart Failure is NOT suspected._x000D_
3.There is no evidence of ALVEOLAR PATTERN, DYNAMIC AIRWAY COLLAPSE or BRONCHIECTASIS or PULMONARY NODULES.</t>
  </si>
  <si>
    <t>Study:_x000D_
Thoracic, abdominal and spinal: six images dated July 28,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heterogeneous soft tissue material. The small intestines are normal in size, course and content. The colon contains gas with a normal diameter. The liver and spleen are normal in size and margin. The kidneys are normal in size and contour. The urinary bladder is normal in size and opacity. There is no prostatomegaly. The dens is intact and well defined. The atlantoaxial joint space is normal. There is no intervertebral disc space or foraminal narrowing. There is no evidence of discospondylitis. The included appendicular skeletal structures are unremarkable.</t>
  </si>
  <si>
    <t>1. Gastric contents likely represent ingesta. Foreign material cannot be completely excluded. The abdomen is otherwise unremarkable. There is no evidence of small intestinal mechanical obstruction. Repeat fasted radiography can be considered to ensure gastric emptying if clinically relevant based on recent dietary history.. Alternatively, sonography can be considered if clinical signs persist or worsen in spite of medical management._x000D_
2. Normal thorax._x000D_
3. Unremarkable spine.</t>
  </si>
  <si>
    <t>Four orthogonal thoracic radiographs dated 28th July 2024 are available for review. There are no previous radiographs available for comparison. _x000D_
_x000D_
Airway findings: The thorax is well inflated in the images. The trachea has a normal position, shape and size. The carina and tracheal bifurcation are normal. There is a mild caudal dorsal bronchointerstitial pattern. 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</si>
  <si>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1.Caudal dorsal bronchointerstitial pattern: Considering age, mixed infectious-inflammatory tracheobronchitis (kennel cough) is most likely. Parasitic bronchitis is possible. Less likely are heart worm, hyperardenocorticism, neoplasia (such a lymphoma) or idiopathic pulmonary fibrosis.</t>
  </si>
  <si>
    <t>Respiratory workup including CBC, serum chemistry, urinalysis, Baermann faecal testing, 4DX, +/- respiratory panel as indicated is advised.  Alternatively, empirical therapy for lower airway disease, empirical deworming can be considered. If the patient=ZZ91=s signs continue despite supportive care, bronchoscopy/BAL vs. endotracheal wash +/- consultation with an Internist should be considered. Evaluate for upper airway disease as clinically indicated.</t>
  </si>
  <si>
    <t xml:space="preserve">
1.The cardiac silhouette size is normal._x000D_
2.There is no evidence of PERIHILAR INFILTRATE or DYNAMIC AIRWAY COLLAPSE or BRONCHIECTASIS._x000D_
3.A moderate interstitial to alveolar pattern has been detected._x000D_
4.A minimal bronchial pattern has been detected.</t>
  </si>
  <si>
    <t xml:space="preserve">Patient Name : Celine Amborski, Date of study: Jul 27, 2024
3 images are provided for review
Canine Thorax (3 Images) - 2 Lateral, 1 Vd
There are no previous radiographs for comparison.
Pulmonary parenchyma: A minimal diffuse bronchial pattern is present.  In the lateral images, few small or pin-point mineral foci are suspected.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</si>
  <si>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Minimal diffuse bronchial pulmonary pattern.
- Differential diagnoses include fibrosis from prior disease, age-related changes, infectious/immune-mediated lower airway disease such as from mycoplasma spp., bordetella spp., parasitism, or inhaled allergen/irritant, or unlikely other.
2. Presumed benign pulmonary osteomas.
3. No obvious evidence of intra-thoracic lymphadenomegaly.  </t>
  </si>
  <si>
    <t>Consider computed tomography of the thorax/abdomen for pre-surgical planning of reported caudal abdominal/mammary mass incisional/excisional biopsy and a more sensitive evaluation of the thorax.  Oncologist consultation depending on results.  Empirical therapy and supportive care as needed in the interim. Monitoring as directed or sooner if clinical signs acutely change, fail to improve or worsen.</t>
  </si>
  <si>
    <t>Orthogonal views of the thorax are provided:_x000D_
_x000D_
Thorax:_x000D_
_x000D_
Cardiac silhouette shows a moderate enlargement of the left atrium dorsally displacing the carina._x000D_
Pulmonary vessels are within normal limits of size and shape._x000D_
Pulmonary parenchyma shows a caudodorsal caveated lung lobe nodule/ mass in the right caudal lung lobe._x000D_
Pleural space, mediastinum, diaphragm and thoracic wall within normal limits._x000D_
_x000D_
Liver extends beyond the costal arch with sharp margins.</t>
  </si>
  <si>
    <t>1) Left atrial enlargement secondary to chronic mitral endocardiosis without signs of CHF. Rule out concomitant tricuspid endocardiosis with pulmonary hypertension._x000D_
2) Solitary caveated pulmonary mass in the right caudal lung lobe most consistent with a solitary primary pulmonary neoplasia vs other differentials such as solitary pulmonary metastatic nodule, granuloma, abscess or hamartoma are less likely._x000D_
3) Hepatomegaly: Metabolic vs Vacuolar infiltration vs Hepatic nodular hyperplasia vs Inflammatory vs Toxic vs Neoplastic or a combination of these differentials.</t>
  </si>
  <si>
    <t>Consider a cardiology consultation with ECG and echocardiogram and abdominal US to further evaluate the liver prior to a CT of the thorax to completely rule out concomitant metastases and US guided FNAs of the mass.</t>
  </si>
  <si>
    <t xml:space="preserve">
1.Severe cardiomegaly has been detected but Heart Failure is NOT suspected._x000D_
2.Are respiratory signs present? If YES._x000D_
3.In the PRESENCE of respiratory signs, low grade active pneumonitis (allergic, bacterial, parasitic (including heartworm disease), inhaled allergen or toxin) or upper airway disease causing pulmonary hypoinflation and/or recurrent microaspiration may be more likely._x000D_
4.A minimal to mild perihilar infiltrate has been detected._x000D_
5.A mild bronchial pattern and concurrent mild dynamic airway disease have been detected._x000D_
6.MILD BRONCHOINTERSTITIAL PULMONARY PATTERN; MILD DYNAMIC AIRWAY DISEASE._x000D_
7.MILD BRONCHOINTERSTITIAL PULMONARY PATTERN; MINIMAL PERIHILAR PATTERN._x000D_
8.Based on these AI airway/pulmonary findings, the probability of this patient having clinically detectable respiratory signs is LOW to MEDIUM (25-50%)_x000D_
9.Based on the AI airway/pulmonary findings, the probability of this patient having clinically detectable respiratory signs is LOW (25%)_x000D_
10.In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11.Are respiratory signs present? If NO.</t>
  </si>
  <si>
    <t>1) No signs of cardiomegaly (this does not exclude a cardiac disease)._x000D_
2) Unremarkable lungs do not exclude a bronchitis of allergic origin vs inflammatory/infectious or parasitic origin.</t>
  </si>
  <si>
    <t>Given the lack of cardiomegaly but audible murmur, consider a cardiology consultation with ECG and echocardiogram and abdominal US prior to an empirical treatment for chronic bronchitis evaluating response to treatment. If clinical signs persist, consider a bronchoscopy with BAL, culture, cytology, Baermann test and deworming.</t>
  </si>
  <si>
    <t xml:space="preserve">Patient Name : Audrey Sanchez, Date of study: Jul 27, 2024
3 images are provided for review
Canine Thorax (3 Images) - 1 Vd, 2 Lateral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mildly tall and occupies 2/3 the height of the thorax with slight dorsal tracheal displacement.  The caudodorsal margin of the cardiac silhouette is slightly flattened.
Mediastinum: The cranial mediastinum is normal.
Trachea: The trachea is normal.
Esophagus: The esophagus is not well-identified.
Pleural space: The pleural space is normal.
Musculoskeletal: The included musculoskeletal structures are normal.
</t>
  </si>
  <si>
    <t xml:space="preserve">1. Equivocal left-sided cardiomegaly such as from myxomatous mitral valvular disease and insufficiency versus artifact due to phase of the cardiopulmonary cycle.
- There is no  current evidence of left-sided congestive heart failure.  
2. Minimal diffuse bronchial pulmonary pattern due to  fibrosis from prior disease, age-related changes, or unlikely infectious/immune-mediated lower airway disease, or less likely other.
3. No obvious intra-thoracic soft tissue nodules or lymphadenomegaly is identified. </t>
  </si>
  <si>
    <t>Etiology for reported oral hemorrhage is not definitively identified.  Consider computed tomography of the head and/or sedated laryngeal examination for further evaluation.  Coagulation testing may be contributory.  Consider echocardiography, ECG and blood pressure for further evaluation especially if a murmur is later identified.  Monitoring as directed, or sooner if clinical signs acutely change, fail to improve or worsen.</t>
  </si>
  <si>
    <t xml:space="preserve">Patient Name : Bruce Radillo-Andrade, Date of study: Jul 27, 2024
2 images are provided for review
Canine Abdomen (2 Images) - 1 Lateral, 1 Vd
There are no previous radiographs for comparison.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No obvious evidence of prostatomegaly or mineral in the region of the prostate gland.
Peritoneum: Peritoneal detail is adequate.
Gastrointestinal tract: The stomach contains a moderate volume of heterogeneous soft tissue material admixed with gas.  Minimal granular mineral is admixed with gastric contents.   The stomach is within normal limits for size.
In the left perineal region the soft tissues are severely enlarged and expanded caudally due to caudally herniated segments of small intestine and presumed the distal rectal segment.  The small intestinal segments are positioned ventral to the rectum and contains moderate gas.  The remaining small intestine in the mid-abdominal contains mild fluid and minimal gas or is empty.  
The colon contains mild gas and minimal soft tissue material or is empty.  The colon is within normal limits for size.  
Musculoskeletal:   The perineal region is enlarged with a rounded/convex caudal margin due to inguinal hernia.  Smoothly marginated mineral superimposes over the L3-4 intervertebral foramina.  The remaining included musculoskeletal structures are normal.
</t>
  </si>
  <si>
    <t xml:space="preserve">1.  Left-sided perineal hernia with multiple herniated segments of the small intestine and distal rectum.
2. Possible evolving small intestinal incarceration/strangulation and mechanical ileus, versus enteritis or variation or normal.
3. Suspected right-sided perineal hernia with fat/mesentery and no obvious intestinal structures.
4.  Gastric material due to recent meal and/or gastritis/delayed gastric emptying, or unlikely pyloric outflow tract obstruction given lack of vomiting in reported history.
5. Minimal pyloric mineral due to dietary indiscretion is considered most likely.
6. Possible herniated mineralized disc material at L3-4.  </t>
  </si>
  <si>
    <t>Consider abdominal/perineal computed tomography for further evaluation.  Thoracic imaging and routine blood work to screen for occult systemic disease if not recently performed   Consider repeat abdominal radiographs after 8-12 hours of fasting to monitor for passage of gastric material.  Monitoring as directed or sooner if clinical signs acutely change, fail to improve or worsen.</t>
  </si>
  <si>
    <t xml:space="preserve">
1.The cardiac silhouette size is normal._x000D_
2.There is no evidence of BRONCHITIS, ALVEOLAR PATTERN, DYNAMIC AIRWAY COLLAPSE or BRONCHIECTASIS, PULMONARY NODULES or PLEURAL EFFUSION._x000D_
3.A moderate perihilar infitlrate has been detected.</t>
  </si>
  <si>
    <t>Study:_x000D_
Thoracic and abdominal radiography: five images dated July 27, 2024_x000D_
_x000D_
Compared to prior study dated September 2, 2021_x000D_
_x000D_
Findings:_x000D_
The cardiac silhouette is normal in size/shape and unchanged and appearances from the prior examination. The pulmonary parenchyma is unremarkable. The pleural space is normal. There is no intrathoracic lymphadenopathy. The larynx is normal. The trachea is normal in diameter and course. The stomach contains a small volume of gas. The small intestines are normal in size, course and content. The colon contains formed fecal material. The liver and spleen are normal in size/margin and are in change in appearance from the prior examination. The kidneys are normal in size and contour. The urinary bladder is normal in size and opacity. The osseous structures are unremarkable.</t>
  </si>
  <si>
    <t xml:space="preserve">
1.MINIMAL TO MILD BRONCHOINTERSTITIAL PULMONRAY PATTERN; MILD PERIHILAR PATTERN._x000D_
2.Based on the AI airway/pulmonary findings, the probability of this patient having clinically detectable respiratory signs is LOW (25%)_x000D_
3.A minimal bronchointerstitial pulmonary pattern with a concurrent, minimal perihilar infiltrate have been detected._x000D_
4.Moderate cardiomegaly has been detected but Heart Failure is NOT suspected.</t>
  </si>
  <si>
    <t>5 images of the thorax and abdomen are provided for review.  The cardiovascular structures are normal.  Patchy alveolar opacity is present in the right and left cranial lung lobes.  The mediastinal and pleural structures are normal.  Abdominal serosal detail is adequate in all quadrants.  The stomach contains a small amount of mottled soft tissue material.  The small intestines are normal in size.  Gas and feces are present in the colon.  The urinary bladder is small.  The remaining abdominal organs are normal.</t>
  </si>
  <si>
    <t>Material within the stomach may represent residual ingesta or foreign material.  Consider repeat radiographs following strict fasting to determine if gastric contents persist.  Alveolar pulmonary pattern concerning for aspiration type pneumonia.  Airway sampling may be helpful in further evaluation.</t>
  </si>
  <si>
    <t xml:space="preserve">
1.A severe alveolar pattern and minimal perihilar pattern have been detected._x000D_
2.AI linked canine bacterial pneumonia treatment: https://platform.v2.vetology.net/doc/pneumonia-in-dogs-and-cats_x000D_
3.In the ABSENCE of respiratory signs, lung lobe collapse or severe atelectasis secondary to anesthesia or deep sedation would be more likely._x000D_
4.The cardiac silhouette size is normal._x000D_
5.There is no evidence of DYNAMIC AIRWAY COLLAPSE or BRONCHIECTASIS.</t>
  </si>
  <si>
    <t>Study:_x000D_
Thoracic/abdominal radiography: three images dated July 27, 2024_x000D_
_x000D_
Findings:_x000D_
There is straightening of the caudal cardiac waist/mild dorsal bulging of the left atrium. The pulmonary vasculature is normal in size. There is incidental platelike atelectasis in the craniodorsal lung fields on the lateral projections. The pulmonary parenchyma is otherwise unremarkable. The pleural space is normal. There is no intrathoracic lymphadenopathy. The trachea is normal in diameter. The stomach contains a small volume of gas with the pylorus appropriately gas-filled on the left lateral image. Some small intestinal segments contain a small amount of granular soft tissue material presumed to be ingesta.. The colon contains a small volume of gas with a normal diameter. The liver and spleen are normal in size and margin. The kidneys are normal in size and contour. The urinary bladder is normal in size and opacity. The region of the prostate is not included. There is narrowing of the C4-C5 through C6-C7, T 11-T 12 and T 12-T 13 intervertebral disc spaces.</t>
  </si>
  <si>
    <t>1. C4-C5 through C6-C7, T 11-T 12 and T 12-T 13 intervertebral disease. Neurology consultation and MRI should be considered for further evaluation if clinical signs persist or worsen in spite of strict activity restriction and pain management._x000D_
2. Mild specific left atrial enlargement, suggestive of mitral valve disease, without evidence of decompensation. Echocardiography should be considered for further evaluation._x000D_
3. Unremarkable abdomen.</t>
  </si>
  <si>
    <t xml:space="preserve">
1.A mild perihilar infiltrate has been detected._x000D_
2.A mild interstitial pattern has been detected._x000D_
3.Moderate cardiomegaly has been detected but Heart Failure is NOT suspected._x000D_
4.There is no evidence of ALVEOLAR PATTERN or DYNAMIC AIRWAY COLLAPSE or BRONCHIECTASIS.</t>
  </si>
  <si>
    <t>THORAX (3 total radiographs for review). _x000D_
_x000D_
- The cardiac silhouette and pulmonary vasculature are normal._x000D_
- The pulmonary parenchyma is normal_x000D_
- The trachea, esophagus and remainder of the mediastinum are normal._x000D_
- The pleural space and remaining intrathoracic structures are normal._x000D_
- The stomach contains moderate gas stippled soft tissue opaque material and a small volume of gas._x000D_
- The small intestine contains mild multifocal gas and soft tissue opaque material._x000D_
- The colon contains gas and minimal formed fecal material._x000D_
- The liver, spleen, kidneys are normal._x000D_
- Multiple expected mid and caudal thoracic hemivertebral segments with local regional spondylosis deformans._x000D_
Mineralized material superimposed over the vertebral canal at L4-5._x000D_
- The remaining musculoskeletal structures are normal.</t>
  </si>
  <si>
    <t>1.  Normal thorax.  Negative examination for evidence of metastatic neoplasia or contraindication to general anesthesia.  As the reported tumor type is a mast cell tumor, you may consider abdominal ultrasonography for assessment of the liver and spleen prior to excision as these are the organs of preferential metastasis._x000D_
_x000D_
2.  Postprandial stomach.  Otherwise unremarkable cranial abdomen._x000D_
_x000D_
3.  Multiple expected breed related thoracic and thoracolumbar hemivertebrae and thoracolumbar spondylosis deformans._x000D_
_x000D_
4.  Chronic/prior L4-5 intervertebral disc extrusion.</t>
  </si>
  <si>
    <t xml:space="preserve">Patient Name : Sacha marrero, Date of study: Jul 27, 2024
6 images are provided for review
There are no previous radiographs for comparison.
Bones/Joints:
A dens is present.  There is no evidence of atlantoaxial joint subluxation.  T13 has thinned, hypoplastic ribs.  
The T11-12 and T12-13 intervertebral disc spaces are slightly or mildly narrowed.
L4-5, L1-2, T10-11 spondylosis deformans is present.
There is no evidence of  mineral over the intervertebral foramina.  There is no evidence of intervertebral dorsal articulation osteoarthrosis.
There is no evidence of medullary sclerosis, osteolysis, endosteal scalloping, or periosteal proliferation.
Soft tissues:  The included soft tissues are normal.
</t>
  </si>
  <si>
    <t xml:space="preserve">1. Slightly narrowed T11-12 intervertebral disc space such as from intervertebral disc disease and/or artifact.
2. Slightly narrowed T12-13 intervertebral disc space such as from intervertebral disc disease and/or artifact.
3. Incidental T13 thinned, hypoplastic ribs.  
</t>
  </si>
  <si>
    <t>Consider neurologist consultation and MRI for further evaluation of the thoracolumbar spine, especially given acute paraparesis and CP deficits.  Routine blood work and thoracic imaging to screen for occult systemic disease prior to referral. Empirical therapy and supportive care in the interim as needed. Monitoring as directed, or sooner if clinical signs acutely change, fail to improve or worsen.</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</si>
  <si>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5.There is no evidence of DYNAMIC AIRWAY COLLAPSE or BRONCHIECTASIS._x000D_
6.Mild cardiomegaly has been detected but Heart Failure is NOT suspected.</t>
  </si>
  <si>
    <t>Study:_x000D_
Thoracic and abdominal radiography: six images dated July 27, 2024_x000D_
_x000D_
Findings:_x000D_
The cardiac silhouette is normal in size and shape. The pulmonary vasculature is normal in size. On the right lateral view, there is a mild interstitial to alveolar pattern overlying the cranial aspect of the cardiac silhouette. The pleural space is normal. On both lateral projections, there is an indistinct round opacity in the hilar region, partially superimposed with the caudal trachea/carina,. The trachea is normal in diameter. The stomach contains a small volume of gas. The small intestines are normal in size, course and content. The colon is empty. The liver and spleen are normal in size and margin. The kidneys are normal in size and contour. The urinary bladder is normal in size and opacity. The osseous structures are unremarkable. The patient is of overweight body condition.</t>
  </si>
  <si>
    <t>1. The indistinct round soft tissue opacity in the hilar region on the lateral projections is suspicious for tracheobronchial lymphadenopathy. Rule out round cell neoplasia or fungal disease. Consider regionally appropriate fungal serology testing for further evaluation._x000D_
2. The mild interstitial to alveolar pattern in the left cranial lung lobe on the right lateral projection may indicate pneumonia. Atelectasis is also possible. Empiric antibiotic therapy with repeat radiography to monitor for response to treatment can be considered._x000D_
3. Unremarkable abdomen. There is no radiographic evidence of gastrointestinal foreign material or small intestinal mechanical obstruction. Abdominal sonography can be considered for further evaluation if clinical signs persist or worsen in spite of medical management.</t>
  </si>
  <si>
    <t>Patient Name : Keysea Guerra, Date of study: Jul 27, 2024
3 images are provided for review
Canine Thorax (3 Images) - 2 Lateral, 1 Vd
There are no previous radiographs for comparison.
Pulmonary parenchyma: A minimal bronchial pattern is present in the ventrodorsal image.  The lungs are subjectively normal in the lateral image.  
Pulmonary vasculature: The pulmonary vasculature is subjectively normal in size and tapers in the periphery of the lungs.
Cardiac silhouette: The cardiac silhouette is slightly tall and occupies 2/3 the height of the thorax, with slight dorsal tracheal displacement.  The caudodorsal margin of the cardiac silhouette is mildly flattened.   Mild rounded increased soft tissue is in the region of the left atrium in the ventrodorsal image.  
Mediastinum: The cranial mediastinum is normal.
Trachea: The trachea is normal.
Esophagus: The esophagus is not well-identified.
Pleural space: The pleural space is normal.
Musculoskeletal: A broad-based fat to soft tissue opaque convex nodule arises from the ventral extra-abdominal soft tissues. The remaining included musculoskeletal structures are normal.</t>
  </si>
  <si>
    <t>1. Mild left-sided cardiomegaly such as from myxomatous mitral valvular disease and insufficiency.
- There is no current evidence of left-sided congestive heart failure.
2. Minimal bronchial pattern due to fibrosis from prior disease, age-related changes, artifact, or unlikely other.</t>
  </si>
  <si>
    <t>Echocardiography, ECG and blood pressure for further evaluation, as well as routine blood work and urinalysis if not recently performed.  Empirical therapy and supportive care as needed in the interim.  Monitoring as directed, or sooner if clinical signs acutely change, fail to improve or worsen.</t>
  </si>
  <si>
    <t xml:space="preserve">Patient Name : ginger snap landry, Date of study: Jul 27, 2024
3 images are provided for review
Canine Thorax (3 Images) - 2 Lateral, 1 Vd
There are no previous radiographs for comparison.
Pulmonary parenchyma: A  mild to moderate diffuse bronchial pattern is present.  In the left lateral image, the presumed right cranial lobar bronchus is enlarged and does not taper as expected in the ventral lung periphery.
Pulmonary vasculature: The pulmonary vasculature is subjectively normal in size and tapers in the periphery of the lungs.
Cardiac silhouette: The cardiac silhouette is mildly tall and occupies 2/3 the height of the thorax, with slight dorsal tracheal displacement. 
Mediastinum: The cranial mediastinum is slightly widened, likely exacerbated by patient obliquity.  No obvious increased mediastinal soft tissue in the lateral images.
Trachea: The trachea is normal.
Esophagus: The esophagus is not well-identified.
Pleural space: The pleural space is normal.
Musculoskeletal: A well-defined lobular soft tissue mass arises from the dorsal extra-thoracic soft tissues at the level of T7 through T9.  Few ovoid soft tissue nodules arise from the ventral extra-abdominal soft tissues.  The remaining included musculoskeletal structures are normal.
</t>
  </si>
  <si>
    <t>1. Possible widened cranial mediastinum versus variation or artifact from obliquity.
- If present, evolving lymphadenomegaly such as from metastatic neoplasia is possible.
2. Mild left-sided cardiomegaly versus artifact from phase of the cardiopulmonary cycle/patient positioning.
- If present, consider evolving dilated cardiomyopathy or less likely mitral valvular disease or other.
3. Mild-moderate diffuse bronchial pulmonary pattern.
- Differential diagnoses include infectious/immune-mediated lower airway disease, fibrosis from prior disease, age-related changes, or unlikely other.
4. Suspected right cranial lobar  columnar bronchiectasis such as from underlying chronic lower airway disease/chondromalacia.
5. Dorsal extra-thoracic soft tissue mass and ventral extra-abdominal soft tissue nodules.
- Differential diagnoses include neoplasia (malignant versus benign) such as a soft tissue sarcoma, or other.</t>
  </si>
  <si>
    <t>Consider computed tomography of the head/neck and thorax for further evaluation of occult metastatic disease and pre-surgical planning of mass incisional/excisional biopsy. 
 Oncologist consultation depending on results.  Consider echocardiography, ecg and blood pressure prior to advanced imaging and tissue sampling, especially if a murmur is later identified.  Empirical therapy and supportive care in the interim as needed.  Monitoring as directed, or sooner if clinical signs acutely change, fail to improve or worsen.</t>
  </si>
  <si>
    <t xml:space="preserve">
1.A diffuse, minimal to mild interstitial pulmonary pattern and minimal perihilar infiltrate have been detected._x000D_
2.The evaluation has come up positive for a pulmonary nodular pattern._x000D_
3.Pleural fissure lines or small volume pleural effusion has been detected. In a mildly overweight animal, excessive pericardial fat can artifactually mimic the result of minimal pleural effusion._x000D_
4.The cardiac silhouette size is normal._x000D_
5.There is no evidence of DYNAMIC AIRWAY COLLAPSE or BRONCHIECTASIS.</t>
  </si>
  <si>
    <t>Study:_x000D_
Thoracic radiography: three images dated July 27, 2024_x000D_
_x000D_
Findings:_x000D_
The cardiac silhouette is normal in size and shape. The pulmonary vasculature is normal in size. The pulmonary parenchyma is unremarkable. The pleural space is normal. There is no intrathoracic lymphadenopathy. The trachea is normal in diameter and course. The liver extends mildly beyond the costal arch with smooth margins. The osseous structures are unremarkable.</t>
  </si>
  <si>
    <t>1. Normal thorax. There is no radiographic evidence of cardiopulmonary disease._x000D_
2. The generalized hepatomegaly is nonspecific. Rule out metabolic/vacuolar hepatopathy, hyperplasia, hepatitis or infiltrative neoplasia. Correlate with any liver enzyme abnormalities. Sonography can be considered for further evaluation if clinically relevant.</t>
  </si>
  <si>
    <t xml:space="preserve">Patient Name : Apollo Carroll, Date of study: Jul 27, 2024
3 images are provided for review
There are no previous radiographs for comparison.  Caudal thorax partially excluded in the lateral images.  
Pulmonary parenchyma: A mild interstitial pattern is present that is most severe in the caudal lung lobes in the ventrodorsal image. A minimal diffuse bronchial and interstitial pattern is present.  
Pulmonary vasculature: The pulmonary vasculature is partially obscured in the caudal lung lobes in the ventrodorsal image.
Cardiac silhouette: The cardiac silhouette is severely enlarged and tall, occupying greater than 2/3 the height of the thorax. The trachea is dorsally displaced. The caudodorsal margin of the cardiac silhouette is enlarged. Rounded increased soft tissue is present in the region of the left atrium in the ventrodorsal image. A soft tissue bulge is at the 2-3 o'clock position of the cardiac silhouette (left auricular appendage). 
Mediastinum: The cranial mediastinum is normal.
Trachea: The trachea is normal.
Esophagus: The esophagus is not well-identified.
Pleural space: The pleural space is normal.
Musculoskeletal: The included musculoskeletal structures are normal.
</t>
  </si>
  <si>
    <t xml:space="preserve">1. Severe left-sided cardiomegaly such as from myxomatous mitral valvular disease and insufficiency.
2. Mild diffuse interstitial pulmonary pattern most severe in the caudal lung lobes, with minimal bronchial component.
- The primary differential diagnosis is left-sided congestive heart failure.
- Underlying/concurrent fibrosis fromprior disease, age-related changes, or less likely infectious/immune-mediated lower airway disease are also considered.  
</t>
  </si>
  <si>
    <t>Oxygen and diuretic therapy for suspected left-sided congestive heart failure, with repeat thoracic radiographs after 4-6 hours to monitor for progression/resolution of the pulmonary pattern. Echocardiography, eCG, blood pressure, routine blood work and urinalysis for further evaluation once stable.  Empirical therapy and supportive care in the interim as needed. Monitoring as directed or sooner if clinical signs acutely change, fail to improve or worsen.</t>
  </si>
  <si>
    <t xml:space="preserve">
1.Severe cardiomegaly has been detected but Heart Failure is NOT suspected._x000D_
2.MODERATE TO SEVERE INTERSTITIAL TO ALVEOLAR PATTERN; PLEURAL EFFUSION or PLEURAL FISSURE LINES; PULMONARY NODULES or NODULAR PATTERN; MILD BRONCHITIS._x000D_
3.SEVERE PLEURAL EFFUSION; MODERATE TO SEVERE INTERSTITIAL to ALVEOLAR PATTERN; MILD BRONCHIAL PATTERN._x000D_
4.Based on the AI airway/pulmonary findings, the probability of this patient having clinically detectable respiratory signs is VERY HIGH (&gt;75%)_x000D_
5.Severe pleural effusion has been detected._x000D_
6.Are respiratory signs present? If YES._x000D_
7.AI linked canine pneumonia treatment: https://platform.v2.vetology.net/doc/pneumonia-in-dogs-and-cats_x000D_
8.Are respiratory signs present? If YES._x000D_
9.Are respiratory signs present? If NO._x000D_
10.Are respiratory signs present? If NO.</t>
  </si>
  <si>
    <t>Study:_x000D_
Thoracic radiography: three images dated July 27, 2024_x000D_
_x000D_
Findings:_x000D_
The cardiac silhouette and pulmonary vasculature are normal in size. There is a mild generalized bronchointerstitial pulmonary pattern. No pulmonary nodules or masses are present. The pleural space is normal. There is no intrathoracic lymphadenopathy. The trachea is normal in diameter and course. The stomach contains a small amount of heterogeneous soft tissue material presumed to be ingesta. The liver extends mildly beyond the costal arch with a smooth and rounded caudoventral margin. The osseous structures are unremarkable.</t>
  </si>
  <si>
    <t>1. There is no evidence of pulmonary metastatic disease._x000D_
2. In the absence of any reported respiratory signs, the mild generalized bronchointerstitial pulmonary pattern is likely a benign age-related change. Allergic, inflammatory, infectious, inhaled irritant or parasitic bronchitis cannot be completely excluded._x000D_
3. The generalized hepatomegaly is nonspecific. Rule out metabolic/vacuolar hepatopathy, hyperplasia, hepatitis or infiltrative neoplasia. Sonography can be considered for further evaluation.</t>
  </si>
  <si>
    <t xml:space="preserve">
1.MODERATE ALVEOLAR INFILTRATE; DIFFUSE BRONCHOINTERSTITIAL PATTERN; PERIHILAR OPACITY._x000D_
2.Based on the AI airway/pulmonary findings, the probability of this patient having clinically detectable respiratory signs is MEDIUM (50%)_x000D_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6.The cardiac silhouette size is normal.</t>
  </si>
  <si>
    <t xml:space="preserve">Patient Name : Shy Cantrell, Date of study: Jul 26, 2024
3 images are provided for review
Canine Thorax (3 Images) - 2 Lateral, 1 Vd
There are no previous radiographs for comparison.
Pulmonary parenchyma: A minimal diffuse bronchial pattern is present.  Few small ovoid mineral foci are in the cranioventral lungs in the lateral images.  
Pulmonary vasculature: The pulmonary vasculature is subjectively normal in size and tapers in the periphery of the lungs.
Cardiac silhouette: The cardiac silhouette is tall and occupies at least 2/3 the height of the cardiac silhouette in the ventrodorsal image.  The caudodorsal margin if mildly flattened and mild round soft tissue is suspected in the region of the left atrium in the ventrodorsal image.  
Mediastinum: The cranial mediastinum is normal.  The caudoventral mediastinal reflection is subjectively thickened with increased soft tissue, best identified in the ventrodorsal image over the left caudal lung.  
Trachea: The trachea is normal.
Esophagus: The esophagus has a mild volume of gas or is empty.
Pleural space: The pleural space is normal.
Musculoskeletal:Multifocal thoracic spondylosis deformans is present. Bilateral elbow osteoarthrosis is suspected.  The remaining included musculoskeletal structures are normal.
</t>
  </si>
  <si>
    <t xml:space="preserve">1. Mild left-sided cardiomegaly such as from evolving dilated cardiomyopathy versus myxomatous mitral valvular disease or other given breed of this patient, or variation due to phase of the cardiopulmonary cycle.
- No current evidence of left-sided congestive heart failure.  
2. Minimal diffuse bronchial pulmonary pattern due to fibrosis from prior disease, age-related changes, infectious/immune-mediated lower airway disease,  or less likely other.
3. Few small mineral foci in the cranioventral lungs such as from pulmonary osteomas/benign metaplasia or less likely granuloma from prior disease or other.  </t>
  </si>
  <si>
    <t>Echocardiography, ECG and blood pressure for further evaluation.  Routine blood work and urinalysis if not recently performed.  Consider respiratory PCR panel, airway sampling, and fecal analysis/deworming and sedated laryngeal examination for further evaluation of the reported coughing, especially if cardiac disease is ruled out.  Empirical therapy and supportive care in the interim as needed.  Monitoring as directed or sooner if clinical signs acutely change, fail to improve or worsen.</t>
  </si>
  <si>
    <t xml:space="preserve">
1.Are respiratory signs present? If NO._x000D_
2.The cardiac silhouette size is normal._x000D_
3.There is no evidence of DYNAMIC AIRWAY COLLAPSE or BRONCHIECTASIS._x000D_
4.Are respiratory signs present? If YES._x000D_
5.MILD INTERSTITIAL to ALVEOLAR INFILTRATE; MILD PERIHILAR INFILTRATE._x000D_
6.Based on these AI airway/pulmonary findings, the probability of this patient having clinically detectable respiratory signs is MEDIUM (50%)</t>
  </si>
  <si>
    <t>11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A thin-walled mineral structure is present in the right cranioventral abdomen, not clearly associated with a specific abdominal organ.  The stomach contains a moderate amount of ingesta.  The small intestines are normal in size.  Gas and feces are present in the colon.  The urinary bladder is small.  The remaining abdominal organs are normal.  A large fat opacity mass is present in the subcutaneous tissues along the left lateral thorax.  There is spondylosis deformans of the thoracolumbar spine.</t>
  </si>
  <si>
    <t>Radiographically normal thorax for patient of this age.  This does not rule out laryngeal paralysis or bronchitis as potential causes for the reported panting.  Sedated upper airway examination and airway sampling could be considered.  The mineral structure in the cranioventral abdomen may represent an incidental Bates body.  No specific association with the liver or spleen is seen.  Abdominal ultrasound could be considered in further evaluation.</t>
  </si>
  <si>
    <t xml:space="preserve">
1.MILD BRONCHIAL PATTERN; MILD PERIHILAR PATTERN._x000D_
2.MILD BROCHIAL/BRONCHOINTERSTITIAL PULMONARY PATTERN._x000D_
3.Based on these AI airway/pulmonary findings, the probability of this patient having clinically detectable respiratory signs is LOW (25%)_x000D_
4.Based on these AI airway/pulmonary findings, the probability of this patient having clinically detectable respiratorysigns is LOW (25%)_x000D_
5.Are respiratory signs present? If YES._x000D_
6.Are respiratory signs present? If YES._x000D_
7.Are respiratory signs present? If NO._x000D_
8.Are respiratory signs present? If NO._x000D_
9.The cardiac silhouette size is normal._x000D_
10.There is no evidence of DYNAMIC AIRWAY COLLAPSE or BRONCHIECTASIS.</t>
  </si>
  <si>
    <t>Study:_x000D_
Thoracic and abdominal radiography: six images dated July 25, 2024_x000D_
_x000D_
Findings:_x000D_
The cardiac silhouette and pulmonary vasculature are normal in size. There is an alveolar pattern in the caudal segment of the left cranial lung lobe. The pleural space is normal. There is no intrathoracic lymphadenopathy. The trachea is normal in diameter and course. The stomach contains gas with the pylorus appropriately gas-filled on the left lateral image. The small intestines are gas-filled and normal in size and course. The colon contains a small volume of gas with a normal diameter. The liver and spleen are normal in size and margin. The renal silhouettes are normal in size and contour. The urinary bladder is normal in size and opacity. There is no uterine dilation. The patient has multiple, breed associated, congenitally anomalous thoracic vertebrae. There is severe secondary thoracic kyphosis. Mild multifocal spondylosis deformans is present.</t>
  </si>
  <si>
    <t>1. Unremarkable abdomen. A cause of the gastrointestinal signs is not evident. There is no radiographic evidence of gastrointestinal foreign material or small intestinal mechanical obstruction. Abdominal sonography can be considered for further evaluation if clinical signs persist or worsen in spite of medical management._x000D_
2. The alveolar pattern in the caudal segment of the left cranial lung lobe is concerning for pneumonia. Atelectasis is also possible. Empiric antibiotic therapy with repeat radiography in 10 to 14 days to monitor for response to treatment should be considered.</t>
  </si>
  <si>
    <t xml:space="preserve">
1.Are respiratory signs present? If NO._x000D_
2.A mild perihilar infiltrate has been detected._x000D_
3.MODERATE INTERSTITIAL TO ALVEOLAR INFILTRATE; MILD BRONCHIAL PATTERN; MILD PERIHILAR INFILTRATE._x000D_
4.Based on the AI airway/pulmonary findings, the probability of this patient having clinically detectable respiratory signs is HIGH (75%)_x000D_
5.Are respiratory signs present? If YES._x000D_
6.Pleural fissure lines or moderate to severe pleural effusion has been detected. An overlying skin fold or in an obese animal, excessive pericardial fat could artifactually mimic the result of severe pleural effusion._x000D_
7.The cardiac silhouette size is normal.</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</si>
  <si>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Unremarkable lateral abdomen without signs of sublumbar lymphadenopathy.</t>
  </si>
  <si>
    <t>Consider abdominal US to rule out abdominal metastases and FNAs from the mass with rectal exam.</t>
  </si>
  <si>
    <t>Study:_x000D_
Thoracic/abdominal radiography: right lateral hand VD views (two images) dated July 26, 2024_x000D_
_x000D_
Compared to prior study dated November 20, 2020_x000D_
_x000D_
Findings:_x000D_
There is progressive, now severe) cardiomegaly characterized by biventricular and left atrial enlargement. The pulmonary vasculature is normal in size. There is a mild perihilar/ caudodorsal unstructured interstitial pulmonary pattern. The pleural space is normal. There is no intrathoracic lymphadenopathy. There is an indistinct broad-based soft tissue opaque band superimposed with the cervical trachea lumen representing other redundant dorsal tracheal membrane or superimposition of the esophagus. The tracheal diameter is normal. The stomach contains a small volume of gas. The small intestines are gas and fluid-filled and normal in size and course. The colon contains gas and a small amount of poorly formed fecal material. The liver extends mildly beyond the costal arch with a smooth and rounded caudoventral margin. The spleen is normal in size and margin. The renal silhouettes are normal in size and contour. On the lateral projection, there is a mineral opacity superimposed with the dorsal aspect the urinary bladder. Suture material is present in the same region on the orthogonal view. There is mild L1-L2 spondylosis deformans.</t>
  </si>
  <si>
    <t>1. Progressive severe biventricular cardiomegaly, likely indicating both mitral and tricuspid valve disease, with decompensated congestive heart failure/cardiogenic pulmonary edema. Recommend echocardiography for further evaluation. Diuretic therapy with repeat radiography to monitor for response to treatment is recommended in the interim._x000D_
2. The generalized hepatomegaly is nonspecific. Rule out metabolic/vacuolar hepatopathy, hyperplasia, hepatitis, congestion or infiltrative neoplasia. Sonography can be considered for further evaluation._x000D_
3. The mineral opacity superimposed with the dorsal aspect of the urinary bladder on the lateral projection may represent superimposition of one of the foci of suture seen in the same region on the orthogonal view. A cystolith cannot be excluded.</t>
  </si>
  <si>
    <t xml:space="preserve">
1.A moderate perihilar infitlrate has been detected._x000D_
2.Pleural fissure lines or small volume pleural effusion has been detected. In a mildly overweight animal, excessive pericardial fat can artifactually mimic the result of minimal pleural effusion._x000D_
3.Are respiratory signs present? If NO._x000D_
4.SEVERE INTERSTITIAL TO ALVEOLAR PATTERN; SEVERE BRONCHIAL PATTERN; SEVERE DYNAMIC AIRWAY DISEASE._x000D_
5.Based on these AI airway/pulmonary findings, the probability of this patient having clinically detectable respiratory signs is VERY HIGH (&gt;75%)_x000D_
6.Are respiratory signs present? If YES._x000D_
7.Severe cardiomegaly has been detected but Heart Failure is NOT suspected.</t>
  </si>
  <si>
    <t>Orthogonal views of the thorax are provided:_x000D_
_x000D_
Thorax:_x000D_
_x000D_
Cardiac silhouette has a normal shape and size. No signs of right sided cardiomegaly nor signs of MPA enlargement._x000D_
Pulmonary vessels are within normal limits of size and shape. No signs of pulmonary arteries being enlarged._x000D_
Pulmonary parenchyma is within normal limits. No evidence of pulmonary nodules/masses._x000D_
Pleural space, mediastinum, diaphragm and thoracic wall within normal limits.</t>
  </si>
  <si>
    <t>1) Unremarkable thorax without signs of HW infection.</t>
  </si>
  <si>
    <t>Consider echocardiogram to stage the disease starting with HW treatment. Consider thoracic radiographs if dyspnea develops after treatment (ideally a CT).</t>
  </si>
  <si>
    <t>Thorax: There is mild generalized cardiomegaly.  There is no evidence of cardiac decompensation.  The pulmonary vasculature and pulmonary parenchyma are unremarkable.  There is no evidence of pleural effusion or lymphadenopathy.  There are thoracic hemivertebrae which is a common finding in this breed of patient._x000D_
_x000D_
Abdomen (lateral view): The urinary bladder is moderately distended.  The liver is small.  The remainder of the abdomen is unremarkable.</t>
  </si>
  <si>
    <t>Mild generalized cardiomegaly._x000D_
_x000D_
Mild microhepatica._x000D_
_x000D_
Moderate distention of the urinary bladder most likely incidental however an obstructive process cannot be ruled out.</t>
  </si>
  <si>
    <t xml:space="preserve">
1.Are respiratory signs present? If NO._x000D_
2.MILD to MODERATE BRONCHOINTERSTITIAL PULMONARY PATTERN; MILD DYNAMIC AIRWAY DISEASE; ATELECTASIS or less likely, pneumonia._x000D_
3.Based on these AI airway/pulmonary findings, the probability of this patient having clinically detectable respiratory signs is MEDIUM (50%)_x000D_
4.Are respiratory signs present? If YES._x000D_
5.Pleural fissure lines or moderate to severe pleural effusion has been detected. An overlying skin fold or in an obese animal, excessive pericardial fat could artifactually mimic the result of severe pleural effusion._x000D_
6.Moderate cardiomegaly has been detected but Heart Failure is NOT suspected.</t>
  </si>
  <si>
    <t>3 views of the thorax are provided for review and compared with the study dated 7/23/2024. The cardiac silhouette is enlarged, similar to previous images.  The previous pulmonary infiltrates have resolved.  The pulmonary vasculature is normal in size.  The mediastinal and pleural structures are normal.  The trachea remains mildly narrowed in the cervical region on the left lateral view.  Cranial abdominal detail is adequate.</t>
  </si>
  <si>
    <t>Persistent left-sided cardiomegaly.  Resolution of previous presumed pulmonary edema.  Persistence of variable tracheal diameter consistent with dynamic tracheal collapse.</t>
  </si>
  <si>
    <t xml:space="preserve">
1.A mild perihilar infiltrate has been detected._x000D_
2.There is no evidence of BRONCHITIS, ALVEOLAR PATTERN, PULMONARY NODULES or PLEURAL EFFUSION._x000D_
3.Minimal dynamic airway disease has been detected._x000D_
4.Severe cardiomegaly has been detected but Heart Failure is NOT suspected.</t>
  </si>
  <si>
    <t>Orthogonal views of the shoulders and a three view study of the thorax are provided. There are 12 images total. Limb laterality appears to be labeled incorrectly in the VD views that include both shoulders._x000D_
_x000D_
There is mild irregular mineral opacity in the biceps groove of the left shoulder. A large osteophyte can be seen extending from the caudal margin of the left humeral head, and mild chronic remodeling is evident involving the margins of the humeral head. Mild chronic remodeling of the left greater tubercle can be seen in the craniocaudal view. No soft tissue swelling is identified. No destructive or productive bone lesions are seen. The cervical spine and the soft tissues of the neck are unremarkable._x000D_
_x000D_
The heart appears subjectively mildly enlarged. This is suspected to be artifactual due to hypoinflation in all the thorax views. Vertebral Heart Score is at the upper end of normal range at 10.4.</t>
  </si>
  <si>
    <t>There mild to moderate chronic remodeling changes involving the left shoulder, and mild mineral opacity in the biceps groove._x000D_
These findings are consistent with shoulder joint osteoarthritis and chronic biceps tendinitis._x000D_
Considering the supraspinatus atrophy, supraspinatus pathology is probably also present but less apparent in the radiographs.</t>
  </si>
  <si>
    <t>More advanced imaging such as shoulder tendon ultrasound or MRI of the shoulder region could be considered for more complete evaluation if surgery is being considered.</t>
  </si>
  <si>
    <t xml:space="preserve">
1.Pleural fissure lines or moderate to severe pleural effusion has been detected. An overlying skin fold or in an obese animal, excessive pericardial fat could artifactually mimic the result of severe pleural effusion._x000D_
2.The cardiac silhouette size is normal._x000D_
3.There is no evidence of DYNAMIC AIRWAY COLLAPSE or BRONCHIECTASIS._x000D_
4.The evaluation has a strong suspicion of pulmonary nodules or mass lesion being present._x000D_
5.A severe alveolar pattern has been detected.</t>
  </si>
  <si>
    <t xml:space="preserve">Patient Name : Otto Armbrecht, Date of study: Jul 26, 2024
3 images are provided for review
Canine Thorax (3 Images) - 2 Lateral, 1 Vd
There are no previous radiographs for comparison.
Pulmonary parenchyma: A mild to moderate diffuse bronchial pattern is present.
Pulmonary vasculature: The pulmonary vasculature is subjectively normal in size and tapers in the periphery of the lungs.
Cardiac silhouette: The cardiac silhouette is tall and occupies greater than 2/3 the height of the thorax.  The caudodorsal margin of the cardiac silhouette is flattened.  
Mediastinum: The cranial mediastinum is mildly symmetrically wide in the ventrodorsal image without increased soft tissue.
Trachea: The trachea is normal.
Esophagus: The esophagus is not well-identified.
Pleural space: The pleural space is normal.
Musculoskeletal: The included musculoskeletal structures are normal.
</t>
  </si>
  <si>
    <t>1. Mild-moderate diffuse bronchial pulmonary pattern.
- Differential diagnoses include infectious/immune-mediated lower airway disease such as from mycoplasma spp., bordetella spp., parasitism, or inhaled allergen/irritant.
2. Mild left-sided cardiomegaly versus artifact from the phase of the cardiopulmonary cycle or patient positioning.
- Differential diagnoses include myxomatous mitral valvular disease and insufficiency or less likely other.
- There is no current evidence of left-sided congestive heart failure.  
3. Widened cranial mediastinum due to fat deposition versus unlikely other.</t>
  </si>
  <si>
    <t>Consider respiratory PCR panel, airway sampling, and fecal analysis/deworming for further evaluation.  Echocardiography, ECG and blood pressure for further evaluation of the heart, especially if a murmur is latera identified.  Empirical therapy and supportive care in the interim for coughing.  This examin does not rule out dynamic airway disease, so consider bronchoscopy/tracheoscopy/fluoroscopy if clinically indicated.   Monitoring as directed or sooner if clinical signs acutely change, fail to improve or worsen.</t>
  </si>
  <si>
    <t xml:space="preserve">
1.Are respiratory signs present? If YES._x000D_
2.Are respiratory signs present? If NO._x000D_
3.A minimal perihilar infiltrate has been detected._x000D_
4.Severe cardiomegaly has been detected but Heart Failure is NOT suspected._x000D_
5.MILD to MODERATE BRONCHOINTERSTITIAL PATTERN; MILD DYNAMIC AIRWAY DISEASE._x000D_
6.Based on these AI airway/pulmonary findings, the probability of this patient having clinically detectable respiratory signs is MEDIUM (50%)</t>
  </si>
  <si>
    <t>Three radiographs of the thorax, and three views of the abdomen are provided. The cardiac silhouette is normal size and shape. A mild bronchial pattern is present in the lungs. Faint round 1.3 cm soft tissue density overlying the mid right thorax on the VD projection is superimposed nipple. Fat deposition separates the ventral lungs from the sternum on the lateral views. There is no pleural effusion. Normal tracheal diameter. Small volume gas in the caudal esophagus is transient and incidental. Congenital vertebral malformations in the mid thoracic spine are of doubtful clinical significance today._x000D_
_x000D_
In the abdomen the uterus is not visible. No radiopaque urolithiasis. Mid ventral peritoneal detail is reduced on the right lateral view but is not persistent on the left lateral projection. This may be due to summating normal anatomy. Formed feces fills the distal colon. The stomach and small bowel are mildly filled. No radiopaque urolithiasis.</t>
  </si>
  <si>
    <t>Mild bronchial pattern suggestive of chronic airway inflammation. In the absence of a chronic cough, significance is doubtful. Otherwise normal thorax and abdomen.</t>
  </si>
  <si>
    <t>Recommend visual inspection of the pharyngeal/laryngeal region.</t>
  </si>
  <si>
    <t xml:space="preserve">
1.MILD BRONCHOINTERSTITIAL PULMONARY PATTERN; MILD DYNAMIC AIRWAY DISEASE; ATELECTASIS or less likely, pneumonia._x000D_
2.MINIMAL to MILD INTERSTITIAL TO ALVEOLAR INFILTRATE; MILD BRONCHIAL PATTERN; MINIMAL PERIHILAR INFILTRATE._x000D_
3.MILD BRONCHOINTERSTITIAL PULMONARY PATTERN; MILD DYNAMIC AIRWAY DISEASE; MINIMAL PERIHILAR INFILTRATE._x000D_
4.Based on the AI airway/pulmonary findings, the probability of this patient having clinically detectable respiratory signs is LOW to MEDIUM (25%-50%)_x000D_
5.Based on these AI airway/pulmonary findings, the probability of this patient having clinically detectable respiratory signs is MEDIUM (50%)_x000D_
6.Are respiratory signs present? If YES._x000D_
7.Are respiratory signs present? If YES._x000D_
8.Are respiratory signs present? If YES._x000D_
9.Are respiratory signs present? If NO._x000D_
10.Are respiratory signs present? If NO._x000D_
11.Are respiratory signs present? If NO_x000D_
12.The cardiac silhouette size is normal.</t>
  </si>
  <si>
    <t>Three radiographs of the thorax, lateral abdomen, and orthogonal views of the pelvis are provided. The cardiac silhouette and pulmonary vessels are normal size and shape. There is no pleural fluid or gas. The diaphragm is intact. No rib lesions. Normal proximal thoracic limbs. The thoracic spine is unremarkable._x000D_
_x000D_
In the abdomen the urinary bladder is moderately distended and well delineated. No radiopaque urolithiasis. No peritoneal or retroperitoneal effusion or free gas. The gastrointestinal tract is minimally filled. Normal-sized kidneys, spleen, liver. No lumbar spinal abnormalities. There is soft tissue swelling and small volume gas in the right inguinal tissues, extending into the lateral aspect of the proximal right pelvic limb. No loops of bowel are appreciated overlying this area. The sacroiliac and proximal joints are congruent.</t>
  </si>
  <si>
    <t>Right inguinal/proximal right pelvic limb soft tissue swelling and emphysema consistent with puncture/laceration trauma. No intra-abdominal or thoracic abnormalities.</t>
  </si>
  <si>
    <t>Recommend wound management and supportive care.</t>
  </si>
  <si>
    <t xml:space="preserve">
1.A mild interstitial pattern has been detected._x000D_
2.The cardiac silhouette size is normal._x000D_
3.There is no evidence of BRONCHITIS, ALVEOLAR PATTERN, PERIHILAR INFILTRATE or DYNAMIC AIRWAY COLLAPSE or BRONCHIECTASIS.</t>
  </si>
  <si>
    <t>Nine radiographs of the thorax and thoracic limbs are provided. The cardiac silhouette is normal size and shape. There are no abnormalities in the pulmonary parenchyma or pleural space. Normal tracheal diameter. No cervicothoracic spinal abnormalities. No scapular abnormalities. The right glenohumeral joint is congruent. Linear 0.4 cm mineral density cranial to the right shoulder on the 2nd lateral view is normal clavicular remnant. The right cubital joint is congruent. Cortical and medullary opacities are uniform. Carpal bones are in appropriate alignment. No metacarpal or phalangeal osseous or soft tissue abnormalities. There is no soft tissue swelling, radiopaque foreign material, or emphysema.</t>
  </si>
  <si>
    <t>Normal thorax and thoracic limbs. A reason for lameness is not identified. Soft tissue sprain/strain is most likely. A lateralized intervertebral disc lesion is next on the differential list.</t>
  </si>
  <si>
    <t>If lameness progresses, advanced soft tissue imaging of the cervicothoracic spine and thoracic limbs with MRI could be considered.</t>
  </si>
  <si>
    <t>Patient Name: Pixie Quijano, Date of study: July 26, 2024
Thorax/abdomen: 3 images are provided for review (2 lateral, 1 VD).
There are no previous radiographs for comparison.
Findings: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Gastrointestinal tract: The stomach is mildly distended with heterogeneous ingesta admixed with gas. The duodenum is gas-filled and normal in size. The small intestines are within normal limits of diameter and contain gas and fluid. The colon contains loosely formed feces and gas.
Liver: The liver is within normal limits of size and shape.
Spleen: The spleen is smoothly marginated and normal in position.
Urinary: The visible margins of the kidneys are within normal limits. There is a mineral focus superimposed with the left kidney on the VD view, which is thought to be a nipple. The urinary bladder is normal in size and opacity.
Peritoneal space: There is adequate serosal detail.
Musculoskeletal: There are several congenitally anomalous mid to caudal thoracic vertebrae which causes rib crowding. There is mild spondylosis deformans of L7-S1.</t>
  </si>
  <si>
    <t>1. Normal thorax. There is no evidence of pneumonia. Increased respiratory effort may be contributed to upper airway disease/stenosis (i.e. brachycephalic obstructive airway syndrome).
2. The gastric content is most consistent with a recent meal. Mineral/metal opaque foreign material is not identified. There is no evidence of a mechanical obstruction.</t>
  </si>
  <si>
    <t>Medical management and supportive care are recommended. In addition to the pending blood work, urinalysis could be considered. If gastrointestinal signs progress (i.e. vomiting, diarrhea), recheck fasted abdominal radiographs or an abdominal ultrasound would be recommended.</t>
  </si>
  <si>
    <t xml:space="preserve">
1.MINIMAL to MILD INTERSTITIAL TO ALVEOLAR INFILTRATE; MILD BRONCHIAL PATTERN; MINIMAL PERIHILAR INFILTRATE._x000D_
2.MILD BRONCHOINTERSTITIAL PULMONARY PATTERN; MILD DYNAMIC AIRWAY DISEASE; ATELECTASIS or less likely, pneumonia._x000D_
3.MILD BRONCHOINTERSTITIAL PULMONARY PATTERN; MILD DYNAMIC AIRWAY DISEASE; MINIMAL PERIHILAR INFILTRATE._x000D_
4.Based on these AI airway/pulmonary findings, the probability of this patient having clinically detectable respiratory signs is MEDIUM (50%)_x000D_
5.Based on the AI airway/pulmonary findings, the probability of this patient having clinically detectable respiratory signs is LOW to MEDIUM (25%-50%)_x000D_
6.Are respiratory signs present? If YES._x000D_
7.Are respiratory signs present? If YES._x000D_
8.Are respiratory signs present? If YES._x000D_
9.Are respiratory signs present? If NO._x000D_
10.Are respiratory signs present? If NO._x000D_
11.Are respiratory signs present? If NO_x000D_
12.The cardiac silhouette size is normal._x000D_
13.There is no evidence of PLEURAL EFFUSION.</t>
  </si>
  <si>
    <t xml:space="preserve">Patient Name : Rocco Mai, Date of study: Jul 26, 2024
3 images are provided for review
Canine Thorax (3 Images) - 2 Lateral, 1 Vd
There are no previous radiographs for comparison in the Vetology system at the time of evaluation. Please contact Vetology for help with submitting additional images.
Pulmonary parenchyma: A mild to moderate diffuse bronchial pattern is present.
Pulmonary vasculature: The pulmonary vasculature is subjectively normal in size and tapers in the periphery of the lungs.
Cardiac silhouette: The cardiac silhouette is tall and occupies approximately 2/3 the height of the thorax, with dorsal tracheal displacement.  The caudodorsal margin of the cardiac silhouette is slightly flattened.  
Mediastinum: The cranial mediastinum is normal.
Trachea: The trachea is  has a soft tissue band partially superimposed over the caudal cervical segment.
Esophagus: The esophagus is not well-identified in the thorax.
Pleural space: The pleural space is normal.
Musculoskeletal: Broad-based fat and soft tissue opaque nodules in the ventral extra-abdominal soft tissues.  The remaining included musculoskeletal structures are normal.
</t>
  </si>
  <si>
    <t>1. Mild-moderate diffuse bronchial pulmonary pattern.
- Differential diagnoses include fibrosis from prior disease, age-related changes, infectious/immune-mediated lower airway disease such as from mycoplasma spp., bordetella spp., parasitism, or inhaled allergen/irritant, or less likely other.
2. Mild left-sided cardiomegaly.
- Differential diagnoses include myxomatous mitral valvular disease and insufficiency, consistent with reported history.
- No current evidence of left-sided congestive heart failure.  
3. Redundant dorsal tracheal membrane with/without underlying dynamic airway disease, versus superimposed normal structures.
4. No obvious esophageal enlargement is identified in this examination.
5.  Extra-abdominal lipoma and benign or less likely malignant soft tissue neoplasia, versus granuloma or sebaceous cyst, or unlikely other.</t>
  </si>
  <si>
    <t>Consider echocardiography, ECG and blood pressure for further evaluation of the heart if not recently performed.  Routine blood work, urinalysis, respiratory PCR panel, and fecal analysis/empirical deworming may be contributory.  Airway sampling with/without tracheoscopy/bronchoscopy to further easses for dynamic airway disease if clinically indicated.  Empirical therapy and supportive care for cardiac disease and cough in the interim as needed.  Monitoring as directed, or sooner if clinical signs acutely change, fail to improve or worsen.</t>
  </si>
  <si>
    <t xml:space="preserve">
1.MINIMAL to MILD BRONCHOINTERSTITIAL PULMONARY PATTERN; MILD DYNAMIC AIRWAY DISEASE; MILD PERIHILAR INFILTRATE._x000D_
2.Based on these AI airway/pulmonary findings, the probability of this patient having clinically detectable respiratory signs is LOW to MEDIUM (25-50%)_x000D_
3.Are respiratory signs present? If YES._x000D_
4.Are respiratory signs present? If NO._x000D_
5.Mild cardiomegaly has been detected but Heart Failure is NOT suspected._x000D_
6.There is no evidence of PULMONARY NODULES or PLEURAL EFFUSION.</t>
  </si>
  <si>
    <t>A three view study of the thorax is provided for interpretation._x000D_
_x000D_
The heart is within normal size and shape limits. Pulmonary vessels are normal. No pulmonary infiltrates or pleural abnormalities are identified. There is mild variability of the tracheal diameter in the cervical region, with mild dilation of the cervical trachea in the right lateral view and a normal the slightly reduced diameter in the left lateral view. The cranial abdominal organs are within normal limits.</t>
  </si>
  <si>
    <t>No cardiac chamber dilation is identified. There is no evidence of heart failure or significant pulmonary disease._x000D_
_x000D_
The variation in cervical tracheal diameter is within the limits of benign variation. No changes to suggest collapsing trachea are seen, tracheal collapse cannot be reliably excluded on the basis of survey radiographs._x000D_
_x000D_
Viral tracheobronchitis or allergic lung disease could also still be present without significant radiographic changes.</t>
  </si>
  <si>
    <t xml:space="preserve">
1.No airway or pulmonary abnormalities have been detected. The lung parenchyma appears normal with no interstitial, alveolar, or bronchial pattern identified. No pulmonary nodules or pleural effusion detected._x000D_
2.Moderate cardiomegaly has been detected but Heart Failure is NOT suspected.</t>
  </si>
  <si>
    <t>Patient Name: Allie Stapleton, Date of study: July 26, 2024.
Thorax: 5 images are provided for review (4 lateral, 1 VD).
There are no previous radiographs for comparison.
Findings:
Cardiac silhouette: There is mild enlargement and rounding in the region of the left atrium.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There is intermittent narrowing of the caudal mainstem bronchi. This is best identified on the right lateral radiograph time stamped 11:03:00.
Esophagus: The region of the esophagus is within normal limits.
Musculoskeletal: The included skeletal and superficial soft tissue structures of the study are normal.</t>
  </si>
  <si>
    <t>1. There is dynamic narrowing of the caudal mainstem bronchi, consistent with dynamic airway disease. Consider tracheobronchomalacia as an underlying cause. This is thought to be the primary cause of coughing.
-Infectious tracheobronchitis cannot be excluded as this may have a normal radiographic appearance.
2. There is mild enlargement of the left atrium. The primary differential is myxomatous mitral valve disease. There is no evidence of heart failure. The enlarged left atrium may be impinging upon the left caudal mainstem bronchus and contributing to coughing.</t>
  </si>
  <si>
    <t>Airway sampling (respiratory PCR, lavage, wash) is recommended to guide treatment. Continued medical management for dynamic airway disease is recommended.
An echocardiogram, EKG, and blood pressure are recommended to further evaluate the heart.</t>
  </si>
  <si>
    <t xml:space="preserve">
1.The cardiac silhouette size is normal._x000D_
2.There is no evidence of BRONCHITIS, ALVEOLAR PATTERN, PERIHILAR INFILTRATE, PULMONARY NODULES or PLEURAL EFFUSION._x000D_
3.Minimal dynamic airway disease has been detected.</t>
  </si>
  <si>
    <t xml:space="preserve">Patient Name : mochi grannan, Date of study: Jul 26, 2024
5 images are provided for review
Previous images dated [07/23/2024 Case#2717485] and prior are available for comparison.  Mild overexposure and planking artifact are suspected.  
Bones/Joints:
A six-hole bone plate and five associated screws are cranially applied to the distal epiphysis to diaphysis of the right radius.  Presumed Uberschwinger artifact is present.  No obvious peri-implant lucency, migration or fracture is identified.  Lucency over the right radial diaphysis just proximal to this plate in one lateral image is not corroborated in other images, and is preseum artifact.  
The right elbow is normal.  
The right shoulder is normal.
The included right carpus, metacarpus and digits are normal.
The left elbow is normal.  
The left shoulder is normal.  
There is no evidence of medullary sclerosis, osteolysis, endosteal scalloping, or periosteal proliferation.
Soft tissues:  In the ventrodorsal image there is subtle convexity to the soft tissues right lateral to the scapula at the level of the 1st and 2nd intercostal space.  The subjacent margins of the right 2md and 3rd ribs are normal.  Presumed external mineral superimposes over the right 4th digit.  The remaining included soft tissues are normal.
</t>
  </si>
  <si>
    <t>1. Right craniodistal radius bone plate and healed prior fracture.
2. Suspected right craniolateral extra-thoracic soft tissue swelling versus artifact/superimposed normal structures.
- If present, given reported pain/discomfort in this region, consider occult mass versus myositis, hemorrhage/bruising from occult trauma or unlikely other.</t>
  </si>
  <si>
    <t xml:space="preserve">Consider computed tomography of the thorax for further evaluation if clinically indicated, or especially if signs worsen or if progressive changes are identified in recheck thoracic radiographs.  Empirical therapy and supportive care in the interim as needed.  Monitoring as directed, or sooner if signs acutely change or worsen.  </t>
  </si>
  <si>
    <t xml:space="preserve">
1.MILD BROCHIAL/BRONCHOINTERSTITIAL PULMONARY PATTERN._x000D_
2.Based on these AI airway/pulmonary findings, the probability of this patient having clinically detectable respiratory signs is LOW (25%)_x000D_
3.Are respiratory signs present? If YES._x000D_
4.Are respiratory signs present? If NO._x000D_
5.There is no evidence of PERIHILAR INFILTRATE, DYNAMIC AIRWAY COLLAPSE or BRONCHIECTASIS, PULMONARY NODULES or PLEURAL EFFUSION._x000D_
6.Mild cardiomegaly has been detected but Heart Failure is NOT suspected.</t>
  </si>
  <si>
    <t>A three view thoracoabdominal study is provided for interpretation._x000D_
_x000D_
There is a band of opacity obscuring the dorsal half of the cervical trachea consistent with redundant dorsal tracheal membrane and superimposition of the esophagus over the dorsal trachea. The intrathoracic trachea is normal. There is mild to moderate bronchial mineralization that likely represents an age-related change. The heart is within normal size and shape limits._x000D_
_x000D_
The liver is smaller than expected for patient size. There is a small quantity of granular mineral dense sediment in the gallbladder. There are two irregular small mineral densities in the cranial abdomen and one in the caudal abdomen that are presumed to be small mineralized granulomas secondary to previous OVH. There are a few loops of small intestine that are slightly dilated, the appearance is equivocal and within the limits of benign variation. The colon wall appears mildly thickened and corrugated. Serosal detail in the abdomen is normal. The kidneys and bladder are unremarkable. The spleen is normal size with smooth margins.</t>
  </si>
  <si>
    <t>No evidence of cardiac chamber dilation is identified._x000D_
_x000D_
The redundant dorsal tracheal membrane is more prominent than typical and could be associated with tracheal collapse if relevant clinical signs are present._x000D_
_x000D_
The liver is smaller than expected. This is not uncommon as an incidental finding, but could also be associated with pathologic causes including chronic hepatopathy with cirrhosis or portosystemic shunting. Relevance to the clinical signs is probably limited given the advanced age of the patient, unless significant liver disease is evident in the labwork._x000D_
_x000D_
The upper GI tract is within normal limits. The appearance of the colon is consistent with colitis.</t>
  </si>
  <si>
    <t>Supportive care and symptomatic therapy for gastroenteritis/colitis and pancreatitis is recommended.</t>
  </si>
  <si>
    <t>Patient Name: Matilda Ogandzhanian, Date of study: July 26, 2024.
Thorax: 3 images are provided for review (2 lateral, 1 VD). 
There are no previous radiographs for comparison.
Findings:
Cardiac silhouette: There is the appearance of mild left atrial enlargement on the left lateral view; however, this is not consistent on the other two images and is considered positional.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There is a band of soft tissue opacity superimposed with the dorsal half of the trachea cranial to the thoracic inlet. 
Esophagus: The region of the esophagus is within normal limits.
Musculoskeletal: The skeletal and superficial soft tissue structures of the study are within normal limits.</t>
  </si>
  <si>
    <t xml:space="preserve">1. Normal thorax. Infectious tracheobronchitis and chronic bronchitis of allergic, irritant, and parasitic etiologies cannot be excluded as these may have a normal radiographic appearance.
2. The cardiovascular structures are within normal limits. A cardiogenic cough is not suspected.
3. Possible redundant tracheal membrane (vs. superimposition of the esophagus). Dynamic airway disease is not ruled out. </t>
  </si>
  <si>
    <t>Airway sampling (respiratory PCR, lavage, wash) could be considered to guide treatment. If dynamic airway disease is clinically suspected, lateral cervicothoracic radiographs acquired at peak inspiration and peak expiration would be recommended.</t>
  </si>
  <si>
    <t xml:space="preserve">Patient Name : Buddy Sutton, Date of study: Jul 26, 2024
6 images are provided for review
Canine Thorax (6 Images) - 4 Lateral, 2 Vd
There are no previous radiographs for comparison.
Pulmonary parenchyma:  In one series of images and moderate to severe interstitial to alveolar pattern is in the lungs, most severe in the right/left caudal and right cranial lung lobes.  In the other series of images, this pattern is resolved, and a minimal to mild diffuse bronchial pattern is present.
Pulmonary vasculature: The pulmonary vasculature is subjectively normal in size and tapers in the periphery of the lungs.
Cardiac silhouette: The cardiac silhouette is mildly tall and occupies 2/3 the height of the thorax.  The caudodorsal margin of the cardiac silhouette is flattened and enlarged.  Rounded enlarged soft tissue results in lateral displacement of the mainstem bronchi in the ventrodorsal image.  
Mediastinum: The cranial mediastinum is normal.
Trachea: A soft tissue band superimposes over the dorsal aspect of the cervical trachea.  
Esophagus: The esophagus is not well-identified.
Pleural space: The pleural space is normal.
Musculoskeletal: The included musculoskeletal structures are normal.
</t>
  </si>
  <si>
    <t>1. Presumed resolved moderate-severe interstitial to alveolar pulmonary pattern from left-sided congestive heart failure.
2. Presumed mild current diffuse bronchial pulmonary pattern due to residual left-sided congestive heart failure, fibrosis from prior disease, age-related changes or underlying infectious/immune-mediated lower airway disease.
3. Moderate-severe left-sided cardiomegaly such as from myxomatous mitral valvular disease and insufficiency.
4. Suspected redundant dorsal tracheal membrane with/without underlying dynamic airway disease, versus superimposed normal structures.</t>
  </si>
  <si>
    <t>Echocardiography, ECG and blood pressure for further evaluation. Consider respiratory PCR panel, fecal analysis/deworming and airway sampling for further evaluation.  Routine blood work and urinalysis if not recently performed. Continue diuretic therapy and empirical therapy/supportive care in the interim as needed. Monitoring as directed or sooner if clinical signs acutely change, fail to improve or worsen.</t>
  </si>
  <si>
    <t xml:space="preserve">
1.MODERATE BRONCHOINTERSTITIAL PULMONARY PATTERN; ALVEOLAR INFILTRATE or ATELECTASIS; DYNAMIC AIRWAY DISEASE._x000D_
2.Based on these AI airway/pulmonary findings, the probability of this patient having clinically detectable respiratory signs is HIGH (75%)_x000D_
3.Are respiratory signs present? If YES._x000D_
4.Pleural fissure lines or small volume pleural effusion has been detected. In a mildly overweight animal, excessive pericardial fat can artifactually mimic the result of minimal pleural effusion._x000D_
5.Severe cardiomegaly has been detected but Heart Failure is NOT suspected._x000D_
6.Are respiratory signs present? If NO._x000D_
7.The evaluation has come up positive for a pulmonary nodular pattern.</t>
  </si>
  <si>
    <t>22 images of the thorax, abdomen, thoracic limbs, and spine dated 7/24 and 7/26/2024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There is spondylosis deformans of the thoracolumbar spine.  Spinal alignment is normal with no consistently narrowed intervertebral disc spaces.  The joint surfaces are smooth and regular.  No fractures or aggressive osseous lesions are seen.  Increased soft tissue is seen dorsal to the proximal left metacarpals.  Multiple fat opacity subcutaneous masses are present.</t>
  </si>
  <si>
    <t>Radiographically normal abdomen.  Radiographically normal thorax for patient of this age.  Degenerative changes of the thoracolumbar spine.  This does not rule out intervertebral disc herniation or other causes of spinal cord compression.  CT or MRI could be considered in further evaluation.  Proximal left metacarpal soft tissue swelling.  Underlying osseous involvement is not identified.  Aspirate may be helpful.</t>
  </si>
  <si>
    <t xml:space="preserve">Patient Name : Sheila Walker, Date of study: Jul 26, 2024
10 images are provided for review
Prior images of the pelvic limbs dated November 30, 2023 are available.
Pulmonary parenchyma: A mild diffuse bronchial pattern is present.
Pulmonary vasculature: The pulmonary vasculature is subjectively normal in size and tapers in the periphery of the lungs.
Cardiac silhouette: The cardiac silhouette is normal in size and shape.
Mediastinum: Only in the initial right lateral image, subtle spindle shaped increased soft tissue is suspected dorsal to the 2nd sternebrae.  
Trachea: The trachea is normal.
Esophagus: The esophagus is not well-identified.
Pleural space: The pleural space is normal.
Liver: The liver is subjectively normal in size.
Spleen: The ventral extremity of the spleen is rounded and mass-like in the lateral images. This is not well-identified in the left lateral image, where the spleen is partially folded and extends into the caudoventral abdomen. The spleen is enlarged in the ventrodorsal images and superimposes over the cranial to right mid-abdomen.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gas and mild heterogeneous soft tissue material.   Gastric rugal folds are prominent.  The stomach and descending duodenum contains gas in the left lateral image.  The stomach is within normal limits for size.
The small intestine contains mild gas with a subjectively uniform population for size.   The intestine is leftward displaced in the ventrodorsal image secondary to atypical splenomegaly.  
The colon contains minimal heterogeneous soft tissue material and gas.  The colon is within normal limits for size.  
Musculoskeletal: Left sided total hip replacement procedure has been performed.  The remaining included musculoskeletal structures are normal.
</t>
  </si>
  <si>
    <t>1. Possible splenic mass versus folding and mild -moderate generalized splenomegaly.
- If a mass is confirmed, consider evolving neoplasia (primary versus metastatic) or unlikely other.
- If a mass is ruled out, splenomegaly due to patient breed (German shepherd dog) and/or splenitis, extramedullary hematopoiesis, or evolving neoplasia.  
2. Possible sternal lymphadenomegaly versus artifact from superimposed normal structures or fat deposition.
3. Mild diffuse bronchial pulmonary pattern.
- Differential diagnoses include fibrosis from prior disease, age-related changes, or less likely infectious/immune-mediated lower airway disease such as from mycoplasma spp., bordetella spp., parasitism, or inhaled allergen/irritant, or unlikely other.
4. Gastric material due to recent meal and/or gastritis/delayed gastric emptying, or unlikely other.
5. Non-specific small intestinal and colon appearance such as from enteritis/colitis, or individual variation of normal.
- There is no current evidence of gastrointestinal mechanical ileus.
- Differential diagnoses include dietary indiscretion, toxin ingestion, diet/antibiotic responsive disease, inflammatory bowel disease, pancreatitis, occult systemic disease or unlikely other.</t>
  </si>
  <si>
    <t>Consider abdominal ultrasonography versus computed tomography given patient size for further evaluation of the liver, adrenal glands, pancreas and spleen.  Consider coagulation testing and tissue sampling if a splenic mass is confirmed.   Internist consultation, 4Dx testing given reported thrombocytopenia, and evaluation of reported Addison's disease therapy protocol may be contributory.  Empirical therapy and supportive care in the interim as needed.  Monitoring as directed, or sooner if clinical signs acutely change, fail to improve or worsen.</t>
  </si>
  <si>
    <t>A three view study of the thorax, a VD pelvis view, and lateral views of the spine and limbs are provided. There are 12 images total._x000D_
_x000D_
There is mild chronic remodeling involving the dorsal aspect of both carpal joints. This is slightly more prominent in the right carpus. At tiny osseous body is identified at the lateral margin of the fifth metacarpal phalangeal joint in both front limbs. Slight soft tissue swelling is seen just proximal to this in the left front foot._x000D_
_x000D_
No abnormalities are seen involving the elbow joints._x000D_
There is mild osteophyte production involving the caudal margin of the left humeral head. No abnormalities are seen involving the cervical spine._x000D_
Mild spondylosis is present at the thoracolumbar junction and at L6-L7. The L6-L7 disc space appears slightly narrowed, but positional artifact likely plays a role. Both hip joints are within normal limits._x000D_
The stifle and tarsal joints are unremarkable._x000D_
No destructive or productive bone lesions are seen._x000D_
_x000D_
The cardiovascular structures are within normal limits. No pulmonary nodules or parenchymal infiltrates are identified.</t>
  </si>
  <si>
    <t>There is mild osteoarthritis involving the carpal joints. This is fairly symmetrical, and considered a mild change that is equivocal with regard to the clinical lameness. There is also minimal degenerative change involving the left shoulder. Similarly, clinical significance cannot be definitively determined but is suspected to be limited._x000D_
The tiny osseous body seen at the lateral aspect of the fifth metacarpal phalangeal joint in both forelimbs is usually an incidental finding._x000D_
_x000D_
The spinal changes are minimal and probably incidental._x000D_
_x000D_
No abnormalities are identified involving the hind limbs.</t>
  </si>
  <si>
    <t>The cause of lameness is most likely a soft tissue abnormalities such as tendinitis or mild muscle/tendon injury that is not apparent in the radiographs._x000D_
There is mild DJD involving the left shoulder and both carpal joints, this could be contributing to the lameness but significance remains unknown in the absence of pain on physical exam._x000D_
_x000D_
Symptomatic therapy is recommended as needed.</t>
  </si>
  <si>
    <t>Orthogonal views of the thorax and abdomen are provided for interpretation. There are seven images total. A previous study dated 7-28-23 is compared._x000D_
_x000D_
The small mass identified in the caudal thorax on midline in the previous radiographs has increased slightly in size._x000D_
There is also a new finding of ill defined subtle focally increased opacity in the caudal dorsal lung in the lateral views that is suspected to correspond to a faint but highly suspicious ovoid nodular shadow in the left caudal lung field at the level of the 10th rib in the VD view. The other lung fields are within normal limits. No cardiovascular abnormalities are identified._x000D_
_x000D_
The spleen margins are slightly lobular. Spleen size is normal. The other abdominal organs are within normal limits.</t>
  </si>
  <si>
    <t>The caudal thoracic mass has increased slightly in size over the past year. The margins are also slightly less defined. This lesion appears on midline in although pulmonary origin is suspected, mediastinal origin including esophagus also cannot be excluded._x000D_
_x000D_
There is also a new finding of the suspected 1.5 cm nodule in the left caudal lung. This is only faintly visible, and not as discrete as a typical neoplastic nodule._x000D_
Granuloma remains a viable differential for these lesions in addition to neoplasia. Slow growing neoplasia, potentially with an early pulmonary metastatic lesion is still most likely._x000D_
_x000D_
Slight lobularity of the spleen is an equivocal finding. Neoplasia is possible but benign hyperplastic changes could appear similar. The rest of the abdomen is unremarkable._x000D_
A specific explanation for the anorexia is not identified.
(amended on 07/26/2024 17:09)
Note: Previous radiographs on this patient were found under a different patient identification number. Consistent patient information especially patient ID number and name spelling is critical for DICOM medical software functionality. Please pay close attention to consistency of patient information when making radiographs.</t>
  </si>
  <si>
    <t>CBC and serum chemistry is recommended._x000D_
Considering the progressive cough, bronchoscopy is recommended for definitive diagnosis._x000D_
CT of the thorax could also be helpful in this case.</t>
  </si>
  <si>
    <t xml:space="preserve">Patient Name : Emmitt Cantu, Date of study: Jul 26, 2024
8 images are provided for review
There are no previous radiographs for comparison.
Bones/Joints:
A dens is present.  There is no evidence of atlantoaxial joint subluxation.  The T12-13 intervertebral disc space is narrowed.   T1-2, T2-3, L1-2 and possibly L4-5 spondylosis deformans is present.  
There is no evidence mineral over the intervertebral foramina.  There is no evidence of intervertebral dorsal articulation osteoarthrosis.
There is no evidence of medullary sclerosis, osteolysis, endosteal scalloping, or periosteal proliferation.
Soft tissues:  The included soft tissues are normal.
</t>
  </si>
  <si>
    <t>1. T12-13 intervertebral disc disease is suspected.
2. No obvious cervical intervertebral disc space narrowing.</t>
  </si>
  <si>
    <t xml:space="preserve">Consider neurologist consultation and MRI of the cervical versus thoracolumbar spine if clinical signs fail to improve or worsen in the face of empirical therapy/supportive care.  Consider abdominal imaging and routine blood work to screen for occult systemic disease, especially if not recently performed.  </t>
  </si>
  <si>
    <t xml:space="preserve">
1.There is no evidence of BRONCHITIS, ALVEOLAR PATTERN, PERIHILAR INFILTRATE, PULMONARY NODULES or PLEURAL EFFUSION._x000D_
2.A minimal interstitial pattern has been detected._x000D_
3.Mild cardiomegaly has been detected but Heart Failure is NOT suspected.</t>
  </si>
  <si>
    <t>Patient Name : Jake Sanderson, Date of study: Jul 26, 2024
4 images are provided for review
There are no previous radiographs for comparison.
Liver: The liver is subjectively normal in size.
Spleen: The spleen ventral extremity of the spleen is mildly enlarged and rounded in the mid-ventral abdomen of the right lateral image.  This is suspected to be the rounded or lobular soft tissue in the left craniolateral abdomen and over the spleen in the ventrodorsal image.  
Kidneys:  Mineral is over the left kidney.    the right kidney is suspiciously small or partially obscured.  
Retroperitoneum: Retroperitoneal detail is adequate.
Urogenital: A large mineral body will ill-defined margins is central over the urinary bladder.  Few ovoid or pin-point or thin linear mineral are over the cranioventral aspect of the urinary bladder.  Ovoid or rectangular mineral is over the region of the preprostatic or prostatic urethra, or prostate gland.  The urinary bladder is normal in size.
Peritoneum: Peritoneal detail is adequate.
Gastrointestinal tract: The stomach contains a moderate volume of gas and fluid.  Gas is suspected in the descending duodenum in the left lateral image.  The stomach is within normal limits for size.
The small intestine contains mild gas, soft tissue material and fluid or is empty with a subjectively uniform population for size. 
The colon contains moderate gas and mild heterogeneous soft tissue material.  The colon is within normal limits for size.  
Musculoskeletal:  A large fat opaque mass arises from the left ventrolateral extra-thoracica and extra-abdominal body wall.  This mass severely deformas the surface of the patient.  A well-defined soft tissue margin delineates peritoneum from this mass in the ventrodorsal image.  The remaining included musculoskeletal structures are normal.</t>
  </si>
  <si>
    <t xml:space="preserve">1. Multiple urocystoliths  that are centrally or eccentrically positioned over the urinary bladder.
- This may be due to urocystoliths and adherent urocystoliths such as from chronic disease or polypoid cystitis, versus mineralization of evolving neoplasia such as transitional cell carcinoma.
2. Possible urethroliths versus prostatic mineral foci.
- If these are urethroliths, obvious evidence of urethral obstruction is not currently present.
- If this is prostatic mineral, consider evolving prostatic neoplasia.
3. Splenomegaly/splenic mass versus folded spleen or a combination of these.
- If present, the primary differential diagnosis of a splenic mass is neoplasia (primary versus metastatic).  
3. Minimal left nephroliths.
4. Possible small right kidney versus artifact.
5. Large left ventrolateral extra-thoracic and extra-abdominal body wall mass is a presumed lipoma.
</t>
  </si>
  <si>
    <t>Consider computed tomography versus ultrasonography of the abdomen for further evaluation of the spleen, urinary bladder and prostate gland and possibly pre-surgical planning of suspected left-sided lipoma resection.   Urinalysis, urine culture/sensitivity testing and possible traumatic catheterization of BRAF testing depending on results. Cystotomy after retropulsion of urethroliths are confirmed, with mineral retrieval and analysis for further evaluation. Consider routine blood work, coagulating testing and splenic tissue sampling if a mass lesion if confirmed.  Empirical therapy and supportive care in the interim as needed.  Monitoring as directed, or sooner if clinical signs acutely change, fail to improve or worsen.</t>
  </si>
  <si>
    <t xml:space="preserve">
1.There is no evidence of BRONCHITIS, ALVEOLAR PATTERN, DYNAMIC AIRWAY COLLAPSE or BRONCHIECTASIS, PULMONARY NODULES or PLEURAL EFFUSION._x000D_
2.A mild perihilar infiltrate has been detected._x000D_
3.Mild cardiomegaly has been detected but Heart Failure is NOT suspected.</t>
  </si>
  <si>
    <t>Three radiographs of the thorax, and three views of the abdomen are provided. The cardiac silhouette and pulmonary vessels are normal in size. There are faint bronchial markings throughout the lungs. No interstitial infiltrates. The plane of the esophagus is unremarkable. The trachea is normal size for this very. Congenital vertebral malformations in the thoracic spine are of doubtful significance today._x000D_
_x000D_
In the abdomen there is small volume amorphous soft tissue density in the stomach. Small bowel are mildly filled with gas and soft tissue opacity. Formed feces in the descending colon. Normal-sized liver and spleen. The kidneys are obscured. No radiopaque foreign material. Osseous structures are age-appropriate.</t>
  </si>
  <si>
    <t>1. Faint bronchial markings suggestive of airway inflammation. This may be due to inhaled irritant/allergens or infectious airway disease. There is no evidence of aspiration pneumonia. Otherwise normal thorax._x000D_
2. Normal abdomen. Gastric contents appears to be residual ingesta. All or a portion of gastric contents could be foreign material causing gastritis and pyloric outflow obstruction. There is no evidence of small bowel obstruction.</t>
  </si>
  <si>
    <t>Recommend supportive care. Repeat fasted abdominal radiographs +/- positive contrast gastrogram could be considered to rule out gastric foreign material. Abdominal ultrasound is another option, as long as the patient has been strictly fasted and there is minimal gas in the stomach at the time of imaging.</t>
  </si>
  <si>
    <t xml:space="preserve">Patient Name : Henrietta kelleher, Date of study: Jul 26, 2024
3 images are provided for review
Canine Thorax (3 Images) - 2 Lateral, 1 Vd
Prior images dated May 10, 2024 and prior are available.  
Pulmonary parenchyma: A mild to moderate diffuse bronchial pattern is present.  If bulla is suspected in peri-hilar region in the right ventral image, this is not corroborated in orthogonal images, and considered artifact due to superimposed structures.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Well-defined, ovoid mineral foci are presumed to be in the cranial laryngeal soft tissues, which is unchanged from prior images.  The remaining included musculoskeletal structures are normal.
</t>
  </si>
  <si>
    <t xml:space="preserve">1. Mild-moderate diffuse bronchial pulmonary pattern.
- Differential diagnoses include infectious/immune-mediated lower airway disease such as from mycoplasma spp., bordetella spp., parasitism, or inhaled allergen/irritant.
2. There is no evidence of cardiomegaly on this examination.
3. Unchanged suspected atypical laryngeal cartilage mineralization versus other.  </t>
  </si>
  <si>
    <t>Consider respiratory PCR panel, airway sampling, and empirical deworming/fecal analysis for further evaluation.  Consider sedated laryngeal examination and computed tomography of the neck for further evaluation of reported weezing.   Empirical therapy and supportive care in the interim as needed.  Monitoring as directed or sooner if clinical signs acutely change, fail to improve or worsen.</t>
  </si>
  <si>
    <t>Opposite lateral and VD views of the thorax that include the cranial half of the abdomen are provided._x000D_
_x000D_
There is a severe bronchointerstitial pattern that radiates from the pulmonary hilus into the periphery. All lobes are affected, but this pattern is more intense in the caudal lung lobes. There is also alveolar consolidation involving the caudal subsegment of the left cranial lung lobe which is associated with minimal air bronchograms, only seen at the root of the lung lobe. No pleural effusion is seen. There is an associated mass effect just cranial to the left mainstem bronchus at the level of the trachea: this is suspected to be additional pulmonary infiltrates, but hilar lymph node enlargement cannot be excluded. The heart is at the upper end of normal size range. No tracheal abnormalities are identified. There is a small quantity of gas in the esophagus._x000D_
_x000D_
There is increased gas in the GI tract, suspected to be the result of aerophagia from the respiratory distress. No foreign bodies or obstructive pattern are seen. The other abdominal organs are within normal limits. Serosal detail is normal._x000D_
_x000D_
There is severe disc space narrowing and spondylosis involving the disc spaces from T13 to L1. In some of the images there is lucency involving the cranial aspect of the vertebral bodies, especially L2.</t>
  </si>
  <si>
    <t>There is a mass effect involving the caudal subsegment of the left cranial lung lobe. The appearance of this area is concerning for neoplasia, but the rest of the bronchointerstitial pattern affecting the other lung fields is more typical of interstitial pneumonia._x000D_
Fungal pneumonia could appear similar._x000D_
_x000D_
Primary rule outs for this patient would include neoplasia including pulmonary lymphoma or other reticuloendothelial neoplasia, pulmonary abscess with bronchopneumonia, possibly secondary to aspiration (including a radiolucent foreign body) and interstitial pneumonia such as fungal or protozoal pneumonia._x000D_
_x000D_
No abdominal abnormalities felt to be significant are identified._x000D_
_x000D_
The changes seen involving the thoracolumbar spine are probably degenerative and associated with chronic disc degeneration. There is some lucency associated with the cranial aspect of L2, so an infectious process involving these vertebrae should still be ruled out.</t>
  </si>
  <si>
    <t>CBC, serum chemistry, and urinalysis is recommended._x000D_
Fungal panel is recommended._x000D_
The left sided alveolar consolidation would likely be amenable to ultrasound-guided sampling for cytology and culture._x000D_
Supportive care and empiric antibiotic therapy is recommended.</t>
  </si>
  <si>
    <t xml:space="preserve">
1.A moderate to severe interstitial to alveolar infiltrate with a mild perihilar infiltrate has been identified._x000D_
2.Severe cardiomegaly has been detected but Heart Failure is NOT suspected._x000D_
3.A mild perihilar infiltrate has been identified.</t>
  </si>
  <si>
    <t>A three view study of the thorax and orthogonal views of both antibrachii are provided for interpretation (six images)._x000D_
_x000D_
There is a moderate mildly defined destructive bone lesion involving the mid diaphysis of the right ulna. The right radius has mildly increased medullary opacity with slight lucent mottling. No periosteal production is identified. There is marked soft tissue swelling involving the entire right antebrachium, most prominent distally and medially. The elbow and carpal joints are unremarkable. No abnormalities are identified involving the left front limb._x000D_
_x000D_
The heart is within normal size and shape limits. There is slight coronary artery mineralization. No pulmonary nodules or parenchymal infiltrates are identified. The cranial abdomen is unremarkable._x000D_
In the right lateral thorax view there is a focal lucency associated with the dorsal spinous process of the T9 vertebra, but this is not apparent in the left lateral view and is suspected to be artifactual. No other concern for destructive bone changes is seen in the thoracic images.</t>
  </si>
  <si>
    <t>There is a destructive bone lesion involving the right ulna. The medullary cavity of the radius is also abnormal, but this consists of increased overall medullary opacity with slight mottling rather than a definitive destructive lesion. There is marked soft tissue swelling in the region._x000D_
_x000D_
The destructive on the lesion is not in a typical location for a primary bone tumor, and there is also some degree of abnormalities involving the medullary cavity of the radius which would also not be typical for primary bone tumor. Lymphoreticular neoplasia should be ruled out. Metastatic neoplasia from a distant site should also be considered._x000D_
The degree of soft tissue swelling is also more prominent than would commonly be seen with a neoplastic lesion so osteomyelitis including fungal should also be ruled out._x000D_
_x000D_
No significant thoracic abnormalities are identified.</t>
  </si>
  <si>
    <t>CBC, serum chemistry, and fungal panel is recommended._x000D_
_x000D_
Biopsy of the mid ulna destructive lesion and the area of increased opacity in slight mottling in the distal diaphysis of the radius is recommended. Biopsy of the swollen soft tissue in the area of the mid ulna may also be helpful._x000D_
_x000D_
Ultrasound of the abdomen should also be considered to look for other evidence of lymphoreticular neoplasia or systemic infectious/inflammatory disease.</t>
  </si>
  <si>
    <t xml:space="preserve">
1.Pleural fissure lines or small volume pleural effusion has been detected. In a mildly overweight animal, excessive pericardial fat can artifactually mimic the result of minimal pleural effusion._x000D_
2.The cardiac silhouette size is normal._x000D_
3.MODERATE INTERSTITIAL TO ALVEOLAR INFILTRATE; MILD BRONCHIAL PATTERN; MINIMAL PERIHILAR INFILTRATE._x000D_
4.Based on these AI airway/pulmonary findings,  the probability of this patient having clinically detectable respiratory signs is HIGH (75%)_x000D_
5.Are respiratory signs present? If YES._x000D_
6.Are respiratory signs present? If NO.</t>
  </si>
  <si>
    <t>Orthogonal views of the thorax are provided:_x000D_
_x000D_
Thorax:_x000D_
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margins._x000D_
Gallbladder mineralized sludge.</t>
  </si>
  <si>
    <t>Consider a cardiology consultation with ECG and echocardiogram and abdominal US to further evaluate the liver. and billiard system.</t>
  </si>
  <si>
    <t xml:space="preserve">
1.MODERATE DYNAMIC AIRWAY DISEASE; MILD BRONCHOINTERSTITIAL PULMONARY PATTERN +/- PULMONARY HYPOINFLATION._x000D_
2.MILD BRONCHOINTERSTITIAL PULMONARY PATTERN; MINIMAL to MILD PERIHILAR PATTERN._x000D_
3.Based on these AI airway/pulmonary findings, the probability of this patient having clinically detectable respiratory signs is MEDIUM (50%)_x000D_
4.Based on the AI airway/pulmonary findings, the probability of this patient having clinically detectable respiratory signs is LOW (25%)_x000D_
5.Are respiratory signs present? If YES._x000D_
6.AI linked dynamic airway treatment: https://platform.v2.vetology.net/doc/canine-tracheal-collapse-treatment_x000D_
7.In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8.In the PRESENCE of respiratory signs, low grade active pneumonitis (allergic, bacterial, parasitic (including heartworm disease), inhaled allergen or toxin) or upper airway disease causing pulmonary hypoinflation and/or recurrent microaspiration may be more likely._x000D_
9.Are respiratory signs present? If NO._x000D_
10.Moderate cardiomegaly has been detected but Heart Failure is NOT suspected._x000D_
11.There is no evidence of PULMONARY NODULES or PLEURAL EFFUSION.</t>
  </si>
  <si>
    <t>7 images of the thorax, cervical spine,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  Spinal alignment is normal with no consistently narrowed intervertebral disc spaces.  No fractures or aggressive osseous lesions are seen.</t>
  </si>
  <si>
    <t>Radiographically normal abdomen and cervical region.  Radiographically normal thorax for patient of this age.</t>
  </si>
  <si>
    <t>5 images of the thorax and abdomen are presented for review.  The cardiovascular and pulmonary structures are normal.  No pulmonary nodules or enlarged intrathoracic lymph nodes are seen.  The pleural and mediastinal structures are normal.  Abdominal serosal detail is adequate in all quadrants.  The stomach contains a small amount of ingesta.  The small intestines are normal in size.  Gas and feces are present in the colon.  The urinary bladder is moderately distended.  The remaining abdominal organs are normal.  Hemivertebrae are present in the thoracic and caudal spine.</t>
  </si>
  <si>
    <t xml:space="preserve">
1.Are respiratory signs present? If YES._x000D_
2.Are respiratory signs present? If NO._x000D_
3.The cardiac silhouette size is normal._x000D_
4.SEVERE PLEURAL EFFUSION; MODERATE TO SEVERE INTERSTITIAL to ALVEOLAR PATTERN; MILD BRONCHIAL PATTERN._x000D_
5.Based on the AI airway/pulmonary findings, the probability of this patient having clinically detectable respiratory signs is VERY HIGH (&gt;75%)_x000D_
6.Severe pleural effusion has been detected.</t>
  </si>
  <si>
    <t xml:space="preserve">Patient Name : Dexter Miller, Date of study: Jul 26, 2024
3 images are provided for review
Canine Thorax (3 Images) - 2 Lateral, 1 Vd
An additional image is attached to case 2720351 dated the same day.
Pulmonary parenchyma: A mild to moderate diffuse bronchial pattern is present.
Pulmonary vasculature: The pulmonary vasculature is subjectively normal in size and tapers in the periphery of the lungs.
Cardiac silhouette: The cardiac silhouette is tall and occupies 2/3 the height of the thorax, with slight dorsal tracheal dispalcement.  The caudodorsal margin of the cardiac silhouette is slightly flattened.  Slight increased rounded soft tissue is suspected in the region of the left atrium in the ventrodorsal image.  
Mediastinum: The cranial mediastinum is normal.
Trachea: The trachea is normal.
Esophagus: The esophagus is not well-identified.
Pleural space: The pleural space is normal.
Musculoskeletal: The included musculoskeletal structures are normal.
</t>
  </si>
  <si>
    <t xml:space="preserve">1. Mild left-sided cardiomegaly such as from myxomatous mitral valvular disease, or unlikely other.
- There is no evidence of cardiogenic pulmonary edema.
2. Mild-moderate diffuse bronchial pulmonary pattern.
- Differential diagnoses include fibrosis from prior disease, age-related changes, changes secondary to hyperadrenocorticism (bronchial mineralization), infectious/immune-mediated lower airway disease such as from mycoplasma spp., bordetella spp., parasitism, or inhaled allergen/irritant, or unlikely other.
</t>
  </si>
  <si>
    <t>Consider echocardiography, ECG and blood pressure for further evaluation.  Empirical therapy and supportive care in the interim as needed.  Monitoring as directed or sooner if clinical signs acutely change, fail to improve or worsen.</t>
  </si>
  <si>
    <t xml:space="preserve">
1.Are respiratory signs present? If NO._x000D_
2.Mild cardiomegaly has been detected but Heart Failure is NOT suspected._x000D_
3.There is no evidence of PLEURAL EFFUSION._x000D_
4.MODERATE BRONCHIAL PATTERN, MILD DYNAMIC AIRWAY DISEASE, MILD, DIFFUSE INTERSTITIAL PATTERN WITH A SLIGHTLY MORE PRONOUNCED PERIHILAR INFILTRATE._x000D_
5.Based on these AI airway/pulmonary findings, the probability of this patient having clinically detectable respiratorysigns is MEDIUM (50%)_x000D_
6.Are respiratory signs present? If YES._x000D_
7.AI linked bronchitis disease treatment in dogs and cats: https://platform.v2.vetology.net/doc/bacterial-bronchitis-in-dogs-and-cats</t>
  </si>
  <si>
    <t>Three radiographs of the thorax are provided. There is mild to moderate left-sided cardiomegaly. Enlarged left atrium causes rounded soft tissue contour caudal to the tracheal bifurcation on the lateral views. The heart appears relatively larger on the lateral views due to thoracic conformation. The cranial pulmonary vein is larger than the artery. There are no abnormalities in the pulmonary parenchyma. No pleural effusion. The left mainstem bronchus is compressed. Moderate narrowed cervical trachea. In the cranial abdomen soft tissue opacity ventral to the pylorus may represent enlarged liver versus normal splenic tail nestled adjacent to the liver.</t>
  </si>
  <si>
    <t>Mild to moderate left-sided cardiomegaly consistent with acquired mitral valve disease. There is pulmonary venous congestion but no evidence of heart failure. There is mainstem bronchial compression. This, coupled with dynamic cervical tracheal collapse is the most likely cause for coughing.</t>
  </si>
  <si>
    <t>Recommend utilization of a body harness in place in a neck lead, symptomatic treatment for the cough, and an echocardiogram. Due to the large size of the heart and patient=ZZ91=s thoracic conformation, recommend obtaining a dorsoventral projection (instead of a VD view) on all future studies for this patient. This will allow for maximum dorsal lung aeration to rule in/out pulmonary edema.</t>
  </si>
  <si>
    <t xml:space="preserve">
1.MODERATE to SEVERE BRONCHOINTERSTITIAL PULMONARY PATTERN; DYNAMIC AIRWAY COLLAPSE and/or BRONCHIECTASIS; ALVEOLAR INFILTRATE or ATELECTASIS._x000D_
2.Based on these AI airway/pulmonary findings, the probability of this patient having clinically detectable repsiratory signs is VERY HIGH (&gt;75%)_x000D_
3.Are respiratory signs present? If YES._x000D_
4.AI link to canine airway collapse treatment article: https://platform.v2.vetology.net/doc/canine-tracheal-collapse-treatment_x000D_
5.Are respiratory signs present? If NO._x000D_
6.Pleural fissure lines or small volume pleural effusion has been detected. In a mildly overweight animal, excessive pericardial fat can artifactually mimic the result of minimal pleural effusion._x000D_
7.Moderate cardiomegaly has been detected but Heart Failure is NOT suspected.</t>
  </si>
  <si>
    <t xml:space="preserve">Patient Name : Hank Rojkin, Date of study: Jul 26, 2024
3 images are provided for review
Canine Thorax (3 Images) - 2 Lateral, 1 Vd
There are no previous radiographs for comparison.
Pulmonary parenchyma: A mild diffuse bronchial pattern is present.  A minimal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T6 through T11 vertebrae are narrowed in a craniocaudal dimension.   Spondylosis deformans is  at T13-L1 and L1-2.  The remaining included musculoskeletal structures are normal.
</t>
  </si>
  <si>
    <t xml:space="preserve">1. Mild diffuse bronchial and minimal interstitial pulmonary patterns.
- Differential diagnoses include fibrosis from prior disease, age-related changes, infectious/immune-mediated lower airway disease such as from mycoplasma spp., bordetella spp., parasitism, or inhaled allergen/irritant or unlikely other.  
2. No obvious cranial mediastinal widening such as from thoracic lymphadenomegaly.
3. Breed-specific vertebral anomalies. </t>
  </si>
  <si>
    <t>Consider respiratory PCR panel, airway sampling, and fecal analysis for further evaluation if clinically indicated.  Consider abdominal radiographs for further evaluation of gastrointestinal signs.  Consider endoscopy and internist consultation for further evaluation of lower esophageal reflux disease contributing to reported clinical signs. PTHrp panel for further evaluation of reported hypercalcemia, depending on result of reported lymph node tissue sampling.  Consider fungal serology, especially if the patient has an appropriate travel/exposure history and additional diagnostics are inconclusive. Empirical therapy and supportive care as needed in the interim.  Monitoring as directed or sooner if clinical signs acutely change, fail to improve or worsen.</t>
  </si>
  <si>
    <t xml:space="preserve">
1.The cardiac silhouette size is normal._x000D_
2.There is no evidence of DYNAMIC AIRWAY COLLAPSE or BRONCHIECTASIS._x000D_
3.A mild to moderate bronchointerstitial pulmonary pattern has been detected.</t>
  </si>
  <si>
    <t xml:space="preserve">Patient Name : Nickey Dove, Date of study: Jul 26, 2024
4 images are provided for review
There are no previous radiographs for comparison.  Minimal overexposure and saturation artifact of the lungs.  
Pulmonary parenchyma: A minimal diffuse bronchial pattern is present.
Pulmonary vasculature: The pulmonary vasculature is subjectively normal in size and tapers in the periphery of the lungs.
Cardiac silhouette: The cardiac silhouette is tall and occupies 2/3 the height of the thorax.  The trachea maintains a caudoventral declination towards the base of the cardiac silhouette.  
Mediastinum: The cranial mediastinum is normal.
Trachea: The trachea is normal.
Esophagus: The esophagus contains minimal fluid or is empty.  
Pleural space: The pleural space is normal.
Liver: The liver is small with cranial displacement of the gastric axis.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gas.   Gas is in the pylorus in the left lateral image.  The stomach is within normal limits for size.
The small intestine contains mild gas and  fluid or is empty with a subjectively uniform population for size. 
The colon contains mild heterogeneous soft tissue material and gas. The colon wall is mildly spastic.   The colon is within normal limits for size.  
Musculoskeletal: The included musculoskeletal structures are normal.
</t>
  </si>
  <si>
    <t>1. Minimal diffuse bronchial pulmonary pattern such as from fibrosis from prior disease, age-related changes, or less likely infectious/immune-mediated lower airway disease (mycoplasma spp., bordetella spp., parasitism, or other), inhaled allergen/irritant, or unlikely other.
2. Possible left ventricular enlargement versus artifact from phase of the cardiopulmonary cycle/patient confirmation.
- If present, consider myxomatous mitral valvular disease and infussicieny.
- There is no current evidence of left-sided congestive heart failure.  
3. Microhepatia versus individual variation of normal.
- If present, consider portosystemic shunting vessel or unlikely chronic hepatitis/cirrhosis.
4. Non-specific small intestinal and colon appearance such as from enteritis, colitis, or recent bowel movement/individual variation of normal.</t>
  </si>
  <si>
    <t>Consider echocardiography, eCG and blood pressure, with/without routine blood work for further evaluation.   This examination does not rule out occult dynamic airway disease.  Consider airway sampling/respiratory PCR panel and tracheoscopy/bronchoscopy/fluoroscopy for further evaluation of dynamic airway disease. Empirical therapy and supportive care in the interim as needed.  Monitoring as directed or sooner if clinical signs acutely change, fail to improve or worsen.</t>
  </si>
  <si>
    <t xml:space="preserve">
1.Minimal cardiomegaly has been detected but Heart Failure is NOT suspected._x000D_
2.MINIMAL TO MILD BRONCHOINTERSTITIAL PULMONRAY PATTERN; MILD PERIHILAR PATTERN._x000D_
3.Based on the AI airway/pulmonary findings, the probability of this patient having clinically detectable respiratory signs is LOW (25%)_x000D_
4.Are respiratory signs present? If YES._x000D_
5.Are respiratory signs present? If NO._x000D_
6.There is no evidence of PULMONARY NODULES.</t>
  </si>
  <si>
    <t xml:space="preserve">Patient Name : Yeezy Seigler, Date of study: Jul 26, 2024
3 images are provided for review
Prior extremity images dated November 10, 2023 are available.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Thin pleural fissure lines that do not widen in the periphery of the lungs are identified between the right cranial/middle, right middle-caudal, and left cranial/caudal lungs lobes in the ventrodorsal image.
Musculoskeletal: The included musculoskeletal structures are normal.
</t>
  </si>
  <si>
    <t>1. Mild-moderate diffuse bronchial pulmonary pattern.
- Differential diagnoses include infectious/immune-mediated lower airway disease such as from mycoplasma spp., bordetella spp., parasitism, or inhaled allergen/irritant, fibrosis from prior disease, age-related changes, a combination of these or unlikely other.
2. Thin pleural fissure lines due to tangential beam artifact, pleural thickening/folding, or less likely scant pleural effusion.</t>
  </si>
  <si>
    <t>Consider airway sampling, respiratory PCR panel, and fecal analysis for further evaluation.  There is no current evidence of cardiomegaly in this examination, but consider more sensitive evaluation with echocardiography, eCG and blood pressure, especially if continued/worsening exercise intolerance manifests.  Empirical therapy and supportive care in the interim as needed. Monitoring as directed or sooner if clinical signs acutely change, fail to improve or worsen.</t>
  </si>
  <si>
    <t>5 views of the neck, thorax, and abdomen are submitted for review._x000D_
No definitive abnormalities noted in the cervical spine or ventral cervical soft tissues.  A ventrally distributed alveolar pattern is noted in the region of the right middle lung lobe.  The remainder of the lung fields are within normal limits.  No pleural effusion or intrathoracic lymphadenopathy is seen.  The cardiovascular structures are normal.  The trachea is normal in diameter._x000D_
In the abdomen, the stomach contains a moderate amount of gas and food like material.  The small bowel is normal and uniform in diameter.  A mild amount of stool is noted in the colon.  The liver, spleen, and renal silhouettes appear within normal limits.  The urinary bladder appears minimally distended.  The prostate appears enlarged.  Serosal detail is normal.  No aggressive bony changes are noted.</t>
  </si>
  <si>
    <t>Ventrally distributed alveolar pattern in the right middle lung lobe.  This is most consistent with bacterial bronchopneumonia, likely associated with aspiration._x000D_
The prominent appearance of the prostate is most consistent with benign prostatic hypertrophy which would be typical for an intact male.  However, I cannot rule out the possibility of concurrent prostatitis._x000D_
No definitive abnormalities are noted in the cervical spine to explain the clinical signs in this region.  Occult intervertebral disc disease is not excluded.  Other soft tissue injury is also possible.</t>
  </si>
  <si>
    <t>Broad-spectrum antibiotic therapy appears indicated.  A urinalysis with culture and sensitivity is also recommended. An abdominal ultrasound could be considered as well if clinical signs persist.</t>
  </si>
  <si>
    <t xml:space="preserve">
1.Pleural fissure lines or moderate pleural effusion has been detected. An overlying skin fold or in a moderately overweight animal, excessive pericardial fat could artifactually mimic the result of moderate pleural effusion._x000D_
2.The cardiac silhouette size is normal._x000D_
3.There is no evidence of PERIHILAR INFILTRATE or DYNAMIC AIRWAY COLLAPSE or BRONCHIECTASIS._x000D_
4.A concurrent minimal bronchial pattern has been detected._x000D_
5.A severe alveolar pattern has been detected.</t>
  </si>
  <si>
    <t>Five radiographs of the left front limb are provided._x000D_
_x000D_
No abnormalities are identified involving the shoulder or the scapula. There is marked increased subcutaneous fat along the left cranial thoracic wall consistent with the history of lipoma in this area. There does not appear to be any involvement of underlying muscle planes that would contribute significantly to lameness._x000D_
There is slight chronic remodeling involving the anconeal process and the head of the radius in the left elbow. Slight irregularity is suspected involving the medial coronoid and there is slight subtrochlear sclerosis. Enthesiophyte can be seen extending from the medial and lateral epicondyle of the humerus. No joint effusion or soft tissue swelling is seen. No destructive or productive bone lesions are identified.</t>
  </si>
  <si>
    <t>There is minimal chronic remodeling involving the elbow joint. No abnormalities are seen involving the shoulder. The reported lipoma appears benign._x000D_
The cause of lameness is not definitively apparent. The elbow arthritis may be contributing, but other soft tissue pathology such as shoulder tendinitis not visible in the radiographs should still be ruled out.</t>
  </si>
  <si>
    <t>If the pain seems to be localized to the shoulder, ultrasound or MRI of the shoulder tendons to rule out tendinitis involving the biceps or supraspinatus should be considered.</t>
  </si>
  <si>
    <t xml:space="preserve">
1.MODERATE INTERSTITIAL TO ALVEOLAR PATTERN; MILD BRONCHITIS._x000D_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DYNAMIC AIRWAY COLLAPSE or BRONCHIECTASIS or PULMONARY NODULES.</t>
  </si>
  <si>
    <t xml:space="preserve">Patient Name : Kahn Yarborough, Date of study: Jul 26, 2024
3 images are provided for review
Canine Thorax (3 Images) - 2 Lateral, 1 Vd
There are no previous radiographs for comparison.
Pulmonary parenchyma: A moderate interstitial to alveolar pattern in the ventr mid-zone and ventral periphery of the right cranial/middle lung lobes and suspected in the left cranial lung lobe.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Cranial abdomen:  Granular mineral admixed with soft tissue in the stomach and few small intestinal segments.
</t>
  </si>
  <si>
    <t xml:space="preserve">1. Moderate-severe right cranial/middle and suspected left cranial lung lobe interstitial to alveolar pulmonary patterns.
-  The primary differential diagnosis is  aspiration pneumonia/bronchopneumonia, or unlikely other.
2. Mild diffuse bronchial pattern such as from infectious/immune-mediated lower airway disease (mycoplasma spp., bordetella spp., parasitism such as lung worms, or inhaled allergen/irritant), fibrosis from prior disease, or unlikely other.
3. No current evidence of cardiomegaly in this examination.  </t>
  </si>
  <si>
    <t>Therapy for suspected pneumonia with broad-spectrum antibiotics, and empirical therapy/supportive care as needed.  Monitoring with repeat radiographs for progression/resolution of the pulmonary pattern and continue therapy for 1-2 weeks past radiographic resolution.  Consider respiratory PCR panel, airway sampling, and fecal analysis/deworming for further evaluation.  Abdominal imaging may be contributory.  Consider echocardiography given reported heart murmur.  Empirical therapy and supportive care in the interim as needed.  Monitoring as directed or sooner if clinical signs acutely change, fail to improve or worsen.</t>
  </si>
  <si>
    <t xml:space="preserve">
1.Moderate bronchointerstitial pulmonary pattern detected._x000D_
2.The evaluation has a strong suspicion of pulmonary nodules or mass lesion being present._x000D_
3.A mild perihilar infiltrate has been detected._x000D_
4.Moderate bronchial and severe alveolar pattern._x000D_
5.Pleural fissure lines or moderate to severe pleural effusion has been detected. An overlying skin fold or in an obese animal, excessive pericardial fat could artifactually mimic the result of severe pleural effusion._x000D_
6.The cardiac silhouette size is normal._x000D_
7.A severe interstitial to alveolar pattern has been detected.</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</si>
  <si>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4.The cardiac silhouette size is normal._x000D_
5.There is no evidence of PERIHILAR INFILTRATE, PULMONARY NODULES or PLEURAL EFFUSION._x000D_
6.Are respiratory signs present? If NO.</t>
  </si>
  <si>
    <t>Study:_x000D_
Thoracic radiography: right lateral and orthogonal views (2 images) dated July 25,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There is an approximately 1 cm ovoid mineral opacity in the region of the gallbladder. The osseous structures are unremarkable.</t>
  </si>
  <si>
    <t>1. Normal thorax. Consider a left lateral view to complete the metastatic series._x000D_
2. Choleltih.</t>
  </si>
  <si>
    <t>Computed tomography of the head can be considered for surgical planning of the oral squamous cell carcinoma.</t>
  </si>
  <si>
    <t xml:space="preserve">
1.A minimal bronchial pattern has been detected._x000D_
2.Mild cardiomegaly has been detected but Heart Failure is NOT suspected._x000D_
3.There is no evidence of ALVEOLAR PATTERN, PERIHILAR INFILTRATE, DYNAMIC AIRWAY COLLAPSE or BRONCHIECTASIS, PULMONARY NODULES or PLEURAL EFFUSION.</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</si>
  <si>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(old rib fractures of the right 7th and 8th ribs)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t>
  </si>
  <si>
    <t>1) Unremarkable lungs do not exclude a bronchitis of allergic origin vs inflammatory/infectious or parasitic origin. No evidence of pulmonary nodules/masses._x000D_
2) Unremarkable abdomen without evidence of abdominal masses.</t>
  </si>
  <si>
    <t>Evaluate the need/benefit of an empirical treatment for chronic bronchitis vs bronchoscopy with BAL, culture, cytology, Baermann test and deworming._x000D_
Consider abdominal US for further evaluation.</t>
  </si>
  <si>
    <t>5 images of the thorax and abdomen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Abdominal serosal detail is adequate. The stomach contains a small amount of gas. The small intestines are normal in size. Gas and feces are present in the colon. The urinary bladder is small. No mineral is seen in the urinary bladder. The remaining abdominal organs are normal. Spinal alignment is normal with no consistently narrowed intervertebral disc spaces. No fractures or aggressive osseous lesions are seen.</t>
  </si>
  <si>
    <t>Radiographically normal thorax for a patient of this age. Radiographically normal abdomen. Unremarkable osseous structures.</t>
  </si>
  <si>
    <t>Study:_x000D_
Thoracic and abdominal radiography: six images dated July 25, 2024_x000D_
_x000D_
Findings:_x000D_
The cardiac silhouette and pulmonary vasculature are normal in size. There is a mild generalized bronchointerstitial pulmonary pattern. No pulmonary nodules or masses are present. The pleural space is normal. There is no intrathoracic lymphadenopathy. The trachea is normal in diameter and course. The abdominal serosal detail is normal with no apparent peritoneal effusion present. A 6.5 cm round soft tissue opaque mass bulges from the tail the spleen. The liver extends mildly beyond the costal arch with smooth and sharp margins. The stomach contains a small amount of unstructured heterogeneous soft tissue material presumed to be ingesta. The small intestines are normal in size, course and content. The colon contains formed fecal material. The renal silhouettes are normal in size and contour. The urinary bladder is normal in size and opacity. There is mild right elbow periarticular bone formation.</t>
  </si>
  <si>
    <t>1. There is no radiographic evidence of pulmonary metastatic disease._x000D_
2. In the absence of any reported respiratory signs, the mild generalized bronchointerstitial pulmonic pattern is likely a benign age-related change. Allergic, inflammatory, infectious, inhaled irritant or parasitic bronchitis cannot be completely excluded._x000D_
3. Splenic mass. Rule out neoplasia, hyperplasia or hematoma. Splenectomy (as planned) should be considered._x000D_
4. The mild hepatomegaly is nonspecific. Rule out metabolic/vacuolar hepatopathy, hyperplasia, hepatitis or infiltrative neoplasia. Correlate with recent sonography._x000D_
5. Mild right elbow osteoarthrosis.</t>
  </si>
  <si>
    <t xml:space="preserve">
1.A moderate bronchointerstitial pattern with alveolar infiltrates has been detected._x000D_
2.A moderate interstitial to alveolar infiltrate, mild bronchial pattern and concurrent mild perihilar infiltrate have been detected._x000D_
3.Probability these AI pulmonary findings will accompany clinically detectable respiratory signs: MEDIUM (50%)_x000D_
4.Pleural fissure lines or moderate to severe pleural effusion has been detected._x000D_
5.The evaluation has a strong suspicion of pulmonary nodules or mass lesion being present._x000D_
6.A mild bronchial pattern has also been detected._x000D_
7.Are respiratory signs present? If YES._x000D_
8.PLEURAL EFFUSION or less likely, OVERLYING SKIN FOLDS MIMICKING PLEURAL FLUID; PULMONARY NODULAR PATTERN likely due to END ON PULMONARY VESSELS, PROMINENT COSTOCHONDRAL JUNCTIONS or OVERLYING CUTANEOUS NODULES; MILD BRONCHIAL PATTERN._x000D_
9.Based on these AI airway/pulmonary findings, the probability of this patient having clinically detectable respiratory signs is HIGH (75%)_x000D_
10.Are respiratory signs present? If NO._x000D_
11.The cardiac silhouette size is normal.</t>
  </si>
  <si>
    <t>Study:_x000D_
Thoracic/abdominal radiography: three images dated July 25,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stomach contains unstructured heterogeneous/granular soft tissue material presumed to be ingesta. The small intestines are normal in size, course and content. The colon contains a small volume of gas. The liver and spleen are normal in size and margin. The kidneys are normal in size and contour. The urinary bladder is not visualized is likely small/empty. The uterus is not visualized. The osseous structures are unremarkable. The reported mammary mass is visualized along the mid ventral abdomen on both lateral views.</t>
  </si>
  <si>
    <t>1. Normal thorax. There is no radiographic evidence of pulmonary metastatic disease._x000D_
2. Unremarkable abdomen.</t>
  </si>
  <si>
    <t>Consider abdominal sonography for further staging.</t>
  </si>
  <si>
    <t xml:space="preserve">
1.MILD BRONCHOINTERSTITIAL PULMONARY PATTERN WITH ATELECTASIS or LESS LIKELY, PNEUMONIA, MILD PERIHILAR INFILTRATE._x000D_
2.MILD BRONCHOINTERSTITIAL PULMONARY PATTERN; MINIMAL DYNAMIC AIRWAY DISEASE; ATELECTASIS or less likely, pneumonia._x000D_
3.Based on these AI airway/pulmonary findings, the probability of this patient having clinically detectable respiratory signs is MEDIUM (50%)_x000D_
4.Probability these AI pulmonary findings will accompany clinically detectable respiratory signs: MILD TO MODERATE (25-50%)_x000D_
5.Are respiratory signs present? If NO._x000D_
6.The cardiac silhouette size is normal._x000D_
7.Are respiratory signs present? If YES._x000D_
8.Are respiratory signs present? If YES._x000D_
9.Are respiratory signs present? If NO.</t>
  </si>
  <si>
    <t>Three radiographs of the thorax, and four views of the abdomen are provided. The cardiac silhouette and pulmonary vessels are normal size and shape. There are several incidental pulmonary osteomas. No soft tissue pulmonary nodules or pleural effusion. Small volume fluid in the caudal esophagus is transient and incidental._x000D_
_x000D_
In the abdomen small volume of formed feces in the distal colon. The stomach and small bowel are minimally distended. There is scant amorphous soft tissue density in the stomach. Normal-sized liver and kidneys. No radiopaque urolithiasis.</t>
  </si>
  <si>
    <t>Scant soft tissue density in the stomach may be residual ingesta. Foreign material causing gastritis and pyloric outflow obstruction not definitively ruled out and would be suspected if vomiting has persisted. Otherwise normal abdomen and thorax.</t>
  </si>
  <si>
    <t>If vomiting has persisted since these images were obtained, proceeding to gastroscopy would be appropriate. If vomiting has been only occasional/intermittent, a positive contrast gastrogram could be considered to rule out gastric foreign material.</t>
  </si>
  <si>
    <t xml:space="preserve">Patient Name : fiji kaur, Date of study: July 25, 2024
8 images are provided for review
There are no previous radiographs for comparison.
Pulmonary parenchyma: A mild diffuse bronchial pattern is present.  A minimal diffuse interstitial pattern is present and the lungs are hypoinflated.  
Pulmonary vasculature: The pulmonary vasculature is subjectively normal in size and tapers in the periphery of the lungs.
Cardiac silhouette: The cardiac silhouette is normal in size and shape.
Mediastinum: The cranial mediastinum is widened symmetrically, without obvious increased soft tissue.  
Trachea: A soft tissue band partially superimposes over the dorsal aspect of the mid-cervical tracheal segment.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heterogeneous soft tissue material and gas.  Gas is in the pylorus in the left lateral image. The stomach is within normal limits for size.
The small intestine contains moderate gas and heterogeneous soft tissue material with gas, fluid,  or is empty with a subjectively uniform population for size. 
The colon contains moderate heterogeneous soft tissue material and gas.  The colon is within normal limits for size.  
Musculoskeletal: Right coxofemoral joint osteoarthrosis is present.  Minimal left coxofemoral joint osteoarthrosis is present, with osteophytes suspected at the junction of the left femoral head/neck.  The remaining included musculoskeletal structures are normal.
</t>
  </si>
  <si>
    <t>1. Gastric material due to recent meal, or given reported history, less likely gastritis/delayed gastric emptying or unlikely pyloric outflow tract obstruction.
2. Non-specific small intestinal and colon appearance such as from enteritis, colitis, or individual variation of normal.
- There is no current evidence of gastrointestinal mechanical ileus.
- Differential diagnoses include dietary indiscretion, toxin ingestion, diet/antibiotic responsive disease, inflammatory bowel disease, pancreatitis, occult systemic disease or unlikely other.
3. Mild diffuse bronchial pulmonary pattern due to fibrosis from prior disease, age-related  changes, or unlikely infectious/immune-mediated lower airway disease, or other.
4. Minimal diffuse interstitial pulmonary pattern due to artifact, hypoinflation, fibrosis from prior disease, or unlikely other.
5. Widened cranial mediastinum due to fat deposition or unlikely lymphadenomegaly or evolving mass.
6. Dorsal redundant tracheal membrane versus superimposed normal structures.</t>
  </si>
  <si>
    <t>Etiology of reported non-specific signs is not definitively identified.  Consider repeat abdominal imaging after 8-12 hours of fasting to monitor for gastric emptying.  Routine blood work to screen for occult systemic disease.  Consider abdominal ultrasonography versus neurologist consultation for further evaluation of abdominal/back pain depending on additional diagnostics and response to empirical therapy.  Monitoring with routine blood work and thoracic/abdominal imaging as directed, or sooner if clinical signs acutely change or worsen.</t>
  </si>
  <si>
    <t xml:space="preserve">
1.Are respiratory signs present? If YES._x000D_
2.Are respiratory signs present? If YES._x000D_
3.Are respiratory signs present? If YES._x000D_
4.Are respiratory signs present? If NO._x000D_
5.Are respiratory signs present? If NO._x000D_
6.Are respiratory signs present? If NO._x000D_
7.Are respiratory signs present? If NO._x000D_
8.MINIMAL to MILD BRONCHOINTERSTITIAL PULMONARY PATTERN; MILD DYNAMIC AIRWAY DISEASE; FOCAL ATELECTASIS, or less likely, ALVEOLAR INFILTRATE._x000D_
9.MINIMAL to MILD BRONCHOINTERSTITIAL PULMONARY PATTERN; MILD DYNAMIC AIRWAY DISEASE; MILD PERIHILAR INFILTRATE._x000D_
10.MILD DYNAMIC AIRWAY DISEASE; MINIMAL INTERSTITIAL TO ALVEOLAR PATTERN; MILD PERIHILAR INFILTRATE._x000D_
11.MILD BRONCHOINTERSTITIAL PATTERN; MILD PERIHILAR INFILTRATE._x000D_
12.Based on the AI airway/pulmonary findings, the probability of this patient having clinically detectable respiratory signs is LOW to MEDIUM (25-50%)_x000D_
13.Based on these AI airway/pulmonary findings, the probability of this patient having clinically detectable respiratory signs is LOW to MEDIUM (25-50%)_x000D_
14.Based on these AI airway/pulmonary findings, the probability of this patient having clinically detectable resspiratory signs is LOW (25%)_x000D_
15.Are respiratory signs present? If YES._x000D_
16.Based on the AI airway/pulmonary findings, the probability of this patient having clinically detectable respiratory signs is LOW to MEDIUM (25%-50%)_x000D_
17.Minimal cardiomegaly has been detected but Heart Failure is NOT suspected._x000D_
18.There is no evidence of PLEURAL EFFUSION.</t>
  </si>
  <si>
    <t>Study:_x000D_
Spinal (including the thorax and abdomen) radiography: six images dated July 25, 2024_x000D_
_x000D_
Findings:_x000D_
The dens is intact and well defined. The atlantoaxial joint space is normal. There is mild multifocal thoracolumbar spondylosis deformans. There is no apparent intervertebral disc space or foraminal narrowing. There is no evidence of discospondylitis. There is mild bilateral elbow periarticular bone formation. The included appendicular skeletal structures are otherwise unremarkable. The cervical superficial soft tissues appear unremarkable. There is moderate left ventricular and left atrial enlargement. The pulmonary vasculature is normal in size. The pulmonary parenchyma is unremarkable. The pleural space is normal. There is no intrathoracic lymphadenopathy. The trachea is normal in diameter. The stomach contains unstructured heterogeneous/granular soft tissue material presumed to be ingesta. The small intestines are normal in size, course and content. The colon contains gas with a normal diameter. The liver extends mildly beyond the costal arch with smooth margins. The spleen is normal in size and margin. The kidneys are normal in size and contour. The urinary bladder is normal in size and opacity. There is no prostatomegaly.</t>
  </si>
  <si>
    <t>1. A cause of the neck pain is not evident. Lack of any apparent intervertebral disc space narrowing does not exclude the possibility intervertebral disc disease. Neurology consultation and MRI can be considered for further evaluation if clinical signs persist or worsen in spite of strict activity restriction and pain management._x000D_
2. Moderate left-sided cardiomegaly, indicative of mitral valve disease, without evidence of decompensation. Echocardiography should be considered for further evaluation._x000D_
3. The generalized hepatomegaly is nonspecific. Rule out metabolic/vacuolar hepatopathy, hyperplasia, hepatitis or infiltrative neoplasia. Sonography can be considered for further evaluation._x000D_
4. Mild bilateral elbow osteoarthrosis.</t>
  </si>
  <si>
    <t xml:space="preserve">
1.Severe cardiomegaly has been detected but Heart Failure is NOT suspected._x000D_
2.There is no evidence of PERIHILAR INFILTRATE._x000D_
3.A minimal bronchointerstitial pulmonary pattern has been detected.</t>
  </si>
  <si>
    <t>3 views of the entire body are presented for review.  The cervical trachea is variable in diameter.  The cardiovascular and pulmonary structures are normal.  The pleural and mediastinal structures are normal.  Abdominal serosal detail is adequate in all quadrants.  The stomach contains a small amount of soft tissue material.  The gastric rugal folds are mildly prominent.  The small intestines are normal in size.  Gas and feces are present in the colon.  The urinary bladder is small.  The remaining abdominal organs are normal.</t>
  </si>
  <si>
    <t>Radiographically normal thorax.  Cervical tracheal narrowing may indicate dynamic tracheal collapse.  Material within the stomach may represent residual ingesta or foreign material.  Consider repeat radiographs following strict fasting to determine if gastric contents persist.  Prominent rugal folds suggestive of gastritis.  This does not rule out underlying pancreatitis, dietary indiscretion, etc.  If clinical signs persist with supportive therapy, abdominal ultrasound could be considered in further evaluation.</t>
  </si>
  <si>
    <t>2 views of the thorax are submitted for review.  The cardiac silhouette is subjectively normal in size and shape.  The pulmonary vasculature is not overtly enlarged and tapers as it extends into the periphery.  Mild to moderate bronchointerstitial pattern is noted throughout the lung fields.  This appears worse on the lateral view, likely associated with expiratory exposure.  No pleural effusion or intrathoracic lymphadenopathy is seen.  The trachea is normal in diameter.  There is subjective narrowing of the mainstem bronchi on the lateral view.  No evidence of a distended esophagus is seen._x000D_
The abdomen, the liver is markedly enlarged extending well down the costal arch._x000D_
No definitive osseous abnormalities are seen.</t>
  </si>
  <si>
    <t>The appearance of the lung fields is nonspecific and consistent with incidental age-related change and/or chronic inflammatory airway disease.  The appearance of the lungs on the lateral views most likely associated with expiratory exposure.  No evidence of megaesophagus is noted in the submitted study but this is not excluded.  The mild narrowing of the mainstem bronchi could be consistent with dynamic airway collapse associated with chondromalacia._x000D_
Marked hepatomegaly.  Differentials include vacuolar hepatopathy, inflammation, neoplasia, or possibly venous congestion.</t>
  </si>
  <si>
    <t>Correlation with blood work is recommended. An abdominal ultrasound to be considered to further evaluate the liver. Fluoroscopic evaluation of the trachea could be considered for further evaluation.  Lower airway sampling could also be considered.</t>
  </si>
  <si>
    <t xml:space="preserve">
1.Are respiratory signs present? If NO._x000D_
2.The evaluation has a strong suspicion of pulmonary nodules or mass lesion being present._x000D_
3.MODERATE BRONCHOINTERSTITIAL PULMONARY PATTERN; MODERATE DYNAMIC AIRWAY DISEASE; MODERATE ALVEOLAR INFILTRATE or ATELECTASIS._x000D_
4.Based on these AI airway/pulmonary findings, the probability of this patient having clinically detectable respiratory signs is HIGH (75%)_x000D_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suspected._x000D_
7.Are respiratory signs present? If YES.</t>
  </si>
  <si>
    <t>Orthogonal views of the thorax and abdomen are provided:_x000D_
_x000D_
Thorax:_x000D_
_x000D_
Cardiac silhouette has a normal shape and size._x000D_
Pulmonary vessels are within normal limits of size and shape._x000D_
Pulmonary parenchyma is within normal limits. _x000D_
There is a small volume of bilateral pleural effusion with visible pleural fissure lines._x000D_
Mediastinum, diaphragm and thoracic wall within normal limits._x000D_
_x000D_
Abdomen:_x000D_
_x000D_
There is abdominal distension due to a moderate volume of free fluid and mottling leading to an almost complete loss of serosal detail._x000D_
The stomach is empty._x000D_
Small intestines are mildly gas and fluid filled, not overtly distended. No signs of mechanical ileus._x000D_
Liver, spleen, kidneys and urinary bladder are poorly distinguished.</t>
  </si>
  <si>
    <t>1) Pleural effusion: rule out pure vs modified transudate vs exudate vs chylothorax. No signs of pulmonary metastases nor signs of thoracic lymphadenopathy._x000D_
2) Large volume of free peritoneal fluid. DDx: transudate vs exudate vs chyloabdomen less likely.</t>
  </si>
  <si>
    <t>Consider CBC and abdominal US with abdominocentesis with fluid analysis to further evaluate causes of free fluid with thoracocentesis with fluid analysis and +/- CT of the thorax.</t>
  </si>
  <si>
    <t xml:space="preserve">
1.Are respiratory signs present? If YES._x000D_
2.Are respiratory signs present? If NO._x000D_
3.Pleural fissure lines or moderate to severe pleural effusion has been detected. An overlying skin fold or in an obese animal, excessive pericardial fat could artifactually mimic the result of severe pleural effusion._x000D_
4.The cardiac silhouette size is normal._x000D_
5.MODERATE BRONCHOINTERSTITIAL PULMONARY PATTERN; MILD DYNAMIC AIRWAY DISEASE; ATELECTASIS or less likely, pneumonia; MINIMAL PERIHILAR INFILTRATE._x000D_
6.Based on the AI airway/pulmonary findings, the probability of this patient having clinically detectable respiratory signs is MEDIUM to HIGH (50%-75%)</t>
  </si>
  <si>
    <t>3 views of the entire body are presented for review.  The cardiovascular and pulmonary structures are normal.  The pleural and mediastinal structures are normal.  Abdominal serosal detail is adequate in all quadrants.  The stomach contains a moderate amount of soft tissue material.  The small intestines are normal in size.  Gas and feces are present in the colon.  The urinary bladder is small.  The remaining abdominal organs are normal.</t>
  </si>
  <si>
    <t>Study:_x000D_
Thoracic limb radiography: three images dated July 25, 2024_x000D_
_x000D_
Findings:_x000D_
There is narrowing of the C5-C6 intervertebral disc space on the left lateral view. Mild periarticular new bone information is present the caudodistal aspect of the right humeral head. The left shoulder joint is normal. The elbow joints are congruent. There is bilateral elbow periarticular bone formation=ZZ90= mild on the left and moderate on the right. The anconeal process is appropriately fused bilaterally. The included portion of the right carpus is unremarkable. The included thorax is normal.</t>
  </si>
  <si>
    <t>1. Mild to moderate bilateral elbow osteoarthrosis, worse on the right._x000D_
2. Mild right shoulder osteoarthrosis._x000D_
3. C5-C6 intervertebral disc disease. Correlate with any neck pain and/or proprioceptive deficits.</t>
  </si>
  <si>
    <t>Consider pain management and activity restriction as needed plus/minus joint supplementation.</t>
  </si>
  <si>
    <t xml:space="preserve">
1.A severe alveolar pattern has been detected._x000D_
2.There is no evidence of BRONCHITIS, PERIHILAR INFILTRATE, PULMONARY NODULES or PLEURAL EFFUSION._x000D_
3.Mild dynamic airway disease has been detected._x000D_
4.Mild cardiomegaly has been detected but Heart Failure is NOT suspected.</t>
  </si>
  <si>
    <t>A two view study of the thorax is provided._x000D_
_x000D_
The cardiovascular structures are within normal limits. There is a moderate bronchial pattern, which is due partly to mild bronchial wall thickening and also mild bronchial and interstitial mineralization. The appearance is similar to previous abdominal radiographs made several years ago (8-14-18). No pulmonary nodules or pleural effusion are identified. The trachea is normal._x000D_
The cranial abdominal organs are within normal limits. Serosal detail in the cranial abdomen is normal._x000D_
No destructive or productive bone lesions are identified.</t>
  </si>
  <si>
    <t>The pulmonary changes are presumed to be age related. No findings concerning for active pulmonary disease or neoplasia are identified. The cardiovascular structures appear normal.</t>
  </si>
  <si>
    <t>No contraindication to the proposed lip surgery is seen in the radiographs.</t>
  </si>
  <si>
    <t xml:space="preserve">Patient Name : Stella Freeman, Date of study: Jul 25, 2024
6 images are provided for review
There are no previous radiographs for comparison.
Pulmonary parenchyma: A minimal to mild diffuse bronchial pattern is present.  The lungs are hypoinflated.   Retrosternal fat is presumed to superimpose over the right lungs in the ventrodorsal image.  
Pulmonary vasculature: The pulmonary vasculature is subjectively normal in size and tapers in the periphery of the lungs.
Cardiac silhouette: The cardiac silhouette is normal in size and shape.
Mediastinum: The cranial mediastinum is widened in the ventrodorsal image, likely exacerbated on the right due to obliquity.
Trachea: A soft tissue band superimposed over the dorsal aspect of the trachea.  
Esophagus: The esophagus is not well-identified.
Pleural space: The pleural space is normal.
Liver: The gastric axis is in a normal position.  Rounded soft tissue is closely associated with the caudoventral hepatic margin, but may represent the spleen.  
Spleen: The spleen is folded on itself with a rounded medial margin in the ventrodorsal image.  
Kidneys: The right kidneys has mildly undulant caudolateral margin. The left kidney is normal.  
Retroperitoneum: Retroperitoneal detail is adequate.
Urogenital: The urinary bladder is normal in size, homogeneous soft tissue, and smoothly marginated.
Peritoneum: Peritoneal detail is adequate.
Gastrointestinal tract: The stomach contains a moderate gas and soft tissue/fluid or is empty.   The stomach is within normal limits for size.
The small intestine contains mild fluid or is empty with a subjectively uniform population for size. 
The colon contains minimal heterogeneous soft tissue material and gas.  The colon is within normal limits for size.  
Musculoskeletal: The patient is obese.  Spondylosis deformans is present at L4-5 and L7-S1.  The remaining included musculoskeletal structures are normal.
</t>
  </si>
  <si>
    <t xml:space="preserve">1. Possible hepatomegaly versus superimposed spleen.
- if this is the liver, consider vacuolar hepatopathy, nodular hyperplasia, or evolving neoplasia (primary versus metastatic).  
2. Mild splenomegaly and rounded margins or possible mass/
- If present, consider neoplasia such as primary hemangiosarcoma versus other, hematoma, extra-medullary hematopoiesis, or less likely other.
3. Minimal-mild diffuse bronchial pulmonary pattern such as from fibrosis from prior disease, age-related changes, infectious/immune-mediated lower airway disease, inhaled allergen/irritant, or unlikely other.
4. Mild right chronic renal disease and presumed cortical infarcts.
5. Dorsal redundant tracheal membrane with/without underlying dynamic airway disease, versus superimposed normal structures.
6. Obesity.
</t>
  </si>
  <si>
    <t>Consider  routine blood work, urinalysis, SDMA, blood pressure and abdominal ultrasonography for further evaluation of the liver, spleen and kidneys. Coagulation testing and tissue sampling depending on results of ultrasonography. Consider dermatologist consultation for possible otitis versus other.  Empirical therapy and supportive care in the interim as needed.  Monitoring as directed or sooner if clinical signs acutely change, fail to improve or worsen.</t>
  </si>
  <si>
    <t xml:space="preserve">
1.MILD to MODERATE BRONCHOINTERSTITIAL PATTERN; MILD DYNAMIC AIRWAY DISEASE._x000D_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6.Pleural fissure lines or small volume pleural effusion has been detected. In a mildly overweight animal, excessive pericardial fat can artifactually mimic the result of minimal pleural effusion.</t>
  </si>
  <si>
    <t xml:space="preserve">Patient Name : Mars Perez, Date of study: Jul 25, 2024
4 images are provided for review
Canine Abdomen (2 Images) - 2 Lateral
Canine Thorax (2 Images) - 2 Lateral
There are no previous radiographs for comparison.
Bones/Joints:
A dens is present.  There is no evidence of atlantoaxial joint subluxation.
There is no evidence of intervertebral disc space narrowing, or mineral over the intervertebral foramina.  There is no evidence of intervertebral dorsal articulation osteoarthrosis.
Minimal bilateral coxofemoral joint osteoarthrosis is present.  
There is no evidence of medullary sclerosis, osteolysis, endosteal scalloping, or periosteal proliferation.
Soft tissues:  The included soft tissues are normal.
</t>
  </si>
  <si>
    <t xml:space="preserve">1. Minimal bilateral coxofemoral joint osteoarthrosis.
2. No evidence of intervertebral disc disease, vertebral fracture, luxation or aggressive bone lesion.  </t>
  </si>
  <si>
    <t>Consider radiographs focused to the pelvis/pelvic limbs and thoracic limbs over a region of interest for further evaluation.  Orthopedist consultation may be contributory.  Empirical therapy/supportive care in the interim as needed.  Monitoring as directed, or sooner if clinical signs acutely change, fail to improve or worsen.</t>
  </si>
  <si>
    <t>6 images of the thorax and abdomen are provided for review.  The cardiovascular structures are normal.  There is a moderate bronchial pattern in all lung lobes.  The mediastinal and pleural structures are normal.  Abdominal serosal detail is adequate in all quadrants.  The liver margins are rounded and extend mildly beyond the costal arch, causing caudal displacement of the gastric axis.  The stomach contains a small amount of gas.  The small intestines are normal in size.  Gas and feces are present in the colon.  The urinary bladder is small.  The remaining abdominal organs are normal.</t>
  </si>
  <si>
    <t>Mild hepatomegaly=ZZ90= this is a nonspecific finding that may be seen with congestion, vacuolar hepatopathy, inflammation, neoplasia, etc.  Abdominal ultrasound may be helpful in further evaluation if biochemically indicated.  Moderate bronchial pulmonary pattern=ZZ90= consider bronchitis, response to inhaled irritants, response to circulating parasites, eosinophilic bronchopneumopathy.  Airway sampling may be helpful in further evaluation.</t>
  </si>
  <si>
    <t xml:space="preserve">
1.MODERATE INTERSTITIAL TO ALVEOLAR PATTERN; MILD BRONCHITIS._x000D_
2.Based on the AI airway/pulmonary findings, the probability of this patient having clinically detectable respiratory signs is MEDIUM to HIGH (50-75%)_x000D_
3.Are respiratory signs present? If YES._x000D_
4.Are respiratory signs present? If NO._x000D_
5.The cardiac silhouette size is normal.</t>
  </si>
  <si>
    <t>Study:_x000D_
Thoracic radiography: three images dated July 25, 2024_x000D_
_x000D_
Findings:_x000D_
Motion artifact is present on the left lateral and orthogonal views. There is severe left ventricular and left atrial enlargement. There is a mild generalized bronchointerstitial pulmonary pattern. The pleural space is normal. There is no intrathoracic lymphadenopathy. The patient has a redundant dorsal tracheal membrane. The tracheal diameter is normal. There is narrowing of the caudal lobar bronchi on the left lateral projection comparison to the right lateral view. The liver extends beyond the costal arch with smooth and sharp margins. There is mild L2-L3 spondylosis deformans.</t>
  </si>
  <si>
    <t>1. Severe left-sided cardiomegaly, indicative of mitral valve disease, without evidence of decompensation. Echocardiography should be considered for further evaluation._x000D_
2. Bronchomalacia and dynamic bronchial compression/collapse. Normal diameter the trachea does not exclude the possibility of concurrent tracheal collapse. Fluoroscopy can be considered for further evaluation._x000D_
3. The diffuse bronchointerstitial pulmonary pattern is a nonspecific finding. This could be a benign age-related change or may indicate allergic, inflammatory, infectious, inhaled irritant or parasitic bronchitis. Interstitial cardiogenic pulmonary edema with secondary peribronchial cuffing is considered a less likely differential given the uniformity of this finding throughout the lung fields. Airway sampling plus/minus heartworm testing and Baermann fecal flotation can be considered to further evaluate for lower disease._x000D_
4. The generalized hepatomegaly is nonspecific. Rule out metabolic/vacuolar hepatopathy, hyperplasia, hepatitis or infiltrative neoplasia. Sonography can be considered for further evaluation.</t>
  </si>
  <si>
    <t xml:space="preserve">
1.SEVERE DYNAMIC AIRWAY DISEASE; MODERATE BRONCHOINTERSTITIAL PULMONARY PATTERN; MODERATE ALVEOLAR INFILTRATE or ATELECTASIS._x000D_
2.MODERATE INTERSTITIAL TO ALVEOLAR INFILTRATE; CONCURRENT MODERATE BRONCHIAL PATTERN; MILD PERIHILAR INFILTRATE._x000D_
3.Based on these AI airway/pulmonary findings, the probability of this patient having clinically detectable respiratory signs is HIGH (75%)_x000D_
4.Based on the AI airway/pulmonary findings, the probability of this patient having clinically detectable respiratorysigns is HIGH (75%)_x000D_
5.Are respiratory signs present? If YES._x000D_
6.Are respiratory signs present? If YES._x000D_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suspected._x000D_
9.Are respiratory signs present? If NO._x000D_
10.Are respiratory signs present? If NO._x000D_
11.AI linked bacterial pneumonia treatment in dogs: https://platform.v2.vetology.net/doc/pneumonia-in-dogs-and-cats_x000D_
12.The evaluation has a strong suspicion of pulmonary nodules or mass lesion being present.</t>
  </si>
  <si>
    <t>Study:_x000D_
Thoracic radiography: three images dated July 25, 2024_x000D_
_x000D_
Findings:_x000D_
There is mild left ventricular and left atrial enlargement. The pulmonary vasculature is normal in size. The pulmonary parenchyma is unremarkable. No pulmonary nodules or masses are present. The pleural space is normal. There is no intrathoracic lymphadenopathy. The trachea is normal in diameter. The included abdomen is unremarkable. There is narrowing of the T12-T13 intervertebral disc space. There is mild T12-T13 and L1-L2 spondylosis. There is mild bilateral elbow periarticular new bone formation. _x000D_
_x000D_
A human digit is present in the primary beam on the VD view.</t>
  </si>
  <si>
    <t>1. Mild left sided cardiomegaly, suggestive of mitral valve disease, without evidence of decompensation. Consider echocardiography for further evaluation._x000D_
2. T12-T13 intervertebral disease._x000D_
3. Mild bilateral elbow osteoarthrosis.</t>
  </si>
  <si>
    <t>A definitive cause of the reported lethargy and inappetence is not evident. Abdominal sonography can be considered for further evaluation if the hyporexia persists or worsens.</t>
  </si>
  <si>
    <t xml:space="preserve">
1.A mild perihilar infiltrate has been detected._x000D_
2.There is no evidence of BRONCHITIS, ALVEOLAR PATTERN, DYNAMIC AIRWAY COLLAPSE or BRONCHIECTASIS, PULMONARY NODULES or PLEURAL EFFUSION._x000D_
3.Minimal cardiomegaly has been detected but Heart Failure is NOT suspected.</t>
  </si>
  <si>
    <t>Orthogonal radiographs of the abdomen are provided. Previous radiographs are not identified for this patient. There is prominence of the left atrium. Cardiac to thoracic ratio and pulmonary vessel size is normal. There are no abnormalities in the pulmonary parenchyma. Crisp pleural fissure lines is normal age-related change. Adequate tracheal diameter and normal cranial mediastinal width.</t>
  </si>
  <si>
    <t>Prominent left atrium consistent with acquired mitral valve disease. There is no pulmonary venous congestion or evidence of cardiac decompensation. Otherwise normal thorax.</t>
  </si>
  <si>
    <t xml:space="preserve">
1.The cardiac silhouette size is normal._x000D_
2.There is no evidence of ALVEOLAR PATTERN, DYNAMIC AIRWAY COLLAPSE or BRONCHIECTASIS or PLEURAL EFFUSION._x000D_
3.A minimal perihilar infiltrate has been detected._x000D_
4.A mild interstitial pattern has been detected.</t>
  </si>
  <si>
    <t xml:space="preserve">Patient Name : sookie fabon, Date of study: Jul 25, 2024
3 images are provided for review
Canine Thorax (3 Images) - 2 Lateral, 1 Vd
There are no previous radiographs for comparison.
Pulmonary parenchyma: A mild diffuse bronchial pattern is present.
Pulmonary vasculature: Only in the ventrodorsal image, the right caudal lobar pulmonary arteries are slightly larger than those in the left caudal lung.
Cardiac silhouette: In the ventrodorsal image, there is suspicion slight enlargement and rounding to the cardiac silhouette at the 1-2 o'clock position, in the region of the main pulmonary artery.  This is no identified in the lateral images.  The cardiac silhouette has a subjectively normal width.  
Mediastinum: The cranial mediastinum is normal.
Trachea: The trachea is normal.
Esophagus: The esophagus is not well-identified.
Pleural space: The pleural space is normal.
Musculoskeletal: Presumed nipples superimpose over the caudal lungs in the ventrodorsal image over the10th intercostal spaces.  The remaining included musculoskeletal structures are normal.
</t>
  </si>
  <si>
    <t>1. Possible right caudal lobar pulmonary arterial enlargement versus artifact from phase of the cardiopulmonary cycle and/or patient positioning.
- If present, differential diagnoses include pulmonary hypertension such as from evolving heartworm disease or less likely other.
2. Possible main pulmonary artery enlargement versus artifact.
- If present, consider secondary to heartworm disease or less likely congenital cardiac anomaly such as pulmonic stenosis or other.
3. Mild diffuse bronchial pulmonary pattern.
- Differential diagnoses include infectious/immune-mediated lower airway disease such as from bordetella spp., mycoplasma spp., parasitism, or inhaled allergen/irritant,. fibrosis from prior disease, age-related changes, or unlikely other.</t>
  </si>
  <si>
    <t>Heartworm testing if not recently performed, especially depending on preventative/exposure status. Echocardiography, eCG and blood pressure especially given reported heart murmur for further evaluation. Consider a dorsoventral thoracic image for a more sensitive evaluation of the caudodorsal lungs and vasculature.  Empirical therapy and supportive care for  Monitoring as directed or sooner if clinical signs acutely change, fail to improve or worsen.</t>
  </si>
  <si>
    <t xml:space="preserve">Patient Name : Ray Beachler, Date of study: Jul 25, 2024
3 images are provided for review
Canine Thorax (3 Images) - 2 Lateral, 1 Vd
There are no previous radiographs for comparison.
Pulmonary parenchyma:  In the ventrodorsal image, an ovoid soft tissue opacity is superimposed over the right cranial lungs, 3rd rib and a portion of the 4th costal cartilage, which is not identified in the lateral images. A mild diffuse bronchial pattern is present.  The lungs are mildly hypoinflated.  
Pulmonary vasculature: The pulmonary vasculature is subjectively normal in size and tapers in the periphery of the lungs.
Cardiac silhouette: The cardiac silhouette is normal in size and shape.
Mediastinum: The cranial mediastinum is normal.
Trachea: A soft tissue band partially superimposes over the dorsal aspect of the caudal cervical tracheal segment.  
Esophagus: The esophagus is not well-identified.
Pleural space: The pleural space is normal.
Musculoskeletal: T5-6 spondylosis deformans is present.  The remaining included musculoskeletal structures are normal.
</t>
  </si>
  <si>
    <t xml:space="preserve">1. Mild diffuse bronchial pulmonary pattern.
- Differential diagnoses include fibrosis from prior disease, age-related changes, or less likely infectious/immune-mediated lower airway disease such as from mycoplasma spp., bordetella spp., parasitism, or inhaled allergen/irritant, or unlikely other.
2. Suspected redundant dorsal tracheal membrane versus superimposed normal structures, with/without underlying dynamic airway disease.
3. Presumed superimposed normal structures or less likely soft tissue nodule in the right cranial lung lobe.  
</t>
  </si>
  <si>
    <t>Consider additional thoracic radiographs with a "humanoid" ventrodorsal image versus computed tomography of the thorax for further evaluation of the right cranial lung lobe.  Monitoring with serial thorax images for size changes of this opacity could also be considered. Consider coagulation testing, routine blood work and splenectomy for a definitive diagnosis given reported splenic mass.  Empirical therapy and supportive care in the interim as needed.  Monitoring as directed or sooner if clinical signs acutely change, fail to improve or worsen.</t>
  </si>
  <si>
    <t>A three view study of the thorax is provided for interpretation._x000D_
_x000D_
The heart appears subjectively mildly enlarged, with left sided chamber enlargement. Vertebral heart score is mildly increased at 11.2. Pulmonary vessels are normal. There is a mild increase in interstitial lung opacity and bronchial markings that is within the limits of age related change. There is a discrete irregular nodular shadow in the range of 1.5 cm superimposed over the heart at approximately the level of the fourth intercostal space and fifth rib in the lateral views. In the VD view, a corresponding shadow is seen at the fourth intercostal space superimposed over the left thoracic wall between the ribs. In this view, the nodular margin appears to extend beyond the thoracic cavity suggesting it is most likely an artifact caused by a subcutaneous or dermal nodule.</t>
  </si>
  <si>
    <t>Mild left cardiomegaly is identified. There is no evidence of heart failure._x000D_
_x000D_
There is an unusual nodular shadow with discrete margins and irregular shape at the left fourth intercostal space. The appearance in the lateral views is highly concerning for a pulmonary nodule, but in the VD view the margins appear to extend to the subcutaneous space between the ribs, which would suggest this is more likely to be outside the lung and potentially a cutaneous or dermal lesion.</t>
  </si>
  <si>
    <t>Physical palpation examination of the left thoracic wall in the area of the 4th to 6th ribs is indicated to determine if there is a palpable lesion that might potentially cause an artifactual pulmonary shadow. If a potential culprit is found, follow up radiographs with the palpated lesion marked with something radiopaque is recommended._x000D_
If no suspicious subcutaneous or dermal nodules are found, CT would be ideal for more definitive evaluation._x000D_
The lesion also appears close to the thoracic wall and should be visible with ultrasound.</t>
  </si>
  <si>
    <t xml:space="preserve">
1.Are respiratory signs present? If YES._x000D_
2.Are respiratory signs present? If NO._x000D_
3.Moderate cardiomegaly has been detected but Heart Failure is NOT suspected._x000D_
4.MILD BRONCHOINTERSTITIAL PULMONARY PATTERN WITH ATELECTASIS or LESS LIKELY, PNEUMONIA, MILD PERIHILAR INFILTRATE._x000D_
5.Probability these AI pulmonary findings will accompany clinically detectable respiratory signs: MILD TO MODERATE (25-50%)</t>
  </si>
  <si>
    <t>WHOLE-BODY (3 total radiographs for review).  No previous examinations are available for comparison._x000D_
_x000D_
- Numerous variably sized mostly small mineral opaque foci throughout the lungs._x000D_
- Mild diffuse bronchial pulmonary pattern._x000D_
- Cardiac silhouette and pulmonary vasculature are normal._x000D_
- Trachea, pleural space, mediastinum and remaining included intrathoracic structures are unremarkable._x000D_
- Peritoneal serosal detail is mildly reduced in the mid abdomen._x000D_
- The stomach is moderately distended with heterogeneous soft tissue opaque material._x000D_
- The small intestine is moderately homogenously distended with soft tissue opaque material and gas._x000D_
- The cecum and colon are distended with gas and homogenous soft tissue/fluid._x000D_
- The musculoskeletal structures are normal. _x000D_
- The mammary glands are prominent.</t>
  </si>
  <si>
    <t>1.  Mild diffuse bronchial pattern and numerous small mineralized foci throughout the lungs may support chronic lower airway disease such as bronchitis, which could have an infectious, allergic, immune mediated or inhaled irritant underlying component.  This seems to be the most likely cause of the reported wheezing.  If clinically indicated, you may consider treating the patient for lower airway disease and considering a thoracic CT, lower airway sampling and internal medicine consultation for further evaluation._x000D_
_x000D_
2. The appearance the small intestine and colon can be compatible with a non-specific generalized functional ileus (e.g. enterocolitis). There is no evidence of small intestinal foreign material or mechanical obstruction. If clinically indicated, abdominal ultrasonography might be considered._x000D_
_x000D_
3.  Moderate nonspecific gastric undigested food and/or foreign material.  If clinically indicated, fasted recheck abdominal radiographs may provide further clarification on progression of material in the stomach.</t>
  </si>
  <si>
    <t xml:space="preserve">Patient Name : Sandra Furr, Date of study: Jul 25, 2024
3 images are provided for review
There are no previous radiographs for comparison.
Pulmonary parenchyma:  An ill-defined ovoid soft tissue focus over the left 7th intercostal space in the ventrodorsal image is not corroborated in the right lateral image.  A mild diffuse bronchial and minimal to mild diffuse interstitial pattern are present.  The lungs are hypoinflated moderately in all images. 
Pulmonary vasculature: The pulmonary vasculature is subjectively normal in size and tapers in the periphery of the lungs.
Cardiac silhouette: The cardiac silhouette is enlarged and tall, occupying greater than 2/3 the height of the thorax.  The trachea is dorsally displaced. The caudodorsal margin of the cardiac silhouette is flattened or enlarged.  Rounded increased soft tissue is in the region of the left atrium in the ventrodorsal image.  The cardiac silhouette is widened and occupies the width of 3.5-4 intercostal spaces. 
Mediastinum: The cranial mediastinum is normal.
Trachea: The trachea is normal.
Esophagus: The esophagus is not well-identified.
Pleural space: A thin pleural fissure line between the right middle/caudal lung in the ventrodorsal image does not widen in the periphery.
Musculoskeletal: Moderate osteoarthrosis of at least one shoulder joint is present.  Few small soft tissue nodules in the dorsal extra-thoracic soft tissues.  The remaining included musculoskeletal structures are normal.
</t>
  </si>
  <si>
    <t xml:space="preserve">1.  Opacity over the left caudal lung in the ventrodorsal image due to superimposed normal structures/end-on-vessel, superimposed extra-thoracic soft tissue nodule, or less likely pulmonary soft tissue nodule such as from metastatic neoplasia.
2. Moderate left-sided and suspected right-sided cardiomegaly such as from myxomatous mitral valvular disease and insufficiency with/without tricuspid valvular disease or cor pulmonale/pulmonary hypertension, or unlikely other.
3. Mild diffuse bronchial and minimal to mild interstitial pulmonary patterns due to fibrosis from prior disease, age-related changes, infectious/immune-mediated lower airway disease or unlikely other.
4.  Thin pleural fissure due to tangential beam artifact or pleural thickening/folding, or unlikely evolving pleural fluid.
5. Unilateral shoulder osteoarthrosis.  
</t>
  </si>
  <si>
    <t>Echocardiography, ECG and blood pressure for further evaluation.  Routine blood work and urinalysis if not recently performed.  Consider computed tomography of the thorax/abdomen and pelvic canal/perineum for further evaluation and pre-surgical planning of reported anal sac gland mass and a more sensitive evaluation of the thorax for occult metastatic disease.  Consider respiratory PCR panel, airway sampling and fecal analysis/deworming for further evaluation of the lower airways if clinically indicated.  Empirical therapy and supportive care in the interim as needed.  Monitoring as directed or sooner if clinical signs acutely change, fail to improve or worsen.</t>
  </si>
  <si>
    <t xml:space="preserve">
1.MODERATE BRONCHINTERSTITIAL PATTERN with ATELECTASIS or less likely, PNEUMONIA; MILD DYNAMIC AIRWAY DISEASE._x000D_
2.Based on these AI airway/pulmonary findings, the probability of this patient having clinically detectable respiratory signs is MEDIUM to HIGH (50-75%)_x000D_
3.Are respiratory signs present? If YES._x000D_
4.Pleural fissure lines or moderate to severe pleural effusion has been detected. An overlying skin fold or in an obese animal, excessive pericardial fat could artifactually mimic the result of severe pleural effusion._x000D_
5.Moderate cardiomegaly has been detected but Heart Failure is NOT suspected._x000D_
6.Are respiratory signs present? If NO.</t>
  </si>
  <si>
    <t xml:space="preserve">Patient Name : Panic Legere, Date of study: Jul 25, 2024
7 images are provided for review
There are no previous radiographs for comparison.  Cranial abdomen is excluded in the abdominal images.  
Pulmonary parenchyma: In the cranioventral lungs best identified in the lateral image are multiple, variably sized, well-defined round soft tissue nodules.  The largest of these is over the 4th intercostal space.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presumed small with cranial displacement of the gastric axis.  
Spleen: The spleen is normal in size with smooth margins and homogeneous soft tissue.
Kidneys: The left kidney is normal and the right kidney is obscured without obvious enlargement or mineral.  
Retroperitoneum: Retroperitoneal detail is adequate.
Urogenital: The urinary bladder is not well-identified due to superimposition of enlarged left caudolateral soft tissues.  
Peritoneum:  Peritoneal detail is adequate.
Gastrointestinal tract: The stomach contains a moderate gas   The stomach is within normal limits for size.
The small intestine contains  mild gas with a subjectively uniform population for size. 
The colon contains moderate well-defined soft tissue material and gas.  The colon is within normal limits for size.  
Bones/Joints:
The coxofemoral joints have no obvious osteoarthrosis.  There is adequate coverage of the femoral heads by the acetabulums.
Severe bilateral stifle joint osteoarthrosis is present, more severe on the right.  Osteophytes are at the medial/lateral tibial condyles, medial/lateral femoral condyles, femoral trochlear ridges, apex/base of the patella and fabellae.  The right patella is medially luxation.  The right stifle joint is subluxation with medial positioning of the proximal tibia relative to the humeral condyle.  The right humeral condyle has a focal lucent lesion in the craniocaudal image.  The lateral aspect of the left stifle joint is widened in the craniocaudal image.
The included left tarsus, metatarsus and digits are normal.  Moderate to severe increased soft tissue is present in the left stifle joint. Severe increased soft tissue is present in the right stifle joint. 
The right stifle has no evidence of osteoarthrosis.  The right infrapatellar fat pad is well-defined.
The included right tarsus, metatarsus and digits are normal.  
There is no evidence of medullary sclerosis, osteolysis, endosteal scalloping, or periosteal proliferation.
Soft tissues:  Ill-defined increased soft tissue superimposes over the left caudolateral abdomen and is left lateral to the left ilial wing.  This soft tissue has an ill-defined mass-effect in the caudal abdomen in the lateral image.  The remaining included soft tissues are normal.
</t>
  </si>
  <si>
    <t>1. Left caudolateral abdominal/epaxial/gluteal soft tissue mass is consistent with reported history.
- Consider evolving neoplasia such a primary soft tissue sarcoma versus other.
2. Multiple pulmonary soft tissue nodules is most likely due to metastatic neoplasia such as from suspected primary soft tissue sarcoma.
3. Mild diffuse bronchial pattern.
- Differential diagnoses include fibrosis from prior disease, age-related changes, underlying infectious/immune-mediated lower airway disease, or less likely other.
4. Microhepatia versus normal variation.
- If present, consider occult portosystemic shunt or unlikely other.
5. Severe right stifle joint osteoarthrosis, medial patella luxation, synovial effusion/proliferation, and subluxation such as from prior trauma.
6. Right humeral medial condylar lucency due to relative lucency from superimposed osteophytes, versus evolving metastatic lesion from suspected soft tissue sarcoma.
7. Severe left stifle osteoarthrosis and synovial effusion/proliferation.</t>
  </si>
  <si>
    <t>Consider computed tomography of the thorax/abdomen and caudal abdomen/pelvis and stifles for further evaluation. Tissue sampling with incisional/excisional biopsy may be contributory depending on results of additional imaging.  Oncologist consultation depending on results.  Empirical therapy and supportive care in the interim as needed.  Monitoring as directed or sooner if clinical signs acutely change, fail to improve or worsen.</t>
  </si>
  <si>
    <t xml:space="preserve">
1.The evaluation has a strong suspicion of pulmonary nodules or mass lesion being present._x000D_
2.Moderate bronchial and severe alveolar pattern._x000D_
3.Pleural fissure lines or moderate to severe pleural effusion has been detected. An overlying skin fold or in an obese animal, excessive pericardial fat could artifactually mimic the result of severe pleural effusion._x000D_
4.Mild cardiomegaly has been detected but Heart Failure is NOT suspected._x000D_
5.There is no evidence of PERIHILAR INFILTRATE or DYNAMIC AIRWAY COLLAPSE or BRONCHIECTASIS.</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</si>
  <si>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WNL._x000D_
_x000D_
Unremarkable pelvis and stifles.</t>
  </si>
  <si>
    <t>1) Unremarkable thorax without signs of pulmonary metastases nor signs of thoracic lymphadenopathy._x000D_
2) Unremarkable abdomen._x000D_
3) Unremarkable pelvis and stifles.</t>
  </si>
  <si>
    <t>Consider CBC and abdominal US to further evaluate causes of lethargy. _x000D_
Underlying causes for panting include pain, acid-base imbalance, Cushing=ZZ91=s disease, spinal cord compression, intracranial disease, hyperthermia and PTE._x000D_
Consider work up for panting with CBC, biochemistry, abdominal US, neuro exam and upper airway exam.</t>
  </si>
  <si>
    <t>Orthogonal views of the thorax and abdomen are provided for interpretation._x000D_
_x000D_
The cardiovascular structures are within normal limits. Bronchial markings in the lungs are mildly increased but within the limits of what might be expected for age and breed. No thoracic lymphadenopathy or pleural abnormalities are seen._x000D_
_x000D_
The liver is small for patient size. There is a moderate increase in gastrointestinal gas, and the stomach is mildly dilated with gas and normal appearing soft tissue dense ingesta. There are a few loops of small intestine that are mildly gas dilated. There are two moderately gas dilated loops in the caudal abdomen that are suspicious for abnormally distended small intestine but might actually represent colon, since only the distal half of the colon is visible filled with feces. The other abdominal organs are within normal limits. No mass lesions or loss of detail are seen._x000D_
_x000D_
T13 is a transitional vertebra, with ribs arising from the transverse processes. Only six lumbar vertebrae are present. There is moderate narrowing of the disc spaces from L2 to L4. L3-L4 has moderate spondylosis. There is mild lumbosacral spondylosis. No destructive or productive bone lesions are seen. There is mild chronic remodeling involving both femoral heads.</t>
  </si>
  <si>
    <t>There is disc space narrowing in the mid lumbar spine that would be compatible with disc degeneration. Intervertebral disc disease is a potential explanation for the presenting complaint. Other soft tissue pathology not visible in the radiographs that could affect the spinal cord including neoplastic or inflammatory disease should still be ruled out. There is mild osteoarthritis involving both hips, but this may be incidental to the current presenting complaint._x000D_
_x000D_
The liver is smaller than expected for patient size. This is sometimes seen as an incidental finding a small breed but could also be the result of a shunting defect or less likely chronic hepatopathy with cirrhosis. Relevance to the current clinical signs is limited considering the age of the patient._x000D_
_x000D_
There are some gas dilated intestinal loops in the caudal abdomen that are suspicious for a small intestinal obstructive pattern. However, considering the lack of clinical signs referable to intestinal obstruction this is more likely an artifact associated with colon location. Further investigation would be warranted if abdominal pain or other signs concerning for small bowel obstruction appear.</t>
  </si>
  <si>
    <t>Medical management for suspected lumbar intervertebral disc disease is recommended. More advanced imaging such as MRI should be considered if clinical signs worsen or do not improve._x000D_
_x000D_
Bile acids testing should be considered to rule out pathologic causes of small liver.</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</si>
  <si>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6.The cardiac silhouette size is normal._x000D_
7.There is no evidence of PULMONARY NODULES.</t>
  </si>
  <si>
    <t>Patient Name : Roxy Huff, Date of study: Jul 25, 2024
3 images are provided for review
Canine Thorax (3 Images) - 2 Lateral, 1 Vd
There are no previous radiographs for comparison.
Pulmonary parenchyma: A minimal to mild diffuse bronchial pattern is present. A nipple superimposes over the ventral lungs in the right lateral image at the 4th intercostal space.  This is suspected over the right 10th intercostal space in the ventrodorsal image.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</si>
  <si>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1. Minimal-mild diffuse bronchial pulmonary pattern.
- Differential diagnoses include fibrosis from prior disease, age-related changes, infectious/immune-mediated lower airway disease or unlikely other.
2. Presumed superimposed nipple over the right caudal lung.
3. No obvious intra-thoracic lymphadenomegaly.</t>
  </si>
  <si>
    <t>Consider repeat image with barium paste applied to external soft tissue/nipple to confirm lack of pulmonary nodule or possibly computed tomography for further evaluation of the lungs and pre-surgical planning of reported mammary mass resection.  Oncologist consultation depending on results of histopathology. Empirical therapy and supportive care as needed in the interim. Monitoring as directed or sooner if clinical signs acutely change, fail to improve or worsen.</t>
  </si>
  <si>
    <t>Nine radiographs are provided, with images of the thorax, abdomen, pelvic limbs. The cardiac silhouette and pulmonary vessels are normal size and shape. There are no abnormalities in the pulmonary parenchyma or pleural space. Normal tracheal diameter. The thoracic spine is unremarkable. In the abdomen there are several well-defined smoothly marginated mineral opaque calculi measuring up to 0.6 cm in the urinary bladder. No abnormalities along the plane of the urethra or in the region of the medial iliac lymph nodes. Formed feces fills the descending colon. The stomach and small bowel are minimally filled. Normal-sized liver, spleen, kidneys. The L3-4 intervertebral foramen is slightly reduced in size, with increased opacity. Normal coxofemoral joints. Patellar location is normal. Pelvic limb musculature is adequate and symmetric. No metatarsal or phalangeal soft tissue or osseous abnormalities are appreciated.</t>
  </si>
  <si>
    <t>1. Probable intervertebral disc protrusion/extrusion at L3-4. Such a lesion at this or another site is the most likely cause for the clinical signs. The pelvic limbs are normal._x000D_
2. Cystic calculi, measuring up to a size that is likely too large to pass the urethra. Otherwise normal abdomen._x000D_
3. Normal thorax.</t>
  </si>
  <si>
    <t>Consider conservative treatment with anti-inflammatories and strict rest. If there is no improvement, consultation with a neurologist and advanced spinal imaging with CT/MRI may be necessary.</t>
  </si>
  <si>
    <t>A three view study of the thorax is provided for interpretation._x000D_
_x000D_
The heart appears subjectively at the upper end of acceptable size range to slightly enlarged. No specific chamber dilation is identified. Vertebral heart score is slightly increased at 11.3. The pulmonary vessels are unremarkable. Bronchial markings in the lungs are mildly increased but within the limits of age related change. There is slight narrowing of the caudal cervical trachea, within the limits of benign variation. There is metal hardware applied to the left forelimb consistent with a previous fracture repair. The cranial abdomen is unremarkable.</t>
  </si>
  <si>
    <t>Heart size is borderline, at the upper limit of normal range to mildly enlarged. No evidence of heart failure is identified. No changes convincing for active pulmonary disease are seen. Allergic lung disease, viral pneumonitis, or low-grade idiopathic bronchitis could still be present without more prominent radiographic changes.</t>
  </si>
  <si>
    <t>Symptomatic therapy for the cough is recommended._x000D_
_x000D_
CBC and heartworm test is recommended to help rule out infectious causes.</t>
  </si>
  <si>
    <t xml:space="preserve">
1.Pleural fissure lines or small volume pleural effusion has been detected. In a mildly overweight animal, excessive pericardial fat can artifactually mimic the result of minimal pleural effusion._x000D_
2.Mild cardiomegaly has been detected but Heart Failure is NOT suspected._x000D_
3.PULMONARY NODULAR PATTERN; MINIMAL BRONCHOINTERSTITIAL PULMONARY PATTERN._x000D_
4.The evaluation has come up positive for a pulmonary nodular pattern._x000D_
5.Based on these AI airway/pulmonary findings, the probability of this patient having clinically detectable respiratory signs is MEDIUM (50%)_x000D_
6.Are respiratory signs present. If YES._x000D_
7.Are respiratory signs present. If NO._x000D_
8.MILD BRONCHOINTERSTITIAL PULMONARY PATTERN; MINIMAL PERIHILAR PATTERN._x000D_
9.Based on the AI airway/pulmonary findings, the probability of this patient having clinically detectable respiratory signs is LOW (25%)_x000D_
10.In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11.In the PRESENCE of respiratory signs, low grade active pneumonitis (allergic, bacterial, parasitic (including heartworm disease), inhaled allergen or toxin) or upper airway disease causing pulmonary hypoinflation and/or recurrent microaspiration may be more likely._x000D_
12.There is no evidence of DYNAMIC AIRWAY COLLAPSE or BRONCHIECTASIS.</t>
  </si>
  <si>
    <t>6 views of the thorax and abdomen are submitted for review.  The stomach contains a moderate amount of heterogeneous soft tissue opacity ingesta.  The small bowel is normal and uniform in diameter.  A moderate amount of stool is noted throughout the colon.  The liver and spleen are normal in size, shape, and margination.  The bilateral renal silhouettes are within normal limits.  The urinary bladder is unremarkable.  Serosal detail is normal._x000D_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No significant osseous abnormalities are seen.</t>
  </si>
  <si>
    <t>The material in stomach is nonspecific but could be consistent with food.  Amorphous radiolucent foreign material cannot be definitively excluded but no evidence of mechanical obstruction of the GI tract is seen.  Otherwise, radiographically normal thorax and abdomen.</t>
  </si>
  <si>
    <t>Symptomatic/supportive medical management may be helpful.  Correlation with blood work could be considered.</t>
  </si>
  <si>
    <t>Study:_x000D_
Thoracic/abdominal radiography: three images dated July 23, 2024_x000D_
_x000D_
Findings:_x000D_
There is mild dorsal bulging of the left atrium/training the caudal cardiac waist. The pulmonary vasculature is normal in size. The pulmonary parenchyma is unremarkable. The pleural space is normal. There is no intrathoracic lymphadenopathy. The trachea is normal in diameter. The stomach contains unstructured heterogeneous soft tissue material presumed to be ingesta. The small intestines are normal in size, course and content. The colon contains formed fecal material. The liver extends mildly beyond the costal arch with smooth margins. The spleen is normal in size and margin. The renal silhouettes are normal in size and contour. The urinary bladder is normal in size and opacity. There is narrowing of the L2-L3 through L5-L6 intervertebral disc spaces with mild spondylosis deformans.</t>
  </si>
  <si>
    <t>1. Mild specific left atrial enlargement, suggestive of mitral valve disease, without evidence of decompensation. Echocardiography should be considered for further evaluation._x000D_
2. The generalized hepatomegaly is nonspecific. Rule out metabolic/vacuolar hepatopathy, hyperplasia, hepatitis or infiltrative neoplasia. Sonography can be considered for further evaluation._x000D_
3. Multifocal lumbar intervertebral disc disease.</t>
  </si>
  <si>
    <t xml:space="preserve">
1.Pleural fissure lines or small volume pleural effusion has been detected. In a mildly overweight animal, excessive pericardial fat can artifactually mimic the result of minimal pleural effusion._x000D_
2.Severe cardiomegaly has been detected but Heart Failure is NOT suspected._x000D_
3.MILD to MODERATE BRONCHINTERSTITIAL PATTERN with ATELECTASIS or less likely, PNEUMONIA; MILD DYNAMIC AIRWAY DISEASE._x000D_
4.Based on these AI airway/pulmonary findings, the probability of this patient having clinically detectable respiratory signs is MEDIUM to HIGH (50-75%)_x000D_
5.Are respiratory signs present? If YES._x000D_
6.Are respiratory signs present? If NO.</t>
  </si>
  <si>
    <t>Study:_x000D_
Thoracic radiography: three images dated July 25, 2024_x000D_
_x000D_
Findings:_x000D_
The cardiac silhouette and pulmonary vasculature are normal in size. The pulmonary parenchyma is unremarkable. The pleural space is normal. There is no intrathoracic lymphadenopathy. The trachea is normal in diameter and course. The included abdomen is unremarkable. No skeletal abnormalities are present.</t>
  </si>
  <si>
    <t>Infectious respiratory disease PCR testing, airway sampling plus/minus heartworm testing, Baermann fecal flotation and fluoroscopy can be considered to further evaluate the reported coughing if clinical signs persist or worsen.</t>
  </si>
  <si>
    <t xml:space="preserve">
1.The cardiac silhouette size is normal._x000D_
2.There is no evidence of ALVEOLAR PATTERN or DYNAMIC AIRWAY COLLAPSE or BRONCHIECTASIS._x000D_
3.A mild bronchial pattern has been detected.</t>
  </si>
  <si>
    <t>Study:_x000D_
Thoracic radiography: three images dated July 24, 2024_x000D_
_x000D_
Findings:_x000D_
There is a large (approximately 12 cm) soft tissue opaque mass in the caudal thorax. The mass mildly displaces and silhouettes with the cardiac silhouette limiting evaluation of the heart. There is no overt cardiomegaly. The pulmonary vasculature is normal in size. There is a mild alveolar pattern overlying the ventral aspect of the cardiac silhouette on both lateral views. There is no apparent pleural effusion. There is an ovoid soft tissue opaque mass dorsal to the second and third sternabrae indicative of sternal lymphadenopathy. The trachea is normal in diameter. The liver is incompletely imaged appears enlarged causing caudal displacement of the gastric axis.</t>
  </si>
  <si>
    <t>1. Caudal thoracic mass. It is difficult to discern if the mass is pulmonary or mediastinal/pericardial in origin, although the latter is suspected. Severe tracheobronchial lymphadenopathy or other mediastinal neoplasia should be considered._x000D_
2. The sternal lymphadenopathy may be reactive or neoplastic._x000D_
3. The generalized hepatomegaly is nonspecific. Rule out metabolic/vacuolar hepatopathy, hyperplasia, hepatitis or neoplasia. _x000D_
4. The interstitial to alveolar pattern overlying the ventral aspect of the cardiac silhouette on the lateral views is thought to represent atelectasis secondary to the caudal thoracic mass. Pneumonia cannot be completely excluded.</t>
  </si>
  <si>
    <t>Computed tomography of the thorax is recommended for further evaluation.</t>
  </si>
  <si>
    <t xml:space="preserve">
1.Severe cardiomegaly has been detected but Heart Failure is NOT suspected._x000D_
2.In older dogs, a pulmonary mass or pulmonary nodules, pulmonary hemorrhage, pleural effusion or PTE are primary considerations._x000D_
3.In the ABSENCE of respiratory signs, lung lobe collapse or severe atelectasis secondary to anesthesia or deep sedation could artifactually create this appearance._x000D_
4.If this AI evaluation is inconsistent with your assessment or the clinical picture, a radiologist over read may be beneficial._x000D_
5.PULMONARY NODULES or NODULAR PATTERN; PLEURAL EFFUSION or PLEURAL FISSURE LINES; SEVERE INTERSTITIAL TO ALVEOLAR PATTERN; MODERATE BRONCHIAL PATTERN; DYNAMIC AIRWAY DISEASE._x000D_
6.Based on the AI airway/pulmonary findings, the probability of this patient having clinically detectable respiratory signs is VERY HIGH (&gt;75%)_x000D_
7.The evaluation has detected soft tissue pulmonary nodules and pleural fluid.</t>
  </si>
  <si>
    <t>Three radiographs of the thorax are provided. The cardiac silhouette and pulmonary vessels are normal size and shape. Focal area of severe interstitial pattern cranioventral to the heart on the lateral views. Mild mixed bronchointerstitial pattern in the remaining lungs. Fat deposition separates the heart from the sternum on the lateral views. There is no pleural effusion. Normal tracheal diameter. No esophageal dilation.</t>
  </si>
  <si>
    <t>Focal ventral severe interstitial pattern most consistent with aspiration pneumonia. Infectious etiology is given secondary consideration. Mixed bronchointerstitial pattern in the remaining lungs is likely normal age-related change. Infectious airway disease or chronic airway inflammation due to inhaled irritants/allergens could be contributing to this appearance.</t>
  </si>
  <si>
    <t xml:space="preserve">
1.The evaluation has a suspicion of pleural effusion and soft tissue pulmonary nodules or a mass lesion being present._x000D_
2.PLEURAL EFFUSION or PLEURAL FISSURE LINES; PULMONARY NODULES or NODULAR PATTERN; MODERATE TO SEVERE INTERSTITIAL TO ALVEOLAR PATTERN; MILD BRONCHITIS._x000D_
3.Based on the AI airway/pulmonary findings, the probability of this patient having clinically detectable respiratory signs is VERY HIGH (&gt;75%)_x000D_
4.Are respiratory signs present? If YES._x000D_
5.Resource: https://vsso.org/lung-tumors-canine_x000D_
6.Are respiratory signs present? If NO._x000D_
7.The cardiac silhouette size is normal.</t>
  </si>
  <si>
    <t>Three radiographs of the thorax are provided. Images dated 11/22/23 are available for comparison. Suspect focal straightened caudal heart waist on the right lateral view. This area is obscured by superimposed rib on the left lateral projection. No cardiac chamber enlargement on the VD view. Pulmonary vessels are normal size. There are no abnormalities in the pulmonary parenchyma. No pleural effusion. Possible redundant dorsal trachealis membrane on the right lateral view. Normal cranial abdomen.</t>
  </si>
  <si>
    <t>Equivocal prominent left atrium suggestive of chronic mitral valve disease. This is of doubtful clinical significance today, and not responsible for the cough. Suspect cervical tracheal collapse as before. This is the most likely cause for the cough. Inhaled irritants/allergens could be contributing.</t>
  </si>
  <si>
    <t>4 images of the thorax and abdomen are presented for review.  The cardiovascular structures are normal.  Mild bronchial markings are present in all lung lobes.  The pleural and mediastinal structures are normal.  Abdominal serosal detail is adequate in all quadrants.  The stomach contains a small amount of gas.  The small intestines are normal in size.  Gas and feces are present in the colon.  The urinary bladder is small.  The remaining abdominal organs are normal.</t>
  </si>
  <si>
    <t>Mild bronchial pulmonary pattern likely related to known heartworm disease.  Radiographically normal abdomen.</t>
  </si>
  <si>
    <t>Seven radiographs of the thorax and abdomen are provided. Images dated 3/15/23 are available for comparison. The cardiac silhouette is normal size and shape. There are mild age-related changes in the lungs. No soft tissue pulmonary nodules or pleural effusion. Normal cranial mediastinal width._x000D_
_x000D_
In the abdomen there is no effusion. Gas and small volume amorphous soft tissue density in the stomach. Small bowel are minimally distended with fluid and scant gas. Small volume semi-formed feces in the distal colon. No radiopaque cystic calculi. Mild narrowed L1-2 intervertebral disc space, of doubtful clinical significance today. The coxofemoral joints are congruent.</t>
  </si>
  <si>
    <t>A small amount of soft tissue density in the stomach is unexpected with the history, and may represent residual ingesta. Foreign material is not definitively ruled out but given lesser consideration in the absence of persistent vomiting. Otherwise normal abdomen and thorax.</t>
  </si>
  <si>
    <t>Recommend supportive care and repeat abdominal radiographs following a confirmed fast +/- positive contrast gastrogram to rule out gastric foreign material.</t>
  </si>
  <si>
    <t>Three radiographs of the thorax, orthogonal views of the abdomen, VD pelvis, and lateral view of each stifle are provided. The cardiac silhouette and pulmonary vessels are normal size and shape. There are no abnormalities in the pulmonary parenchyma or pleural space. No enlarged intrathoracic lymph nodes. Small round increased opacity in the right 3rd and 5th intercostal spaces is costochondral junction and end-on pulmonary vessel. Tracheal diameter is adequate. Normal proximal thoracic limbs._x000D_
_x000D_
In the abdomen there is no effusion or organomegaly. Formed feces fills the colon. The stomach and small bowel are minimally filled. Punctate mineral densities in the stomach are likely incidental. No radiopaque cystic calculi. Normal lumbar spine. There is mild degenerative change in both coxofemoral joints. Pelvic limb musculature is possibly reduced on the right side versus difference in positioning between the two limbs on the craniocaudal projection. Soft tissue evaluation is limited by high technique. Well delineated triangular soft tissue density in the cranial aspect of both stifle joint is normal meniscal/synovial tissue. No osseous lysis or periosteal proliferation.</t>
  </si>
  <si>
    <t>1. Bilateral mild coxofemoral osteoarthritis. This is the most likely cause for the clinical signs. No other pelvic limb abnormalities._x000D_
2. Normal thorax and abdomen.</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</si>
  <si>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There is extensive spondylosis deformans of the thoracolumbar spine.</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</si>
  <si>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PLEURAL EFFUSION.</t>
  </si>
  <si>
    <t xml:space="preserve">Patient Name : Beau Houser, Date of study: Jul 25, 2024
3 images are provided for review
Canine Thorax (3 Images) - 1 Lateral, 2 Vd
There are no previous radiographs for comparison.  Motion artifact in one ventrodorsal image is resolved in the alternate image.  
Pulmonary parenchyma:  Centered in the left caudal lung lobe is a moderately sized, well-defined, ovoid to lobular, soft tissue mass.   In the ventrodorsal image, this mass is centered over the left caudal lobar bronchus, and the bronchus is cranially displaced and subjectively narrowed in a craniocaudal dimension.  The cranial/medial margins of the left caudal lung lobe mass are ill-defined near the hilar region of the lungs.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</si>
  <si>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Left caudal lung lobe soft tissue mass and left caudal lobar bronchial compression. 
- The primary differential diagnosis is  neoplasia such as primary pulmonary carcinoma or less likely metastatic/multicentric disease from occult primary malignancy, or least likely other.
2. Minimal-mild diffuse bronchial pattern due to fibrosis from prior disease, age-related changes, or unlikely other.  </t>
  </si>
  <si>
    <t>Consider computed tomography of the thorax for further evaluation of the left caudal pulmonary mass and to assess margin of the mass in the hilar region of the lungs, which may limit resection.  Oncologist and surgeon consultation depending on results of computed tomography.  Abdominal imaging and routine blood work to screen for additional disease/changes from prior if not recently performed, especially given reported history of diabetes and hyperadrenocorticism.  Empirical therapy and supportive care in the interim as needed.  Monitoring as directed or sooner if clinical signs acutely change, fail to improve or worsen.</t>
  </si>
  <si>
    <t xml:space="preserve">
1.Pleural fissure lines or moderate to severe pleural effusion has been detected. An overlying skin fold or in an obese animal, excessive pericardial fat could artifactually mimic the result of severe pleural effusion._x000D_
2.SEVERE INTERSTITIAL TO ALVEOLAR PATTERN; MODERATE BRONCHIAL PATTERN; MODERATE DYNAMIC AIRWAY DISEASE._x000D_
3.Based on these AI airway/pulmonary findings, the probability of this patient having clinically detectable repsiratory signs is VERY HIGH (&gt;75%)_x000D_
4.Are respiratory signs present? If YES._x000D_
5.Moderate cardiomegaly has been detected but Heart Failure is NOT suspected._x000D_
6.Are respiratory signs present? If NO._x000D_
7.The evaluation has come up positive for a pulmonary nodular pattern.</t>
  </si>
  <si>
    <t>9 images of the thorax, abdomen, and cervical spine are provided for review. The cardiovascular and pulmonary structures are normal. No pulmonary nodules or enlarged intrathoracic lymph nodes are seen. The pleural and mediastinal structures are normal. Abdominal serosal detail is adequate. The stomach contains a moderate amount of ingesta. The small intestines are normal in size. Gas and feces are present in the colon. The remaining abdominal organs are normal. There is remodeling of the articular facets in the caudal cervical and lumbar spine. No fractures or aggressive osseous lesions are seen.</t>
  </si>
  <si>
    <t>Radiographically normal thorax and abdomen. Remodeling of articular facets may indicate instability.</t>
  </si>
  <si>
    <t xml:space="preserve">
1.MINIMAL to MILD INTERSTITIAL TO ALVEOLAR INFILTRATE; MILD BRONCHIAL PATTERN; MINIMAL PERIHILAR INFILTRATE._x000D_
2.Based on the AI airway/pulmonary findings, the probability of this patient having clinically detectable respiratory signs is LOW to MEDIUM (25%-50%)_x000D_
3.Are respiratory signs present? If YES._x000D_
4.Are respiratory signs present? If NO_x000D_
5.The cardiac silhouette size is normal.</t>
  </si>
  <si>
    <t>Orthogonal views of the thorax are provided:_x000D_
_x000D_
Thorax:_x000D_
_x000D_
No signs of tracheal collapse._x000D_
Cardiac silhouette shows a questionable enlargement of the left atrium dorsally displacing the carina._x000D_
Pulmonary vessels are within normal limits of size and shape._x000D_
Pulmonary parenchyma is within normal limits. No evidence of pneumonia nor signs of pulmonary nodules/masses._x000D_
Pleural space, mediastinum, diaphragm and thoracic wall within normal limits.</t>
  </si>
  <si>
    <t>1) Lack of visualization of tracheal collapse does not exclude this differential (especially taking into account the breed). Unremarkable lungs do not exclude a bronchitis of allergic vs inflammatory/infectious or parasitic origin. No signs of pulmonary metastases nor signs of thoracic lymphadenopathy. _x000D_
2) Rule out left atrial enlargement secondary to chronic mitral endocardiosis without signs of CHF.</t>
  </si>
  <si>
    <t>Consider a cardiology consultation with ECG and echocardiogram prior to a fluoroscopy with tracheobronchoscopy to rule in extrathoracic tracheal collapse and to rule in/out intrathoracic tracheal collapse or bronchial component, evaluating treatment options. Take advantage of the bronchoscopy to further evaluate the larynx given 30% of patients with tracheal collapse display different degrees of laryngeal paralysis.</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</si>
  <si>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5.The cardiac silhouette size is normal.</t>
  </si>
  <si>
    <t>Orthogonal views of the thorax are provided:_x000D_
_x000D_
Thorax:_x000D_
_x000D_
No abnormalities seen in the trachea._x000D_
Cardiac silhouette has a normal shape and size._x000D_
Pulmonary vessels are within normal limits of size and shape._x000D_
Pulmonary parenchyma shows a generalized bronchial pattern with interstitial component. No evidence of aspiration pneumonia._x000D_
Pleural space, mediastinum, diaphragm and thoracic wall within normal limits.</t>
  </si>
  <si>
    <t>1) Generalized bronchial pattern with interstitial component is compatible with a chornic bronchitis of allergic origin (eosinophilic bronchitis) vs eosinophilic bronchopneumopathy vs inflammatory/infectious or parasitic origin. No evidence of aspiration pneumonia.</t>
  </si>
  <si>
    <t>Evaluate the convenience/benefit of a bronchoscopy with BAL, culture, cytology, Baermann test and deworming.</t>
  </si>
  <si>
    <t xml:space="preserve">
1.PULMONARY NODULES or NODULAR PATTERN; MILD to MODERATE BRONCHOINTERSTITIAL PATTERN with an ALVEOLAR COMPONENT; MILD PERIHILAR INFILTRATE._x000D_
2.Based on the AI airway/pulmonary findings, the probability of this patient having soft tissue pulmonary nodules and clinically detectable respiratory signs is MEDIUM to HIGH (50-75%)_x000D_
3.Are respiratory signs present? If YES._x000D_
4.The cardiac silhouette size is normal._x000D_
5.The evaluation has a strong suspicion of soft tissue pulmonary nodules being present._x000D_
6.Are respiratory signs present? If NO.</t>
  </si>
  <si>
    <t xml:space="preserve">Patient Name : Skye Nelson, Date of study: Jul 24, 2024
2 images are provided for review
Canine Thorax (2 Images) - 1 Lateral, 1 Vd.  Excellent patient positioning.
Prior images are dated October 3, 2023.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</si>
  <si>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Mild diffuse bronchial pulmonary pattern.
- Differential diagnoses include  fibrosis from prior disease, age-related changes,, less likely infectious/immune-mediated lower airway disease such as from mycoplasma spp., bordetella spp., parasitism, or inhaled allergen/irritant, or unlikely other.
2. There is no evidence of cardiomegaly on this examination.</t>
  </si>
  <si>
    <t>Consider respiratory PCR panel, airway sampling, and fecal analysis for further evaluation if clinically indicated (coughing).  In the absence of additional clinical signs, temperature regulation as etiology of reported changes is considered likely.  Empirical therapy and supportive care in the interim as needed. Monitoring as directed or sooner if clinical signs acutely change, fail to improve or worsen.</t>
  </si>
  <si>
    <t>THORAX and FORELIMBS (5 radiographs for review).  No previous for comparison._x000D_
_x000D_
- Diffuse, mixed, bronchial and generalized unstructured interstitial pattern._x000D_
- Mild generalized cardiomegaly. _x000D_
- Pulmonary vasculature is normal._x000D_
- Soft tissue opaque band dorsally overlying the trachea in the region of the thoracic inlet._x000D_
- Pleural space, mediastinum and remaining included intrathoracic structures are unremarkable._x000D_
- Branchlike/arborize mineralization in the region of the intrahepatic bile ducts._x000D_
- Stomach contains moderate heterogeneous soft tissue opaque material and a few small linear mineral opaque structures._x000D_
- Remaining cranial abdominal structures normal._x000D_
- Intervertebral disc space narrowing and spondylosis deformans in the thoracolumbar region (limited assessment) as well as the caudal cervical and cervicothoracic area._x000D_
- Mild bilateral glenohumeral osteoarthritis._x000D_
- Moderate bilateral cubital joint periarticular osteophyte formation subjectively worse on the left.</t>
  </si>
  <si>
    <t>1.  Mild diffuse bronchointerstitial pulmonary pattern.  May reflect chronic lower airway disease, such as bronchitis +/- pulmonary fibrosis.  A component of this can be normal age-related lower airway changes.  Further clarification could be made with thoracic CT if clinically indicated._x000D_
_x000D_
2.  The appearance of the trachea at the level of the thoracic inlet can be compatible with tracheal collapse secondary to chondromalacia._x000D_
_x000D_
3.  Mild generalized cardiomegaly, consistent with the patient=ZZ91=s reported heart murmur and likely supportive of chronic degenerative mitral valve disease.  No evidence of pulmonary vascular congestion or congestive heart failure.  If not recently performed, consider consultation with a veterinary cardiologist and echocardiography/ECG for further assessment._x000D_
_x000D_
4.  Multifocal intrahepatic biliary ductal mineralization and/or cholelithiasis.  If there is elevated bilirubin or liver values you may consider abdominal ultrasonography for further assessment._x000D_
_x000D_
5.  Recent meal and a few small linear mineral opaque foreign bodies in the stomach._x000D_
_x000D_
6.  Moderate bilateral cubital osteoarthritis (L =ZZ93= R)._x000D_
_x000D_
7.  Mild bilateral glenohumeral osteoarthritis_x000D_
_x000D_
8.  Cervicothoracic and thoracolumbar intervertebral disc degeneration/spondylosis deformans.</t>
  </si>
  <si>
    <t xml:space="preserve">
1.The cardiac silhouette size is normal._x000D_
2.MODERATE BRONCHIAL PATTERN, MILD DYNAMIC AIRWAY DISEASE, MILD, DIFFUSE INTERSTITIAL PATTERN WITH A SLIGHTLY MORE PRONOUNCED PERIHILAR INFILTRATE._x000D_
3.Based on these AI airway/pulmonary findings, the probability of this patient having clinically detectable respiratorysigns is MEDIUM (50%)_x000D_
4.Are respiratory signs present? If YES._x000D_
5.AI linked bronchitis disease treatment in dogs and cats: https://platform.v2.vetology.net/doc/bacterial-bronchitis-in-dogs-and-cats_x000D_
6.Are respiratory signs present? If NO.</t>
  </si>
  <si>
    <t xml:space="preserve">Patient Name : Nala Ochoa, Date of study: Jul 24, 2024
3 images are provided for review
Canine Thorax (3 Images) - 2 Lateral, 1 Vd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A pleural line that does not widen in the periphery is identified between the right middle/caudal lungs in the ventrodorsal image.
Musculoskeletal: The included musculoskeletal structures are normal.
</t>
  </si>
  <si>
    <t>1. Minimal-mild diffuse bronchial pulmonary pattern.
- Differential diagnoses include fibrosis from prior disease, age-related changes, or less likely infectious/immune-mediated lower airway disease such as from mycoplasma spp., bordetella spp., parasitism, or inhaled allergen/irritant, or unlikely other.
- No current evidence of left-sided congestive heart failure.</t>
  </si>
  <si>
    <t>No obvious evidence of cardiomegaly in this examination.  This does not rule out underlying congenital anomaly or evolving acquired cardiac disease such as from dilated cardiomyopathy or other.  Echocardiography, eCG and blood pressure as planned.  Consider respiratory PCR panel, airway sampling, and fecal analysis for further evaluation if clinically indicated.  Empirical therapy and supportive care in the interim as needed. Monitoring as directed or sooner if clinical signs acutely change, fail to improve or worsen.</t>
  </si>
  <si>
    <t xml:space="preserve">
1.The cardiac silhouette size is normal._x000D_
2.There is no evidence of PERIHILAR INFILTRATE, DYNAMIC AIRWAY COLLAPSE or BRONCHIECTASIS or PLEURAL EFFUSION._x000D_
3.A minimal bronchial pattern has been detected.</t>
  </si>
  <si>
    <t xml:space="preserve">Patient Name : Archie Huff, Date of study: Jul 24, 2024
3 images are provided for review
Canine Thorax (3 Images) - 2 Lateral, 1 Vd
There are no previous radiographs for comparison.
Pulmonary parenchyma:  Multiple small presumed mineral foci are superimposed over the cranioventral lungs.  Best identified in the lateral images, well-defined curvilinear mineral is over the lungs at the 4th intercostal space.  This is presumed over the right lungs in the ventrodorsal image but is not well-identified.   A mild diffuse bronchial pattern is present.
Pulmonary vasculature: The pulmonary vasculature is subjectively normal in size and tapers in the periphery of the lungs.
Cardiac silhouette: The cardiac silhouette is mildly tall in the left lateral image. The cardiac silhouette is subjectively normal in the remaining images.  
Mediastinum: Only in the ventrodorsal image, a convex soft tissue interface is suspected in the middle mediastinum just left and cranial to the cardiac silhouette.  There is no obvious tracheal or bronchial displacement due to this opacity, and this opacity is not corroborated in the lateral images.
Trachea: The trachea is normal.
Esophagus: The esophagus is not well-identified.
Pleural space: The pleural space is normal.
Musculoskeletal:   Bilateral shoulder osteoarthrosis and mineral in the intertubercular grooves is identified.  The remaining included musculoskeletal structures are normal.
</t>
  </si>
  <si>
    <t>1. Possible left tracheobronchial lymphadenomegaly or unlikely other versus artifact/superimposed normal structures.
- If a mass is present, this may be due to lymphadenomegaly such as from reactive hyperplasia or unlikely other, or unlikely metastatic neoplasia from occult primary malignancy.
2. Atypical curvilinear arrangement of pulmonary mineral due to prior disease/bronchial mineralization, dystrophic mineralization of an evolving neoplastic lesion/metastatic lesion, vascular mineralization from prior injury/arteritis, or unlikely other.
3. Presumed multifocal pulmonary osseous metaplasia/osteomas or unlikely other.
4. Mild diffuse bronchial pattern due to fibrosis from prior disease, age-related changes, infectious/immune-mediated lower airway disease, inhaled allergen/irritant, or unlikely other.
5. Equivocal left ventricular enlargement versus artifact from phase of the cardiopulmonary cycle.
- If present, this may be due to myxomatous mitral valvular disease versus other.
- There is no current evidence of left-sided congestive heart failure.
6. Bilateral shoulder osteoarthrosis and suspected bicipital tenosynovitis.</t>
  </si>
  <si>
    <t>Consider computed tomography of the neck and thorax for further evaluation of the lungs and mediastinum especially given reported thyroid mass.   Echocardiography, ECG and blood pressure for further evaluation if not recently performed.  Empirical therapy and supportive care in the interim as needed.  Monitoring as directed, or sooner if clinical signs acutely change, fail to improve or worsen.</t>
  </si>
  <si>
    <t xml:space="preserve">
1.PULMONARY NODULES or NODULAR PATTERN; PLEURAL EFFUSION; MODERATE INTERSTITIAL TO ALVEOLAR PATTERN._x000D_
2.Based on these AI airway/pulmonary findings, the probability of this patient having clinically detectable respiratory signs is HIGH (75%)_x000D_
3.This evaluation has a strong suspicion of soft tissue pulmonary nodules or mass lesion being present._x000D_
4.Are respiratory signs present? If YES._x000D_
5.Are respiratory signs present? If NO._x000D_
6.Pleural fissure lines or a mild volume of pleural effusion has been detected. In an overweight animal, excessivepericardial fat can artifactually mimic the result of pleural effusion._x000D_
7.The cardiac silhouette size is normal._x000D_
8.There is no evidence of DYNAMIC AIRWAY COLLAPSE or BRONCHIECTASIS.</t>
  </si>
  <si>
    <t>Study:_x000D_
Thoracic and cervical radiography: five images dated July 24, 2024_x000D_
_x000D_
Findings:_x000D_
The cardiac silhouette and pulmonary vasculature are normal in size. The pulmonary parenchyma is unremarkable. No pulmonary nodules or masses are present. The pleural space is normal. There is no intrathoracic lymphadenopathy. The larynx and pharynx are normal. The trachea is normal in diameter and course. The included abdomen is normal. On the left lateral projection, there is an ill-defined soft tissue swelling in the submandibular region. There is also the impression of increased soft tissue opacity within the retropharyngeal region causing mild ventral displacement of the proximal trachea. No skeletal abnormalities are present.</t>
  </si>
  <si>
    <t>1. Normal thorax. There is no radiographic evidence of cardiopulmonary disease or intrathoracic neoplasia._x000D_
2. The submandibular soft tissue swelling may indicate (reactive or neoplastic) mandibular lymphadenopathy, mandibular salivary gland enlargement (e.g. sialocele, sialadenitis or salivary neoplasia ) or regional cellulitis/edema._x000D_
3. The questionable medial retropharyngeal soft tissue mass effect may indicate (reactive or neoplastic) medial retropharyngeal lymphadenopathy.</t>
  </si>
  <si>
    <t>Consider computed tomography of the head and neck for further evaluation.</t>
  </si>
  <si>
    <t>THORAX (2 total radiographs for review).  No previous for comparison._x000D_
_x000D_
- Mild right-sided mediastinal shift._x000D_
- Unstructured interstitial opacities throughout the right lung lobes._x000D_
- Moderate generalized cardiomegaly with rounding of the cardiac margins._x000D_
- The pulmonary vasculature is normal._x000D_
- Mild, diffuse bronchial pulmonary pattern._x000D_
- Trachea, esophagus, mediastinum and remaining included intrathoracic structures are unremarkable._x000D_
- Mild multifocal vertebral spondylosis deformans.</t>
  </si>
  <si>
    <t>1.  Overall, a discrete radiographic cause for the reported coughing is not distinctly identified. There is no evidence of esophageal or tracheal foreign material. The opacities throughout the right lung lobes are suspected to most likely represent atelectasis as there is an associated rightward mediastinal shift, however the region is poorly assessed orthogonally as no left lateral projection is provided and pneumonia or less likely cardiogenic pulmonary edema are not completely excluded._x000D_
_x000D_
2.  Moderate to marked generalized cardiomegaly, without pulmonary vasculature congestion.  Most likely compatible with the clinically reported dilatated cardiomyopathy.  There is no evidence of pulmonary vascular congestion and congestive heart failure is unlikely.  If not recently performed, consider consultation with a veterinary cardiologist and echocardiography/ECG._x000D_
_x000D_
3. Mild diffuse bronchial pattern. Most likely representing age-related lower airway changes, however a component of chronic bronchitis is possible, especially if there is a history of abnormal respiratory sounds, wheezing and/or coughing.</t>
  </si>
  <si>
    <t xml:space="preserve">
1.Pleural fissure lines or moderate to severe pleural effusion has been detected. An overlying skin fold or in an obese animal, excessive pericardial fat could artifactually mimic the result of severe pleural effusion._x000D_
2.The cardiac silhouette size is normal._x000D_
3.A severe alveolar pattern has been detected._x000D_
4.A severe interstitial to alveolar pattern has been detected._x000D_
5.The evaluation has a strong suspicion of pulmonary nodules or mass lesion being present._x000D_
6.A concurrent minimal bronchial pattern has been detected.</t>
  </si>
  <si>
    <t xml:space="preserve">Patient Name : Hungry Lyle, Date of study: Jul 24, 2024
4 images are provided for review
Canine Thorax (4 Images) - 3 Lateral, 1 Vd
There are no previous radiographs for comparison.
Pulmonary parenchyma: A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</si>
  <si>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Moderate diffuse bronchial pulmonary pattern.
- Differential diagnoses include infectious/immune-mediated lower airway disease such as from mycoplasma spp., bordetella spp., parasitism, or inhaled allergen/irritant and/or fibrosis from prior disease, age-related changes, or less likely other.
2. No obvious pulmonary soft tissue nodules or intra-thoracic lymphadenomegaly is identified.  </t>
  </si>
  <si>
    <t>Consider computed tomography for a more sensitive evaluation of the thorax if desired.  Consider respiratory PCR panel, airway sampling, and empirical deworming/fecal analysis for further evaluation.  Empirical therapy and supportive care in the interim as needed. Monitoring as directed or sooner if clinical signs acutely change, fail to improve or worsen.</t>
  </si>
  <si>
    <t>Study:_x000D_
Thoracic and abdominal radiography: five images dated July 24, 2024_x000D_
_x000D_
Findings:_x000D_
The cardiac silhouette and pulmonary vasculature are normal in size there is a moderate generalized bronchial pulmonary pattern. No pulmonary nodules or masses are present.. The pleural space is normal. There is no intrathoracic lymphadenopathy. The trachea is normal in diameter and course. The stomach contains a small volume of gas. The pylorus is appropriately gas-filled on the left lateral image. Some small intestinal segments contain a small amount of granular soft tissue material presumed to be ingesta. The colon contains formed fecal material with a normal diameter. The liver and spleen are normal in size and margin. The kidneys are poorly visualized due to visceral crowding. There is no overt renomegaly. The urinary bladder is normal in size and opacity. The prostate is severely enlarged with smooth margins. There is no apparent sublumbar lymphadenopathy. The osseous structures are unremarkable.</t>
  </si>
  <si>
    <t>1. The moderate generalized bronchial pulmonary pattern may indicate allergic, inflammatory, infectious, parasitic or irritant bronchitis. Airway sampling, heartworm testing and Baermann fecal flotation can be considered for further evaluation._x000D_
2. There is no evidence of pulmonary metastatic disease._x000D_
3. Severe prostatomegaly. Rule out benign prostatic hyperplasia plus/minus prostatitis prostatic abscess or paraprostatic cyst.</t>
  </si>
  <si>
    <t xml:space="preserve">
1.PULMONARY NODULES or NODULAR PATTERN; MODERATE TO SEVERE INTERSTITIAL TO ALVEOLAR PATTERN; PLEURAL EFFUSION; BRONCHITIS; PERIHILAR INFILTRATE._x000D_
2.Based on the AI airway/pulmonary findings, the probability of this patient having clinically detectable respiratory signs is VERY HIGH (&gt;75%)_x000D_
3.The evaluation has a strong suspicion of soft tissue pulmonary nodules or mass lesion being present._x000D_
4.Are respiratory signs present? If YES._x000D_
5.Are respiratory signs present? If NO._x000D_
6.The cardiac silhouette size is normal.</t>
  </si>
  <si>
    <t>Patient Name : Sara Bella Martlage, Date of study: Jul 24, 2024
3 images are provided for review
Canine Thorax (3 Images) - 2 Lateral, 1 Vd
There are no previous radiographs for comparison.
Pulmonary parenchyma:  Only in the right lateral image, over the ventral aspect of the 3rd intercostal space is an ill-defined, round soft tissue focus.   In the region of the right middle lung lobe is a cluster of metal surgical staples.  The right lungs are mildly small compared to the left.  The lungs are hypoinflated. A minimal diffuse interstitial and mild diffuse bronchial pattern are present.
Pulmonary vasculature: The pulmonary vasculature is subjectively normal in size and tapers in the periphery of the lungs.
Cardiac silhouette: The cardiac silhouette is mildly tall and occupies 2/3 the height of the thorax with dorsal tracheal displacement.  The caudodorsal margin of the cardiac silhouette is slightly flattened.  Slight increased soft tissue is suspected in the region of the left atrium in the ventrodorsal image.  
Mediastinum: A slight rightward mediastinal shift is present.  The cranial mediastinum is normal.
Trachea: The trachea is normal.
Esophagus: The esophagus is not well-identified.
Pleural space: Thin pleural fissure lines that do not widen in the periphery are present between the subsegments of the left cranial lung and the right cranial/caudal lungs lobes in the ventrodorsal image.  
Musculoskeletal: Superimposed over the ventral periphery of the left caudal lung lobe are multiple, clustered, round , ovoid or lobular mineral foci.  These superimpose over the left caudal lung in the left lateral and ventrodorsal images, but are in the ventral extra-thoracic soft tissues in the right lateral image.   The remaining included musculoskeletal structures are normal.
(amended on 07/25/2024 09:03)
healing ribs fractures are identified at the suspected 2nd and 4th right ribs, best identified in the left lateral image.</t>
  </si>
  <si>
    <t xml:space="preserve">1. Possible soft tissue nodule in the right cranial lung lobe versus superimposed structures/artifact.
- If present, this is suspicious for metastatic neoplasia given reported history.
2. Right-sided surgical clips consistent with reported right middle lung lobectomy, with resultant right lung volume loss and slight rightward mediastinal shift.  
3. Mild left-sided cardiomegaly such as from myxomatous mitral valvular disease and insufficiency.
- There is no current evidence of left-sided congestive heart failure.  
4. Minimal diffuse interstitial and mild bronchial pulmonary patterns due to artifact/hypoinflation, fibrosis from prior disease, or unlikely infectious/immune-mediated lower airway disease or other.
5. Left ventral extra-thoracic mineral nodules due to dystrophic mineralization of neoplasia, granuloma from prior disease, or unlikely other.  
</t>
  </si>
  <si>
    <t>Consider computed tomography of the thorax for further evaluation of the right cranial lung lobe, versus monitoring with repeat radiographs.   Echocardiography, ECG and blood pressure for further evaluation as well as routine blood work if not recently performed.  Empirical therapy and supportive care in the interim as needed.  Monitoring as directed, or sooner if clinical signs acutely change, fail to improve or worsen.</t>
  </si>
  <si>
    <t xml:space="preserve">
1.Are respiratory signs present? If NO._x000D_
2.A mild perihilar infiltrate has been detected._x000D_
3.MODERATE INTERSTITIAL TO ALVEOLAR INFILTRATE; MILD BRONCHIAL PATTERN; MILD PERIHILAR INFILTRATE._x000D_
4.Based on the AI airway/pulmonary findings, the probability of this patient having clinically detectable respiratory signs is HIGH (75%)_x000D_
5.Are respiratory signs present? If YES._x000D_
6.Pleural fissure lines or small volume pleural effusion has been detected. In a mildly overweight animal, excessive pericardial fat can artifactually mimic the result of minimal pleural effusion._x000D_
7.Mild cardiomegaly has been detected but Heart Failure is NOT suspected.</t>
  </si>
  <si>
    <t>Study:_x000D_
Thoracic/abdominal radiography: five images dated July 24, 2024_x000D_
_x000D_
Findings:_x000D_
The cardiac silhouette is normal in size and shape. The pulmonary vasculature is normal in size. There is a moderate alveolar pattern in the ventral aspect of the left cranial lung lobe and moderate to severe alveolar pattern in the caudodorsal lung fields. The pleural space is normal. There is no intrathoracic lymphadenopathy. The trachea is normal in diameter. The stomach contains gas and a small mineral opacity. The small intestines are segmentally gas filled and normal in size and course. The colon contains poorly formed fecal material. The liver extends mildly beyond the costal arch with smooth margins. Best seen on the the VD views, there are two soft tissue opaque masses (both approximately 3.3 cm) bulging from the spleen. The renal silhouettes are normal in size and contour. The urinary bladder is moderately distended, likely secondary conscious retention. There is no prostatomegaly. There is in situ mineralization of the T 11-T 12 intervertebral disc.</t>
  </si>
  <si>
    <t>1. Splenic masses. Rule out neoplasia, hyperplasia or hematomas. Recommend abdominal sonography for further evaluation this finding._x000D_
2. The mild hepatomegaly is nonspecific. Rule out metabolic/vacuolar hepatopathy, hyperplasia, hepatitis or neoplasia. Sonography is also recommended for further evaluation this finding._x000D_
3. The ventrally distributed alveolar pattern in the left cranial lung lobe may indicate pneumonia. The caudodorsal alveolar pattern may indicate additional pneumonia or noncardiogenic pulmonary edema (given the distribution). Consider empiric antibiotic therapy with repeat radiography to monitor for response to treatment. Oxygen therapy (if the patient is hypoxic) should also be considered._x000D_
4. T 11-T 12 in situ degenerative disc disease.</t>
  </si>
  <si>
    <t xml:space="preserve">
1.PLEURAL EFFUSION or PLEURAL FISSURE LINES; PULMONARY NODULES or NODULAR PATTERN; MODERATE TO SEVERE INTERSTITIAL TO ALVEOLAR PATTERN; MILD BRONCHITIS._x000D_
2.Based on the AI airway/pulmonary findings, the probability of this patient having clinically detectable respiratory signs is VERY HIGH (&gt;75%)_x000D_
3.The evaluation has a suspicion of pleural effusion and soft tissue pulmonary nodules or a mass lesion being present._x000D_
4.Are respiratory signs present? If YES._x000D_
5.Resource: https://vsso.org/lung-tumors-canine_x000D_
6.Are respiratory signs present? If NO._x000D_
7.Severe cardiomegaly has been detected but Heart Failure is NOT suspected.</t>
  </si>
  <si>
    <t>A two-view study (right lateral and VD) of the thorax that includes the cranial abdomen is provided for interpretation and comparison to the previous radiographs made one month ago._x000D_
_x000D_
The alveolar pattern previously described involving the left cranial lung lobe is resolved. The appearance of the lungs and pleural space is within normal limits in the current radiographs._x000D_
The heart is at the small end of normal range, and the caudal vena cava appears moderately diminished in diameter. Pulmonary vessels are within normal limits. No tracheal or esophageal abdomen abnormalities are identified. The cranial abdomen is unremarkable.</t>
  </si>
  <si>
    <t>The previous pneumonia appears resolved. No significant pathologies seen involving the respiratory tract in the current study._x000D_
_x000D_
The appearance of the heart and caudal cable is suggestive of hypovolemia. This could be a transient artifact associated with the phase of respiration at the time of the radiograph. Further investigation may be warranted depending on clinical signs or lab work abnormalities.</t>
  </si>
  <si>
    <t>The pneumonia appears resolved. No additional treatment or imaging is recommended at this time.</t>
  </si>
  <si>
    <t>Study:_x000D_
Thoracic radiography: three images dated July 24, 2024_x000D_
_x000D_
Findings:_x000D_
The cardiac silhouette is overall normal in size=ZZ90= however, the caudal cardiac waist appears straightened on both lateral views. The pulmonic vasculature is normal in size. There is a moderate to severe unstructured interstitial pulmonary pattern in the caudodorsal lung fields, more severe on the right. The pleural space is normal. There is no intrathoracic lymphadenopathy. The trachea is normal in diameter. There is no lobar bronchi narrowing. Multiple mineral opacities measuring up to 0.7 cm are clustered in the region of the gallbladder. The osseous structures are unremarkable.</t>
  </si>
  <si>
    <t>1. The caudodorsal distribution of the moderate to severe interstitial pulmonary pattern is suggestive of non-cardiogenic pulmonary edema. Cardiogenic pulmonary edema cannot be completely excluded given the suspicion for straightening of the caudal cardiac waist which can be an indicator of mild specific left atrial enlargement. Community acquired pneumonitis/pneumonia is less likely._x000D_
2. Cholelithiasis.</t>
  </si>
  <si>
    <t>Diuretic therapy with repeat radiography to monitor for response to treatment can be considered to further evaluate for possible cardiac decompensation. Echocardiography can also be considered for further evaluation of the suspected left atrial enlargement.</t>
  </si>
  <si>
    <t xml:space="preserve">
1.PULMONARY NODULES or NODULAR PATTERN; MODERATE TO SEVERE INTERSTITIAL TO ALVEOLAR PATTERN; PLEURAL EFFUSION; MILD BRONCHITIS; MILD PERIHILAR INFILTRATE._x000D_
2.Based on the AI airway/pulmonary findings, the probability of this patient having clinically detectable respiratory signs is VERY HIGH (&gt;75%)_x000D_
3.Are respiratory signs present? If YES._x000D_
4.Given this combination of above thoracic findings, a radiologist over read may be beneficial._x000D_
5.The evaluation has a strong suspicion of soft tissue pulmonary nodules or mass lesion being present._x000D_
6.Severe cardiomegaly has been detected but Heart Failure is NOT suspected._x000D_
7.Are respiratory signs present? If NO.</t>
  </si>
  <si>
    <t>7 images of the thorax, abdomen, pelvis, and pelvic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ingesta.  The small intestines are normal in size.  Gas and feces are present in the colon.  The urinary bladder is small.  The remaining abdominal organs are normal.  The coxofemoral joints are congruent.  No fractures or aggressive osseous lesions are seen.  The joint surfaces are smooth and regular.  Mild soft tissue is present in the left stifle joint.  Spinal alignment is normal with no consistently narrowed intervertebral disc spaces.</t>
  </si>
  <si>
    <t>Radiographically normal abdomen.  Radiographically normal thorax for patient of this age.  Unremarkable spine and pelvis.  Mild left stifle effusion suggestive of soft tissue injury such as to the cranial cruciate ligament or meniscus.</t>
  </si>
  <si>
    <t>Consider supportive therapy versus surgical consultation.  Consider also ruling out canine cognitive dysfunction as a potential cause of the reported clinical signs.</t>
  </si>
  <si>
    <t xml:space="preserve">
1.A minimal perihilar infiltrate has been detected._x000D_
2.A minimal bronchial pattern has been detected._x000D_
3.The cardiac silhouette size is normal._x000D_
4.There is no evidence of DYNAMIC AIRWAY COLLAPSE or BRONCHIECTASIS, PULMONARY NODULES or PLEURAL EFFUSION.</t>
  </si>
  <si>
    <t>Study:_x000D_
Thoracic radiography: three images dated July 24, 2024_x000D_
_x000D_
Findings:_x000D_
The cardiac silhouette and pulmonary vasculature are normal in size. There is incidental multifocal age-related bronchial wall mineralization. There is a mild generalized bronchointerstitial pulmonary pattern. No pulmonary nodules or masses are present. The pleural space is normal. There is no intrathoracic lymphadenopathy. The trachea is normal in diameter and course. The included cranial abdomen is unremarkable. No skeletal abnormalities are present.</t>
  </si>
  <si>
    <t>1. There is no radiographic evidence of pulmonary metastatic disease._x000D_
2. In the absence of any reported respiratory signs, the mild generalized bronchointerstitial pulmonic pattern is likely a benign age-related change, further supported by the age-related bronchial wall mineralization. Allergic, inflammatory, infectious, inhaled irritant or parasitic lower disease cannot be completely excluded.</t>
  </si>
  <si>
    <t>If not already performed, abdominal sonography should be considered for further staging of the reported mid abdominal mass.</t>
  </si>
  <si>
    <t>Study:_x000D_
Thoracic and radiography: four images dated July 27,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stomach and some small intestinal segments contain granular soft tissue material presumed to be ingesta. The small intestines are normal in size and course. The colon contains formed fecal material with a normal diameter. The liver and spleen are normal in size and margin. The renal silhouettes are poorly visualized due to visceral crowding. There is no overt renomegaly. The urinary bladder is normal in size and opacity. There is no prostatomegaly. There is mild to moderate multifocal thoracolumbar spondylosis deformans.</t>
  </si>
  <si>
    <t>1. Postprandial gastrointestinal tract=ZZ90= otherwise, unremarkable abdomen. A cause of weight loss is not evident. Consider abdominal sonography and a G.I. panel for further evaluation._x000D_
2. Normal thorax. There is no radiographic evidence of cardiopulmonary disease or intrathoracic neoplasia.</t>
  </si>
  <si>
    <t xml:space="preserve">
1.A minimal interstitial pattern has been detected._x000D_
2.Pleural fissure lines or moderate pleural effusion has been detected. An overlying skin fold or in a moderately overweight animal, excessive pericardial fat could artifactually mimic the result of moderate pleural effusion._x000D_
3.The evaluation has come up positive for a pulmonary nodular pattern._x000D_
4.The cardiac silhouette size is normal._x000D_
5.There is no evidence of BRONCHITIS, PERIHILAR INFILTRATE or DYNAMIC AIRWAY COLLAPSE or BRONCHIECTASIS.</t>
  </si>
  <si>
    <t>5 images of the thorax and abdomen are presented for review and compared with previous thoracic images most recently dated 7/10/2024.  The cardiovascular structures are normal.  A large soft tissue mass is present in the right caudal lung lobe, larger than previous images.  Several additional smaller nodules are seen in the left cranial, left caudal, and right caudal lung lobes.  Nodules are increased in size and number from previous images.  The pleural and mediastinal structures are normal.  Abdominal serosal detail is adequate in all quadrants.  The liver margin is rounded and extends mildly beyond the costal arch, similar to previous images.  The stomach contains a moderate amount of ingesta.  The small intestines are normal in size.  Gas and feces are present in the colon.  The urinary bladder is small.  The remaining abdominal organs are normal.</t>
  </si>
  <si>
    <t>Progressive pulmonary mass and nodules consistent with primary pulmonary neoplasia and metastasis.  Mild static hepatomegaly=ZZ90= this is a nonspecific finding that may be seen with congestion, vacuolar hepatopathy, inflammation, neoplasia, etc.  Abdominal ultrasound may be helpful in further evaluation if biochemically indicated.</t>
  </si>
  <si>
    <t xml:space="preserve">
1.PLEURAL EFFUSION or PLEURAL FISSURE LINES; PULMONARY NODULES or NODULAR PATTERN; MODERATE TO SEVERE INTERSTITIAL TO ALVEOLAR PATTERN; MILD BRONCHITIS._x000D_
2.Based on the AI airway/pulmonary findings, the probability of this patient having clinically detectable respiratory signs is VERY HIGH (&gt;75%)_x000D_
3.The evaluation has a suspicion of pleural effusion and soft tissue pulmonary nodules or a mass lesion being present._x000D_
4.Are respiratory signs present? If YES._x000D_
5.Resource: https://vsso.org/lung-tumors-canine_x000D_
6.Are respiratory signs present? If NO._x000D_
7.Mild cardiomegaly has been detected but Heart Failure is NOT suspected.</t>
  </si>
  <si>
    <t>Six radiographs of the thorax and thoracic limbs are provided. Cardiovascular structures are normal size. There are mild age-related changes in the lungs. No abnormalities in the pulmonary parenchyma or pleural space. Normal cranial mediastinal width. No scapular abnormalities. The scapulohumeral joints and right cubital joint are congruent. Carpal bones are in appropriate alignment. Mild degenerative change in the metacarpophalangeal joints bilaterally, of doubtful significance. Questionable soft tissue thickening in the proximal aspect of the right 4th digit versus positional artifact. Linear lucency overlying the 1st phalanx of this digit is mach line artifact caused by the metacarpal pad. No osseous lysis, fracture, or subluxation.</t>
  </si>
  <si>
    <t>Possible soft tissue swelling in the right thoracic limb of 4th digit, consider soft tissue sprain/strain, cellulitis/edema due to small puncture wound, or positional artifact. No other thoracic limb abnormalities are identified to explain the lameness. Other soft tissue insult or a lateralized intervertebral disc lesion remain possible. The thorax is normal.</t>
  </si>
  <si>
    <t xml:space="preserve">
1.A minimal interstitial pattern has been detected._x000D_
2.Minimal dynamic airway disease has been detected._x000D_
3.The cardiac silhouette size is normal._x000D_
4.There is no evidence of PULMONARY NODULES or PLEURAL EFFUSION.</t>
  </si>
  <si>
    <t>Thorax: The pulmonary parenchyma, cardiac silhouette, and pulmonary vasculature are unremarkable.  There is no evidence of pleural effusion or lymphadenopathy.  On the visible portions of the abdomen there appears to be enlargement of the caudal ventral margins of the liver however this most likely represents summation with the tail of the spleen.  Several segments of small intestine appear to have diffuse wall thickening.  There are no significant abnormalities involving the visible portions of the skeleton.</t>
  </si>
  <si>
    <t>Unremarkable thorax._x000D_
_x000D_
Possible diffuse small intestinal wall thickening.  This is not a definitive finding on survey radiography.  Differential considerations include artifactual, variation of normal, enteritis, or IBD.</t>
  </si>
  <si>
    <t xml:space="preserve">
1.MILD BRONCHOINTERSTITIAL PULMONARY PATTERN; MILD DYNAMIC AIRWAY DISEASE; MINIMAL PERIHILAR INFILTRATE._x000D_
2.Based on these AI airway/pulmonary findings, the probability of this patient having clinically detectable respiratory signs is MEDIUM (50%)_x000D_
3.Are respiratory signs present? If YES._x000D_
4.Moderate cardiomegaly has been detected but Heart Failure is NOT suspected._x000D_
5.Are respiratory signs present? If NO.</t>
  </si>
  <si>
    <t>Four radiographs of the thorax/abdomen are provided. Images dated 3/29/22 were reviewed for comparison. The cardiac silhouette and pulmonary vessels are normal size and shape. There is new development of a round smoothly marginated 2.7 cm soft tissue opaque mass in the caudal lungs, on midline and extending slightly to the right of midline on the VD view. The mass overlies and extends dorsal to the caudal vena cava on the lateral views. No other pulmonary nodules or masses. There is no pleural effusion. Fat deposition is seen along the left-sided the heart on the VD projection. Mild narrowed cervical trachea on the right lateral projection, of doubtful clinical significance today. In the abdomen the liver is upper normal size. Normal size spleen and left kidney. The right kidney is obscured. The gastrointestinal tract and urinary bladder are minimally filled. No osseous abnormalities.</t>
  </si>
  <si>
    <t>1. Solitary pulmonary mass in the caudal lungs. This most likely originates from the right caudal or accessory lung lobe. Primary pulmonary neoplasia is most likely. Metastatic disease from a distant site is next on the differential list. No other thoracic abnormalities._x000D_
2. Normal abdomen.</t>
  </si>
  <si>
    <t>If a definitive diagnosis is desired for type of neoplasia and no external or intraoral lesions are identified that could be a primary lesion, abdominal ultrasound could be considered in an effort to locate a primary lesion for guided sampling purposes. Unfortunately, the thoracic mass is not adjacent to the thoracic wall and would not be visible with ultrasound for guided sampling purposes.</t>
  </si>
  <si>
    <t xml:space="preserve">
1.A mild, diffuse mixed bronchointerstitial pattern with potential small regions of alveolar infiltrate has been detected._x000D_
2.The cardiac silhouette size is normal._x000D_
3.There is no evidence of PERIHILAR INFILTRATE, DYNAMIC AIRWAY COLLAPSE or BRONCHIECTASIS or PULMONARY NODULES.</t>
  </si>
  <si>
    <t xml:space="preserve">Patient Name : Dory Ortiz, Date of study: Jul 24, 2024
14 images are provided for review
There are no previous radiographs for comparison.
Bones/Joints:
The right elbow is normal.  
Ovoid mineral is suspected superimposed over the right greater tubercle.
The included right carpus, metacarpus and digits are normal.
A short oblique fracture of the left distal ulnar metaphysis is present, with mild distal and caudal displacement.  The fracture margins are sharp and well-defined.
The left elbow is normal.  
The left shoulder is normal.  
The included left carpus, metacarpus and digits are normal. 
There is no evidence of medullary sclerosis, osteolysis, endosteal scalloping, or periosteal proliferation.
Soft tissues:  The left antebrachial soft tissues are enlarged compared to the right.  Well-defined mineral is in or on the caudal right antebrachial soft tissues.  The remaining included soft tissues are normal.
</t>
  </si>
  <si>
    <t xml:space="preserve">1. Left distal ulnar metaphyseal fracture with mild displacement.
2. Left antebrachial soft tissue swelling such as from recent trauma/ulnar fracture.
3. Right greater tubercle mineral from supraspinatus/infraspinatus enthesopathy versus superimposed  structures/clavicular remnant.
4. Normal left shoulder.
5. Normal right elbow.  </t>
  </si>
  <si>
    <t>Consider external coaptation versus internal fixation of the left distal ulnar fracture.  Empirical therapy and supportive care in the interim as needed.  Monitoring as directed or sooner if clinical signs acutely change, fail to improve or worsen.</t>
  </si>
  <si>
    <t>Opposite lateral and VD thorax views are provided for interpretation._x000D_
_x000D_
No tracheal abnormalities are identified. The esophagus is mildly gas dilated in all views. The appearance of the lungs in the lateral views is within normal limits for the age of the patient. In the VD view, increased interstitial opacity is seen in the cranial lung fields, especially the right cranial lung but no corresponding changes are seen in the lateral views so this is potentially artifactual due to superimposition of the shoulder musculature and scapula. There is also extensive severe chronic remodeling involving the costochondral and costal sternebral junctions that is superimposed over some of the lung fields. This patient also has severe bridging spondylosis involving the thoracic spine including C7-T1. Irregular bony changes are also seen involving the spinous processes at T9-T10._x000D_
The cardiovascular structures are within normal limits.</t>
  </si>
  <si>
    <t>The increased opacity in the right cranial lung field in the VD view is suspicious for persistent pulmonary infiltrates, but no corroborating abnormalities are seen in any of the lateral views, so this is suspected to be artifactual opacity. The aspiration pneumonia appears to be resolved._x000D_
There is mild gas dilation of the esophagus. The appearance is not severe enough to be convincing for esophageal motility pathology, but follow up diagnostics such as endoscopy or esophagram a be indicated if warranted by relevant clinical signs.</t>
  </si>
  <si>
    <t>Discontinuation of the antibiotics is suggested at this time._x000D_
Recheck radiographs of the thorax (three views) is recommended in two weeks to reassess the esophagus and lungs.</t>
  </si>
  <si>
    <t xml:space="preserve">
1.A mild to moderate bronchointerstitial pulmonary pattern has been detected._x000D_
2.Mild cardiomegaly has been detected but Heart Failure is NOT suspected._x000D_
3.The evaluation has a strong suspicion of pulmonary nodules or mass lesion being present.</t>
  </si>
  <si>
    <t>Five radiographs of the thorax and abdomen are provided. Cervical vertebral alignment is normal. There are no definitive narrowed cervical intervertebral disc spaces. Normal proximal thoracic limbs. Tracheal diameter and position is normal. The cardiac silhouette is normal size. The lungs are clear. No pleural effusion. In the abdomen the liver is upper normal size with smooth margins. Normal-sized spleen and kidneys. Small volume stippled soft tissue density and punctate mineral densities in the stomach. Small bowel are mildly filled with similar material. Formed feces in the distal colon. No radiopaque cystic calculi. Normal lumbar spine and coxofemoral joints.
(amended on 07/24/2024 14:00)
Correction- There is prominence of the left atrium on the VD views. This is consistent with acquired mitral valve disease, however is of doubtful clinical significance at this time.</t>
  </si>
  <si>
    <t>Normal thorax and abdomen. A reason for discomfort is not identified. Non-mineralized intervertebral disc lesion remains possible. Gastric contents is unexpected with the history of fasting, however does appear to be residual ingesta. If the patient has not been vomiting, this is incidental.</t>
  </si>
  <si>
    <t>Recommend routine blood work and urinalysis.</t>
  </si>
  <si>
    <t xml:space="preserve">
1.MILD BRONCHIAL PATTERN; MINIMAL DYNAMIC AIRWAY DISEASE._x000D_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ALVEOLAR PATTERN, PULMONARY NODULES or PLEURAL EFFUSION.</t>
  </si>
  <si>
    <t>Opposite lateral and VD views of the thorax and abdomen are provided for interpretation. Previous thoracic radiographs dated one-6-23 are compared._x000D_
_x000D_
There is a mild diffuse bronchial pattern which is improved relative to the previous radiographs. There is moderate mineralization in the lungs, and which was also seen previously. This is most prominent involving the left cranial lobe. There is increased interstitial opacity and bronchial markings in the cranial subsegment of the left cranial lobe, although this appearance is also improved relative to the previous study. There is a mild leftward mediastinal shift suggesting there is mild volume loss associated with the abnormal left cranial lobe segment. The cardiovascular structures are within normal limits. No tracheal or esophageal abnormalities are identified._x000D_
_x000D_
The abdominal organs are within normal size and shape limits. No mass effect is seen in the abdomen. The appearance of the gastrointestinal tract is unremarkable. Serosal detail in the abdomen is normal._x000D_
_x000D_
The T10-T11 able disc space is moderately narrowed. T11-T12 is mildly narrowed. No destructive or productive bone lesions are seen.</t>
  </si>
  <si>
    <t>No significant abdominal abnormalities are identified._x000D_
_x000D_
There is some to space narrowing in the caudal thoracic spine. Disc degeneration might account for the sensitivity on palpation of this area, but there is no evidence of discospondylitis or other associated pathology that might account for the presenting complaint._x000D_
_x000D_
The pulmonary changes are improved relative to the previous study, so relevance to the current clinical presentation is unknown._x000D_
_x000D_
The left cranial lobe changes are suspected to be mostly the result of permanent scarring from a previous insult. Mild recurrence of the previous bronchopneumonia cannot be excluded.</t>
  </si>
  <si>
    <t>Considering the mild leukocytosis in the changes in the left cranial lobe as the only significant anatomic abnormality, empiric antibiotic therapy is suggested.</t>
  </si>
  <si>
    <t xml:space="preserve">
1.The cardiac silhouette size is normal._x000D_
2.There is no evidence of PERIHILAR INFILTRATE or DYNAMIC AIRWAY COLLAPSE or BRONCHIECTASIS._x000D_
3.A moderate bronchial pattern and concurrent mild interstitial pattern with potential regions of alveolar infiltrate have been detected</t>
  </si>
  <si>
    <t xml:space="preserve">Patient Name : Lucy Collins, Date of study: Jul 24, 2024
4 images are provided for review
Canine Thorax (4 Images) - 2 Vd, 2 Lateral
There are no previous radiographs for comparison.
Pulmonary parenchyma: A mild diffuse bronchial and minimal interstitial pattern are present.
Pulmonary vasculature: The pulmonary vasculature is subjectively normal in size and tapers in the periphery of the lungs.
Cardiac silhouette: The cardiac silhouette is mildly tall and occupies 2/3 the height of the thorax in the lateral images.  The caudodorsal margin of the cardiac silhouette is mildly flattened.  Mild rounded increased soft tissue is in the region of the left atrium in the ventrodorsal image.  
Mediastinum: The cranial mediastinum is normal.
Trachea: The trachea is normal.
Esophagus: The esophagus is not well-identified.
Pleural space: The pleural space is normal.
Musculoskeletal: The patient is obese.  the remaining included musculoskeletal structures are normal.
</t>
  </si>
  <si>
    <t>1. Mild left-sided cardiomegaly such as from myxomatous mitral valvular disease and insufficiency or unlikely other.
- There is no current evidence of left-sided congestive heart failure.  
2. Mild diffuse bronchial and minimal interstitial pulmonary pattern due to fibrosis from prior disease, age-related changes, artifact, infectious/immune-mediated lower airway disease, or unlikely other.</t>
  </si>
  <si>
    <t>Echocardiography, ECG and blood pressure for further evaluation.  Consider routine blood work and urinalysis if not recently performed.   Abdominal imaging for further evaluation of reported hyperadrenocorticism if not recently performed.  Empirical therapy and supportive care in the interim as needed.  Monitoring as directed or sooner if clinical signs acutely change, fail to improve or worsen.</t>
  </si>
  <si>
    <t xml:space="preserve">
1.Based on these AI airway/pulmonary findings, the probability of this patient having clinically detectable respiratory signs is LOW (25%)_x000D_
2.Are respiratory signs present? If YES._x000D_
3.Moderate cardiomegaly has been detected but Heart Failure is NOT suspected._x000D_
4.Are respiratory signs present? If NO._x000D_
5.MILD BRONCHIAL PATTERN; MINIMAL DYNAMIC AIRWAY DISEASE._x000D_
6.There is no evidence of ALVEOLAR PATTERN, PERIHILAR INFILTRATE, PULMONARY NODULES or PLEURAL EFFUSION.</t>
  </si>
  <si>
    <t xml:space="preserve">Patient Name : Digger Simokat, Date of study: Jul 24, 2024
3 images are provided for review
Canine Thorax (3 Images) - 2 Lateral, 1 Vd
Prior radiographs dated May 29, 2024 and prior are available.  
Pulmonary parenchyma:  Ill-defined somewhat lobular soft tissue superimposed over the cranial lungs in the right lateral image.  In the ventrodorsal image, ill-defined increased soft tissue that is somewhat alveolar is in the lateral periphery of the left cranial lung lobes cranial subsegment.  In the ventrodorsal image and subtle round soft tissue nodule is suspected over the lateral periphery of the right middle lung at the level of the 6th intercostal space.   A minimal to mild diffuse bronchial pattern is present.
Pulmonary vasculature: The pulmonary vasculature is subjectively normal in size and tapers in the periphery of the lungs.
Cardiac silhouette: The cardiac silhouette is mildly tall and occupies 2/3 the height of the thorax.  The trachea is mildly dorsally displaced.  The caudodorsal margin of the cardiac silhouette is slightly flattened.  Mild rounded increased soft tissue is in the region of the left atrium in the ventrodorsal image.  
Mediastinum: A slight rightward mediastinal shift is suspected in the ventrodorsal image.  
Trachea: A soft tissue band partially superimposes over the dorsal aspect of the caudal cervical trachea.  
Esophagus: The esophagus contains mild fluid or is empty.
Pleural space: The pleural space is normal.
Musculoskeletal: The patient is obese.  The remaining included musculoskeletal structures are normal.
</t>
  </si>
  <si>
    <t>1. Ill-defined left cranial lung lobe soft tissue mass is similar to prior.  
- The primary differential diagnosis is neoplasia such as atypical primary carcinoma or metastatic/multicentric neoplasia such as from histiocytic sarcoma or other.  
2. Possible soft tissue nodule over the right middle lung lobe versus artifact/superimposed normal structures.
3. Mild left-sided cardiomegaly such as from myxomatous mitral valvular disease and insufficiency.  
- There is no evidence of left-sided congestive heart failure.
4. Minimal-mild diffuse bronchial pattern such as from fibrosis from prior disease, age-related changes, infectious/immune-mediated lower airway disease, or unlikely other.
5. Dorsal redundant tracheal membrane versus superimposed normal structures, with/without underlying dynamic airway disease.
6. Obesity.</t>
  </si>
  <si>
    <t>Consider echocardiography, eCG and blood pressure for further evaluation.  Consider repeat computed tomography to screen for possible right cranial lung lobe nodule, such as from progression of neoplasia/metastasis.  Consider left cranial lung lobe tissue sampling for further evaluation if not previously performed. Consider abdominal imaging for further evaluation of an occult primary malignancy.  Empirical therapy and supportive care in the interim as needed.  Monitoring as directed, or sooner if clinical signs acutely change, fail to improve or worsen.</t>
  </si>
  <si>
    <t xml:space="preserve">
1.Are respiratory signs present? If YES._x000D_
2.Are respiratory signs present? If NO._x000D_
3.MINIMAL to MILD DIFFUSE, MIXED BRONCHOINTERSTITIAL PULMONARY PATTERN with ATELECTASIS or less likely, pneumonia._x000D_
4.Probability these AI pulmonary findings will accompany clinically detectable respiratory signs: LOW (25%)_x000D_
5.The cardiac silhouette size is normal._x000D_
6.There is no evidence of PULMONARY NODULES or PLEURAL EFFUSION.</t>
  </si>
  <si>
    <t>FORELIMBS and THORAX (6 radiographs for review). No priors._x000D_
_x000D_
- Moderate to severe left (and mild right) glenohumeral joint periarticular osteophyte formation with severe remodeling and new bone formation in the region of the biceps tendon._x000D_
- Marked smoothly marginated soft tissue swelling along the caudal portion of the left elbow joint in the region of the insertion of the triceps tendon, regionally adjacent the olecranon._x000D_
- Very mild, bilateral periarticular osteophyte formation along the margins of the cubital joints._x000D_
- Remaining soft tissue and osseous structures normal._x000D_
- Widespread, diffuse, mineralized nodules throughout the lungs._x000D_
- The cardiac silhouette, pulmonary vasculature, pleural space, trachea and remaining included intrathoracic structures are normal._x000D_
- The stomach is markedly distended with gas and contains heterogeneous soft tissue opaque material (limited assessment)._x000D_
- The remaining cranial abdominal structures are normal._x000D_
- Broad-based lipomatous mass along the left lateral thoracic body wall.</t>
  </si>
  <si>
    <t>1. Lobular soft-tissue swelling along the caudal portion of the left elbow joint in the region of the insertion of the triceps tendon. DDx cellulitis, edema, abscess of the soft-tissues surrounding the tendon, vs. overt triceps tendon tear (without obvious avulsion from the olecranon).  You may consider focal sonographic assessment of this thickening for further characterization, in addition to cytologic assessment as already reported.  If the lesion is persistent or worsening despite medical management and exercise restriction, forelimb CT and/or consultation with an orthopedic specialist may be reasonable._x000D_
_x000D_
2.  Marked left glenohumeral joint degeneration with severe calcifying bicipital tenosynovitis may be contributing partially towards a lameness.  Ultrasonographic assessment of the shoulder joints might be considered if indicated._x000D_
_x000D_
3.  Right glenohumeral osteoarthritis (limited)._x000D_
_x000D_
4.  Numerous small likely incidental pulmonary osteoma/osseous metaplasia throughout the lungs.  Otherwise unremarkable thorax._x000D_
_x000D_
5.  Aerophagia and recent meal (limited assessment)._x000D_
_x000D_
6.  Left lateral thoracic body wall lipomatous mass.</t>
  </si>
  <si>
    <t>Orthogonal radiographs of the thorax, and three views of the abdomen are provided. The heart and pulmonary vessels are normal size and shape. Round soft tissue density ventral to the tracheal bifurcation is end-on pulmonary vessel. There are no abnormalities in the pulmonary parenchyma or pleural space. The trachea is normal diameter._x000D_
_x000D_
In the abdomen serosal detail is adequate. Small volume gas in the stomach. Small and large bowel are minimally filled. The cecum is gas dilated. Punctate mineral density overlying the stomach on the left lateral view is not seen on the other projections and is likely artifact. The liver, spleen, and left kidney are normal size. The right kidney is obscured. No radiopaque urolithiasis. Osseous structures are unremarkable.</t>
  </si>
  <si>
    <t>Normal thorax and abdomen. Gastroenteritis secondary to dietary indiscretion is most likely. Small radiolucent gastric foreign material is given lesser consideration.</t>
  </si>
  <si>
    <t>If the patient does not improve with supportive care, strictly fasted abdominal ultrasound should be considered. If not available, a positive contrast gastrogram is another option.</t>
  </si>
  <si>
    <t>A four view study of the thorax is provided for interpretation._x000D_
_x000D_
The heart is within normal size and shape limits. Pulmonary vessels are unremarkable. There is a mild increase in bronchial markings throughout the lungs. The appearance is within the limits of age related change. No tracheal abnormalities are identified. One very thin pleural fissure line can be seen superimposed over the heart, which is suspected to be incidental. The cranial abdominal organs are unremarkable.</t>
  </si>
  <si>
    <t>The mild bronchial pattern is within the limits of age related change. Allergic lung disease or low-grade idiopathic chronic bronchitis could still be present without more significant radiographic changes. No evidence of heart failure, pneumonia, or neoplasia is identified. No findings indicative of tracheal collapse are seen._x000D_
_x000D_
There is no evidence of cardiac chamber dilation.</t>
  </si>
  <si>
    <t>A three view study of the thorax is provided for interpretation._x000D_
_x000D_
The heart is at the upper end of normal range. The shape of the heart is within normal limits. There is mild dilation of the right caudal lobe pulmonary vein relative to the artery. Other pulmonary vessels are within normal limits. There is a mild to moderate bronchointerstitial pulmonary pattern. No alveolar infiltrates are identified. No thoracic lymphadenopathy or pleural effusion is seen. There is moderate dynamic narrowing of the cervical trachea._x000D_
_x000D_
The liver is moderately enlarged, with smooth margins. The other abdominal organs are unremarkable.</t>
  </si>
  <si>
    <t>There is a mild to moderate bronchointerstitial pulmonary pattern. The appearance is more prominent than typical age related change, so bronchitis is a primary differential for this patient. Allergic vs. infectious causes should be ruled out. Parasitic infection such as lungworms or heartworm disease would be a less likely possibility. Fungal pneumonia is also less likely but cannot be excluded._x000D_
_x000D_
There is also moderate dynamic narrowing of the cervical trachea. The appearance is not severe enough to be definitively diagnostic for collapsing trachea, but is suspicious for tracheal collapse as a likely contributor to the coughing.</t>
  </si>
  <si>
    <t>Bronchitis is suspected. Antibiotic therapy vs. symptomatic therapy is indicated depending on CBC results and clinical suspicion._x000D_
_x000D_
Tracheal collapse is also suspected, so symptomatic therapy for cough may still be indicated on a long-term basis.</t>
  </si>
  <si>
    <t xml:space="preserve">
1.Moderate cardiomegaly has been detected but Heart Failure is NOT suspected._x000D_
2.MILD BRONCHOINTERSTITIAL PULMONARY PATTERN; MILD DYNAMIC AIRWAY DISEASE._x000D_
3.Based on these AI airway/pulmonary findings, the probability of this patient having clinically detectable respiratory signs is LOW to MEDIUM (25-50%)_x000D_
4.Are respiratory signs present? If YES._x000D_
5.Are respiratory signs present? If NO._x000D_
6.There is no evidence of PERIHILAR INFILTRATE, PULMONARY NODULES or PLEURAL EFFUSION.</t>
  </si>
  <si>
    <t xml:space="preserve">Patient Name : Amy Conner, Date of study: Jul 24, 2024
4 images are provided for review
There are no previous radiographs for comparison.
Pulmonary parenchyma: A mild diffuse bronchial pattern is present.  The lungs are mildly hypoinflated.  
Pulmonary vasculature: The pulmonary vasculature is subjectively normal in size and tapers in the periphery of the lungs.
Cardiac silhouette: The cardiac silhouette is normal in size and shape.
Mediastinum: The cranial mediastinum is normal.
Trachea: A slight soft tissue band partially superimposes over the dorsal aspect of the caudal cervical tracheal segment.
Esophagus: The esophagus is not well-identified.
Pleural space: The pleural space is normal.
Musculoskeletal: The included musculoskeletal structures are normal.
</t>
  </si>
  <si>
    <t>1. Mild diffuse bronchial pulmonary pattern.
- Differential diagnoses include infectious/immune-mediated lower airway disease such as from mycoplasma spp., bordetella spp., parasitism, or inhaled allergen/irritant, and/or fibrosis from prior disease, age-related changes, or unlikely other.
2. Possible redundant cervical tracheal membrane versus superimposed normal structures.
- This does not exclude underlying dynamic airway disease.</t>
  </si>
  <si>
    <t>Etiology of reported cough is not definitively identified. This does not rule out occult dynamic airway disease or laryngeal paralysis/laryngitis contributing to reported clinical signs.  Consider respiratory PCR panel, airway sampling, and fecal analysis for further evaluation.  Computed tomography of the head/neck may be beneficial for further evaluation of congenital anomaly contributing to signs such choanal stenosis, nasopharyngeal polyp or other.  Empirical therapy and supportive care in the interim as needed.  Monitoring as directed or sooner if clinical signs acutely change, fail to improve or worsen.</t>
  </si>
  <si>
    <t>Five radiographs of the thorax and abdomen are provided. The cardiac silhouette and pulmonary vessels are normal size and shape. The lungs are clear. No pleural effusion. Normal tracheal diameter. The plane of the esophagus is unremarkable._x000D_
_x000D_
In the abdomen, there is small volume gas in the stomach. Small bowel are mildly filled with fluid and scant gas. The cecum is gas dilated. The colon is minimally filled. No radiopaque gastrointestinal foreign material. No effusion is appreciated. Normal-sized liver, spleen, kidney. The urinary bladder is minimally filled. Osseous structures are unremarkable.</t>
  </si>
  <si>
    <t>Normal thorax and abdomen. Gastroenteritis/pancreatitis is most likely. There is no evidence of an obstructive process.</t>
  </si>
  <si>
    <t>A CBC, blood chemistry profile, fecal examination, and abdominal ultrasound are recommended.</t>
  </si>
  <si>
    <t xml:space="preserve">Patient Name : Belle Pellerin, Date of study: Jul 24, 2024
3 images are provided for review
There are no previous radiographs for comparison.
Pulmonary parenchyma: A mild diffuse bronchial pattern is present.  Few small mineral ovoid foci are over the cranioventral lungs.
Pulmonary vasculature: The pulmonary vasculature is subjectively normal in size and tapers in the periphery of the lungs.
Cardiac silhouette: The cardiac silhouette is mildly tall and occupies 2/3 the height of the thorax.  The trachea is dorsally displaced.  The caudodorsal margin of the cardiac silhouette is slightly flattened.  Slight increased soft tissue is suspected in the region of the left atrium in the ventrodorsal image.  
Mediastinum: The cranial mediastinum is normal.
Trachea: A soft tissue band partially superimposes over the caudal cervical trachea.  
Esophagus: The esophagus is not well-identified.
Pleural space: The pleural space is normal.
Musculoskeletal: The soft tissues caudal to the right scapula are rounded and fat opaque in the ventrodorsal image.  The remaining  included musculoskeletal structures are normal.
</t>
  </si>
  <si>
    <t xml:space="preserve">1. Mild left-sided cardiomegaly such as from artifact/phase of the cardiopulmonary cycle, evolving dilated cardiomyopathy, or unlikely myxomatous mitral valvular disease and insufficiency or other.
- There is no current evidence of left-sided congestive heart failure.  
2. Mild diffuse bronchial pulmonary pattern due to fibrosis from prior disease, age-related changes, less likely infectious/immune-mediated lower airway disease, or unlikely other.
3. Presumed benign pulmonary osseous metaplasia.   
4. Redundant tracheal membrane versus superimposed normal structures.  
5. Lipoma caudal to the right scapula versus other, or artifact from positioning/obliquity.  
6. No obvious pulmonary soft tissue nodules or intra-thoracic lymphadenomegaly.  </t>
  </si>
  <si>
    <t>Echocardiography, ECG and blood pressure for further evaluation especially if a murmur is later identified.  Routine blood work if not recently performed.  Consider thoracic computed tomography for a more sensitive evaluation of the lungs and for pre-surgical planning of suspected mammary mass incisional/excisional biopsy.  Oncologist consultation depending on results.  Empirical therapy and supportive care in the interim as needed.  Monitoring as directed or sooner if clinical signs acutely change, fail to improve or worsen.</t>
  </si>
  <si>
    <t xml:space="preserve">
1.MILD to MODERATE BRONCHINTERSTITIAL PATTERN with ATELECTASIS or less likely, PNEUMONIA; MILD DYNAMIC AIRWAY DISEASE._x000D_
2.Based on these AI airway/pulmonary findings, the probability of this patient having clinically detectable respiratory signs is MEDIUM to HIGH (50-75%)_x000D_
3.Are respiratory signs present? If YES._x000D_
4.Are respiratory signs present? If NO._x000D_
5.The evaluation has come up positive for a pulmonary nodular pattern._x000D_
6.The cardiac silhouette size is normal.</t>
  </si>
  <si>
    <t>3 images of the thorax are provided for review.  The trachea is dorsally deviated, indicating left ventricular enlargement.  A small bulge is present in the region of the left atrium.  No pulmonary infiltrates are seen.  The pulmonary vasculature is normal in size.  The mediastinal and pleural structures are normal.  Cranial abdominal detail is adequate.</t>
  </si>
  <si>
    <t>Three radiographs of the thorax, and five views of the abdomen are provided. The cardiac silhouette and pulmonary vessels are normal size and shape. There is a smoothly lobulated 4.8 cm soft tissue opaque mass in the caudodorsal lungs on the lateral views. This is seen in the right caudal lung on the VD projections. There are numerous (too many to count) well-defined variably sized smaller soft tissue pulmonary nodules throughout the remaining lungs. No pleural effusion or intrathoracic lymphadenomegaly. Normal tracheal diameter._x000D_
_x000D_
In the abdomen there is small volume cranioventral peritoneal fluid. The liver, spleen, and kidneys are normal size and shape. The gastrointestinal tract is minimally filled. No radiopaque foreign material.</t>
  </si>
  <si>
    <t>1. Right caudal lung mass and diffuse nodular lung pattern. Metastatic disease from a distant site is most likely. Primary pulmonary neoplasia such as bronchogenic carcinoma is next on the differential list._x000D_
2. Mild cranial peritoneal effusion. Although a discrete mass lesion is not identified, in light of the lung lesions, this is concerning for neoplasia such as hemangiosarcoma, with hemorrhagic effusion. An inflammatory process or metabolic abnormality causing the effusion is next on the differential list.</t>
  </si>
  <si>
    <t>Consider peritoneal fluid evaluation to determine if hemorrhagic. The fluid is small volume, and may require ultrasound for sampling. The lung mass is not adjacent to the thoracic wall therefore would not be visible with ultrasound for guided sampling purposes.</t>
  </si>
  <si>
    <t>Ten radiographs are provided, with images of the thorax, abdomen, pelvis, stifles. The cardiac silhouette and pulmonary vessels are normal size and shape. Mild unstructured interstitial pattern is consistent with age and size of this patient. There is no pleural effusion. Normal tracheal diameter. Normal proximal thoracic limbs._x000D_
_x000D_
In the abdomen there is moderate volume soft tissue opaque ingesta filling the stomach. The spleen is slightly prominent with smooth margins. Normal-sized liver and kidneys. Small intestines are mildly gas-filled. Small volume of formed feces in the colon. The urinary bladder is mildly filled and soft tissue opaque. No abnormalities in the region of the medial iliac lymph nodes or along the plane of the urethra. No lumbar spinal abnormalities. The coxofemoral joints are congruent. On the VD projection there is a broad-based curved 2.0 cm soft tissue opaque cutaneous mass in the right flank region, likely the reported dermal lesion. Pelvic limb musculature is symmetric. Patellar location is normal for positioning. Possible scant left stifle effusion. No right stifle joint abnormalities. No popliteal lymphadenomegaly. There is slight wispy soft tissue thickening in the subcutaneous tissues of the right crus. No emphysema or foreign material.</t>
  </si>
  <si>
    <t>1. Mild right crus soft tissue swelling, consider cellulitis versus edema. Etiology is uncertain. No other right pelvic limb abnormalities._x000D_
2. Suspect scant left stifle effusion suggestive of partial cranial cruciate ligament tear. In the absence of left-sided lameness, significance is doubtful._x000D_
3. Equivocal prominent spleen likely due to sedation/anesthesia. Otherwise normal abdomen._x000D_
4. Normal thorax.</t>
  </si>
  <si>
    <t>Recommend close inspection for evidence of a puncture wound at the distal right pelvic limb limb, and supportive care with anti-inflammatories.</t>
  </si>
  <si>
    <t xml:space="preserve">
1.A minimal perihilar infiltrate has been detected._x000D_
2.A minimal to mild bronchointerstitial pulmonary pattern has been detected._x000D_
3.The cardiac silhouette size is normal.</t>
  </si>
  <si>
    <t>Three radiographs of the thorax/abdomen are provided. Images dated 10/13/23 are available for comparison. The cardiac silhouette and pulmonary vessels are normal size. There are no abnormalities in the pulmonary parenchyma. No pleural effusion. Tracheal diameter and position are normal. No abnormalities along the plane of the esophagus. The patient is overweight, with moderate volume subcutaneous fat. In the abdomen, soft tissue density ventral to the pylorus may represent enlarged liver versus normal splenic tail nestled adjacent to the liver. The gastrointestinal tract is minimally filled. No radiopaque cystic calculi. Osseous structures are unremarkable.</t>
  </si>
  <si>
    <t>Possible prominent liver versus normal splenic tail. Differentials for hepatomegaly are varied and includes steroid or other hepatopathy, or acute inflammation. This should be correlated with blood work. Otherwise normal thorax and abdomen. A reason for respiratory signs is not identified.</t>
  </si>
  <si>
    <t>Recommend CBC, blood chemistry profile, and visual inspection of the pharyngeal/laryngeal region.</t>
  </si>
  <si>
    <t xml:space="preserve">
1.A minimal bronchial pattern has been detected._x000D_
2.Minimal cardiomegaly has been detected but Heart Failure is NOT suspected._x000D_
3.There is no evidence of PERIHILAR INFILTRATE, PULMONARY NODULES or PLEURAL EFFUSION.</t>
  </si>
  <si>
    <t xml:space="preserve">Patient Name : Molly Nair, Date of study: Jul 24, 2024
6 images are provided for review
Canine Abdomen (4 Images) - 2 Vd, 2 Lateral
Canine Thorax (2 Images) - 2 Lateral
There are no previous radiographs for comparison.
Pulmonary parenchyma: In the left lateral images, an ill-defined ovoid soft tissue opacity superimposes over the caudal lung.  In the ventrodorsal image, an ill-defined ovoid soft tissue opacity superimposes over the left caudal lung in the left 7th intercostal space.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on limited evaluation.  
Trachea: The trachea is normal.
Esophagus: The esophagus is not well-identified.
Pleural space: The pleural space is normal.
Liver: The liver is subjectively normal in size.
Spleen: The spleen is minimally enlarged and prominent in the mid-ventral abdomen, with well-defined and slightly rounded margins.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mild fluid and gas or is empty.  The stomach is within normal limits for size.
The small intestine contains mild gas or is empty with a subjectively uniform population for size. 
The colon contains mild to moderate well-defined soft tissue material and gas. The colon is within normal limits for size.
Musculoskeletal: In the left extra-thoracic soft tissues at the level of T8-9, is a well-defined, ovoid, soft tissue nodule that deforms the cutaneous surface and widens fat in nearby fascial planes.  The remaining that included musculoskeletal structures are normal.
</t>
  </si>
  <si>
    <t xml:space="preserve">1. Suspected left caudal lung soft tissue nodule or less likely artifact/superimposed normal structures, or unlikely other.
- If present, this may be due to primary pulmonary carcinoma, metastatic disease from reported historic sarcoma, or least likely granulomatous/fungal pneumonia such as from blastomycosis spp. infection.
2. Minimal-mild splenomegaly due to passive congestion from sedation (if administered), extramedullary hematopoiesis, lymphoid hyperplasia, splenitis, or evolving metastatic neoplasia, or unlikely other.
3. Left-extra-thoracic soft tissue nodule is suspicious for reported historic sarcoma.  </t>
  </si>
  <si>
    <t>Consider computed tomography of the thorax for further evaluation of the suspected left caudal lung soft tissue nodule and pre-surgical planning of left extra-thoracic nodule incisional/excisional biopsy.  Consider routine blood work and abdominal ultrasonography for further evaluation of the spleen.  Oncologist consultation depending on results of additional diagnostics.  Empirical therapy and supportive care in the interim as needed.  Monitoring as directed, or sooner if clinical signs acutely change, fail to improve or worsen.</t>
  </si>
  <si>
    <t>Four radiographs of the thorax are provided. The cardiac silhouette and pulmonary vessels are normal size. Small round increased opacities adjacent to the heart represent end-on pulmonary vessels. There are no soft tissue pulmonary nodules or pleural effusion. Normal tracheal diameter. Osseous structures are unremarkable.</t>
  </si>
  <si>
    <t xml:space="preserve">
1.A minimal to mild bronchointerstitial pulmonary pattern has been detected._x000D_
2.The evaluation has come up positive for a pulmonary nodular pattern._x000D_
3.The cardiac silhouette size is normal._x000D_
4.There is no evidence of DYNAMIC AIRWAY COLLAPSE or BRONCHIECTASIS or PLEURAL EFFUSION.</t>
  </si>
  <si>
    <t>Three radiographs of the thorax, and three views of the abdomen are provided. The cardiac silhouette and pulmonary vessels are normal size. There are no abnormalities in the pulmonary parenchyma. No pleural effusion. Mild narrowed cervical trachea on the left lateral view. Scant fluid in the caudal esophagus is transient and incidental._x000D_
_x000D_
In the abdomen the gastrointestinal tract is mildly filled. The cecum is gas dilated. Normal size liver, spleen, kidney. No radiopaque cystic calculi. Punctate mineral density overlying the L1-2 intervertebral foramen is likely incidental.</t>
  </si>
  <si>
    <t>Probable dynamic cervical tracheal collapse, the most likely cause for coughing. Inhaled irritant/allergens could be contributing. Otherwise normal thorax and abdomen.</t>
  </si>
  <si>
    <t>Recommend symptomatic treatment for the cough and utilization of a body harness in place of a neck lead.</t>
  </si>
  <si>
    <t>A three view thoracoabdominal study is provided for interpretation._x000D_
_x000D_
The cardiovascular structures are within normal limits. Bronchial markings in the lungs are mildly increased, primarily due to what appears to be age related bronchial wall mineralization. Concerning bronchial wall thickening is not seen. No pleural abnormalities are identified. There is ill defined opacity superimposed over the apex of the heart in the right lateral view that is believed to correspond to a similar but more faint opacity in the left caudal thorax adjacent to the apex of the heart in the DV view. This is suspected to represent mediastinal fat accumulation in the caudal mediastinum. There is moderate narrowing of the cervical trachea._x000D_
_x000D_
The abdominal organs are within normal size and shape limits. No mass lesions or loss of detail are seen in the abdomen._x000D_
There is severe narrowing of intervertebral disc spaces in the thoracolumbar region from T13 to L2.</t>
  </si>
  <si>
    <t>No pulmonary nodules are identified._x000D_
There is a focal area of increased opacity in the left caudal ventral thorax. This is suspected to be the result of call mediastinal fat accumulation secondary to the overweight body condition of the patient. Early development of a mass in this area cannot be entirely excluded but is felt unlikely at this time._x000D_
The increased bronchial markings is a mild change that appears subjectively consistent with age related changes. Viral or allergic lung disease or low-grade chronic bronchitis still cannot be excluded._x000D_
_x000D_
There is moderate narrowing of the cervical trachea. The appearance is not severe enough to be diagnostic for collapsing trachea, but dynamic tracheal collapse could still be present as a cause of the cough without more prominent radiographic changes._x000D_
_x000D_
No abdominal abnormalities are identified._x000D_
_x000D_
There is evidence of disc degeneration in the thoracolumbar spine.</t>
  </si>
  <si>
    <t>Symptomatic therapy for the cough is recommended._x000D_
_x000D_
No contraindication to removal of the reported new gingival mass is identified._x000D_
_x000D_
No findings convincing for metastatic neoplasia are identified._x000D_
A follow-up three view radiographic study to reassess the opacity seen in the caudoventral thorax is recommended in 6 to 8 weeks.</t>
  </si>
  <si>
    <t>THORAX (3 total radiographs for review). A previous examination is available for comparison dated 10/14/2022._x000D_
_x000D_
- The previously described moderate diffuse bronchial pattern remains present and is relatively unchanged from the prior examination._x000D_
- The trachea is unremarkable._x000D_
- The cardiac silhouette and pulmonary vasculature are normal._x000D_
- The pleural space, mediastinum, esophagus and remaining included intrathoracic structures are normal._x000D_
- The liver is moderately enlarged, with rounded margins._x000D_
- On the lateral projections there is a very large, rounded soft tissue opaque mass in the mid abdomen (limited assessment).</t>
  </si>
  <si>
    <t>1. Persistent moderate diffuse bronchial pulmonary pattern likely indicates chronic lower airway disease such as bronchitis which may have an allergic, infectious or immune mediated underlying component._x000D_
_x000D_
2. Despite lack of radiographic evidence of tracheal collapse, given both the signalment as well as the reported strong cough on tracheal palpation, tracheal collapse is not excluded._x000D_
_x000D_
3. Large mid abdominal mass (limited assessment). This would raise concern for mass of splenic, renal or less likely pancreatic or gastrointestinal origin. As the area is only partially included in collimation, a severely distended urinary bladder is possible but thought less likely. I would recommend considering POCUS/A-FAST and complete abdominal ultrasound in this patient for further assessment._x000D_
_x000D_
4. Moderate hepatomegaly. Most likely vacuolar (metabolic) hepatopathy. Hepatic congestion, hepatitis or neoplasia are less likely, but possible.</t>
  </si>
  <si>
    <t xml:space="preserve">
1.The cardiac silhouette size is normal._x000D_
2.There is no evidence of BRONCHITIS, ALVEOLAR PATTERN, DYNAMIC AIRWAY COLLAPSE or BRONCHIECTASIS, PULMONARY NODULES or PLEURAL EFFUSION._x000D_
3.A minimal interstitial pattern has been detected.</t>
  </si>
  <si>
    <t>Study:_x000D_
Thoracic radiography: three images dated July 23, 2024_x000D_
_x000D_
Findings:_x000D_
There is severe left ventricular, left auricular and left atrial enlargement. The cranial lobar veins are mildly distended in comparison to the corresponding arteries.. There is a mild perihilar/caudodorsal unstructured interstitial pulmonary pattern. Multiple thin pleural fissure lines are seen on the VD view. There is no intrathoracic lymphadenopathy. The patient has a redundant dorsal tracheal membrane. The tracheal diameter is normal. There is narrowing of the C5-C6 through C7-T1, T 13-L1, L2-L3 and L3-L4 with moderate to severe spondylosis deformans.</t>
  </si>
  <si>
    <t>1. Severe left-sided cardiomegaly, indicative of mitral valve disease, with suspected mild cardiogenic pulmonary edema/decompensated congestive heart failure. Echocardiography should be considered for further evaluation. Diuretic therapy with repeat radiography to monitor for response to treatment can be considered in the interim._x000D_
2. Redundant dorsal tracheal membrane. Normal diameter the trachea does not exclude the possibility of concomitant tracheal collapse. Fluoroscopy can be considered to further evaluate for dynamic airway disease given the reported honking cough._x000D_
3. Multifocal intervertebral disc disease.</t>
  </si>
  <si>
    <t xml:space="preserve">
1.MODERATE to SEVERE BRONCHOINTERSTITIAL PULMONARY PATTERN; DYNAMIC AIRWAY COLLAPSE and/or BRONCHIECTASIS; ALVEOLAR INFILTRATE or ATELECTASIS._x000D_
2.Based on these AI airway/pulmonary findings, the probability of this patient having clinically detectable repsiratory signs is VERY HIGH (&gt;75%)_x000D_
3.AI linked bacterial pneumonia treatment: https://platform.v2.vetology.net/doc/pneumonia-in-dogs-and-cats_x000D_
4.AI linked bacterial bronchitis treatment: https://platform.v2.vetology.net/doc/bacterial-bronchitis--in-dogs-and-cats_x000D_
5.Are respiratory signs present? If YES._x000D_
6.Severe cardiomegaly has been detected but Heart Failure is NOT suspected._x000D_
7.Are respiratory signs present? If NO.</t>
  </si>
  <si>
    <t>Survey abdomen (lateral view): There are no abnormalities identified._x000D_
_x000D_
Upper GI series: Positive contrast has progressed from the stomach to the descending colon.  There is no evidence of an obstructive process.  There are persistent filling defects within the antrum/pylorus of the stomach.  The remainder of the abdomen is unremarkable.</t>
  </si>
  <si>
    <t>The persistent filling defects involving the antrum/pylorus of the stomach may represent thickening of the gastric wall at this level or possible foreign material.</t>
  </si>
  <si>
    <t xml:space="preserve">Patient Name : Scout Fergison Carr, Date of study: Jul 23, 2024
4 images are provided for review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</si>
  <si>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Minimal diffuse bronchial pulmonary pattern such as from infectious/immune-mediated lower airway disease (mycoplasma spp., bordetella spp., parasitism, or other), fibrosis from prior disease, age-related changes, or less likely other.
2. No obvious pulmonary soft tissue nodules or intra-thoracic lymph node enlargement.  </t>
  </si>
  <si>
    <t>Consider respiratory PCR panel, airway sampling, and empirical deworming/fecal analysis for further evaluation. Consider bronchoscopy/tracheoscopy and/or fluoroscopy for further evaluation of occult dynamic airway disease.   Empirical therapy and supportive care in the interim as needed. Monitoring as directed or sooner if clinical signs acutely change, fail to improve or worsen.</t>
  </si>
  <si>
    <t xml:space="preserve">Images are dated July 23, 2024.
Pulmonary parenchyma: A minimal diffuse bronchial pattern is present.  Mild respiratory motion artifact is present.  
Pulmonary vasculature: The pulmonary vasculature is subjectively normal in size and tapers in the periphery of the lungs.
Cardiac silhouette: The cardiac silhouette is mildly tall and occupies 2/3 the height of the thorax, with dorsal tracheal displacement.
Mediastinum: The cranial mediastinum is normal.
Trachea: The trachea is normal.
Esophagus: The esophagus is not well-identified.
Pleural space: The pleural space is normal.
Musculoskeletal: The included musculoskeletal structures are normal.
</t>
  </si>
  <si>
    <t>1. Mild left ventricular enlargement such as from myxomatous mitral valvular disease or unlikely other.
- There is no current evidence of left-sided congestive heart failure.
2. Minimal diffuse bronchial pulmonary pattern.
- Differential diagnoses include fibrosis form prior disease, age-related changes, or variation of normal, or unlikely other.</t>
  </si>
  <si>
    <t xml:space="preserve">Echocardiography, eCG and blood pressure as well as routine blood work and urinalysis for further evaluation.  Empirical therapy and supportive care in the interim as needed.  Monitoring as directed, or sooner if signs acutely change, fail to improve or worsen.  Abdominal imaging to screen for occult systemic disease may be contributory.  </t>
  </si>
  <si>
    <t xml:space="preserve">Patient Name : Tiny Loza, Date of study: Jul 23, 2024
3 images are provided for review
Canine Thorax (3 Images) - 2 Lateral, 1 Vd
Prior images dated September 16, 2023 are available.  
Pulmonary parenchyma: A mild diffuse bronchial pattern is present.
Pulmonary vasculature: The pulmonary vasculature is subjectively normal in size and tapers in the periphery of the lungs.
Cardiac silhouette: The cardiac silhouette is has a slightly flattened caudodorsal margin.  Slight increased soft tissue is possible in the region of the left atrium in the ventrodorsal image. 
Mediastinum: The cranial mediastinum is normal.
Trachea: A soft tissue band superimposes over the cervical trachea segment.  
Esophagus: The esophagus is not well-identified.
Pleural space: The pleural space is normal.
Musculoskeletal: T11-12 and T12-13 have severely narrow intervertebral disc spaces.  Ventral spondylosis deformans at T11-12 and T12-13.  The remaining included musculoskeletal structures are normal.
</t>
  </si>
  <si>
    <t>1. Similar equivocal left-atrial enlargement or less likely artifact from the phase of the cardiopulmonary cycle and patient positioning given reported murmur.
- This is most likely due to myxomatous mitral valvular disease and insufficiency.
- There is no current evidence of left-sided congestive heart failure.
2.  Similar mild diffuse bronchial pulmonary pattern due to fibrosis from prior disease, age-related changes, infectious/immune-mediated lower airway disease, or unlikely other.
3. Dorsal redundant tracheal membrane with/without underlying dynamic airway disease versus superimposed normal structures.  
4. T11-12 and T12-13 intervertebral disc disease.</t>
  </si>
  <si>
    <t>Consider echocardiography, eCG and blood pressure as well as routine blood work/urinalysis if not recently performed.  No obvious progression of cardiomegaly compared to prior images.  Consider respiratory PCR panel, airway sampling, and fecal analysis/deworming for further evaluation if clinically indicated.  Empirical therapy and supportive care in the interim as needed.  Monitoring as directed or sooner if clinical signs acutely change, fail to improve or worsen.</t>
  </si>
  <si>
    <t>THORAX (3 total radiographs for review).  The report of a previous examination is provided in the history for comparison._x000D_
_x000D_
- In the ventral aspect of the right middle lung lobe, there is a focal alveolar pulmonary pattern with multiple small air bronchograms and a lobar sign._x000D_
- Along the peripheral ventral margin of the caudal subsegment of the left cranial lung lobe there is a focal elongated alveolar opacity._x000D_
- There remains a mild diffuse bronchial pulmonary pattern present._x000D_
- The esophagus contains a small volume of gas._x000D_
- The trachea, pleural space, mediastinum and remaining included intrathoracic structures are normal._x000D_
- The stomach contains moderate gas stippled soft tissue opaque material, multiple small granular mineral opaque foci and gas._x000D_
- The small intestine is homogenously soft tissue opaque and unremarkable._x000D_
- The colon is distended with gas (limited assessment)._x000D_
- The included musculoskeletal structures are normal.</t>
  </si>
  <si>
    <t>1.  The radiographic changes observed in this examination are similar to that reported in the history, and are characterized by ventrally distributed alveolar patterns in the region of the right middle and caudal subsegment of the left cranial lung lobes, and a diffuse bronchial pulmonary pattern.  Differential diagnosis would include chronic/settled sublobar primary infectious bronchopneumonia or aspiration pneumonia.  In either case, I would recommend considering continuation of antibiotic therapy and rechecking again the thoracic radiographs in 7-10 days or sooner if clinically indicated to reevaluate the degree of opacification of the pulmonary parenchyma._x000D_
_x000D_
2.  Mild aerophagia and nonspecific material in the stomach._x000D_
_x000D_
3.  Gaseous distention of the colon (limited assessment).</t>
  </si>
  <si>
    <t>Patient Name: Daisy Hadcock, Date of study: July 23, 2024.
Canine Thorax (3 Images) - 2 Lateral, 1 VD
Compared to previous normal study dated June 27, 2022. 
Findings:
Cardiac silhouette: There is newly identified, moderate left-sided enlargement of the cardiac silhouette (VLAS 2.5, normal &lt;2.1). There is rounding and enlargement in the region of the left atrium and left ventricle.
Pulmonary vessels: The pulmonary arteries and veins are normal in size and are symmetrical.
Pulmonary parenchyma: There is a mild perihilar interstitial pulmonary pattern (previously normal). There is no evidence of pulmonary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Cranial abdomen: There is adequate serosal detail. There is a semicircular mineral focus at the level of the gallbladder.
Musculoskeletal: There is moderate spondylosis deformans of T12-13 and T13-L1. The T13-L1 intervertebral disc space is moderately narrowed. There is mild elbow osteoarthritis bilaterally.</t>
  </si>
  <si>
    <t>1. There is newly identified, moderate left-sided cardiomegaly. The primary differential is myxomatous mitral valvular disease.
2. Mild perihilar interstitial pulmonary pattern, most consistent with incipient cardiogenic pulmonary edema.
3. There is evidence of mineralized biliary sediment. This is likely an incidental finding in the absence of gastrointestinal clinical signs.</t>
  </si>
  <si>
    <t>An echocardiogram, EKG, and blood pressure are recommended to further evaluate the heart. Consultation with a cardiologist may be of benefit. A diuretic trial could be considered to evaluate for clinical improvement. Given the enlarged vertebral left atrial score (VLAS), Daisy will likely benefit from Pimobendan.</t>
  </si>
  <si>
    <t xml:space="preserve">
1.Severe cardiomegaly has been detected but Heart Failure is NOT suspected._x000D_
2.A moderate perihilar infitlrate has been detected._x000D_
3.Are respiratory signs present? If YES._x000D_
4.SEVERE ALVEOLAR PATTERN; PLEURAL EFFUSION or PLEURAL FISSURE LINES; MODERATE DYNAMIC AIRWAY DISEASE; MILD, DIFFUSE BRONCHOINTERSTITIAL PULMONARY PATTERN._x000D_
5.Based on the AI airway/pulmonary findings, the probability of this patient having clinically detectable respiratory signs is VERY HIGH (&gt;75%)_x000D_
6.Are respiratory signs present? If NO.</t>
  </si>
  <si>
    <t>THORAX (3 total radiographs for review).  A previous examination is available for comparison dated 10/18/23._x000D_
_x000D_
 - Mild, diffuse bronchial pulmonary pattern._x000D_
- Soft tissue opaque band dorsally overlying the trachea in the region of the thoracic inlet._x000D_
- Left-sided mediastinal shift may be due to obliquity of the VD projection._x000D_
- The cardiac silhouette, pulmonary vasculature and pleural space and remaining included intrathoracic structures are normal._x000D_
- The liver remains moderately generally enlarged, extending caudal to the costal arch with rounded margins._x000D_
- The stomach contains moderate gas and mild gas stippled soft tissue opaque material._x000D_
- The remaining cranial abdominal structures are normal._x000D_
- Small lipomatous mass associated with the caudal portion of the xiphoid.</t>
  </si>
  <si>
    <t>1.  Similar, mild diffuse bronchial pattern.  Considering the reported history of chronic coughing, lower airway disease such as bronchitis is prioritized, however the changes can reflect normal age-related lower airway change._x000D_
_x000D_
2.  The appearance of the trachea at the level of the thoracic inlet can be compatible with tracheal collapse secondary to chondromalacia._x000D_
_x000D_
3.  Despite lack of radiographic evidence of cardiomegaly, given the reported cardiac murmur if an echocardiogram has not recently been performed, it may be considered._x000D_
_x000D_
4.  Persistent, moderate hepatomegaly. Most likely vacuolar (metabolic) hepatopathy. Hepatic congestion, hepatitis or neoplasia are less likely, but possible._x000D_
_x000D_
5.  Aerophagia._x000D_
_x000D_
6.  Small lipomatous nodule (e.g. lipoma) associated with the xiphoid.</t>
  </si>
  <si>
    <t>This patient=ZZ91=s chronic coughing could be attributed to a combination of chronic lower airway disease and/or tracheal collapse and evaluation for these pathologies may provide clinical benefit.</t>
  </si>
  <si>
    <t xml:space="preserve">
1.MILD INTERSTITIAL TO ALVEOLAR INFILTRATE; MINIMAL BRONCHIAL PATTERN; MINIMAL PERIHILAR INFILTRATE._x000D_
2.Based on the AI airway/pulmonary findings, the probability of this patient having clinically detectable respiratory signs is LOW to MEDIUM (25%-50%)_x000D_
3.Are respiratory signs present? If YES._x000D_
4.Are respiratory signs present? If NO_x000D_
5.The cardiac silhouette size is normal.</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</si>
  <si>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contusions, pleural effusion, pneumothorax or rib fractures.._x000D_
Mediastinum and diaphragm are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WNL._x000D_
_x000D_
Visible spine is unremarkable without signs of disc herniation, vertebral fractures or subluxations._x000D_
There is a comminuted articular oblique fracture of the right caudal ilium affecting the craniodorsal aspect of the acetabulum with dorsal and medial displacement of the caudal fragment narrowing the pelvic canal. There is also a suspected fracture of the right pubic bone.</t>
  </si>
  <si>
    <t>1) Unremarkable thorax and abdomen._x000D_
2) Right sided pelvic fractures.</t>
  </si>
  <si>
    <t>Consider radiographs centered in the pelvis or a CT for a better evaluation prior to surgery.</t>
  </si>
  <si>
    <t>Patient Name: Inosuke King, Date of study: July 23, 2024.
Canine thorax/abdomen (3 Images) - 2 Lateral, 1 VD
There are no previous radiographs for comparison.
Findings:
Cardiac silhouette: The cardiac silhouette is normal in size and shape.
Pulmonary vessels: The pulmonary arteries and veins are normal in size and are symmetrical.
Pulmonary parenchyma: There is a ventrally distributed interstitial to alveolar pattern in the cranioventral thorax (worse in the left cranial lung lobe). The remainder of the pulmonary parenchyma is within normal limits.
Pleural space: The pleural space is within normal limits.
Mediastinum: The mediastinum is normal in width and opacity. There is no evidence of intrathoracic lymphadenopathy.
Trachea: The trachea is normal in diameter and course.
Esophagus: The intrathoracic esophagus is mildly distended with gas. The cervical esophagus is within normal limits.
Gastrointestinal tract: There is heterogeneous ingesta admixed with gas within the stomach. The stomach is normal in size and position. The duodenum is gas-filled and normal in size. Several small intestinal segments contain heterogeneous ingesta, similar to the gastric content. The colon is normal in size and contains loosely formed feces.
Liver: The liver is normal in size and shape.
Spleen: The spleen is unremarkable.
Urinary: The urinary bladder is mildly distended and normal in opacity. The visible margins of the kidneys are within normal limits.
Peritoneal space: Serosal detail is adequate.
Musculoskeletal: There are several congenitally anomalous mid thoracic vertebral bodies, consistent with the breed. There is mild spondylosis deformans of the mid to cranial thoracic spine.</t>
  </si>
  <si>
    <t xml:space="preserve">1. Cranioventral interstitial to alveolar pulmonary pattern, worse in the left cranial lung lobe. This is most consistent with aspiration pneumonia given the history of vomiting. Infectious bronchopneumonia is not ruled out. 
2. Mild esophageal gas dilation, consider esophagitis. Aerophagia and megaesophagus are thought to be less likely. 
3. The gastrointestinal tract is consistent with a post-prandial appearance. There is no evidence of mechanical small intestinal obstruction or mineral/metal opaque foreign body. Gastroenteritis, gastroesophageal reflux disease, and pancreatitis should be considered. 
4. Upper respiratory infection/disease is not ruled out given the history of sneezing. </t>
  </si>
  <si>
    <t xml:space="preserve">Medical management for pneumonia and esophagitis are recommended. Consider repeat radiographs after completion of therapy to monitor for resolution of the described pulmonary pattern. Airway sampling (respiratory PCR, lavage, wash) is recommended to guide treatment. 
Fasted recheck radiographs could be considered to confirm the stomach fully empties. If vomiting persists an abdominal ultrasound or upper GI series would be recommended. A cPL would be recommended if not recently performed. </t>
  </si>
  <si>
    <t>Patient Name: Lola Murilla, Date of study: July 23, 2024.
4 images are provided for review: head/neck (lateral and VD) and thorax (lateral and VD-humanoid).
There are no previous radiographs for comparison.
Findings:
Head and neck: There is mild retropharyngeal soft tissue swelling which creates a convex dorsal margin of the common pharynx. The laryngeal cartilages are partially mineralized (incidental finding). The hyoid apparatus is unremarkable. An endotracheal tube is in place. The esophagus is mildly distended with gas. The cervical vertebral bodies and intervertebral disc spaces are normal. The tympanic bulla are thin rimmed and gas-filled. No significant dental abnormalities identified. The nasal cavities and frontal sinuses are within normal limits.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intrathoracic esophagus is mildly gas-filled.
Musculoskeletal: ECG leads are attached to the cranioventral thorax. The thoracic vertebrae and ribs are within normal limits. The forelimbs are normal. The superficial soft tissue structures are unremarkable.</t>
  </si>
  <si>
    <t xml:space="preserve">1. Mild retropharyngeal soft tissue swelling. Differential diagnoses include penetrating oral/pharyngeal foreign body/trauma, medial retropharyngeal lymphadenopathy, hemorrhage, and less likely a retropharyngeal neoplasm.
2. Normal thorax. Esophageal dilation is likely secondary to general anesthesia. </t>
  </si>
  <si>
    <t xml:space="preserve">Consider computed tomography of the head and neck for further evaluation if clinical signs fail to improve with empirical therapy and supportive care. A repeated oral exam to screen for a penetrating injury could be considered. </t>
  </si>
  <si>
    <t xml:space="preserve">
1.MODERATE INTERSTITIAL TO ALVEOLAR PATTERN; MILD BRONCHITIS._x000D_
2.Based on the AI airway/pulmonary findings, the probability of this patient having clinically detectable respiratory signs is MEDIUM to HIGH (50-75%)_x000D_
3.Are respiratory signs present? If YES._x000D_
4.Are respiratory signs present? If NO._x000D_
5.There is no evidence of DYNAMIC AIRWAY COLLAPSE or BRONCHIECTASIS._x000D_
6.Pleural fissure lines or small volume pleural effusion has been detected. In a mildly overweight animal, excessive pericardial fat can artifactually mimic the result of minimal pleural effusion._x000D_
7.Mild cardiomegaly has been detected but Heart Failure is NOT suspected.</t>
  </si>
  <si>
    <t xml:space="preserve">Patient Name : Pearl Halliburton, Date of study: Jul 23, 2024
6 images are provided for review
There are no previous radiographs for comparison.
Pulmonary parenchyma: The lungs are mild to moderately hypoinflated.  A mild diffuse interstitial pulmonary pattern is present.  A mild diffuse bronchial pattern is present.
Pulmonary vasculature: The pulmonary vasculature is subjectively normal in size and tapers in the periphery of the lungs.
Cardiac silhouette: The cardiac silhouette is tall and occupies approximately 2/3 the height of the thorax.  The trachea is dorsally displaced.  
Mediastinum: The cranial mediastinum is mildly widened with a slight convex left lateral marign in the ventrodorsal image..
Trachea: The trachea is normal.
Esophagus: The esophagus is not well-identified.
Pleural space: The pleural space is normal.
Musculoskeletal: Suspected superimposed nipple over the right caudal lung in the ventrodorsal image.  The remaining included musculoskeletal structures are normal.
</t>
  </si>
  <si>
    <t>1. Mild left-sided cardiomegaly such as from myxomatous mitral valvular disease and insufficiency versus artifact from phase of the cardiopulmonary cycle.
2. Mild diffuse interstitial and mild bronchial pulmonary patterns exacerbated by hypoinflation.
- Differential diagnosis include fibrosis from prior disease, age-related changes, or less likely atypical metastatic neoplasia or unlikely infectious/immune-mediated lower airway disease (such as from bordetella spp., mycoplasma spp., or parasitism such as lung worms), or  least likely evolving left-sided heart failure, or other.
3. Mild cranial mediastinal widening may be due to fat deposition, or evolving lymphadenomegaly (reactive hyperplasia or metastatic neoplasia) or evolving mass (ectopic thyroid carcinoma versus other).</t>
  </si>
  <si>
    <t>Consider echocardiography and ECG for further evaluation.  Routine blood work and thyroid function testing may be contributory.  Consider computed tomography of the neck/thorax and mediastinum for further evaluation.  Empirical therapy and supportive care in the interim as needed.  Monitoring as directed or sooner if clinical signs acutely change, fail to improve or worsen.</t>
  </si>
  <si>
    <t xml:space="preserve">
1.A mild perihilar infiltrate has been detected._x000D_
2.Based on these AI airway/pulmonary findings, the probability of this patient having clinically detectable repsiratory signs is VERY HIGH (&gt;75%)_x000D_
3.A severe alveolar pattern and concurrent, diffuse bronchointerstitial pulmonary pattern have been detected._x000D_
4.Are respiratory signs present? If YES._x000D_
5.The evaluation has detected soft tissue pulmonary nodules._x000D_
6.Are respiratory signs present? If NO._x000D_
7.MODERATE TO SEVERE INTERSTITIAL TO ALVEOLAR PATTERN; MODERATE BRONCHITIS; MILD NODULAR PULMONARY PATTERN._x000D_
8.SEVERE INTERSTITIAL TO ALVEOLAR PATTERN; MODERATE BRONCHIAL PATTERN; MODERATE DYNAMIC AIRWAY DISEASE._x000D_
9.Based on the AI airway/pulmonary findings, the probability of this patient having clinically detectable respiratorysigns is VERY HIGH (&gt;75%)_x000D_
10.AI linked pneumonia in dogs article: https://platform.v2.vetology.net/doc/pneumonia-in-dogs-and-cats_x000D_
11.Pleural fissure lines or small volume pleural effusion has been detected. In a mildly overweight animal, excessive pericardial fat can artifactually mimic the result of minimal pleural effusion._x000D_
12.Moderate cardiomegaly has been detected but Heart Failure is NOT suspected.</t>
  </si>
  <si>
    <t>Orthogonal views of the thorax are provided:_x000D_
_x000D_
Thorax:_x000D_
_x000D_
Cardiac silhouette has a normal shape and size. No left atrial mass is distinguished nor signs of cardiac enlargement._x000D_
Pulmonary vessels are within normal limits of size and shape._x000D_
Pulmonary parenchyma is within normal limits. No evidence of pulmonary nodules/masses._x000D_
No signs of thoracic lymphadenopathy._x000D_
Pleural space, mediastinum, diaphragm and thoracic wall within normal limits.</t>
  </si>
  <si>
    <t>1) Unremarkable thorax without signs of cardiomegaly (this does not exclude a cardiac disease such as ACVIM Stage B1), pulmonary metastases nor signs of thoracic lymphadenopathy.</t>
  </si>
  <si>
    <t>Given the lack of cardiomegaly but ACVIM Stage B1 (and left atrial mass?), consider a cardiology consultation with ECG and echocardiogram.</t>
  </si>
  <si>
    <t>WHOLE-BODY (3 total radiographs for review). _x000D_
_x000D_
- Peritoneal serosal detail is normal._x000D_
- The stomach contains moderate gas-stippled soft-tissue opaque material_x000D_
- The small intestine contains mild multifocal gas and soft-tissue opaque material_x000D_
- The colon contains gas, soft-tissue/fluid and moderate formed fecal material._x000D_
- The liver, spleen, region of the kidneys and urinary bladder are normal._x000D_
- The cardiac silhouette and pulmonary vasculature are normal._x000D_
- The pulmonary parenchyma is normal_x000D_
- The trachea, esophagus and remainder of the mediastinum are normal._x000D_
- The pleural space and remaining intrathoracic structures are normal._x000D_
- No musculoskeletal abnormalities are noted.</t>
  </si>
  <si>
    <t>1.  A discrete cause for the reported lethargy and hyporexia is not clearly identified.  Radiographic sensitivity for diffuse gastrointestinal functional ileus such as gastroenteritis may be limited.  There is no distinct evidence of mechanical obstruction.  If clinically indicated, consider abdominal ultrasonography for further assessment._x000D_
_x000D_
2.  Mildly desiccated fecal material in the colon can be compatible with a history of constipation._x000D_
_x000D_
3.  The material in the stomach resembles recent ingesta, less likely foreign material.  Rechecking the abdominal radiographs with fasting may provide further clarification on the contents within the stomach if there is suspicion for gastric foreign material._x000D_
_x000D_
4.  Normal thorax.</t>
  </si>
  <si>
    <t>Orthogonal views of the thorax are provided:_x000D_
_x000D_
Thorax:_x000D_
_x000D_
No abnormalities are seen in the trachea._x000D_
Cardiac silhouette shows a subjective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t>
  </si>
  <si>
    <t>1) Rule out left atrial enlargement secondary to chronic mitral endocardiosis without signs of CHF. Rule out concomitant tricuspid endocardiosis with pulmonary hypertension._x000D_
2) Unremarkable lungs do not exclude a bronchitis of allergic vs inflammatory/infectious or parasitic origin._x000D_
3) Hepatomegaly: Metabolic vs Vacuolar infiltration vs Hepatic nodular hyperplasia vs Inflammatory vs Toxic vs Neoplastic or a combination of these differentials.</t>
  </si>
  <si>
    <t>Consider a cardiology consultation with ECG and echocardiogram followed by empirical treatment for chronic bronchitis evaluating response to treatment._x000D_
Consider an abdominal US to further evaluate the liver.</t>
  </si>
  <si>
    <t xml:space="preserve">
1.Are respiratory signs present? If YES._x000D_
2.Are respiratory signs present? If NO._x000D_
3.MODERATE BRONCHINTERSTITIAL PATTERN with ATELECTASIS or less likely, PNEUMONIA; MILD DYNAMIC AIRWAY DISEASE._x000D_
4.Based on these AI airway/pulmonary findings, the probability of this patient having clinically detectable respiratory signs is MEDIUM to HIGH (50-75%)_x000D_
5.The cardiac silhouette size is normal.</t>
  </si>
  <si>
    <t xml:space="preserve">Patient Name : WILEY BEACH, Date of study: Jul 23, 2024
3 images are provided for review
Previous images dated June 14, 2023 and prior are available.  
Pulmonary parenchyma:  A large ovoid soft tissue mass is in the left caudal lung lobe.  A minimal interstitial pattern is present in the left caudal subsegment of the left cranial lung in the ventrodorsal image.  A minimal to mild diffuse bronchial pattern is present.
Pulmonary vasculature: The pulmonary vasculature is subjectively normal in size and tapers in the periphery of the lungs.
Cardiac silhouette: The cardiac silhouette is mildly rightward displaced due to the left caudal lung lobe mass.
Mediastinum: The cranial mediastinum is normal.
Trachea: The trachea is normal.
Esophagus: The esophagus is not well-identified.
Pleural space: The pleural space is normal.
Musculoskeletal: The included musculoskeletal structures are normal.
</t>
  </si>
  <si>
    <t xml:space="preserve">1. Progressive, large left caudal lung lobe soft tissue mass.
- The primary differential diagnosis is neoplasia such as a primary pulmonary carcinoma or unlikely other.
2. Minimal interstitial pattern in the cranial subsegment of the left cranial lung lobe due to artifact/technique, atelectasis, pneumonitis, extension of neoplasia, or unlikely other.
3. Minimal-mild diffuse bronchial pulmonary pattern such as from fibrosis from prior disease, age-related changes, infectious/immune-mediated lower airway disease (mycoplasma spp., bordetella spp., parasitism such as lung worms, or less likely feline asthma), or unlikely other.
</t>
  </si>
  <si>
    <t>Consider computed tomography of the thorax for further evaluation, with/without tissue sampling depending or lung lobectomy depending on results.  Routine blood work may be contributory if not recently performed.  Oncologist consultation depending on results.   Empirical therapy and supportive care in the interim as needed.  Monitoring as directed or sooner if clinical signs acutely change, fail to improve or worsen.</t>
  </si>
  <si>
    <t xml:space="preserve">
1.The evaluation has a strong suspicion of pulmonary nodules or mass lesion being present._x000D_
2.The cardiac silhouette size is normal._x000D_
3.There is no evidence of DYNAMIC AIRWAY COLLAPSE or BRONCHIECTASIS._x000D_
4.A severe alveolar pattern and mild perihilar pattern have been detected._x000D_
5.Pleural fissure lines or moderate to severe pleural effusion has been detected. An overlying skin fold or in an obese animal, excessive pericardial fat could artifactually mimic the result of severe pleural effusion.</t>
  </si>
  <si>
    <t>5 images of the thorax are provided for review.  The trachea is dorsally deviated, indicating left ventricular enlargement.  A bulge is present in the region of the left atrium.  Interstitial opacity is present in the left caudal lung lobe near the hilus.  The mediastinal and pleural structures are normal.  The.  Cranial abdominal detail is adequate.</t>
  </si>
  <si>
    <t>Left-sided cardiomegaly.  Interstitial pulmonary pattern consistent with cardiogenic pulmonary edema.  Consider repeat radiographs following diuretic therapy.  Echocardiography may be helpful in further evaluation.  Mild variable tracheal diameter suggestive of dynamic tracheal collapse.  Fluoroscopy or bronchoscopy could be considered.</t>
  </si>
  <si>
    <t xml:space="preserve">
1.A minimal interstitial pulmonary pattern with a concurrent, mild perihilar infiltrate have been detected._x000D_
2.There is no evidence of ALVEOLAR PATTERN or PULMONARY NODULES._x000D_
3.Severe cardiomegaly has been detected but Heart Failure is NOT suspected.</t>
  </si>
  <si>
    <t>7 images of the thorax and abdomen are presented for review.  The cardiovascular structures are normal.  There is a moderate bronchial pattern in all lung lobes.  No pulmonary nodules or enlarged intrathoracic lymph nodes are seen.  The pleural and mediastinal structures are normal.  Abdominal serosal detail is adequate in all quadrants.  The stomach contains a small amount of ingesta.  The small intestines are normal in size.  Gas and feces are present in the colon.  The urinary bladder is small.  The remaining abdominal organs are normal.  There is spondylosis deformans of the thoracolumbar spine.</t>
  </si>
  <si>
    <t>Radiographically normal abdomen.  Moderate bronchial pulmonary pattern=ZZ90= consider bronchitis, response to inhaled irritants, response to circulating parasites, eosinophilic bronchopneumopathy.  Degenerative changes of the thoracolumbar spine.</t>
  </si>
  <si>
    <t xml:space="preserve">
1.A mild bronchial pattern and concurrent mild dynamic airway disease have been detected._x000D_
2.MILD BRONCHOINTERSTITIAL PULMONARY PATTERN; MILD DYNAMIC AIRWAY DISEASE._x000D_
3.MILD BRONCHOINTERSTITIAL PULMONARY PATTERN; MINIMAL PERIHILAR PATTERN._x000D_
4.Are respiratory signs present? If NO._x000D_
5.A minimal to mild perihilar infiltrate has been detected._x000D_
6.Based on these AI airway/pulmonary findings, the probability of this patient having clinically detectable respiratory signs is LOW to MEDIUM (25-50%)_x000D_
7.In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8.Are respiratory signs present? If YES._x000D_
9.In the PRESENCE of respiratory signs, low grade active pneumonitis (allergic, bacterial, parasitic (including heartworm disease), inhaled allergen or toxin) or upper airway disease causing pulmonary hypoinflation and/or recurrent microaspiration may be more likely._x000D_
10.Mild cardiomegaly has been detected but Heart Failure is NOT suspected._x000D_
11.There is no evidence of PULMONARY NODULES._x000D_
12.Based on the AI airway/pulmonary findings, the probability of this patient having clinically detectable respiratory signs is LOW (25%)</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</si>
  <si>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small.  Prostate is not visible.  The remaining abdominal organs are normal.  There is spondylosis deformans of the lumbar spine.</t>
  </si>
  <si>
    <t>Prominent rugal fold suggestive of gastritis.  This does not rule out underlying pancreatitis or infiltrative neoplasia.  Abdominal ultrasound could be considered.  Radiographically normal thorax for patient of this age.</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</si>
  <si>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ingesta.  The small intestines are normal in size.  Gas and feces are present in the colon.  The urinary bladder is distended.  The remaining abdominal organs are normal.  A fat opacity mass is present in the right inguinal to lateral abdominal region.  There is decreased visualization of the right caudal abdominal wall in the area of this mass.  There is spondylosis deformans of the thoracolumbar spine.  Mild osteophyte formation is seen in the femoral necks and acetabular rims.</t>
  </si>
  <si>
    <t>Right caudal abdominal wall mass consistent with infiltrative lipoma.  CT could be considered for surgical planning if desired.  Otherwise, radiographically normal abdomen.  Radiographically normal thorax for patient of this age.  Severe bilateral coxofemoral DJD.  Degenerative changes of the thoracolumbar spine.</t>
  </si>
  <si>
    <t>Five radiographs of the thorax and abdomen are provided. The cardiac silhouette and pulmonary vessels are normal size and shape. The lungs are clear. No pleural effusion. The plane of the esophagus is unremarkable. In the abdomen serosal detail is adequate. Normal-sized liver, spleen, left kidney. The right kidney is incompletely visible. Small volume gas in the stomach. Small bowel is mildly filled with fluid and gas. There is gas in the colon. No radiopaque foreign material or urolithiasis.</t>
  </si>
  <si>
    <t>Normal thorax and abdomen. A reason for the clinical signs is not identified. Gastroenteritis secondary to dietary indiscretion is most likely. There is no evidence of an obstructive process.</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</si>
  <si>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moderately distended.  The remaining abdominal organs are normal.  Osteophytes are present at the caudal aspect of the humeral heads and glenoid cavities bilaterally.  There is spondylosis deformans of the cervical thoracic and lumbar spine.  Marked osteophyte formation surrounds the coxofemoral joints bilaterally.</t>
  </si>
  <si>
    <t>Radiographically normal abdomen.  Radiographically normal thorax for patient of this age.  Bilateral shoulder and coxofemoral DJD.  Degenerative changes of the spine.</t>
  </si>
  <si>
    <t>A three view thoracoabdominal study is provided for interpretation._x000D_
_x000D_
No spinal abnormalities are identified. Soft tissues around the spine are unremarkable. There is mild flattening of both femoral heads. No subluxation of the hips is seen. No soft tissue swelling is identified._x000D_
_x000D_
 No mass lesions or organomegaly are seen in the abdomen. Abdominal serosal detail is normal. The GI tract is unremarkable._x000D_
_x000D_
The cardiopulmonary structures are within normal limits.</t>
  </si>
  <si>
    <t>No no anatomic abnormalities felt to be clinically significant regard to the presenting complaint are identified._x000D_
There is mild flattening of both femoral heads, but this is a relatively mild change and is not suspected to be associated with the clinical signs._x000D_
No significant abdominal abnormalities are identified. If intermittent abdominal distention is present, his could be associated with transient gas accumulation is not present in the current study.</t>
  </si>
  <si>
    <t xml:space="preserve">
1.MILD DIFFUSE MIXED BRONCHOINTERSTITIAL PULMONARY PATTERN; ATELECTASIS or less likely, PNEUMONIA._x000D_
2.Probability these AI pulmonary findings will accompany clinically detectable respiratory signs: LOW (25%)_x000D_
3.Are respiratory signs present? If YES._x000D_
4.Are respiratory signs present? If NO._x000D_
5.The cardiac silhouette size is normal._x000D_
6.Pleural fissure lines or small volume pleural effusion has been detected. In a mildly overweight animal, excessive pericardial fat can artifactually mimic the result of minimal pleural effusion.</t>
  </si>
  <si>
    <t>Airway sampling may be helpful in further evaluation.  Upper airway examination may also be helpful to rule out concurrent brachycephalic airway syndrome.</t>
  </si>
  <si>
    <t xml:space="preserve">
1.PULMONARY NODULES or NODULAR PATTERN; MODERATE TO SEVERE INTERSTITIAL TO ALVEOLAR PATTERN; PLEURAL EFFUSION; MILD BRONCHITIS; MILD PERIHILAR INFILTRATE._x000D_
2.Based on the AI airway/pulmonary findings, the probability of this patient having clinically detectable respiratory signs is VERY HIGH (&gt;75%)_x000D_
3.The evaluation has a strong suspicion of soft tissue pulmonary nodules or mass lesion being present._x000D_
4.Moderate cardiomegaly has been detected but Heart Failure is NOT suspected._x000D_
5.Are respiratory signs present? If NO._x000D_
6.Are respiratory signs present? If YES.</t>
  </si>
  <si>
    <t>THORAX (4 total radiographs for review).  Compared to previous examination 09/08/2022._x000D_
_x000D_
- The cardiac silhouette and pulmonary vasculature are normal._x000D_
- There is again a mild diffuse bronchial pattern present throughout the lungs._x000D_
- Small volume of fluid dynamically present in the caudal portion of the thoracic esophagus on the left lateral projection._x000D_
- The trachea, pleural space, mediastinum and remaining included intrathoracic structures are normal._x000D_
- The included cranial abdominal structures are normal._x000D_
- There is caudal thoracic vertebral spondylosis deformans.</t>
  </si>
  <si>
    <t>1.  Radiographically unremarkable cardiac silhouette and pulmonary vasculature.  This does not necessarily rule out cardiac disease given the reported history, and if not recently performed, echocardiogram, ECG and cardiologist consultation may be considered._x000D_
_x000D_
2.  Similar, mild, diffuse bronchial pulmonary pattern.  Most likely age-related lower airway changes however can indicate a component of chronic bronchitis._x000D_
_x000D_
3.  Mild caudal thoracic spondylosis deformans.</t>
  </si>
  <si>
    <t xml:space="preserve">
1.The cardiac silhouette size is normal._x000D_
2.There is no evidence of PERIHILAR INFILTRATE, DYNAMIC AIRWAY COLLAPSE or BRONCHIECTASIS or PLEURAL EFFUSION._x000D_
3.A mild bronchial pattern has been detected.</t>
  </si>
  <si>
    <t xml:space="preserve">
1.The evaluation has come up positive for a pulmonary nodular pattern._x000D_
2.MODERATE INTERSTITIAL TO ALVEOLAR PATTERN; MILD BRONCHITIS._x000D_
3.Based on the AI airway/pulmonary findings, the probability of this patient having clinically detectable respiratory signs is MEDIUM to HIGH (50-75%)_x000D_
4.Are respiratory signs present? If YES._x000D_
5.Are respiratory signs present? If NO._x000D_
6.Pleural fissure lines or moderate to severe pleural effusion has been detected. An overlying skin fold or in an obese animal, excessive pericardial fat could artifactually mimic the result of severe pleural effusion._x000D_
7.The cardiac silhouette size is normal.</t>
  </si>
  <si>
    <t>Orthogonal views of the thorax and abdomen are provided:_x000D_
_x000D_
Thorax:_x000D_
_x000D_
No signs of tracheal collapse._x000D_
The cranial mediastinum shows an oval and well defined soft tissue mass silhouetting with the cardiac silhouette, growing in the center but towards the left side._x000D_
Cardiac silhouette has a normal shape and size._x000D_
Pulmonary vessels are within normal limits of size and shape._x000D_
Pulmonary parenchyma shows increased interstitial lung pattern likely due to partial atelectasis. No evidence of pulmonary nodules/masses._x000D_
Pleural space, diaphragm and thoracic wall within normal limits.</t>
  </si>
  <si>
    <t>1) Cranial mediastinal mass silhouetting with the cardiac silhouette compatible with neoplasia such as a mass arising from the thymus (thymoma vs cranial mediastinal lymphoma vs thymic carcinoma is less frequent) vs chemodectoma vs ectopic thyroid or parathyroid tumor._x000D_
2) No signs of cardiomegaly (this does not exclude a cardiac disease)._x000D_
3) Lack of visualization of tracheal collapse does not exclude this differential (especially taking into account the breed). Unremarkable lungs do not exclude a bronchitis of allergic vs inflammatory/infectious or parasitic origin.</t>
  </si>
  <si>
    <t>Given the lack of cardiomegaly but audible murmur, consider a cardiology consultation with ECG and echocardiogram prior to a CT of the thorax to better evaluate the origin, margination and inavasiveness of this mass along with evaluation of involvement/invasion or presence of thrombus on the cranial mediastinal vessels and to completely rule out pulmonary metastases._x000D_
Evaluate the convenience of a fluoroscopy (followed by tracheobronchoscopy, BAL and culture/cytology)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If negative, consider empirical treatment for chronic bronchitis.</t>
  </si>
  <si>
    <t xml:space="preserve">
1.A minimal interstitial pattern has been detected._x000D_
2.The cardiac silhouette size is normal._x000D_
3.There is no evidence of DYNAMIC AIRWAY COLLAPSE or BRONCHIECTASIS or PULMONARY NODULES.</t>
  </si>
  <si>
    <t>Three radiographs of the thorax/abdomen are provided. Previous abdominal images dated 1/11/24 are available for comparison. There is prominence of the left atrium. Pulmonary vessels are normal size. There is soft tissue opacity with air bronchograms in the ventral left lungs. No pleural effusion or rib lesions. Redundant dorsal trachealis membrane causes moderate to severe narrowed cervical trachea. In the abdomen there is large volume gas in the stomach consistent with aerophagia. The liver is upper normal size with smooth margins,. Normal sized spleen and kidneys. Small intestines are mildly fluid-filled. Scant gas in the colon. No radiopaque urolithiasis.</t>
  </si>
  <si>
    <t>1. Ventral alveolar pattern on the left most consistent with aspiration pneumonia._x000D_
2. Prominent left atrium consistent with acquired mitral valve disease. There is no pulmonary venous congestion or evidence of heart failure. This is of doubtful clinical significance today._x000D_
3. Cervical tracheal collapse._x000D_
4. No abdominal abnormalities.</t>
  </si>
  <si>
    <t>Recommend antibiotics and supportive care. If GI signs persist, abdominal ultrasound would be recommended.</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</si>
  <si>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3.Are respiratory signs present? If YES._x000D_
4.Are respiratory signs present? If NO._x000D_
5.Mild cardiomegaly has been detected but Heart Failure is NOT suspected.</t>
  </si>
  <si>
    <t xml:space="preserve">Patient Name: daisy miranda, Date of study: Jul 23, 2024
3 images are provided for review
Canine Thorax (3 Images) - 2 Lateral, 1 Vd
Previous images dated [07/16/2024 Case#2712581, 07/16/2024 Case#2713040] are available for comparison.
Thorax:
Airway/pulmonary parenchyma: The lungs are hypoinflated on all projections. Alveolar infiltrates are present ventrally and a heavy interstitial pattern is present caudodorsally on the lateral projections. The left cranial lung lobe bronchus is displaced both caudally and left lateral suggestive of a mass in the heart base region. The trachea is also curved and displaced to the right also suggestive of a mass in the cranial mediastinum and/or heart base region. 
Cardiovascular: The cranial cardiac margin is partially obscured but rounding to the right heart is suspected based on the visible portion of the cardiac silhouette. Tracheal elevation is also present on the lateral projections. The visible cranial pulmonary arteries on the left lateral projection are decreased in size. The caudodorsal pulmonary vasculature appears distended. The CVC also appears mildly distended. 
Mediastinum: Increased soft tissue opacity is present in the cranial mediastinum on the lateral projections and on the VD projection. A soft tissue opacity is noted in the region of the caudal thoracic esophagus suggestive of esophageal dilation. 
Pleural space: Pleural fluid is present on the left on the VD projection. 
Cranial abdomen: The liver is mildly enlarged and has a rounded caudoventral margin. 
Msk: Ventral spondylosis affects the cranial thoracic vertebrae. </t>
  </si>
  <si>
    <t xml:space="preserve">1) Cranial mediastinal mass with secondary esophageal dilation. Ddx: thymoma resulting in esophageal dysmotility is suspected. Other considerations are thymic lymphoma vs. ectopic thyroid tissue vs. less suspected, cranial mediastinal lymphadenopathy. 
2) Aspiration pneumonia, likely secondary to esophageal dysmotility and/or compression of the left cranial lung lobe bronchus.
3) Right sided cardiomegaly. Main pulmonary artery partial obstruction causing decreased right ventricular outflow and right heart failure is suspected. 
4) Mild hepatomegaly with rounded margin. Rule out hepatic venous distention secondary to right heart failure. Infiltrative neoplasia affecting the liver is a lesser consideration. </t>
  </si>
  <si>
    <t xml:space="preserve">Ultrasound evaluation of the cranial thorax to confirm a mass and obtain sampling for a definitive diagnosis. Cardiac ultrasound. Oxygen therapy as needed. Abdominal ultrasound at the time of the cardiac ultrasound. 
Bloodwork and urinalysis, if not recently performed. Treatment for esophageal dysmotility and rule out thymoma with secondary megaesophagus. </t>
  </si>
  <si>
    <t xml:space="preserve">
1.Pleural fissure lines or moderate to severe pleural effusion has been detected. An overlying skin fold or in an obese animal, excessive pericardial fat could artifactually mimic the result of severe pleural effusion._x000D_
2.Mild cardiomegaly has been detected but Heart Failure is NOT suspected._x000D_
3.SEVERE INTERSTITIAL TO ALVEOLAR INFILTRATE; CONCURRENT MODERATE BRONCHIAL PATTERN and MILD DYNAMIC AIRWAY DISEASE._x000D_
4.Based on these AI airway/pulmonary findings, the probability of this patient having clinically detectable respiratory signs is HIGH (75%)_x000D_
5.Are respiratory signs present? If YES._x000D_
6.Are respiratory signs present? If NO.</t>
  </si>
  <si>
    <t>Three radiographs of the thorax, and three views of the abdomen are provided. Abdominal images dated 9/16/23 are available for comparison. There is equivocal prominence of the left atrium on the VD projection, not definitively seen on the lateral views. The right heart appears prominent on the VD view due to mild rotation. There are no abnormalities in the pulmonary parenchyma. No pleural effusion. Small volume fat deposition between the right cranial and middle lung lobe is incidental. Moderate narrowed cervical trachea on the right lateral view. No esophageal dilation._x000D_
_x000D_
In the abdomen the stomach contains moderate volume soft tissue opaque ingesta. Small bowel are mildly gas-filled. There is gas in the cecum. The colon is minimally filled. Normal-sized liver, spleen, left kidney. The right kidney is obscured. No radiopaque urolithiasis. Normal osseous structures.</t>
  </si>
  <si>
    <t>1. Dynamic cervical tracheal collapse, the most likely cause for coughing. Inhaled irritant/allergens or infectious airway disease could be contributing._x000D_
2. Prominent left atrium suggestive of chronic degenerative mitral valve disease. There is no evidence of pulmonary venous congestion or pulmonary edema. This is of doubtful clinical significance today, and not responsible for the cough._x000D_
3. Normal abdomen.</t>
  </si>
  <si>
    <t xml:space="preserve">
1.A minimal interstitial pulmonary pattern with a concurrent, minimal perihilar infiltrate have been detected._x000D_
2.A moderate bronchointerstitial pulmonary pattern detected._x000D_
3.Minimal cardiomegaly has been detected but Heart Failure is NOT suspected._x000D_
4.There is no evidence of PULMONARY NODULES.</t>
  </si>
  <si>
    <t>3 views of the thorax are provided for review.  The cardiovascular structures are normal.  There is a mild bronchial pattern in all lung lobes.  The trachea is narrowed in the cervical region.  The mediastinal and pleural structures are normal.  Cranial abdominal detail is adequate.</t>
  </si>
  <si>
    <t>Cervical tracheal narrowing suggestive of tracheal collapse.  Mild bronchial pulmonary pattern=ZZ90= consider bronchitis, response to inhaled irritants, response to circulating parasites, eosinophilic bronchopneumopathy.</t>
  </si>
  <si>
    <t>WHOLE-BODY (6 total radiographs for review). _x000D_
_x000D_
- Peritoneal serosal detail is normal._x000D_
- The stomach contains moderate gas and mild gas-stippled soft-tissue opaque material_x000D_
- The small intestine contains mild multifocal gas and minimal soft-tissue opaque material_x000D_
- The colon is moderately distended with gas and fluid, and has a rigid appearance._x000D_
- The liver, spleen, region of the kidneys and urinary bladder are normal._x000D_
- The cardiac silhouette and pulmonary vasculature are normal._x000D_
- The pulmonary parenchyma is normal_x000D_
- The trachea, esophagus and remainder of the mediastinum are normal._x000D_
- The pleural space and remaining intrathoracic structures are normal._x000D_
- Moderate bilateral coxofemoral periarticular osteophyte formation with femoral head and neck remodeling and reduced femoral head coverage._x000D_
- Suspected stifle osteoarthritis (limited assessment)._x000D_
- Moderate lumbosacral spondylosis deformans.</t>
  </si>
  <si>
    <t>1. The appearance of the gastrointestinal tract, particularly the colon, is compatible with a generalized functional ileus (e.g. gastroenterocolitis). There is no evidence of foreign material or mechanical obstruction.  If clinically indicated, consider abdominal ultrasound for further assessment._x000D_
_x000D_
2.  Normal thorax.  Despite lack of radiographic evidence of cardiomegaly, if a heart murmur is persistently auscultated, echocardiogram may be considered regardless._x000D_
_x000D_
3.  Bilateral moderate coxofemoral osteoarthritis with femoral head subluxation likely compatible with changes secondary to chronic laxity from canine hip dysplasia._x000D_
_x000D_
4.  Degenerative lumbosacral spondylosis deformans._x000D_
_x000D_
5.  Stifle osteoarthritis (limited assessment).</t>
  </si>
  <si>
    <t xml:space="preserve">
1.MILD BROCHIAL/BRONCHOINTERSTITIAL PULMONARY PATTERN._x000D_
2.Based on these AI airway/pulmonary findings, the probability of this patient having clinically detectable respiratory signs is LOW (25%)_x000D_
3.Are respiratory signs present? If YES._x000D_
4.Are respiratory signs present? If NO._x000D_
5.The evaluation has come up positive for a pulmonary nodular pattern._x000D_
6.The cardiac silhouette size is normal._x000D_
7.There is no evidence of PERIHILAR INFILTRATE or DYNAMIC AIRWAY COLLAPSE or BRONCHIECTASIS.</t>
  </si>
  <si>
    <t>THORAX (3 total radiographs for review). _x000D_
_x000D_
- Excessive body habitus._x000D_
- Soft tissue opaque band dorsally overlying the trachea in the region of the thoracic inlet._x000D_
- Mild diffuse bronchial pulmonary pattern._x000D_
- The cardiac silhouette and pulmonary vasculature are normal._x000D_
- The esophagus and remainder of the mediastinum are normal._x000D_
- The pleural space and remaining intrathoracic structures are normal._x000D_
- The stomach contains mild gas and soft tissue opaque material._x000D_
- The visible small intestinal segments in a mild homogenous soft tissue/fluid and/or overall nondistended._x000D_
- The colon contains mild formed fecal material._x000D_
- The liver, spleen, kidneys, urinary bladder are within normal limits._x000D_
- Mild multifocal spondylosis deformans most notable in the lumbar region.</t>
  </si>
  <si>
    <t>1.  The appearance of the trachea at the level of the thoracic inlet can be compatible with tracheal collapse secondary to chondromalacia._x000D_
_x000D_
2. Mild diffuse bronchial pattern. Most likely representing age-related lower airway changes, however a component of chronic bronchitis is possible, especially if there is a history of abnormal respiratory sounds, wheezing and/or coughing._x000D_
_x000D_
3.  Impression of a mildly small liver may be a normal patient variant or could reflect chronic hepatic disease such as hepatitis, hepatic fibrosis or portosystemic shunt._x000D_
_x000D_
4.  Lumbar spondylosis deformans._x000D_
_x000D_
5.  Excessive body habitus.</t>
  </si>
  <si>
    <t xml:space="preserve">
1.Are respiratory signs present? If NO._x000D_
2.Pleural fissure lines or small volume pleural effusion has been detected. In a mildly overweight animal, excessive pericardial fat can artifactually mimic the result of minimal pleural effusion._x000D_
3.Minimal cardiomegaly has been detected but Heart Failure is NOT suspected._x000D_
4.MILD to MODERATE BRONCHINTERSTITIAL PATTERN with ATELECTASIS or less likely, PNEUMONIA; MILD DYNAMIC AIRWAY DISEASE._x000D_
5.Based on these AI airway/pulmonary findings, the probability of this patient having clinically detectable respiratory signs is MEDIUM to HIGH (50-75%)_x000D_
6.Are respiratory signs present? If YES.</t>
  </si>
  <si>
    <t>Thorax: There is no evidence of pulmonary nodules.  There is a mild diffuse interstitial pattern.  The cardiac silhouette and pulmonary vasculature are unremarkable.  There is no evidence of pleural effusion or lymphadenopathy.  There are numerous regions of thoracic vertebral spondylosis deformities.</t>
  </si>
  <si>
    <t>Mild diffuse interstitial pattern most likely age-related.</t>
  </si>
  <si>
    <t xml:space="preserve">
1.The evaluation has come up positive for a pulmonary nodular pattern._x000D_
2.A minimal interstitial pattern has been detected._x000D_
3.The cardiac silhouette size is normal._x000D_
4.There is no evidence of PERIHILAR INFILTRATE or DYNAMIC AIRWAY COLLAPSE or BRONCHIECTASIS.</t>
  </si>
  <si>
    <t>Seven radiographs of the thorax and abdomen are provided. The heart and pulmonary vessels are normal size. There are no abnormalities in the pulmonary parenchyma. No pleural effusion. Normal tracheal diameter. The esophagus is not dilated._x000D_
_x000D_
In the abdomen the gastrointestinal tract is mildly filled. No radiopaque cystic calculi. Normal-sized liver and spleen. The kidneys are obscured. Curved 1.7 cm soft tissue opacity between the abdominal body wall and os penis on the left lateral view is likely a cutaneous nodule such as the one seen in the right flank region on the VD view.</t>
  </si>
  <si>
    <t>Normal thorax and abdomen. A reason for coughing is not identified. Inhaled irritants/allergens is suspected. Although no tracheal abnormalities are appreciated on this study, dynamic collapse remains possible. This should be correlated with characteristic of the cough and tracheal palpation. There is no evidence of cardiovascular disease on this study. Small valvular regurgitant jet can result in a relatively loud murmur.</t>
  </si>
  <si>
    <t xml:space="preserve">
1.MILD BRONCHOINTERSTITIAL PULMONARY PATTERN; MINIMAL to MILD PERIHILAR PATTERN._x000D_
2.Based on the AI airway/pulmonary findings, the probability of this patient having clinically detectable respiratory signs is LOW (25%)_x000D_
3.In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4.In the PRESENCE of respiratory signs, low grade active pneumonitis (allergic, bacterial, parasitic (including heartworm disease), inhaled allergen or toxin) or upper airway disease causing pulmonary hypoinflation and/or recurrent microaspiration may be more likely._x000D_
5.The cardiac silhouette size is normal._x000D_
6.There is no evidence of DYNAMIC AIRWAY COLLAPSE or BRONCHIECTASIS, PULMONARY NODULES or PLEURAL EFFUSION.</t>
  </si>
  <si>
    <t>Four radiographs of the thorax/abdomen are provided. There is a well-defined round 3.8 cm soft tissue opaque mass caudal to the tracheal bifurcation. This mass causes ventral and lateral displacement of the mainstem bronchi. There are several (at least four) additional smaller pulmonary nodules measuring up to 1.8 cm. Multiple lung lobes are affected. There is no pleural effusion. Moderate narrowed caudal cervical trachea. In the abdomen serosal detail is adequate. The liver is mildly enlarged. Normal-sized spleen and kidneys. The gastrointestinal tract is mildly filled. No radiopaque urolithiasis. The prostate is not definitively seen.</t>
  </si>
  <si>
    <t>1. Large mass at the tracheal bifurcation with several pulmonary nodules. Since the largest mass is most likely lymph node origin, neoplasia such as histiocytic sarcoma is the top differential. The largest mass may be a primary pulmonary mass or metastatic disease from a distant site._x000D_
2. Mild hepatomegaly, a nonspecific finding that may be steroid or other hepatopathy, acute inflammation, or neoplasia. No other definitive abdominal abnormalities.</t>
  </si>
  <si>
    <t>The thoracic masses are not adjacent to the thoracic wall therefore would not be visible with ultrasound for guided sampling purposes if a definitive diagnosis is desired. With the multiple lesions, complete surgical resection is not possible.</t>
  </si>
  <si>
    <t>3 views of the thorax are presented for review and compared with the study dated 1/23/2024.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Rounded mineral structures remain in the ventral liver in the area of the gallbladder.</t>
  </si>
  <si>
    <t>Radiographically normal thorax for a patient of this age. Persistent cholelithiasis.</t>
  </si>
  <si>
    <t>Orthogonal radiographs of the thorax and four views of the abdomen are provided. The cardiac silhouette and pulmonary vessels are normal size and shape. The lungs are clear. No pleural effusion or esophageal dilation._x000D_
_x000D_
In the abdomen there is no effusion. The cecum and colon are gas filled. Small intestines are mildly filled with gas and small volume fluid. No severe intestinal distention or plication. No radiopaque foreign material. Small volume gas in the stomach. Normal-sized kidneys, spleen, liver. The urinary bladder is mildly filled. Mineral densities overlying the urinary bladder on the right lateral view are not persistent and represent an artifact.</t>
  </si>
  <si>
    <t>Normal abdomen and thorax. Gastroenteritis secondary to dietary indiscretion/changes most likely. There is no evidence of an obstructive process.</t>
  </si>
  <si>
    <t>If the patient does not rapidly improve with supportive care, fasted abdominal ultrasound would be recommended.</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</si>
  <si>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contains irregular mineral structures.  Mineral is present in the renal pelves bilaterally.  The remaining abdominal organs are normal.  Spinal alignment is normal with a narrowed intervertebral disc spaces the coxofemoral joints are congruent.  No fractures or aggressive osseous lesions are seen.  The left patella is medially located.</t>
  </si>
  <si>
    <t>Cystic calculi and nephrolithiasis.  Radiographically normal thorax for patient of this age.  Left medial patellar luxation.  Otherwise, unremarkable osseous structures.</t>
  </si>
  <si>
    <t xml:space="preserve">
1.A minimal interstitial pulmonary pattern with a concurrent, mild perihilar infiltrate have been detected._x000D_
2.There is no evidence of ALVEOLAR PATTERN._x000D_
3.Mild cardiomegaly has been detected but Heart Failure is NOT suspected.</t>
  </si>
  <si>
    <t>Opposite lateral and VD views of the thorax are provided. There are four images for comparison to the previous study dated 5-9-24._x000D_
_x000D_
There are multiple small mineral dense pulmonary nodules similar to the previous study. Some very small nodular opacities that are more suspicious for a tiny soft tissue nodules are also suspected._x000D_
There is also a new finding of a moderate interstitial to alveolar pattern involving the right caudal lung in the area of the accessory lobe. There is a small quantity of esophageal gas. No tracheal abnormalities are identified. The cardiovascular structures are within normal limits._x000D_
_x000D_
There is slight irregular lucency associated with the vertebral endplates in the mid thoracic spine from T7 to T9. This was also present previously. There is also a similar appearance involving the third intersternebral space. Marked chronic remodeling changes and periarticular osseous bodies are seen involving both shoulder joints. No abnormalities are seen in the cranial abdomen.</t>
  </si>
  <si>
    <t>There is a localized interstitial to alveolar pattern in the right caudal lung in the general area of the accessory lung lobe and right caudal lobe compatible with regional pneumonia. This could be the result of aspiration, including aspiration of a radiolucent foreign body such as a grass awn._x000D_
The other lung fields have multiple small mineral dense nodules which are typically benign, but a few tiny soft tissue dense nodules are also suspected. This is a concern for possible neoplasia, but the radiographic appearance is subtle enough as to be equivocal at this time._x000D_
_x000D_
There is slight irregular lucency involving the vertebral endplates in the mid thoracic spine and at the third intersternebral space. These are subtle changes but slightly suspicious for possible discospondylitis. Degenerative causes are also still possible, especially since the appearance is not appear to have progressed since the previous radiographs two months ago.</t>
  </si>
  <si>
    <t>CBC is recommended._x000D_
_x000D_
Antibiotic therapy for suspected regional pneumonia is recommended._x000D_
_x000D_
A recheck a three view study of the thorax is recommended in two weeks.</t>
  </si>
  <si>
    <t xml:space="preserve">
1.PLEURAL EFFUSION or PLEURAL FISSURE LINES; PULMONARY NODULES or NODULAR PATTERN; MODERATE TO SEVERE INTERSTITIAL TO ALVEOLAR PATTERN; MILD BRONCHITIS._x000D_
2.Based on the AI airway/pulmonary findings, the probability of this patient having clinically detectable respiratory signs is VERY HIGH (&gt;75%)_x000D_
3.The evaluation has a suspicion of pleural effusion and soft tissue pulmonary nodules or a mass lesion being present._x000D_
4.Are respiratory signs present? If YES._x000D_
5.Resource: https://vsso.org/lung-tumors-canine_x000D_
6.The cardiac silhouette size is normal._x000D_
7.Are respiratory signs present? If NO.</t>
  </si>
  <si>
    <t>Orthogonal views of the head, thorax and abdomen are provided:_x000D_
_x000D_
Head:_x000D_
_x000D_
The soft palate is thickened and elongated. There is also marked submandibular soft tissue swelling protruding ventrally, which along with the thickened soft palate narrow the oropharynx._x000D_
Rest of the nasal, oral cavities and head are unremarkable._x000D_
Pharynx, larynx and hyoid apparatus are unremarkable._x000D_
_x000D_
Thorax:_x000D_
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t>
  </si>
  <si>
    <t>1) Thickened and elongated soft palate: rule out secondary to BOAS vs inflammatory._x000D_
2) Submandibular swelling: rule out mandibular lymphadenopathy with +/- submandibular abscess or cellulitis vs an organic foreign body should also be excluded._x000D_
3) Unremarkable thorax and abdomen.</t>
  </si>
  <si>
    <t>CT of the nasal cavity/head with oropharyngeal and laryngeal exam under sedation.</t>
  </si>
  <si>
    <t xml:space="preserve">
1.A mild interstitial to alveolar pattern and minimal perihilar pattern have been detected._x000D_
2.A mild, diffuse mixed bronchointerstitial pattern with potential small regions of alveolar infiltrate has been detected._x000D_
3.The cardiac silhouette size is normal._x000D_
4.There is no evidence of PULMONARY NODULES._x000D_
5.A mild bronchial pattern and minimal perihilar infiltrate have been detected.</t>
  </si>
  <si>
    <t>Orthogonal views of the thorax are provided (markedly expiratory rads):_x000D_
_x000D_
Thorax:_x000D_
_x000D_
There is marked intrathoracic tracheal collapse._x000D_
Cardiac silhouette has a normal shape and size._x000D_
Pulmonary vessels are within normal limits of size and shape._x000D_
Pulmonary parenchyma shows a false interstitial pattern due to markedly expiratory rads. Pneumonia or pulmonary nodules can not really be excluded._x000D_
Pleural space, mediastinum, diaphragm and thoracic wall within normal limits.</t>
  </si>
  <si>
    <t>1) Findings consistent with intrathoracic tracheal collapse. Unremarkable lungs do not exclude a bronchitis of allergic vs inflammatory/infectious or parasitic origin. Pneumonia or pulmonary nodules can not really be excluded.</t>
  </si>
  <si>
    <t>Consider new full inspiratory radiographs prior to a fluoroscopy (followed by tracheobronchoscopy, BAL and culture/cytology) to rule in intrathoracic tracheal collapse and to rule in/out extrathoracic vs bronchial component, evaluating treatment options. Take advantage of the bronchoscopy to further evaluate the larynx given 30% of patients with tracheal collapse display different degrees of laryngeal paralysis.</t>
  </si>
  <si>
    <t xml:space="preserve">
1.Given this combination of above thoracic findings, a radiologist over read may be beneficial._x000D_
2.Severe cardiomegaly has been detected but Heart Failure is NOT suspected.</t>
  </si>
  <si>
    <t>Eleven radiographs are provided, with images of the thorax, abdomen, thoracolumbar spine, pelvis, stifles. The cardiac silhouette and pulmonary vessels are normal size and shape. There are several incidental pulmonary osteomas. No soft tissue pulmonary nodules or pleural effusion. Normal cranial mediastinal width and tracheal diameter. Narrowed T5-6, T6-7 intervertebral disc spaces, likely incidental._x000D_
_x000D_
In the abdomen the liver, spleen, and kidneys are normal size. Moderate volume soft tissue opaque ingesta in the stomach. Small and large bowel are minimally filled. No radiopaque cystic calculi. The T13-L1 intervertebral foramen, L1-2 intervertebral disc space are narrowed. Vertebral alignment is normal. The coxofemoral joints are congruent and without degenerative change. There is increased opacity overlying the cranial aspect of the right stifle joint, although stifle joint evaluation of both limbs is limited by superimposed prepuce. There are no abnormalities with the right tibial implants.</t>
  </si>
  <si>
    <t>1. Suspect right stifle effusion, concerning for cranial cruciate ligament tear/rupture._x000D_
2. The appearance of T13-L1 and L1-2 may represent a protruding/extruded intervertebral disc. Such a lesion at these or another site is the most likely cause for neurologic deficits._x000D_
3. Normal abdomen and thorax.</t>
  </si>
  <si>
    <t>Recommend palpation for right stifle instability. In light of the neurologic deficits, consultation with a neurologist and advanced spinal imaging such as MRI should be considered.</t>
  </si>
  <si>
    <t xml:space="preserve">
1.MILD BRONCHIAL PATTERN; NODULAR PULMONARY PATTERN which is likely due to overlying CUTANEOUS NODULES or MINERALIZED COSTOCHONDRAL JUNCTIONS._x000D_
2.Based on the AI airway/pulmonary findings, the probability of this patient having clinically detectable respiratory signs is LOW to MEDIUM (25%-50%)_x000D_
3.The evaluation has come up positive for a pulmonary nodular pattern._x000D_
4.Are respiratory signs present? If YES._x000D_
5.Are respiratory signs present? If NO._x000D_
6.The cardiac silhouette size is normal._x000D_
7.There is no evidence of ALVEOLAR PATTERN, DYNAMIC AIRWAY COLLAPSE or BRONCHIECTASIS or PLEURAL EFFUSION.</t>
  </si>
  <si>
    <t>Three radiographs of the thorax and three views of the abdomen are provided. The cardiac silhouette is normal size and shape. Pulmonary vessels are obscured by the lung pattern. There is a tremendous amount of small variably sized round soft tissue opaque nodules throughout the lungs. The nodules measure up to 1.7 cm, and all lung lobes are severely affected. No pleural effusion. Adequate tracheal diameter. No osseous abnormalities._x000D_
_x000D_
In the abdomen there is scant mid ventral peritoneal effusion. The liver is upper normal size. Normal-sized spleen and kidneys. The gastrointestinal tract is mildly filled. No radiopaque cystic calculi.</t>
  </si>
  <si>
    <t>Scant peritoneal effusion and diffuse, severe pulmonary metastatic disease. Although a mass lesion is not definitively seen, neoplasia originating from the abdomen such as hemangiosarcoma is most likely.</t>
  </si>
  <si>
    <t>Prognosis is very poor.</t>
  </si>
  <si>
    <t xml:space="preserve">
1.The evaluation has a strong suspicion of soft tissue pulmonary nodules or mass lesion being present._x000D_
2.PULMONARY NODULES or NODULAR PATTERN; MODERATE TO SEVERE INTERSTITIAL TO ALVEOLAR PATTERN; PLEURAL EFFUSION; MILD BRONCHITIS; MILD PERIHILAR INFILTRATE._x000D_
3.Based on the AI airway/pulmonary findings, the probability of this patient having clinically detectable respiratory signs is VERY HIGH (&gt;75%)_x000D_
4.Are respiratory signs present? If YES._x000D_
5.Are respiratory signs present? If NO._x000D_
6.The cardiac silhouette size is normal.</t>
  </si>
  <si>
    <t>Orthogonal views of the thorax are provided:_x000D_
_x000D_
Thorax:_x000D_
_x000D_
Cardiac silhouette shows a mild enlargement of the left atrium dorsally displacing the carina but also of the left auricle in the VD view. Right atrium is also rounded._x000D_
Both lateral views show a caudodorsal tubular soft tissue opacity suspicious of an enlarged caudal arterial branch. Rest of the pulmonary vessels are within normal limits of size and shape._x000D_
Pulmonary parenchyma is within normal limits. No evidence of pulmonary nodules/masses._x000D_
Pleural space, mediastinum, diaphragm and thoracic wall within normal limits.</t>
  </si>
  <si>
    <t>1) Left atrial enlargement secondary to chronic mitral endocardiosis without signs of CHF. Rule out concomitant tricuspid endocardiosis with pulmonary hypertension._x000D_
2) Caudodorsal tubular soft tissue opacity suspicious of an enlarged caudal arterial branch. Rule out again HW disease vs for pulmonale less likely.</t>
  </si>
  <si>
    <t>A single R lateral view of the thorax is provided:_x000D_
_x000D_
Thorax:_x000D_
_x000D_
There is pleural effusion with visible pleural fissure lines, retracting the lung lobes from the thoracic wall, leading to an increased pulmonary opacification due to lung atelectasis and increased the opacification of the thorax._x000D_
Cardiac silhouette has a normal shape and size._x000D_
Pulmonary vessels are within normal limits of size and shape._x000D_
Aerated pulmonary parenchyma is within normal limits. Can not exclude pulmonary pathology given there is just one view._x000D_
Mediastinum, diaphragm and thoracic wall can not be evaluated without a VD view.</t>
  </si>
  <si>
    <t>1) Incomplete study with pleural effusion: rule out modified transudate vs exudate (i.e: pyothorax).</t>
  </si>
  <si>
    <t>VD view of the thorax and thoracocentesis ideally after a CT of the thorax.</t>
  </si>
  <si>
    <t xml:space="preserve">
1.This evaluation has a strong suspicion of soft tissue pulmonary nodules or mass lesion being present._x000D_
2.PULMONARY NODULES or NODULAR PATTERN; PLEURAL EFFUSION; MODERATE INTERSTITIAL TO ALVEOLAR PATTERN._x000D_
3.Based on these AI airway/pulmonary findings, the probability of this patient having clinically detectable respiratory signs is HIGH (75%)_x000D_
4.The cardiac silhouette size is normal._x000D_
5.Are respiratory signs present? If YES._x000D_
6.Are respiratory signs present? If NO.</t>
  </si>
  <si>
    <t>Orthogonal views of the thorax are provided:_x000D_
_x000D_
Thorax:_x000D_
_x000D_
Cardiac silhouette has a normal shape and size._x000D_
Pulmonary vessels are within normal limits of size and shape._x000D_
Pulmonary parenchyma shows an alveolar pulmonary pattern with air bronchograms ventrally located on both cranial lung lobes, right middle lung lobe and cranial aspects of the left caudal lung lobe. No evidence of pulmonary nodules/masses._x000D_
Pleural space, mediastinum, diaphragm and thoracic wall within normal limits.</t>
  </si>
  <si>
    <t>1) Alveolar pulmonary pattern with air bronchograms ventrally located on both cranial lung lobes, right middle lung lobe and cranial aspects of the left caudal lung lobe consistent with aspiration pneumonia.</t>
  </si>
  <si>
    <t xml:space="preserve">
1.MODERATE INTERSTITIAL TO ALVEOLAR PATTERN; PULMONARY NODULES or NODULAR PATTERN; MILD BRONCHITIS_x000D_
2.Based on the AI airway/pulmonary findings, the probability of this patient having clinically detectable respiratory signs is MEDIUM (50%). A few (&lt;5) soft tissue pulmonary nodules may be present._x000D_
3.Chronic bronchointerstitial lung disease (bacterial vs allergic vs parasitic lung disease, including heartworm pathosis) with concurrent atelectasis, pneumonia or pulmonary hemorrhage is most likely._x000D_
4.A few (&lt;5) soft tissue pulmonary nodules, cutaneous nodules or nipples overlying the thorax have also been detected._x000D_
5.The cardiac silhouette size is normal._x000D_
6.There is no evidence of DYNAMIC AIRWAY COLLAPSE or BRONCHIECTASIS.</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</si>
  <si>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WNL._x000D_
_x000D_
Visible spine is unremarkable without signs of disc herniation, aggressive bone lesions, vertebral fractures or subluxations._x000D_
VD view of the pelvis and stifles are unremarkable.</t>
  </si>
  <si>
    <t>Consider a neuro exam with MRI if necessary: if negative, consider an orthopedic exam under sedation.</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</si>
  <si>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Unremarkable lateral abdomen (spleen summating with the liver)._x000D_
Uterus is not distinguished.</t>
  </si>
  <si>
    <t>Consider abdominal US to rule out abdominal metastases and to further evaluate the uterus.</t>
  </si>
  <si>
    <t>THORAX (3 total radiographs for review).  A previous examination is available for comparison from 2023._x000D_
_x000D_
- Mild, diffuse bronchial pattern._x000D_
- Widening of the cranial mediastinum._x000D_
- The cardiac silhouette and pulmonary vasculature are normal._x000D_
- The pulmonary parenchyma is normal_x000D_
- The trachea, esophagus are normal._x000D_
- The pleural space and remaining intrathoracic structures are normal._x000D_
- The stomach contains mild gas and gas stippled soft tissue opaque material._x000D_
- The remaining cranial abdominal structures are normal._x000D_
- Multiple expected breed related wedge-shaped hemi-vertebral segments with multifocal thoracic and thoracolumbar spondylosis deformans._x000D_
- Bilateral cubital osteoarthritis (limited assessment).</t>
  </si>
  <si>
    <t>1.  A discrete cause for the reported slowing down and excessive panting is not clearly identified.  There is no distinct cardiomegaly appreciated, and no evidence of congestive heart failure._x000D_
_x000D_
2. Mild diffuse bronchial pattern. Most likely representing age-related lower airway changes, however a component of chronic bronchitis is possible._x000D_
_x000D_
3.  Widening of the cranial mediastinum can be expected in bulldogs and due to excessive mediastinal fat deposition.  Mediastinal effusion or a mass are less likely as there is no tracheal displacement however they remain possible._x000D_
_x000D_
4.  Aerophagia._x000D_
_x000D_
5.  Bilateral cubital osteoarthritis._x000D_
_x000D_
6.  Multiple expected breed related thoracic hemivertebrae and spondylosis.</t>
  </si>
  <si>
    <t xml:space="preserve">
1.Are respiratory signs present? If YES._x000D_
2.Are respiratory signs present? If NO._x000D_
3.The evaluation has come up positive for a pulmonary nodular pattern._x000D_
4.MILD BRONCHOINTERSTITIAL PULMONARY PATTERN; MINIMAL DYNAMIC AIRWAY DISEASE; END ON VESSELS, PROMINENT COSTOCHONDRAL JUNCTIONS or CUTANEOUS NODULES OR LESS LIKELY, PULMONARY NODULES OR NODULAR PATTERN._x000D_
5.MODERATE INTERSTITIAL TO ALVEOLAR PATTERN; PULMONARY NODULES or NODULAR PATTERN; MILD BRONCHITIS_x000D_
6.MODERATE INTERSTITIAL TO ALVEOLAR INFILTRATE; MILD BRONCHIAL PATTERN; MILD PERIHILAR INFILTRATE._x000D_
7.The evaluation has detected soft tissue pulmonary nodules._x000D_
8.Based on the AI airway/pulmonary findings, the probability of this patient having clinically detectable respiratory signs is MEDIUM (50%). A few (&lt;5) soft tissue pulmonary nodules may be present._x000D_
9.Based on the AI airway/pulmonary findings, the probability of this patient having clinically detectable respiratory signs is LOW (25%)_x000D_
10.Based on these AI airway/pulmonary findings,  the probability of this patient having clinically detectable respiratory signs is HIGH (75%)_x000D_
11.Are respiratory signs present? If YES._x000D_
12.Are respiratory signs present? If YES._x000D_
13.Are respiratory signs present? If NO._x000D_
14.The cardiac silhouette size is normal._x000D_
15.Are respiratory signs present? If NO.</t>
  </si>
  <si>
    <t>THORAX (2 total radiographs for review). _x000D_
_x000D_
- Mild narrowing/opacification of the tracheal lumen on the right lateral projection in the caudal cervical region/thoracic inlet._x000D_
- Mild, diffuse bronchial pulmonary pattern._x000D_
- Mild widening of the cranial mediastinum on the VD projection._x000D_
- The regions of the sternal and tracheobronchial lymph nodes are normal._x000D_
- The cardiac silhouette, pulmonary vasculature, pleural space, mediastinum and remaining included intrathoracic structures are normal._x000D_
- The cranial abdomen is normal._x000D_
- There is minimal caudal thoracic spondylosis deformans.</t>
  </si>
  <si>
    <t>1.  Overall, an obvious radiographic cause for the reported coughing is not clearly identified._x000D_
_x000D_
2.  Opacification and narrowing of the tracheal lumen in the caudal cervical region can be compatible with the reported collapsing trachea however the patient is an atypical breed for this pathology._x000D_
_x000D_
3. Mild diffuse bronchial pattern.  Given that there are respiratory signs reported, this can indicate chronic lower airway disease such as bronchitis however a component of this can be expected normal age-related airway change_x000D_
_x000D_
4.  Mild widening of the cranial mediastinum on the VD projection can be due to incidental fat deposition however can less likely indicate mediastinal lymphadenopathy, effusion or a mass.  Further assessment with thoracic CT might be considered if clinically indicated.</t>
  </si>
  <si>
    <t xml:space="preserve">
1.A moderate interstitial to alveolar pattern with a concurrent mild bronchial pattern and dynamic airway disease has been detected._x000D_
2.Moderate dynamic airway disease has been detected._x000D_
3.The cardiac silhouette size is normal.</t>
  </si>
  <si>
    <t>No contraindications to further treatment or anesthesia.</t>
  </si>
  <si>
    <t xml:space="preserve">
1.A mild interstitial pattern has been detected._x000D_
2.The cardiac silhouette size is normal._x000D_
3.There is no evidence of BRONCHITIS, ALVEOLAR PATTERN, PERIHILAR INFILTRATE, DYNAMIC AIRWAY COLLAPSE or BRONCHIECTASIS or PLEURAL EFFUSION.</t>
  </si>
  <si>
    <t>Opposite lateral and VD thorax views are provided._x000D_
_x000D_
The cardiovascular structures are within normal limits. There is a mild bronchointerstitial pattern. The lung pattern is suspected to be partly due to hypoinflation artifact. No alveolar infiltrates or pleural effusion are seen. The trachea has smooth walls and normal uniform diameter.</t>
  </si>
  <si>
    <t>Clinical significance of the mild bronchointerstitial pattern is equivocal. The subjective appearance would be compatible with allergic bronchitis or low-grade infectious bronchitis, but the contribution of hypoinflation artifact cannot be definitively determined._x000D_
No evidence of pneumonia or cardiovascular disease is seen. No evidence of neoplasia is identified.</t>
  </si>
  <si>
    <t>Symptomatic therapy for the cough is recommended._x000D_
_x000D_
CBC and heartworm testing is recommended._x000D_
If clinical signs worsen or do not improve over the next two weeks, follow up radiographs and recheck CBC with fungal panel is recommended.</t>
  </si>
  <si>
    <t>A total of 4 views of the thorax consisting of 2 laterals and 2 VD views are submitted for review.  No dates are noted on the individual images.  In 1 set of images, a medium to large soft tissue opacity nodule is noted in the ventral thorax on the lateral views and in the region of the right caudal thorax on the VD view.  A marked generalized bronchointerstitial pattern is noted throughout the lung fields and these 2 radiographs.  The other 3 images reveal a generalized bronchointerstitial pattern similar to the other study but without the large nodule.  Smaller somewhat ill-defined nodules suspected throughout the lung fields however.  The cardiovascular structures appear within normal limits in both studies.  There is mild perihilar lymphadenopathy in the lateral view without the larger nodule which does not appear in the other lateral view.</t>
  </si>
  <si>
    <t>Persistent and progressive bronchointerstitial and nodular pulmonary pattern is noted throughout the lung fields.  This is consistent with a history of fungal pneumonia and probable fungal granulomas.  There appears to have been some degree of perihilar lymphadenopathy in the set of films with the slightly less severe pulmonary pattern and without the pulmonary nodule.  If this is the earlier study, this appears to be improved in the second study.</t>
  </si>
  <si>
    <t>Given the clinical improvement and negative fungal testing results, the appearance of the lung fields may be associated with residual granulomatous inflammation.  The development of a separate disease process as with early primary pulmonary neoplasia cannot be definitively excluded but is thought less likely._x000D_
_x000D_
Continuation of antifungal medications appears indicated.  Consultation with an internist may also be helpful for further guidance.</t>
  </si>
  <si>
    <t xml:space="preserve">
1.SEVERE INTERSTITIAL TO ALVEOLAR PATTERN; PULMONARY NODULES OR MASS LESION; PLEURAL FLUID or PLEURAL THICKENING; MILD BRONCHIAL PATTERN; MINIMAL DYNAMIC AIRWAY DISEASE._x000D_
2.Are respiratory signs present? If YES._x000D_
3.The evaluation has a strong suspicion of soft tissue pulmonary nodules or mass lesion being present._x000D_
4.Based on these AI airway/pulmonary findings, the probability of this patient having clinically detectable respiratorysigns is VERY HIGH (&gt;75%)_x000D_
5.The evaluation has come up positive for a pulmonary nodular pattern and pleural fissure lines or pleural effusion._x000D_
6.Are respiratory signs present? If NO._x000D_
7.PULMONARY NODULES or NODULAR PATTERN; MODERATE TO SEVERE INTERSTITIAL TO ALVEOLAR PATTERN; PLEURAL EFFUSION; MILD BRONCHITIS; MILD PERIHILAR INFILTRATE._x000D_
8.Based on the AI airway/pulmonary findings, the probability of this patient having clinically detectable respiratory signs is VERY HIGH (&gt;75%)_x000D_
9.Are respiratory signs present? If YES._x000D_
10.The cardiac silhouette size is normal._x000D_
11.Are respiratory signs present? If NO.</t>
  </si>
  <si>
    <t>Orthogonal views of the thorax are provided:_x000D_
_x000D_
Thorax:_x000D_
_x000D_
There is severe left atrium enlargement that dorsally displaces the carina, producing an overall severe cardiomegaly._x000D_
The pulmonary veins are enlarged when crossing the 4th ribs._x000D_
There is a peri-hilar and generalized interstitial lung pattern worse in the caudal lung lobes where there is a diffuse caudodorsal alveolo-interstitial pulmonary pattern._x000D_
Normal mediastinum, diaphragm and thoracic wall._x000D_
_x000D_
Liver extends beyond the costal arch with sharp margins.</t>
  </si>
  <si>
    <t>1) Cardiomegaly (left sided), enlarged pulmonary veins with peri-hilar and generalized interstitial lung pattern worse in the caudal lung lobes where there is a diffuse caudodorsal alveolo-interstitial pulmonary pattern. Findings consistent with left sided congestive heart failure secondary to chronic mitral endocardiosis. Rule out tricuspid endocardiosis with post-capillary pulmonary hypertension._x000D_
2) Hepatomegaly: Metabolic vs Vacuolar infiltration vs Early right sided congestive heart failure vs Hepatic nodular hyperplasia vs Inflammatory vs Toxic vs Neoplastic or a combination of these differentials.</t>
  </si>
  <si>
    <t xml:space="preserve">
1.A concurrent bronchial pattern has been detected._x000D_
2.Based on these AI airway/pulmonary findings, the probability of this patient having clinically detectable respiratory signs is MEDIUM (50%)_x000D_
3.Are respiratory signs present? If YES._x000D_
4.A moderate to severe interstitial to alveolar pattern has been detected._x000D_
5.MODERATE DYNAMIC AIRWAY DISEASE; MILD BRONCHIAL PATTERN._x000D_
6.Are respiratory signs present? If NO._x000D_
7.A severe alveolar pattern has been detected._x000D_
8.A moderate perihilar infitlrate has been detected._x000D_
9.Pleural fissure lines or moderate to severe pleural effusion has been detected. An overlying skin fold or in an obese animal, excessive pericardial fat could artifactually mimic the result of severe pleural effusion._x000D_
10.Severe cardiomegaly has been detected but Heart Failure is NOT suspected.</t>
  </si>
  <si>
    <t>A two view study of the abdomen is provided._x000D_
_x000D_
There is a small quantity of granular mineral density within the intestinal tract. The distal colon and rectum are mildly distended with firm appearing fecal balls. No dilation of the stomach or small intestine is seen. No foreign objects of significant size are identified. Serosal detail is suboptimal, but typical for the young age of the patient. No mass effect or organomegaly is identified.</t>
  </si>
  <si>
    <t>The distended appearance of the distal colon and rectum is compatible with constipation._x000D_
The fragmented mineral density in the intestinal tract is mostly compatible with dirt but could also include tiny bone fragments or tiny bits of foil. No clumps of foil considered an obstructive hazard are identified. There is no obstructive pattern.</t>
  </si>
  <si>
    <t>Symptomatic therapy for gastroenteritis is recommended._x000D_
If the patient is not defecated the next 24 hours, enema could be considered.</t>
  </si>
  <si>
    <t xml:space="preserve">
1.SEVERE ALVEOLAR PATTERN; MODERATE DYNAMIC AIRWAY DISEASE; MILD, DIFFUSE BRONCHOINTERSTITIAL PULMONARY PATTERN._x000D_
2.Based on these AI airway/pulmonary findings, the probability of this patient having clinically detectable respiratory signs is VERY HIGH (&gt;75%)_x000D_
3.Are respiratory signs present? If YES._x000D_
4.Are respiratory signs present? If NO._x000D_
5.Minimal cardiomegaly has been detected but Heart Failure is NOT suspected.</t>
  </si>
  <si>
    <t xml:space="preserve">Patient Name: Lilo Ornelos, Date of study: Jul 22, 2024
3 images are provided for review
There are no previous radiographs for comparison.
Thorax:
Airway/pulmonary parenchyma: An endotracheal tube is in place with the endotracheal tube terminating in the thoracic trachea on the right lateral projection and at the carina on the left lateral projection. Extra- and intrathoracic tracheal diameter cannot be determined on this study due to the endotracheal tube, but diffuse tracheal narrowing cannot be excluded. On the VD projection, the trachea is along midline.
The lungs are severely hypoinflated on all projections. On both lateral projections, alveolar infiltrates are present cranial and caudal to the heart. On the VD projection, alveolar infiltrates are present in the entire right lung, accessory lung lobe and left caudal lung lobe. Interstitial pattern is present in the left cranial lung lobe. Lobar bronchial dilation is present on the lateral projections. 
Cardiovascular: Moderate cardiomegaly is present which appears primarily right sided on the lateral projections. On the VD projection, an increase in opacity is associated with the right caudolateral aspect of the heart. This increase in opacity has lucent regions making a combination of lung infiltrate and pericardial fat more likely than extension of the cardiac silhouette. A soft tissue bulge is left laterally positioned at the 2nd through 4th rib spaces. Axial to this soft tissue bulge is another faint soft tissue opacity with a more cranially positioned soft tissue bulge. These two soft tissue opacities are thought to represent an aortic bulge axially and a pulmonic bulge laterally. On the right lateral projection, soft tissue opacities are noted in the caudodorsal thorax and thought to represent enlarged pulmonary vasculature. The CVC is elevated. 
Mediastinum: Widening to the cranial mediastinum is present. The entire thoracic esophagus is gas distended and the esophagus focally deviates to the left at the C7-T1 space on the VD projection. 
Pleural space: Scant pleural fluid is present. 
Cranial abdomen: The stomach is moderately to severely gas dilated. On the left lateral projection, the gastric silhouette appears abnormal but this appearance doesn't persist on the right lateral or VD projections. Cranial abdominal detail is mildly decreased consistent with abdominal fluid. 
Msk: Congenital caudal thoracic vertebral abnormalities (butterfly vertebrae) are present. On both lateral projections, the glenoid cavities appear slightly shallow. </t>
  </si>
  <si>
    <t xml:space="preserve">1) Cardiomegaly with right sided cardiomegaly on the lateral projections and less severe left sided cardiomegaly. Ddx: congenital cardiac disease vs. secondary to pulmonary hypertension due to chronic lung disease. For the congenital cardiac disease, PRAA with esophageal entrapment and concurrent PDA causing the esophageal dilation and soft tissue opacities in the region of the descending aorta and pulmonary artery on the VD projection is the primary consideration. 
2) Pulmonary infiltrates consistent with aspiration pneumonia. A component of the pulmonary infiltrate is also secondary to hypoinflation. 
3) Scant pleural fluid and abdominal fluid. Right heart failure suspected.  
4) Gastric dilation. Aerophagia and/or functional ileus secondary to anesthesia. 
5) Congenital hypoplastic trachea cannot be ruled out from this study.
6) Congenital vertebral abnormalities. Possible hypoplastic glenoid cavities. </t>
  </si>
  <si>
    <t xml:space="preserve">Treatment for aspiration pneumonia. Oxygen therapy as needed. Cardiac ultrasound. Repeat thoracic radiographs after endotracheal tube removal to reassess the pulmonary infiltrates with less severe hypoinflation. </t>
  </si>
  <si>
    <t xml:space="preserve">
1.Pleural fissure lines or moderate to severe pleural effusion has been detected. An overlying skin fold or in an obese animal, excessive pericardial fat could artifactually mimic the result of severe pleural effusion._x000D_
2.Moderate cardiomegaly has been detected but Heart Failure is NOT suspected._x000D_
3.Are respiratory signs present? If NO._x000D_
4.SEVERE INTERSTITIAL TO ALVEOLAR PATTERN; SEVERE DYNAMIC AIRWAY DISEASE; MILD BRONCHIAL PATTERN._x000D_
5.Based on these AI airway/pulmonary findings, the probability of this patient having clinically detectable respiratory signs is VERY HIGH (&gt;75%)_x000D_
6.Are respiratory signs present? If YES.</t>
  </si>
  <si>
    <t>Three radiographs of the thorax and three views of the abdomen are provided. Images dated 2/21/24 are available for comparison. There is equivocal prominence of the left atrium. Pulmonary vessels are normal size. There is a mild bronchial pattern throughout the lungs. Increased opacity overlying the ventral heart on the lateral view are superimposed skin folds. No definitive interstitial infiltrates. There is no pleural effusion. Adequate tracheal diameter. No esophageal dilation. Fat opaque 4.4 cm lipomatous thickening ventral to the caudal sternum is incidental._x000D_
_x000D_
In the abdomen the liver is prominent as before. Hepatic margins are smooth. Normal-sized spleen and kidneys. The stomach contains a large amount of soft tissue opacity that is stippled with gas. Several ovoid kibble-like contours within the stomach. Small bowel are minimally filled. Formed feces fills the descending colon. No radiopaque cystic calculi. Radiopaque ovoid neuticles seen caudodorsal to the os penis. Punctate mineral density cranial to the left femoral greater trochanter is incidental.</t>
  </si>
  <si>
    <t>1. Gastric contents appears to be normal ingesta. All or a portion of gastric contents could be foreign material causing gastritis and  pyloric outflow obstruction. There is no evidence of small bowel obstruction._x000D_
2. Mild bronchial pattern may be normal age-related change versus airway inflammation due to inhaled irritant/allergens or infectious airway disease. No other abnormalities are identified to explain the cough._x000D_
3. Prominent left atrium consistent with acquired mitral valve disease. There is no pulmonary venous congestion or evidence of heart failure.</t>
  </si>
  <si>
    <t>Recommend supportive care and repeat abdominal radiographs following a confirmed fast +/- positive contrast gastrogram to rule out gastric foreign material. With the volume of gastric contents, extended fast may be necessary. Strictly fasted abdominal ultrasound is another option, as long as there is minimal gas in the stomach at the time of imaging.</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</si>
  <si>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3.Are respiratory signs present? If NO._x000D_
4.MODERATE BRONCHINTERSTITIAL PATTERN; MILD DYNAMIC AIRWAY DISEASE; ATELECTASIS or less likely, PNEUMONIA._x000D_
5.Based on these AI airway/pulmonary findings, the probability of this patient having clinically detectable respiratory signs is MEDIUM (50%)_x000D_
6.Are respiratory signs present? If YES.</t>
  </si>
  <si>
    <t>Three radiographs of the thorax, and three views of the abdomen are provided. The cardiac silhouette and pulmonary vessels are normal size and shape. There are no abnormalities in the pulmonary parenchyma or pleural space. Adequate tracheal diameter._x000D_
_x000D_
In the abdomen there is no effusion. The urinary bladder is mildly filled and soft tissue opaque. No evidence of medial iliac lymphadenomegaly. Normal size, shape, opacity of the kidneys. Normal-sized liver and spleen. The gastrointestinal tract is mildly filled. Osseous structures are normal.</t>
  </si>
  <si>
    <t>Normal thorax and abdomen. There is no evidence of radiopaque urolithiasis. Radiolucent calculi or urinary bladder wall abnormality remains possible.</t>
  </si>
  <si>
    <t>Further evaluation of the urinary tract with ultrasound should be considered.</t>
  </si>
  <si>
    <t xml:space="preserve">Patient Name : Emma Eshelman, Date of study: Jul 22, 2024
3 images are provided for review
Canine Thorax (3 Images) - 2 Lateral, 1 Vd
There are no previous radiographs for comparison.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subjectively normal.
</t>
  </si>
  <si>
    <t xml:space="preserve">1. Mild-moderate diffuse bronchial pulmonary pattern.
- Differential diagnoses include infectious/immune-mediated lower airway disease such as from bordetella spp., mycoplasma spp., parasitism, or inhaled allergen/irritant, fibrosis from prior disease, age-related changes, or unlikely other such as atypical metastatic neoplasia.
2. No obvious cardiomegaly is identified in this examination.
- There is no evidence of left-sided congestive heart failure.  </t>
  </si>
  <si>
    <t>Consider routine blood work especially given reported pallor to rule out anemia/fulminant IMHA contributing to reported clinical signs.  Anemia may also contribute the flow murmur is absence of underlying cardiac disease.  Minimal or evolving cardiac disease may not always be radiographically identified, so consider also echocardiography, eCG and blood pressure, especially if anemia is ruled out or murmur persists.  Abdominal imaging to screen for occult disease given reported clinical signs. Empirical therapy and supportive care in the interim as needed. Monitoring as directed or sooner if clinical signs acutely change, fail to improve or worsen.</t>
  </si>
  <si>
    <t xml:space="preserve">
1.A minimal to mild bronchointerstitial pulmonary pattern has been detected._x000D_
2.There is no evidence of PERIHILAR INFILTRATE or DYNAMIC AIRWAY COLLAPSE or BRONCHIECTASIS._x000D_
3.Mild cardiomegaly has been detected but Heart Failure is NOT suspected.</t>
  </si>
  <si>
    <t>Opposite lateral and VD thoracoabdominal views including the neck are provided for interpretation._x000D_
_x000D_
There is moderate redundant dorsal tracheal membrane in the cervical trachea. The larynx is partially included and no abnormalities are seen. The intrathoracic trachea is within normal limits. The shape of the heart is consistent with mild left atrial dilation. Heart size is borderline to slightly enlarged overall. Pulmonary vessels are normal. There is a mild diffuse bronchial pattern in the lungs. No pleural effusion is seen._x000D_
The abdominal organs are all within normal size and shape limits. No mass lesions or loss of detail are identified. The GI tract is unremarkable._x000D_
No disc space narrowing or spinal subluxation is seen. No soft tissue swelling or destructive/productive bone lesions are identified.</t>
  </si>
  <si>
    <t>There is mild left side cardiomegaly. There is no evidence of heart failure. Mitral regurgitation is the most likely etiology. Relevance to the clinical signs is probably limited._x000D_
_x000D_
There is a mild bronchial pattern. The appearance would be compatible with low-grade bronchitis. Idiopathic or allergic chronic bronchitis would be most likely. Low-grade infectious bronchitis cannot be excluded. No evidence of pneumonia or neoplasia is seen._x000D_
_x000D_
The redundant dorsal tracheal membrane in the cervical trachea is probably incidental in the absence of coughing as a significant clinical sign._x000D_
_x000D_
No abdominal abnormalities or musculoskeletal abnormalities are identified._x000D_
Metabolic or systemic infectious disease should still be ruled out with appropriate lab work.</t>
  </si>
  <si>
    <t>CBC and heartworm test, serum chemistry, and urinalysis is recommended.</t>
  </si>
  <si>
    <t xml:space="preserve">
1.Are respiratory signs present? If NO._x000D_
2.There is no evidence of PERIHILAR INFILTRATE, PULMONARY NODULES or PLEURAL EFFUSION._x000D_
3.MODERATE DYNAMIC AIRWAY DISEASE; MILD BRONCHIAL PATTERN._x000D_
4.Based on these AI airway/pulmonary findings, the probability of this patient having clinically detectable respiratory signs is MEDIUM (50%)_x000D_
5.Are respiratory signs present? If YES._x000D_
6.Severe cardiomegaly has been detected but Heart Failure is NOT suspected.</t>
  </si>
  <si>
    <t>Three radiographs of the thorax/abdomen, and an oblique lateral radiograph of the head/neck are provided. Images dated 8/29/23 are available for comparison. The cardiac silhouette and pulmonary vessels are normal size. There are mild age-related changes in the lungs, to include several pulmonary osteomas. The cranial lobar bronchus is mildly dilated on the left lateral view, present before and incidental. There is no intrathoracic lymphadenomegaly or pleural effusion. Normal tracheal diameter. In the abdomen the gastrointestinal tract is minimally filled. The urinary bladder is not definitively seen. Normal-sized liver, kidneys, spleen. No osseous abnormalities. On the head/neck image, there is mild soft tissue thickening caudodorsal to the dorsally positioned globe. No adjacent osseous lysis or proliferation. No gas or foreign material within the swelling. Frontal and nasal sinuses are normally air-filled. No mandibular osseous abnormalities are appreciated. No pharyngeal/laryngeal abnormalities.</t>
  </si>
  <si>
    <t>Caudodorsal periocular soft tissue swelling, with no adjacent osseous abnormalities. Etiology is uncertain. An inflammatory process (recent trauma, allergies) is suspected. Soft tissue neoplasia is given lesser consideration. The thorax and abdomen are normal.</t>
  </si>
  <si>
    <t>There is no contraindication for general anesthesia based on this study. If the periocular swelling persists and further evaluation of the head is desired, computed tomography would be recommended.</t>
  </si>
  <si>
    <t>Moderate bronchial pulmonary pattern=ZZ90= consider resolving bronchopneumonia, bronchitis, response to inhaled irritants, response to circulating parasites, eosinophilic bronchopneumopathy.  No current evidence of alveolar infiltrates.</t>
  </si>
  <si>
    <t xml:space="preserve">
1.Are respiratory signs present? If YES._x000D_
2.Are respiratory signs present? If YES._x000D_
3.Are respiratory signs present? If NO._x000D_
4.The cardiac silhouette size is normal._x000D_
5.There is no evidence of PULMONARY NODULES._x000D_
6.Are respiratory signs present? If NO._x000D_
7.In the PRESENCE of respiratory signs, low grade active pneumonitis (allergic, bacterial, parasitic (including heartworm disease), inhaled allergen or toxin) or upper airway disease causing pulmonary hypoinflation and/or recurrent microaspiration may be more likely._x000D_
8.MINIMAL to MILD BRONCHOINTERSTITIAL PULMONARY PATTERN; POTENTIAL FOR FOCAL ATELECTASIS._x000D_
9.MILD BROCHIAL/BRONCHOINTERSTITIAL PULMONARY PATTERN; MINIMAL PERIHILAR INFILTRATE._x000D_
10.MILD BRONCHOINTERSTITIAL PULMONARY PATTERN; MINIMAL PERIHILAR PATTERN._x000D_
11.Based on the AI airway/pulmonary findings, the probability of this patient having clinically detectable respiratory signs is LOW (25%)_x000D_
12.Based on these AI airway/pulmonary findings, the probability of this patient having clinically detectable respiratory signs is LOW (25%)_x000D_
13.Based on these AI airway/pulmonary findings, the probability of this patient having clinically detectable respiratorysigns is LOW (25%)_x000D_
14.In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t>
  </si>
  <si>
    <t xml:space="preserve">Patient Name : Maggie Engel, Date of study: Jul 22, 2024
3 images are provided for review
Canine Thorax (3 Images) - 2 Lateral, 1 Vd
This examination is compared to prior dated April 4, 2024.
Pulmonary parenchyma: A moderate diffuse bronchial pattern is present.
Pulmonary vasculature: The pulmonary vasculature is subjectively normal in size and tapers in the periphery of the lungs.
Cardiac silhouette: The cardiac silhouette is normal in size and shape in the lateral images.  Subtle increased soft tissue results in lateral displacement of mainstem bronchi in the ventrodorsal image.
Mediastinum: The cranial mediastinum is normal.
Trachea: The trachea is normal.
Esophagus: The esophagus is contains minimal gas or is empty.
Pleural space: The pleural space is normal.
Musculoskeletal: The included musculoskeletal structures are normal.
</t>
  </si>
  <si>
    <t xml:space="preserve">1. Moderate diffuse bronchial pulmonary pattern.
- Differential diagnoses include infectious/immune-mediated lower airway disease such as from mycoplasma spp., bordetella spp., parasitism, or inhaled allergen/irritant, fibrosis from prior disease, age-related changes, or unlikely other.
2. Suspected mild left atrial enlargement or unlikely artifact from phase of the cardiopulmonary cycle.
- If present, consider myxomatous mitral valvular disease and insufficiency.  
- There is no current evidence of left-sided congestive heart failure.  </t>
  </si>
  <si>
    <t>Consider echocardiography, eCG and blood pressure. Consider respiratory PCR panel, airway sampling, and fecal analysis for further evaluation if clinically indicated.  Patient is reportedly heartworm disease negative, and no current evidence of right-sided cardiomegaly.  Consider retesting if lapse in preventative for heartworm or not recently tested if clinically indicated.  Empirical therapy and supportive care in the interim as needed. Monitoring as directed or sooner if clinical signs acutely change, fail to improve or worsen.</t>
  </si>
  <si>
    <t xml:space="preserve">
1.MILD BRONCHOINTERSTITIAL PULMONARY PATTERN WITH ATELECTASIS or LESS LIKELY, PNEUMONIA, MILD PERIHILAR INFILTRATE._x000D_
2.Probability these AI pulmonary findings will accompany clinically detectable respiratory signs: MILD TO MODERATE (25-50%)_x000D_
3.The cardiac silhouette size is normal._x000D_
4.Are respiratory signs present? If YES._x000D_
5.Are respiratory signs present? If NO.</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</si>
  <si>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margins are rounded and extend beyond the costal arch.  The stomach contains a moderate amount of ingesta.  The small intestines are normal in size.  Gas and feces are present in the colon.  The urinary bladder is small.  The remaining abdominal organs are normal.</t>
  </si>
  <si>
    <t>Radiographically normal thorax for patient of this age.  Lack of specific changes does not rule out dynamic tracheal collapse or chronic bronchitis.  Fluoroscopy or bronchoscopy with airway sampling could be considered.  Hepatomegaly=ZZ90= this is a nonspecific finding that may be seen with congestion, vacuolar hepatopathy, inflammation, neoplasia, etc.  Abdominal ultrasound may be helpful in further evaluation if biochemically indicated.</t>
  </si>
  <si>
    <t xml:space="preserve">
1.Mild cardiomegaly has been detected but Heart Failure is NOT suspected._x000D_
2.There is no evidence of INTERSTITIAL or ALVEOLAR PATTERN, BRONCHITIS, PERIHILAR INFILTRATE, DYNAMIC AIRWAY COLLAPSE or BRONCHIECTASIS or PLEURAL EFFUSION.</t>
  </si>
  <si>
    <t>SPINE (6 radiographs for review). No previous for comparison._x000D_
_x000D_
- The cervical vertebrae and cervicothoracic junction are normal._x000D_
- The thoracic vertebrae and thoracolumbar junction are normal._x000D_
- L2-3 disc space collapse with endplate sclerosis and spondylosis deformans._x000D_
- Lumbosacral junction normal._x000D_
- The sacrum and sacroiliac joints are normal._x000D_
- The pelvic bones are normal._x000D_
- The coxofemoral joints are normal._x000D_
- Dynamic medial luxation of the right patella. Left patella is normally positioned._x000D_
- Mild to moderate bilateral stifle joint periarticular osteophyte formation._x000D_
- Thickening of the left patellar ligament._x000D_
- Mild increased soft-tissue opacity left stifle joint capsule.</t>
  </si>
  <si>
    <t>1. L2-3 intervertebral disc disease. Radiographic specificity for determining sites of spinal cord compression from intervertebral disc disease can be limited/inaccurate, however the changes at this site are relatively prominent.  If clinically indicated, consultation with a veterinary neurologist regarding advanced imaging of the spine might be considered. Otherwise normal spine._x000D_
_x000D_
2. Dynamic medial luxation of the right patella, with mild right stifle osteoarthritis._x000D_
_x000D_
3. The left patellar luxation repair is relatively unremarkable and the osteotomy sites (if performed) are not visible. There is thickening of the left patellar ligament that is compatible with patellar ligament desmitis, which may or may not be related to the prior surgery. There is mild effusion in the left stifle joint. Concurrent cranial cruciate ligament injury is not excluded although seems less likely if there is no lameness reported.</t>
  </si>
  <si>
    <t xml:space="preserve">
1.Mild cardiomegaly has been detected but Heart Failure is NOT suspected._x000D_
2.MODERATE INTERSTITIAL TO ALVEOLAR PATTERN with PNEUMONIA or ATELECTASIS; MINIMAL DYNAMIC AIRWAY DISEASE._x000D_
3.Based on these AI airway/pulmonary findings, the probability this patient will have clinically detectable respiratory signs is LOW to MEDIUM (25-50%)_x000D_
4.Are respiratory signs present? If YES._x000D_
5.Are respiratory signs present? If NO._x000D_
6.There is no evidence of BRONCHITIS, PERIHILAR INFILTRATE, PULMONARY NODULES or PLEURAL EFFUSION.</t>
  </si>
  <si>
    <t>Orthogonal radiographs of the thorax, three views of the head, and two views of the abdomen are provided. The cardiac silhouette and pulmonary vessels are normal size and shape. There are no abnormalities in the pulmonary parenchyma. Fat deposition is present in the cranial mediastinum. Tracheal diameter is adequate._x000D_
_x000D_
Head radiographs include two oblique lateral views and a closed mouth dorsoventral projection. There is a lucent halo surrounding the root of one of the caudal left maxillary teeth on the dorsoventral projection. This is likely the 4th premolar or 1st molar. Evaluation of this area is limited on the lateral views due to rotation. Nasal sinuses are normal opacity, with no lysis appreciated. Frontal sinuses are reduced, an incidental variant. Soft tissue thickening ventral to the caudal mandibles. Tympanic bullae are normally air-filled. Round 0.9 cm soft tissue opaque nodule in the right pinna is of doubtful clinical significance today._x000D_
_x000D_
In the abdomen there is no effusion. The liver is upper normal size. Normal-sized spleen and kidneys. There is a round 5.7 cm soft tissue density caudomedial to the left kidney on the VD projection, overlying the ventral abdomen on the lateral view.</t>
  </si>
  <si>
    <t>1. Probable caudal left maxillary tooth root abscess. This is the most likely cause for the reported swelling. Other inflammatory process or neoplasia are given secondary consideration. Thickened caudal submandibular tissue may be lymphadenomegaly versus skin fold. This should be correlated with palpation._x000D_
2. Ventral midabdominal mass-effect. Neoplasia originating from the spleen such as hemangiosarcoma is most likely. Hematoma or hemangioma are next on the differential list._x000D_
3. Normal thorax.</t>
  </si>
  <si>
    <t>Recommend abdominal ultrasound and focused dental imaging.</t>
  </si>
  <si>
    <t xml:space="preserve">
1.MODERATE DYNAMIC AIRWAY DISEASE; MILD BRONCHIAL PATTERN._x000D_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PERIHILAR INFILTRATE, PULMONARY NODULES or PLEURAL EFFUSION.</t>
  </si>
  <si>
    <t>A three view study of the thorax, orthogonal views of the pelvis, and a lateral abdomen view are provided. There are six images total._x000D_
_x000D_
The heart is within normal size and shape limits. Bronchial markings in the lungs are mildly increased. The appearance is still within the limits of what might be expected as age related changes. No alveolar infiltrates or pleural effusion are seen. No tracheal abnormalities are identified._x000D_
No mass lesions or organomegaly are seen in the abdomen. The appearance of the GI tract is unremarkable. Serosal detail is normal._x000D_
There is minimal lumbar spondylosis. No disc space narrowing or subluxation is seen in the lumbar spine. The pelvis and hip joints are within normal limits.</t>
  </si>
  <si>
    <t>No significant thoracic abnormalities are identified. Upper airway pathology including laryngeal paralysis should still be ruled out as a possible cause of the tachypnea._x000D_
_x000D_
No abdominal abnormalities are identified. Metabolic or systemic infectious disease should still be ruled out with appropriate lab work._x000D_
_x000D_
No significant orthopedic abnormalities are identified involving the pelvis. There is minimal lumbosacral spondylosis, which is commonly incidental.</t>
  </si>
  <si>
    <t>Symptomatic therapy for the lameness is recommended. Injury more distally in the limb should still be ruled out if clinically indicated._x000D_
_x000D_
CBC, serum chemistry. Pancreatic specific lipase, and urinalysis is recommended.</t>
  </si>
  <si>
    <t>Orthogonal views of the thorax and abdomen are provided:_x000D_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filled with small volume of food._x000D_
Small intestines are mildly gas and fluid filled, not overtly distended. _x000D_
Serosal detail is preserved._x000D_
Liver and spleen are within normal limits of size and smoothly marginated._x000D_
Kidneys and urinary bladder WNL._x000D_
_x000D_
Multifocal signs of chronic IVDD.</t>
  </si>
  <si>
    <t>Consider CBC and abdominal US to further evaluate causes of ADR, pacing and panting, lack of appetite and decreased thirst._x000D_
Consider also electrolytes and full neuro exam.</t>
  </si>
  <si>
    <t xml:space="preserve">
1.The cardiac silhouette size is normal._x000D_
2.There is no evidence of DYNAMIC AIRWAY COLLAPSE or BRONCHIECTASIS._x000D_
3.A mild bronchial pattern and minimal perihilar infiltrate have been detected.</t>
  </si>
  <si>
    <t xml:space="preserve">Patient Name : Archer Glefke, Date of study: Jul 22, 2024
6 images are provided for review
Canine Abdomen (3 Images) - 2 Lateral, 1 Vd
Canine Thorax (3 Images) - 2 Lateral, 1 Vd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mildly tall and occupies at least 2/3 the height of the thorax, with slight dorsal tracheal displacement.  The cardiac silhouette has a slightly flat caudodorsal margin.  Sligh lateral displacement of mainstem bronchi is suspected in the ventrodorsal image.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is not well-identified, without obvious enlargement or mineral.  The left kidney is at the lower limits of normal for size.  
Retroperitoneum: Retroperitoneal detail is adequate.
Urogenital: The urinary bladder is normal in size, homogeneous soft tissue, and smoothly marginated.
Peritoneum: Peritoneal detail is adequate.
Gastrointestinal tract: The stomach contains a moderate volume of gas.  Gastric rugal folds are mildly prominent.  The stomach is within normal limits for size.   
The small intestine contains moderate gas and fluid or is empty with a subjectively uniform population for size. 
The colon contains mild heterogeneous soft tissue material and gas.  The colon is within normal limits for size.  
Musculoskeletal: T12-13 is suspiciously narrowed in some of the lateral images.  No obvious mineral is over the intervertebral foramina.   Multifocal thoracolumbar spondylosis deformans is present.  The remaining  included musculoskeletal structures are normal.
</t>
  </si>
  <si>
    <t>1. Suspected left-sided cardiomegaly such as from myxomatous mitral valvular disease and insufficiency, versus artifact from phase of the cardiopulmonary cycle/patient body conformation. 
- There is no evidence of left-sided congestive heart failure.
2. Mild diffuse bronchial pulmonary pattern due to fibrosis from prior disease, age-related changes, infectious/immune-mediated lower airway disease, or unlikely other.
3. Mild left chronic renal disease.
4. Prominent gastric rugal folds such as from non-specific gastritis, or normal variation.
5. Possible T12-13 intervertebral disc disease versus artifact from positioning.</t>
  </si>
  <si>
    <t>Consider routine blood work, and echocardiography, eCG and blood pressure, especially if a murmur is later identified.  Consider neurologist consultation given reported right hind limb proprioceptive deficits and advanced imaging depending on results.  Consider GI panel, fecal analysis/deworming for further evaluation given reported fecal staining and non-specific signs (hyporexia, etc.).  Empirical therapy and supportive care in the interim as needed.  Consider abdominal ultrasonography for further evaluation, especially if signs fail to improve or worsen.  Monitoring as directed or sooner if clinical signs acutely change, fail to improve or worsen.</t>
  </si>
  <si>
    <t>Three radiographs of the thorax, and two VD views of the pelvis are provided. The cardiac silhouette is normal size on the lateral views. The heart appears larger on the VD projection due to expiration. No abnormalities in the pulmonary parenchyma. No pleural fluid or gas. The diaphragm is intact. No rib fractures. Incidental rib on C7. There is a thin linear wire-like 1.1 cm object in the stomach, artifact. No peritoneal or retroperitoneal effusion. No organomegaly. Normal cranial lumbar spine. Vertebral alignment is normal. No lumbar vertebral abnormalities appreciated on the VD views. The sacroiliac and coxofemoral joints are congruent. Pelvic limb musculature is symmetric. Patella location is normal. No soft tissue swelling or subcutaneous emphysema. The tibiotarsal joints are unremarkable.</t>
  </si>
  <si>
    <t>Normal thorax and coxofemoral joints. No spinal abnormalities are appreciated. Intervertebral disc protrusion/extrusion remains the most likely diagnosis. Soft tissue sprain/strain is next on the differential list.</t>
  </si>
  <si>
    <t>With the significant neurologic deficits, consultation with a neurologist and advanced spinal imaging with CT/MRI is recommended.</t>
  </si>
  <si>
    <t xml:space="preserve">
1.In the ABSENCE of respiratory signs, atelectasis secondary to heavy sedation or anesthesia or a false positive due to a combination of age-related changes, obesity, pulmonary hypoinflation/partial atelectasis and/or overlying soft tissues such as forelimb musculature overlying the cranial thorax would be most likely._x000D_
2.The evaluation has a strong suspicion of pulmonary nodules or mass lesion being present._x000D_
3.MODERATE INTERSTITIAL TO ALVEOLAR PATTERN; MILD PERIHILAR INFILTRATE._x000D_
4.In the PRESENCE of respiratory signs, moderate pneumonitis (aspiration or bacterial  (including Bordatella, Mycoplasma and Wolbachia), allergic, viral, fungal or parasitic (including heartworm pathosis)) would be most likely._x000D_
5.A moderate interstitial pattern has been detected._x000D_
6.Pleural fissure lines or moderate pleural effusion has been detected. An overlying skin fold or in a moderately overweight animal, excessive pericardial fat could artifactually mimic the result of moderate pleural effusion._x000D_
7.The cardiac silhouette size is normal._x000D_
8.There is no evidence of DYNAMIC AIRWAY COLLAPSE or BRONCHIECTASIS.</t>
  </si>
  <si>
    <t xml:space="preserve">Patient Name : Tess Thomason, Date of study: Jul 22, 2024
3 images are provided for review
Canine Thorax (3 Images) - 2 Lateral, 1 Vd
There are no previous radiographs for comparison.  Ungloved human digits primary beam.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TRacheal slight redundancy is likely due to head/neck positioning.  
Esophagus: The esophagus is not well-identified.
Pleural space: A thin pleural fissure is between the right middle and caudal lung in the ventrodorsal image.
Musculoskeletal: The included musculoskeletal structures are normal.
</t>
  </si>
  <si>
    <t>1. Minimal-mild diffuse bronchial pulmonary pattern.
- Differential diagnoses include fibrosis from prior disease, age-related changes, or less likely infectious/immune-mediated lower airway disease or unlikely other.
2. Thin pleural fissure is likely due to tangential beam artifact or pleural thickening/folding, or unlikely scant pleural fluid.
3. This examination does not rule out underlying dynamic bronchial/tracheal disease contributing to reported clinical signs.
4. no evidence of a mediastinal mass.</t>
  </si>
  <si>
    <t>Consider tracheoscopy/bronchoscopy, respiratory PCR panel, airway sampling, and fecal analysis/deworming for further evaluation.  Empirical therapy and supportive care in the interim as needed. Monitoring as directed or sooner if clinical signs acutely change, fail to improve or worsen.</t>
  </si>
  <si>
    <t>Six radiographs are provided, reviewed images of the thorax, abdomen, pelvis, stifles. There is mild left atrial and ventricular enlargement. Pulmonary vessels are normal size. No abnormalities in the pulmonary parenchyma. Adequate tracheal diameter. Mild narrowed T12-13 intervertebral disc space, of doubtful clinical significance today. There is large volume formed feces fills the distal descending colon. The fecal column measures up to 1.9 cm diameter, which is relatively large for this patient. The stomach and small bowel are minimally filled. Normal-sized liver, spleen, kidneys. No radiopaque urolithiasis. The prostate is not definitively delineated._x000D_
The coxofemoral joints are congruent. Pelvic limb musculature is approximately symmetric. Patella location is normal. No definitive stifle joint effusion. Smoothly contoured broad-based 0.5 x 0.1 cm osseous protuberance along the cranial aspect of the mid right tibial diaphysis is incidental. No popliteal lymphadenomegaly.</t>
  </si>
  <si>
    <t>1.Mild left-sided cardiomegaly consistent with acquired mitral valve disease. There is no pulmonary venous congestion or evidence of heart failure. Otherwise normal thorax._x000D_
2. Probable constipation. No other intra-abdominal abnormalities._x000D_
3. Normal pelvic limbs. Soft tissue sprain/strain remains possible.</t>
  </si>
  <si>
    <t>If the patient does not rapidly improve following enema administration, abdominal ultrasound would be recommended. Follow-up echocardiogram should also be considered to help guide treatment.</t>
  </si>
  <si>
    <t>A three view thoracoabdominal study is provided for interpretation._x000D_
_x000D_
The cardiovascular structures are within normal limits. No pulmonary infiltrates or bronchial thickening are identified. No tracheal abnormalities are seen._x000D_
The liver is mildly enlarged. The appearance is more prominent than in the previous radiographs on this patient. The right kidney is not clearly visualized and could be small. The spleen is prominent but still within normal size limits. No abnormalities are identified involving the gastrointestinal tract. Serosal detail in the abdomen is normal.</t>
  </si>
  <si>
    <t>The GI tract is unremarkable. No radiographic abnormalities that would explain the vomiting are identified._x000D_
_x000D_
There is mild hepatomegaly. Clinical significance of this finding varies. Significant hepatitis could be present, but incidental metabolic or endocrine associated hepatopathies could appear similar. Lymphoreticular neoplasia should also be ruled out as a less likely possibility depending on the severity of illness._x000D_
_x000D_
The cause of cough is also not apparent in the radiographs. Viral or allergic lung disease could still be present.</t>
  </si>
  <si>
    <t>Symptomatic therapy and supportive care as needed is recommended.</t>
  </si>
  <si>
    <t>Orthogonal views of the cervical and thoraco-lumbar spine are provided:_x000D_
_x000D_
Visible spine shows C3-C4 IVDS being collapsed. _x000D_
No signs of aggressive bone lesions, vertebral fractures or subluxations._x000D_
Bilateral renoliths.</t>
  </si>
  <si>
    <t>1) C3-C4 IVDS: Consistent with chronic IVDD. Rule out associated potentially compressive disc herniation._x000D_
2) Bilateral renoliths.</t>
  </si>
  <si>
    <t>Consider a neuro exam with MRI if necessary (evaluating the benefit of an MRI of the cervical region and crevico-thoracic region): if negative, consider an orthopedic exam under sedation.</t>
  </si>
  <si>
    <t xml:space="preserve">
1.Based on the AI airway/pulmonary findings, the probability of this patient having clinically detectable respiratory signs is MEDIUM to HIGH (50-75%)._x000D_
2.Are respiratory signs present? If YES._x000D_
3.AI linked collapsing airway disease treatment in dogs: https://platform.v2.vetology.net/doc/canine-tracheal-collapse-treatment_x000D_
4.Are respiratory signs present? If NO._x000D_
5.The cardiac silhouette size is normal._x000D_
6.There is no evidence of PLEURAL EFFUSION._x000D_
7.MODERATE DYNAMIC AIRWAY DISEASE; MILD BRONCHITIS; MINIMAL INTERSTITIAL PATTERN WITH ATELECTASIS or less likely, PNEUMONIA.</t>
  </si>
  <si>
    <t>Orthogonal views of the thorax are provided:_x000D_
_x000D_
Thorax:_x000D_
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Ventral SC lipoma.</t>
  </si>
  <si>
    <t>1) Left atrial enlargement secondary to chronic mitral endocardiosis without signs of CHF. Rule out concomitant tricuspid endocardiosis with pulmonary hypertension.</t>
  </si>
  <si>
    <t xml:space="preserve">
1.Are respiratory signs present? If YES._x000D_
2.MINIMAL to MILD BRONCHOINTERSTITIAL PULMONARY PATTERN; MILD DYNAMIC AIRWAY DISEASE; FOCAL ATELECTASIS, or less likely, ALVEOLAR INFILTRATE._x000D_
3.MINIMAL to MILD BRONCHOINTERSTITIAL PULMONARY PATTERN; MILD DYNAMIC AIRWAY DISEASE; MILD PERIHILAR INFILTRATE._x000D_
4.MILD DYNAMIC AIRWAY DISEASE; MINIMAL INTERSTITIAL TO ALVEOLAR PATTERN; MILD PERIHILAR INFILTRATE._x000D_
5.MILD BRONCHOINTERSTITIAL PATTERN; MILD PERIHILAR INFILTRATE._x000D_
6.Based on these AI airway/pulmonary findings, the probability of this patient having clinically detectable respiratory signs is LOW to MEDIUM (25-50%)_x000D_
7.Based on the AI airway/pulmonary findings, the probability of this patient having clinically detectable respiratory signs is LOW to MEDIUM (25%-50%)_x000D_
8.Based on the AI airway/pulmonary findings, the probability of this patient having clinically detectable respiratory signs is LOW to MEDIUM (25-50%)_x000D_
9.Based on these AI airway/pulmonary findings, the probability of this patient having clinically detectable resspiratory signs is LOW (25%)_x000D_
10.Are respiratory signs present? If YES._x000D_
11.Are respiratory signs present? If NO._x000D_
12.Are respiratory signs present? If NO._x000D_
13.Are respiratory signs present? If NO._x000D_
14.Are respiratory signs present? If NO._x000D_
15.Are respiratory signs present? If YES._x000D_
16.Are respiratory signs present? If YES._x000D_
17.Moderate cardiomegaly has been detected but Heart Failure is NOT suspected.</t>
  </si>
  <si>
    <t>6 images of the thorax and abdomen are provided for review.  The cardiovascular structures are normal.  There is a moderate bronchial pattern in all lung lobes.  The mediastinal and pleural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</si>
  <si>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Radiographically normal abdomen.  Moderate bronchial pulmonary pattern, likely inflammatory change secondary to her pulm disease illness patient.  No cardiovascular changes to contraindicate therapy.</t>
  </si>
  <si>
    <t>A three view study of the thorax is provided for interpretation._x000D_
_x000D_
Pulmonary infiltrates are seen involving the right cranial lung lobe. In the dorsal aspect of this lobe there is homogenous soft tissue opacity with a rounded caudal margin. Ventral to the tracheal bifurcation a moderate alveolar pattern is present._x000D_
The other lung fields have a diffuse mild bronchointerstitial pattern._x000D_
The trachea is mildly narrowed but not unexpected for the breed. There are multiple wedge hemi vertebrae in the thoracic spine, and mild kyphosis involving the mid thoracic spine.</t>
  </si>
  <si>
    <t>The right cranial lung lobe has alveolar infiltrates ventrally and a more homogenous soft tissue dense infiltrate with a rounded margin dorsally._x000D_
The homogenous opacity seen at the dorsal aspect of the right cranial lobe is suspected to be of pulmonary origin, but asymmetrical hilar lymph node enlargement cannot be excluded._x000D_
_x000D_
Primary rule outs would include pulmonary abscess with associated pneumonia such as from an aspirated foreign body, fungal or other granulomatous pneumonia with granuloma formation, and aspiration pneumonia with flooding of the dorsal airways.</t>
  </si>
  <si>
    <t>Bronchoscopy is recommended if possible for definitive diagnosis._x000D_
CBC and fungal panel is recommended._x000D_
_x000D_
If bronchoscopy is not an option, empiric antibiotic therapy is recommended._x000D_
_x000D_
A recheck a three view study of the thorax is recommended in two weeks.</t>
  </si>
  <si>
    <t xml:space="preserve">
1.SEVERE ALVEOLAR INFILTRATE; MILD PERIHILAR PATTERN; MORE DIFFUSE MILD BRONCHOINTERSTITIAL PULMONARY PATTERN._x000D_
2.Based on the AI airway/pulmonary findings, the probability of this patient having clinically detectable respiratory signs is HIGH (75%)_x000D_
3.Are respiratory signs present? If YES._x000D_
4.The cardiac silhouette size is normal._x000D_
5.There is no evidence of PULMONARY NODULES._x000D_
6.Are respiratory signs present? If NO.</t>
  </si>
  <si>
    <t>Three radiographs of the thorax, and three views of the abdomen are provided. Images dated 12/26/23 are available for comparison. The cardiac silhouette is normal size and shape with no chamber enlargement. There is a mild unstructured interstitial pattern consistent with age and superimposed subcutaneous fat. Faint bronchial markings are present. No pleural effusion. Slight narrowed cervical trachea on the right lateral view compared to the left lateral projection. No laryngeal abnormalities._x000D_
_x000D_
In the abdomen the liver is upper normal size as before. Hepatic margins are smooth. The kidneys are obscured. The gastrointestinal tract is mildly filled. The curved fat opaque lipomatous contour measuring 10.5 cm again identified overlying the retroperitoneal space and causing ventral displacement of intestines. There are similar size lipomatous lesions in the flank region on either side of the VD projection as before. Narrowed L4-5 and L5-6 intervertebral disc spaces with mild ventral spondylosis deformans, mildly progressive and of doubtful clinical significance today.</t>
  </si>
  <si>
    <t>This study is essentially unchanged compared to the previous study. Cervical tracheal diameter varies between the two current lateral images. Coupled with the variations seen on the previous study, this is consistent with dynamic collapse and is the most likely cause for coughing. Faint bronchial markings may represent normal aging change. Chronic airway inflammation such as bronchitis may be present and contributing to the cough. Otherwise normal thorax and abdomen.</t>
  </si>
  <si>
    <t>Recommend weight management, symptomatic treatment for the cough, and utilization of a body harness in place of a neck read.</t>
  </si>
  <si>
    <t xml:space="preserve">
1.MILD BRONCHOINTERSTITIAL PULMONARY PATTERN; MILD DYNAMIC AIRWAY DISEASE; MINIMAL PERIHILAR INFILTRATE._x000D_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PLEURAL EFFUSION.</t>
  </si>
  <si>
    <t>A ventral dorsal radiograph of the thorax/abdomen, and a lateral view of the thoracolumbar spine are provided. Images dated 7/28/2020 are available for comparison. Cardiovascular structures are normal size. There are faint bronchial markings consistent with age. No soft tissue pulmonary nodules or pleural effusion. Fat deposition in the cranial mediastinum. Congenital breed-related vertebral malformations in the thoracic spine. In the abdomen there is no effusion or organomegaly. Formed feces fills the distal colon. The stomach and small bowel are minimally filled. Normal-sized spleen. The gastric axis is in normal position. The kidneys are obscured. No radiopaque cystic calculi. No definitive narrowed lumbar intervertebral disc bases.</t>
  </si>
  <si>
    <t>Congenital vertebral malformations are typically incidental, however can predispose to spinal canal stenosis and instability. Intervertebral disc disease is the most likely cause for the clinical signs. The abdomen and thorax are normal.</t>
  </si>
  <si>
    <t>Recommend consultation with a neurologist and advanced spinal imaging with CT/MRI.</t>
  </si>
  <si>
    <t xml:space="preserve">
1.PLEURAL EFFUSION or PLEURAL FISSURE LINES; PULMONARY NODULES or NODULAR PATTERN; MODERATE TO SEVERE INTERSTITIAL TO ALVEOLAR PATTERN; MILD BRONCHITIS._x000D_
2.Based on the AI airway/pulmonary findings, the probability of this patient having clinically detectable respiratory signs is VERY HIGH (&gt;75%)_x000D_
3.Are respiratory signs present? If YES._x000D_
4.Resource: https://vsso.org/lung-tumors-canine_x000D_
5.Are respiratory signs present? If NO._x000D_
6.The cardiac silhouette size is normal._x000D_
7.The evaluation has a suspicion of pleural effusion and soft tissue pulmonary nodules or a mass lesion being present.</t>
  </si>
  <si>
    <t>Orthogonal views of the thorax are provided:_x000D_
_x000D_
Thorax:_x000D_
_x000D_
Cardiac silhouette has a normal shape and size._x000D_
Pulmonary vessels are within normal limits of size and shape._x000D_
Pulmonary parenchyma shows multiple indistinct and poorly demarcated different sized pulmonary nodules throughout the different lung lobes._x000D_
Pleural space, mediastinum, diaphragm and thoracic wall within normal limits.</t>
  </si>
  <si>
    <t>1) Multiple indistinct and poorly demarcated different sized pulmonary nodules compatible with parasitic vs fungal vs pyogranulomatous vs protozoal granulomata vs pulmonary metastases far less likely at this age.</t>
  </si>
  <si>
    <t>Consider abdominal US with deworming and CT of the thorax with bronchoscopy, BAL, cytology, culture and Baermann test.</t>
  </si>
  <si>
    <t xml:space="preserve">
1.Moderate bronchointerstitial pulmonary pattern detected._x000D_
2.Moderate bronchial and severe alveolar pattern._x000D_
3.Pleural fissure lines or moderate to severe pleural effusion has been detected. An overlying skin fold or in an obese animal, excessive pericardial fat could artifactually mimic the result of severe pleural effusion._x000D_
4.The cardiac silhouette size is normal._x000D_
5.A severe interstitial to alveolar pattern has been detected._x000D_
6.The evaluation has a strong suspicion of pulmonary nodules or mass lesion being present._x000D_
7.A mild perihilar infiltrate has been detected.</t>
  </si>
  <si>
    <t>3 views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The liver margin is rounded and extends beyond the costal arch.</t>
  </si>
  <si>
    <t>Radiographically normal thorax for patient of this age.  Hepatomegaly=ZZ90= this is a nonspecific finding that may be seen with congestion, vacuolar hepatopathy, inflammation, neoplasia, etc.</t>
  </si>
  <si>
    <t xml:space="preserve">
1.A minimal interstitial pulmonary pattern with a concurrent, minimal perihilar infiltrate have been detected._x000D_
2.Mild cardiomegaly has been detected but Heart Failure is NOT suspected._x000D_
3.There is no evidence of PULMONARY NODULES or PLEURAL EFFUSION.</t>
  </si>
  <si>
    <t>Patient Name: MANDOLORIAN SIMMONS, Date of study: Jul 22, 2024
4 images are provided for review
There are no previous radiographs for comparison.
Image quality: The lateral projections are well positioned and well-exposed. The VD projection has the caudal lung tips not included. 
Thorax:
Airway/pulmonary parenchyma: A diffuse, mild to moderate bronchointerstitial pattern is present. No hyperinflation is noted. Thin walled cavitary structures are present in the caudal thorax consistent with regions of emphysema or bulla. 
Cardiovascular: Mild rounding to the right heart is present however the left heart and CVC are small on the lateral projection. On the VD projection, a soft tissue bulge is noted in the region of the main pulmonary artery. Caudal pulmonary artery diameter as it crosses the 9th rib is normal. 
Mediastinum: Minimal widening to the cranial mediastinum is present cranial to the left side of the heart on the VD projection, in the region of the thymus. 
Pleural space: Normal
Cranial abdomen: Normal
Msk: Normal</t>
  </si>
  <si>
    <t xml:space="preserve">1) Diffuse bronchointerstitial pattern excessive for the dog's age. DDx: primary lower airway disease (bacterial vs. allergic vs. parasitic) vs. secondary to heart worm disease. No megaesophagus noted. 
2) Right sided cardiomegaly and main pulmonary artery bulge. Rule out cor pulmonale causing pulmonary hypertension.
3) Mild widening to the cranial mediastinum. Thymic enlargement secondary to lung inflammation may be present. No thymic mass identified.  </t>
  </si>
  <si>
    <t xml:space="preserve">Empirical therapy for bacterial bronchitis. Heartworm testing. Empirical deworming. A cardiac ultrasound is recommended for further evaluation of the heart. Echocardiography should also be considered to assess for pulmonary hypertension, which could explain the pulmonary vessel enlargement.
Endotracheal lavage vs. fecal Baermann if cough continues despite medical therapy. </t>
  </si>
  <si>
    <t xml:space="preserve">
1.MINIMAL to MILD BRONCHOINTERSTITIAL PULMONARY PATTERN; POTENTIAL FOR FOCAL ATELECTASIS._x000D_
2.MILD BROCHIAL/BRONCHOINTERSTITIAL PULMONARY PATTERN; MINIMAL PERIHILAR INFILTRATE._x000D_
3.MILD BRONCHOINTERSTITIAL PULMONARY PATTERN; MINIMAL PERIHILAR PATTERN._x000D_
4.Based on these AI airway/pulmonary findings, the probability of this patient having clinically detectable respiratory signs is LOW (25%)_x000D_
5.Based on the AI airway/pulmonary findings, the probability of this patient having clinically detectable respiratory signs is LOW (25%)_x000D_
6.Based on these AI airway/pulmonary findings, the probability of this patient having clinically detectable respiratorysigns is LOW (25%)_x000D_
7.In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8.In the PRESENCE of respiratory signs, low grade active pneumonitis (allergic, bacterial, parasitic (including heartworm disease), inhaled allergen or toxin) or upper airway disease causing pulmonary hypoinflation and/or recurrent microaspiration may be more likely._x000D_
9.The cardiac silhouette size is normal._x000D_
10.Are respiratory signs present? If YES._x000D_
11.Are respiratory signs present? If YES._x000D_
12.Are respiratory signs present? If NO._x000D_
13.Are respiratory signs present? If NO.</t>
  </si>
  <si>
    <t>3 views of the thorax are provided for review and compared with the study dated 8/2/2022.  The trachea is dorsally deviated, indicating left ventricular enlargement.  A bulge is present in the region of the left atrium, slightly larger than on previous images.  No pulmonary infiltrates are seen.  The pulmonary vasculature is normal in size.  The mediastinal and pleural structures are normal.  Cranial abdominal detail is adequate.</t>
  </si>
  <si>
    <t>Mildly progressive left-sided cardiomegaly without current evidence of cardiogenic pulmonary edema.</t>
  </si>
  <si>
    <t xml:space="preserve">
1.MODERATE INTERSTITIAL TO ALVEOLAR INFILTRATE; MILD BRONCHIAL PATTERN; MINIMAL PERIHILAR INFILTRATE._x000D_
2.Based on these AI airway/pulmonary findings,  the probability of this patient having clinically detectable respiratory signs is HIGH (75%)_x000D_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6.Mild cardiomegaly has been detected but Heart Failure is NOT suspected.</t>
  </si>
  <si>
    <t>Orthogonal views of the thorax are provided and compared to the previous exam on the 2716853:_x000D_
_x000D_
Thorax:_x000D_
_x000D_
No abnormalities seen in the trachea._x000D_
Cardiac silhouette has a normal shape and size._x000D_
Pulmonary vessels are within normal limits of size and shape._x000D_
Pulmonary parenchyma is within normal limits (with a caudal bronchial pattern in the set provided for comparison). No evidence of pneumonia._x000D_
Pleural space, mediastinum, diaphragm and thoracic wall within normal limits.</t>
  </si>
  <si>
    <t>Consider a new bronchoscopy with BAL, culture, cytology, Baermann test and deworming.</t>
  </si>
  <si>
    <t>Orthogonal views of the thorax are provided:_x000D_
_x000D_
Thorax:_x000D_
_x000D_
No signs of tracheal collapse._x000D_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Hiatal hernia is suspected. Rule out secondary to an upper airway obstruction (probably the same that triggers the reverse sneezing)._x000D_
Liver extends beyond the costal arch with sharp margins._x000D_
Marked scoliosis of the thoracic spine.</t>
  </si>
  <si>
    <t>1) Left atrial enlargement secondary to chronic mitral endocardiosis without signs of CHF. Rule out concomitant tricuspid endocardiosis with pulmonary hypertension._x000D_
2) Hepatomegaly: Metabolic vs Vacuolar infiltration vs Hepatic nodular hyperplasia vs Inflammatory vs Toxic vs Neoplastic or a combination of these differentials._x000D_
3) Rule out sliding hiatal hernia secondary to an upper airway obstruction (probably the same that triggers the reverse sneezing).</t>
  </si>
  <si>
    <t>Consider a cardiology consultation with ECG and echocardiogram and abdominal US to further evaluate the liver._x000D_
Consider CT of the nasal cavity/thorax with bronchoscopy, BAL, culture, cytology followed trying to rule out an upper airway obstruction that triggers revere sneezing such as coanal stenosis or a mass.</t>
  </si>
  <si>
    <t xml:space="preserve">
1.There is no evidence of BRONCHITIS, ALVEOLAR PATTERN, PERIHILAR INFILTRATE, DYNAMIC AIRWAY COLLAPSE or BRONCHIECTASIS, PULMONARY NODULES or PLEURAL EFFUSION._x000D_
2.A minimal interstitial pattern has been detected._x000D_
3.Mild cardiomegaly has been detected but Heart Failure is NOT suspected.</t>
  </si>
  <si>
    <t>Orthogonal radiographs of the thorax are provided. There is moderate to severe generalized cardiomegaly. Cranial pulmonary vessels are normal size. There is a moderate interstitial pattern in the left perihilar region. Otherwise the lungs are clear. No pleural effusion. Adequate tracheal diameter. Normal cranial abdomen.</t>
  </si>
  <si>
    <t>Moderate to severe generalized cardiomegaly consistent with acquired mitral and tricuspid valve disease. Perihilar interstitial pattern on the left is concerning for left-sided cardiac decompensation. This is the only abnormality identified to explain the cough. Inhaled irritant/allergens could be contributing. Although no tracheal abnormalities are identified on this study, dynamic collapse remains possible, as it may not be imaged on a static radiographic study.</t>
  </si>
  <si>
    <t>If the patient has increased respiratory rate/effort, abnormal lung auscultation, or exercise intolerance, treatment for heart failure would be recommended. Follow-up echocardiogram is recommended.</t>
  </si>
  <si>
    <t xml:space="preserve">
1.Are respirartory signs present? If YES._x000D_
2.Are respiratory signs present? If NO._x000D_
3.SEVERE DYNAMIC AIRWAY DISEASE; MODERATE BROCHIAL PATTERN; MILD INTERSTITIAL INFILTRATE with ATELECTASIS or less likely, PNEUMONIA._x000D_
4.Based on these AI airway/pulmonary findings, the probability of this patient having clinically detectabe respiratory signs is MEDIUM (50%)_x000D_
5.Pleural fissure lines or small volume pleural effusion has been detected. In a mildly to moderately overweight animal, excessive pericardial fat can artifactually mimic the result of mild pleural effusion._x000D_
6.Severe cardiomegaly has been detected but Heart Failure is NOT suspected.</t>
  </si>
  <si>
    <t>Three radiographs of the thorax, and three views of the abdomen are provided. The cardiac silhouette is moderately enlarged on all views. The cranial heart waist is prominent. There are a few well delineated round soft tissue opaque nodules and masses within the lungs measuring up to 3.5 cm. Suspect scant pleural fluid. Broad-based fat opaque 1.1 x 4.1 cm lipomatous mass in the right extrathoracic tissue is incidental._x000D_
_x000D_
In the abdomen serosal detail is adequate. Normal-sized liver, kidneys, spleen. Suspect lobulated splenic tail versus summating intestines on the VD projection. The gastrointestinal tract is mildly filled. No radiopaque cystic calculi.</t>
  </si>
  <si>
    <t>1. Several lung nodules and masses consistent with malignant neoplasia. Metastatic disease is most likely. Primary pulmonary neoplasia is next on the differential list._x000D_
2. Cardiomegaly. Dilated cardiomyopathy should be considered. Since there are pulmonary metastases and suspected splenic abnormalities on this study as well as on the recent ultrasound, a heart based mass such as hemangiosarcoma is also on the differential list._x000D_
3. Suspect splenic tail lesions, concerning for neoplasia such as hemangiosarcoma is suspected. No other intra-abdominal abnormalities.</t>
  </si>
  <si>
    <t>Ultrasound evaluation of the heart base and abdomen should be considered. With the multiple pulmonary lesions, complete surgical resection is not possible.</t>
  </si>
  <si>
    <t xml:space="preserve">
1.Are respiratory signs present? If NO._x000D_
2.SEVERE INTERSTITIAL TO ALVEOLAR PATTERN; SEVERE BRONCHIAL PATTERN; SEVERE DYNAMIC AIRWAY DISEASE._x000D_
3.Based on these AI airway/pulmonary findings, the probability of this patient having clinically detectable respiratory signs is VERY HIGH (&gt;75%)_x000D_
4.Are respiratory signs present? If YES._x000D_
5.A severe perihilar infiltrate has been detected._x000D_
6.The evaluation has a strong suspicion of pulmonary nodules or mass lesion being present._x000D_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t>
  </si>
  <si>
    <t>Patient Name: River Wood, Date of study: July 22, 2024.
Canine Thorax (2 Images) - 1 Lateral, 1 VD
There are no previous radiographs for comparison.
Findings:
Cardiac silhouette: The cardiac silhouette is increased in height and the caudodorsal aspect is enlarged and rounded in shape. 
Pulmonary vessels: The pulmonary arteries and veins are normal in size and are symmetrical.
Pulmonary parenchyma: There are several rounded pulmonary nodules superimposed with the hilus and in the caudal dorsal thorax. The nodules are approximately 2 to 3 cm in diameter and are soft tissue opaque and smoothly marginated.
Pleural space: The pleural space is within normal limits.
Mediastinum: There is increased soft tissue opacity dorsal to the carina which ventrally displaces the caudal mainstem bronchi. The cranial mediastinum is widened on the ventrodorsal view. A distinct soft tissue structure/mediastinal mass or enlarged sternal lymph node is not identified on the lateral view.
Trachea: The carina is dorsally deviated. The intrathoracic trachea is parallel with the spine.
Esophagus: The region of the esophagus is within normal limits.
Cranial abdomen: The stomach is filled with heterogeneous ingesta admixed with gas. There is adequate serosal detail.
Musculoskeletal: There is moderate to marked osteoarthritis of the elbows.</t>
  </si>
  <si>
    <t xml:space="preserve">1. Multiple pulmonary nodules and tracheobronchial lymphadenopathy.
- Given enlarged tracheobronchial lymph nodes, fungal granulomas are prioritized. Metastatic neoplasia, parasitic granulomas, and pulmonary abscesses are not ruled out. 
2. Moderate left-sided cardiomegaly. Consider valvular insufficiency. There is no evidence of heart failure. </t>
  </si>
  <si>
    <t>In addition to pending blood work, fungal titers are recommended. If any enlarged peripheral lymph nodes are identified, fine-needle aspirates would be recommended. If percutaneous ultrasound-guided aspirates of the pulmonary nodules is not feasible, a thoracic CT with CT-guided sampling could be considered for definitive diagnosis.</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</si>
  <si>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3.Are respiratory signs present? If YES._x000D_
4.AI linked pneumonia in dogs article: https://platform.v2.vetology.net/doc/pneumonia-in-dogs-and-cats_x000D_
5.Are respiratory signs present? If NO._x000D_
6.The evaluation has a strong suspicion of pulmonary nodules or mass lesion being present._x000D_
7.Severe cardiomegaly has been detected but Heart Failure is NOT suspected._x000D_
8.A mild perihilar infiltrate has been detected._x000D_
9.Pleural fissure lines or moderate to severe pleural effusion has been detected. An overlying skin fold or in an obese animal, excessive pericardial fat could artifactually mimic the result of severe pleural effusion.</t>
  </si>
  <si>
    <t>Four radiographs of the thorax/abdomen are provided. The cardiac silhouette and pulmonary vessels are normal size and shape. There are no abnormalities in the pulmonary parenchyma or pleural space. No intrathoracic lymphadenomegaly. Tracheal diameter is adequate. In the abdomen there is round lobulated soft tissue opaque mass measuring at least 10.5 cm in the cranioventral great abdomen. No definitive gastric axis deviation on the lateral view, where the mass extends caudal to the stomach. There is severe leftward deviation of the stomach and proximal descending duodenum on the VD projection. Scant adjacent effusion. Normal-sized splenic head and both kidneys. The gastrointestinal tract is mildly filled. No radiopaque urolithiasis.</t>
  </si>
  <si>
    <t>1. Large cranial right abdominal mass, with scant adjacent effusion. Neoplasia originating from the liver such as carcinoma or hemangiosarcoma is most likely. A large hepatic cyst or abscess is given much lesser consideration._x000D_
2. Normal thorax.</t>
  </si>
  <si>
    <t>Three radiographs of the thorax, and three views of the abdomen are provided. The cardiac silhouette and pulmonary vessels are normal size and shape. There are no abnormalities in the pulmonary parenchyma. No soft tissue pulmonary nodules, pleural effusion, or enlarged intrathoracic lymph nodes. In the abdomen serosal detail is poor and the abdomen is pendulous. No gastric axis deviation is appreciated. The gastrointestinal tract is mildly filled. The kidneys are partially visible and normal size. The spleen and liver are obscured. No radiopaque urolithiasis.</t>
  </si>
  <si>
    <t>Severe peritoneal effusion of uncertain etiology. The reason for hypoproteinemia is not identified. The thorax is normal. There is no evidence of cardiovascular disease on this study.</t>
  </si>
  <si>
    <t>Full abdominal ultrasound is recommended.</t>
  </si>
  <si>
    <t xml:space="preserve">
1.The evaluation has come up positive for a pulmonary nodular pattern._x000D_
2.The cardiac silhouette size is normal._x000D_
3.There is no evidence of BRONCHITIS, ALVEOLAR PATTERN, PERIHILAR INFILTRATE or DYNAMIC AIRWAY COLLAPSE or BRONCHIECTASIS.</t>
  </si>
  <si>
    <t>Orthogonal views of the thorax are provided:_x000D_
_x000D_
Thorax:_x000D_
_x000D_
No abnormalities are seen in the trachea._x000D_
Cardiac silhouette has a normal shape and size._x000D_
Pulmonary vessels are within normal limits of size and shape._x000D_
Pulmonary parenchyma is within normal limits. No evidence of pneumonia._x000D_
Pleural space, mediastinum, diaphragm and thoracic wall within normal limits.</t>
  </si>
  <si>
    <t>1) No signs of pneumonia._x000D_
2) No signs of cardiomegaly (this does not exclude a cardiac disease or hypovolemia).</t>
  </si>
  <si>
    <t>Consider CBC. Given the lack of cardiomegaly but audible murmur, consider a cardiology consultation with ECG and echocardiogram prior to an empirical treatment for allergic bronchitis vs early pneumonia.</t>
  </si>
  <si>
    <t xml:space="preserve">
1.The cardiac silhouette size is normal._x000D_
2.There is no evidence of ALVEOLAR PATTERN, PERIHILAR INFILTRATE or PLEURAL EFFUSION._x000D_
3.A moderate bronchial pattern has been detected.</t>
  </si>
  <si>
    <t>A three view study of the thorax is provided for interpretation. This study is compared to the previous dated 6-6-23._x000D_
_x000D_
There is moderate to severe dynamic narrowing of the cervical trachea. This was present previously but more prominent in the current study._x000D_
There is severe left sided heart chamber dilation, similar to the previous radiographs. Pulmonary vessels are normal. There is a mild increase in bronchial markings in interstitial lung opacity. The appearance is within the limits of age related change and hypoinflation artifact. The caudal dorsal interstitial to alveolar pattern seen in the previous radiographs is not present. Interstitial opacity is slightly more prominent in the perihilar region, so mild perihilar interstitial edema cannot be excluded but the appearance is equivocal. No pleural effusion is seen.</t>
  </si>
  <si>
    <t>There is severe left sided cardiomegaly which is similar to the previous radiographs. The caudal dorsal infiltrates indicative of pulmonary edema in the previous study are not present in the current radiographs. There is the clinical potential for mild perihilar edema, but this is not definitive._x000D_
The more diffuse pulmonary density is most likely the result of age related changes._x000D_
_x000D_
The appearance of the cervical trachea is consistent with collapsing trachea as a concurrent pathology.</t>
  </si>
  <si>
    <t>Continuation of the current cardiac medical regimen is recommended._x000D_
Symptomatic therapy for the cough is recommended.</t>
  </si>
  <si>
    <t xml:space="preserve">
1.A mild perihilar infiltrate and concurrent, mild dynamic airway disease have been detected._x000D_
2.SEVERE BRONCHIAL PATTERN; MILD INTERSTITIAL PULMONARY PATTERN._x000D_
3.Mild dynamic airway disease has been detected._x000D_
4.Based on these AI airway/pulmonary findings, the probability of this patient having clinically detectable respiratory signs is MEDIUM to HIGH (50-75%)._x000D_
5.Are respiratory signs present: If YES._x000D_
6.Are respiratory signs present: If NO._x000D_
7.Severe cardiomegaly has been detected but Heart Failure is NOT suspected.</t>
  </si>
  <si>
    <t>3 views of the thorax are provided for review.  The cardiovascular structures are normal.  There is a moderate bronchial pattern in all lung lobes.  The mediastinal and pleural structures are normal.  Cranial abdominal detail is adequate.  There is spondylosis deformans at T4-5.</t>
  </si>
  <si>
    <t>Airway sampling may be helpful in further evaluation if clinical signs warrant.  Echocardiography could be considered in further evaluation of the reported murmur.</t>
  </si>
  <si>
    <t>Nine radiographs are provided, with images of the head/neck, and thorax. There is small (2.2 cm) soft tissue bulge ventral to the larynx on the lateral views. This may be due to superimposed skin fold, as a collar contour is immediately adjacent to this area. No laryngeal or hyoid apparatus abnormalities. The common pharyngeal region is normally air-filled. No skull abnormalities. On the VD view, the cervical trachea is sharply deviated towards the right at the level of C2-3. No persistent tracheal deviation on the lateral views. The cardiac silhouette and pulmonary vessels are normal size and shape. No abnormalities in the pulmonary parenchyma. There is no pleural effusion. Normal cranial mediastinal width. Several incidental pulmonary osteomas. Normal proximal thoracic limbs._x000D_
_x000D_
In the abdomen there is no effusion. Formed feces fills the distal colon. The stomach and small bowel are mildly filled. Normal-sized liver, spleen, kidneys. No osseous abnormalities.</t>
  </si>
  <si>
    <t>1. Rightward deviation of the cranial cervical trachea, possibly related to the reported mass lesion. Origin of the lesion is not known. A granuloma, abscess, or soft tissue neoplasm should be considered. Thyroid carcinoma is not ruled out._x000D_
2. Normal thorax and abdomen.</t>
  </si>
  <si>
    <t>Cytology of the cervical lesion is recommended for a definitive diagnosis. Additional imaging of the lesion with ultrasound or CT could be considered.</t>
  </si>
  <si>
    <t>Three radiographs of the thorax, and orthogonal views of the abdomen are provided. Images dated 5/25/23 are available for comparison. There is equivocal prominence of the left atrium as before. Cardiac to thoracic ratio and pulmonary vessel size is normal. Mild age-related changes in the lungs. No soft tissue pulmonary nodules or pleural effusion. Adequate tracheal diameter._x000D_
_x000D_
In the abdomen there is no effusion. The liver, spleen, and left kidney are normal size. The right kidney is obscured. Moderate volume soft tissue opaque ingesta. Small bowel and colon are minimally filled. Round gas lucency in the mid right abdomen is normal cecum. No radiopaque cystic calculi. The cranioventral left extra abdominal mass on the previous study is not present today. Osseous structures are unremarkable.</t>
  </si>
  <si>
    <t>Equivocal prominent left atrium as before, suggestive of acquired mitral valve disease. This is of no clinical significance today. Otherwise normal thorax and abdomen.</t>
  </si>
  <si>
    <t xml:space="preserve">
1.Mild cardiomegaly has been detected but Heart Failure is NOT suspected._x000D_
2.Are respiratory signs present? If YES._x000D_
3.MODERATE BRONCHOINTERSTITIAL PULMONARY PATTERN; MILD PERIHILAR INFILTRATE; MILD DYNAMIC AIRWAY DISEASE; ATELECTASIS or less likely, pneumonia._x000D_
4.Based on the AI airway/pulmonary findings, the probability of this patient having clinically detectable respiratory signs is MEDIUM to HIGH (50%-75%)_x000D_
5.Are respiratory signs present? If NO.</t>
  </si>
  <si>
    <t>Two lateral radiographs of the thorax/abdomen, VD pelvis, and lateral view of each stifle are provided. Images dated 4/12/24 are available for comparison. Moderate to severe cardiomegaly is again identified. Subsequent dorsal deviation of the thoracic trachea and mainstem bronchi. No abnormalities in the pulmonary parenchyma or pleural space. Adequate tracheal diameter. The mainstem bronchi are compressed. In the abdomen there is no effusion or organomegaly. Two small wire or objects in the cranioventral abdomen as before, incidental. Formed feces fills the colon. The stomach and small bowel are minimally filled. No radiopaque urolithiasis. Narrowed T12-13 intervertebral disc space as before. No other definitive spinal abnormalities. The coxofemoral joints are congruent. The left patella is medially displaced. Pelvic limb musculature is reduced on the left. No right stifle joint abnormalities. Left stifle evaluation is limited by rotation. No lysis, fracture, subluxation. No popliteal lymphadenomegaly.</t>
  </si>
  <si>
    <t>1. The appearance of T12-13 is similar to the previous study and intervertebral disc disease at this or another site is the most likely cause for the pelvic limb weakness._x000D_
2. Medial patellar luxation on the left._x000D_
3. Moderate to severe cardiomegaly, unchanged. This is consistent with acquired mitral and tricuspid valve disease. There is no pulmonary venous congestion or evidence of heart failure, however there is mainstem bronchial compression. No other thoracic abnormalities._x000D_
4. Normal abdomen.</t>
  </si>
  <si>
    <t xml:space="preserve">
1.SEVERE INTERSTITIAL TO ALVEOLAR INFILTRATE; CONCURRENT MODERATE BRONCHIAL PATTERN and MILD DYNAMIC AIRWAY DISEASE._x000D_
2.Based on these AI airway/pulmonary findings, the probability of this patient having clinically detectable respiratory signs is HIGH (75%)_x000D_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</si>
  <si>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3 views of the thorax are provided for review.  No significant changes are seen when compared with images dated 7/12/2024.  The trachea is dorsally deviated, indicating left ventricular enlargement.  A bulge is present in the region of the left atrium.  Moderate bronchial markings are present in all lung lobes.  No perihilar pulmonary infiltrates are seen.  The pulmonary vasculature is normal in size.  There is mild narrowing of the cervical trachea on the left lateral view on both the current and previous studies.  The mediastinal and pleural structures are normal.  Cranial abdominal detail is adequate.</t>
  </si>
  <si>
    <t>Minimal inconsistent tracheal narrowing may indicate dynamic tracheal collapse.  Fluoroscopy or bronchoscopy could be considered.  Moderate bronchial pulmonary pattern=ZZ90= consider bronchitis, response to inhaled irritants, response to circulating parasites, eosinophilic bronchopneumopathy.  Airway sampling may be helpful in further evaluation.  Left-sided cardiomegaly without current evidence of cardiogenic pulmonary edema.  Echocardiography may be helpful in further staging.</t>
  </si>
  <si>
    <t xml:space="preserve">
1.MODERATE BRONCHIAL PATTERN, MILD DYNAMIC AIRWAY DISEASE, MILD, DIFFUSE INTERSTITIAL PATTERN WITH A SLIGHTLY MORE PRONOUNCED PERIHILAR INFILTRATE._x000D_
2.Based on these AI airway/pulmonary findings, the probability of this patient having clinically detectable respiratorysigns is MEDIUM (50%)_x000D_
3.Are respiratory signs present? If YES._x000D_
4.AI linked bronchitis disease treatment in dogs and cats: https://platform.v2.vetology.net/doc/bacterial-bronchitis-in-dogs-and-cats_x000D_
5.Are respiratory signs present? If NO._x000D_
6.There is no evidence of PULMONARY NODULES or PLEURAL EFFUSION._x000D_
7.Moderate cardiomegaly has been detected but Heart Failure is NOT suspected.</t>
  </si>
  <si>
    <t>Patient Name : Miracle Martinez, Date of study: Jul 21, 2024
3 images are provided for review
There are no previous radiographs for comparison.
Findings:
Thorax:
There is mild dynamic narrowing of the intrathoracic trachea (being more narrowed on the right lateral image).
The cardiac silhouette is tall and wide, causing dorsal displacement of the trachea, and there is bulging soft tissue in the region of the left atrium.
The lungs are normal.
The pleural space is normal.
Abdomen:
The liver is enlarged and has rounded margins.
The gastrointestinal tract, spleen, kidneys, and urinary bladder are normal.
The serosal detail is normal.
There are several thin curvilinear metallic structures in the peritoneum, seen in the right cranial abdomen, 1 of which is superimposed with the liver.
There are multiple narrowed lumbar intervertebral disc spaces, and there is associated spondylosis deformans.
There are 3 metallic sutures along the midline of the cranioventral abdominal body wall.</t>
  </si>
  <si>
    <t>1.  Dynamic tracheal narrowing due to chondromalacia.
2.  Left cardiomegaly, due to mitral insufficiency, no congestive heart failure.
3.  Nonspecific hepatomegaly (vacuolar/endocrine hepatopathy, hepatitis, or neoplasia).
4.  Incidental peritoneal wire foreign bodies.
5.  Multifocal lumbar intervertebral disc disease.</t>
  </si>
  <si>
    <t>Given the signalment, history, and imaging findings, tracheal collapse is the most likely cause of the patient's cough.  As radiographs are less insensitive for airway disease, tracheoscopy and/or fluoroscopy may be considered for further evaluation of the airways.  
An echocardiogram may be useful for further assessment of the patient's heart murmur.
Peritoneal wire foreign bodies are an incidental finding, it is rare for this to lead to clinical signs.</t>
  </si>
  <si>
    <t xml:space="preserve">
1.Are respiratory signs present? If NO._x000D_
2.MODERATE DYNAMIC AIRWAY DISEASE; MILD to MODERATE BRONCHOINTERSTITIAL PATTERN._x000D_
3.Based on these AI airway/pulmonary findings, the probability of this patient having clinically detectable respiratory signs is MEDIUM (50%)_x000D_
4.Are respiratory signs present? If YES._x000D_
5.AI link to dynamic airway disease treatment in dogs: https://platform.v2.vetology.net/doc/canine-tracheal-collapse-treatment_x000D_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</si>
  <si>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Patient Name : Molly Whisten, Date of study: Jul 21, 2024
3 images are provided for review
Canine Abdomen (3 Images) - 1 VD, 2 Lateral
There are no previous radiographs for comparison.
Findings:
Thorax:
There is bulging soft tissue in the region of the left atrium.  
The lungs are normal.
The pleural space is normal.
Abdomen:
The stomach contains a small amount of gas.  The small intestines are normal and uniform in size and contain gas and homogeneous soft tissue.  The colon contains gas and homogeneous soft tissue.
The liver, spleen, kidneys, and urinary bladder are normal.
There are small mineral structures caudal to the kidneys and dorsal to the cranial margin of the urinray bladder.
The osseous structures are normal.</t>
  </si>
  <si>
    <t>1.  No gastrointestinal mechanical obstruction.
2.  Left atriomegaly, due to mitral insufficiency.  There is no congestive heart failure.
3.  Mineralized spay granulomas (ovarian pedicles and uterine stump).</t>
  </si>
  <si>
    <t>An abdominal ultrasound may be useful if clinical signs are persistent despite medical management.</t>
  </si>
  <si>
    <t xml:space="preserve">
1.No airway or pulmonary abnormalities have been detected. The lung parenchyma appears normal with no interstitial, alveolar, or bronchial pattern identified. No pulmonary nodules or pleural effusion detected._x000D_
2.Minimal cardiomegaly has been detected but Heart Failure is NOT suspected.</t>
  </si>
  <si>
    <t>3 views of the thorax are provided for review.  The trachea is mildly dorsally deviated, indicating left ventricular enlargement.  There is straightening of the caudal cardiac waist in the region of the left atrium.  No pulmonary infiltrates or nodules are seen.  The pulmonary vasculature is normal in size.  The mediastinal and pleural structures are normal.  Cranial abdominal detail is adequate.</t>
  </si>
  <si>
    <t>Patient Name : Peppermint Tsushima, Date of study: Jul 21, 2024
3 images are provided for review
There are no previous radiographs for comparison.
Findings:
The cardiac silhouette is partially obscured, no overt chamber enlargement is seen.
There are severe alveolar patterns in the left cranial, right cranial, and right middle lung lobes.
The pleural space is normal.
The musculoskeletal structures are normal.
The cranial abdomen is normal.</t>
  </si>
  <si>
    <t>1. Severe bilateral cranial lung lobe alveolar patterns most likely due to bronchopneumonia/aspiration pneumonia.</t>
  </si>
  <si>
    <t xml:space="preserve">
1.A severe perihilar infiltrate has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4.A moderate to severe interstitial to alveolar pattern with concurrent dynamic airway disease has been identified._x000D_
5.Dynamic airway disease has been detected_x000D_
6.The evaluation has a strong suspicion of pulmonary nodules or mass lesion being present.</t>
  </si>
  <si>
    <t xml:space="preserve">Patient Name : Spike Medina, Date of study: Jul 20, 2024
4 images are provided for review
Canine Thorax (4 Images) - 3 Lateral, 1 Vd
Prior abdominal images are dated February 15, 2024.
Pulmonary parenchyma: A minimal diffuse bronchial and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In all the lateral images, persistent increased soft tissue is arising from the ventral aspect of the larynx that has a smooth convex dorsal surface.  Suspicious increased soft tissue and thickening is at the dorsal aspect of the larynx at this same level. Together, this result in stenosis of the laryngeal lumen, with an acute size change between gas in the caudal common pharynx and laryngeal lumen.  The remaining included musculoskeletal structures are normal.
</t>
  </si>
  <si>
    <t>1. Suspicious for laryngeal soft tissue mass with luminal stenosis.
-The primary differential diagnosis is neoplasia such as rhabdomyoma/rhabomyosarcoma, chondrosarcoma, fibrosarcoma or less likely other.  
2. Minimal diffuse bronchial and interstitial pulmonary patterns such as from fibrosis from prior disease, age-related changes, infectious/immune-mediated lower airway disease (mycoplasma spp., bordetella spp., parasitism, inhaled allergen), or unlikely other.
3. There is no evidence of pulmonary soft tissue nodules or intra-thoracic lymphadenomegaly.</t>
  </si>
  <si>
    <t>Consider computed tomography of the head/neck and thorax for further evaluation.  Sedated laryngeal examination or laryngoscopy for tissue sampling if a mass lesion is confirmed.  Oncologist consultation depending on results.  Empirical therapy and supportive care as needed in the interim.  Monitoring as directed or sooner if clinical signs acutely change, fail to improve or worsen.</t>
  </si>
  <si>
    <t>Opposite lateral and VD views of the thorax and abdomen, orthogonal pelvis views, and lateral views of both stifles are provided. There are 12 images total._x000D_
_x000D_
There is an approximately 8 x 10 cm moderately well marginated ovoid mass caudal to the right distal femur in the right lateral stifle view. This lesion appears soft tissue dense in this view, and possibly associated with the popliteal lymph node. In the VD view this mass effect appears as if it may be fat dense. Moderate enlargement of popliteal lymph nodes on the left side is identified. No significant abnormalities are seen involving the stifle joints._x000D_
No mass is visible in the hip region. The pelvis and hip joints are within normal limits. No sublumbar soft tissue abnormalities are seen. There is moderate to severe lumbosacral spondylosis and severe spondylosis involving the cranial lumbar spine. No destructive bone lesions are identified._x000D_
There is an elliptical mineral opacity lateral to the right hip in the VD pelvis view that appears subjectively benign and is suspected to be an incidental mineral deposit in this area. The cardiovascular structures are within normal limits. Bronchial markings are mildly increased but within the limits of age related change. No pulmonary nodules or pleural effusion are seen. There is a fat dense subcutaneous mass consistent with a lipoma on the right caudal thorax._x000D_
_x000D_
The abdominal organs are all within normal size and shape limits. No mass lesions or loss of detail are seen in the abdomen.</t>
  </si>
  <si>
    <t>There is suspicion of a large soft tissue mass in the right caudal thigh region. This might be the mass indicated in the history. Neoplasia is the primary differential. A cystic lesion could appear similar but would be unusual in this location. Cystic lymph node is a possibility. No bone involvement is seen._x000D_
_x000D_
The left popliteal lymph nodes enlarged. The appearance would be most compatible with reactive change. Lymphoreticular neoplasia should still be ruled out._x000D_
_x000D_
No significant thoracic or abdominal abnormalities are identified._x000D_
_x000D_
The lumbar spondylosis is considered incidental.</t>
  </si>
  <si>
    <t>Follow up imaging such as ultrasound or CT to evaluate the right proximal hind limb mass could be helpful. If this lesion is not cystic, biopsy is indicated._x000D_
The left popliteal lymph node appears enlarged. FNA for cytologic evaluation should be considered.</t>
  </si>
  <si>
    <t xml:space="preserve">Patient Name : Chapo Cisneros, Date of study: Jul 20, 2024
3 images are provided for review
Canine Thorax (3 Images) - 1 Vd, 2 Lateral
There are no previous radiographs for comparison.
Pulmonary parenchyma: A  mild to moderate diffuse bronchial pattern is present.  A minimal to mild diffuse interstitial pulmonary pattern is present.  This is more severe in the right cranial lung in the ventrodorsal image, and the lungs are mildly hypoinflated in all images.  
Pulmonary vasculature: The pulmonary vasculature is subjectively normal in size and tapers in the periphery of the lungs.
Cardiac silhouette: The cardiac silhouette enlarged and tall, occupying greater than 2/3 the height of the cardiac silhouette, with dorsal tracheal displacement.  The caudodorsal aspect of the cardiac silhouette if flattened.  Rounded increased soft tissue is in the region of the left atrium in the ventrodorsal image.  
Mediastinum: The cranial mediastinum is widened with a slightly convex left lateral margin in the ventrodorsal image.  Ill-defined increased soft tissue is suspected in the cranial and dorsal aspect of the mediastinum in the lateral images without ventral tracheal displacement.  This may be due to superimposition of the thoracic limbs over the cranial thorax.  
Trachea: A soft tissue band superimposes over the cervical and thoracic tracheal segments.  
Esophagus: The esophagus is not well-identified.
Pleural space: The pleural space is normal.
Musculoskeletal: The patient is obese.  The remaining included musculoskeletal structures are normal.
</t>
  </si>
  <si>
    <t>1. Moderate left-sided cardiomegaly such as from myxomatous mitral valvular disease and insufficiency.
2. Mild-moderate diffuse bronchial and minimal-mild interstitial pulmonary patterns, likely exacerbated by hypoinflation.
- Differential diagnoses include evolving left-sided congestive heart failure, and/or infectious/immune-mediated lower airway disease,. fibrosis from prior disease, age-related changes, or unlikely other.
3. Cranial mediastinal widening due to fat deposition/superimposed normal structures versus evolving lymphadenomegaly (reactive or neoplastic) or mass, or unlikely other.
(amended on 07/21/2024 07:53)
4. Dorsal redundant tracheal membrane with/without underlying dynamic airway disease, versus superimposed normal structures.</t>
  </si>
  <si>
    <t>Consider diuretic therapy, oxygen therapy and monitoring with 3- or 4-view thoracic radiographs for resolution/progression of the pulmonary pattern.  Consider echocardiography, ECG and blood pressure, urinalysis and routine blood work if not recently performed.  Consider respiratory PCR panel, airway sampling, and fecal analysis/deworming for further evaluation if signs fail to improve with therapy for suspected cardiac disease.  Abdominal imaging for further evaluation of the liver, and consider blood work screening for endocrinopathy/cushing disease if clinically indicated.  Monitoring as directed or sooner if clinical signs acutely change, fail to improve or worsen.</t>
  </si>
  <si>
    <t xml:space="preserve">
1.Severe cardiomegaly has been detected but Heart Failure is NOT suspected._x000D_
2.MODERATE BRONCHOINTERSTITIAL PULMONARY PATTERN; MODERATE DYNAMIC AIRWAY DISEASE; MODERATE ALVEOLAR INFILTRATE or ATELECTASIS._x000D_
3.Based on these AI airway/pulmonary findings, the probability of this patient having clinically detectable respiratory signs is HIGH (75%)_x000D_
4.Are respiratory signs present? If YES._x000D_
5.Are respiratory signs present? If NO.</t>
  </si>
  <si>
    <t xml:space="preserve">Patient Name : Athena Williams, Date of study: Jul 20, 2024
3 images are provided for review
There are no previous radiographs for comparison.
Bones/Joints:  The right thoracic limbs 5th digit has normal phalanges, without obvious fracture.
The right elbow is normal.  
The right shoulder is normal.
The included right carpus, metacarpus are normal.
The left elbow is normal.  
The left shoulder is normal.  
The included left carpus, metacarpus and digits are normal. 
There is no evidence of medullary sclerosis, osteolysis, endosteal scalloping, or periosteal proliferation.
Soft tissues:  The soft tissues surrounding the right thoracic limb 5th digit are moderately circumferentially enlarged. 
This extends from the middle phalanx to the distal phalanx.   In the lateral image, a tiny well-defined mineral focus is just caudal to the right 5th distal phalanx. No obvious gas material is in these enlarged soft tissues.  The remaining included soft tissues are normal.
</t>
  </si>
  <si>
    <t>1. Right thoracic limb 5th digit soft tissue swelling such as from occult trauma or penetrating injury, or unlikely other.\
2. Tiny mineral focus caudal to the right 5th distal phalanx due to superimposed external material versus enthesophyte, secondary center of ossification, or tiny avulsion fracture fragment, or foreign material.  
3. Normal left thoracic limb.</t>
  </si>
  <si>
    <t>Consider empirical therapy and supportive care for occult trauma and strain/sprain injury to the right thoracic limb 5th digit.  Monitoring with repeat imaging, especially if signs fail to improve, worsen, or reoccur (such as with a draining tract after cessation of therapy).  Monitoring as directed, or sooner if clinical signs acutely change, fail to improve or worsen.</t>
  </si>
  <si>
    <t xml:space="preserve">
1.The evaluation has a strong suspicion of pulmonary nodules or mass lesion being present._x000D_
2.The cardiac silhouette size is normal._x000D_
3.There is no evidence of DYNAMIC AIRWAY COLLAPSE or BRONCHIECTASIS._x000D_
4.A minimal interstitial pattern has been detected._x000D_
5.Pleural fissure lines or moderate pleural effusion has been detected. An overlying skin fold or in a moderately overweight animal, excessive pericardial fat could artifactually mimic the result of moderate pleural effusion.</t>
  </si>
  <si>
    <t xml:space="preserve">Patient Name : Milo Hawthorne, Date of study: Jul 20, 2024
7 images are provided for review
There are no previous radiographs for comparison.
Pulmonary parenchyma: A mild diffuse bronchial pattern is present.
Pulmonary vasculature: The pulmonary vasculature is subjectively normal in size and tapers in the periphery of the lungs.
Cardiac silhouette: The cardiac silhouette has a slightly flattened caudodorsal margin.  Rounded increased soft tissue is in the region of the left atrium in the ventrodorsal image.  
Mediastinum: The cranial mediastinum is normal.
Trachea: The trachea is normal.
Esophagus: The esophagus is not well-identified.
Pleural space: The pleural space is normal.
Bones/Joints:
The coxofemoral joints have no obvious osteoarthrosis.  There is adequate coverage of the femoral heads by the acetabulums.
The left stifle has no evidence of osteoarthrosis.  The left infrapatellar fat pad is well-defined.
The included left tarsus, metatarsus are normal.
The right patella is medially luxated in the ventrodorsal images.
The right stifle has no evidence of osteoarthrosis.  The right infrapatellar fat pad is partially obscured by the superimposed luxated right patella, but no obvious increased soft tissue is identified. The included right tarsus, metatarsus are normal.  
There is no evidence of medullary sclerosis, osteolysis, endosteal scalloping, or periosteal proliferation.
Soft tissues:  The right gluteal, and thigh soft tissues are small compared to the left.  The remaining included soft tissues are normal.
</t>
  </si>
  <si>
    <t xml:space="preserve">1. Mild left-sided cardiomegaly such as from myxomatous mitral valvular disease and insufficiency.
- There is no evidence of left-sided congestive heart failure. 
2. Mild diffuse bronchial pulmonary pattern due to fibrosis from prior disease, age-related changes, infectious/immune-mediated lower airway disease or unlikely other.
3. Right medial patellar luxation.
4. Right gluteal/thigh disuse muscle atrophy.
5. Normal coxofemoral joints.
6. No current evidence of left patellar luxation.  </t>
  </si>
  <si>
    <t>Echocardiography, ECG and blood pressure for further evaluation of the heart.  Empirical therapy and supportive care in the interim as needed.  Consider orthopedist consultation and possible surgical intervention to the right stifle for medial patella luxation.  Consider computed tomography of the head for further evaluation of reported ocular discharge if emppirical tehrapy/supportive care fails.  Monitoring with routine blood work and thoracic/abdominal imaging as directed, or sooner if clinical signs acutely change, fail to improve or worsen.</t>
  </si>
  <si>
    <t>Thorax: There is a diffuse bronchointerstitial pattern.  The cardiac silhouette and pulmonary vasculature are unremarkable.  There is no evidence of pleural effusion or lymphadenopathy.  On the visible portions of the abdomen there is diffuse hepatomegaly.  On the visible portions of the thoracic limbs there is osteoarthrosis involving both elbows and the right shoulder.</t>
  </si>
  <si>
    <t>Diffuse bronchointerstitial pattern which may be age-related or bronchitis._x000D_
_x000D_
Bilateral elbow osteoarthrosis._x000D_
_x000D_
Right shoulder osteoarthrosis._x000D_
_x000D_
Diffuse hepatomegaly.</t>
  </si>
  <si>
    <t xml:space="preserve">
1.Are respiratory signs present? If YES._x000D_
2.Are respiratory signs present? If YES._x000D_
3.AI linked bacterial pneumonia treatment in dogs: https://platform.v2.vetology.net/doc/pneumonia-in-dogs-and-cats_x000D_
4.Are respiratory signs present? If NO._x000D_
5.Are respiratory signs present? If NO._x000D_
6.Are respiratory signs present? If NO._x000D_
7.Are respiratory signs present? If YES._x000D_
8.Based on the AI airway/pulmonary findings, the probability of this patient having clinically detectable respiratory signs is HIGH (75%)_x000D_
9.Based on these AI airway/pulmonary findings, the probability of this patient having clinically detectable respiratory signs is MEDIUM (50%)_x000D_
10.Based on these AI airway/pulmonary findings, the probability of this patient having clinically detectable respiratory signs is MEDIUM (50%)._x000D_
11.Severe cardiomegaly has been detected but Heart Failure is NOT suspected._x000D_
12.MILD to MODERATE INTERSTITIAL TO ALVEOLAR PATTERN; MILD DYNAMIC AIRWAY DISEASE._x000D_
13.MODERATE INTERSITIAL TO ALVEOLAR PATTERN; MILD PERIHILAR INFILTRATE._x000D_
14.SEVERE BRONCHITIS; MODERATE INTERSTITIAL TO ALVEOLAR PATTERN.</t>
  </si>
  <si>
    <t>Orthogonal views of the thorax are provided:_x000D_
_x000D_
Thorax:_x000D_
_x000D_
The entire sternum is abnormally caudodistally oriented except for the xiphoid which is caudodorsally oriented, all these changes being consistent with a pectus carinatum giving this appearance of an abnormal pointy ventral sternum. The ventral most aspect of the diaphragm is not well distinguished from the cardiac apex where fat opacity is observed._x000D_
Cardiac silhouette has a normal shape and size._x000D_
Pulmonary vessels are within normal limits of size and shape._x000D_
Pulmonary parenchyma is within normal limits. _x000D_
Pleural space, mediastinum, diaphragm and thoracic wall within normal limits._x000D_
Congenital thoracic hemivertebra consistent with the breed.</t>
  </si>
  <si>
    <t>1) Findings consistent with pectus carinatum. Rule out potential small PPDH as well as potential interventricular septal defect (have been described along with sternal congenital anomalies).</t>
  </si>
  <si>
    <t>Echocardiogram.</t>
  </si>
  <si>
    <t xml:space="preserve">
1.A severe bronchointerstitial pulmonary pattern with lung consolidation or atelectasis, a perihilar infiltrate and concurrent dynamic airway disease have been detected._x000D_
2.Based on these AI airway/pulmonary findings, the probability this patient will have clinically detectable respiratory signs is NEAR CERTAINTY (&gt;99%)_x000D_
3.Are respiratory signs are present? If YES._x000D_
4.Pleural fissure lines or moderate to severe pleural effusion has been detected. An overlying skin fold or in an obese animal, excessive pericardial fat could artifactually mimic the result of severe pleural effusion._x000D_
5.The cardiac silhouette size is normal._x000D_
6.Are respiratory signs are present? If NO.</t>
  </si>
  <si>
    <t>Orthogonal views of the thorax are provided:_x000D_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Questionable cervical, dorsal thoracic and axillary SC cellulitis (suspected wet hair artifact as well)._x000D_
_x000D_
Visible spine is unremarkable without signs of disc herniation, aggressive bone lesions, vertebral fractures or subluxations._x000D_
Unremarkable fore limbs.</t>
  </si>
  <si>
    <t>1) Rule out questionable cervical and dorsal thoracic SC cellulitis (inflammatory/infectious/vascular) vs artifact. Otherwise unremarkable thorax and fore limbs.</t>
  </si>
  <si>
    <t>Consider a neuro exam: if the neuro exam is negative, consider an orthopedic exam under sedation with radiographs of the affected region. Evaluate the convenience of a CT of the head, neck and thorax if the cellulitis is present.</t>
  </si>
  <si>
    <t>WHOLE-BODY (3 total radiographs for review). _x000D_
_x000D_
- Peritoneal serosal detail is normal._x000D_
- The stomach contains mild gas and gas-stippled soft-tissue opaque material_x000D_
- The small intestine is overall nondistended and contains mild multifocal gas and soft-tissue opaque material_x000D_
- The colon contains moderate, desiccated and mineral opaque fecal material._x000D_
- The liver, spleen, region of the kidneys and urinary bladder are normal._x000D_
- The cardiac silhouette and pulmonary vasculature are normal._x000D_
- The pulmonary parenchyma is normal_x000D_
- The trachea, esophagus and remainder of the mediastinum are normal._x000D_
- The pleural space and remaining intrathoracic structures are normal._x000D_
- No musculoskeletal abnormalities are noted.</t>
  </si>
  <si>
    <t>1.  A discrete radiographic cause for the reported anorexia is not clearly identified.  There is a moderate accumulation of relatively desiccated material in the colon which could indicate constipation, an obvious predisposing factor for which is not noted.  You may consider abdominal ultrasonography in this patient if clinically indicated to further evaluate for potential causes of anorexia and constipation._x000D_
_x000D_
2.  Mild nonspecific gastric ingesta._x000D_
_x000D_
3.  Normal thorax.  Despite lack of radiographic evidence of cardiomegaly, given the reported heart murmur it may be reasonable to consider echocardiography regardless._x000D_
_x000D_
4.  Normal thoracolumbar junction.  A discrete spinal cause for back pain is not clearly noted however radiographic sensitivity can be limited.</t>
  </si>
  <si>
    <t>Orthogonal views of the thorax and abdomen are provided:_x000D_
_x000D_
Thorax:_x000D_
_x000D_
Cervical trachea is not included. No evidence of tracheal collapse._x000D_
Cardiac silhouette shows a moderate enlargement of the left atrium dorsally displacing the carina._x000D_
Pulmonary vessels are within normal limits of size and shape._x000D_
Superimposed or within the pulmonary parenchyma there is an oval nodular opacity superimposed with the cardiac silhouette in the RL view, not seen in the other views._x000D_
Pleural space, mediastinum, diaphragm and thoracic wall within normal limits._x000D_
_x000D_
Abdomen:_x000D_
_x000D_
The stomach is distended with food._x000D_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Kidneys and urinary bladder WNL.</t>
  </si>
  <si>
    <t>1) Left atrial enlargement secondary to chronic mitral endocardiosis without signs of CHF. Rule out concomitant tricuspid endocardiosis with post-capillary pulmonary hypertension._x000D_
2) Lack of visualization of tracheal collapse does not exclude this differential (especially taking into account the breed). Unremarkable lungs do not exclude a bronchitis of allergic vs inflammatory/infectious or parasitic origin. _x000D_
3) Nodular opacity compatible with a true pulmonary nodule (neoplastic vs metastatic vs granuloma) vs skin/SC nodule._x000D_
4) Hepatomegaly: Metabolic vs Vacuolar infiltration vs Hepatic nodular hyperplasia vs Inflammatory vs Toxic vs Neoplastic or a combination of these differentials.</t>
  </si>
  <si>
    <t>Consider a cardiology consultation with ECG and echocardiogram prior to a fluoroscopy (followed by tracheobronchoscopy, BAL and culture/cytology)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If negative, consider empirical treatment for chronic bronchitis._x000D_
Take new thoracic radiographs after ruling out a potential skin or SC nodule and if necessary consider a CT of the thorax._x000D_
Consider abdominal US to further evaluate the liver.</t>
  </si>
  <si>
    <t xml:space="preserve">
1.There is no evidence of ALVEOLAR PATTERN, PERIHILAR INFILTRATE or DYNAMIC AIRWAY COLLAPSE or BRONCHIECTASIS._x000D_
2.A moderate bronchial pattern has been detected._x000D_
3.Moderate cardiomegaly has been detected but Heart Failure is NOT suspected.</t>
  </si>
  <si>
    <t>RADIOLOGY REPORT_x000D_
Study: VD, Rt and Le lateral radiographs of the thorax, 3 images dated 7/20/2024._x000D_
_x000D_
Imaging findings:_x000D_
- Heart: WNL, normal size and shape_x000D_
- Pulmonary vasculature: WNL_x000D_
- Pleural space: WNL_x000D_
- Mediastinal structures: WNL_x000D_
- Pulmonary parenchyma and lower airways: right middle and cranial part of the right caudal lung lobes are obscured by a large and poorly defined region of soft tissue opacity, remainder of the lung lobes are normal_x000D_
- Cranial abdominal organs: WNL_x000D_
- Skeletal structures included in the views: left and right glenohumeral joints have marked periarticular osteophytes, incidental degenerative joint disease_x000D_
_x000D_
WNL = within normal limits</t>
  </si>
  <si>
    <t>1.  Right-sided pulmonary mass=ZZ90= DDx: histiocytic sarcoma versus pulmonary carcinoma versus pulmonary lymphoma versus less likely atypical lobar pneumonia versus cannot rule out pulmonary hematoma._x000D_
2.  Remainder of the thorax is normal.</t>
  </si>
  <si>
    <t>The radiographs provided do not fully explain the reported acute onset respiratory distress and tachycardia.  The right-sided pulmonary mass would explain the reported coughing and abnormal lung sounds._x000D_
_x000D_
Additional diagnostic steps for this patient may include (if not already performed):_x000D_
- CBC, chemistry panel, urinalysis, and coagulation parameters (platelets, PT, and PTT)_x000D_
- Focused transthoracic ultrasound imaging of the right hemithorax to see if a mass lesion can be identified or if the lung lobes are simply consolidated (such as pneumonia or hematoma).  If a lesion can be visualized, transthoracic fine-needle aspirate may be obtained_x000D_
- CT imaging of the thorax and consultation with an internal medicine specialist may also be pursued</t>
  </si>
  <si>
    <t>Andrew Gendler</t>
  </si>
  <si>
    <t xml:space="preserve">
1.MODERATE ALVEOLAR PATTERN; CONCURRENT MILD BRONCHOINTERSTITIAL PATTERN; MODERATE DYNAMIC AIRWAY DISEASE._x000D_
2.Based on the AI airway/pulmonary findings, the probability of this patient having clinically detectable respiratory signs is MEDIUM to HIGH (50-75%)._x000D_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</si>
  <si>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Lateral views of the thorax and abdomen are provided:_x000D_
_x000D_
Thorax:_x000D_
_x000D_
Cardiac silhouette shows a questionable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Kidneys and urinary bladder WNL._x000D_
_x000D_
Visible spine is unremarkable without signs of disc herniation, aggressive bone lesions, vertebral fractures or subluxations (again, just lateral views so the exam is incomplete).</t>
  </si>
  <si>
    <t>1) Rule out left atrial enlargement secondary to chronic mitral endocardiosis without signs of CHF._x000D_
2) Hepatomegaly: Metabolic vs Vacuolar infiltration vs Hepatic nodular hyperplasia vs Inflammatory vs Toxic vs Neoplastic or a combination of these differentials._x000D_
This study is incomplete without VD views of both thorax and abdomen.</t>
  </si>
  <si>
    <t>Consider VD views of both thorax and abdomen and abdominal US to further evaluate the liver and entire abdomen to further evaluate causes of lethargy._x000D_
Consider a cardiology consultation with ECG and echocardiogram. _x000D_
Underlying causes for panting include pain, acid-base imbalance, Cushing=ZZ91=s disease, spinal cord compression, intracranial disease, hyperthermia and PTE._x000D_
Consider work up for panting with CBC, biochemistry, abdominal US, neuro exam and upper airway exam.</t>
  </si>
  <si>
    <t xml:space="preserve">
1.SEVERE BROCHIAL PATTERN; MILD INTERSTITIAL INFILTRATE with ATELECTASIS or less likely, PNEUMONIA; MILD DYNAMIC AIRWAY DISEASE._x000D_
2.Based on these AI airway/pulmonary findings, the probability of this patient having clinically detectabe respiratory signs is HIGH (75%)_x000D_
3.Pleural fissure lines or moderate to severe pleural effusion has been detected. An overlying skin fold or in an obese animal, excessive pericardial fat could artifactually mimic the result of severe pleural effusion._x000D_
4.Moderate cardiomegaly has been detected but Heart Failure is NOT suspected._x000D_
5.Are respirartory signs present? If YES._x000D_
6.Are respiratory signs preesnt? If NO._x000D_
7.The evaluation has a strong suspicion of pulmonary nodules or mass lesion being present.</t>
  </si>
  <si>
    <t>WHOLE-BODY (9 total radiographs for review). _x000D_
_x000D_
- Mild left-sided cardiomegaly, characterized by straightening of the caudal cardiac margin and dorsal displacement of the caudal thoracic trachea.  There is a rounded soft tissue opacity in the region of the left atrium._x000D_
- There is a mild diffuse bronchial pattern and a few thickened pleural fissures._x000D_
- The pulmonary vasculature is normal._x000D_
- The trachea, esophagus and remainder of the mediastinum are normal._x000D_
- The pleural space and remaining intrathoracic structures are normal._x000D_
- Peritoneal serosal detail is normal._x000D_
- The spleen is moderately enlarged._x000D_
- The stomach is nondistended and contains mild soft tissue opaque material and gas._x000D_
- The small intestine is nondistended/empty._x000D_
- The colon contains a small volume of formed fecal material._x000D_
- The liver, region of the kidneys and urinary bladder are normal._x000D_
- Bilateral mild to moderate coxofemoral periarticular osteophyte formation._x000D_
- Mild multifocal spondylosis deformans.</t>
  </si>
  <si>
    <t>1.  Negative examination for evidence of metastatic neoplasia.. _x000D_
_x000D_
2. Mild left-sided cardiomegaly, without pulmonary vasculature congestion or congestive heart failure. Most likely compatible with degeneration of the mitral valve. Consider careful cardiac auscultation and echocardiography/ECG for further assessment._x000D_
_x000D_
3. Mild diffuse bronchial pattern with a few thickened pleural fissures. Most likely representing age-related lower airway changes, however a component of chronic bronchitis is possible, especially if there is a history of abnormal respiratory sounds, wheezing and/or coughing._x000D_
_x000D_
4. Moderate splenomegaly. DDx congestion from sedation, lymphoid hyperplasia, EMH, less likely neoplasia._x000D_
_x000D_
5. Otherwise unremarkable abdomen._x000D_
_x000D_
6. Bilateral coxofemoral osteoarthritis</t>
  </si>
  <si>
    <t>THORAX (3 total radiographs for review). _x000D_
_x000D_
- Mild diffuse bronchial pulmonary pattern._x000D_
- The cardiac silhouette and pulmonary vasculature are normal._x000D_
- Soft tissue opaque band dorsally overlying the trachea in the region of the thoracic inlet._x000D_
- The esophagus and remainder of the mediastinum are normal._x000D_
- The pleural space and remaining intrathoracic structures are normal._x000D_
- Mild mid-thoracic vertebral spondylosis deformans._x000D_
- Included cranial abdominal structures are normal.</t>
  </si>
  <si>
    <t>1. Mild diffuse bronchial pattern. May be mostly age-related lower airway changes, however a component of chronic bronchitis is possible, especially given that there is a history of coughing.  An underlying infectious (e.g. bacterial, parasitic) or inhaled irritant etiology is possible.  There is no evidence of pneumonia.  You may consider treatment for lower airway disease and if the coughing continues or worsens despite therapy, thoracic CT and internal medicine consultation may be reasonable._x000D_
_x000D_
2.  Likely incidental soft tissue opaque band dorsally overlying the trachea suspected to represent a superimposed esophagus.  Tracheal collapse is unlikely given the patient breed, however cannot be completely excluded.</t>
  </si>
  <si>
    <t>THORAX (3 total radiographs for review). _x000D_
_x000D_
- Mild diffuse bronchial pulmonary pattern._x000D_
- The cardiac silhouette and pulmonary vasculature are normal._x000D_
- The trachea, esophagus and remainder of the mediastinum are normal._x000D_
- The pleural space and remaining intrathoracic structures are normal._x000D_
- The stomach, multiple small intestinal segments and the colon are moderately distended with gas (limited assessment).  The stomach also contains moderate heterogeneous soft tissue opaque material_x000D_
- The remaining cranial abdominal structures are normal._x000D_
- There is mild mid thoracic vertebral spondylosis deformans.</t>
  </si>
  <si>
    <t>1. Mild diffuse bronchial pattern. May mostly represent age-related lower airway changes, however given the reported coughing, chronic bronchitis is possible.  There may be underlying infectious (e.g. bacterial, parasitic) or inhaled irritant etiologies.  There is no evidence of pulmonary consolidation to suggest an active pneumonia.  You may consider treating this patient for lower airway disease and if the cough is nonresponsive or worsening thoracic CT, internal medicine consultation and lower airway sampling may be reasonable. _x000D_
_x000D_
2.  Aerophagia and recent meal.</t>
  </si>
  <si>
    <t xml:space="preserve">
1.A moderate interstitial to alveolar pattern has been detected._x000D_
2.Pleural fissure lines or moderate to severe pleural effusion has been detected. An overlying skin fold or in an obese animal, excessive pericardial fat could artifactually mimic the result of severe pleural effusion._x000D_
3.A moderate interstitial to alveolar pattern and moderate perihilar infiltrate have been detected._x000D_
4.The cardiac silhouette size is normal._x000D_
5.There is no evidence of DYNAMIC AIRWAY COLLAPSE or BRONCHIECTASIS._x000D_
6.The evaluation has come up positive for a pulmonary nodular pattern.</t>
  </si>
  <si>
    <t>Orthogonal views of the thorax are provided:_x000D_
_x000D_
Thorax:_x000D_
_x000D_
There is moderate left atrium enlargement that dorsally displaces the carina, producing an overall severe cardiomegaly._x000D_
The pulmonary veins are normal sized. However, there is a generalized/ multifocal alveolar pulmonary pattern affecting all lung lobes levels more severe in the right hemithorax._x000D_
Normal mediastinum, diaphragm and thoracic wall._x000D_
_x000D_
Liver extends beyond the costal arch.</t>
  </si>
  <si>
    <t>1) Cardiomegaly (left sided) with a generalized/ multifocal alveolar pulmonary pattern affecting all lung lobes levels more severe in the right hemithorax.. Findings consistent with left sided congestive heart failure secondary to chronic mitral endocardiosis. Rule out tricuspid endocardiosis with post-capillary pulmonary hypertension._x000D_
2) Hepatomegaly: Early right sided congestive heart failure vs Metabolic vs Vacuolar infiltration vs Hepatic nodular hyperplasia vs Inflammatory vs Toxic vs Neoplastic or a combination of these differentials.</t>
  </si>
  <si>
    <t xml:space="preserve">
1.Severe cardiomegaly has been detected but Heart Failure is NOT suspected._x000D_
2.SEVERE INTERSTITIAL TO ALVEOLAR PATTERN; SEVERE BRONCHITIS;  PULMONARY NODULES OR MASS LESION; PLEURAL FLUID or PLEURAL THICKENING; SEVERE DYNAMIC AIRWAY DISEASE._x000D_
3.Based on these AI airway/pulmonary findings, the probability of this patient having clinically detectable respiratorysigns is VERY HIGH (&gt;75%)_x000D_
4.This evaluation has detected pulmonary nodules or a mass lesion and pleural fissure lines or effusion._x000D_
5.Are respiratory signs present? If YES._x000D_
6.Are respiratory signs present? If NO._x000D_
7.Given this combination of above thoracic findings, a radiologist over read may be beneficial._x000D_
8.A moderate perihilar infitlrate has been detected.</t>
  </si>
  <si>
    <t>Three radiographs of the thorax are provided. The heart and pulmonary vessels are normal size and shape. There is a mild bronchial pattern throughout the lungs. No pleural effusion. Adequate tracheal diameter. No intrathoracic lymphadenomegaly. Small volume fat deposition in the cranial mediastinum. Congenital vertebral malformations in the thoracic spine are likely incidental today.</t>
  </si>
  <si>
    <t>Mild bronchial pattern suggestive of chronic airway inflammation such as bronchitis. Otherwise normal thorax. With the signalment, brachycephalic airway disease may be contributing to respiratory signs.</t>
  </si>
  <si>
    <t>Recommend routine blood work to rule out a metabolic abnormality, and a visual inspection of the pharyngeal/laryngeal region.</t>
  </si>
  <si>
    <t xml:space="preserve">Patient Name : Dorian Younglove, Date of study: Jul 20, 2024
3 images are provided for review
There are no previous radiographs for comparison.
Bones/Joints:
Subtle mineral superimposes over the L4-5 intervertebral foramina in the lateral image.  L4-5 intervertebral disc space narrowing in the ventrodorsal image is not well-identified in the lateral images.  Possible narrowing of the L3-4 intervertebral disc space in the ventrodorsal image is not well-identified in the lateral image.  
There is no evidence of intervertebral dorsal articulation osteoarthrosis.
There is no evidence of medullary sclerosis, osteolysis, endosteal scalloping, or periosteal proliferation.
Soft tissues:  The included soft tissues are normal.
</t>
  </si>
  <si>
    <t xml:space="preserve">1. Suspicious for L4-5 intervertebral disc disease and mineralized extruded disc material versus other.
2. Possible L3-4 intervertebral disc disease versus artifact/superimposed normal structures.
</t>
  </si>
  <si>
    <t>Consider neurologist consultation and MRI for further evaluation of the lumbar spine, especially if clinical signs fail to improve or worsen in the interim.  Empirical therapy and supportive care in the interim as needed.  Thoracic imaging and routine blood work prior to referral and advanced imaging if not recently performed.  Monitoring as directed or sooner if clinical signs acutely change, fail to improve or worsen.</t>
  </si>
  <si>
    <t>Orthogonal views of the thorax are provided:_x000D_
_x000D_
Thorax:_x000D_
_x000D_
Cardiac silhouette shows a moderate enlargement of the left atrium dorsally displacing the carina._x000D_
Pulmonary vessels are within normal limits of size and shape._x000D_
The pulmonary veins are normal sized. However, there is questionable peri-hilar ill defined interstitial pulmonary pattern._x000D_
Pleural space, mediastinum, diaphragm and thoracic wall within normal limits._x000D_
Left sided caudoventral lipoma._x000D_
_x000D_
Liver extends beyond the costal arch with sharp margins.</t>
  </si>
  <si>
    <t>1) Cardiomegaly (left sided) with peri-hilar ill defined interstitial pulmonary pattern. Rule out left sided congestive heart failure secondary to chronic mitral endocardiosis._x000D_
2) Hepatomegaly: Metabolic vs Vacuolar infiltration vs Hepatic nodular hyperplasia vs Inflammatory vs Toxic vs Neoplastic or a combination of these differentials.</t>
  </si>
  <si>
    <t xml:space="preserve">
1.Severe cardiomegaly has been detected but Heart Failure is NOT suspected._x000D_
2.Pleural fissure lines or moderate to severe pleural effusion has been detected. An overlying skin fold or in an obese animal, excessive pericardial fat could artifactually mimic the result of severe pleural effusion._x000D_
3.SEVERE BRONCHIAL PATTERN; MODERATE DYNAMIC AIRWAY DISEASE._x000D_
4.Based on these AI airway/pulmonary findings, the probability of this patient having clinically detectable respiratory signs is VERY HIGH (&gt;75%)_x000D_
5.Are respiratory signs present? If YES._x000D_
6.Are respiratory signs present? If NO._x000D_
7.A moderate to severe bronchointerstitial pulmonary pattern is present._x000D_
8.A mild perihilar infiltrate has been detected.</t>
  </si>
  <si>
    <t xml:space="preserve">Patient Name : Buddy Rescue- Hoardin Huskies, Date of study: Jul 20, 2024
3 images are provided for review
Canine Thorax (3 Images) - 2 Lateral, 1 Vd
There are no previous radiographs for comparison.
Pulmonary parenchyma:  In the right lateral image, an ovoid soft tissue focus is suspected in the left caudal lung, over the 9th intercostal space.  A mild to moderate alveolar pattern with air-bronchograms is in the ventral periphery of the caudal subsegment of the left cranial lung lobe.  A  severe alveolar pattern is in the mid-zone and ventral periphery of the right middle lung lobe.  Soft tissue in the peri-hilar region of the right lateral image is presumed to be from superimposition of this pulmonary pattern and normal structures.   A moderate diffuse bronchial and minimal diffuse interstitial pattern are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</si>
  <si>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Suspicious for pulmonary soft tissue nodule versus bronchi with luminal material/bronchial plugging, superimposed structures, end-on vasculature, or other.
- If this is a nodule, consider granulomatous/fungal disease versus evolving neoplasia.
2. Right middle and left cranial lung lobe caudal subsegment moderate-severe alveolar pulmonary patterns.
- Differential diagnoses include bronchopneumonia/aspiration pneumonia or unlikely other such as hemorrhage, atypical neoplasia, or granulomatous/fungal pneumonia, or other.
3. Moderate diffuse bronchial and minimal interstitial pulmonary patterns.
- Differential diagnoses include infectious/immune-mediated lower airway disease such as from mycoplasma spp., bordetella spp., parasitism, fungal agents, or unlikely other, versus fibrosis from prior disease, age-related changes, or unlikely other.
</t>
  </si>
  <si>
    <t>Continue empirical therapy and supportive care for suspected pneumonia and consider routine blood work, respiratory PCR panel, airway sampling, and fecal analysis/deworming for further evaluation. Abdominal imaging may be contributory.  Fungal serology testing and computed tomography may be beneficial for further evaluation, especially if additional diagnostics are inconclusive.  Monitoring as directed or sooner if clinical signs acutely change, fail to improve or worsen.</t>
  </si>
  <si>
    <t xml:space="preserve">Patient Name : Lady La Vonne, Date of study: Jul 19, 2024
12 images are provided for review
Prior images dated July 8, 2021 are available.
Pulmonary parenchyma:  Ill-defined moderate interstitial soft tissue is in the right caudal lung lobe in the ventrodorsal image due to superimposition of the large, ovoid ventral extra-thoracic mass.   A moderate diffuse bronchial pattern is present, best identified in the ventrodorsal image.  The lungs are minimal to mildly hypoinflated.
Pulmonary vasculature: The pulmonary vasculature is subjectively normal in size and tapers in the periphery of the lungs.
Cardiac silhouette: The cardiac silhouette is mildly tall and occupies 2/3 the height of the thorax.  The trachea is mildly dorsally displaced.   The caudodorsal margin of the cardiac silhouette is flattened, and rounded increased soft tissue is present in the region of the left atrium in the ventrodorsal image.  
Mediastinum: The cranial mediastinum is normal.
Trachea: A soft tissue band slightly superimposes slightly over the dorsal portion of the cervical trachea.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subjectively decreased and fluid striations are suspected over the spleen in the ventrodorsal image.  
Gastrointestinal tract: The stomach contains a moderate gas and fluid or is empty.  The stomach is within normal limits for size.
The small intestine contains mild gas and minimal fluid or is empty with a subjectively uniform population for size. 
The colon contains mild to moderate gas and mild soft tissue material or is empty.  The colon is within normal limits for size.  
Musculoskeletal: A large ovoid soft tissue mass arises from the ventral and right soft tissues of the caudal thoracic/cranial abdominal region.  This superimposes over the right caudal lung in the ventrodorsal image.  The remaining included musculoskeletal structures are normal.
</t>
  </si>
  <si>
    <t xml:space="preserve">1. Mild left-sided cardiomegaly versus artifact from positioning/technique.
- If present, consider evolving dilated cardiomyopathy versus other.  
2. Moderate diffuse bronchial pulmonary pattern.
- Differential diagnoses include infectious/immune-mediated lower airway disease such as from mycoplasma spp., bordetella spp., parasitism, or unlikely other. and/or fibrosis from prior disease, age-related changes, or less likely other.  
3. Right caudal lung lobe interstitial pattern due to superimposition of the large ventral extra-thoracic mass.
4. Decreased peritoneal detail with fluid striations such as from mild peritoneal effusion or less likely artifact.
- If present, consider effusion from occult malignancy or less likely vasculitis, hemorrhage or other.
5. Large right ventral extra-thoracic/abdominal soft tissue mass due to neoplasia (malignant versus benign) or unlikely other.
6. Presumed superimposed normal structures over the dorsal trachea.  </t>
  </si>
  <si>
    <t>Consider echocardiography, eCG, routine blood work and blood pressure, especially if a murmur is later identified.  Consider computed tomography of the thorax and abdomen for further evaluation and pre-surgical planning of extra-thoracic/abdominal mass excisional/incisional biopsy.   Consider abdominocentesis and fluid analysis/cytology if peritoneal effusion is confirmed.  Empirical therapy and supportive care in the interim as needed.  Monitoring with routine thoracic radiographs and abdominal imaging as directed, or sooner if clinical signs acutely change, fail to improve or worsen.</t>
  </si>
  <si>
    <t xml:space="preserve">
1.SEVERE INTERSTITIAL TO ALVEOLAR PATTERN; MODERATE BRONCHIAL PATTERN; SEVERE DYNAMIC AIRWAY DISEASE._x000D_
2.Based on these AI airway/pulmonary findings, the probability of this patient having clinically detectable respiratory signs is VERY HIGH (&gt;75%)_x000D_
3.Are respiratory signs present? If YES._x000D_
4.Pleural fissure lines or moderate to severe pleural effusion has been detected. An overlying skin fold or in an obese animal, excessive pericardial fat could artifactually mimic the result of severe pleural effusion._x000D_
5.Severe cardiomegaly has been detected but Heart Failure is NOT suspected._x000D_
6.Are respiratory signs present? If NO._x000D_
7.The evaluation has a strong suspicion of pulmonary nodules or mass lesion being present.</t>
  </si>
  <si>
    <t>Orthogonal views of the thorax are provided:_x000D_
_x000D_
Thorax:_x000D_
_x000D_
There is cervical tracheal collapse more marked at the thoracic inlet._x000D_
Cardiac silhouette shows a prominent aortic arch and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1) Findings consistent with cervical tracheal collapse._x000D_
2) Left atrial enlargement secondary to chronic mitral endocardiosis without signs of CHF.</t>
  </si>
  <si>
    <t>1) Findings consistent with cervical tracheal collapse._x000D_
2) Prominent aortic arch: Rule out systemic hypertension vs sub aortic stenosis vs age related change._x000D_
3) Left atrial enlargement secondary to chronic mitral endocardiosis without signs of CHF. Rule out concomitant tricuspid endocardiosis with pulmonary hypertension.</t>
  </si>
  <si>
    <t>Thoracolumbar spine: T10 and T11 appear to be hemivertebra and there appears to be rightward scoliosis centered at this level.  The remainder of the thoracolumbar vertebral column is unremarkable.  Spondylosis deformans is noted at the lumbosacral junction._x000D_
_x000D_
Thorax: There are no abnormalities identified._x000D_
_x000D_
Abdomen: There are no abnormalities identified.</t>
  </si>
  <si>
    <t>Thoracic hemivertebra and suspected thoracic scoliosis.</t>
  </si>
  <si>
    <t>6 images of the thorax are provided for review.  The cardiovascular structures are normal.  There is a moderate bronchial pattern in all lung lobes.  The mediastinal and pleural structures are normal.  The trachea is normal in diameter.  The laryngeal and pharyngeal structures are normal.  Cranial abdominal detail is adequate.</t>
  </si>
  <si>
    <t>Moderate bronchial pulmonary pattern=ZZ90= consider bronchitis, response to inhaled irritants, response to circulating parasites, eosinophilic bronchopneumopathy.  Airway sampling may be helpful in further evaluation.  Unremarkable cervical region.  This does not completely rule out laryngeal paralysis and sedated upper airway examination could be considered if clinically indicated.</t>
  </si>
  <si>
    <t xml:space="preserve">
1.Are respiratory signs present? If NO._x000D_
2.The cardiac silhouette size is normal._x000D_
3.There is no evidence of PERIHILAR INFILTRATE or DYNAMIC AIRWAY COLLAPSE or BRONCHIECTASIS._x000D_
4.MILD BROCHOINTERSTITIAL PULMONARY PATTERN; CONCURRENT ATELECTASIS (MILD) SUSPECTED._x000D_
5.Based on these AI airway/pulmonary findings, the probability of this patient having clinically detectable respiratory signs is LOW (25%)_x000D_
6.Are respiratory signs present? If YES.</t>
  </si>
  <si>
    <t>8 views of the thorax and abdomen and pelvis are submitted for review._x000D_
In the thorax, the cardiac silhouette and pulmonary vasculature are within normal limits.  Mild bronchial and interstitial markings are noted throughout the lung fields.  No evidence of intrathoracic lymphadenopathy is seen.  No pleural effusion or mediastinal abnormalities are noted.  The trachea is normal in diameter._x000D_
In the abdomen, the stomach contains a moderate amount of gas.  The small bowel is diffusely mildly gas-filled without overt dilation or plication.  A moderate amount of stool is noted throughout the colon.  The margins of the liver are subjectively normal.  The spleen appears normal in size and shape.  The renal silhouettes are normal.  The prostate is markedly enlarged.  Serosal detail is normal._x000D_
Multifocal narrowed intervertebral disc disease are noted in the cranial lumbar spine from approximately T13-L3.  Marked spondylosis deformans is noted in this region._x000D_
The bilateral coxofemoral joints are mildly incongruent.  No significant degenerative changes are noted in the hips.  The sacroiliac joints are normal.  The limited view of the stifles are unremarkable.</t>
  </si>
  <si>
    <t>1.  Radiographically normal geriatric thorax.  The appearance of the lung fields is most consistent with incidental age-related change.  No evidence of pulmonary metastatic disease or intrathoracic lymphadenopathy is noted._x000D_
2.  Marked prostatomegaly.  This is most consistent with benign prostatic hypertrophy, typical for an intact male._x000D_
3.  Chronic intervertebral disc disease and degenerative change of the lumbar spine.</t>
  </si>
  <si>
    <t>Clinical correlation is recommended for significance.</t>
  </si>
  <si>
    <t>6 views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and small bowel contain a mild amount of gas.  The small bowel is normal and uniform in diameter without dilation or plication.  Formed stool is noted in the colon.  The liver and spleen are normal in size, shape, and margination.  The bilateral renal silhouettes are within normal limits.  The urinary bladder is unremarkable.  Serosal detail is normal._x000D_
No osseous abnormalities are seen.</t>
  </si>
  <si>
    <t>Radiographically normal thorax._x000D_
The appearance of the GI tract is nonspecific and could be consistent with gastroenteritis from any cause.  Acute pancreatitis is also possible.</t>
  </si>
  <si>
    <t>Symptomatic/supportive medical management may be helpful in the short-term.  If clinical signs persist, an abdominal ultrasound to be considered.</t>
  </si>
  <si>
    <t xml:space="preserve">
1.Are respiratory signs present? If NO._x000D_
2.The cardiac silhouette size is normal._x000D_
3.There is no evidence of DYNAMIC AIRWAY COLLAPSE or BRONCHIECTASIS or PULMONARY NODULES._x000D_
4.Are respiratory signs present? If YES._x000D_
5.MODERATE INTERSITIAL TO ALVEOLAR PATTERN; MINIMAL PERIHILAR INFILTRATE._x000D_
6.Based on these AI airway/pulmonary findings, the probability of this patient having clinically detectable respiratory signs is MEDIUM (50%)._x000D_
7.AI linked bacterial pneumonia treatment in dogs: https://platform.v2.vetology.net/doc/pneumonia-in-dogs-and-cats</t>
  </si>
  <si>
    <t xml:space="preserve">Patient Name : Zug McNearny, Date of study: Jul 19, 2024
11 images are provided for review
There are no previous radiographs for comparison.
Liver: The liver is subjectively normal in size.
Spleen: The spleen is subjectively enlarged in the ventrodorsal image, and results in rightward displacement of the intestine.  The spleen has slightly round and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mild to moderate volume of gas and fluid, or is empty. The stomach is normal in size.  Gastric rugal folds are slightly prominent in the ventrodorsal image.  
The small intestine contains minimal gas, mild fluid or is empty with a subjectively uniform population for size. 
The colon contains mild gas and heterogeneous soft tissue material.  The colon is within normal limits for size.
Musculoskeletal: L2-3  and L7-S1 spondylosis deformans is present.  Moderate right coxofemoral joint osteoarthrosis is present.   The remaining included musculoskeletal structures are normal.
</t>
  </si>
  <si>
    <t>1. Equivocal splenomegaly versus artifact from positioning.
- If present, consider passive congestion from sedation (if administered), extramedullary hematopoiesis, lymphoid hyperplasia, or less likely neoplasia or splenitis.
2. Slightly prominent gastric rugal folds such as from non-specific gastritis, versus variation of normal.
3. Non-specific small intestinal and colon appearance such as from enteritis/colitis,or recent bowel movement/individual variation of normal.
- There is no evidence of small intestinal mechanical ileus.  
- Differential diagnoses for enteritis/colitis and gastritis include dietary indiscretion, toxin ingestion, occult systemic disease/pancreatitis, or less likely other.
4. Moderate right coxofemoral joint osteoarthrosis.</t>
  </si>
  <si>
    <t>Consider routine blood work for further evaluation and possibly abdominal ultrasonography versus computed tomography for further evaluation given the size of this patient.  4DX testing may be contributory.  Consider coagulation testing and splenic tissue sampling depending on results of additional diagnostics.  Empirical therapy and supportive care in the interim as needed.  Monitoring with repeat abdominal radiographs if signs fail to improve or worsen.</t>
  </si>
  <si>
    <t xml:space="preserve">
1.MODERATE INTERSTITIAL TO ALVEOLAR PATTERN; MILD DYNAMIC AIRWAY DISEASE; MINIMAL PERIHILAR INFILTRATE._x000D_
2.Based on the AI airway/pulmonary findings, the probability of this patient having clinically detectable respiratory signs is MEDIUM to HIGH (50%-75%)_x000D_
3.Are respiratory signs present? If YES._x000D_
4.AI linked bacterial pneumonia treatment in dogs: https://platform.v2.vetology.net/doc/pneumonia-in-dogs-and-cats_x000D_
5.Are respiratory signs present? If NO._x000D_
6.The evaluation has come up positive for a pulmonary nodular pattern._x000D_
7.The cardiac silhouette size is normal.</t>
  </si>
  <si>
    <t xml:space="preserve">Patient Name : Shadow Perez, Date of study: Jul 19, 2024
7 images are provided for review
There are no previous radiographs for comparison.
Bones/Joints:A left sacroiliac joint luxation is present. A small curvilinear mineral focus is just medial to the left ilial wing in the ventrodorsal image, possibly a corner of the sacrum
A left mid-acetabular articular fracture is present with mild comminution suspected.  The left ilium is severely displaced cranial and lateral left as a result.  The left femur is mildly displaced medially.  
Comminuted fractures of the pelvic floor are present in the cranial arms of the pubic bones bilaterally.  An oblique fracture extends from left cranial to right caudal through mid-line in the caudal ischium.
The coxofemoral joints have no obvious osteoarthrosis. 
Bilateral femoral trochlea hypoplasia is present, without current patella luxation.  
The left stifle has no evidence of osteoarthrosis.  The left infrapatellar fat pad is well-defined.
The included left tarsus, metatarsus are normal.  
The right stifle has no evidence of osteoarthrosis.  The right infrapatellar fat pad is well-defined.
The included right tarsus, metatarsus are normal.
There is no evidence of medullary sclerosis, osteolysis, endosteal scalloping, or periosteal proliferation.
Soft tissues:  The prepubic tendon is suspected to be well-defined.  The soft tissues of left pelvic limb are moderately circumferentially enlarged.  The remaining included soft tissues are normal.
</t>
  </si>
  <si>
    <t>1. Left sacroiliac joint luxation and suspicious for left sacral wing fracture fragment versus other.
2. Left acetabular articular fracture with femoral luxation.
3. Comminuted pubic bone fractures and mid-line ischial fracture.
4. Moderate left pelvic limb soft tissue swelling due to trauma and hemorrhage, or unlikely other.
(amended on 07/20/2024 13:27)
5. Bilateral femoral trochlear hypoplasia without current patella luxation.</t>
  </si>
  <si>
    <t>Possible involvement of the left sacral wing versus left sciatic nerve given reported clinical signs.  Consider MRI and/or computed tomography of the caudal lumbar spine and pelvic for further evaluation.  Neurologist and/or surgeon consultation for further evaluation depending on results.  Empirical therapy and supportive care in the interim as needed.</t>
  </si>
  <si>
    <t>10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Liver and spleen are smoothly margined and normal in size.  The stomach contains a moderate amount of ingesta.  The small intestines are normal in size.  Gas and feces are present in the colon.  The urinary bladder is small.  The remaining abdominal organs are normal.  Mild osteophyte formation is seen on the left femoral neck.</t>
  </si>
  <si>
    <t>Radiographically normal abdomen.  Radiographically normal thorax for patient of this age.  Mild left coxofemoral DJD</t>
  </si>
  <si>
    <t xml:space="preserve">
1.MINIMAL to MILD BRONCHOINTERSTITIAL PATTERN; MINIMAL DYNAMIC AIRWAY DISEASE._x000D_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PERIHILAR INFILTRATE or PLEURAL EFFUSION.</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</si>
  <si>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Kidneys and urinary bladder WNL.</t>
  </si>
  <si>
    <t>1) Unremarkable thorax without signs of pulmonary metastases nor signs of thoracic lymphadenopathy._x000D_
2) Hepatomegaly: Metabolic (Cushings) vs Vacuolar infiltration vs Hepatic nodular hyperplasia vs Inflammatory vs Toxic vs Neoplastic or a combination of these differentials.</t>
  </si>
  <si>
    <t>Evaluate the benefit of an abdominal US to further evaluate the liver and entire abdomen.</t>
  </si>
  <si>
    <t xml:space="preserve">
1.Mild cardiomegaly has been detected but Heart Failure is NOT suspected._x000D_
2.There is no evidence of ALVEOLAR PATTERN, PERIHILAR INFILTRATE, PULMONARY NODULES or PLEURAL EFFUSION._x000D_
3.A moderate bronchial pattern and concurrent moderate dynamic airway disease have been detected.</t>
  </si>
  <si>
    <t>Consider empirical treatment for chronic bronchitis evaluating response to treatment. If clinical signs persist, consider a bronchoscopy with BAL, culture, cytology, Baermann test and deworming._x000D_
Consider abdominal US to further evaluate the liver.</t>
  </si>
  <si>
    <t xml:space="preserve">Patient Name : Moka Ly, Date of study: Jul 19, 2024
5 images are provided for review
Canine Abdomen (5 Images) - 3 Lateral, 2 Vd
There are no previous radiographs for comparison.
Liver: The liver has a rounded caudoventral margin and the gastric axis is caudal in some lateral images, but the liver occupies approximately two intercostal spaces width.  In the ventrodorsal image, the stomach is displaced leftward.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some tubular soft tissue structures partially superimpose over the urinary bladder or between the colon and urinary bladder, but they are similar in size to small intestinal segments.  
Peritoneum: Peritoneal detail is adequate.
Gastrointestinal tract: The stomach contains a moderate volume of heterogeneous soft tissue material and gas.  The stomach is within normal limits for size.  
The small intestine contains mild to moderate fluid and minimal gas, or is empty with a subjectively uniform population for size. 
The colon contains minimal soft tissue material and gas.  The descending colon is mildly spastic.  The colon is within normal limits for size.
Musculoskeletal: The L1-2 intervertebral disc space is slightly narrowed relative to L2-3.  The remaining included musculoskeletal structures are normal.
</t>
  </si>
  <si>
    <t>1. No specific evidence of uterine horn enlargement, but this does not rule out evolving pyometra versus other.
2. Gastric material due to recent meal, versus gastritis/delayed gastric emptying or unlikely pyloric outflow tract obstruction given lack of vomiting in reported history.
3. Non-specific small intestinal and colon appearance such as from enteritis, colitis, or individual variation of normal/recent bowel movement.
4. Mild hepatomegaly or less likely artifact from positioning/technique. 
 - If present, differential diagnoses include vacuolar change, nodular hyperplasia, hepatitis, or evolving neoplasia, or unlikely other.
5. Suspected L1-2 intervertebral disc disease.</t>
  </si>
  <si>
    <t xml:space="preserve">Consider echocardiography, eCG and blood pressure if not recently performed.  Consider abdominal ultrasonography versus computed tomography of the abdomen/pelvic canal for further evaluation of source of reported vulvar blood.  If uterine enlargement is confirmed, consider hemometra/evolving pyometra the primary differential diagnosis, and consider celiotomy/ovariohysterectomy.  Empirical therapy and supportive care in the interim as needed. </t>
  </si>
  <si>
    <t xml:space="preserve">
1.A severe perihilar infiltrate has been detected._x000D_
2.SEVERE INTERSTITIAL TO ALVEOLAR PATTERN; MODERATE BRONCHIAL PATTERN; SEVERE DYNAMIC AIRWAY DISEASE._x000D_
3.Based on these AI airway/pulmonary findings, the probability of this patient having clinically detectable respiratory signs is VERY HIGH (&gt;75%)_x000D_
4.Are respiratory signs present? If YES._x000D_
5.AI linked collapsing airway disease treatment in dogs: https://platform.v2.vetology.net/doc/canine-tracheal-collapse-treatment_x000D_
6.Are respiratory signs present? If NO._x000D_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t>
  </si>
  <si>
    <t>Orthogonal views of the thorax are provided:_x000D_
_x000D_
Thorax:_x000D_
_x000D_
No abnormalities are seen in the trachea._x000D_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t>
  </si>
  <si>
    <t>1) Left atrial enlargement secondary to chronic mitral endocardiosis without signs of CHF._x000D_
2) Lack of visualization of tracheal collapse does not exclude this differential (especially taking into account the breed). Unremarkable lungs do not exclude a bronchitis of allergic vs inflammatory/infectious or parasitic origin. No signs of pulmonary metastases nor signs of thoracic lymphadenopathy. _x000D_
3) Hepatomegaly: Metabolic vs Vacuolar infiltration vs Hepatic nodular hyperplasia vs Inflammatory vs Toxic vs Neoplastic or a combination of these differentials.</t>
  </si>
  <si>
    <t>Consider a cardiology consultation with ECG and echocardiogram prior to a fluoroscopy (followed by tracheobronchoscopy, BAL and culture/cytology)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If negative, consider empirical treatment for chronic bronchitis._x000D_
Consider an abdominal US to further evaluate the liver.</t>
  </si>
  <si>
    <t xml:space="preserve">
1.MILD BRONCHIAL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5.The cardiac silhouette size is normal._x000D_
6.There is no evidence of PERIHILAR INFILTRATE or PULMONARY NODULES.</t>
  </si>
  <si>
    <t>Orthogonal views of the thorax are provided:_x000D_
_x000D_
Thorax:_x000D_
_x000D_
No abnormalities seen in the trachea._x000D_
Cardiac silhouette shows a subjective mild enlargement of the left atrium dorsally displacing the carina._x000D_
Pulmonary vessels are within normal limits of size and shape._x000D_
Pulmonary parenchyma shows a generalized broncho-interstitial lung pattern. No evidence of pneumonia._x000D_
Pleural space, mediastinum, diaphragm and thoracic wall within normal limits._x000D_
_x000D_
Liver extends beyond the costal arch with rounded margins._x000D_
Poor caudal abdominal serosal detail.</t>
  </si>
  <si>
    <t>1) Rule out left atrial enlargement secondary to chronic mitral endocardiosis without signs of CHF._x000D_
2) Generalized broncho-interstitial lung pattern is compatible with a chronic bronchitis of allergic origin vs eosinophilic bronchopneumopathy vs inflammatory/infectious or parasitic origin. _x000D_
3) Hepatomegaly: Metabolic vs Vacuolar infiltration vs Hepatic nodular hyperplasia vs Inflammatory vs Toxic vs Neoplastic or a combination of these differentials._x000D_
4) Poor caudal abdominal serosal detail.Rule out scant effusion vs artifact.</t>
  </si>
  <si>
    <t>Consider a cardiology consultation with ECG and echocardiogram prior to an empirical treatment for chronic bronchitis evaluating response to treatment. If clinical signs persist, consider a bronchoscopy with BAL, culture, cytology, Baermann test and deworming.</t>
  </si>
  <si>
    <t xml:space="preserve">
1.MODERATE INTERSTITIAL TO ALVEOLAR INFILTRATE; MILD BRONCHIAL PATTERN; MILD PERIHILAR INFILTRATE._x000D_
2.Based on these AI airway/pulmonary findings,  the probability of this patient having clinically detectable respiratory signs is HIGH (75%)_x000D_
3.Are respiratory signs present? If YES._x000D_
4.Are respiratory signs present? If NO._x000D_
5.Mild cardiomegaly has been detected but Heart Failure is NOT suspected.</t>
  </si>
  <si>
    <t>Moderate bronchial pulmonary pattern=ZZ90= consider viral or Bordetella type pneumonitis, bronchitis, response to inhaled irritants, response to circulating parasites, eosinophilic bronchopneumopathy.</t>
  </si>
  <si>
    <t xml:space="preserve">
1.Are respiratory signs present? If NO._x000D_
2.MILD BRONCHOINTERSTITIAL PULMONARY PATTERN; MILD DYNAMIC AIRWAY DISEASE; ATELECTASIS or less likely, pneumonia._x000D_
3.Based on these AI airway/pulmonary findings, the probability of this patient having clinically detectable respiratory signs is MEDIUM (50%)_x000D_
4.Are respiratory signs present? If YES._x000D_
5.Mild cardiomegaly has been detected but Heart Failure is NOT suspected.</t>
  </si>
  <si>
    <t>THORAX (5 total radiographs for review). _x000D_
_x000D_
- Moderate diffuse bronchial pulmonary pattern._x000D_
- Multiple tiny mineralized nodules throughout the lungs._x000D_
- The cardiac silhouette and pulmonary vasculature are normal._x000D_
- The trachea, esophagus and remainder of the mediastinum are normal._x000D_
- The pleural space and remaining intrathoracic structures are normal._x000D_
- The cranial abdominal structures are normal._x000D_
- Widespread moderate multifocal and bridging spondylosis deformans in the cervicothoracic and mid thoracic regions most notably._x000D_
- Mild bilateral glenohumeral osteoarthritis.</t>
  </si>
  <si>
    <t>1. Moderate diffuse bronchial pattern.  Although this can somewhat be normal age-related airway change, given the reported progressive hacking/coughing, chronic bronchitis is prioritized.  There may be an underlying infectious (e.g. bacterial, parasitic) or inhaled irritant etiology.  There is no evidence of pulmonary consolidation to suggest active pneumonia.  No pulmonary nodules are identified._x000D_
_x000D_
2.  Multifocal likely incidental foci of pulmonary osseous metaplasia._x000D_
_x000D_
3.  Fairly marked cervicothoracic and mid thoracic spondylosis deformans may suggest chronic intervertebral disc degeneration, which may be related to the patient=ZZ91=s reported neurologic symptoms.  For further clarification, consultation with a veterinary neurologist and/or advanced imaging of the spine might be considered if clinically indicated._x000D_
_x000D_
4.  Mild bilateral shoulder osteoarthritis.</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</si>
  <si>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3.MILD to MODERATE BRONCHOINTERSTITIAL PATTERN; MILD DYNAMIC AIRWAY DISEASE._x000D_
4.Based on these AI airway/pulmonary findings, the probability of this patient having clinically detectable respiratory signs is MEDIUM (50%)_x000D_
5.Are respiratory signs present? If YES._x000D_
6.Are respiratory signs present? If NO.</t>
  </si>
  <si>
    <t>Orthogonal views of the thorax are provided:_x000D_
_x000D_
Thorax:_x000D_
_x000D_
There is cervical tracheal collapse more marked at the thoracic inlet._x000D_
Cardiac silhouette shows a questionable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t>
  </si>
  <si>
    <t>1) Findings consistent with cervical tracheal collapse._x000D_
2) Rule out left atrial enlargement secondary to chronic mitral endocardiosis without signs of CHF._x000D_
3) Hepatomegaly: Metabolic vs Vacuolar infiltration vs Hepatic nodular hyperplasia vs Inflammatory vs Toxic vs Neoplastic or a combination of these differentials</t>
  </si>
  <si>
    <t>Consider a cardiology consultation with ECG and echocardiogram prior to a CT of the nasal cavity/thorax with bronchoscopy, BAL, culture, cytology to rule in/out extrathoracic vs intrathoracic tracheal collapse or bronchial component, followed, in this order, by rhinoscopy and biopsies with culture trying to rule out an upper airway obstruction that triggers a cervical collapse such as coanal stenosis, nasopharynegal stenosis or nasal pathology such as obstructing rhinitis._x000D_
Consider also abdominal US to further evaluate the liver.</t>
  </si>
  <si>
    <t xml:space="preserve">
1.Are respiratory signs present? If NO._x000D_
2.The cardiac silhouette size is normal._x000D_
3.There is no evidence of PERIHILAR INFILTRATE or PLEURAL EFFUSION._x000D_
4.MILD to MODERATE BRONCHOINTERSTITIAL PATTERN; MINIMAL DYNAMIC AIRWAY DISEASE._x000D_
5.Based on these AI airway/pulmonary findings, the probability of this patient having clinically detectable respiratory signs is LOW to MEDIUM (25%-50%)_x000D_
6.Are respiratory signs present? If YES._x000D_
7.AI linked bacterial bronchitis in dogs article: https://platform.v2.vetology.net/doc/bacterial-bronchitis-in-dogs-and-cats</t>
  </si>
  <si>
    <t xml:space="preserve">Patient Name : Zoe Aguilar, Date of study: Jul 19, 2024
2 images are provided for review
Canine Thorax (2 Images) - 1 Lateral, 1 Vd
There are no previous radiographs for comparison.
Pulmonary parenchyma:  The lungs are severely reduced in size with smooth or slightly rounded, well-defined margins.  Focal alveolar soft tissue is in the caudal subsegment of the left cranial lung lobe.  Mild to moderate ill-defined interstitial pattern is in the left caudal lung lobe.  A well-defined, thin-walled lucent focus is over the caudal subsegment of the left cranial lung lobe in the right lateral image, in the 6th intercostal space.  A similar lucent lesion is over the cranial subsegment of the left cranial lung lobe at the 5th intercostal space, just ventral to the trachea.  Lobaular lucent, thin walled foci are in the left cranial lung in the ventrodorsal image.  Ill-defined increased interstitial soft tissue is in the right cranial lung in the ventrodorsal image.
A minimal bronchial and mild interstitial pattern are present. 
Pulmonary vasculature: The pulmonary vasculature is subjectively normal in size and tapers in the periphery of the lungs.
Cardiac silhouette: The cardiac silhouette is normal in size and shape.
Mediastinum: In the ventrodorsal image, increased soft tissue with a well-defined left craniolateral margin is identified in the cranial mediastinum.  The is suspected to obscure or displace the cardiac silhouette rightward and ventrally.  The cranial mediastinum is mildly enlarged with a convex left lateral margin in the ventrodorsal image.    A slight rightward mediastinal shift is present.  
Trachea: The trachea is normal.
Esophagus: The esophagus contains mild fluid or is empty.  
Pleural space:  A large volume of gas is present, with rounding and retraction of lung margins from the body wall and diaphragmatic recesses.  The cardiac silhouette has apparent elevation.  
Musculoskeletal: The included musculoskeletal structures are normal.
</t>
  </si>
  <si>
    <t xml:space="preserve">1. Suspected middle mediastinal or medially positioned left cranial lung lobe soft tissue mass.
- This is most suspicious for neoplasia such as a primary pulmonary carcinoma or histiocytic sarcoma versus other.
2.  Left lung lobe bullae and multifocal alveolar to interstitial soft tissue similar to #1 above, versus idiopathic bullae complicated by additional disease.
3. Severe pneumothorax, most likely from rupture of left-sided lesions above (bullae and/or mass(es)).
4. Right cranial lung lobe interstitial to alveolar soft tissue due to atelectasis and/or metastatic neoplasia, or less likely hemorrhage or other.
5. Diffuse pulmonary pattern due to fibrosis from prior disease, age-related changes, pleural space disease/atelectasis or other.
</t>
  </si>
  <si>
    <t xml:space="preserve">Consider computed tomography of the thorax and abdomen for further evaluation as well as routine blood work if not recently performed.  Surgeon/oncological consultation depending on results.  Consider thoracocentesis versus chest tube placement and repeat thoracic imaging to further evaluation. Oxygen therapy in addition while awaiting additional diagnosis.  Empirical therapy and supportive care as needed.  </t>
  </si>
  <si>
    <t xml:space="preserve">
1.MODERATE TO SEVERE INTERSTITIAL TO ALVEOLAR PATTERN; PLEURAL EFFUSION or PLEURAL FISSURE LINES; MILD BRONCHITIS._x000D_
2.SEVERE ALVEOLAR INFILTRATE; MILD PERIHILAR PATTERN; MORE DIFFUSE MILD BRONCHOINTERSTITIAL PULMONARY PATTERN._x000D_
3.Based on the AI airway/pulmonary findings, the probability of this patient having clinically detectable respiratory signs is HIGH (75%)_x000D_
4.Based on the AI airway/pulmonary findings, the probability of this patient having clinically detectable respiratorysigns is VERY HIGH (&gt;75%)_x000D_
5.Are respiratory signs present? If YES._x000D_
6.Are respiratory signs present? If YES._x000D_
7.Are respiratory signs present? If NO._x000D_
8.Are respiratory signs present? If NO._x000D_
9.The cardiac silhouette size is normal.</t>
  </si>
  <si>
    <t xml:space="preserve">Patient Name : Willow Brammer, Date of study: Jul 19, 2024
3 images are provided for review
There are no previous radiographs for comparison.  Evaluation is limited without a ventrodorsal image.  
Pulmonary parenchyma: In the caudodorsal aspect of the lungs is increased soft tissue that is interstitial to alveolar.  This is most severe in the caudoventral lungs/suspected accessory lung lobe that presumably silhouettes with the diaphragm.  A minimal to mild diffuse bronchial pattern is present.
Pulmonary vasculature: The pulmonary vasculature is subjectively normal in size and tapers in the periphery of the lungs.
Cardiac silhouette: The cardiac silhouette is normal in size and shape.
Mediastinum: A spindle shaped increased soft tissue opacity is dorsal to the 2nd intersternebral space.  
Trachea: The trachea is normal.
Esophagus: The esophagus is not well-identified.
Pleural space: The pleural space is normal.
Musculoskeletal: The included musculoskeletal structures are normal.
</t>
  </si>
  <si>
    <t xml:space="preserve">1. Presumed accessory lung lobe alveolar pattern and right caudal lung interstitial to alveolar pattern versus evolving mass(es).
- Consider granulomatous disease such as from fungal agents or less likely pulmonary eosinophilia versus neoplasia such as primary carcinoma, lymphomatoid granulomatosis, or other.  
2. Minimal-mild diffuse bronchial pulmonary pattern due to infectious/immune-mediated lower airway disease (mycoplasma spp., bordetella spp., parasitism such as lung worms, or less likely granulomatous/fungal disease), or unlikely atypical metastatic neoplasia or other.
3. Suspected sternal lymphadenomegaly versus other.
- This is suspicious for metastatic/multicentric neoplasia versus reactive hyperplasia such as from granulomatous/fungal disease.  </t>
  </si>
  <si>
    <t>Routine blood work and abdominal radiographs to screen for occult systemic disease.  Consider thoracic computed tomography and possible tissue sampling of the lungs versus sternal lymph node depending on results.  Fungal serology may be contributory.  Empirical therapy and supportive care in the interim as needed.  Oncologist versus internist conslutation depending on results. Monitoring as directed or sooner if clinical signs acutely change, fail to improve or worsen.</t>
  </si>
  <si>
    <t xml:space="preserve">
1.Severe cardiomegaly has been detected but Heart Failure is NOT suspected._x000D_
2.A moderate to severe interstitial to alveolar pattern with concurrent dynamic airway disease has been identified._x000D_
3.Dynamic airway disease has been detected_x000D_
4.A severe perihilar infiltrate has been detected._x000D_
5.Pleural fissure lines or moderate to severe pleural effusion has been detected. An overlying skin fold or in an obese animal, excessive pericardial fat could artifactually mimic the result of severe pleural effusion._x000D_
6.The evaluation has come up positive for a pulmonary nodular pattern.</t>
  </si>
  <si>
    <t xml:space="preserve">Patient Name : Prince Bobb, Date of study: Jul 19, 2024
2 images are provided for review
Canine Thorax (2 Images) - 1 Lateral, 1 Vd
There are no previous radiographs for comparison.
Pulmonary parenchyma: A minimal to mild diffuse bronchial pattern is present.  A minimal diffuse interstitial pattern is present, and the lungs are hypoinflated.  
Pulmonary vasculature: The pulmonary vasculature is subjectively normal in size and tapers in the periphery of the lungs.
Cardiac silhouette: The cardiac silhouette is slightly tall in the lateral image.
Mediastinum: The cranial mediastinum is normal.
Trachea: The trachea is normal.
Esophagus: The esophagus contains minimal gas or is empty.
Pleural space: The pleural space is normal.
Musculoskeletal:  Osteoarthrosis of at least one shoulder is present.  The remaining included musculoskeletal structures are normal.
</t>
  </si>
  <si>
    <t>1. Mild diffuse bronchial and interstitial pulmonary patterns.
- Differential diagnoses include infectious/immune-mediated lower airway disease such as from mycoplasma spp., bordetella spp., parasitism, or inhaled allergen/irritant,, fibrosis from prior disease, age-related changes, or unlikely other.
2. Equivocal left ventricular enlargement versus artifact from phase of the cardiopulmonary cycle and patient positioning.
- There is no evidence of left-sided congestive heart failure.</t>
  </si>
  <si>
    <t>Consider respiratory PCR panel, airway sampling, and fecal analysis/deworming for further evaluation.  This examination does not rule out occult dynamic bronchial disease contributing to reported signs.  Consider tracheoscopy/bronchoscopy and/or fluoroscopy for further evaluation.    Empirical therapy and supportive care in the interim as needed.  Monitoring as directed or sooner if clinical signs acutely change, fail to improve or worsen.</t>
  </si>
  <si>
    <t xml:space="preserve">
1.MODERATE ALVEOLAR PATTERN; CONCURRENT MILD BRONCHOINTERSTITIAL PATTERN; MINIMAL DYNAMIC AIRWAY DISEASE._x000D_
2.Based on these AI airway/pulmonary findings, the probability of this patient having clinically detectable respiratory signs is MEDIUM (50%)_x000D_
3.Are respiratory signs present? If YES._x000D_
4.Are respiratory signs present? If NO._x000D_
5.The cardiac silhouette size is normal.</t>
  </si>
  <si>
    <t>Orthogonal views of the thorax are provided:_x000D_
_x000D_
Thorax:_x000D_
_x000D_
No abnormalities seen in the trachea._x000D_
Cardiac silhouette has a normal shape and size._x000D_
Pulmonary vessels are within normal limits of size and shape._x000D_
Pulmonary parenchyma shows a mild caudodorsal bronchial pattern. No evidence of pneumonia._x000D_
Pleural space, mediastinum, diaphragm and thoracic wall within normal limits.</t>
  </si>
  <si>
    <t>1) Caudodorsal bronchial pattern is compatible with bronchitis of allergic origin vs inflammatory/infectious or parasitic origin. Lack of visualization of tracheal collapse does not exclude this differential (especially taking into account the breed).</t>
  </si>
  <si>
    <t>Consider fluoroscopy (followed by tracheobronchoscopy, BAL and culture/cytology)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If negative, consider empirical treatment for chronic bronchitis.</t>
  </si>
  <si>
    <t>9 images of the thorax and abdomen dated 7/15/2024 are provided for review and compared with 5 images dated 7/10/2024.  The cardiovascular structures are normal.  Fat is present in the pericardium, causing a triangular opacity to the right of the heart.  There is a moderate bronchial pattern in all lung lobes.  No pulmonary nodules or enlarged intrathoracic lymph nodes are seen.  The pleural and mediastinal structures are normal.  Abdominal serosal detail is adequate.  The stomach contains a small amount of ingesta.  The small intestines are normal in size.  Gas and feces are present in the colon.  The remaining abdominal organs are normal.  The reported splenic mass is not visible radiographically and may be silhouetting with intestinal structures.  There is spondylosis deformans of the lumbosacral spine.</t>
  </si>
  <si>
    <t>Moderate bronchial pulmonary pattern suggestive of chronic lower airway disease such as bronchitis.  Radiographically normal abdomen.</t>
  </si>
  <si>
    <t xml:space="preserve">
1.MILD BRONCHIAL PATTERN; NODULAR PULMONARY PATTERN which is likely due to overlying CUTANEOUS NODULES or MINERALIZED COSTOCHONDRAL JUNCTIONS._x000D_
2.Based on the AI airway/pulmonary findings, the probability of this patient having clinically detectable respiratory signs is LOW to MEDIUM (25%-50%)_x000D_
3.The evaluation has come up positive for a pulmonary nodular pattern._x000D_
4.Are respiratory signs present? If YES._x000D_
5.Are respiratory signs present? If NO._x000D_
6.The cardiac silhouette size is normal._x000D_
7.There is no evidence of PERIHILAR INFILTRATE or DYNAMIC AIRWAY COLLAPSE or BRONCHIECTASIS.</t>
  </si>
  <si>
    <t>9 images of the thorax and thoracic limbs are provided for review.  The trachea is mildly dorsally deviated, indicating left ventricular enlargement.  There is straightening of the caudal cardiac waist in the region of the left atrium.  No pulmonary infiltrates are seen.  The pulmonary vasculature is normal in size.  The mediastinal and pleural structures are normal.  Cranial abdominal detail is adequate.  There is mild consistent narrowing of the intervertebral disc spaces at C5-7.  The joint surfaces are smooth and regular.  No fractures or aggressive osseous lesions are seen.</t>
  </si>
  <si>
    <t>Mild left-sided cardiomegaly without current evidence of cardiogenic pulmonary edema.  Echocardiography may be helpful in further evaluation.  Radiographically normal thoracic limbs.  Narrowed intervertebral disc spaces suggestive of intervertebral disc herniations.  This does not rule out intervertebral disc herniation at another site or other causes of spinal cord compression.  CT or MRI could be considered in further evaluation.</t>
  </si>
  <si>
    <t xml:space="preserve">
1.A mild bronchointerstitial pulmonary pattern and minimal perihilar infiltrate have been detected._x000D_
2.Minimal cardiomegaly has been detected but Heart Failure is NOT suspected.</t>
  </si>
  <si>
    <t>A single RL view of the thorax is provided:_x000D_
_x000D_
Thorax:_x000D_
_x000D_
Cardiac silhouette has a normal shape and size. There=ZZ91=re peri-hilar end on vessels._x000D_
Pulmonary vessels are within normal limits of size and shape._x000D_
Pulmonary parenchyma shows a false interstitial pattern due to end expiratory phase. No evidence of pulmonary nodules/masses._x000D_
Pleural space, mediastinum, diaphragm and thoracic wall within normal limits._x000D_
_x000D_
Liver extends beyond the costal arch.</t>
  </si>
  <si>
    <t>1) Unremarkable thorax in this incomplete exam._x000D_
2) Hepatomegaly: Metabolic vs Vacuolar infiltration vs Hepatic nodular hyperplasia vs Inflammatory vs Toxic vs Neoplastic or a combination of these differentials.</t>
  </si>
  <si>
    <t>Consider a VD view to be complete prior to any assumption of differential or treatment (ideally with a contralateral view)._x000D_
Consider abdominal US to further evaluate the liver.</t>
  </si>
  <si>
    <t xml:space="preserve">
1.Are respiratory signs present? If NO._x000D_
2.SEVERE BRONCHIAL PATTERN; SEVERE DYNAMIC AIRWAY DISEASE._x000D_
3.Based on these AI airway/pulmonary findings, the probability of this patient having clinically detectable respiratory signs is VERY HIGH (&gt;75%)_x000D_
4.Are respiratory signs present? If YES._x000D_
5.AI link to canine airway collapse treatment article: https://platform.v2.vetology.net/doc/canine-tracheal-collapse-treatment_x000D_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</si>
  <si>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Three radiographs of the thorax and three views of the abdomen are provided. The cardiac silhouette is normal size and shape, with no chamber enlargement. There are no abnormalities in the pulmonary parenchyma. No pleural effusion. Small volume fluid in the caudal esophagus is transient and incidental. Tracheal diameter and position are normal._x000D_
_x000D_
In the abdomen the stomach contains a moderate amount of soft tissue opaque ingesta and small volume mineral opaque debris that is likely incidental. Small bowel are mildly gas-filled. Small volume formed feces in the colon. Serosal detail is normal. The liver, spleen, and left kidney are normal size and shape. The right kidney is obscured. No radiopaque cystic calculi.</t>
  </si>
  <si>
    <t>Normal thorax and abdomen. A reason for respiratory signs is not identified. No tracheal abnormalities are appreciated on this study, however dynamic collapse remains possible, as it may not be imaged on a static radiographic study.</t>
  </si>
  <si>
    <t>Routine blood work is recommended to rule out a metabolic abnormality.</t>
  </si>
  <si>
    <t xml:space="preserve">Patient Name : Jasmine Oddo, Date of study: Jul 19, 2024
4 images are provided for review
Previous images dated [07/19/2024 Case#2715254] are available for comparison.
Pulmonary parenchyma: In the left caudal lung lobe is a well-defined, round, soft tissue mass.  This mass is in the periphery of the left caudal lung lobe over the 8 and 9th intercostal spaces in the ventrodorsal image.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heterogeneous soft tissue material and gas.  The stomach is within normal limits for size.
The small intestine contains mild gas fluid or is empty with a subjectively uniform population for size. 
The colon contains mild well-defined soft tissue material and gas or is empty.  The colon is normal in size.
Musculoskeletal: Multifocal thoracolumbar spondylosis deformans is present.   Mild osteoarthrosis of one shoulder joint is present.  A TPLO has been performed in one of the pelvic limbs. 
A broad-based fat opaque nodule arises from the left extra-abdominal soft tissues, presumably a benign lipoma.  The remaining included musculoskeletal structures are normal.
</t>
  </si>
  <si>
    <t>1. Left caudal lung lobe soft tissue mass.
- The primary differential diagnosis is neoplasia such as a primary pulmonary carcinoma or less likely metastatic disease from an occult primary malignancy, or unlikely other.
2. Mild-moderate diffuse bronchial pattern due to fibrosis from prior disease, age-related changes, infectious/immune-mediated lower airway disease, inhaled allergen/irritant, or unlikely other.
3. Gastric material due to recent meal and/or gastritis/delayed gastric emptying, or unlikely pyloric outflow tract obstruction given lack of reported vomiting in history.  
4. Non-specific small intestinal and colon appearance such as from enteritis, colitis, or individual variation of normal.</t>
  </si>
  <si>
    <t>Consider computed tomography for further evaluation of the left caudal lung lobe mass as well as routine blood work if not recently performed.  Tissue sampling of this mass for further evaluation.  Oncologist consultation depending on results.  Empirical therapy and supportive care in the interim as needed.  Monitoring as directed, or sooner if clinical signs acutely change, fail to improve or worsen.</t>
  </si>
  <si>
    <t>Thorax: There is a soft tissue masslike structure superimposed over the cranial dorsal aspect of the cardiac silhouette.  On the ventrodorsal view this may be associated with the right hemithorax however this is compromised by placing obliquity.  There is a mild bronchial pattern.  The remainder of the thorax is unremarkable.  There appears to be a soft tissue mass involving the caudal aspect of one of the thoracic limbs (distal humerus/elbow._x000D_
_x000D_
There appears to be a subcutaneous lipoma along the ventral aspect of the thorax._x000D_
_x000D_
Abdomen: There is rounding of the caudal ventral margins of the liver.  There is soft tissue opacities and small mineral opacities within the gastric lumen.  The remainder of the abdomen is unremarkable.  There is collapse of the intervertebral disc space at T12-13.  Spondylosis deformans is noted at this level.  There is a subcutaneous lipoma along the left lateral abdomen.  On the visible portions of the pelvis there is moderate left femoral head and neck osseous remodeling.</t>
  </si>
  <si>
    <t>Mass within the cranial thorax near the level of the cranial dorsal cardiac silhouette._x000D_
_x000D_
Diffuse bronchial pattern which may be age-related or bronchitis._x000D_
_x000D_
Diffuse hepatomegaly._x000D_
_x000D_
Intervertebral disc disc disease at T12-13._x000D_
_x000D_
Left coxofemoral osteoarthrosis.</t>
  </si>
  <si>
    <t xml:space="preserve">
1.MINIMAL BRONCHOINTERSTITIAL PULMONARY PATTERN; POTENTIAL FOR FOCAL ATELECTASIS._x000D_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DYNAMIC AIRWAY COLLAPSE or BRONCHIECTASIS, PULMONARY NODULES or PLEURAL EFFUSION.</t>
  </si>
  <si>
    <t xml:space="preserve">Patient Name : Max Cantu, Date of study: Jul 19, 2024
7 images are provided for review
There are no previous radiographs for comparison.
Bones/Joints: The T12-13 intervertebral disc space is suspected to be narrowed.  The C2-3 intervertebral disc space is slightly narrowed compared to C3-4.  The right 13th rib is thin and ill-defined proximally, presumably from partial transitional vertebra.  
 C2-3 and L7-S1 spondylosis deformans.
A dens is present.  There is no evidence of atlantoaxial joint subluxation.
There is no evidence of intervertebral mineral over the intervertebral foramina.  There is no evidence of intervertebral dorsal articulation osteoarthrosis.
The coxofemoral joints have no obvious osteoarthrosis.  There is adequate coverage of the femoral heads by the acetabulums.
The patellas are suspiciously medially positioned over the distal femurs in the ventrodorsal image, likely exacerbated by obliquity.  
The left stifle has no evidence of osteoarthrosis.  The left infrapatellar fat pad is well-defined.
The included left tarsus, metatarsus and digits are normal.
The right stifle has no evidence of osteoarthrosis.  The right infrapatellar fat pad is well-defined.
The included right tarsus, metatarsus and digits are normal.  
There is no evidence of medullary sclerosis, osteolysis, endosteal scalloping, or periosteal proliferation.
Soft tissues:  The included soft tissues are normal.
</t>
  </si>
  <si>
    <t xml:space="preserve">1. Suspected T12-13 intervertebral disc disease.
2. Suspected C2-3 intervertebral disc disease.
3. Presumed artifact from positioning, versus bilateral medial patella subluxation.
4. No evidence of right stifle osteoarthrosis.
5. No evidence of left stifle osteoarthrosis.
6. No evidence of bilateral coxofemoral joint osteoarthrosis.  
</t>
  </si>
  <si>
    <t>Consider neurologist consultation and MRI of the cervical and thoracolumbar spine for further evaluation of the reported clinical signs.  Empirical therapy and supportive care in the interim as needed.  Monitoring as directed or sooner if clinical signs acutely change, fail to improve or worsen.</t>
  </si>
  <si>
    <t>6 views of the thorax and abdomen are submitted for review._x000D_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liver is mildly enlarged with rounded serosal margins.  The spleen is normal in size and shape.  The renal silhouettes and urinary bladder are normal.  The stomach contains a mild amount of gas.  The small bowel is normal in uniform diameter.  A mild amount of gas is noted throughout the colon.  Serosal detail is normal._x000D_
No significant osseous abnormalities are seen.</t>
  </si>
  <si>
    <t>The appearance of the liver is nonspecific and most consistent with vacuolar hepatopathy.  Inflammation, or much less likely neoplasia cannot be excluded.  The appearance of the colon is nonspecific but could be consistent with diarrhea.  No evidence of mechanical obstruction of the GI tract seen._x000D_
Radiographically normal thorax.  An explanation for the reported clinical signs is not definitively seen.</t>
  </si>
  <si>
    <t>Correlation with blood work may be helpful.  Symptomatic/supportive medical management appears appropriate.</t>
  </si>
  <si>
    <t>4 images of the thorax/cervical region are presented for review.  The laryngeal and pharyngeal structures are normal.  The hyoid apparatus is intact.  The trachea is normal in diameter.  The esophagus is variably gas dilated.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t>
  </si>
  <si>
    <t xml:space="preserve">
1.A mild perihilar infiltrate has been detected._x000D_
2.The cardiac silhouette size is normal._x000D_
3.There is no evidence of BRONCHITIS or DYNAMIC AIRWAY COLLAPSE or BRONCHIECTASIS._x000D_
4.A mild interstitial to alveolar pattern has been detected.</t>
  </si>
  <si>
    <t>THORAX/ABDOMEN (3 radiographs for review). No priors._x000D_
_x000D_
- The reported fish hook is visualized, and is present within an intestinal segment in the right craniodorsal abdomen._x000D_
- Peritoneal serosal detail is normal._x000D_
- The stomach contains moderate gas-stippled soft-tissue opaque material and a mild volume of gas._x000D_
- The visible small intestinal segments contain mild multifocal gas and soft tissue opaque material._x000D_
- The colon contains gas and mild formed fecal material._x000D_
- The liver, spleen and remaining cranial abdominal structures are normal._x000D_
- The included portions of the thorax is normal.</t>
  </si>
  <si>
    <t>1. The ingested fish-hook is in the right dorsal abdomen, superimposed over the position of the colon. It may be successfully defecated. It=ZZ91=s presence within a small intestinal segment is not excluded. There is no evidence of intestinal obstruction or perforation. You may consider serially following the foreign body with radiographs and/or abdominal ultrasound if clinically indicated._x000D_
_x000D_
2. Moderate gastric ingesta and gas.</t>
  </si>
  <si>
    <t xml:space="preserve">Patient Name : Coconut Sandler, Date of study: Jul 19, 2024
3 images are provided for review
Canine Thorax (3 Images) - 2 Lateral, 1 Vd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is subjectively normal in size and shape.
Mediastinum: The cranial mediastinum is normal.
Trachea: The trachea is normal.
Esophagus: The esophagus is not well-identified.
Pleural space: A thin pleural fissure line that does not widen in the periphery is identified between the right cranial/middle lung in the ventrodorsal image.  
Musculoskeletal: The included musculoskeletal structures are normal.
</t>
  </si>
  <si>
    <t>1. Minimal diffuse bronchial pulmonary pattern such as from fibrosis from prior disease, age-related changes, or less likely infectious/immune-mediated lower airway disease (mycoplasma spp., bordetella spp., parasitism, or other), or unlikely other.
2. Thin pleural fissure line due to tangential beam artifact and/or pleural thickening/folding or unlikely other.  
3. No obvious cardiomegaly is identified.</t>
  </si>
  <si>
    <t>This examination does not rule out early/evolving cardiac disease, especially given reported murmur, such as from myxomatous valvular disease.  Echocardiography, eCG, and blood pressure if not recently performed.  Consider respiratory PCR panel, airway sampling, and fecal analysis for further evaluation if clinically indicated.  Routine blood work and urinalysis amy be contributory.  Empirical therapy and supportive care in the interim as needed. Monitoring as directed or sooner if clinical signs acutely change, fail to improve or worsen.</t>
  </si>
  <si>
    <t>Five radiographs of the thorax, and four views of the abdomen are provided. The heart and pulmonary vessels are normal size. Mild unstructured interstitial pattern and several pulmonary osteomas is normal for the age of this patient. There are no soft tissue pulmonary nodules or enlarged intrathoracic lymph nodes. Round increased opacity in the lateral aspect of the right 8th intercostal space is a costochondral junction._x000D_
_x000D_
In the abdomen the stomach contains a large amount of soft tissue opaque ingesta. Small and large bowel are minimally filled. The liver, spleen, and both kidneys are normal size and shape. The urinary bladder is mildly filled and the prostate is not enlarged. Round soft tissue contour in the cranial right quadrant on the VD view is fluid within the pylorus. There is curved follow-up 4.4 x 2.8 cm soft tissue opacity in the inguinal region on the lateral views. No osseous abnormalities.</t>
  </si>
  <si>
    <t>1. Inguinal mass, likely inguinal lymphadenopathy. This is concerning for metastatic disease, but could also represent a retained testicle. No intra-abdominal abnormalities._x000D_
2. Normal thorax.</t>
  </si>
  <si>
    <t>Recommend palpation to confirm both testicles are located within the scrotum. Cytology/histopathology of the inguinal mass could be considered for a definitive diagnosis. There is no contraindication for general anesthesia based on this study.</t>
  </si>
  <si>
    <t>Orthogonal views of the thorax are provided:_x000D_
_x000D_
Thorax:_x000D_
_x000D_
Cardiac silhouette is unremarkable However, the pulmonary arteries are enlarged and tortuous with large end on arteries in the different views leading to a false nodular pattern in the lungs._x000D_
Pulmonary parenchyma shows a generalized bronchial pattern. No evidence of pulmonary nodules/masses._x000D_
Questionable tracheobronchial lymphadenopathy._x000D_
Pleural space, diaphragm and thoracic wall within normal limits.</t>
  </si>
  <si>
    <t>1) Enlarged and tortuous with large end on arteries consistent with pulmonary hypertension secondary to HW disease._x000D_
2) Questionable tracheobronchial lymphadenopathy._x000D_
3) Generalized bronchial pattern compatible with eosinophilic bronchitis vs eosinophilic bronchopneumopathy.</t>
  </si>
  <si>
    <t>Consider echocardiogram to stage the disease starting with HW treatment. Consider thoracic radiographs if dyspnea develops fter treatment (ideally a CT).</t>
  </si>
  <si>
    <t xml:space="preserve">
1.Are respiratory signs present? If NO_x000D_
2.Based on the AI airway/pulmonary findings, the probability of this patient having clinically detectable respiratory signs is LOW to MEDIUM (25%-50%)_x000D_
3.Are respiratory signs present? If YES._x000D_
4.MILD BRONCHOINTERSTITIAL PULMONARY PATTERN with ATELECTASIS or less likely, PNEUMONIA; MILD PERIHILAR INFILTRATE._x000D_
5.The cardiac silhouette size is normal.</t>
  </si>
  <si>
    <t>8 images of the thorax and abdomen are presented for review.  The cardiovascular structures are normal.  There is a diffuse interstitial pulmonary pattern that is considered appropriate for the age of the patient.  Several small nodular soft tissue structures are seen in the ventral thorax on the left lateral view.  No enlarged intrathoracic lymph nodes are seen.  The pleural and mediastinal structures are normal.  Abdominal serosal detail is mildly reduced in the cranial abdomen.  The stomach contains a moderate amount of ingesta.  The small intestines are normal in size.  Gas and feces are present in the colon.  The urinary bladder is moderately distended.  The remaining abdominal organs are normal.</t>
  </si>
  <si>
    <t>Mildly reduced cranial abdominal detail may indicate focal free fluid or peritonitis.  Abdominal ultrasound may be helpful.  Small pulmonary nodules seen on the single view concerning for early metastasis.  CT could be considered in confirmation.</t>
  </si>
  <si>
    <t xml:space="preserve">
1.A mild bronchial pattern has been detected._x000D_
2.The cardiac silhouette size is normal._x000D_
3.There is no evidence of ALVEOLAR PATTERN, PERIHILAR INFILTRATE, DYNAMIC AIRWAY COLLAPSE or BRONCHIECTASIS or PULMONARY NODULES.</t>
  </si>
  <si>
    <t>Three radiographs of the thorax, and three views of the abdomen are provided. Abdominal images dated 9/27/23 are available for comparison. The cardiac silhouette and pulmonary vessels are normal size and shape. There are no abnormalities in the pulmonary parenchyma. No pleural effusion or intrathoracic lymphadenomegaly. Adequate tracheal diameter._x000D_
_x000D_
In the abdomen the liver is equivocally prominent, with smooth margins. Smoothly irregular mineral density overlying the ventral liver consistent with gallbladder debris, typically incidental. Normal-sized spleen and kidneys. There is no effusion. The urinary bladder is markedly distended and soft tissue opaque. The gastrointestinal tract is minimally filled. No significant osseous abnormalities.</t>
  </si>
  <si>
    <t>Equivocal prominent liver, a nonspecific finding that may be normal variant or steroid or other hepatopathy. This is relatively similar to the previous study and is most likely incidental. Otherwise normal abdomen and thorax.</t>
  </si>
  <si>
    <t>If further evaluation of the nasal sinuses is desired, computed tomography would be recommended.</t>
  </si>
  <si>
    <t>3 views of the entire body are provided for review. The trachea is dorsally deviated, indicating left ventricular enlargement. A bulge is present in the area of the left atrium. The pulmonary vasculature is normal in size. There is mineralization if the airways. The pleural and mediastinal structures are normal. Abdominal serosal detail is adequate. The stomach contains a moderate amount of gas and the rugal folds are prominent. The small intestines are normal in size. Gas is present in the colon. The remaining abdominal organs are normal.</t>
  </si>
  <si>
    <t>Left sided cardiomegaly without current evidence of cardiogenic pulmonary edema. Bronchial mineralization assists chronic lower airway disease such as bronchitis. Prominent rugal folds suggestive of gastritis. This does not rule out underlying pancreatitis or infiltrative neoplasia.</t>
  </si>
  <si>
    <t xml:space="preserve">
1.SEVERE BRONCHITIS; MODERATE INTERSTITIAL TO ALVEOLAR PATTERN._x000D_
2.Based on the AI airway/pulmonary findings, the probability of this patient having clinically detectable respiratory signs is HIGH (75%)_x000D_
3.Are respiratory signs present? If YES._x000D_
4.Are respiratory signs present? If NO._x000D_
5.The evaluation has a strong suspicion of pulmonary nodules or mass lesion being present._x000D_
6.Pleural fissure lines or moderate to severe pleural effusion has been detected. An overlying skin fold or in an obese animal, excessive pericardial fat could artifactually mimic the result of severe pleural effusion._x000D_
7.The cardiac silhouette size is normal.</t>
  </si>
  <si>
    <t>Orthogonal views of the thorax are provided:_x000D_
_x000D_
Thorax:_x000D_
_x000D_
There is severe left atrium enlargement that dorsally displaces the carina, producing an overall severe cardiomegaly._x000D_
The pulmonary veins are enlarged when crossing the 4th ribs._x000D_
There is a peri-hilar and generalized alveolo-interstitial pulmonary pattern throughout the lung field, more severe in the caudal lung lobes._x000D_
Normal mediastinum, diaphragm and thoracic wall.</t>
  </si>
  <si>
    <t>1) Cardiomegaly (left sided), enlarged pulmonary veins with peri-hilar and generalized alveolo-interstitial pulmonary pattern throughout the lung field, more severe in the caudal lung lobes. Findings consistent with left sided congestive heart failure secondary to chronic mitral endocardiosis. Rule out tricuspid endocardiosis with post-capillary pulmonary hypertension.</t>
  </si>
  <si>
    <t>Consider oxygen supplementation, pro bnp, BP and lasix trial (prior evaluation of the renal function) with recheck radiographs in 12 hours (or sooner if clinically indicated) to re-evaluate and to monitor the response to treatment. Consider a cardiology consultation with ECG and echocardiogram once the patient is stable.</t>
  </si>
  <si>
    <t xml:space="preserve">
1.The evaluation has detected soft tissue pulmonary nodules._x000D_
2.Are respiratory signs present? If NO._x000D_
3.MODERATE TO SEVERE INTERSTITIAL TO ALVEOLAR PATTERN; MODERATE BRONCHITIS; MILD NODULAR PULMONARY PATTERN._x000D_
4.SEVERE INTERSTITIAL TO ALVEOLAR PATTERN; MODERATE BRONCHIAL PATTERN; MODERATE DYNAMIC AIRWAY DISEASE._x000D_
5.Based on these AI airway/pulmonary findings, the probability of this patient having clinically detectable repsiratory signs is VERY HIGH (&gt;75%)_x000D_
6.Based on the AI airway/pulmonary findings, the probability of this patient having clinically detectable respiratorysigns is VERY HIGH (&gt;75%)_x000D_
7.A severe alveolar pattern and concurrent, diffuse bronchointerstitial pulmonary pattern have been detected._x000D_
8.A moderate perihilar infitlrate has been detected._x000D_
9.Pleural fissure lines or moderate to severe pleural effusion has been detected. An overlying skin fold or in an obese animal, excessive pericardial fat could artifactually mimic the result of severe pleural effusion._x000D_
10.Severe cardiomegaly has been detected but Heart Failure is NOT suspected._x000D_
11.Are respiratory signs present? If YES._x000D_
12.AI linked pneumonia in dogs article: https://platform.v2.vetology.net/doc/pneumonia-in-dogs-and-cats</t>
  </si>
  <si>
    <t>CERVICAL and THORAX (3 radiographs for review). No priors._x000D_
_x000D_
- The hyoid apparatus, larynx, cranial trachea/esophagus and remaining cervical structures are normal._x000D_
- The cardiac silhouette, pulmonary vasculature, pleural space, mediastinum and remaining intrathoracic structures are normal._x000D_
- The stomach contains gas and mineral opaque material (limited assessment)._x000D_
- Mild bilateral osteophyte formation along the caudal margins of the shoulder joints, with the impression of mineral remodeling in the region of the bicipital groove.</t>
  </si>
  <si>
    <t>1. Unremarkable cervical region, without obvious laryngeal or cranial tracheal abnormalities._x000D_
_x000D_
2. Normal thorax._x000D_
_x000D_
3. Aerophagia and mineralized material in the stomach (limited assessment)._x000D_
_x000D_
4. Bilateral shoulder osteoarthritis and possible chronic biceps tenosynovitis (limited assessment).</t>
  </si>
  <si>
    <t>Overall, a discrete cause for the reported huffing cough is not clearly identified. There are no radiographic manifestations of the reported chronic lymphocytic leukemia. Radiographic sensitivity for subtle lower airway disease such as tracheobronchitis can be limited. If the cough is persistent despite medical management, consider repeating radiographs and/or performing thoracic CT for further investigation.</t>
  </si>
  <si>
    <t>4 images of the thorax and abdomen are presented for review.  The trachea is variably narrowed in the cervical region.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mildly reduced in the mid abdomen.  The liver margins are rounded and extend beyond the costal arch.  A rounded soft tissue structure protrudes from the tail of the spleen.  The stomach contains a moderate amount of ingesta.  The small intestines are normal in size.  Gas and feces are present in the colon.  The urinary bladder is small.  The remaining abdominal organs are normal.</t>
  </si>
  <si>
    <t>Tracheal narrowing consistent with tracheal collapse. Hepatomegaly=ZZ90= this is a nonspecific finding that may be seen with congestion, vacuolar hepatopathy, inflammation, neoplasia, etc.  Small splenic mass=ZZ90= consider neoplasia, hematoma, regeneration, inflammatory.  Mildly reduced peritoneal serosal detail may indicate mild free fluid.</t>
  </si>
  <si>
    <t xml:space="preserve">
1.A moderate alveolar pattern has been detected._x000D_
2.The cardiac silhouette size is normal._x000D_
3.There is no evidence of PERIHILAR INFILTRATE, DYNAMIC AIRWAY COLLAPSE or BRONCHIECTASIS, PULMONARY NODULES or PLEURAL EFFUSION.</t>
  </si>
  <si>
    <t>THORAX (3 radiographs for review). No previous for comparison._x000D_
_x000D_
- Lobular widening of the cranial mediastinum._x000D_
- Midline, rounded soft-tissue opacity in the caudodorsal mediastinum. Orad to this opacity, the esophagus is mildly distended with fluid._x000D_
- Mild diffuse bronchial pulmonary pattern._x000D_
- Cardiac silhouette and pulmonary vasculature normal._x000D_
- Cranial abdomen and included musculoskeletal structures normal.</t>
  </si>
  <si>
    <t>1. I suspect there is both a cranial mediastinal mass and a caudal mediastinal mass in this patient. They are most likely independent of each other, but may be related (e.g. multicentric/metastatic neoplasia). _x000D_
_x000D_
For the cranial mediastinal mass, DDx include thymoma, cranial mediastinal lymphoma or ectopic thyroid tumor. _x000D_
_x000D_
For the caudal mediastinal mass, it appears to be most likely originating from the distal esophagus (or the peri-esophageal soft-tissues) and causing partial obstruction of the esophageal lumen via compression, leading to fluid accumulation orad. This seems to be the most likely cause of the chronic vomiting. No evidence of aspiration pneumonia._x000D_
_x000D_
2. Diffuse bronchial pulmonary pattern. DDx age-related airway changes vs. chronic bronchitis._x000D_
_x000D_
3. Despite lack of cardiomegaly, given the reported murmur it may be reasonable to still consider echocardiogram. No evidence of CHF.</t>
  </si>
  <si>
    <t>I would recommend considering a thoracic CT in this patient for further characterization of the mediastinal abnormalities. Repeat/serial thoracic radiographs may also be considered.</t>
  </si>
  <si>
    <t xml:space="preserve">Patient Name : Julia Jones, Date of study: Jul 19, 2024
3 images are provided for review
Canine Thorax (3 Images) - 2 Lateral, 1 Vd
There are no previous radiographs for comparison.
Pulmonary parenchyma: In the caudoventral aspect of the left caudal lung lobe is a well-defined, round to ovoid soft tissue mass.  This mass is well-defined in the right lateral image compared to the left, and is over the left 7 through 9th intercostal spaces in the ventrodorsal image.  A mild to moderate diffuse bronchial pattern is present.  A well-defined, smoothly marginated mineral body is over the left caudal lungs just caudal and ventral to this mass.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</si>
  <si>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Left caudal lung lobe soft tissue mass due to neoplasia, such as from an atypical position of primary pulmonary carcinoma versus metastatic disease from an occult primary neoplasia, or unlikely granulomatous/fungal disease (blastomycosis spp.), or other.  
2. Left caudal lung lobe mineral body due to prior disease and dystrophic mineralization, metastatic mineralization of neoplastic nodule or unlikely metastatic primary osseous neoplasm, or least likely other.
3. Mild to moderate diffuse bronchial pattern due to infectious/immune-mediated lower airway disease (such as from bordetella spp., mycoplasma spp., parasitism such as lung worms, or unlikely fungal organisms), or less likely atypical metastatic/multicentric neoplasia, or unlikely other.
</t>
  </si>
  <si>
    <t>Consider computed tomography for further evaluation of the lungs. Routine blood work and abdominal imaging if not recently performed to screen for occult systemic disease.Consider lung lobectomy and histopathology for a definitive diagnosis.  Oncologist consultation may be contributory.  Airway sampling and fungal serology may be contributory depending on travel/exposure history of this patient.  Empirical therapy and supportive care in the interim as needed.  Monitoring as directed or sooner if clinical signs acutely change, fail to improve or worsen.</t>
  </si>
  <si>
    <t xml:space="preserve">
1.Are respiratory signs present? If NO._x000D_
2.MINIMAL BRONCHOINTERSTITIAL PULMONARY PATTERN; POTENTIAL FOR FOCAL ATELECTASIS._x000D_
3.Based on these AI airway/pulmonary findings, the probability of this patient having clinically detectable respiratory signs is LOW (25%)_x000D_
4.Are respiratory signs present? If YES._x000D_
5.The cardiac silhouette size is normal._x000D_
6.There is no evidence of PLEURAL EFFUSION.</t>
  </si>
  <si>
    <t>Five radiographs of the thorax are provided. The cardiac silhouette and pulmonary vessels are normal size and shape. There are no abnormalities in the pulmonary parenchyma. Thin angular increased opacity in the cranial left thorax on the VD projection is normal thymus. Tracheal diameter and position are normal. Linear increased opacity overlying the thoracic trachea on the 2nd right lateral view is superimposed scapula. No abnormalities along the plane of the esophagus. Osseous structures are age-appropriate. Several ovoid kibble-like soft tissue densities and small volume mineral opaque debris in the stomach consistent with recent meals and/or treat ingestion.</t>
  </si>
  <si>
    <t>Normal thorax. The reason for coughing is not identified. Although no tracheal abnormalities are appreciated on this study, dynamic collapse is not ruled out, as it may not be imaged on a static radiographic study.</t>
  </si>
  <si>
    <t>Recommend palpation for tracheal sensitivity, and utilization of a body harness in place of a neck lead.</t>
  </si>
  <si>
    <t>4 images of the entire body are presented for review.  The cardiovascular and pulmonary structures are normal.  The pleural and mediastinal structures are normal.  Abdominal serosal detail is adequate in all quadrants.  The stomach contains a moderate amount of ingesta.  The small intestines are normal in size.  Gas and feces are present in the colon.  The urinary bladder is small.  No mineral is seen associated with the urinary tract.  The remaining abdominal organs are normal.  Spinal alignment is normal with no consistently narrowed intervertebral disc spaces.  The coxofemoral joints are congruent.  No fractures or aggressive osseous lesions are seen.</t>
  </si>
  <si>
    <t>Radiographically normal thorax and abdomen.  Unremarkable osseous structures.</t>
  </si>
  <si>
    <t>Patient Name : Friday Nunez, Date of study: Jul 18, 2024
12 images are provided for review
There are no previous radiographs for comparison.
Bones/Joints:T12-13 and T13-L1 have slightly narrow intervertebral disc spaces.  
There is no evidence of mineral over the intervertebral foramina.  There is no evidence of intervertebral dorsal articulation osteoarthrosis.
In situ intervertebral disc mineral is at T2-3 and T11-12.  T4 and T8 are narrowed in a craniocaudal dimension.  The caudal vertebrae are shorted, consistent with the breed (screw tail anomaly).  
There is no evidence of medullary sclerosis, osteolysis, endosteal scalloping, or periosteal proliferation.
Soft tissues:  The included soft tissues are normal.</t>
  </si>
  <si>
    <t>1. Suspected T12-13 intervertebral disc disease versus artifact.
2. Suspected T13-L1 intervertebral disc disease versus artifact.
 3. T2-3 and T11-12 in situ intervertebral disc mineralization.
4. Multifocal thoracic and caudal vertebral anomalies, consistent with the breed of this patient.</t>
  </si>
  <si>
    <t>Consider neurologist consultation and MRI for further evaluation if clinical signs persist or worsen in the face of empirical therapy and supportive care.  Routine blood work and thoracic imaging prior to advanced imaging and referral.  Monitoring as directed, or sooner if clinical signs acutely change, fail to improve or worsen.</t>
  </si>
  <si>
    <t xml:space="preserve">
1.MODERATE INTERSTITIAL TO ALVEOLAR INFILTRATE; MILD PERIHILAR INFILTRATE; MINIMAL BRONCHIAL PATTERN._x000D_
2.Based on these AI airway/pulmonary findings,  the probability of this patient having clinically detectable respiratory signs is HIGH (75%)_x000D_
3.Are respiratory signs present?  If YES._x000D_
4.Are respiratory signs present? If NO._x000D_
5.The cardiac silhouette size is normal.</t>
  </si>
  <si>
    <t>Three orthogonal survey radiographs of the thorax and abdomen dated 18th July 2024 are available for review. There are no previous radiographs available for comparison. These images are submitted for assessment of the thorax._x000D_
_x000D_
Thorax: _x000D_
Airway findings: The trachea has a normal position. Within the caudal dorsal and caudal ventral lung parenchyma there is a moderate bronchointerstitial opacification. No nodules or masses are seen. Superimposed on the hepatic silhouette, there is some mineral stippling and smoothly marginated mineral opacity consistent with gallbladder mineralisation._x000D_
_x000D_
Cardiovascular findings: There is a large smoothly marginated soft tissue opacity contiguous with the caudal dorsal border of the cardiac silhouette. A soft tissue opacity is superimposed on the caudal cardiac silhouette in the dorsoventral image.  The overall cardiac silhouette is tall. The pulmonary veins are enlarged. The cardiac silhouette is widened and the ventrodorsal image. There is a bulge in the region of the right atrium/aorta in the ventrodorsal image._x000D_
_x000D_
Mediastinum and pleural space: No significant abnormalities are detected._x000D_
_x000D_
Abdomen: As described above, likely gallbladder mineralisation._x000D_
_x000D_
Musculoskeletal findings: No significant abnormalities are detected.</t>
  </si>
  <si>
    <t>1. Left atrial dilation with left-sided cardiomegaly. Severe mitral insufficiency is more likely than dilated cardiomyopathy. The bronchointerstitial opacification is most likely due to early cardiogenic pulmonary oedema, but is slightly atypical. A combination with chronic bronchitis (environmental, allergic, viral-bacterial, parasitic) is possible. Heart worm is possible.</t>
  </si>
  <si>
    <t>Radiography is insensitive for early cardiac insufficiency, therefore ECG, blood pressure measurements, and echocardiography is advised prior to any steroid therapy. Treatment trial with diuretics, and repeat radiographs may be considered._x000D_
If cardiac workup is negative, respiratory workup including CBC, serum chemistry, urinalysis, Baermann faecal testing, 4DX, +/- respiratory panel or fungal testing may be considered, or empirical therapy for lower airway disease, empirical deworming, and removal of allergens and environmental irritants (i.e. smoke, dust, perfumes, etc.) is advised.</t>
  </si>
  <si>
    <t xml:space="preserve">
1.PLEURAL EFFUSION or PLEURAL FISSURE LINES; MODERATE INTERSITIAL TO ALVEOLAR PATTERN; MINIMAL PERIHILAR INFILTRATE._x000D_
2.Based on these AI airway/pulmonary findings, the probability of this patient having clinically detectable respiratory signs is HIGH (75%)_x000D_
3.Are respiratory signs present? If YES._x000D_
4.Are respiratory signs present? If NO._x000D_
5.The evaluation has a strong suspicion of pulmonary nodules or mass lesion being present._x000D_
6.Moderate cardiomegaly has been detected but Heart Failure is NOT suspected.</t>
  </si>
  <si>
    <t>2 views of the thorax are submitted for review.  The cardiac silhouette and pulmonary vasculature are within normal limits.  No pulmonary parenchymal abnormalities noted.  No pleural or mediastinal abnormalities are seen.  The trachea is normal in diameter.  No definitive abnormalities are noted in the cervical or thoracic spine.  The visible abdomen is unremarkable.</t>
  </si>
  <si>
    <t>Radiographically normal thorax.  Occult cervical intervertebral disc disease or other soft tissue injury is not ruled out.</t>
  </si>
  <si>
    <t>Symptomatic/supportive medical management may be helpful.  If clinical signs persist, CT or MRI of the cervical spine may be indicated.</t>
  </si>
  <si>
    <t>6 views of the thorax and abdomen are submitted for review.  The cardiac silhouette and pulmonary vasculature are normal.  No abnormalities are noted in the lung fields.  No pleural or mediastinal abnormalities are seen.  The trachea is normal._x000D_
In the abdomen, the stomach contains mild amount of gas.  The small bowel is normal and uniform in diameter.  The colon is empty.  No organomegaly is seen.  Serosal detail is adequate._x000D_
No significant osseous abnormalities are noted.</t>
  </si>
  <si>
    <t>Radiographically normal thorax and abdomen.  An explanation for the clinical signs is not identified.</t>
  </si>
  <si>
    <t>Correlation with blood work is recommended.  An abdominal ultrasound could also be considered.</t>
  </si>
  <si>
    <t>Four radiographs of the thorax/abdomen are provided. The cardiac silhouette is normal size on the lateral views, with no chamber enlargement appreciated. The heart appears larger on the VD projection due to thoracic conformation. Pulmonary vessels are normal size. There is a mild bronchial pattern throughout the lungs. No soft tissue pulmonary nodules or pleural effusion. Severe narrowed mainstem bronchi on the right lateral view. No pleural effusion. Adequate tracheal diameter. Small volume fluid in the caudal esophagus is transient and incidental. In the abdomen, the stomach contains a large amount of ovoid kibble-like soft tissue density. Small bowel are minimally distended. There is gas in the cecum and proximal colon, with semi-formed feces in the distal colon. No radiopaque urolithiasis. Normal-sized spleen, liver, left kidney. The right kidney is obscured. No osseous abnormalities.</t>
  </si>
  <si>
    <t>Dynamic mainstem bronchial collapse, the most likely cause for respiratory signs. Mild bronchial pattern may be normal age change versus allergic bronchitis which could be contributing to the cough. Otherwise normal thorax and abdomen.</t>
  </si>
  <si>
    <t>A CBC, blood chemistry profile are recommended to rule out a metabolic abnormality. This patient may benefit from symptomatic treatment for the cough.</t>
  </si>
  <si>
    <t xml:space="preserve">
1.Are respiratory signs present? If YES._x000D_
2.Are respiratory signs present? If NO._x000D_
3.Pleural fissure lines or small volume pleural effusion has been detected. In a mildly overweight animal, excessive pericardial fat can artifactually mimic the result of minimal pleural effusion._x000D_
4.Mild cardiomegaly has been detected but Heart Failure is NOT suspected._x000D_
5.MODERATE INTERSTITIAL TO ALVEOLAR PATTERN; MILD BRONCHITIS._x000D_
6.Based on the AI airway/pulmonary findings, the probability of this patient having clinically detectable respiratory signs is MEDIUM to HIGH (50-75%)</t>
  </si>
  <si>
    <t>Three radiographs of the thorax/abdomen are provided. The cardiac silhouette and pulmonary vessels are normal size and shape. There are no abnormalities in the pulmonary parenchyma. No pleural effusion or esophageal dilation. Tracheal diameter is adequate. Mild congenital vertebral malformations in the thoracic spine, likely incidental. In the abdomen there is small volume ovoid kibble-like soft tissue densities and gas in the stomach. Small bowel are minimally distended with gas and small volume soft tissue density. The cecum is gas-filled. Formed feces in the colon. Normal-sized liver, spleen, left kidney. The right kidney is obscured. No radiopaque cystic calculi. The uterus is not definitively seen. The coxofemoral joints are congruent. One of the patellas may be medially displaced on the left lateral view.</t>
  </si>
  <si>
    <t>Normal thorax and postprandial abdomen. There is no evidence of megaesophagus. The reason for regurgitation is not identified.</t>
  </si>
  <si>
    <t>If clinical signs persist, a positive contrast gastrogram should be considered.</t>
  </si>
  <si>
    <t>Nine radiographs are provided, with images of the thorax, abdomen, pelvis, and stifles. The cardiac silhouette and pulmonary vessels are normal size and shape. Curved increased opacity overlying the caudoventral heart on the lateral view is superimposed pleural fat. There are a few incidental pulmonary osteomas. No soft tissue pulmonary nodules or pleural effusion. Normal thoracic spine. Sclerotic 3rd and 4th sternal segments, incidental._x000D_
_x000D_
In the abdomen there is no effusion or organomegaly. Moderate volume soft tissue opaque ingesta in the stomach. Punctate mineral density in the stomach is likely incidental. Small bowel and mildly fluid and gas filled. Formed feces in the distal colon, with gas in the cecum. No radiopaque urolithiasis. The prostate is not definitively seen on the lateral view. Mild narrowed T13-L1, L1-2 intervertebral disc spaces. No endplate lysis. On both of the VD projections, there is poorly delineated lucency in the medial aspect of one of the ilial wings adjacent to the sacroiliac joint. This is labeled as the right side on at one of the VD views, however is mislabeled as the lucency appears to switch sides. This lucency appears to be lateral to the colon. No definitive abnormalities on the lateral view. The coxofemoral joints are congruent. Pelvic limb musculature is reduced on the same side as the ilial lucency. No definitive stifle abnormalities. Note-one of the stifle views has a right and a left laterality marker.</t>
  </si>
  <si>
    <t>1. Lysis in one of the ilial wings, laterality is not definitive on this study. A neoplastic process such as osteosarcoma is the most likely diagnosis. This likely affects the ipsilateral sacroiliac joint and associated nerve roots. No pelvic limb abnormalities are appreciated._x000D_
2. The appearance of T13-L1 and L1-2 are both suggestive of intervertebral disc disease. Such a lesion at these or another site is the most likely cause for the clinical signs._x000D_
3. Normal thorax and postprandial abdomen.</t>
  </si>
  <si>
    <t>Cross-sectional imaging of the lumbar spine and pelvis with CT/MRI should be considered.</t>
  </si>
  <si>
    <t xml:space="preserve">Patient Name : Abby Beltran, Date of study: Jul 18, 2024
9 images are provided for review
There are no previous radiographs for comparison.
Bones/Joints:
The coxofemoral joints have no obvious osteoarthrosis.  There is adequate coverage of the femoral heads by the acetabulums.
Bilateral femoral trochlear hypoplasia is present.  No evidence of patella luxation in the ventrodorsal image.  Slight increased soft tissue is suspected in the left stifle joint compared to the right.
The left stifle has no evidence of osteoarthrosis.
The included left tarsus, metatarsus and digits are normal.
The right stifle has no evidence of osteoarthrosis.  The right infrapatellar fat pad is well-defined.
The included right tarsus, metatarsus and digits are normal.  
The included lumbar spine is normal.
There is no evidence of medullary sclerosis, osteolysis, endosteal scalloping, or periosteal proliferation.
Soft tissues:  The patient is obese.  The remaining included soft tissues are normal.
</t>
  </si>
  <si>
    <t>1. Suspected left stifle joint synovial effusion/proliferation versus artifact from positioning/technique. 
- If present, this may be due to cranial cruciate ligament injury, consistent with reported history.  
2. Bilateral femoral trochlear hypoplasia without current evidence of patella luxation.
3. Normal right stifle 
4. Normal coxofemoral joints.</t>
  </si>
  <si>
    <t>Consider orthopedic consultation for further evaluation of the left stifle and medical versus surgical therapy as desired..  Empirical therapy and supportive care in the interim as needed..  Monitoring as directed, or sooner if clinical signs acutely change, fail to improve or worsen.</t>
  </si>
  <si>
    <t xml:space="preserve">
1.A minimal interstitial pulmonary and concurrent, mild dynamic airway disease have been detected._x000D_
2.Mild dynamic airway disease has been detected._x000D_
3.The cardiac silhouette size is normal._x000D_
4.There is no evidence of ALVEOLAR PATTERN, PULMONARY NODULES or PLEURAL EFFUSION._x000D_
5.A minimal interstitial pulmonary pattern with a concurrent, minimal perihilar infiltrate have been detected.</t>
  </si>
  <si>
    <t xml:space="preserve">Patient Name : Maximus felix, Date of study: Jul 18, 2024
6 images are provided for review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caudal esophagus is mild to moderately enlarged and soft tissue opaque in a left lateral and one of the ventrodorsal images.  
Pleural space: The pleural space is normal.
Musculoskeletal: The included musculoskeletal structures are normal.
</t>
  </si>
  <si>
    <t>1. Mild diffuse bronchial pulmonary pattern such as from infectious/immune-mediated lower airway disease (mycoplasma spp., bordetella spp., parasitism such as lung worms, or inhaled allergen/irritant), or less likely other.
2. Mild caudal esophageal enlargement due to esophagitis and gastroesophageal reflux disease, versus esophageal/paresophageal hiatal hernia, or unlikely an evolving mass/abscess or esophageal foreign material.</t>
  </si>
  <si>
    <t>Consider respiratory PCR panel, airway sampling, routine blood work, and fecal analysis/deworming for further evaluation of lower airway disease if clinically indicated.  Consider computed tomography of the thorax and possible positive contrast esophagography, versus esophagoscopy for further evaluation of the esophagus/stomach if clinically indicated.  Empirical therapy and supportive care in the interim as needed. Monitoring as directed or sooner if clinical signs acutely change, fail to improve or worsen.</t>
  </si>
  <si>
    <t>WHOLE-BODY (7 total radiographs for review). _x000D_
_x000D_
- Peritoneal serosal detail is normal._x000D_
- The urinary bladder is mildly distended with soft-tissue/fluid._x000D_
- Best appreciated on the left lateral projection of the abdomen, the prostate gland is mildly enlarged for a patient reported as male neutered, having rounded margins. There are a few ill-defined mineral opacities superimposed over the parenchyma._x000D_
- The region of the sublumbar lymph nodes is normal._x000D_
- The kidneys are of somewhat limited assessment, but otherwise normal._x000D_
- The stomach contains moderate gas and gas-stippled soft-tissue opaque material_x000D_
- The small intestine contains mild multifocal gas and soft-tissue opaque material_x000D_
- The colon contains gas, soft-tissue/fluid and mild formed fecal material._x000D_
- The liver is mildly to moderately enlarged, with rounded margins._x000D_
- The spleen, region of the kidneys and urinary bladder are normal._x000D_
- The cardiac silhouette and pulmonary vasculature are normal._x000D_
- The pulmonary parenchyma is normal_x000D_
- The trachea, esophagus and remainder of the mediastinum are normal._x000D_
- The pleural space and remaining intrathoracic structures are normal._x000D_
- Minimal multifocal vertebral spondylosis deformans._x000D_
- Small lipomatous mass in the region of the xiphoid.</t>
  </si>
  <si>
    <t>1. Mild prostatomegaly with possible mineralization. As the patient is reported as castrated male, this would raise concern for prostatic neoplasia (e.g. carcinoma). Correlate to results of rectal examination and abdominal ultrasonography +/- FNA._x000D_
_x000D_
2. Moderate hepatomegaly. Most likely vacuolar (metabolic) hepatopathy. Hepatic congestion, hepatitis or neoplasia are less likely, but possible._x000D_
_x000D_
3. Normal thorax._x000D_
_x000D_
4. A discrete cause for the reported neurologic signs is not clearly identified. Besides mild multifocal spondylosis deformans, the vertebral column is unremarkable. Consider if clinically indicated veterinary neurologist consultation +/- advanced imaging._x000D_
_x000D_
5. Small lipomatous mass in the region of the xiphoid.</t>
  </si>
  <si>
    <t>8 views of the thorax, abdomen, thoracic limbs, and pelvic limbs are submitted for review.  No definitive abnormalities noted in the cervical spine.  The thoracic spine appears within normal limits as well.  No definitively narrowed intervertebral disc spaces are noted in the lumbar spine.  Moderate spondylosis deformans is noted at the caudal lumbar spine.  The bilateral coxofemoral joints and sacroiliac joints are within normal limits.  Moderate to severe degenerative changes are noted at the distal femur, proximal tibia, and patella in both stifles.  The patellas appear medially displaced on the VD view._x000D_
No definitive abnormalities noted in the thoracic limbs._x000D_
The cardiovascular structures are within normal limits.  Mild bronchointerstitial markings are noted throughout the lung fields.  No pleural or mediastinal abnormalities are seen._x000D_
In the abdomen, the liver is mildly enlarged.  A small mineral opacity structure consistent with a gallstone is noted at the cranioventral aspect of the abdomen.  The spleen appears within normal limits.  Mild mineralization is noted in the region of the kidneys.  The urinary bladder is minimally distended.  An ill-defined mineral opacity structure is noted immediately ventral to the colon and dorsal to the plane of the urinary bladder on the lateral views.  The GI tract is unremarkable.  Serosal detail is adequate.</t>
  </si>
  <si>
    <t>Moderate to severe degenerative joint disease in both stifles with suspected medial patellar luxation.  Concurrent cranial cruciate ligament injury is also likely.  Occult intervertebral disc disease cannot be definitively excluded._x000D_
The appearance of the liver is nonspecific and consistent with vacuolar hepatopathy.  Mild cholelithiasis of unknown clinical significance.  Mild renal changes, consistent with chronic nephritis and degenerative change unknown clinical significance.  The mineral opacity structure in the caudal abdomen may represent dystrophic mineralization at the uterine stump associated with hysterectomy.  The clinical significance is doubtful.</t>
  </si>
  <si>
    <t>Consultation with an orthopedic specialist regarding the stifles could be considered.  An abdominal ultrasound appears indicated.  If neurological deficits present, cross-sectional imaging of the vertebral column may also be indicated.</t>
  </si>
  <si>
    <t>WHOLE-BODY (7 total radiographs for review). No previous for comparison._x000D_
_x000D_
- The patient has a lean body condition and limited peritoneal fat available for contrast._x000D_
- The stomach is non-distended and contains a small volume of soft-tissue opaque material._x000D_
- The small intestine contains mild multifocal soft-tissue opaque material and gas._x000D_
- The colon contains minimal formed fecal material and gas._x000D_
- The liver, spleen, kidneys and urinary bladder are of limited assessment however no discrete abnormalities are noted._x000D_
- The cardiac silhouette, pulmonary parenchyma, pleural space, trachea, mediastinum and remaining included intrathoracic structures are normal._x000D_
- Multiple open physes are present, consistent with the patient age._x000D_
- No discrete musculoskeletal abnormalities are detected</t>
  </si>
  <si>
    <t>1. Moderate multifocal heterogeneous soft-tissue opaque material throughout the small intestine, without obvious obstruction. This may indicate dietary indiscretion and there may be an associated gastrointestinal functional ileus (e.g. enteritis). If clinically indicated, you may consider abdominal ultrasonography and/or recheck radiographs._x000D_
_x000D_
2. Normal thorax.</t>
  </si>
  <si>
    <t>Orthogonal radiographs of the cervical spine, and three views of the abdomen are provided. Cervical vertebral alignment is normal. No narrowed intervertebral disc spaces or dorsal articular facet spaces are appreciated. Normal proximal thoracic limbs. The cardiac silhouette and pulmonary vessels are normal size on the lateral views. The heart appears larger on the VD projection due to partial expiration. There are no abnormalities in the pulmonary parenchyma. No pleural effusion. Normal cranial mediastinal width. Adequate tracheal diameter.</t>
  </si>
  <si>
    <t>Normal cervical spine and thorax. A reason for the clinical signs is not identified. A non-mineralized protruded intervertebral disc, or soft tissue sprain/strain remains possible.</t>
  </si>
  <si>
    <t>If clinical signs recur and discomfort is localized to the cervical spine, advanced imaging with MRI could be considered.</t>
  </si>
  <si>
    <t>Four radiographs of the thorax, three views of the distal thoracic limbs, and a lateral view of the abdomen are provided. The cardiac silhouette is normal size on the lateral views. The heart appears larger on the VD projection due to partial expiration, mild rotation, and fat deposition encircling the heart. Fat deposition also noted in the cranial mediastinum. There are mild age-related changes in the lungs. No soft tissue pulmonary nodules or pleural effusion. Mild degenerative change in the shoulders. There is mild soft tissue thickening cranial to the distal right radial epiphysis. Carpal bones are in appropriate alignment. Incidental multipartite abaxial proximal sesamoid of the right 2nd digit and axial proximal sesamoid of the right 5th digit. Mild periarticular enthesophyte formation along the abaxial right 2nd metacarpophalangeal joint, incidental. On the lateral view there is soft tissue thickening in the distal right metacarpal and proximal phalangeal region. On the dorsopalmar view this appears worst in the right 2nd/3rd interdigital space. Other soft tissue evaluation is limited by high technique. There is no radiopaque foreign material, emphysema, lysis, or periosteal proliferation. No other abnormalities._x000D_
_x000D_
In the abdomen the liver is mildly enlarged with smooth margins. No effusion. Normal-sized kidneys and spleen. The gastrointestinal tract is mildly filled. No radiopaque urolithiasis. Spondylosis deformans at L4-5 is likely incidental.</t>
  </si>
  <si>
    <t>1. Soft tissue swelling in the distal right manus, appearing most significant in the 2nd/3rd interdigital space. This may be an inflammatory process/granuloma. Soft tissue neoplasia is not ruled out. There is no evidence of osseous involvement. Mild swelling cranial to the distal right radius may be due to dermatologic abnormality versus soft tissue insult. This should be correlated with physical examination._x000D_
2. Mild hepatomegaly, a nonspecific finding that may be due to steroid or other hepatopathy. An inflammatory process or neoplasia are given lesser consideration. This should be correlated with history and blood work. Otherwise normal abdomen._x000D_
3. Normal thorax.</t>
  </si>
  <si>
    <t>Cytology/histopathology of the manus lesion should be considered.</t>
  </si>
  <si>
    <t xml:space="preserve">
1.Minimal cardiomegaly has been detected but Heart Failure is NOT suspected._x000D_
2.SEVERE INTERSTITIAL TO ALVEOLAR PATTERN; PULMONARY NODULES or NODULAR PATTERN; MILD DYNAMIC AIRWAY DISEASE; MILD BRONCHITIS._x000D_
3.Aspiration, bacterial pneumonia, atelectasis or recurrent microaspiration (brachycephalic dogs or laryngeal paralysis) causing lower airway inflammation with atelectasis or pneumonia is most likely.</t>
  </si>
  <si>
    <t xml:space="preserve">
1.The evaluation has come up positive for a pulmonary nodular pattern._x000D_
2.MILD BRONCHIAL PATTERN; NODULAR PULMONARY PATTERN which is likely due to overlying CUTANEOUS NODULES or MINERALIZED COSTOCHONDRAL JUNCTIONS._x000D_
3.MINIMAL INTERSITIAL PATTERN; OVERLYING CUTANEOUS NODULES or END-ON VESSELS._x000D_
4.Based on these AI airway/pulmonary findings, the probability of this patient having clinically detectable respiratory signs due to lower airway disease is UNLIKELY (&lt;25%) with the exception of acute tracheobronchitis or PTE._x000D_
5.Based on the AI airway/pulmonary findings, the probability of this patient having clinically detectable respiratory signs is LOW to MEDIUM (25%-50%)_x000D_
6.Are respiratory signs present? If YES._x000D_
7.Are respiratory signs present? If NO._x000D_
8.The cardiac silhouette size is normal._x000D_
9.There is no evidence of DYNAMIC AIRWAY COLLAPSE or BRONCHIECTASIS._x000D_
10.A minimal interstitial pattern has been detected._x000D_
11.There is detection of a few small soft tissue opacities overlying the lungs._x000D_
12.A minimal to mild bronchointerstitial pulmonary pattern has been detected.</t>
  </si>
  <si>
    <t xml:space="preserve">Patient Name : Sullivan Bonilla, Date of study: Jul 18, 2024
2 images are provided for review
Canine Thorax (2 Images) - 2 Lateral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on limited evaluation.
Trachea: The trachea is normal.
Esophagus: The esophagus is not well-identified.
Pleural space: The pleural space is normal.
Musculoskeletal: The included musculoskeletal structures are normal.
</t>
  </si>
  <si>
    <t>1. Minimal diffuse bronchial pulmonary pattern.
- Differential diagnoses include infectious/immune-mediated lower airway disease such as from mycoplasma spp., bordetella spp., parasitism, or inhaled allergen/irritant, fibrosis from prior disease, age-related changes, or artifact, or unlikely other.</t>
  </si>
  <si>
    <t>Consider respiratory PCR panel, airway sampling, and fecal analysis/deworming for further evaluation.  Empirical therapy and supportive care as needed in the interim for reported cough. Monitoring as directed or sooner if clinical signs acutely change, fail to improve or worsen.</t>
  </si>
  <si>
    <t>A three view thoracoabdominal study is provided for interpretation._x000D_
_x000D_
Moderate heart enlargement is identified. The shape of the heart is most typical of left sided chamber dilation. There is a moderate diffuse bronchial pattern. Patchy interstitial infiltrates are seen in the left caudal lobe. Several thin-walled pulmonary bullae are identified. These appear to be present in the right cranial lobe and both caudal lung lobes._x000D_
_x000D_
The liver is moderately enlarged. There is a crescent-shaped mineral opacity superimposed over the liver in the lateral views that likely represents mineral dense sediment in the gallbladder. The abdomen is distended, and serosal detail is poor consistent with free abdominal fluid. No mass lesions are seen. The appearance of the GI tract is unremarkable.</t>
  </si>
  <si>
    <t>There is moderate cardiomegaly which appears primarily left sided._x000D_
A right-sided component cannot be excluded._x000D_
_x000D_
The primary pulmonary pattern is bronchial, most compatible with chronic bronchitis. There is some increase interstitial opacity in the left caudal lobe, but the overall lung pattern is not typical of congestive heart failure. This remains a differential._x000D_
_x000D_
Multiple thin-walled pulmonary bullae are present, which is probably incidental and not responsible for symptomology at this time._x000D_
_x000D_
There is significant hepatomegaly, and free abdominal fluid. A small quantity of fine mineral dense sediment in the gallbladder is probably incidental._x000D_
_x000D_
The abdominal distention and hepatomegaly could be the result of right-sided heart failure, so biventricular heart failure is a potential explanation for the cough and the abdominal changes. However, separate disease processes causing the thoracic and abdominal changes should be ruled out, such as chronic bronchitis causing cough and neoplasia such as lymphoma causing hepatomegaly and ascites.</t>
  </si>
  <si>
    <t>Primary loss for this patient include biventricular heart failure, and a coincidental cardiac disease and unrelated diffuse liver disease (hepatitis, metabolic or endocrine hepatopathies, and hepatic neoplasia including lymphoma)._x000D_
Possible etiologies for the ascites would include right heart disease, hypoproteinemia, and neoplasia. Abdominal hemorrhage or peritonitis or less likely given the patient is eating and drinking normally._x000D_
_x000D_
CBC and serum chemistry is indicated._x000D_
Echocardiography and ultrasound of the abdomen is recommended._x000D_
_x000D_
Empiric medical management for biventricular heart failure could be considered depending on clinical suspicion and lab results if echocardiography and ultrasound is not an option or readily available.</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</si>
  <si>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3.SEVERE INTERSTITIAL TO ALVEOLAR PATTERN; SEVERE BRONCHIAL PATTERN; MILD DYNAMIC AIRWAY DISEASE._x000D_
4.Based on these AI airway/pulmonary findings, the probability of this patient having clinically detectable respiratory signs is VERY HIGH (&gt;75%)_x000D_
5.Are respiratory signs present? If YES._x000D_
6.Are respiratory signs present? If NO._x000D_
7.The evaluation has a strong suspicion of pulmonary nodules or mass lesion being present.</t>
  </si>
  <si>
    <t>Eight radiographs are provided, with images of the neck, thorax, distal thoracic limbs, and abdomen. No cervical spinal abnormalities are appreciated. Normal tracheal diameter and position. The cardiac silhouette is normal size and shape. Pulmonary vessels are normal size. There are several incidental pulmonary osteomas. No pleural effusion or intrathoracic lymphadenomegaly. Normal proximal thoracic limbs. There is broad-based curved 3.9 x 1.1 cm thickening medial to the distal right radius. This appears fat opaque, however opacity may be underestimated due to high technique. The cubital and carpal bones are congruent. There is a poorly delineated area of sclerosis and smooth uninterrupted periosteal proliferation in the distal diaphysis/metaphysis of the left 3rd metacarpal bone. Also in the left limb, there is smooth uninterrupted periosteal proliferation on the abaxial aspect of the 1st phalanx of the 3rd digit, and axial margin of the 1st phalanx of the 4th digit of this limb. There is possible mild soft tissue thickening in the proximal aspect of the 3rd and 4th digits, although soft tissue evaluation is limited by high technique. Similar changes are not present in the right limb._x000D_
_x000D_
In the abdomen the liver is prominent with smooth margins. Normal-sized spleen and kidneys. The gastrointestinal tract is moderately filled. No urolithiasis. Severe spondylosis deformans in the caudal thoracic spine and throughout the entire lumbar spine. The coxofemoral joints are congruent.
(amended on 07/19/2024 09:23)
Per Dr. Marlar the DP view of the distal thoracic limbs is mislabeled. The =ZZ92=L=ZZ92= is located on the right side of this patient.</t>
  </si>
  <si>
    <t>1. Osseous proliferation in the left manus may be inflammatory and due to dermatologic abnormality. A soft tissue neoplasm is not ruled out. No definitive right manus abnormalities._x000D_
2. Thickening medial to the distal right radius may represent incidental lipoma. Malignant soft tissue neoplasia is given lesser consideration._x000D_
3. Spondylosis deformans is typically incidental. This could be contributing to discomfort and mobility limitations._x000D_
4. Mild hepatomegaly, a nonspecific finding that may be steroid or other hepatopathy. This should be correlated with history and blood work. No other abdominal abnormalities._x000D_
5. Normal thorax and neck.
(amended on 07/19/2024 09:23)
Based on the updated laterality information, the above conclusions should now read:_x000D_
1. Osseous proliferation in the RIGHT manus may be inflammatory and due to dermatologic abnormality. A soft tissue neoplasm is not ruled out. No definitive LEFT manus abnormalities._x000D_
2. Thickening medial to the distal LEFT radius may represent incidental lipoma. Malignant soft tissue neoplasia is given lesser consideration.</t>
  </si>
  <si>
    <t>Consider fine-needle aspirates of the thickened tissues in the left manus and distal right antebrachium.
(amended on 07/19/2024 09:23)
Based on the updated laterality information, the above conclusions should now read:_x000D_
Consider fine-needle aspirates of the thickened tissues in the RIGHT manus and distal LEFT antebrachium.</t>
  </si>
  <si>
    <t xml:space="preserve">
1.A moderate perihilar infitlrate has been detected._x000D_
2.The evaluation has a strong suspicion of pulmonary nodules or mass lesion being present._x000D_
3.The cardiac silhouette size is normal._x000D_
4.There is no evidence of BRONCHITIS, ALVEOLAR PATTERN or DYNAMIC AIRWAY COLLAPSE or BRONCHIECTASIS.</t>
  </si>
  <si>
    <t xml:space="preserve">Patient Name : Napa Obright, Date of study: Jul 18, 2024
2 images are provided for review
There are no previous radiographs for comparison.
Pulmonary parenchyma:  Only in the ventrodorsal image, an ill-defined, round soft tissue focus is over the right 10th intercostal space and costo-chondral junction.  This is not identified in the lateral image. A mild diffuse bronchial pattern is present. A minimal diffuse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mild fluid or is empty.  
Pleural space: The pleural space is normal.
Musculoskeletal: A metal ballistic pellet is in the dorsal extra-abdominal soft tissues.  The remaining included musculoskeletal structures are normal.
</t>
  </si>
  <si>
    <t>1. Possible right caudal lung lobe soft tissue nodule versus superimposed external soft tissue or superimposed normal structures
- If present, this may be from evolving metastatic neoplasia or unlikely granulomatous/fungal disease or granuloma from prior disease, or other.
2. Mild diffuse bronchial and minimal interstitial patterns due to fibrosis from prior disease, age-related changes, infectious/immune-mediated lower airway disease (such as from mycoplasma spp., bordetella spp., parasitism such as lung worms, or less likely other),or unlikely other.
3.  Presumed incidental metal ballistic pellet in the dorsal extra-abdominal soft tissues.</t>
  </si>
  <si>
    <t>Consider computed tomography of the thorax for further evaluation of the right caudal lung lobe soft tissue opacity.  Consider echocardiography, ECG and blood pressure to rule out occult/evolving cardiac disease contributing to reported exercise intolerance.  Abdominal imaging to screen for occult systemic disease may be contributory.  Consider respiratory PCR panel, fecal analysis/deworming and therapy for underlying lower airway disease in the interim.  Empirical therapy and supportive care in the interim as needed.  Monitoring as directed, or sooner if clinical signs acutely change, fail to improve or worsen.</t>
  </si>
  <si>
    <t xml:space="preserve">
1.A mild bronchial pattern and concurrent mild dynamic airway disease have been detected._x000D_
2.A minimal to mild perihilar infiltrate has been detected._x000D_
3.The cardiac silhouette size is normal.</t>
  </si>
  <si>
    <t>A two view study of the thorax is provided for interpretation._x000D_
_x000D_
A slight increase in bronchial markings is noted in the caudal lung fields. The appearance is within the limits of what might be seen as age related change and hypoinflation artifact. The heart is at the upper end of normal size range, with normal shape. Pulmonary vessels are normal. No tracheal abnormalities are identified. No pleural effusion is seen.</t>
  </si>
  <si>
    <t>Heart size is borderline at the upper end of normal range._x000D_
The pulmonary changes are minimal, and would be compatible with age related change although low-grade bronchitis cannot be entirely excluded. Clinical significance is probably limited in the absence of associated coughing or other respiratory signs.</t>
  </si>
  <si>
    <t>No findings that would explain the primary complaint of exercise intolerance are identified. Orthopedic pain should be ruled out._x000D_
Echocardiography and ECG could still be considered to identify possible pathology not apparent in the radiographs.</t>
  </si>
  <si>
    <t>Three radiographs of the thorax and three views of the abdomen are provided. The heart and pulmonary vessels are normal size. There are no abnormalities in the pulmonary parenchyma. No pleural effusion. The plane of the esophagus is unremarkable. Normal tracheal diameter and position._x000D_
_x000D_
In the abdomen serosal detail is adequate. The stomach contains small volume of fluid and gas. Small bowel are mild to moderately filled with fluid and small volume gas. The colon is minimally filled. No radiopaque foreign material. Normal size liver, spleen, kidneys. No radiopaque urolithiasis. The prostate is not definitively seen.</t>
  </si>
  <si>
    <t>Small intestinal functional ileus. This is a nonspecific finding that may be due to enteritis or partial obstruction. Stress/discomfort or metabolic abnormality are next on the differential list. There is no severe intestinal distention to suggest complete obstruction. The thorax is normal.</t>
  </si>
  <si>
    <t>Recommend supportive care. If the patient does not rapidly improve, abdominal ultrasound would be recommended.</t>
  </si>
  <si>
    <t>11 images of the thorax, thoracic limbs, pelvis, and pelvic limbs are provided for review.  The cardiovascular structures are normal.  Soft tissue mass is present in the caudal subsegment of the left cranial lung lobe.  A soft tissue nodule is seen superimposed over the distal portion of the fifth rib and the cardiac silhouette on the left lateral view.  There is the overall impression of numerous small nodules surrounding the right throughout the pulmonary parenchyma.  The mediastinal and pleural structures are normal.  Cranial abdominal detail is adequate.  The coxofemoral joints are congruent.  No stifle effusion is seen.  The joint surfaces are smooth and regular.  The left popliteal lymph node is slightly larger than the right.  Increased soft tissue surrounds the left tarsus.  No fractures or aggressive osseous lesions are seen.  The soft tissue mass is seen at the medial aspect of the left second digit.</t>
  </si>
  <si>
    <t>Pulmonary mass concerning for neoplasia.  Larger pulmonary nodules suggestive of metastasis.  Suspect additional miliary pulmonary pattern concerning for additional metastatic neoplasia.  Small left second digit mass without evidence of osseous involvement.  Left tarsal effusion=ZZ90= consider neoplasia or inflammatory/infectious change.  Aspirates of the masses and tarsus may be helpful.  In orthogonal views of the left tarsus may also be helpful.</t>
  </si>
  <si>
    <t xml:space="preserve">
1.A severe alveolar infiltrate or pulmonary mass has been identified._x000D_
2.A minimal interstitial pulmonary pattern with a concurrent, mild perihilar infiltrate have been detected._x000D_
3.The cardiac silhouette size is normal._x000D_
4.There is no evidence of DYNAMIC AIRWAY COLLAPSE or BRONCHIECTASIS.</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</si>
  <si>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There is a cranioventral right sided rounded to oval soft tissue mass._x000D_
Unremarkable visible abdomen.</t>
  </si>
  <si>
    <t>1) Unremarkable thorax without signs of pulmonary metastases nor signs of thoracic lymphadenopathy._x000D_
2) Cranioventral right sided rounded to oval soft tissue mass compatible with mammary neoplasia vs soft tissue sarcoma. A benign lesion is not excluded.</t>
  </si>
  <si>
    <t>New FNAs of the mass with abdominal US to rule out abdominal metastases.</t>
  </si>
  <si>
    <t xml:space="preserve">Patient Name : Franklin Lopes, Date of study: Jul 18, 2024
3 images are provided for review
Canine Thorax (3 Images) - 2 Lateral, 1 Vd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</si>
  <si>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Mild diffuse bronchial pulmonary pattern.
- Differential diagnoses include infectious/immune-mediated lower airway disease such as from mycoplasma spp., bordetella spp., parasitism, or inhaled allergen/irritant or unlikely other.
2. No current evidence of bronchopneumonia/aspiration pneumonia.</t>
  </si>
  <si>
    <t>Consider respiratory PCR panel, airway sampling, and fecal analysis/deworming for further evaluation.  Empirical therapy and supportive care in the interim as needed. Monitoring as directed or sooner if clinical signs acutely change, fail to improve or worsen.</t>
  </si>
  <si>
    <t xml:space="preserve">Patient Name : Roxy Ellis, Date of study: Jul 18, 2024
3 images are provided for review
Canine Thorax (3 Images) - 2 Lateral, 1 Vd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mild fluid or is empty in the left lateral image.  
Pleural space: The pleural space is normal.
Musculoskeletal: The included musculoskeletal structures are normal.
</t>
  </si>
  <si>
    <t xml:space="preserve">1. Mild diffuse bronchial pulmonary pattern.
- Differential diagnoses include infectious/immune-mediated lower airway disease such as from mycoplasma spp., bordetella spp., parasitism, or inhaled allergen/irritant, fibrosis from prior disease, age-related changes, or unlikely other.
2. There is no evidence of cardiomegaly on this examination, but this does not exclude occult/evolving cardiac injury or other.
3. No obvious pulmonary soft tissue nodules or intra-thoracic lymphadenomegaly are identified.  </t>
  </si>
  <si>
    <t>Consider respiratory PCR panel, airway sampling, and fecal analysis for further evaluation, as well as routine blood work if not recently performed.  Empirical therapy and supportive care in the interim as needed. Monitoring as directed or sooner if clinical signs acutely change, fail to improve or worsen.</t>
  </si>
  <si>
    <t xml:space="preserve">Patient Name : Tinkerbell Keysaer, Date of study: Jul 18, 2024
3 images are provided for review
There are no previous radiographs for comparison.
Pulmonary parenchyma: A mild to moderate diffuse bronchial pattern is present.  The lungs are hypoinflated in the lateral images.  The lobar bronchi are poorly identified and subjectively narrowed in a dorsoventral dimension in the lateral images.
Pulmonary vasculature: The pulmonary vasculature is subjectively normal in size and tapers in the periphery of the lungs.
Cardiac silhouette: The cardiac silhouette is moderately tall and occupies 2/3 the height of the thorax, with dorsal tracheal displacement.  The caudodorsal margin of the cardiac silhouette is flattened and enlarged.  Rounded increased soft tissue results in lateral displacement of the mainstem bronchi in the ventrodorsal image.  
Mediastinum: The cranial mediastinum is normal.
Trachea: The thoracic trachea  and carina are subjectively narrowed in a dorsoventral dimension.  A soft tissue band superimposes over the dorsal margin of the cervical trachea.  
Esophagus: The esophagus is not well-identified.
Pleural space: The pleural space is normal.
Musculoskeletal: The included musculoskeletal structures are normal.
</t>
  </si>
  <si>
    <t xml:space="preserve">1. Moderate left-sided cardiomegaly such as from myxomatous mitral valvular disease and insufficiency.
- There is no current evidence of left-sided congestive heart failure.  
2. Mild to moderate diffuse bronchial pulmonary pattern due to infectious/immune-mediated lower airway disease and/or fibrosis from prior disease, age-related changes, or unlikely other.
3. Suspected tracheal/carina and lobar bronchial narrowing due to dynamic airway disease/chondromalacia and redundant dorsal tracheal membrane.  </t>
  </si>
  <si>
    <t>Echocardiography, ECG and blood pressure for further evaluation.  Consider routine blood work and urinalysis to screen for occult systemic disease if not recently performed.   Respiratory PCR panel and airway sampling with/without bronchoscopy/tracheoscopy/fluoroscopy for further evaluation of underlying airway disease.   Empirical therapy and supportive care in the interim as needed.  Monitoring as directed, or sooner if clinical signs acutely change, fail to improve or worsen.</t>
  </si>
  <si>
    <t xml:space="preserve">
1.Severe cardiomegaly has been detected but Heart Failure is NOT suspected._x000D_
2.SEVERE BROCHIAL PATTERN; SEVERE DYNAMIC AIRWAY DISEASE; MODERATE INTERSTITIAL INFILTRATE with ATELECTASIS or less likely, PNEUMONIA._x000D_
3.Based on these AI airway/pulmonary findings, the probability of this patient having clinically detectable respiratory signs is VERY HIGH (&gt;75%)_x000D_
4.AI link to canine airway collapse treatment article: https://platform.v2.vetology.net/doc/canine-tracheal-collapse-treatment_x000D_
5.Are respiratory signs present? If NO._x000D_
6.Pleural fissure lines or moderate to severe pleural effusion has been detected. An overlying skin fold or in an obese animal, excessive pericardial fat could artifactually mimic the result of severe pleural effusion.</t>
  </si>
  <si>
    <t>5 images of the thorax and abdomen are provided for review.  The cardiovascular structures are normal.  There is a moderate bronchial pattern in all lung lobes.  The mediastinal and pleural structures are normal.  Abdominal serosal detail is adequate in all quadrants.  The stomach contains a small amount of gas and the rugal folds are prominent.  The small intestines are normal in size.  Gas and feces are present in the colon.  The urinary bladder is small.  The remaining abdominal organs are normal.  Hemivertebrae are present in the thoracic and caudal spine.</t>
  </si>
  <si>
    <t>Prominent rugal folds suggestive of gastritis.  This does not rule out underlying pancreatitis.  If clinical signs persist with supportive therapy, abdominal ultrasound could be considered in further evaluation.  Moderate bronchial pulmonary pattern=ZZ90= consider bronchitis, response to inhaled irritants, response to circulating parasites, eosinophilic bronchopneumopathy.  Airway sampling may be helpful in further evaluation.</t>
  </si>
  <si>
    <t xml:space="preserve">
1.MODERATE BRONCHOINTERSTITIAL PULMONARY PATTERN; MILD PERIHILAR INFILTRATE; MILD DYNAMIC AIRWAY DISEASE; ATELECTASIS or less likely, pneumonia._x000D_
2.Based on the AI airway/pulmonary findings, the probability of this patient having clinically detectable respiratory signs is MEDIUM to HIGH (50%-75%)_x000D_
3.Are respiratory signs present? If YES._x000D_
4.Are respiratory signs present? If NO._x000D_
5.The cardiac silhouette size is normal._x000D_
6.Pleural fissure lines or small volume pleural effusion has been detected. In a mildly overweight animal, excessive pericardial fat can artifactually mimic the result of minimal pleural effusion.</t>
  </si>
  <si>
    <t>3 views of the entire body are provided for review.  The cardiovascular structures are normal.  Patchy alveolar opacity is present in the right cranial, right middle, and left cranial lung lobes.  The mediastinal and pleural structures are normal.  Abdominal serosal detail is adequate for the age of the patient.  The stomach contains a moderate amount of gas and the rugal folds are prominent.  The small intestines are normal in size.  Gas is present in the colon.  The urinary bladder is small.  The remaining abdominal organs are normal.</t>
  </si>
  <si>
    <t>Prominent rugal folds suggestive of gastritis.  This does not rule out underlying dietary indiscretion, etc.  If clinical signs persist with supportive therapy, abdominal ultrasound could be considered in further evaluation.  Alveolar pulmonary pattern concerning for aspiration type pneumonia.  Airway sampling may be helpful in further evaluation.</t>
  </si>
  <si>
    <t xml:space="preserve">
1.Are respiratory signs present? If YES._x000D_
2.SEVERE PLEURAL EFFUSION; MODERATE TO SEVERE INTERSTITIAL to ALVEOLAR PATTERN; MILD BRONCHIAL PATTERN._x000D_
3.Based on the AI airway/pulmonary findings, the probability of this patient having clinically detectable respiratory signs is VERY HIGH (&gt;75%)_x000D_
4.Severe pleural effusion has been detected._x000D_
5.Are respiratory signs present? If NO._x000D_
6.The cardiac silhouette size is normal.</t>
  </si>
  <si>
    <t>3 views of the thorax are provided for review.  The trachea is dorsally deviated, indicating left ventricular enlargement.  A bulge is present in the region of the left atrium.  Increased bronchial markings are present in all lung lobes.  No perihilar pulmonary infiltrates are seen.  The pulmonary vasculature is normal in size.  The mediastinal and pleural structures are normal.  Cranial abdominal detail is adequate.</t>
  </si>
  <si>
    <t xml:space="preserve">
1.A moderate interstitial to alveolar pattern and moderate perihilar infiltrate have been detected._x000D_
2.A moderate interstitial to alveolar pattern has been detected._x000D_
3.SEVERE BRONCHIAL PATTERN; MODERATE DYNAMIC AIRWAY DISEASE._x000D_
4.Based on these AI airway/pulmonary findings, the probability of this patient having clinically detectable respiratory signs is VERY HIGH (&gt;75%)_x000D_
5.Are respiratory signs present? If YES._x000D_
6.Are respiratory signs present? If NO._x000D_
7.Severe bronchointerstitial pulmonary pattern present._x000D_
8.Pleural fissure lines or small volume pleural effusion has been detected. In a mildly to moderately overweight animal, excessive pericardial fat can artifactually mimic the result of mild pleural effusion._x000D_
9.Severe cardiomegaly has been detected but Heart Failure is NOT suspected.</t>
  </si>
  <si>
    <t>Eleven radiographs of the thorax and abdomen are provided. The cardiac silhouette and pulmonary vessels are normal size and shape. There are mild age-related changes throughout the lungs. No soft tissue pulmonary nodules or pleural effusion. Fat deposition separates the heart from the sternum on the lateral views. Adequate tracheal diameter._x000D_
_x000D_
In the abdomen the gastrointestinal tract is minimally distended. There is a round 10.0 cm soft tissue opacity in the mid abdomen. Equivocal scant mid peritoneal effusion. The gastrointestinal tract is minimally filled. Normal-sized liver, spleen, kidneys. No lumbar spinal abnormalities, and the coxofemoral joints are normal.</t>
  </si>
  <si>
    <t>Cranial abdominal mass. Neoplasia such as hemangiosarcoma originating from the spleen is of concern. Severe lymphadenopathy or intestinal mass are next on the differential list. There is scant effusion which may be inflammatory, neoplastic, or hemorrhagic. The coxofemoral joints and thorax are normal.</t>
  </si>
  <si>
    <t>Three orthogonal survey radiographs of the thorax and abdomen dated 18th July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hepatic silhouette is mildly enlarged with smooth borders. The spleen is normal in shape, size and position. The kidneys are partially obscured by gastrointestinal contents, but the visible aspect are normal. The stomach is mainly empty, with a normal axis. The small intestines are distributed evenly and are within normal limits for shape, size and contents. The ascending, transverse and descending colon have a normal position and contain gradually more formed faeces. The urinary bladder is filled. The serosal detail is normal._x000D_
_x000D_
Musculoskeletal findings: The patient is overweight. A small ventral thoracic mass is present.</t>
  </si>
  <si>
    <t>The hepatomegaly is most likely due to vacuolar hepatopathy, or underlying endocrine disease. No imaging findings can explain the seizures reported._x000D_
The small ventral thoracic mass is most likely a lipoma, however a soft issue neoplasm is possible.</t>
  </si>
  <si>
    <t>Full neurologic examination is advised if not already performed._x000D_
Consider FNA of the mass.</t>
  </si>
  <si>
    <t xml:space="preserve">
1.A minimal to mild perihilar infiltrate has been detected._x000D_
2.There is no evidence of ALVEOLAR PATTERN, PULMONARY NODULES or PLEURAL EFFUSION._x000D_
3.A mild bronchial pattern and concurrent mild dynamic airway disease have been detected._x000D_
4.Mild cardiomegaly has been detected but Heart Failure is NOT suspected.</t>
  </si>
  <si>
    <t>FORELIMBS (5 radiographs for review). No previous for comparison._x000D_
_x000D_
- Mild bilateral osteophyte formation along the caudal margin of the glenohumeral joints._x000D_
- The right brachium is normal._x000D_
- Mild bilateral periarticular osteophyte formation along the cubital joints._x000D_
- The right antebrachial region is normal._x000D_
- Mild bilateral carpal joint periarticular osteophyte formation._x000D_
- Mild bilateral carpal valgus angular limb deformity._x000D_
- The right metacarpal region is normal._x000D_
- Right distal limb region normal._x000D_
- Cervical, cervicothoracic, thoracic vertebral column normal._x000D_
- The thorax (limited assessment) and cranial abdomen are within normal,</t>
  </si>
  <si>
    <t>1. Mild bilateral cubital osteoarthritis._x000D_
_x000D_
2. Mild bilateral shoulder osteoarthritis._x000D_
_x000D_
3. Mild bilateral carpal osteoarthritis._x000D_
_x000D_
4. Bilateral carpal valgus deformity can be partly positional due to radiographic technique. The clinical relevance of this is uncertain.</t>
  </si>
  <si>
    <t>If clinically indicated, consultation with an orthopedic specialist may be considered.</t>
  </si>
  <si>
    <t xml:space="preserve">Patient Name : Ted Collins, Date of study: Jul 17, 2024
5 images are provided for review
There are no previous radiographs for comparison.
Bones/Joints:  The T11-12 intervertebral disc space is subjectively narrow in one of the lateral images.  
 In situ intervertebral disc mineral is at L1-2 and L2-3. 
There is no evidence of mineral over the intervertebral foramina.  There is no evidence of intervertebral dorsal articulation osteoarthrosis.
There is no evidence of medullary sclerosis, osteolysis, endosteal scalloping, or periosteal proliferation.  The included portion of the coxofemoral joints are normal.  
Soft tissues:  The included soft tissues are normal.
</t>
  </si>
  <si>
    <t xml:space="preserve">1. T11-12 intervertebral disc space narrowing/disc disease is suspected.  
2. L1-2 and L2-3 in situ intervertebral disc mineral without obvious disc space narrowing.
3. Normal coxofemoral joints.  </t>
  </si>
  <si>
    <t xml:space="preserve">Consider neurologist consultation and MRI for further evaluation if clinical signs fail to improve with empirical therapy.  Routine blood work and thoracic imaging prior to referral.  </t>
  </si>
  <si>
    <t>Three radiographs of the thorax, and three views of the abdomen are provided. The cardiac silhouette and pulmonary vessels are normal size and shape. There are numerous (too many to count) well-defined variably sized round soft tissue opaque nodules throughout the lungs. These measure up to 2.9 cm, and all lung lobes are affected. There is no pleural effusion. Adequate tracheal diameter. No rib lesions._x000D_
_x000D_
In the abdomen there is mild peritoneal effusion. Small-volume formed feces in the distal colon. The stomach and small bowel are minimally filled. Normal-sized liver, spleen, kidneys. There are two ovoid soft tissue contours in the caudoventral abdomen, measuring 7.4 x 4.2 cm, and 3.2 x 5.8 cm. It is unknown which of these is the urinary bladder. No medial iliac lymphadenomegaly. Mild osteoarthritis in both coxofemoral joints.</t>
  </si>
  <si>
    <t>1. Caudoventral abdominal mass. Neoplasia such as originating from the uterine stump is most likely. Mild peritoneal effusion is likely also associated with neoplasia._x000D_
2. Diffuse, severe pulmonary metastatic disease.</t>
  </si>
  <si>
    <t xml:space="preserve">
1.PULMONARY NODULES or NODULAR PATTERN; MODERATE TO SEVERE INTERSTITIAL TO ALVEOLAR PATTERN; PLEURAL EFFUSION; MILD BRONCHITIS; MILD PERIHILAR INFILTRATE._x000D_
2.Based on the AI airway/pulmonary findings, the probability of this patient having clinically detectable respiratory signs is VERY HIGH (&gt;75%)_x000D_
3.Are respiratory signs present? If YES._x000D_
4.The evaluation has a strong suspicion of soft tissue pulmonary nodules or mass lesion being present._x000D_
5.The cardiac silhouette size is normal._x000D_
6.Are respiratory signs present? If NO.</t>
  </si>
  <si>
    <t>Orthogonal radiographs of the thorax/abdomen are provided. The cardiac silhouette and pulmonary vessels are normal size and shape. There are several incidental pulmonary osteomas system with the patient=ZZ91=s age. No soft tissue pulmonary nodules or pleural effusion. Normal cranial mediastinal width and tracheal diameter. In the abdomen, the gastrointestinal tract is mildly filled. No radiopaque urolithiasis. Normal-sized liver and spleen. The left kidney is reduced in size with smoothly irregular margins. The right kidney is obscured. Narrowed T11-12 intervertebral disc space, of doubtful clinical significance today.</t>
  </si>
  <si>
    <t>Smoothly irregular left kidney with reduced renal size, most consistent with chronic renal disease. Otherwise normal abdomen and thorax.</t>
  </si>
  <si>
    <t>4 images of the entire body and cervical spine are are presented for review.  The trachea is narrowed in the cervical region on the left lateral 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small.  The remaining abdominal organs are normal.  There is consistent narrowing of the intervertebral disc spaces at C4-6.  No fractures or aggressive osseous lesions are seen.  The dorsal atlantoaxial space is mildly widened with flexion.</t>
  </si>
  <si>
    <t>Radiographically normal abdomen.  Radiographically normal thorax for patient of this age.  Cervical tracheal narrowing may indicate dynamic tracheal collapse.  Narrowed intervertebral disc spaces suggestive of intervertebral disc herniations.  Mild change in the atlantoaxial space with flexion may indicate underlying instability.</t>
  </si>
  <si>
    <t>CT myelography or MRI may be helpful.</t>
  </si>
  <si>
    <t>Six orthogonal survey radiographs of the thorax and abdomen dated 18th July 2024 are available for review. There are no previous radiographs available for comparison. _x000D_
_x000D_
Thorax: _x000D_
Airway findings: A smoothly marginated soft tissue opacity is variably present overlying the dorsal aspect of the trachea at the thoracic inlet. This opacity reduces approximately 20% of the dorsoventral diameter of the trachea. The intrathoracic trachea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mild gas in the granular oesophagus._x000D_
_x000D_
Abdomen: The head of the spleen is poorly visible. The tail of the spleen is prominent. A slight mass effect is present in the central abdomen, with mild loss of serosal detail. The hepatic silhouette is normal in size with smooth borders. The kidneys are partially obscured by gastrointestinal contents, but the visible aspect are normal. The stomach is mainly empty, with a normal axis. The small intestines are distributed evenly and are within normal limits for shape, size and contents. The ascending, transverse and descending colon have a normal position and contain gradually more formed faeces. The urinary bladder is filled. The serosal detail is normal._x000D_
_x000D_
Musculoskeletal findings: No significant abnormalities are detected.</t>
  </si>
  <si>
    <t>1. Suspect splenic mass. Differentials include haematoma, haemangioma, hemangiosarcoma, metastatic neoplasia. Artefact due to additional crowding is considered less likely._x000D_
2.The dorsal attenuation of the trachea is consistent with redundant trachealis membrane or overlying musculature._x000D_
3. Negative metastasis check.</t>
  </si>
  <si>
    <t>A complete abdominal ultrasonographic examination is advised, with a view to FNA of abnormal organs, after complete blood work, and a normal coagulation panel.</t>
  </si>
  <si>
    <t>Three radiographs of the thorax, VD pelvis, and three lateral stifle views are provided. There is equivocal prominence of the left atrium versus summating ribs and pulmonary vessels on the lateral views. Prominence of the cranial right heart on the VD projection is due to mild rotation. Pulmonary vessels are normal size. Mild bronchial pattern is present throughout the lungs. No pleural effusion. Adequate tracheal diameter. Small round soft tissue densities adjacent to the heart represent end-on pulmonary vessels. There is a smoothly marginated rectangular 1.1 by 2.2 cm mineral density in the stomach, likely incidental. The coxofemoral joints are congruent. Pelvic limb musculature is symmetric. Patella location is normal. There is scant fluid in the cranial aspect of both stifle joints. No stifle degenerative change. No soft tissue swelling. The viewable tarsi are unremarkable.</t>
  </si>
  <si>
    <t>1. Equivocal prominent left atrium suggestive of mitral valve regurgitation. This is likely incidental._x000D_
2. Faint bronchial markings may be normal aging change versus chronic airway inflammation. In the absence of a cough, significance is doubtful._x000D_
3. Bilateral scant stifle effusion, likely partial cranial cruciate ligament tear. This is the most likely cause for lameness. The coxofemoral joints are normal.</t>
  </si>
  <si>
    <t>Recommend anti-inflammatories. If lameness progresses and the patient develops palpable stifle instability, surgical stabilization would be recommended.</t>
  </si>
  <si>
    <t xml:space="preserve">
1.MINIMAL to MILD DIFFUSE, MIXED BRONCHOINTERSTITIAL PULMONARY PATTERN with ATELECTASIS or less likely, pneumonia._x000D_
2.Probability these AI pulmonary findings will accompany clinically detectable respiratory signs: LOW (25%)_x000D_
3.Are respiratory signs present? If YES._x000D_
4.Are respiratory signs present? If NO._x000D_
5.The cardiac silhouette size is normal._x000D_
6.There is no evidence of PULMONARY NODULES.</t>
  </si>
  <si>
    <t>6 views of the thorax and abdomen are submitted for review.  The study is compared to a previous study May July 9, 2024.  The stomach contains a minimal amount of gas.  The small bowel remains normal and uniform in diameter and contains a mild amount of amorphous soft tissue and mineral opacity ingesta.  No dilated or plicated loops of intestine are seen.  A mild amount of gas and stool is noted in the colon.  The liver and spleen are normal in size, shape, and margination.  The bilateral renal silhouettes are within normal limits.  The urinary bladder is unremarkable.  Serosal detail is normal._x000D_
In the thorax, a ventrally distributed alveolar pattern with air bronchogram formation is noted in the right middle lung lobe.  The remainder of the lung fields appear subjectively normal.  The cardiovascular structures are within normal limits.  No pleural or mediastinal abnormalities are noted.</t>
  </si>
  <si>
    <t>The abdomen remains within normal limits with no evidence of mechanical obstruction of the small bowel.  The ingestant within the small bowel is nondescript but could be consistent with dietary indiscretion._x000D_
The changes in the lung fields compared to the previous study are consistent with bacterial bronchopneumonia, likely secondary to aspiration.  This was not seen previously.</t>
  </si>
  <si>
    <t>Broad-spectrum antibiotic therapy appears indicated. Symptomatic/supportive medical management for acute abdomen also appears appropriate.  If clinical signs persist, an abdominal ultrasound would be indicated.</t>
  </si>
  <si>
    <t>Three radiographs of the thorax are provided. The cardiac silhouette is normal size and shape on the lateral views. The heart appears larger on the VD projection due to conformation. Pulmonary vessels are normal size. There is a mild bronchointerstitial pattern and several pulmonary osteomas in the lungs. No soft tissue pulmonary nodules or pleural effusion. Adequate tracheal diameter.</t>
  </si>
  <si>
    <t>Mild bronchointerstitial pattern may represent normal age change versus chronic airway inflammation such as allergic bronchitis. No other abnormalities are identified to explain the respiratory signs. The thorax is otherwise normal.</t>
  </si>
  <si>
    <t>This patient may benefit from symptomatic treatment for the cough. With the thrombocytopenia, abdominal ultrasound should be considered.</t>
  </si>
  <si>
    <t xml:space="preserve">
1.The evaluation result has a strong suspicion of soft tissue pulmonary nodules being present._x000D_
2.Are respiratory signs present? If YES._x000D_
3.Are respiratory signs present? If NO._x000D_
4.MILD BRONCHOINTERSTITIAL PULMONARY PATTERN; MINIMAL DYNAMIC AIRWAY DISEASE; ATELECTASIS or less likely, pneumonia._x000D_
5.Based on these AI airway/pulmonary findings, the probability of this patient having clinically detectable respiratory signs is MEDIUM (50%)_x000D_
6.Are respiratory signs present? If YES._x000D_
7.Are respiratory signs present? If NO._x000D_
8.The cardiac silhouette size is normal._x000D_
9.PULMONARY NODULAR PATTERN likely due to END ON PULMONARY VESSELS, PULMONARY OSTEOMAS or COSTOCHONDRAL JUNCTIONS; MILD INTERSTITIAL TO ALVEOLAR PATTERN; MILD BRONCHITIS._x000D_
10.Based on the AI airway/pulmonary findings, the probability of this patient having clinically detectable respiratory signs is LOW to MEDIUM (25-50%)</t>
  </si>
  <si>
    <t>Three orthogonal thoracic radiographs dated 18th July 2024 are available for review. There are no previous radiographs available for comparison. _x000D_
_x000D_
Airway findings: The cervical and thoracic trachea have a normal size, outline and position. The carina, tracheal bifurcation and mainstem bronchi are normal. The previous described focal alveolar pottering on the left cranial lung lobe is no longer present. The bronchial pattern previous described this comparable or mildly improved._x000D_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increased ventral pleural fat._x000D_
_x000D_
Musculoskeletal findings: Congenital vertebral abnormalities as previously are present._x000D_
_x000D_
Included abdomen: No significant abnormalities are detected.</t>
  </si>
  <si>
    <t>1. Resolution of alveolar pattern are indicative of resolution of aspiration or lobar bronchopneumonia._x000D_
2. Residual bronchial pattern, consistent with normal ageing/fibrosis from previous disease. Allergic bronchitis, chronic bacterial /viral bronchitis +/- parasitic bronchitis should also be considered. Less likely are hyperardenocorticism, neoplasia (such a lymphoma) or idiopathic pulmonary fibrosis.</t>
  </si>
  <si>
    <t>Discontinuation of antibiotic therapy needs to be based on clinical signs, laboratory pathology, and imaging findings. The imaging findings may lag the clinical improvement.</t>
  </si>
  <si>
    <t xml:space="preserve">
1.In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2.In the PRESENCE of respiratory signs, low grade active pneumonitis (allergic, bacterial, parasitic (including heartworm disease), inhaled allergen or toxin) or upper airway disease causing pulmonary hypoinflation and/or recurrent microaspiration may be more likely._x000D_
3.The cardiac silhouette size is normal._x000D_
4.There is no evidence of DYNAMIC AIRWAY COLLAPSE or BRONCHIECTASIS, PULMONARY NODULES or PLEURAL EFFUSION._x000D_
5.MILD BRONCHOINTERSTITIAL PULMONARY PATTERN; MINIMAL PERIHILAR PATTERN._x000D_
6.Based on the AI airway/pulmonary findings, the probability of this patient having clinically detectable respiratory signs is LOW (25%)</t>
  </si>
  <si>
    <t>Three radiographs of the thorax/abdomen are provided. The cardiac silhouette is normal size with no chamber enlargement. Fat deposition seen on the left side of the heart on the VD projection. Pulmonary vessels are normal size. There is a mild bronchial pattern in the lungs. No pleural effusion. Redundant dorsal trachealis membrane causes moderate narrowed cervical trachea. In the abdomen serosal detail is adequate. There is no organomegaly. The gastrointestinal tract is mildly filled. Narrowed T12-13 and L4-5 intervertebral disc spaces, of doubtful clinical significance today.</t>
  </si>
  <si>
    <t>1. Probable dynamic cervical tracheal collapse, the most likely cause for coughing._x000D_
2. Mild bronchial pattern may be normal age change versus allergic bronchitis, which could be contributing to the cough._x000D_
3. Normal abdomen.</t>
  </si>
  <si>
    <t>Recommend utilization of a body harness in place of a neck lead, and symptomatic treatment for the cough.</t>
  </si>
  <si>
    <t>Five radiographs of the thorax/abdomen are provided. There is moderate to severe cardiomegaly, predominantly left-sided. Pulmonary vessels are normal size. There is no loss of perihilar vessel visibility. The caudal thoracic trachea and mainstem bronchi are dorsally deviated. The mainstem bronchi are compressed. Possible redundant dorsal trachealis membrane at the thoracic inlet on the left lateral view. No pleural effusion. In the abdomen the liver is upper normal size. Normal sized spleen and kidneys. No gastrointestinal abnormalities. There is faint punctate mineral density overlying the urinary bladder, however appears to be an artifact. No osseous abnormalities.</t>
  </si>
  <si>
    <t>1. Moderate to severe cardiomegaly, predominantly left-sided. This is consistent with acquired mitral and tricuspid valve disease. There is no pulmonary venous congestion or heart failure, however there is mainstem bronchial compression which is the most likely cause for coughing._x000D_
2. Possible dynamic tracheal collapse, could be contributing to the cough._x000D_
3. Normal thorax.</t>
  </si>
  <si>
    <t>Consider utilization of a body harness in place of a neck lead. If the patient develops increased respiratory rate/effort or exercise intolerance, recommend repeat imaging to rule out development of heart failure.</t>
  </si>
  <si>
    <t xml:space="preserve">
1.Are respiratory signs present? If NO._x000D_
2.Are respiratory signs present? If YES._x000D_
3.AI linked bacterial pneumonia treatment in dogs: https://platform.v2.vetology.net/doc/pneumonia-in-dogs-and-cats_x000D_
4.SEVERE DYNAMIC AIRWAY DISEASE; MODERATE BRONCHOINTERSTITIAL PULMONARY PATTERN; MODERATE ALVEOLAR INFILTRATE or ATELECTASIS._x000D_
5.MODERATE INTERSTITIAL TO ALVEOLAR INFILTRATE; CONCURRENT MODERATE BRONCHIAL PATTERN; MILD PERIHILAR INFILTRATE._x000D_
6.Based on these AI airway/pulmonary findings, the probability of this patient having clinically detectable respiratory signs is HIGH (75%)_x000D_
7.Based on the AI airway/pulmonary findings, the probability of this patient having clinically detectable respiratorysigns is HIGH (75%)_x000D_
8.Are respiratory signs present? If YES._x000D_
9.Are respiratory signs present? If NO._x000D_
10.Pleural fissure lines or moderate to severe pleural effusion has been detected. An overlying skin fold or in an obese animal, excessive pericardial fat could artifactually mimic the result of severe pleural effusion._x000D_
11.Severe cardiomegaly has been detected but Heart Failure is NOT suspected.</t>
  </si>
  <si>
    <t>Orthogonal views of the thorax and abdomen are provided:_x000D_
_x000D_
Thorax:_x000D_
_x000D_
Cardiac silhouette shows a mild enlargement of the left atrium dorsally displacing the carina._x000D_
Pulmonary vessels are within normal limits of size and shape._x000D_
Pulmonary parenchyma is within normal limits. _x000D_
Pleural space, mediastinum, diaphragm and thoracic wall within normal limits._x000D_
_x000D_
Abdomen:_x000D_
_x000D_
The stomach is filled with food._x000D_
Small intestines are mildly gas and fluid filled, not overtly distended. _x000D_
Serosal detail is preserved._x000D_
Liver and spleen are within normal limits of size and smoothly marginated._x000D_
Kidneys and urinary bladder WNL._x000D_
The prostate gland is enlarged protruding in the caudal abdomen pushing the bladder cranially._x000D_
_x000D_
Visible spine is unremarkable without signs of disc herniation, aggressive bone lesions, vertebral fractures or subluxations.</t>
  </si>
  <si>
    <t>1) Left atrial enlargement secondary to chronic mitral endocardiosis without signs of CHF._x000D_
2) Prostatomegaly compatible with BPH. Prostatitis less likely. Prostatic neoplasia unlikely.</t>
  </si>
  <si>
    <t>Consider a cardiology consultation with ECG and echocardiogram and abdominal US to further evaluate the urinary tract with renal function test, urinalysis, UPC and urine culture._x000D_
Given the history consider a neuro exam with MRI if necessary</t>
  </si>
  <si>
    <t xml:space="preserve">Patient Name : Sweetheart Hennessee, Date of study: Jul 17, 2024
3 images are provided for review
Canine Thorax (3 Images) - 2 Lateral, 1 Vd
There are no previous radiographs for comparison.
Pulmonary parenchyma: A  mild diffuse bronchial pattern is present.  The lungs are hypoinflated.  
Pulmonary vasculature: The pulmonary vasculature is subjectively normal in size and tapers in the periphery of the lungs.
Cardiac silhouette: The cardiac silhouette tall and occupies over 2/3 the height of the thorac, with dorsal tracheal displacement.  The caudodorsal margin of the cardiac silhouette is flattened.   Slight rounded soft tissue and lateral displacement of mainstem bronchi is suspected in the ventrodorsal image.  
Mediastinum: The cranial mediastinum symmetrically widened with well-defined margins and no obvious increased soft tissue.  
Trachea: The trachea is normal.
Esophagus: The esophagus contains minimal gas or is empty.  
Pleural space: The pleural space is normal.
Musculoskeletal: The included musculoskeletal structures are normal.
</t>
  </si>
  <si>
    <t xml:space="preserve">1. Moderate left-sided cardiomegaly such as from myxomatous mitral valvular disease and insufficiency.
- There is no current evidence of left-sided congestive heart failure.
2. Mild diffuse bronchial pulmonary pattern due to infectious/immune-mediated lower airway disease, fibrosis from prior disease, age-related changes, or less likely other.
3. This examination does not rule out occult dynamic airway disease contributing to reported clinical signs.  </t>
  </si>
  <si>
    <t>Echocardiography, blood pressure and ECG for further evaluation of the heart.  Routine blood work and urinalysis, as well as abdominal imaging and phenobarbital level testing, if not recently performed.  Consider respiratory PCR panel, bronchoscopy/tracheoscopy and/or airway sampling for further evaluation of lower airway disease if clinically indicated.  Empirical therapy and supportive care in the interim as needed.  Monitoring as directed or sooner if clinical signs acutely change, fail to improve or worsen.</t>
  </si>
  <si>
    <t xml:space="preserve">
1.Severe cardiomegaly has been detected but Heart Failure is NOT suspected._x000D_
2.SEVERE DYNAMIC AIRWAY DISEASE; MILD BRONCHITIS; MINIMAL INTERSTITIAL PATTERN WITH ATELECTASIS or less likely, PNEUMONIA._x000D_
3.Based on the AI airway/pulmonary findings, the probability of this patient having clinically detectable respiratory signs is MEDIUM to HIGH (50-75%)._x000D_
4.Are respiratory signs present? If YES._x000D_
5.AI linked collapsing airway disease treatment in dogs: https://platform.v2.vetology.net/doc/canine-tracheal-collapse-treatment_x000D_
6.Are respiratory signs present? If NO.</t>
  </si>
  <si>
    <t>Three orthogonal survey radiographs of the thorax and abdomen dated 17th July 2024 are available for review. There are no previous radiographs available for comparison. _x000D_
_x000D_
Thorax: _x000D_
Airway findings: The cervical and thoracic trachea have a normal size, outline and position. The carina, tracheal bifurcation and mainstem bronchi are normal. Throughout the lung parenchyma there are numerous small and large smoothly marginated nodules and masses. A mild bronchial pattern is present at the remainder of the lung parenchyma._x000D_
_x000D_
Cardiovascular findings: There is partial border effacement of the cardiac silhouette. The visible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hepatic silhouette is enlarged with irregular borders. This causes caudal displacement of all abdominal organs. The stomach contains some food material. The small intestines are variably filled, and caudally displaced with a stacked appearance. The descending colon contains formed faeces. The urinary bladder is not visible. The kidneys are poorly visible. The spleen is poorly visible._x000D_
_x000D_
Musculoskeletal findings: No significant abnormalities are detected.</t>
  </si>
  <si>
    <t>1. Numerous pulmonary masses are consistent with metastatic neoplasia, less likely primary neoplasia. Multiple granulomata or cysts is considered highly unlikely._x000D_
2. The severe hepatomegaly is most consistent with primary or metastatic neoplasia (adenocarcinoma).</t>
  </si>
  <si>
    <t>Complete bloodwork, thoracic CT or ultrasound with aspirates if a peripheral lesion identified, and abdominal ultrasound with FNA are recommended for further staging. Alternatively, palliative therapy may be considered.</t>
  </si>
  <si>
    <t xml:space="preserve">
1.SEVERE INTERSTITIAL TO ALVEOLAR PATTERN; SEVERE BRONCHIAL PATTERN; MILD DYNAMIC AIRWAY DISEASE._x000D_
2.A moderate perihilar infitlrate has been detected._x000D_
3.The evaluation has a strong suspicion of pulmonary nodules or mass lesion being present._x000D_
4.Based on these AI airway/pulmonary findings, the probability of this patient having clinically detectable respiratory signs is VERY HIGH (&gt;75%)_x000D_
5.Are respiratory signs present? If YES._x000D_
6.Pleural fissure lines or moderate to severe pleural effusion has been detected. An overlying skin fold or in an obese animal, excessive pericardial fat could artifactually mimic the result of severe pleural effusion._x000D_
7.Mild cardiomegaly has been detected but Heart Failure is NOT suspected._x000D_
8.Are respiratory signs present? If NO.</t>
  </si>
  <si>
    <t>A three view study of the thorax and orthogonal views of the left stifle are provided._x000D_
_x000D_
There is an area of mildly defined lucency involving the caudal half of the distal femoral diaphysis. This is most prominent in the lateral view._x000D_
_x000D_
There are many well defined soft tissue nodules distributed throughout the lung fields, varying in size from 2 to 12 mm. The heart is at the upper end of normal size range. No thoracic lymphadenopathy or pleural effusion is seen._x000D_
_x000D_
In the left lateral thorax view, the cranial half of the body of the spleen can be seen, and there is abnormal margination and thickening of the spleen that is highly suspicious for neoplastic infiltration.</t>
  </si>
  <si>
    <t>The pulmonary changes are typical of metastatic neoplasia in the lungs._x000D_
The previously suspected destructive lesion involving the distal femur is confirmed._x000D_
Infiltrated changes are suspected involving the spleen._x000D_
_x000D_
Primary splenic neoplasia with metastasis to the lungs and left femur is suspected. A primary bone tumor involving the femur with pulmonary metastasis and unrelated mass effect involving the spleen should also be considered.</t>
  </si>
  <si>
    <t>These findings are consistent with metastatic neoplasia. Primary tissue of origin cannot be definitively determined but is suspected to be spleen. Abdomen ultrasound or CT could be used for more complete evaluation.</t>
  </si>
  <si>
    <t xml:space="preserve">
1.Pleural fissure lines or small volume pleural effusion has been detected. In a mildly overweight animal, excessive pericardial fat can artifactually mimic the result of minimal pleural effusion._x000D_
2.Mild cardiomegaly has been detected but Heart Failure is NOT suspected._x000D_
3.MODERATE INTERSTITIAL TO ALVEOLAR INFILTRATE; CONCURRENT MODERATE BRONCHIAL PATTERN; MILD PERIHILAR INFILTRATE._x000D_
4.MODERATE BRONCHOINTERSTITIAL PULMONARY PATTERN; ALVEOLAR INFILTRATE or ATELECTASIS; DYNAMIC AIRWAY DISEASE._x000D_
5.Based on the AI airway/pulmonary findings, the probability of this patient having clinically detectable respiratorysigns is MEDIUM to HIGH (50-75%)_x000D_
6.Based on these AI airway/pulmonary findings, the probability of this patient having clinically detectable respiratory signs is HIGH (75%)_x000D_
7.Are respiratory signs present? If YES._x000D_
8.Are respiratory signs present? If YES._x000D_
9.Are respiratory signs present? If NO._x000D_
10.AI linked bacterial pneumonia treatment in dogs: https://platform.v2.vetology.net/doc/pneumonia-in-dogs-and-cats_x000D_
11.Are respiratory signs present? If NO._x000D_
12.The evaluation has a strong suspicion of pulmonary nodules or mass lesion being present.</t>
  </si>
  <si>
    <t>1) Unremarkable lungs do not exclude a bronchitis of parasitic vs allergic origin.</t>
  </si>
  <si>
    <t>Consider empirical treatment for parasitic and allergic bronchitis evaluating response to treatment. If clinical signs persist, consider a bronchoscopy with BAL, culture, cytology, Baermann test and deworming.</t>
  </si>
  <si>
    <t>Two orthogonal thoracic radiographs dated 17th July 2024 are available for review. There are no previous radiographs available for comparison. _x000D_
_x000D_
Airway findings: The thoracic trachea is elevated. There is diffuse reduction of pulmonary lobar volume, and rounding of the peripheral lung lobes. The aerated lung lobes have moderate increased bronchointerstitial opacification. Poorly marginated nodular opacities are visible in the ventral aspect of the lung lobes._x000D_
_x000D_
Cardiovascular findings:There is complete border effacement of the cardiac silhouette. The pulmonary vasculature is not visible. The mainstem vessels are not visible._x000D_
_x000D_
Mediastinum and pleural space: There is soft tissue attenuation ventrally peripherally indicative of pleural effusion._x000D_
_x000D_
Musculoskeletal findings: No significant abnormalities are detected._x000D_
_x000D_
Included abdomen: No significant abnormalities are detected.</t>
  </si>
  <si>
    <t>1. Pleural effusion with pulmonary bronchointerstitial opacification: Severe lower airway infectious-inflammatory disease is most likely. Consider viral-bacterial bronchopneumonia, parasitic bronchitis, or fungal pneumonia. The nodular opacities may be granulomata, however neoplasia is possible. The pleural effusion is most likely an inflammatory transudate._x000D_
Considering the cardiac silhouette is not visible, cardiac insufficiency is possible. In that case the effusion may be secondary to cardiac insufficiency and the opacification of the pulmonary parenchyma due to reduction of volume._x000D_
If the nodular lesions are indeed neoplastic, the effusion may be a paraneoplastic transudate.</t>
  </si>
  <si>
    <t>A diagnostic and therapeutic thoracic ultrasound with thoracocentesis of free fluid, and FNA of any mass lesions visible peripherally is advised. Empiric management in the meantime. Respiratory workup including CBC, serum chemistry, urinalysis, Baermann faecal testing, 4DX, +/- respiratory panel or fungal testing as indicated is advised.  Depending on clinical condition and blood work, echocardiography and/or thoracic CT may be considered.</t>
  </si>
  <si>
    <t>RADIOLOGY REPORT_x000D_
Study: VD and Le lateral views of the abdomen, 3 images dated 7/17/2024._x000D_
_x000D_
Imaging findings:_x000D_
- Stomach: WNL, normal opacity, size, and location_x000D_
- Small intestine: WNL, normal opacity, size, and location_x000D_
- Large intestine: WNL, normal opacity, size, and location_x000D_
- Peritoneal and retroperitoneal serosal detail: WNL_x000D_
- Liver and spleen: WNL_x000D_
- Left and right kidneys and the urinary bladder: WNL, normal opacity, size, and location_x000D_
- Caudal thoracic organs: WNL_x000D_
- Skeletal structures included in the views: left and right coxofemoral joints have mild periarticular osteophytes, incidental degenerative joint disease.  L1-L2 intervertebral disc space is mildly narrowed.  Remainder of the thoracic and lumbar vertebrae are normal._x000D_
_x000D_
WNL= within normal limits</t>
  </si>
  <si>
    <t>1.  L1-L2 intervertebral disc degeneration._x000D_
2.  Mild bilateral coxofemoral degenerative joint disease._x000D_
3.  Normal abdomen.</t>
  </si>
  <si>
    <t>The reported back pain could be secondary to cranial lumbar IVD degeneration.  The remainder of the thoracic and lumbar vertebrae are normal and there are no findings of fracture, luxation, discospondylitis, or aggressive bone lesions present.  The abdomen is normal._x000D_
_x000D_
If the patient has persistent or worsening back pain or clinical features of myelopathy (conscious proprioceptive and/or motor deficits), consider emergency referral and consultation with a veterinary neurologist and possible MR imaging of the spine.</t>
  </si>
  <si>
    <t>Four orthogonal thoracic radiographs dated 17th July 2024 are available for review. There are no previous radiographs available for comparison. _x000D_
_x000D_
Thorax:_x000D_
Airway findings: The trachea is elevated within the thorax. There is widening of the tracheal bifurcation. Throughout the lung parenchyma there is a moderate interstitial opacification, most prominent in the perihilar region.  No nodules or masses are seen._x000D_
_x000D_
Cardiovascular findings: There is a small smoothly marginated soft tissue opacity contiguous with the caudal dorsal border of the cardiac silhouette. A smoothly marginated soft tissue opacity is superimposed on the caudal cardiac silhouette in the dorsoventral image. There is mild increased cardiac sternal contact. The overall cardiac silhouette is enlarged.  The cardiac silhouette occupies over 70% of the width of the thoracic volume. The cranial and caudal pulmonary vasculature are within normal limits. The caudal vena cava is enlarged._x000D_
_x000D_
Mediastinum and pleural space: No significant abnormalities are detected._x000D_
Musculoskeletal findings: No significant abnormalities are detected._x000D_
_x000D_
Included abdomen: No significant abnormalities are detected.</t>
  </si>
  <si>
    <t>1. Mainly left-sided cardiomegaly and cardiogenic pulmonary edema consistent with left sided congestive heart failure. Ddx: myxomatous degeneration of the mitral and tricuspid valves with post-capillary pulmonary hypertension vs systolic dysfunction (DCM). A congenital cardiac abnormality is unlikely, but cannot be excluded._x000D_
2. The bronchointerstitial opacification is most likely due to cardiogenic pulmonary oedema. Lower airway infectious/inflammatory disease is less likely. Heart worm is unlikely but cannot be excluded.</t>
  </si>
  <si>
    <t>Complete bloodwork if not already performed. Management for left sided congestive heart failure including diuretic therapy with oxygen support as needed. ECG and systemic blood pressure monitoring. Recommend repeat thoracic radiographs after 24-48 hours of therapy, sooner if clinically indicated. Continued monitoring of renal values and urinalysis._x000D_
Once stabilized, an echocardiogram is recommended</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</si>
  <si>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3.Are respiratory signs present? If YES._x000D_
4.AI linked pneumonia in dogs article: https://platform.v2.vetology.net/doc/pneumonia-in-dogs-and-cats_x000D_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suspected._x000D_
7.A mild perihilar infiltrate has been detected._x000D_
8.Are respiratory signs present? If NO._x000D_
9.The evaluation has a strong suspicion of pulmonary nodules or mass lesion being present.</t>
  </si>
  <si>
    <t xml:space="preserve">Patient Name : Lexi Schneider, Date of study: Jul 17, 2024
4 images are provided for review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In the caudal mediastinum, confluent with the diaphragm in the right lateral and ventrodorsal images, is an ovoid soft tissue mass.  This mass has a rounded cranial margin in the left lateral image, and is well-defined superimposed over the caudal mediastinum on mid-line in the ventrodorsal image.  The cranial mediastinum is normal.
Trachea: The trachea is normal.
Esophagus: The esophagus is not well-identified.
Pleural space: The pleural space is normal.
Musculoskeletal: The included musculoskeletal structures are normal.
</t>
  </si>
  <si>
    <t>1. Caudal and ventral mediastinal mass.
- Tissue of origin may be diaphragm or pleural or unlikely other.
- This is suspicious for a diaphragmatic leiomyoma/sarcoma versus pleural carcinoma/mesothelioma, or least likely granulomatous/fungal disease (such as from blastomycosis spp. or less likely coccidiomycosis spp given reported history) or other.
- A pleural mass/neoplasm is less likely in the absence of concurrent pleural fluid.
2. Minimal-mild diffuse bronchial pulmonary pattern such as from fibrosis from prior disease, age-related changes, or less likely infectious/immune-mediated lower airway disease or unlikely other.</t>
  </si>
  <si>
    <t>Consider computed tomography for further evaluation of the caudoventral mediastinal mass and to confirm tissue of origin.  Thoracotomy and incisional/excisional biopsy versus percutaneous tissue sampling of the mass may be contributory.   Oncologist consultation may be contributory depending on results of additional diagnostics, mediastinal mass tissue sampling and digital amputation/histopathology.  Consider abdominal imaging to screen for occult systemic disease if not recently performed.   Empirical therapy and supportive care in the interim as needed.  Monitoring as directed, or sooner if clinical signs acutely change, fail to improve or worsen.</t>
  </si>
  <si>
    <t xml:space="preserve">
1.MODERATE INTERSTITIAL TO ALVEOLAR PATTERN; PULMONARY NODULES or NODULAR PATTERN; MILD BRONCHITIS_x000D_
2.Based on the AI airway/pulmonary findings, the probability of this patient having clinically detectable respiratory signs is MEDIUM (50%). A few (&lt;5) soft tissue pulmonary nodules may be present._x000D_
3.Chronic bronchointerstitial lung disease (bacterial vs allergic vs parasitic lung disease, including heartworm pathosis) with concurrent atelectasis, pneumonia or pulmonary hemorrhage is most likely._x000D_
4.The cardiac silhouette size is normal._x000D_
5.There is no evidence of DYNAMIC AIRWAY COLLAPSE or BRONCHIECTASIS._x000D_
6.A few (&lt;5) soft tissue pulmonary nodules, cutaneous nodules or nipples overlying the thorax have also been detected.</t>
  </si>
  <si>
    <t xml:space="preserve">Patient name: Blue Louch. Date of study: 7/17/24. Five thoracic radiographs are available for interpretation. No prior thoracic radiographs are available for comparison.
Image evaluation: Obliquity on the VD projection does affect cranial mediastinal and right thoracic inlet evaluation. 
Thorax:
Airway/pulmonary parenchyma: Interstitial pulmonary infiltrates affect the caudodorsal and cranioventral thorax on the lateral projection. On the VD projection, the caudal pulmonary infiltrates have a mixed interstitial and alveolar pattern. Mild narrowing to the lobar bronchi is present on the right lateral projection. On the left lateral projection, a questionable oval soft tissue opacity (H: 1.16 cm x L: 0.84 cm) is ventral to the 5th vertebrae. This soft tissue nodular opacity is not identified on the other projections. 
Cardiovascular: Moderate cardiomegaly with both left and right heart enlargement is present. Mild pulmonary venous and CVC distention are present. 
Mediastinum: Mild widening to the cranial mediastinum is present, likely secondary to fat deposition. 
Pleural space: Normal
Cranial abdomen: On the right lateral projection, the liver size and margin are normal. The entire liver is not visible on the other projections. A lobular soft tissue structure overlies the cranioventral abdomen consistent with a cutaneous nodule. 
Msk: Chronic degenerative change affects the caudal thoracic spine and costal cartilages. 
On the VD projection, the right thoracic inlet has an atypical appearance, but this could be secondary to obliquity. On the right lateral projection, the rib head articulation has increased osseous proliferation and there is a less distinct appearance to the 1st vertebral body and a lucent appearance to the ventral aspect of the T2 spinous process. 
The left proximal humerus also has a mottled appearance on the right lateral projection, but this could be secondary to overlying soft tissue. </t>
  </si>
  <si>
    <t xml:space="preserve">1) Left sided cardiomegaly with evidence of cardiogenic pulmonary edema. 
2) Concurrent right heart enlargement and CVC distention. Rule out DCM given the breed vs. other cause for biventricular cardiac changes.
3) Cranioventral alveolar infiltrate. DDx: concurrent pneumonia may be present vs. atypical cardiogenic edema.
4) Atypical appearance to the right thoracic inlet and T1-2 vertebrae. DDx: obliquity and degenerative change vs. neoplasia. This appearance, along with the left proximal humerus, should be further assessed. Based on this study, I cannot rule out a potential pulmonary nodule ventral to the 5th vertebral body. 
5) Evidence of chronic lower airway disease. </t>
  </si>
  <si>
    <t xml:space="preserve">Full bloodwork, urinalysis and cardiologist evaluation/ cardiac ultrasound, ECG and systemic blood pressure evaluation prior to initiating cardiac medications. If a   cardiac evaluation is not immediately available, a Lasix trial with repeat thoracic radiographs can be considered.
If the cranioventral alveolar infiltrate persists with clearance of the caudodorsal pulmonary infiltrate with Lasix therapy, concurrent treatment for aspiration pneumonia is recommended. 
Repeat evaluation focused on the cranial thoracic spine +/- left humerus at the time of follow up thoracic radiographs. The follow up thoracic radiographs should also be assessed for pulmonary nodules if an osseous lesion is identified. </t>
  </si>
  <si>
    <t xml:space="preserve">
1.Severe cardiomegaly has been detected but Heart Failure is NOT suspected._x000D_
2.PLEURAL EFFUSION or PLEURAL FISSURE LINES; MODERATE INTERSITIAL TO ALVEOLAR PATTERN; MINIMAL PERIHILAR INFILTRATE._x000D_
3.Based on these AI airway/pulmonary findings, the probability of this patient having clinically detectable respiratory signs is HIGH (75%)_x000D_
4.Are respiratory signs present? If YES._x000D_
5.Are respiratory signs present? If NO._x000D_
6.The evaluation has a strong suspicion of pulmonary nodules or mass lesion being present.</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</si>
  <si>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margins._x000D_
T12-T13 IVDS is narrow.</t>
  </si>
  <si>
    <t>Orthogonal views of the thorax are provided:_x000D_
_x000D_
Thorax:_x000D_
_x000D_
There is moderate left atrium enlargement that dorsally displaces the carina, producing an overall severe cardiomegaly. CVC is prominent_x000D_
The pulmonary veins are normal sized. However, there is a peri-hilar and caudodorsal diffuse alveolo-interstitial pulmonary pattern._x000D_
Normal mediastinum, diaphragm and thoracic wall._x000D_
_x000D_
Liver extends beyond the costal arch with sharp margins along with decreased serosal detail with suspected free fluid..</t>
  </si>
  <si>
    <t>1) Cardiomegaly (left sided), enlarged pulmonary veins and caudodorsal right caudal lung lobe alveolo-interstitial pulmonary pattern. Findings consistent with left sided congestive heart failure secondary to chronic mitral endocardiosis. Rule out tricuspid endocardiosis with post-capillary pulmonary hypertension and right sided congestive heart failure (hepatomegaly along with free fluid)._x000D_
2) Hepatomegaly: Early right sided congestive heart failure vs Metabolic vs Vacuolar infiltration vs Hepatic nodular hyperplasia vs Inflammatory vs Toxic vs Neoplastic or a combination of these differentials._x000D_
3) Free abdominal fluid likely from RSCHF. Other differentials not excluded but are less likely.</t>
  </si>
  <si>
    <t>Consider oxygen supplementation, pro bnp, BP and lasix trial (prior evaluation of the renal function) with recheck radiographs in 12 hours (or sooner if clinically indicated) to re-evaluate and to monitor the response to treatment. Consider a cardiology consultation with ECG and echocardiogram once the patient is stable._x000D_
Consider an abdominal US to further evaluate the hepatomegaly and suspected free fluid.</t>
  </si>
  <si>
    <t xml:space="preserve">
1.Severe cardiomegaly has been detected but Heart Failure is NOT suspected._x000D_
2.MODERATE BRONCHOINTERSTITIAL PULMONARY PATTERN; MODERATE ALVEOLAR INFILTRATE or ATELECTASIA; PLEURAL FISSURE LINES or PLEURAL EFFUSION; MODERATE DYNAMIC AIRWAY DISEASE._x000D_
3.Based on these AI airway/pulmonary findings, the probability of this patient having clinically detectable respiratory signs is HIGH (75%)_x000D_
4.Pleural fissure lines or moderate to severe pleural effusion has been detected._x000D_
5.Are respiratory signs present? If YES._x000D_
6.Are respiratory signs present? If NO.</t>
  </si>
  <si>
    <t>Orthogonal views of the thorax are provided (is the age of the patient correct? Looks older):_x000D_
_x000D_
Thorax:_x000D_
_x000D_
Cardiac silhouette shows an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Multiple thoracic hemivertebrae (congenital breed associated change)._x000D_
Prominente nipples superimposed with the lung parenchyma in the VD view.</t>
  </si>
  <si>
    <t>1) Rule out left atrial enlargement: if age is correct rule out a L to R congenital shunt vs congenital pathology in the left side (mitral stenosis vs for triatriatum sinester) vs if older, then rule out chronic mitral endocardiosis without signs of CHF.</t>
  </si>
  <si>
    <t>Consider a cardiology consultation with ECG and echocardiogram prior to a CT of the nasal cavity with rhinoscopy and biopsies.</t>
  </si>
  <si>
    <t>Orthogonal views of the thorax and abdomen are provided:_x000D_
_x000D_
Thorax:_x000D_
_x000D_
Marked cervical tracheal collapse._x000D_
Cardiac silhouette has a normal shape and size._x000D_
Pulmonary vessels are within normal limits of size and shape._x000D_
Pulmonary parenchyma shows two different sized pulmonary nodules in the right caudal lung lobe (8th and 11th intercostal spaces in the VD view). Ventral irregular masses are also superimposed with the lungs (likely mammary masses)._x000D_
Pleural space, mediastinum, diaphragm and thoracic wall within normal limits._x000D_
_x000D_
Abdomen:_x000D_
_x000D_
The stomach is empty._x000D_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Kidneys and urinary bladder WNL._x000D_
_x000D_
Bilateral hip dysplasia with bilateral misshapen femoral heads and severe periarticular osteophytosis.</t>
  </si>
  <si>
    <t>1) Marked cervical tracheal collapse._x000D_
2) Pulmonary nodules most consistent with pulmonary metastases. _x000D_
3) Hepatomegaly: Metabolic vs Vacuolar infiltration vs Hepatic nodular hyperplasia vs Inflammatory vs Toxic vs Neoplastic or a combination of these differentials._x000D_
4) Ventral mammary masses compatible with mammary neoplasms vs hyperplasia.</t>
  </si>
  <si>
    <t>Consider abdominal US to further evaluate the liver ruling out abdominal metastases along with US guided Fnas from the pulmonary nodules.</t>
  </si>
  <si>
    <t xml:space="preserve">
1.Are respiratory signs present? If NO._x000D_
2.There is no evidence of PERIHILAR INFILTRATE, PULMONARY NODULES or PLEURAL EFFUSION._x000D_
3.MODERATE DYNAMIC AIRWAY DISEASE; MILD BRONCHIAL PATTERN._x000D_
4.Based on these AI airway/pulmonary findings, the probability of this patient having clinically detectable respiratory signs is MEDIUM (50%)_x000D_
5.Are respiratory signs present? If YES._x000D_
6.Moderate cardiomegaly has been detected but Heart Failure is NOT suspected.</t>
  </si>
  <si>
    <t>Three orthogonal thoracic radiographs dated 17th July 2024 are available for review. There are no previous radiographs available for comparison. _x000D_
_x000D_
Airway findings: The trachea, carina and mainstem bronchi are within normal limits for width and position. A mild caudal dorsal bronchointerstitial pattern is present. No nodules or masses are seen._x000D_
_x000D_
Cardiovascular findings: The cardiac silhouette and mainstem pulmonary vessels are within normal limits for size and contour. The vena cava is normal._x000D_
_x000D_
Mediastinum and pleural space:  No abnormalities are noted within the pleural space or mediastinum. There is no evidence of thoracic lymphadenomegaly._x000D_
_x000D_
Musculoskeletal findings: No significant abnormalities are detected.  _x000D_
_x000D_
Included abdomen: No significant abnormalities are detected.</t>
  </si>
  <si>
    <t>Differentials include lower airway infectious-inflammatory disease (infectious tracheobronchitis, viral pneumonia, viral-bacterial bronchitis, less likely parasitic bronchitis or heart worm. Allergic bronchitis is considered less likely.</t>
  </si>
  <si>
    <t>Correlate with palpation testing for upper respiratory disease.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 Depending on clinical progression, airway sampling may be considered.</t>
  </si>
  <si>
    <t>Thorax: There is left and right-sided cardiomegaly.  The main pulmonary artery appears mildly dilated.  There is a diffuse bronchial pattern.  There is no evidence of pleural effusion or lymphadenopathy._x000D_
_x000D_
Abdomen: There are no abnormalities identified.</t>
  </si>
  <si>
    <t>Diffuse bronchial pattern.  Chronic bronchitis is the primary differential._x000D_
_x000D_
Generalized cardiomegaly and mild dilation of the main pulmonary artery.  There is no evidence of decompensation.</t>
  </si>
  <si>
    <t>Consider consultation with veterinary cardiologist.</t>
  </si>
  <si>
    <t xml:space="preserve">
1.Are respiratory signs present? If YES._x000D_
2.Are respiratory signs present? If NO._x000D_
3.Based on these AI airway/pulmonary findings, the probability of this patient having clinically detectable respiratory signs is VERY HIGH (&gt;75%)_x000D_
4.SEVERE INTERSTITIAL TO ALVEOLAR PATTERN; SEVERE BRONCHIAL PATTERN; MODERATE DYNAMIC AIRWAY DISEASE._x000D_
5.A mild perihilar infiltrate has been detected._x000D_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</si>
  <si>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Orthogonal views of the thorax are provided:_x000D_
_x000D_
Thorax:_x000D_
_x000D_
Cervical tracheal narrowing._x000D_
Cardiac silhouette shows a mild enlargement of the left atrium dorsally displacing the carina. VHS is 10.3_x000D_
Pulmonary vessels are within normal limits of size and shape._x000D_
Pulmonary parenchyma is within normal limits. No evidence of pulmonary nodules/masses._x000D_
Pleural space, mediastinum, diaphragm and thoracic wall within normal limits._x000D_
_x000D_
Bilateral renoliths.</t>
  </si>
  <si>
    <t>1) Findings compatible with cervical tracheal collapse._x000D_
2) Left atrial enlargement secondary to chronic mitral endocardiosis without signs of CHF._x000D_
3) Bilateral renoliths.</t>
  </si>
  <si>
    <t>Consider a cardiology consultation with ECG and echocardiogram prior to a fluoroscopy (followed by tracheobronchoscopy, BAL and culture/cytology)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If negative, consider empirical treatment for chronic bronchitis._x000D_
Consider abdominal US to further evaluate the urinary tract with renal function test, urinalysis, UPC and urine culture, also ruling out abdominal metastases.</t>
  </si>
  <si>
    <t xml:space="preserve">
1.MILD BRONCHOINTERSTITIAL PULMONARY PATTERN; MINIMAL to MILD PERIHILAR PATTERN._x000D_
2.MILD BRONCHOINTERSTITIAL PULMONARY PATTERN; MINIMAL DYNAMIC AIRWAY DISEASE._x000D_
3.Based on these AI airway/pulmonary findings, the probability of this patient having clinically detectable respiratory signs is LOW to MEDIUM (25-50%)_x000D_
4.Based on the AI airway/pulmonary findings, the probability of this patient having clinically detectable respiratory signs is LOW (25%)_x000D_
5.In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6.Are respiratory signs present? If YES._x000D_
7.In the PRESENCE of respiratory signs, low grade active pneumonitis (allergic, bacterial, parasitic (including heartworm disease), inhaled allergen or toxin) or upper airway disease causing pulmonary hypoinflation and/or recurrent microaspiration may be more likely._x000D_
8.Severe cardiomegaly has been detected but Heart Failure is NOT suspected._x000D_
9.Are respiratory signs present? If NO._x000D_
10.There is no evidence of PULMONARY NODULES.</t>
  </si>
  <si>
    <t>Orthogonal views of the thorax and abdomen are provided:_x000D_
_x000D_
Thorax:_x000D_
_x000D_
Cardiac silhouette has a normal shape and size._x000D_
Pulmonary vessels are within normal limits of size and shape._x000D_
Pulmonary parenchyma shows an alveolar pulmonary pattern with air bronchograms ventrally located in the region of projection of the right middle lung lobe. No evidence of pulmonary nodules/masses.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poor likely due to small volume of free fluid._x000D_
Liver extends beyond the costal arch with sharp margins._x000D_
Spleen is within normal limits of size and smoothly marginated._x000D_
Kidneys and urinary bladder WNL.</t>
  </si>
  <si>
    <t>1) Alveolar pulmonary pattern with air bronchograms in the  region of projection of the right middle lung lobe could be secondary to dynamic positional atelectasis, however, given the history an aspiration pneumonia should be excluded._x000D_
2) Hepatomegaly: Metabolic vs Vacuolar infiltration vs Hepatic nodular hyperplasia vs Inflammatory vs Toxic vs Neoplastic or a combination of these differentials._x000D_
3) Small volume of free fluid likely due to chronic enteropathy.</t>
  </si>
  <si>
    <t>Consider focal thoracic US prior to an empirical treatment for pneumonia with follow up radiographs every 48/72 hours to evaluate response to treatment. Rule out any predisposing cause for vomition, regurgitation or neurological condition such as laryngeal paralysis._x000D_
Consider abdominal US to further evaluate the liver, GI wall and peritoneum.</t>
  </si>
  <si>
    <t xml:space="preserve">
1.The evaluation has come up positive for a pulmonary nodular pattern._x000D_
2.SEVERE PLEURAL EFFUSION; MODERATE TO SEVERE INTERSTITIAL to ALVEOLAR PATTERN._x000D_
3.Based on the AI airway/pulmonary findings, the probability of this patient having clinically detectable respiratory signs is VERY HIGH (&gt;75%)_x000D_
4.Severe pleural effusion has been detected._x000D_
5.Are respiratory signs present? If NO._x000D_
6.Mild cardiomegaly has been detected but Heart Failure is NOT suspected.</t>
  </si>
  <si>
    <t xml:space="preserve">Patient Name : May Evans, Date of study: Jul 17, 2024
3 images are provided for review
Canine Thorax (3 Images) - 1 Vd, 2 Lateral
There are no previous radiographs for comparison.
Pulmonary parenchyma: A minimal to mild diffuse bronchial pattern is present.  A minimal diffuse interstitial pattern is present.
Pulmonary vasculature: The pulmonary vasculature is subjectively normal in size and tapers in the periphery of the lungs.
Cardiac silhouette: The cardiac silhouette has a slightly flattened caudodorsal margin.  Increased soft tissue is in the region of the left atrium in the ventrodorsal image.  A slight soft tissue bulge is suspected at the 2-3 o'clock region (left auricular appendage) in the ventrodorsal image.  
Mediastinum: The cranial mediastinum is normal.
Trachea: The trachea is normal.
Esophagus: The esophagus is not well-identified.
Pleural space: The pleural space is normal.
Musculoskeletal: The included musculoskeletal structures are normal.
</t>
  </si>
  <si>
    <t xml:space="preserve">1. Mild left-sided cardiomegaly such as from myxomatous mitral valvular disease and insufficiency.
- There is no current evidence of cardiogenic pulmonary edema.
2. Minimal diffuse bronchial and interstitial pulmonary patterns due to fibrosis from prior disease, age-related changes, and/or infectious/immune-mediated lower airway disease (mycoplasma spp., bordetella spp., parasitism such as lung worms, or less likely other), or unlikely other.
</t>
  </si>
  <si>
    <t>Echocardiography, ECG and blood pressure for further evaluation.  Routine blood work and urinalysis if not recently performed.  Consider respiratory PCR panel, fecal analysis/deworming and airway sampling for further evaluation of underlying pulmonary disease if clinically indicated.  Empirical therapy and supportive care in the interim as needed.  Monitoring as directed or sooner if clinical signs acutely change, fail to improve or worsen.</t>
  </si>
  <si>
    <t>Orthogonal views of the thorax are provided:_x000D_
_x000D_
Thorax:_x000D_
_x000D_
No abnormalities are seen in the trachea._x000D_
Cardiac silhouette shows a mild enlargement of the left atrium dorsally displacing the carina._x000D_
Pulmonary vessels are within normal limits of size and shape._x000D_
Pulmonary parenchyma is within normal limits. No evidence of pneumonia nor signs of pulmonary nodules/masses._x000D_
Pleural space, mediastinum, diaphragm and thoracic wall within normal limits._x000D_
_x000D_
Liver extends beyond the costal arch with sharp margins.</t>
  </si>
  <si>
    <t>Consider a cardiology consultation with ECG and echocardiogram followed by empirical treatment for allergic bronchitis evaluating response to treatment._x000D_
Consider abdominal US to further evaluate the liver.</t>
  </si>
  <si>
    <t>Orthogonal views of the thorax are provided (rotated VD views):_x000D_
_x000D_
Thorax:_x000D_
_x000D_
No abnormalities seen in the trachea._x000D_
Cardiac silhouette has a normal shape and size._x000D_
Pulmonary vessels are within normal limits of size and shape._x000D_
Pulmonary parenchyma is within normal limits. No evidence of pneumonia._x000D_
Pleural space, mediastinum, diaphragm and thoracic wall within normal limits.</t>
  </si>
  <si>
    <t>Evaluate the need/convenience of an empirical treatment for chronic bronchitis evaluating response to treatment. If clinical signs persist, consider a bronchoscopy with BAL, culture, cytology, Baermann test and deworming.</t>
  </si>
  <si>
    <t>Airway sampling may be helpful in further evaluation.  Echocardiography could be considered in further evaluation of the reported murmur.</t>
  </si>
  <si>
    <t>Orthogonal views of the thorax are provided:_x000D_
_x000D_
Thorax:_x000D_
_x000D_
Cardiac silhouette has a normal shape and size._x000D_
Pulmonary vessels are within normal limits of size and shape._x000D_
Pulmonary parenchyma shows ill defined alveolar patches ventrally located in the periphery of the right cranial (delineating a partial peripheral lobar sign in the VD view) and right caudal lung lobes. No evidence of pulmonary nodules/masses._x000D_
Pleural space, mediastinum, diaphragm and thoracic wall within normal limits.</t>
  </si>
  <si>
    <t>1) Ill defined alveolar patches ventrally located in the periphery of the right cranial and right caudal lung lobes compatible with small volume of aspiration pneumonia.</t>
  </si>
  <si>
    <t>Three radiographs of the thorax are provided. The cardiac silhouette is upper normal size. Possible enlarged and blunted left caudal pulmonary artery versus summating vessel and lung pattern. There is soft tissue opacity with air bronchograms in the cranioventral lungs bilaterally. The left lungs are more affected. No pleural effusion. Adequate tracheal diameter. Normal cranial abdomen.</t>
  </si>
  <si>
    <t>Bilateral ventral alveolar pattern most consistent with aspiration pneumonia. With the suspect enlarged blunted left caudal pulmonary artery, thromboembolic insult is possible but given lesser consideration.</t>
  </si>
  <si>
    <t>Recommend antibiotics and testing for heartworms. If the patient is still on antibiotics from previous episode, recommend switching or additional antibiotics.</t>
  </si>
  <si>
    <t xml:space="preserve">
1.MILD to MODERATE INTERSTITIAL TO ALVEOLAR PATTERN; MILD DYNAMIC AIRWAY DISEASE; MINIMAL PERIHILAR INFILTRATE._x000D_
2.Based on the AI airway/pulmonary findings, the probability of this patient having clinically detectable respiratory signs is MEDIUM (50%)_x000D_
3.Are respiratory signs present? If YES._x000D_
4.AI linked bacterial pneumonia treatment in dogs: https://platform.v2.vetology.net/doc/pneumonia-in-dogs-and-cats_x000D_
5.Are respiratory signs present? If NO._x000D_
6.The cardiac silhouette size is normal._x000D_
7.There is no evidence of PULMONARY NODULES._x000D_
8.Pleural fissure lines or small volume pleural effusion has been detected. In a mildly to moderately overweight animal, excessive pericardial fat can artifactually mimic the result of mild pleural effusion.</t>
  </si>
  <si>
    <t>A lateral radiograph of the thorax, and three views of the abdomen are provided. The cardiac silhouette and pulmonary vessels are normal size and shape. There are no abnormalities in the pulmonary parenchyma. No pleural effusion. Adequate tracheal diameter. Narrowed T11-12 intervertebral disc space, of doubtful clinical significance today._x000D_
_x000D_
In the abdomen there is no effusion. The urinary bladder is mildly filled and soft tissue opaque. Small round increased opacity ventral to L6 is end-on deep circumflex iliac vessel. The gastrointestinal tract is mildly filled. Normal-sized liver, spleen, kidneys. Previous right femoral head ostectomy. Moderate left coxofemoral osteoarthritis.</t>
  </si>
  <si>
    <t>Normal thorax and abdomen. There is no evidence of radiopaque urolithiasis. Cystitis is most likely.</t>
  </si>
  <si>
    <t>Current diagnostic/treatment plan is appropriate.</t>
  </si>
  <si>
    <t>Three orthogonal thoracic radiographs dated 17th July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small relative to thoracic volume.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No significant abnormalities are detected.</t>
  </si>
  <si>
    <t>Apparent microcardia may be due to phase of contraction, however Addison=ZZ91=s disease should be considered.</t>
  </si>
  <si>
    <t>Radiography is insensitive for early cardiac disease, therefore ECG, blood pressure measurements, and echocardiography may be considered for further evaluation, or baseline measurements. Further workup for Addison=ZZ91=s disease is advised.</t>
  </si>
  <si>
    <t xml:space="preserve">Patient Name : Rico Branch, Date of study: Jul 17, 2024
16 images are provided for review
There are no previous radiographs for comparison.
Pulmonary parenchyma: A minimal diffuse bronchial and minimal to mild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Bones/Joints:
The right femoral mid-diaphysis is slightly expanded subjectively.  An ill-defined, spindle shaped lucent zone is in the mid-diaphysis of the right femur, adjacent to the caudal cortex.  The right femoral caudal cortex has slightly ill-defined endosteal margins at this level.  Thin linear sclerotic lines delineate the internal margin of this lucent zone in the right femoral diaphysis.   Ill-defined slightly palisading periosteal reaction is at the cranial and caudal cortices of the right femoral diaphysis.   Mild right coxofemoral joint osteoarthrosis is present, with slight osteophytes at the craniodorsal acetabular rim and the junction of the femoral head and neck.   
There is adequate coverage of the femoral heads by the acetabulums.
The left stifle has no evidence of osteoarthrosis.  The left infrapatellar fat pad is well-defined.
The included left tarsus, metatarsus and digits are normal.
The right stifle has no evidence of osteoarthrosis.  The right infrapatellar fat pad is well-defined.
The included right tarsus, metatarsus and digits are normal.  
The right elbow is normal.  
The right shoulder is normal.
The included right carpus, metacarpus and digits are normal.
The left elbow is normal.  
The left shoulder is normal.  
The included left carpus, metacarpus and digits are normal. 
Soft tissues:  The included soft tissues are normal.
</t>
  </si>
  <si>
    <t xml:space="preserve">1. Right femoral mid-diaphyseal changes due to evolving neoplasia (osteosarcoma versus metastatic disease from an occult primary neoplasm) versus osteomyelitis (evolving sepsis or fungal organisms), or less likely prior fracture and osseous changes from healing, or atypical weight-bearing, or a combination of these.
- Given time-frame and no reported trauma, a healing fracture is considered unlikely for the reported clinical signs.
2. Minimal diffuse bronchial and interstitial pulmonary patterns such as from fibrosis and prior disease, age-related changes, artifact, infectious/immune-mediated lower airway disease ), or unlikely other.
3. Mild right coxofemoral joint osteoarthrosis.
4. Normal right shoulder.
5. Normal right elbow.
6. Normal left shoulder.
7. Normal left elbow.  </t>
  </si>
  <si>
    <t>Consider computed tomography or MRI of the right femur, versus repeat radiographs in 2-4 weeks to monitor for progression.  Consider bone biopsy depending on results of advanced imaging, or if progressive changes are identified on recheck radiographs.  Routine blood work and abdominal imaging to screen for occult systemic disease if not recently performed.  Oncologist consultation depending on results of tissue sampling, if pursued. Fungal serology if the patient has an appropriate travel/exposure history and if other diagnostics are inconclusive. Monitoring as directed, or sooner if clinical signs acutely change, fail to improve or worsen.</t>
  </si>
  <si>
    <t xml:space="preserve">
1.A minimal interstitial pulmonary pattern with a concurrent, minimal perihilar infiltrate have been detected._x000D_
2.The evaluation has a strong suspicion of pulmonary nodules or mass lesion being present._x000D_
3.The cardiac silhouette size is normal._x000D_
4.There is no evidence of DYNAMIC AIRWAY COLLAPSE or BRONCHIECTASIS._x000D_
5.Pleural fissure lines or small volume pleural effusion has been detected. In a mildly overweight animal, excessive pericardial fat can artifactually mimic the result of minimal pleural effusion.</t>
  </si>
  <si>
    <t>RIGHT DISTAL HINDLIMB and THORAX (6 total radiographs for review). _x000D_
_x000D_
- Lobular soft-tissue opaque mass (at least 3.4 x 3.2 cm) along the plantar surface of the right distal hindlimb, centered on the interdigital region between digits 3 and 4. Discontinuous periosteal reaction along the margins of the middle and proximal phalanx of digit 4._x000D_
- On the DP projection, there are multiple ill-defined mineral opaque foci that are present at the distolateral aspect of the right talus._x000D_
- Innumerable tiny mineralized foci throughout the lungs._x000D_
- The cardiac silhouette and pulmonary vasculature are normal._x000D_
- The trachea, esophagus and remainder of the mediastinum are normal._x000D_
- The pleural space and remaining intrathoracic structures are normal._x000D_
- The stomach contains moderate mineral-opaque material and a small volume of gas._x000D_
- Mild multifocal vertebral spondylosis deformans.</t>
  </si>
  <si>
    <t>1. Consistent with the reported history, there is a lobular mass in the plantar interdigital region of right hindlimb digits 3-4. There is polyostotic periosteal reaction along the margins of the middle and proximal phalanx of digit 4. Considerations include neoplasia (e.g. squamous cell carcinoma, melanoma) or less likely osteomyelitis._x000D_
_x000D_
2. Possible periosteal reaction along the distolateral aspect of the right tarsus. This may be artefactual overlying debris as the appearance is not seen orthogonally. If it is real, it would raise concern for bony metastasis from the digital lesion or alternatively tarsal trauma/injury and periostitis. I would recommend investigation of the region via palpation in addition to considering rechecking the radiographs of the tarsus (and/or tarsal CT) to evaluate for persistence, progression or resolution of this finding._x000D_
_x000D_
3. Negative examination for thoracic metastatic neoplasia. Numerous pulmonary osteomas (incidental). _x000D_
_x000D_
4. Multiple small mineral bodies in the gastric lumen (limited assessment).</t>
  </si>
  <si>
    <t xml:space="preserve">
1.The evaluation has come up positive for a pulmonary nodular pattern._x000D_
2.The cardiac silhouette size is normal._x000D_
3.There is no evidence of BRONCHITIS, PERIHILAR INFILTRATE or DYNAMIC AIRWAY COLLAPSE or BRONCHIECTASIS.</t>
  </si>
  <si>
    <t>Three orthogonal thoracic radiographs dated 17th July 2024 are available for review. These are compared with previous radiographs dated 29th November 2023._x000D_
_x000D_
Airway findings: The thoracic trachea is undulating, as previously. There is some widening of the tracheal bifurcation. The pulmonary parenchyma is normal._x000D_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No significant abnormalities are detected._x000D_
_x000D_
Musculoskeletal findings: No significant abnormalities are detected._x000D_
_x000D_
Included abdomen: No significant abnormalities are detected.</t>
  </si>
  <si>
    <t>1. Left atrial dilation. This is most likely due to mixoid degeneration of the mitral valve. There is no evidence for cardiac insufficiency. The size and shape of the cardiac silhouette is very comparable with previous radiographs._x000D_
2. Undulating trachea, as previously, likely associated with head positioning or redundant trachealis membrane.</t>
  </si>
  <si>
    <t xml:space="preserve">
1.A mild interstitial to alveolar pattern and minimal perihilar pattern have been detected._x000D_
2.There is no evidence of BRONCHITIS, DYNAMIC AIRWAY COLLAPSE or BRONCHIECTASIS, PULMONARY NODULES or PLEURAL EFFUSION._x000D_
3.Mild cardiomegaly has been detected but Heart Failure is NOT suspected.</t>
  </si>
  <si>
    <t>THORAX (3 total radiographs for review). Previous study available for comparison from 2023._x000D_
_x000D_
- The cardiac silhouette and pulmonary vasculature are normal._x000D_
- The pulmonary parenchyma is normal_x000D_
- Soft-tissue opaque band dorsally overlying the trachea in the caudal cervical/thoracic inlet region._x000D_
- The esophagus and remainder of the mediastinum are normal._x000D_
- The pleural space and remaining intrathoracic structures are normal._x000D_
- Mild heterogeneous soft-tissue opaque material in the stomach_x000D_
- Remaining cranial abdominal structures normal._x000D_
- Included osseous structures normal.</t>
  </si>
  <si>
    <t>1.  Despite lack of radiographic evidence of cardiomegaly or pulmonary vasculature congestion, given the previously diagnosed degenerative mitral valve disease, if not recently performed an echocardiogram may still be considered._x000D_
_x000D_
2.  The appearance of the trachea at the level of the thoracic inlet can be compatible with tracheal collapse, secondary to chondromalacia.</t>
  </si>
  <si>
    <t xml:space="preserve">
1.A mild bronchial pattern has been detected._x000D_
2.Minimal cardiomegaly has been detected but Heart Failure is NOT suspected._x000D_
3.There is no evidence of ALVEOLAR PATTERN, PERIHILAR INFILTRATE, DYNAMIC AIRWAY COLLAPSE or BRONCHIECTASIS, PULMONARY NODULES or PLEURAL EFFUSION.</t>
  </si>
  <si>
    <t>WHOLE-BODY (3 total radiographs for review). _x000D_
_x000D_
- Peritoneal serosal detail is normal._x000D_
- The liver is moderately enlarged, with rounded margins._x000D_
- The stomach contains mild gas and gas-stippled soft-tissue opaque material_x000D_
- The small intestine is mildly homogeneously distended and contains mild multifocal gas and soft-tissue opaque material_x000D_
- The colon contains gas, soft-tissue/fluid and mild formed fecal material._x000D_
- The spleen, region of the kidneys and urinary bladder are normal._x000D_
- Mild diffuse gas distention of the majority of the thoracic esophagus._x000D_
- Narrowing of the disc space and endplate sclerosis at T12-13 and T13-L1.</t>
  </si>
  <si>
    <t>1. The appearance of the stomach, small intestine and colon can be compatible with a non-specific generalized functional ileus (e.g. gastroenterocolitis). There is no evidence of small intestinal foreign material or mechanical obstruction. If clinically indicated, abdominal ultrasonography might be considered._x000D_
_x000D_
2. Diffuse esophageal gas distention can be from aerophagia or from primary esophageal dysmotility (e.g. megaesophagus). You may consider rechecking the thoracic radiographs to determine if this persists over time, in which case the concern for esophageal dysmotility would increase._x000D_
_x000D_
3. Moderate hepatomegaly. Most likely vacuolar (metabolic) hepatopathy. Hepatic congestion, hepatitis or neoplasia are less likely, but possible._x000D_
_x000D_
4. T12-13 and T13-L1 intervertebral disc disease</t>
  </si>
  <si>
    <t>3 views of the abdomen are provided for review.  Serosal detail is adequate in all quadrants.  The stomach contains a moderate amount of gas.  The small intestines are normal in size and displaced towards midline.  Gas and feces are present in the colon.  The urinary bladder is small.  The uterus is generally enlarged.  No mineralized fetal structures are seen.  The remaining abdominal organs are normal. The mammae are prominent.  The thoracic structures included are normal.</t>
  </si>
  <si>
    <t>Enlarged uterus consistent with recent parturition.</t>
  </si>
  <si>
    <t>Three radiographs of the thorax and two views of the abdomen are provided. The cardiac silhouette and pulmonary vessels are normal size and shape. There are no abnormalities in the pulmonary parenchyma. No pleural effusion or intrathoracic lymphadenomegaly. The plane of the esophagus is unremarkable._x000D_
_x000D_
In the abdomen there is small volume gas in the stomach and small bowel. Small-volume semi-formed feces in the distal colon. No radiopaque foreign material. Normal size kidneys, liver, spleen. The urinary bladder is mildly filled and soft tissue opaque. No osseous abnormalities.</t>
  </si>
  <si>
    <t>Normal thorax and abdomen. The reason for the clinical signs is not identified.</t>
  </si>
  <si>
    <t>If the patient does not improve with supportive care, abdominal ultrasound would be recommended.</t>
  </si>
  <si>
    <t>THORAX (5 total radiographs for review). _x000D_
_x000D_
- Diffuse, moderate, mixed bronchial and unstructured interstitial pattern._x000D_
- Mild rounding along the cranial and right cardiac margins._x000D_
- Mild widening of the cranial mediastinum._x000D_
- Remaining intrathoracic structures are normal._x000D_
- The stomach contains a moderate volume of gas._x000D_
- The remaining cranial abdominal structures are normal._x000D_
- Minimal multifocal vertebral spondylosis deformans.</t>
  </si>
  <si>
    <t>1. Diffuse, moderate bronchointerstitial pulmonary pattern, likely reflecting chronic lower airway/airspace disease (e.g. bronchitis +/- pulmonary fibrosis). A component of bronchopneumonia is not excluded. There is the impression of mild right sided cardiomegaly which can be artefactual or represent chronic cardiac remodeling (cor pulmonale) from chronic pulmonary hypertension. I would recommend considering treating the patient for chronic lower airway disease, and for further information, a thoracic CT may be of utility in this case. If a right sided heart murmur is present, echocardiography may be considered._x000D_
_x000D_
2. Mild widening of the cranial mediastinum, likely due to excessive fat deposition (less likely mediastinal effusion or a mass)._x000D_
_x000D_
3. Aerophagia.</t>
  </si>
  <si>
    <t xml:space="preserve">
1.SEVERE PLEURAL EFFUSION; MODERATE TO SEVERE INTERSTITIAL to ALVEOLAR PATTERN._x000D_
2.Based on the AI airway/pulmonary findings, the probability of this patient having clinically detectable respiratory signs is VERY HIGH (&gt;75%)_x000D_
3.Severe pleural effusion has been detected._x000D_
4.Are respiratory signs present? If NO._x000D_
5.The cardiac silhouette size is normal.</t>
  </si>
  <si>
    <t>4 views of the thorax and abdomen are submitted for review._x000D_
In the thorax, the cardiac silhouette and pulmonary vasculature are within normal limits.  No pulmonary parenchymal or maladies are seen.  No pleural effusion or thoracic lymphadenopathy is noted.  The trachea is normal._x000D_
In the abdomen, the stomach contains mild to moderate amount of gas.  The small bowel is normal in uniform diameter.  A mild amount of stool is noted in the colon.  The liver, spleen, renal silhouettes, and urinary bladder are within normal limits.  Serosal detail is adequate._x000D_
No significant osseous abnormalities are seen.</t>
  </si>
  <si>
    <t>Radiographically normal thorax and abdomen.  An explanation of the clinical signs is not identified.</t>
  </si>
  <si>
    <t>An abdominal ultrasound could be considered for further evaluation.</t>
  </si>
  <si>
    <t xml:space="preserve">
1.MILD BROCHIAL/BRONCHOINTERSTITIAL PULMONARY PATTERN._x000D_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PERIHILAR INFILTRATE or PULMONARY NODULES.</t>
  </si>
  <si>
    <t>Orthogonal views of the thorax are provided:_x000D_
_x000D_
Thorax:_x000D_
_x000D_
A soft tissue in opacity mass is silhouetting with the dorsal wall of the cranial most cervical trachea protruding and partially obliterating the tracheal lumen just caudal to the cricoid cartilage in the region of projection of the upper esophageal sphincter._x000D_
Cardiac silhouette shows a moderate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t>
  </si>
  <si>
    <t>1) Cranial tracheal/peritracheal soft tissue mass. Rule out tracheal neoplasia vs esophageal or paraesophageal/paratracheal neoplasia vs granuloma vs access._x000D_
2) Left atrial enlargement secondary to chronic mitral endocardiosis without signs of CHF._x000D_
3) Hepatomegaly: Metabolic vs Vacuolar infiltration vs Hepatic nodular hyperplasia vs Inflammatory vs Toxic vs Neoplastic or a combination of these differentials.</t>
  </si>
  <si>
    <t>Consider a cardiology consultation with ECG and echocardiogram and abdominal US to further evaluate the liver and entire abdomen prior to a CT of the head, neck and thorax with +/- tracheobronchoscopy/endoscopy with FNAs, evaluating treatment options.</t>
  </si>
  <si>
    <t xml:space="preserve">
1.MILD BRONCHOINTERSTITIAL PULMONARY PATTERN; MILD DYNAMIC AIRWAY DISEASE; ATELECTASIS or less likely, pneumonia;  MINIMAL PERIHILAR INFILTRATE._x000D_
2.Based on the AI airway/pulmonary findings, the probability of this patient having clinically detectable respiratory signs is MEDIUM (50%)_x000D_
3.Moderate cardiomegaly has been detected but Heart Failure is NOT suspected._x000D_
4.Are respiratory signs present? If YES._x000D_
5.Are respiratory signs present? If NO.</t>
  </si>
  <si>
    <t>A three view study of the thorax is provided for interpretation._x000D_
_x000D_
Overall heart size is within normal limits at the upper end of normal range. There is an unusual appearance to the base of the heart. In the right lateral view there is a prominent rounded soft tissue shadow projecting cranially from the heart base at the level of the ascending aorta, but not convincingly involving the aortic arch. The lateral margin of the aortic arch is bulging laterally at the left side of the heart base in the VD view. In the left lateral view there is a slight increase in opacity at the cranial heart base, but the appearance in this view is equivocal._x000D_
In both lateral views, there is a subtle but unusual soft tissue shadow in the range of approximately 2 cm superimposed over the cranial aspect of the diaphragm and liver at the level of the caudal vena cava. No corresponding shadow is identified in the VD view. No other pulmonary or pleural abnormalities are identified._x000D_
_x000D_
The liver is enlarged, with rounding and mild lobularity of the caudal ventral margins. The other cranial abdominal organs are unremarkable.</t>
  </si>
  <si>
    <t>There is an unusual shape change in the area of the aortic arch that does not appear typical for aortic stenosis. The overall appearance is concerning for a mass arising at the heart base adjacent to the aorta. Additional rule outs would include aortic stenosis, aortic coarctation, pulmonic stenosis, AV fistula, or other congenital vascular abnormality._x000D_
_x000D_
The liver is enlarged with rounded lobular changes involving the caudal ventral margins. The appearance is not definitive for a mass lesion but neoplasia would still be a primary differential. Hyperplastic or cystic changes in the liver could also appear similar. Follow up imaging is recommended.</t>
  </si>
  <si>
    <t>Echocardiography is recommended to rule out a heart base mass or better define what appears to be an abnormal vascular lesion._x000D_
_x000D_
CT could also be used to evaluate the heart and the unusual subtle shadow superimposed over the cranial margin of the diaphragm. It cannot be determined from the radiographs whether this represents a benign incidental finding such as a small diaphragmatic eventration vs. a midline pulmonary lesion vs. an artifact. Recheck radiographs are recommended in 6 to 8 weeks if more advanced imaging is not performed._x000D_
_x000D_
Ultrasound evaluation of the liver is recommended.</t>
  </si>
  <si>
    <t xml:space="preserve">
1.MILD to MODERATE BRONCHOINTERSTITIAL PATTERN; MILD DYNAMIC AIRWAY DISEASE._x000D_
2.Based on these AI airway/pulmonary findings, the probability of this patient having clinically detectable respiratory signs is MEDIUM (50%)_x000D_
3.Are respiratory signs present? If YES._x000D_
4.AI linked bacterial bronchitis in dogs article: https://platform.v2.vetology.net/doc/bacterial-bronchitis-in-dogs-and-cats_x000D_
5.Are respiratory signs present? If NO._x000D_
6.Moderate cardiomegaly has been detected but Heart Failure is NOT suspected._x000D_
7.There is no evidence of PLEURAL EFFUSION.</t>
  </si>
  <si>
    <t>Two orthogonal thoracic radiographs dated 17th July 2024 are available for review. There are no previous radiographs available for comparison. _x000D_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</si>
  <si>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9 images of the thorax and abdomen are presented for review.  The cardiovascular structures are normal.  Heavy interstitial alveolar opacity is present in the left cranial, right cranial, and right middle lung lobes.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kidneys are small with irregular margins.  The urinary bladder is small.  The remaining abdominal organs are normal.  Osteophytes present on the femoral necks and acetabular rims.</t>
  </si>
  <si>
    <t>Chronic renal changes.  Interstitial to alveolar pulmonary pattern concerning for aspiration type pneumonia.  Hemorrhage or neoplasia could also be considered.  Airway sampling may be helpful in further evaluation.  Severe bilateral coxofemoral DJD.</t>
  </si>
  <si>
    <t xml:space="preserve">
1.A severe alveolar pattern has been detected._x000D_
2.A severe interstitial to alveolar pattern has been detected._x000D_
3.Pleural fissure lines or moderate to severe pleural effusion has been detected. An overlying skin fold or in an obese animal, excessive pericardial fat could artifactually mimic the result of severe pleural effusion._x000D_
4.The cardiac silhouette size is normal._x000D_
5.A mild perihilar infiltrate and minimal bronchial pattern have been detected_x000D_
6.A mild perihilar infiltrate and concurrent, mild dynamic airway disease have been detected._x000D_
7.Mild dynamic airway disease has been identified._x000D_
8.A concurrent minimal bronchial pattern has been detected._x000D_
9.Mild dynamic airway disease has been detected._x000D_
10.A minimal bronchial pattern and concurrent mild dynamic airway disease have been identified._x000D_
11.The evaluation has a strong suspicion of pulmonary nodules or mass lesion being present.</t>
  </si>
  <si>
    <t xml:space="preserve">Patient Name : Dorothy Hoyle, Date of study: Jul 17, 2024
3 images are provided for review
Canine Abdomen (3 Images) - 1 Vd, 2 Lateral
There are no previous radiographs for comparison.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soft tissue material and/or fluid.  Minimal gas is suspected in the descending duodenum in the left lateral image. The stomach is within normal limits for size.
The small intestine contains mild fluid or is empty with a subjectively uniform population for size. 
The colon contains mild heterogeneous soft tissue material and gas.
Musculoskeletal: The included musculoskeletal structures are normal.
</t>
  </si>
  <si>
    <t>1. Gastric material due to recent meal, versus gastritis/delayed gastric emptying or unlikely pyloric outflow tract obstruction given reported history.
2. Non-specific small intestinal and colon appearance such as from enteritis, colitis, or individual variation of normal.
- There is no evidence small intestinal mechanical ileus.
- Differential diagnoses for enteritis include dietary indiscretion, toxin ingestion, inflammatory bowel disease, diet/antibiotic responsive disease, primary infectious disease/parasitism, or occult systemic disease.</t>
  </si>
  <si>
    <t>Empirical therapy for gastritis/enteritis in the interim as needed.  Consider GI panel and abdominal ultrasonography for further evaluation, especially if signs fail to improve or worsen with empirical therapy.  Monitoring as directed or sooner if clinical signs acutely change, fail to improve or worsen.</t>
  </si>
  <si>
    <t>Three radiographs of the thorax are provided. The cardiac silhouette is normal size with no chamber enlargement. Pulmonary arteries and veins are symmetric and taper as expected. Tracheal position is normal. Suspect redundant dorsal trachealis membrane in the caudal cervical region on the right lateral view. Small volume fluid in the caudal esophagus is transient and incidental. No osseous abnormalities.</t>
  </si>
  <si>
    <t>The appearance of the cervical trachea is suggestive of a dynamic collapse. This is the only abnormality identified to explain the cough. Inhaled irritant/allergens could be contributing. Otherwise normal thorax.</t>
  </si>
  <si>
    <t>Recommend palpate for tracheal sensitivity. This patient may benefit from utilization of a body harness in place of a neck lead and symptomatic treatment for the cough.</t>
  </si>
  <si>
    <t>Three orthogonal thoracic radiographs dated 17th July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90% of the dorsoventral diameter of the trachea. The intrathoracic trachea is normal. The thorax is hypoinflated on the lateral images. A mild caudal dorsal bronchial pattern is present._x000D_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Skin folding is overlying the cranial mediastinum, giving an impression of cranial mediastinal widening._x000D_
_x000D_
Musculoskeletal findings: There is thoracic intervertebral disc narrowing and ventral spondylosis deformans._x000D_
_x000D_
Included abdomen: There is hepatomegaly with rounded borders.</t>
  </si>
  <si>
    <t>The dorsal attenuation of the trachea is consistent with tracheomalacia .The extent of attenuation would be expected to cause coughing._x000D_
Diffuse mild bronchial pattern: Primary consideration should be given to hypoinflation and normal ageing/fibrosis from previous disease. Allergic bronchitis, chronic bacterial /viral bronchitis +/- parasitic bronchitis should also be considered. Less likely are hyperardenocorticism, neoplasia (such a lymphoma) or idiopathic pulmonary fibrosis.  _x000D_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t>
  </si>
  <si>
    <t>Consider evaluation for airway collapse (fluoroscopy vs. right lateral inspiratory and expiratory radiographs vs. CT with virtual bronchoscopy). Alternatively consider medical management. Consider surgical consultation depending on clinical progression._x000D_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t>
  </si>
  <si>
    <t xml:space="preserve">
1.SEVERE DYNAMIC AIRWAY DISEASE; MILD BRONCHIAL PATTERN._x000D_
2.Based on these AI airway/pulmonary findings, the probability of this patient having clinically detectable respiratory signs is HIGH (75%)_x000D_
3.Are respiratory signs present? If YES._x000D_
4.Are respiratory signs present? If NO._x000D_
5.There is no evidence of PERIHILAR INFILTRATE or PLEURAL EFFUSION._x000D_
6.Moderate cardiomegaly has been detected but Heart Failure is NOT suspected.</t>
  </si>
  <si>
    <t>Eight radiographs are provided, with images of the thorax, abdomen, pelvis, and stifles. Thoracic images dated 8/13/21 are available for comparison. The cardiac silhouette and pulmonary vessels are normal size. There are no abnormalities in the pulmonary parenchyma or pleural space. Prominence of the main pulmonary arterial segment on the VD projection is due to rotation. Normal tracheal diameter. No cervicothoracic spinal abnormalities. Normal proximal thoracic limbs. In the abdomen there is no effusion or organomegaly. The gastrointestinal tract is mildly filled. No radiopaque urolithiasis. There is mineralized intervertebral disc material in situ at T10-11, T11-12, incidental. The T12-13 intervertebral disc space is narrowed. No lumbar spinal abnormalities. The coxofemoral joints are congruent. Pelvic limb musculature is symmetric. Patellar location is normal. No stifle joint effusion is appreciated, although stifle joint evaluation is somewhat limited due to rotation. No popliteal lymphadenomegaly.</t>
  </si>
  <si>
    <t>The appearance of T12-13 is suggestive of a protruding/extruded intervertebral disc. Such a lesion at this or another site is the most likely cause for the clinical signs. The thorax, abdomen, pelvis, and stifles are normal.</t>
  </si>
  <si>
    <t>Recommend palpation for spinal discomfort, and a neurologic examination.</t>
  </si>
  <si>
    <t>Three radiographs of the thorax/abdomen are provided. Peritoneal and retroperitoneal detail is adequate. There is gas in the proximal colon, with fluid in the distal descending colon. Small bowel are minimally distended. The stomach contains a moderate amount of amorphous soft tissue density. There is small volume mineral opaque debris throughout the gastrointestinal tract. Normal-sized liver, spleen, and kidneys. No radiopaque cystic calculi. Normal osseous structures. In the thorax, cardiovascular structures are normal size and shape. Soft tissue bulge along the cranial left aspect of the heart is due to mild rotation. The lungs are clear. No esophageal dilation.</t>
  </si>
  <si>
    <t>Liquid diarrhea. No other definitive gastrointestinal abnormalities. Gastroenterocolitis secondary to dietary indiscretion is most likely. There is no evidence of an obstructive process. Mineral debris in the GI tract is likely incidental. The thorax is normal.</t>
  </si>
  <si>
    <t>Recommend supportive care for gastroenterocolitis. If the patient does not rapidly improve, abdominal ultrasound would be recommended.</t>
  </si>
  <si>
    <t>Three radiographs of the thorax and three views of the abdomen are provided. The cardiac silhouette is normal size and shape. Mild age-related changes in the lungs. No pleural effusion. Adequate tracheal diameter. No cervicothoracic spinal abnormalities._x000D_
_x000D_
In the abdomen the liver is prominent with smooth margins. Normal-sized spleen and kidneys. The gastrointestinal tract is minimally filled. Small volume semi-formed feces in the proximal colon. No radiopaque foreign material or cystic calculi. No narrowed lumbar intervertebral disc spaces or foramina. The coxofemoral joints are congruent. The left patella is likely medially displaced.</t>
  </si>
  <si>
    <t>1. Mild hepatomegaly, a nonspecific finding that may be steroid or other hepatopathy, acute inflammation, or least likely neoplasia. This should be correlated with history and blood work. Otherwise normal abdomen._x000D_
2. Probable medial patellar luxation on the left._x000D_
3. Normal thorax.</t>
  </si>
  <si>
    <t xml:space="preserve">
1.Moderate cardiomegaly has been detected but Heart Failure is NOT suspected._x000D_
2.No airway or pulmonary abnormalities have been detected. The lung parenchyma appears normal with no interstitial, alveolar, or bronchial pattern identified. No pulmonary nodules or pleural effusion detected.</t>
  </si>
  <si>
    <t>Three orthogonal thoracic radiographs dated 17th July 2024 are available for review. There are no previous radiographs available for comparison. _x000D_
_x000D_
Airway findings: The cervical and thoracic trachea have a normal size, outline and position. The carina, tracheal bifurcation and mainstem bronchi are normal. The pulmonary parenchyma is normal._x000D_
_x000D_
Cardiovascular findings: There is a small smoothly marginated soft tissue opacity contiguous with the caudal dorsal border of the cardiac silhouette. A soft tissue opacity is superimposed on the caudal cardiac silhouette in the dorsoventral image. The right atrium is prominent in the right lateral image. The overall cardiac silhouette is at upper normal limits.. The pulmonary vessels as well as the mainstem vasculature are normal._x000D_
_x000D_
Mediastinum and pleural space: No significant abnormalities are detected._x000D_
_x000D_
Musculoskeletal findings: No significant abnormalities are detected._x000D_
_x000D_
Included abdomen: No significant abnormalities are detected.</t>
  </si>
  <si>
    <t>1. Left and suspect right atrial dilation. This is most likely due to mixoid degeneration of the mitral and tricuspid valve. There is no evidence for cardiac insufficiency.</t>
  </si>
  <si>
    <t xml:space="preserve">
1.Pleural fissure lines or small volume pleural effusion has been detected. In a mildly overweight animal, excessive pericardial fat can artifactually mimic the result of minimal pleural effusion._x000D_
2.Mild cardiomegaly has been detected but Heart Failure is NOT suspected._x000D_
3.Are respiratory signs present? If NO._x000D_
4.MINIMAL to MILD BRONCHOINTERSTITIAL PULMONARY PATTERN; MILD DYNAMIC AIRWAY DISEASE; MILD PERIHILAR INFILTRATE._x000D_
5.Based on these AI airway/pulmonary findings, the probability of this patient having clinically detectable respiratory signs is LOW to MEDIUM (25-50%)_x000D_
6.Are respiratory signs present? If YES.</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</si>
  <si>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 fat opacity mass is seen in the subcutaneous tissues along the left lateral thorax.  A similar mass is seen along the lateral aspect of the left lateral abdomen.  Abdominal serosal detail is adequate in all quadrants.  The stomach contains a small amount of gas.  The small intestines are normal in size.  Gas and feces are present in the colon.  The urinary bladder is small.  The remaining abdominal organs are normal.  There is narrowing of the intervertebral disc space and spondylosis deformans at L1-2.</t>
  </si>
  <si>
    <t>Radiographically normal abdomen.  Radiographically normal thorax for patient of this age.  Lumbar changes suggest chronic intervertebral disc herniation.  Multiple subcutaneous lipomas.</t>
  </si>
  <si>
    <t>Fifteen orthogonal thoracic and abdominal radiographs including a upper GI contrast study (10 images) dated 16th July 2024 are available for review._x000D_
_x000D_
Abdomen: Precontrast: The hepatic silhouette is normal in size with smooth borders. The spleen is normal in shape, size and position. The kidneys are partially obscured by gastrointestinal contents, but the visible aspect are normal. The stomach is mainly empty with a normal axis. There is appropriate gas in the pyloric region on the left lateral image. To small intestines are variably filled with gas and fluid/soft tissue opaque material. No segmental dilation is noted. The descending colon contains gas and poorly formed faeces. The serosal detail is mildly reduced due to underexposure. Postcontrast: There is good filling of the stomach on the initial images, and immediate transfer of barium to the small intestines. The pylorus is patent on the ventrodorsal image. No filling defects are present. No segmental dilation is noted. No abnormalities are noted in the included thorax.</t>
  </si>
  <si>
    <t>1. Relatively unremarkable abdomen. A mild diffuse enterocolitis due to dietary indiscretion or infectious-inflammatory origin may be considered.</t>
  </si>
  <si>
    <t>Opposite lateral and ventrodorsal thoracic radiographs and cervical/skull radiographs (8 images) dated July 17, 2024._x000D_
_x000D_
_x000D_
A large variably marginated soft-tissue opaque mass is present in the cranioventral thorax. This mass is resulting in partial border effacement with the cranial mediastinum and suspected mediastinal widening. No pulmonary nodules are identified. No tracheobronchial lymphadenopathy is evident. The cardiovascular structures, trachea, pleural space, and diaphragm are unremarkable._x000D_
The liver is unremarkable in size and shape. The stomach is fairly gas distended. Cranial peritoneal detail is normal._x000D_
There is thoracolumbar spondylosis deformans._x000D_
No retropharyngeal or mandibular soft tissue swelling is evident. The nasal cavity, paranasal bones and sinuses, and remainder of the skull are unremarkable.</t>
  </si>
  <si>
    <t>1. Cranioventral thoracic mass likely of mediastinal origin. Rule out malignant neoplasia (cranial mediastinal lymphoma or leukemia, histiocytic sarcoma, thymoma) vs. less likely a pulmonary mass, mediastinal hemorrhage, or a large cyst._x000D_
2. No abnormalities identified in the skull, nasal cavity, or cervical region.</t>
  </si>
  <si>
    <t>Thoracic ultrasound or head and thoracic CT with contrast._x000D_
US-guided FNA of the mass could be considered for attempted cytologic diagnosis._x000D_
CBC, Chem, UA, thyroid, blood pressure, PT/PTT.</t>
  </si>
  <si>
    <t xml:space="preserve">
1.PLEURAL EFFUSION or PLEURAL FISSURE LINES; PULMONARY NODULES or NODULAR PATTERN; MILD INTERSTITIAL TO ALVEOLAR PATTERN; MILD BRONCHITIS; MINIMAL DYNAMIC AIRWAY DISEASE._x000D_
2.Based on the AI airway/pulmonary findings, the probability of this patient having clinically detectable respiratory signs is VERY HIGH (&gt;75%)_x000D_
3.The evaluation has detected pleural fluid and a soft tissue pulmonary nodule, a few nodules or mass lesion._x000D_
4.In older dogs, a pulmonary mass or pulmonary nodules, pulmonary hemorrhage, pleural effusion or PTE are primary considerations._x000D_
5.In the ABSENCE of respiratory signs, lung lobe collapse or severe atelectasis secondary to anesthesia or deep sedation could artifactually create this appearance._x000D_
6.If this AI evaluation is inconsistent with your assessment or the clinical picture, a Vetology AI overread may be beneficial._x000D_
7.The cardiac silhouette size is normal.</t>
  </si>
  <si>
    <t>Three radiographs of the abdomen are provided. The prostate is mildly enlarged consistent with the reproductive status of this patient. There is no peritoneal or retroperitoneal effusion. The stomach is moderately distended with fluid, gas, small volume amorphous soft tissue density, and a few punctate mineral densities. Small and large bowel are minimally filled. The cecum is gas dilated. Normal-sized liver, kidneys, spleen. The urinary bladder is mildly filled and soft tissue opaque. Normal caudal thorax.</t>
  </si>
  <si>
    <t>Gastric contents is most likely residual ingesta. Foreign material is given lesser consideration in the absence of vomiting. Otherwise normal abdomen.</t>
  </si>
  <si>
    <t>Recommend a CBC, blood chemistry profile, cranial nerve assessment, and medical support. Recommend close monitoring for development of respiratory signs over the next 24 hours, as noncardiogenic pulmonary edema can develop following episodes such as seizures or Bufo toad toxicity.</t>
  </si>
  <si>
    <t>Three orthogonal thoracic radiographs dated 17th July 2024 are available for review. There are no previous radiographs available for comparison. _x000D_
_x000D_
Airway findings: The thorax is well inflated in the images. The trachea has a normal position, shape and size. The carina and tracheal bifurcation are normal. There is a mild caudal dorsal bronchointerstitial pattern.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</si>
  <si>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1.Caudal bronchointerstitial pattern: Lower airway infectious-inflammatory disease such as infectious tracheobronchitis, viral-bacterial bronchitis, parasitic bronchitis, should be considered. Heart worm is considered unlikely. Pulmonary fibrosis is considered unlikely. _x000D_
An upper airway abnormality such as laryngitis should equally be considered.</t>
  </si>
  <si>
    <t>Respiratory workup including CBC, serum chemistry, urinalysis, Baermann faecal testing, 4DX, +/- respiratory panel as indicated is advised.  Alternatively, empirical therapy for lower airway disease, empirical deworming can be considered.. If the patient=ZZ91=s signs continue despite supportive care, bronchoscopy/BAL vs. endotracheal wash +/- consultation with an Internist should be considered. Evaluate for upper airway disease as clinically indicated.</t>
  </si>
  <si>
    <t>Three radiographs of the abdomen/proximal pelvic limbs are provided. In the abdomen there is no effusion. The gastrointestinal tract is moderately filled. Normal-sized liver and spleen. The kidneys are obscured. No radiopaque urolithiasis. Metal pin and cerclage wires along the spinous processes of L2 through L6. Narrowed T11-12, T12-13, T 13-L1 intervertebral disc spaces, of uncertain significance today. No pelvic fractures. The sacroiliac and right coxofemoral joint are congruent. The left femur is displaced craniodorsally with respect to the acetabulum. There is soft tissue opacity overlying the cranial aspect of the left stifle on the lateral view, however there are also superimposed skin folds. Medial patellar luxation on the left. No right stifle abnormalities.</t>
  </si>
  <si>
    <t>1. Left coxofemoral luxation. This is the cause for acute discomfort._x000D_
2. Medial patellar luxation on the left may be contributing to discomfort. Soft tissue density overlying the left stifle may be superimposed skin fold. Effusion secondary to cranial cruciate ligament insult is not ruled out. This should be correlated with palpation._x000D_
3. Normal abdomen.</t>
  </si>
  <si>
    <t>Recommend palpate for left stifle discomfort and instability, and reduction of the left coxofemoral joint.</t>
  </si>
  <si>
    <t xml:space="preserve">
1.Are respiratory signs present? If NO._x000D_
2.Severe bronchointerstitial pulmonary pattern present._x000D_
3.Based on these AI airway/pulmonary findings, the probability of this patient having clinically detectable respiratory signs is MEDIUM to HIGH (50-75%)_x000D_
4.Are respiratory signs present? If YES._x000D_
5.A severe perihilar infiltrate has been detected._x000D_
6.A moderate to severe interstitial to alveolar pattern has been detected._x000D_
7.Severe bronchial and severe alveolar pattern._x000D_
8.SEVERE BRONCHIAL PATTERN; MINIMAL DYNAMIC AIRWAY DISEASE._x000D_
9.Pleural fissure lines or moderate to severe pleural effusion has been detected. An overlying skin fold or in an obese animal, excessive pericardial fat could artifactually mimic the result of severe pleural effusion._x000D_
10.Severe cardiomegaly has been detected but Heart Failure is NOT suspected.</t>
  </si>
  <si>
    <t>Opposite lateral and ventrodorsal thoracic radiographs (3 images) dated July 17, 2024 and compared to prior studies from April 17 and February 29, 2024._x000D_
_x000D_
_x000D_
The cardiac silhouette remains moderately enlarged with dorsal deviation of the trachea, a soft tissue bulge in the region of the left atrium, and widening on the VD projection. The visible pulmonary vasculature is unremarkable. The great vessels are within normal limits. The lungs continue to have a severe mixed unstructured interstitial and bronchial pattern that is more severe in the right caudal lung lobe and has a more dorsal distribution. No pulmonary nodules or masses are identified. No intrathoracic lymphadenopathy is evident. The pleural space, mediastinum, and diaphragm are normal._x000D_
The liver is mildly enlarged. No aggressive osseous lesions are identified.</t>
  </si>
  <si>
    <t>1. Static moderate generalized and predominantly left-sided cardiomegaly is consistent with myxomatous mitral valve disease._x000D_
2. Relatively static severe unstructured interstitial and bronchial changes. Although I cannot completely rule out congestive heart failure, I would consider chronic lower airway disease/bronchitis with fibrosis or pulmonary hypertension from chronic mitral valve disease to be more likely given the lack of change and no reported respiratory distress._x000D_
3.  Mild hepatomegaly. Rule out a benign metabolic/vacuolar hepatopathy vs. less likely inflammatory and infiltrative neoplastic conditions.</t>
  </si>
  <si>
    <t>Continue medical management of heart disease. Consider an echocardiogram if not performed in the last 6 months.</t>
  </si>
  <si>
    <t>1) Unremarkable thorax without signs of cardiomegaly (this does not exclude a cardiac disease or hypovolemia), pulmonary metastases nor signs of thoracic lymphadenopathy. _x000D_
2) Hepatomegaly: Metabolic vs Vacuolar infiltration vs Hepatic nodular hyperplasia vs Inflammatory vs Toxic vs Neoplastic or a combination of these differentials.</t>
  </si>
  <si>
    <t>Given the lack of cardiomegaly but audible murmur, consider a cardiology consultation with ECG and echocardiogram followed by an abdominal US to further evaluate the hepatic parenchyma.</t>
  </si>
  <si>
    <t>4 images of the thorax are provided for review.  There is straightening of the caudal cardiac waist in the region of the left atrium.  No pulmonary infiltrates or nodules are seen.  The pulmonary vasculature is normal in size.  The mediastinal and pleural structures are normal.  Cranial abdominal detail is adequate.</t>
  </si>
  <si>
    <t>Mild left atrial enlargement without current evidence of cardiogenic pulmonary edema.  No current evidence of pulmonary nodules.</t>
  </si>
  <si>
    <t xml:space="preserve">
1.Are respiratory signs present. If YES._x000D_
2.Are respiratory signs present. If NO._x000D_
3.There is no evidence of DYNAMIC AIRWAY COLLAPSE or BRONCHIECTASIS._x000D_
4.Mild cardiomegaly has been detected but Heart Failure is NOT suspected._x000D_
5.PULMONARY NODULAR PATTERN; MINIMAL BRONCHOINTERSTITIAL PULMONARY PATTERN._x000D_
6.The evaluation has come up positive for a pulmonary nodular pattern._x000D_
7.Based on these AI airway/pulmonary findings, the probability of this patient having clinically detectable respiratory signs is MEDIUM (50%)</t>
  </si>
  <si>
    <t>Orthogonal views of the thorax are provided:_x000D_
_x000D_
Thorax:_x000D_
_x000D_
Unremarkable larynx._x000D_
No abnormalities seen in the trachea._x000D_
Cardiac silhouette has a normal shape and size._x000D_
Pulmonary vessels are within normal limits of size and shape._x000D_
Pulmonary parenchyma is within normal limits. No evidence of pneumonia._x000D_
Pleural space, mediastinum, diaphragm and thoracic wall within normal limits.</t>
  </si>
  <si>
    <t>Consider a bronchoscopy with BAL, culture, cytology, Baermann test and deworming. Evaluate the convenience of a CT of the oral cavity/mandibular lymph nodes and salivary glands.</t>
  </si>
  <si>
    <t>Thoracolumbar spine: There is no evidence of disc space collapse.  There is no evidence of fractures, lysis, or malalignment._x000D_
_x000D_
Thorax: There is mild generalized cardiomegaly.  The pulmonary vasculature and pulmonary parenchyma are unremarkable.  There is no evidence of pleural effusion or lymphadenopathy._x000D_
_x000D_
Abdomen: There are no abnormalities identified.</t>
  </si>
  <si>
    <t xml:space="preserve">
1.A mild interstitial has been identified._x000D_
2.A minimal perihilar infiltrate has been detected._x000D_
3.Mild dynamic airway disease has been detected._x000D_
4.Pleural fissure lines or small volume pleural effusion has been detected. In a mildly overweight animal, excessive pericardial fat can artifactually mimic the result of minimal pleural effusion._x000D_
5.Mild cardiomegaly has been detected but Heart Failure is NOT suspected.</t>
  </si>
  <si>
    <t>Three orthogonal survey radiographs of the thorax and abdomen dated 16th July 2024 are available for review. There are no previous radiographs available for comparison. _x000D_
_x000D_
Thorax: _x000D_
Airway findings: The thoracic trachea is elevated. Throughout the lung parenchyma there is a moderate interstitial opacification. The peripheral lung lobes are rounded, and retracted._x000D_
_x000D_
Cardiovascular findings: There is a small smoothly marginated soft tissue opacity contiguous with the caudal dorsal border of the cardiac silhouette. A smoothly marginated soft tissue opacity is superimposed on the caudal cardiac silhouette in the dorsoventral image. The overall cardiac silhouette is enlarged. There is mild increased cardiac sternal contact. The cardiac silhouette occupies approximately 80% of the width of the thoracic volume. The cranial and caudal pulmonary vasculature are poorly visible. The caudal vena cava is enlarged._x000D_
_x000D_
Mediastinum and pleural space: There is mild ventral soft tissue attenuation consistent with mild pleural effusion. Thickened pleural fissure lines are present._x000D_
_x000D_
Musculoskeletal findings: No significant abnormalities are detected._x000D_
_x000D_
Abdomen: The hepatic silhouette is enlarged rounded borders. The tail of the spleen is prominent. The gastric axis is caudal displaced. The small intestines are distributed evenly and are within normal limits for shape, size and contents. The ascending, transverse and descending colon have a normal position and contain gradually more formed faeces. The kidneys are partially obscured by gastrointestinal contents, but the visible aspect are normal. The urinary bladder is filled. The serosal detail is normal.</t>
  </si>
  <si>
    <t>1.Cardiomegaly and cardiogenic pulmonary edema consistent with left sided congestive heart failure. Ddx: myxomatous degeneration of the mitral (+- tricuspid) valves with post-capillary pulmonary hypertension vs systolic dysfunction (DCM)._x000D_
2. The interstitial opacification is most likely due to cardiogenic pulmonary oedema. Lower airway infectious/inflammatory disease is less likely however a severe viral pneumonia may be present.
(amended on 07/16/2024 18:07)
3. The hepatomegaly and splenomegaly is most likely due to congestion.</t>
  </si>
  <si>
    <t xml:space="preserve">
1.If NO respiratory signs are present, lung lobe collapse or severe atelectasis secondary to anesthesia or deep sedation could create this appearance._x000D_
2.SEVERE PLEURAL EFFUSION; MODERATE TO SEVERE INTERSTITIAL to ALVEOLAR PATTERN; MODERATE DYNAMIC AIRWAY DISEASE._x000D_
3.Based on the AI airway/pulmonary findings, the probability of this patient having clinically detectable respiratory signs is VERY HIGH (&gt;75%)_x000D_
4.Severe pleural effusion has been detected._x000D_
5.A moderate perihilar infitlrate has been detected._x000D_
6.Severe cardiomegaly has been detected but Heart Failure is NOT suspected.</t>
  </si>
  <si>
    <t xml:space="preserve">Patient Name : lily gayler, Date of study: Jul 16, 2024
3 images are provided for review
There are no previous radiographs for comparison.
Pulmonary parenchyma: A minimal to mild diffuse bronchial pattern is present.  A minimal diffuse interstitial pattern is present, least severe in the caudodorsal portion of the lungs.
Pulmonary vasculature: The pulmonary vasculature is subjectively normal in size and tapers in the periphery of the lungs.
Cardiac silhouette: The cardiac silhouette is severely enlarged and tall, occupying greater than 2/3 the height of the thorax.  The trachea is dorsally displaced. The caudodorsal margin of the cardiac silhouette is rounded and enlarged.  Rounded increased soft tissue is in the region of the left atrium.  A slight soft tissue bulge is at the 2-3 o'clock position (left auricular appendage) in the ventrodorsal image.  
Mediastinum: The cranial mediastinum is mildly symmetrically widened without increased soft tissue in the ventrodorsal image.  A leftward mediastinal shift tis present in the ventrodorsal image.  
Trachea: The trachea is normal.
Esophagus: The esophagus is not well-identified.
Pleural space: The pleural space is normal.
Musculoskeletal: The T13 vertebra is transitional with a thickened left and thinned right ribs.  The remaining included musculoskeletal structures are normal.
</t>
  </si>
  <si>
    <t xml:space="preserve">1. Severe left-sided cardiomegaly such as from reported myxomatous mitral valvular disease and insufficiency.
- No current evidence of left-sided congestive heart failure.  
2. Minimal diffuse bronchial and interstitial pulmonary patterns, least severe in the caudodorsal lungs. 
- Differential diagnoses include fibrosis from prior disease, age-related changes, or unlikely infectious/immune-mediated lower airway disease or other.
3. Cranial mediastinal widening due to fat deposition/variation of normal or unlikely other.  </t>
  </si>
  <si>
    <t>Echocardiography and ECG for further evaluation if not recently performed.  Consider a dorsoventral image of the thorax as well as orthogonal lateral images for further evaluation, especially if clinical signs acutely change or worsen in the interim (such as manifestation of dyspnea).  Routine blood work and urinalysis may be contributory if not recently performed.  Consider empirical therapy/supportive care for cough in the interim as needed.  Monitoring as directed, or sooner if clinical signs acutely change, fail to improve or worsen.</t>
  </si>
  <si>
    <t xml:space="preserve">
1.A severe perihilar infiltrate has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4.Are respiratory signs present? If NO._x000D_
5.SEVERE INTERSTITIAL TO ALVEOLAR PATTERN; SEVERE BRONCHIAL PATTERN; SEVERE DYNAMIC AIRWAY DISEASE._x000D_
6.Based on these AI airway/pulmonary findings, the probability of this patient having clinically detectable respiratory signs is VERY HIGH (&gt;75%)_x000D_
7.Are respiratory signs present? If YES.</t>
  </si>
  <si>
    <t>5 images of the thorax and abdomen are provided for review.  The cardiovascular structures are normal.  Alveolar opacity is present in the right cranial, right middle, and caudal subsegment of left cranial lung lobes.  The mediastinal and pleural structures are normal.  Abdominal serosal detail is adequate in all quadrants.  The liver margins are rounded and extend beyond the costal arch, causing caudal displacement of the gastric axis.  The stomach contains a moderate amount of ingesta with multiple angular mineral structures.  The small intestines are normal in size.  Gas and feces are present in the colon.  The urinary bladder is small.  The remaining abdominal organs are normal.</t>
  </si>
  <si>
    <t>Hepatomegaly=ZZ90= this is a nonspecific finding that may be seen with congestion, vacuolar hepatopathy, inflammation, neoplasia, etc.  Abdominal ultrasound may be helpful in further evaluation if biochemically indicated.  Gastric mineral foreign bodies.  Alveolar pulmonary pattern concerning for aspiration type pneumonia.  Airway sampling may be helpful in further evaluation.</t>
  </si>
  <si>
    <t xml:space="preserve">
1.MODERATE INTERSTITIAL TO ALVEOLAR INFILTRATE; MILD BRONCHIAL PATTERN; MILD PERIHILAR INFILTRATE._x000D_
2.Based on the AI airway/pulmonary findings, the probability of this patient having clinically detectable respiratory signs is HIGH (75%)_x000D_
3.Are respiratory signs present? If YES._x000D_
4.Are respiratory signs present? If NO._x000D_
5.A mild perihilar infiltrate has been detected._x000D_
6.The cardiac silhouette size is normal.</t>
  </si>
  <si>
    <t>Patient Name : Bandit Johnson, Date of study: Jul 16, 2024
3 images are provided for review
Canine Thorax (3 Images) - 2 Lateral, 1 Vd
The same images are also attached to case 2712472.
Pulmonary parenchyma: A severe alveolar pattern is present in the mid-zone and ventral periphery of the right middle lung lobe, with well-defined air-bronchograms and lobar margination with the right caudal lung lobe.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minimal gas or is empty.  
Pleural space: The pleural space is normal.
Musculoskeletal: Broad-based or ovoid soft tissue to fat opaque mass arises from the right mid-ventral extra-thoracic soft tissues.  This superimposes over the right lungs in the ventrodorsal image.  The remaining included musculoskeletal structures are normal.
.</t>
  </si>
  <si>
    <t xml:space="preserve">1. Right middle lung lobe alveolar pattern due to bronchopneumonia/aspiration pneumonia, or unlikely other such as hemorrhage or neoplasia.
2. Minimal-mild diffuse bronchial pulmonary pattern such as from infectious/immune-mediated lower airway disease (mycoplasma spp., bordetella spp., parasitism, inhaled allergen/irritant), fibrosis from prior disease, age-related changes, or less likely other.
3. Right mid-ventral extra-thoracic soft tissue or fat opaque mass such as from lipoma, or evolving neoplasia (benign versus malignant) or unlikely other.  </t>
  </si>
  <si>
    <t>Therapy for suspected bronchopneumonia with broad-spectrum antibiotics and supportive care in the interim.  Therapy for 1-2 weeks past radiographic resolution of the pulmonary pattern. 
Monitoring as directed or sooner if clinical signs acutely change, fail to improve or worsen.</t>
  </si>
  <si>
    <t xml:space="preserve">
1.SEVERE INTERSTITIAL TO ALVEOLAR PATTERN; PULMONARY NODULES OR MASS LESION; PLEURAL FLUID or PLEURAL THICKENING; MILD BRONCHIAL PATTERN; MINIMAL DYNAMIC AIRWAY DISEASE._x000D_
2.Based on these AI airway/pulmonary findings, the probability of this patient having clinically detectable respiratorysigns is VERY HIGH (&gt;75%)_x000D_
3.The evaluation has come up positive for a pulmonary nodular pattern and pleural fissure lines or pleural effusion._x000D_
4.Are respiratory signs present? If YES._x000D_
5.Are respiratory signs present? If NO._x000D_
6.PULMONARY NODULES or NODULAR PATTERN; MODERATE TO SEVERE INTERSTITIAL TO ALVEOLAR PATTERN; PLEURAL EFFUSION; MILD BRONCHITIS; MILD PERIHILAR INFILTRATE._x000D_
7.Based on the AI airway/pulmonary findings, the probability of this patient having clinically detectable respiratory signs is VERY HIGH (&gt;75%)_x000D_
8.Are respiratory signs present? If YES._x000D_
9.The cardiac silhouette size is normal._x000D_
10.Are respiratory signs present? If NO._x000D_
11.The evaluation has a strong suspicion of soft tissue pulmonary nodules or mass lesion being present.</t>
  </si>
  <si>
    <t>A lateral radiograph of the neck, orthogonal views of the thorax, and three views of the abdomen are provided. Cervical vertebral alignment is normal. Possible mild narrowed C4-5 intervertebral disc space. No endplate lysis. Normal scapulae and shoulder joints. In the thorax there is mild left atrial enlargement. Overall cardiac silhouette size appears relatively larger on the VD projection due to thoracic conformation. Pulmonary vessels are normal size. Faint bronchial markings is normal for the age of this patient.No pleural effusion. Adequate tracheal diameter. Mild debris type or related congenital vertebral malformations in the mid thoracic spine, and narrowed T12-13 intervertebral disc space._x000D_
_x000D_
In the abdomen there is no effusion. Curved soft tissue density in the cranial right quadrant is likely fluid in the gastric fundus. Small and large bowel are minimally filled. No radiopaque cystic calculi. Normal lumbar spine and coxofemoral joints.</t>
  </si>
  <si>
    <t>1. The appearance of C4-5 and T12-13 are both suggestive of a protruding/extruded intervertebral disc. Such a lesion at this or another site is the most likely cause for the discomfort._x000D_
2. Mild left atrial enlargement consistent with acquired mitral valve disease. There is no pulmonary venous congestion or pulmonary edema. This is of doubtful clinical significance today. No other thoracic abnormalities._x000D_
3. Normal abdomen.</t>
  </si>
  <si>
    <t>If there are no significant neurologic deficits, this patient may benefit from anti-inflammatories and strict rest. Otherwise, consultation with a neurologist and advanced spinal imaging with CT/MRI would be recommended.</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</si>
  <si>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WNL._x000D_
_x000D_
Visible spine is unremarkable without signs of disc herniation, aggressive bone lesions, vertebral fractures or subluxations.</t>
  </si>
  <si>
    <t>1) Unremarkable thorax without signs of pulmonary metastases nor signs of thoracic lymphadenopathy._x000D_
2) Unremarkable abdomen._x000D_
3) Unremarkable spine. This does not exclude extradural nor intramedullary lesions.</t>
  </si>
  <si>
    <t>Orthogonal views of the thorax are provided:_x000D_
_x000D_
Thorax:_x000D_
_x000D_
No abnormalities are seen in the trachea._x000D_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t>
  </si>
  <si>
    <t xml:space="preserve">
1.MILD to MODERATE BRONCHINTERSTITIAL PATTERN with ATELECTASIS or less likely, PNEUMONIA; MILD DYNAMIC AIRWAY DISEASE._x000D_
2.Based on these AI airway/pulmonary findings, the probability of this patient having clinically detectable respiratory signs is MEDIUM (50%)_x000D_
3.Are respiratory signs present? If YES._x000D_
4.Are respiratory signs present? If NO._x000D_
5.Mild cardiomegaly has been detected but Heart Failure is NOT suspected.</t>
  </si>
  <si>
    <t>Orthogonal views of the thorax are provided:_x000D_
_x000D_
Thorax:_x000D_
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Signs of caudal cervical chronic IVDD.</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</si>
  <si>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Foreign mineral material in the stomach.</t>
  </si>
  <si>
    <t>Thorax: There is mild diffuse bronchial pattern.  The remainder of the pulmonary parenchyma is unremarkable.  The cardiac silhouette and pulmonary vasculature are unremarkable.  There is mild periarticular osseous remodeling associated with a shoulder (laterality uncertain)._x000D_
_x000D_
Abdomen: The liver and spleen are unremarkable.  There are no abnormalities involving the visible portions of the gastrointestinal tract and urinary tract.  Serosal detail is normal.  There are multiple regions of lumbar vertebral spondylosis deformans.</t>
  </si>
  <si>
    <t>Mild diffuse bronchial pattern which may be age-related or bronchitis.</t>
  </si>
  <si>
    <t xml:space="preserve">
1.The evaluation result has a strong suspicion of soft tissue pulmonary nodules being present._x000D_
2.Are respiratory signs present? If NO._x000D_
3.The cardiac silhouette size is normal._x000D_
4.There is no evidence of DYNAMIC AIRWAY COLLAPSE or BRONCHIECTASIS or PLEURAL EFFUSION._x000D_
5.PULMONARY NODULES or NODULAR PATTERN; MODERATE INTERSTITIAL TO ALVEOLAR PATTERN; MILD BRONCHITIS._x000D_
6.Based on the AI airway/pulmonary findings, the probability of this patient having soft tissue pulmonary nodules and clinically detectable respiratory signs is VERY HIGH (&gt;75%)_x000D_
7.Are respiratory signs present? If YES.</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</si>
  <si>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soft tissue material.  The small intestines are normal in size.  Gas and feces are present in the colon.  The urinary bladder is small.  The remaining abdominal organs are normal.</t>
  </si>
  <si>
    <t>Material within the stomach may represent residual ingesta or foreign material.  Consider repeat radiographs following strict fasting to determine if gastric contents persist.  Radiographically normal thorax for patient of this age.</t>
  </si>
  <si>
    <t xml:space="preserve">Patient Name : Miracle Guerra, Date of study: Jul 16, 2024
7 images are provided for review
There are no previous radiographs for comparison.
Pulmonary parenchyma: A mild to moderate diffuse bronchial pattern is present.  Increased interstitial to alveolar soft tissue is present in the accessory lung lobe.  The accessory lung lobe is subjectively reduced in size.  Ill-defined interstitial soft tissue is in the left lung lobes in the ventrodorsal image.   Increased peri-hilar soft tissue is present in the lateral images, with suspected ventral displacement of the caudal lobar bronchi.  
Pulmonary vasculature: The pulmonary vasculature is subjectively normal in size and tapers in the periphery of the lungs.
Cardiac silhouette: The cardiac silhouette is partially obscured at its caudal margin.  No obvious cardiomegaly is identified.
Mediastinum: A rightward mediastinal shift is present.  The cranial mediastinum is normal.
Trachea: The trachea is normal.
Esophagus: The esophagus is not well-identified.
Pleural space: The pleural space is normal.
Musculoskeletal: Multiple variably sized soft tissue nodules arise from the ventral extra-thoracic and extra-abdominal body wall.   L1-2 spondylosis deformans is present. The remaining included musculoskeletal structures are normal.
</t>
  </si>
  <si>
    <t xml:space="preserve">1. Accessory lung lobe increased interstitial to alveolar soft tissue, or unlikely mass, with suspected lung-volume loss and rightward mediastinal shift.
- This may be due to bronchial compression from hilar mass/lymphadenomegaly, bronchial plugging from lower airway disease, pulmonary eosinophilia, lymphomatoid granulomatosis, or unlikely an evolving primary mass given suspected decreased size/mediastinal shift.
- Pulmonary hemorrhage is also possible, but least likely.
2. Left-sided focal interstitial pattern in the ventrodorsal image due to evolving metastatic/multicentric neoplasia, atypical pneumonitis or evolving pneumonia, artifact/atelectasis, or unlikely other.
3. Mild-moderate diffuse bronchial pulmonary pattern due to infectious/immune-mediated lower airway disease, atypical metastatic neoplasia (such as from mammary carcinoma or other), or unlikely other.  
4. Suspected tracheobronchial lymphadenomegaly/mass versus other.
- Tracheobronchial lymphadenomegaly is suspicious for metastatic/multicentric neoplasia or unlikely granulomatous/fungal disease or other.  
5. Multiple extra-thoracic and extra-abdominal body wall soft tissue nodules such as from malignant or benign neoplasia versus other.  </t>
  </si>
  <si>
    <t>Consider thoracic computed tomography for further evaluation of the accessory lung lobe, left lung lobes and to confirm tracheobronchial lymphadenomegaly/mass.  Coagulation testing and tissue sampling if a mass is confirmed via percutaneous aspirates if accessible versus thoracotomy and lung lobectomy.  Empirical therapy and supportive care in the interim as needed. 
 Fungal serology may be contributory if the patient has an appropriate travel/exposure history, and if additional diagnostics are inconclusive.  Monitoring as directed or sooner if clinical signs acutely change, fail to improve or worsen.</t>
  </si>
  <si>
    <t xml:space="preserve">
1.PULMONARY NODULES or NODULAR PATTERN; MODERATE TO SEVERE INTERSTITIAL TO ALVEOLAR PATTERN; PLEURAL EFFUSION; MILD BRONCHITIS; MILD PERIHILAR INFILTRATE._x000D_
2.Based on the AI airway/pulmonary findings, the probability of this patient having clinically detectable respiratory signs is VERY HIGH (&gt;75%)_x000D_
3.The evaluation has a strong suspicion of soft tissue pulmonary nodules or mass lesion being present._x000D_
4.Are respiratory signs present? If YES._x000D_
5.Mild cardiomegaly has been detected but Heart Failure is NOT suspected._x000D_
6.Are respiratory signs present? If NO.</t>
  </si>
  <si>
    <t>A single right lateral view of the thorax and orthogonal views of the abdomen are provided:_x000D_
_x000D_
Thorax:_x000D_
_x000D_
Cardiac silhouette has a normal shape and size._x000D_
Pulmonary vessels are within normal limits of size and shape._x000D_
Pulmonary parenchyma shows multiple pulmonary nodules throughout the different lung lobes._x000D_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and urinary bladder WNL._x000D_
_x000D_
Visible spine shows questionable poorly defined sclerotic margin of the caudal aspect of L4. No signs of disc herniation, vertebral fractures or subluxations.</t>
  </si>
  <si>
    <t>1) Multiple pulmonary nodules consistent with pulmonary metastases._x000D_
2) Unremarkable abdomen._x000D_
3) Questionable poorly defined sclerotic margin of the caudal aspect of L4. Rule out artifactual vs true lysis.</t>
  </si>
  <si>
    <t>VD view of the thorax, abdominal US to try find a primary neoplasm, US guided FNAs of the reachable pulmonary nodules and full neuro exam with MRI if necessary.</t>
  </si>
  <si>
    <t xml:space="preserve">
1.Are respiratory signs present? If NO._x000D_
2.The evaluation has a strong suspicion of pulmonary nodules or mass lesion being present._x000D_
3.MODERATE INTERSTITIAL TO ALVEOLAR PATTERN; MODERATE BRONCHITIS._x000D_
4.Based on the AI airway/pulmonary findings, the probability of this patient having clinically detectable respiratory signs is MEDIUM to HIGH (50-75%)_x000D_
5.Are respiratory signs present? If YES._x000D_
6.Pleural fissure lines or moderate to severe pleural effusion has been detected. An overlying skin fold or in an obese animal, excessive pericardial fat could artifactually mimic the result of severe pleural effusion._x000D_
7.The cardiac silhouette size is normal.</t>
  </si>
  <si>
    <t>A three view study of the thorax is provided for interpretation. The most recent previous radiographs are 10-20-21._x000D_
_x000D_
There is a moderate bronchial pulmonary pattern. The overall appearance is improved relative to the previous study dated 12-20-21, but still considered abnormal. The concern for interstitial to alveolar infiltrates involving left cranial lung in the previous study is resolved. The heart is at the upper end of normal size range, with normal shape. The cranial abdominal organs are unremarkable. No tracheal abnormalities are identified.</t>
  </si>
  <si>
    <t>No new abnormalities are identified as compared to previous radiographs in this patient. There is still a moderate bronchial pattern, which was present previously. Severity appears slightly less than it did previously, although this is likely affected by the degree of thoracic inflation. No evidence of pneumonia, neoplasia, or heart failure is seen. No evidence of tracheal collapse is identified.</t>
  </si>
  <si>
    <t xml:space="preserve">
1.A mild perihilar infiltrate has been detected._x000D_
2.A moderate bronchial pattern has been detected._x000D_
3.Mild cardiomegaly has been detected but Heart Failure is NOT suspected._x000D_
4.There is no evidence of ALVEOLAR PATTERN or DYNAMIC AIRWAY COLLAPSE or BRONCHIECTASIS.</t>
  </si>
  <si>
    <t xml:space="preserve">Patient Name : Roo Obrien, Date of study: Jul 16, 2024
3 images are provided for review
Canine Thorax (3 Images) - 2 Lateral, 1 Vd
There are no previous radiographs for comparison.
Pulmonary parenchyma: A moderate diffuse bronchial pattern is present.
Pulmonary vasculature: The pulmonary vasculature is subjectively normal in size and tapers in the periphery of the lungs.
Cardiac silhouette: The cardiac silhouette is slightly tall with a slightly flat caudodorsal margin in the right lateral image.  This is not well identified in the left lateral images.  
Mediastinum: The cranial mediastinum is normal.
Trachea: The trachea is normal.
Esophagus: The esophagus is not well-identified.
Pleural space: The pleural space is normal.
Musculoskeletal: The included musculoskeletal structures are normal.
</t>
  </si>
  <si>
    <t>1. Moderate diffuse bronchial pulmonary pattern.
- Differential diagnoses include infectious/immune-mediated lower airway disease such as from bordetella spp., mycoplasma spp., parasitism, inhaled allergen/irritant or a combination of these, or less likely fungal organisms, with/without fibrosis from prior disease, age-related changes, or unlikely other.
2. Minimal left-sided cardiomegaly versus artifact from phase of the cardiopulmonary cycle or patient positioning.
- If present, consider myxomatous mitral valvular disease versus other.
- There is no current evidence of cardiogenic pulmonary edema.</t>
  </si>
  <si>
    <t>Consider echocardiography, blood pressure, and ECG for further evaluation.  Routine blood work and fecal analysis/empirical deworming may be contributory if not recently performed.  Empirical therapy and supportive care for possible lower airway disease in the interim as needed.  If dyspnea manifests, consider repeat thoracic radiographs including a dorsoventral image, oxygen therapy, diuretic therapy and monitoring with serial thoracic radiographs for improvement of the pulmonary pattern.   Monitoring as directed or sooner if clinical signs acutely change, fail to improve or worsen.</t>
  </si>
  <si>
    <t xml:space="preserve">
1.SEVERE ALVEOLAR INFILTRATE; MILD PERIHILAR PATTERN; MORE DIFFUSE MILD BRONCHOINTERSTITIAL PULMONARY PATTERN._x000D_
2.Based on the AI airway/pulmonary findings, the probability of this patient having clinically detectable respiratory signs is HIGH (75%)_x000D_
3.Pleural fissure lines or moderate to severe pleural effusion has been detected. An overlying skin fold or in an obese animal, excessive pericardial fat could artifactually mimic the result of severe pleural effusion._x000D_
4.The cardiac silhouette size is normal._x000D_
5.Are respiratory signs present? If YES._x000D_
6.Are respiratory signs present? If NO.</t>
  </si>
  <si>
    <t>Three radiographs of the thorax and of the abdomen are provided. The cardiac silhouette and pulmonary vessels are normal size and shape. There is a well delineated curved soft tissue opacity measuring at least 3.1 x 3.1 cm in the caudal thorax adjacent to the diaphragm at the level of the caudal vena cava. On the VD projection this is predominantly right-sided, but may extend into the caudal mediastinum. There is loss of visibility of the caudal vena cava margins. There are mild age-related changes in the lungs. Curved soft tissue opacity overlying the mid thorax on the right lateral view is caused by superimposed skin fold. Tracheal diameter and position are normal._x000D_
_x000D_
In the abdomen there is no effusion. Normal-sized liver, spleen, left kidney. The right kidney is obscured by bowel loops. The gastrointestinal tract is mildly filled. No radiopaque cystic calculi. The prostate is visible but not enlarged. Small round soft tissue densities ventral to L6 are end-on vessels. Narrowed T13-L1, L1-2, L2-3 intervertebral disc spaces is likely incidental today.</t>
  </si>
  <si>
    <t>1. Caudal right thoracic mass-effect. A peripheral lung mass or pleural mass are of concern. A lipoma in the caudal mediastinum or small diaphragm rent with extension of a portion of the liver into the thorax are not ruled out. No other thoracic abnormalities. It is unknown if the mass is responsible for the coughing. Inhaled irritant/allergens is also possible. There is no evidence of cardiovascular disease on this study._x000D_
2. Normal abdomen.</t>
  </si>
  <si>
    <t>Ultrasound evaluation of the liver, diaphragm, caudal thorax (using transhepatic window) could be considered to determine if the mass lesion originates from the abdomen versus thorax. A lipoma could also be differentiated from other mass tissue. With the location of the mass, ultrasound-guided sampling is not possible.</t>
  </si>
  <si>
    <t xml:space="preserve">
1.MILD BRONCHIAL PATTERN; MINIMAL DYNAMIC AIRWAY DISEASE._x000D_
2.Based on these AI airway/pulmonary findings, the probability of this patient having clinically detectable respiratory signs is LOW (25%)_x000D_
3.Are respiratory signs present? If YES._x000D_
4.Are respiratory signs present? If NO._x000D_
5.There is no evidence of ALVEOLAR PATTERN, PERIHILAR INFILTRATE, PULMONARY NODULES or PLEURAL EFFUSION._x000D_
6.Mild cardiomegaly has been detected but Heart Failure is NOT suspected.</t>
  </si>
  <si>
    <t>Three orthogonal thoracic radiographs dated 16th July 2024 are available for review. There are no previous radiographs available for comparison. _x000D_
_x000D_
Airway findings: The cervical and thoracic trachea have a normal size, outline and position. The carina, tracheal bifurcation and mainstem bronchi are normal. There is alveolar opacification of the right cranial and right middle lung lobes. A diffuse mild bronchointerstitial opacification is present in the remainder of the lung parenchyma._x000D_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minor gas in the cranial thoracic oesophagus._x000D_
_x000D_
Musculoskeletal findings: No significant abnormalities are detected._x000D_
_x000D_
Included abdomen: No significant abnormalities are detected.</t>
  </si>
  <si>
    <t>The findings are consistent with aspiration pneumonia, or lobar bronchopneumonia. The bronchointerstitial opacification is likely extension of disease.</t>
  </si>
  <si>
    <t>Treat for aspiration pneumonia/Lobar bronchopneumonia. Repeat radiographs prior to end of therapy. Evaluate for dysphagia.</t>
  </si>
  <si>
    <t xml:space="preserve">
1.SEVERE ALVEOLAR INFILTRATE; MILD PERIHILAR PATTERN; MORE DIFFUSE MILD BRONCHOINTERSTITIAL PULMONARY PATTERN._x000D_
2.Based on the AI airway/pulmonary findings, the probability of this patient having clinically detectable respiratory signs is VERY HIGH (&gt;75%)_x000D_
3.Pleural fissure lines or moderate to severe pleural effusion has been detected. An overlying skin fold or in an obese animal, excessive pericardial fat could artifactually mimic the result of severe pleural effusion._x000D_
4.Are respiratory signs present? If YES._x000D_
5.AI linked canine bacterial pneumonia treatment: https://platform.v2.vetology.net/doc/pneumonia-in-dogs-and-cats_x000D_
6.Are respiratory signs present? If NO._x000D_
7.The evaluation has come up positive for a pulmonary nodular pattern._x000D_
8.The cardiac silhouette size is normal.</t>
  </si>
  <si>
    <t>Six orthogonal survey radiographs of the thorax and abdomen dated 16th July 2024 are available for review. There are no previous radiographs available for comparison. _x000D_
_x000D_
Thorax: _x000D_
Airway findings: The trachea has a normal position. There is widening of the tracheal bifurcation. Throughout the lung parenchyma there is a mild interstitial opacification, most prominent in the perihilar region. No nodules or masses are seen._x000D_
_x000D_
Cardiovascular findings: There is a large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80% of the width of the thoracic volume. The cranial and caudal pulmonary vasculature are within upper normal limits. The caudal vena cava is enlarged._x000D_
_x000D_
Mediastinum and pleural space: There is mild ventral soft tissue attenuation consistent with mild pleural effusion._x000D_
_x000D_
Musculoskeletal findings: No significant abnormalities are detected._x000D_
_x000D_
Abdomen: The hepatic silhouette to smoothly enlarged. The spleen is normal. The kidneys are partially obscured by gastrointestinal contents, but the visible aspect are normal. The stomach contains a moderate amount of food material. The small intestines are distributed evenly and are within normal limits for shape, size and contents. The ascending, transverse and descending colon have a normal position and contain gradually more formed faeces. The urinary bladder is small. The serosal detail is normal. The spleen is normal in shape, size and position. The kidneys are partially obscured by gastrointestinal contents, but the visible aspect are normal._x000D_
_x000D_
Musculoskeletal system: There is severe bilateral hip dysplasia and secondary coxofemoral osteoarthritis.</t>
  </si>
  <si>
    <t>1.Mainly left sided cardiomegaly with left atrial dilation Ddx: myxomatous degeneration of the mitral (+- tricuspid) valves with post-capillary pulmonary hypertension vs systolic dysfunction (DCM). The evidence for cardiac insufficiency is equivocal._x000D_
2. The interstitial opacification is most likely due to early cardiogenic pulmonary oedema. Lower airway infectious/inflammatory disease is less likely._x000D_
3.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origins._x000D_
4. Severe bilateral hip dysplasia and coxofemoral osteoarthritis.</t>
  </si>
  <si>
    <t>Complete bloodwork if not already performed. ECG, blood pressure measurements and echocardiography is advised. Management for cardiac insufficiency depending on result.</t>
  </si>
  <si>
    <t xml:space="preserve">
1.There is no evidence of PERIHILAR INFILTRATE or PULMONARY NODULES._x000D_
2.Are respiratory signs present? If NO._x000D_
3.MILD BRONCHOINTERSTITIAL PULMONARY PATTERN; MILD DYNAMIC AIRWAY DISEASE._x000D_
4.Based on these AI airway/pulmonary findings, the probability of this patient having clinically detectable respiratory signs is LOW to MEDIUM (25-50%)_x000D_
5.Are respiratory signs present? If YES._x000D_
6.Mild cardiomegaly has been detected but Heart Failure is NOT suspected.</t>
  </si>
  <si>
    <t>Orthogonal views of the thorax are provided:_x000D_
_x000D_
Thorax:_x000D_
_x000D_
Cardiac silhouette shows a subjective enlargement of the left atrium dorsally displacing the carina.Pulmonary vessels are within normal limits of size and shape._x000D_
Pulmonary parenchyma is within normal limits. No evidence of pulmonary nodules/masses._x000D_
Pleural space, mediastinum, diaphragm and thoracic wall within normal limits.</t>
  </si>
  <si>
    <t>1) Rule out left atrial enlargement secondary to chronic mitral endocardiosis without signs of CHF.2) No signs of pulmonary metastases nor signs of thoracic lymphadenopathy.</t>
  </si>
  <si>
    <t>Consider a cardiology consultation with ECG and echocardiogram and abdominal US with FNAs of the liver and spleen to rule out MCT infiltration.</t>
  </si>
  <si>
    <t xml:space="preserve">
1.MILD to MODERATE BRONCHINTERSTITIAL PATTERN with ATELECTASIS or less likely, PNEUMONIA; MILD DYNAMIC AIRWAY DISEASE._x000D_
2.Based on these AI airway/pulmonary findings, the probability of this patient having clinically detectable respiratory signs is MEDIUM (50%)_x000D_
3.Are respiratory signs present? If YES._x000D_
4.Are respiratory signs present? If NO._x000D_
5.Pleural fissure lines or small volume pleural effusion has been detected. In a mildly to moderately overweight animal, excessive pericardial fat can artifactually mimic the result of mild pleural effusion._x000D_
6.Moderate cardiomegaly has been detected but Heart Failure is NOT suspected.</t>
  </si>
  <si>
    <t>Thorax: The pulmonary parenchyma, cardiac silhouette, and pulmonary vasculature are unremarkable.  There is no evidence of pleural effusion or lymphadenopathy.  On the visible portions of the thoracic limbs at least 1 shoulder has mild periarticular osseous remodeling (laterality unknown) as well as an elbow having moderate osteoarthrosis (laterality uncertain).</t>
  </si>
  <si>
    <t>Unremarkable thorax._x000D_
_x000D_
Evidence of a shoulder with mild peritubular osseous remodeling and an elbow with osteoarthrosis.</t>
  </si>
  <si>
    <t>THORAX (4 total radiographs for review). No previous for comparison._x000D_
_x000D_
- Mild to moderate diffuse bronchial pattern._x000D_
- Right-sided unstructured interstitial pulmonary pattern._x000D_
- Leftward mediastinal shift._x000D_
- The cardiac silhouette and pulmonary vasculature are within normal._x000D_
- The trachea, esophagus and remainder of the mediastinum are normal._x000D_
- The pleural space and remaining intrathoracic structures are normal._x000D_
- The stomach contains a moderate volume of gas-stippled soft-tissue opaque material and amorphous mineral opaque material._x000D_
- The remaining cranial abdominal structures are normal._x000D_
- Multifocal vertebral spondylosis deformans, with caudal thoracic bridging._x000D_
- Bilateral cubital osteoarthritis (limited assessment).</t>
  </si>
  <si>
    <t>1.  Negative examination for evidence of thoracic metastatic neoplasia._x000D_
_x000D_
2.  Locally extensive right-sided unstructured interstitial pulmonary pattern. DDx pulmonary atelectasis, less likely pneumonia, fibrosis or PTE._x000D_
_x000D_
3. Mild diffuse bronchial pattern. Most likely representing age-related lower airway changes, however a component of chronic bronchitis is possible, especially if there is a history of abnormal respiratory sounds, wheezing and/or coughing._x000D_
_x000D_
4. Recent meal._x000D_
_x000D_
5. Widespread multifocal vertebral spondylosis deformans, with bridging._x000D_
_x000D_
6. Bilateral cubital osteoarthritis.</t>
  </si>
  <si>
    <t xml:space="preserve">
1.A mild perihilar infiltrate has been identified._x000D_
2.The evaluation has come up positive for a pulmonary nodular pattern._x000D_
3.A moderate to severe interstitial to alveolar infiltrate with a mild perihilar infiltrate has been identified._x000D_
4.Pleural fissure lines or moderate to severe pleural effusion has been detected. An overlying skin fold or in an obese animal, excessive pericardial fat could artifactually mimic the result of severe pleural effusion._x000D_
5.Severe cardiomegaly has been detected but Heart Failure is NOT suspected.</t>
  </si>
  <si>
    <t xml:space="preserve">Patient Name : Snickers Rivera, Date of study: Jul 16, 2024
3 images are provided for review
There are no previous radiographs for comparison.
Pulmonary parenchyma: The lungs are hypoinflated.  A minimal diffuse bronchial and interstitial pattern is present.
Pulmonary vasculature: The pulmonary vasculature is subjectively normal in size and tapers in the periphery of the lungs.
Cardiac silhouette: The cardiac silhouette has a flat caudodorsal margin.  The cardiac silhouette is mildly tall with dorsal tracheal displacement.  
Mediastinum: The cranial mediastinum is normal.
Trachea: The trachea is normal.
Esophagus: The esophagus is not well-identified.
Pleural space: The pleural space is normal.
Liver: The liver is enlarged with a caudoventral margin terminating just past the 13th ribs,and mild caudodorsal displacement of the gastric axis.  Convex partially mineral opaque material superimposes over the right ventral liver.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mild volume of gas and fluid or is empty.  The stomach is normal in size.
The small intestine contains mild to moderate fluid, mild gas, or is empty with a subjectively uniform population for size. 
The colon contains mild gas and heterogeneous soft tissue material or is empty.  The colon is normal in size.
Musculoskeletal: L3-4 spondylosis deformans is present.  The remaining included musculoskeletal structures are normal.
</t>
  </si>
  <si>
    <t xml:space="preserve">1. Equivocal left-sided cardiomegaly versus artifact from thoracic confirmation and phase of the cardiopulmonary cycle.
- If present the primary differential diagnosis is myxomatous mitral valvular disease and insufficiency.
- There is no current evidence of left-sided congestive heart failure.  
2. Minimal diffuse bronchial and interstitial pulmonary patterns due to hypoinflation, fibrosis from prior disease, age-related changes, or unlikely infectious/immune-mediated lower airway disease, or other.
3. Hepatomegaly with suspected choleliths/cholecystoliths.
- Differential diagnoses include vacuolar hepatopathy, nodular hyperplasia, hepatitis/cholangiohepatitis, or less likely evolving neoplasia or other.
4. Non-specific small intestinal appearance such as from enteritis, or individual variation of normal.
</t>
  </si>
  <si>
    <t>Consider echocardiography, ECG and blood pressure for further evaluation.  Abdominal ultrasonography to further evaluate the liver, gallbladder, and gastrointestinal tract.  Empirical therapy and supportive care in the interim as needed.  Monitoring as directed, or sooner if clinical signs acutely change, fail to improve or worsen.</t>
  </si>
  <si>
    <t>Twelve radiographs are provided, with images of the thorax, thoracic limbs, abdomen, and pelvis. The cardiac silhouette and pulmonary vessels are normal size and shape. There are mild age-related changes in the lungs. No soft tissue pulmonary nodules or pleural effusion. Normal cranial mediastinal width. No definitive narrowed cervical intervertebral disc spaces or foramina. The scapulae are unremarkable. The shoulder and cubital joints are congruent and without degenerative change. There is no osseous lysis or periosteal proliferation. Possible reduced cranial proximal left antebrachial musculature compared to the right, likely atrophy._x000D_
_x000D_
In the abdomen serosal detail is adequate. The liver, kidneys, and spleen are normal size and shape. The gastrointestinal tract is mildly filled. No radiopaque cystic calculi. No narrowed lumbar intervertebral disc spaces or foramina. There is no endplate lysis. The coxofemoral joints are congruent. Possible mild thickened femoral necks.</t>
  </si>
  <si>
    <t>1. Probable mild left antebrachial atrophy, otherwise no thoracic limb abnormalities are identified to explain the lameness. Soft tissue sprain/strain is most likely. A lateralized intervertebral disc lesion is next on the differential list._x000D_
2. No spinal abnormalities on this study. Non-mineralized intervertebral disc protrusion/extrusion remains possible._x000D_
3. Bilateral mild coxofemoral osteoarthritis._x000D_
4. Normal thorax and abdomen.</t>
  </si>
  <si>
    <t>Recommend urinalysis, CBC, and blood chemistry profile to workup the weight gain and polyuria/polydipsia. With the severity of pain, advanced spinal imaging with MRI should be considered.</t>
  </si>
  <si>
    <t>THORAX (3 total radiographs for review)._x000D_
_x000D_
- Mild diffuse bronchial pattern._x000D_
- Soft-tissue opaque band dorsally overlying the trachea in the thoracic inlet region._x000D_
- The cardiac silhouette and pulmonary vasculature are normal._x000D_
- The esophagus and remainder of the mediastinum are normal._x000D_
- The pleural space and remaining intrathoracic structures are normal._x000D_
- The stomach contains gas, soft-tissue opaque and mineral opaque amorphous debris._x000D_
- The remaining cranial abdominal structures are normal._x000D_
- Mild spondylosis and narrowing in the cranial lumbar region.</t>
  </si>
  <si>
    <t>1. The appearance of the trachea can be compatible with tracheal collapse, secondary to chondromalacia._x000D_
_x000D_
2. Mild diffuse bronchial pattern may be chronic bronchitis or normal, age-related lower airway changes._x000D_
_x000D_
3. Mild amorphous mineral opaque material in the stomach._x000D_
_x000D_
4. Thoracolumbar/cranial lumbar spondylosis deformans.</t>
  </si>
  <si>
    <t>Although overall no obvious cause for the reported coughing/gagging is clearly identified, it may be related to tracheal collapse and/or lower airway disease and evaluation for these pathologies may provide benefit.</t>
  </si>
  <si>
    <t>Three orthogonal thoracic radiographs dated 16th July 2024 are available for review. There are no previous radiographs available for comparison. _x000D_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</si>
  <si>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1.Diffuse mild bronchial pattern: Primary consideration should be given to normal ageing. Allergic bronchitis, chronic bacterial /viral bronchitis +/- parasitic bronchitis is possible. Less likely are heart worm, hyperardenocorticism, neoplasia (such a lymphoma) or idiopathic pulmonary fibrosis.</t>
  </si>
  <si>
    <t>No imaging findings would preclude routine anaesthesia. This needs to be correlated with clinical findings, and normal results of laboratory analysis. Radiography is insensitive for early cardiac morphologic and functional changes, therefore echocardiography is recommended if any doubt persists relative to cardiac functionality.</t>
  </si>
  <si>
    <t xml:space="preserve">
1.Mild cardiomegaly has been detected but Heart Failure is NOT suspected._x000D_
2.There is no evidence of PERIHILAR INFILTRATE, PULMONARY NODULES or PLEURAL EFFUSION._x000D_
3.A moderate bronchointerstitial pulmonary pattern detected.</t>
  </si>
  <si>
    <t>Four radiographs of the thorax, and two views of the distal left thoracic limb are provided. The distal right thoracic limb is included on the dorsopalmar projection. The cardiac silhouette and pulmonary vessels are normal size and shape for this breed. The heart appears relatively larger on the VD projection due to partial expiration and conformation. There are a few incidental pulmonary osteomas. No soft tissue pulmonary nodules, intrathoracic lymphadenomegaly, or pleural effusion. There is diffuse lysis of the 3rd phalanx of the left 2nd digit, with absent distal two thirds of the ungual process. There are several small gas foci within the nail of the associated digit. The 2nd phalanx shows no braces, however there is a small amount of smoothly marginated osseous proliferation along the axial aspect of the 2nd phalanx. This appears chronic and is likely incidental. Mild soft tissue swelling in the distal aspect of the affected digit. The remainder of the distal left limb and the contralateral limb are normal.</t>
  </si>
  <si>
    <t>1. Lytic distal 3rd phalanx of the left 2nd digit, significantly concerning for neoplasia. Paronychia is next on the differential list._x000D_
2. Normal thorax.</t>
  </si>
  <si>
    <t>Histopathology of the affected digit is recommended.</t>
  </si>
  <si>
    <t>We will nine radiographs of the thorax and abdomen are provided. The cardiac silhouette and pulmonary vessels are normal size and shape. There are several incidental pulmonary osteomas and crisp pleural fissure lines consistent with age. No soft tissue pulmonary nodules or pleural effusion. Small volume fat deposition in the cranial mediastinum. Tracheal diameter is adequate. Bilateral cubital osteoarthritis._x000D_
_x000D_
In the abdomen the splenic tail has two smoothly marginated round contours, measuring 7.8 cm and 6.1 cm. Small volume adjacent peritoneal fluid. Normal-sized kidneys and liver. The gastrointestinal tract is minimally filled. No radiopaque urolithiasis. No significant osseous abnormalities.</t>
  </si>
  <si>
    <t>1. Splenic masses with mild peritoneal effusion. Splenic hemangiosarcoma with hemorrhagic effusion is most likely. Hematomas/hemangiomas are given lesser consideration._x000D_
2. The thorax is normal.</t>
  </si>
  <si>
    <t>Abdominal ultrasound is recommended to determinate if there are additional lesions which may preclude surgical intervention.</t>
  </si>
  <si>
    <t>Four orthogonal survey radiographs of the thorax and abdomen dated 16th July 2024 are available for review. There are no previous radiographs available for comparison. These images are submitted for assessment of the vertebral column._x000D_
_x000D_
Vertebral column: The cervical vertebral column is obliqued. The intervertebral disc width is normal. No mineralised material is seen within or dorsal to the intervertebral disc spaces. There are minor mid thoracic congenital vertebral abnormalities, consistent with breed. There is minor narrowing of the intervertebral discs spaces at T11-T12 and T12-T13. L1 is transitional with rib formation. There is lateralising and ventral spondylosis at L4-5, and L5-L6. The intervertebral disc width is normal. The vertebral and plates are normal. Both coxofemoral joints are normal. There is mineralisation in the region of the gluteus insertions at the left coxofemoral joint.</t>
  </si>
  <si>
    <t>Mild multisite intervertebral disc disease. Occult intervertebral disease such as intervertebral disk protrusion or other spinal cord pathology including embolic (FCE), high velocity disk, inflammatory or neoplastic disease or degenerative myelopathy is not excluded . _x000D_
Mild gluteal insertion mineralisation.</t>
  </si>
  <si>
    <t>Orthogonal views of the thorax are provided:_x000D_
_x000D_
Thorax:_x000D_
_x000D_
No abnormalities seen in the trachea._x000D_
The esophagus is mildly gas distended._x000D_
Cardiac silhouette has a normal shape and size._x000D_
Pulmonary vessels are within normal limits of size and shape._x000D_
Pulmonary parenchyma shows a bronchial pattern of the cranial lung lobes and right middle lung lobe. No evidence of pneumonia._x000D_
Pleural space, mediastinum, diaphragm and thoracic wall within normal limits.</t>
  </si>
  <si>
    <t>1) Bronchial pattern of the cranial lung lobes and right middle lung lob is compatible with chronic lower airway disease likely secondary or the consequence of pneumonia.</t>
  </si>
  <si>
    <t>Rule out any predisposing conditions for regurgitation or neurological condition such as laryngeal paralysis.</t>
  </si>
  <si>
    <t xml:space="preserve">
1.PLEURAL EFFUSION or less likely, OVERLYING SKIN FOLDS MIMICKING PLEURAL FLUID; PULMONARY NODULAR PATTERN likely due to END ON PULMONARY VESSELS, PROMINENT COSTOCHONDRAL JUNCTIONS or OVERLYING CUTANEOUS NODULES; MILD BRONCHIAL PATTERN._x000D_
2.Based on these AI airway/pulmonary findings, the probability of this patient having clinically detectable respiratory signs is HIGH (75%)_x000D_
3.A moderate perihilar infitlrate has been detected._x000D_
4.The cardiac silhouette size is normal._x000D_
5.Are respiratory signs present? If YES._x000D_
6.Are respiratory signs present? If NO._x000D_
7.Pleural fissure lines or moderate to severe pleural effusion has been detected._x000D_
8.The evaluation has a strong suspicion of pulmonary nodules or mass lesion being present._x000D_
9.A mild bronchial pattern has also been detected._x000D_
10.MODERATE INTERSTITIAL to ALVEOLAR INFILTRATE; MILD BRONCHIAL PATTERN._x000D_
11.Based on the AI airway/pulmonary findings, the probability of this patient having clinically detectable respiratory signs is HIGH (75%)</t>
  </si>
  <si>
    <t xml:space="preserve">Patient Name : Reba Smith, Date of study: Jul 16, 2024
3 images are provided for review
Canine Thorax (3 Images) - 2 Lateral, 1 Vd
This examination is compared to prior dated July 25, 2023.
Pulmonary parenchyma: A mild diffuse bronchial pattern is present. This is similar to prior.
Pulmonary vasculature: The pulmonary vasculature is subjectively normal in size and tapers in the periphery of the lungs.
Cardiac silhouette: The cardiac silhouette is normal in size and shape.
Mediastinum: Increased soft tissue is suspected in the caudal mediastinum that silhouettes with the diaphragm and the cardiac silhouette.  This soft tissues superimposes over the accessory lung lobe region.  The cranial mediastinum is mildly symmetrically widened in the ventrodorsal image.
Trachea: A slight soft tissue band partially superimposes over the trachea at the thoracic inlet.
Esophagus: The esophagus is not well-identified.
Pleural space: Minimal to mild pleural fluid is present, with widened pleural fissures between the right middle/caudal and left cranial/caudal lung lobes in the ventrodorsal image. 
Musculoskeletal: Suspected fat opaque mass in the soft tissues lateral to the right scapula in the ventrodorsal image.  The remaining included musculoskeletal structures are normal.
</t>
  </si>
  <si>
    <t xml:space="preserve">1. Suspected caudal mediastinal increased soft tissue or mass, or unlikely hernia, versus accessory lung lobe mass or least likely other.
- Differential diagnoses for a mediastinal mass include pleural carcinoma, diaphragmatic leiomyoma/sarcoma, versus other.
- Differential diagnose for an accessory lung lobe mass include primary pulmonary carcinoma versus metastatic disease from an occult primary carcinoma.
2. Mild left and right-sided pleural fluid, such as from evolving malignancy versus other.
3. Similar mild diffuse bronchial pulmonary pattern.
- Differential diagnoses include infectious/immune-mediated lower airway disease such as from mycoplasma spp., bordetella spp., parasitism, or unlikely other, with/without underlying chronic allergic/inflammatory bronchitis.
4. Similar mild symmetrical cranial mediastinal widening such as from fat deposition/variation of normal, or less likely evolving lymphadenomegaly or mass.
5. Suspected dorsal tracheal redundant membrane versus other, with/without underlying dynamic airway disease.  </t>
  </si>
  <si>
    <t>Consider computed tomography of the thorax and abdominal imaging with radiographs or computed tomography for further evaluation.  Consider thoracic ultrasonography, and possibly thoracocentesis with fluid analysis/cytology if pleural fluid is accessible.  Continue empirical therapy and supportive care as needed in the interim.  Monitoring as directed or sooner if clinical signs acutely change, fail to improve or worsen.</t>
  </si>
  <si>
    <t xml:space="preserve">
1.Moderate cardiomegaly has been detected but Heart Failure is NOT suspected._x000D_
2.MODERATE BRONCHOINTERSTITIAL PULMONARY PATTERN; MODERATE ALVEOLAR INFILTRATE or ATELECTASIA; PLEURAL FISSURE LINES or PLEURAL EFFUSION; MODERATE DYNAMIC AIRWAY DISEASE._x000D_
3.PLEURAL EFFUSION or PLEURAL FISSURE LINES; MODERATE INTERSITIAL TO ALVEOLAR PATTERN; MODERATE DYNAMIC AIRWAY COLLAPSE; MINIMAL PERIHILAR INFILTRATE._x000D_
4.Based on these AI airway/pulmonary findings, the probability of this patient having clinically detectable respiratory signs is HIGH (75%)_x000D_
5.Are respiratory signs present? If YES._x000D_
6.Are respiratory signs present? If NO._x000D_
7.Pleural fissure lines or moderate to severe pleural effusion has been detected._x000D_
8.Are respiratory signs present? If YES._x000D_
9.Are respiratory signs present? If NO.</t>
  </si>
  <si>
    <t>Three orthogonal thoracic radiographs dated 16th July 2024 are available for review. There are no previous radiographs available for comparison. _x000D_
_x000D_
Thorax: _x000D_
Airway findings: The cervical and thoracic trachea have a normal size, outline and position. There is subjective mild thickening of the dorsal trachea on the left lateral image.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Some gas is present in the cervical and cranial thoracic oesophagus. No fluid is visible in the caudal oesophagus._x000D_
_x000D_
Abdomen: No significant abnormalities are detected._x000D_
_x000D_
Musculoskeletal findings: No significant abnormalities are detected.</t>
  </si>
  <si>
    <t>An upper airway is abnormality such as a rhinitis, tracheatis or early tracheobronchitis is most likely.</t>
  </si>
  <si>
    <t>Correlate with upper respiratory examination. Consider observational management, or empiric management of upper airway infection. Consider repeat radiographs depending on clinical progression.</t>
  </si>
  <si>
    <t>Given the lack of cardiomegaly but age of the patient, consider a cardiology consultation with ECG and echocardiogram._x000D_
Full neuro exam with MRI if necessary.</t>
  </si>
  <si>
    <t>Four radiographs of the thorax are provided. Images dated 1/26/24 are available for comparison. The cardiac silhouette is normal size and shape. Mild age-related changes are present throughout the lungs. There are no soft tissue pulmonary nodules or pleural effusion. Normal tracheal diameter and position. Osteoarthritis in both elbows. In the viewable abdomen the liver is upper normal size with smooth margins. No effusion. Round soft tissue density in the cranioventral peritoneal space is fluid in the pylorus. Narrowed L2-3, L3-4 intervertebral disc spaces, of uncertain significance today.</t>
  </si>
  <si>
    <t>The thorax is normal, with no evidence of the previous reported interstitial pattern. No cardiovascular abnormalities on this study. A small valvular regurgitant jet can result in a relatively loud murmur.</t>
  </si>
  <si>
    <t xml:space="preserve">
1.Minimal cardiomegaly has been detected but Heart Failure is NOT suspected._x000D_
2.There is no evidence of DYNAMIC AIRWAY COLLAPSE or BRONCHIECTASIS, PULMONARY NODULES or PLEURAL EFFUSION._x000D_
3.A moderate bronchointerstitial pulmonary pattern detected._x000D_
4.A minimal interstitial pulmonary pattern with a concurrent, mild perihilar infiltrate have been detected.</t>
  </si>
  <si>
    <t>9 views of the thorax and abdomen are submitted for review.  A large, tortuous appearing fluid-filled mass effect is noted in the caudal abdomen appearing to span both sides of the abdomen.  The urinary bladder is markedly distended.  The stomach and small bowel contain a minimal amount of gas.  A mild amount of stool is noted in the colon.  The liver, spleen, and unobscured margins of the renal silhouettes appear within normal limits.  Serosal detail is subjectively adequate._x000D_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The bilateral thoracic limbs are within normal limits.  Moderate spondylosis deformans is noted in the caudal lumbar spine.</t>
  </si>
  <si>
    <t>Suspect enlarged, fluid-filled uterus throughout the caudal abdomen.  Primary concern is given to pyometra or hydrometra.  Early pregnancy cannot be definitively excluded._x000D_
Radiographically normal thorax.</t>
  </si>
  <si>
    <t>A chemistry and CBC is recommended if not already performed.  An abdominal ultrasound could also be considered.</t>
  </si>
  <si>
    <t>6 views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stone contains a moderate amount of food-like material.  The small bowel is generally normal in uniform diameter and contains a mild amount of gas.  The colon is mostly empty.  Liver is subjectively normal in size and shape.  The unobscured margins of the spleen, renal silhouettes, and urinary bladder appear within normal limits.  There is generalized decreased serosal detail with wispy soft tissue opacity in the mid abdomen._x000D_
No aggressive bony changes are noted.</t>
  </si>
  <si>
    <t>Decreased serosal detail in the abdomen.  This could be consistent with inflammation, paraneoplastic disease, hemorrhage, or hypoalbuminemia._x000D_
Radiographically normal thorax.</t>
  </si>
  <si>
    <t>A chemistry and CBC is recommended if not already performed.  An abdominal ultrasound is also indicated.</t>
  </si>
  <si>
    <t>4 images of the thorax are provided for review.  The trachea is dorsally deviated, indicating left ventricular enlargement.  A bulge is present in the region of the left atrium.  Increased bronchial markings are present in all lung lobes.  No perihilar pulmonary infiltrates are seen.  The pulmonary vasculature is normal in size.  The mediastinal and pleural structures are normal.  Cranial abdominal detail is adequate._x000D_
_x000D_
Echocardiogram images and video clips are also provided for review.  Fractional shortening is adequate (44 %).  The left atrium is dilated (LA/Ao 1.88).  The mitral and tricuspid valve leaflets are mildly thickened.  Mild regurgitant flow is seen as an eccentric jet of the mitral valve with color Doppler.  No pleural or pericardial effusion is seen.</t>
  </si>
  <si>
    <t>Moderate bronchial pulmonary pattern=ZZ90= consider bronchitis, response to inhaled irritants, response to circulating parasites, eosinophilic bronchopneumopathy.  Airway sampling may be helpful in further evaluation.  Left-sided cardiomegaly secondary to mitral and tricuspid endocardiosis.  No current evidence of cardiogenic pulmonary edema.</t>
  </si>
  <si>
    <t xml:space="preserve">
1.Are respiratory signs present? If NO._x000D_
2.There is no evidence of PULMONARY NODULES or PLEURAL EFFUSION._x000D_
3.MODERATE DYNAMIC AIRWAY DISEASE; MILD BRONCHOINTERSTITIAL PULMONARY PATTERN; MINIMAL PERIHILAR INFILTRATE._x000D_
4.Based on these AI airway/pulmonary findings, the probability of this patient having clinically detectable respiratory signs is MEDIUM (50%)_x000D_
5.Are respiratory signs present? If YES._x000D_
6.AI linked dynamic airway treatment: https://platform.v2.vetology.net/doc/canine-tracheal-collapse-treatment_x000D_
7.Severe cardiomegaly has been detected but Heart Failure is NOT suspected.</t>
  </si>
  <si>
    <t xml:space="preserve">Patient Name : Bailey Quinley, Date of study: Jul 16, 2024
3 images are provided for review
Canine Thorax (3 Images) - 2 Vd, 1 Lateral
Previous images dated [07/16/2024 Case#2711818] are available for comparison.
Pulmonary parenchyma: A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</si>
  <si>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Moderate diffuse bronchial pulmonary pattern.
- Differential diagnoses include infectious/immune-mediated lower airway disease such as from mycoplasma spp., bordetella spp., parasitism, or inhaled allergen/irritant, fibrosis from prior disease, age-related changes, or unlikely other.
2. No obvious intra-thoracic lymphadenomegaly or pulmonary nodules are identified.</t>
  </si>
  <si>
    <t>Consider respiratory PCR panel, airway sampling, and fecal analysis for further evaluation of lower airway disease if clinically indicated.  Consider computed tomography of the thorax and abdomen for a more sensitive evaluation of the lungs and for pre-surgical planning of reported hepatic mass excisional/incisional biopsy.  Oncologist consultation depending on results. Empirical therapy and supportive care in the interim as needed. Monitoring as directed or sooner if clinical signs acutely change, fail to improve or worsen.</t>
  </si>
  <si>
    <t>8 images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t>
  </si>
  <si>
    <t xml:space="preserve">
1.The cardiac silhouette size is normal._x000D_
2.There is no evidence of BRONCHITIS, ALVEOLAR PATTERN or DYNAMIC AIRWAY COLLAPSE or BRONCHIECTASIS._x000D_
3.A minimal interstitial pattern has been detected.</t>
  </si>
  <si>
    <t xml:space="preserve">Patient Name : Pixie Jones, Date of study: Jul 16, 2024
3 images are provided for review
There are no previous radiographs for comparison. Ungloved human digits in collimated field.  
Liver: The liver is subjectively normal in size.
Spleen: The spleen is normal in size with smooth margins and homogeneous soft tissue.
Kidneys: A mineral focus is suspected over the left kidney in the lateral images.  The left kidney is otherwise normal. The right kidney is obscured without obvious mineral or enlargement.
Retroperitoneum: Retroperitoneal detail is adequate.
Urogenital: The urinary bladder is normal in size, homogeneous soft tissue, and smoothly marginated.
Peritoneum: Peritoneal detail is adequate.
Gastrointestinal tract: The stomach contains a mild gas and fluid.  The stomach is normal in size.
The small intestine contains mild fluid, minimal gas, or is empty with a subjectively uniform population for size. 
The colon contains moderate gas and heterogeneous soft tissue material, or is empty.  the colon is normal in size.
Musculoskeletal: A broad-based fat or soft tissue mass arises from the cranioventral extra-abdominal soft tissues.  The remaining included musculoskeletal structures are normal.
</t>
  </si>
  <si>
    <t xml:space="preserve">1. Non-specific gastrointestinal tract appearance such as from enteritis, colitis, or individual variation of normal.
- There is no evidence of mechanical ileus
2. Suspected left nephrolith.
.3. Presumed extra-abdominal lipoma versus other.  </t>
  </si>
  <si>
    <t>Etiology of reported clinical signs is not definitively identified.  Consider routine blood work and urinalysis for further evaluation.  Empirical therapy and supportive care in the interim as needed.  Consider referred pain from the back/spine as an additional etiology of possible abdominal pain.  Empirical therapy and supportive care as needed in the interim.  Monitoring as directed, or sooner if clinical signs acutely change, fail to improve or worsen.</t>
  </si>
  <si>
    <t>Five radiographs of the thorax are provided. The neck and proximal thoracic limbs are included on these images. Previous study dated 4/2/24 is available for comparison. No cervical spinal abnormalities are appreciated. There is suspected remodeling in the caudal aspect of the right scapula on the lateral views, although this area is superimposed on a portion of the spine, and is equivocally visible on the VD projection. Scapulae were superimposed on one another and on the spine previously. There is possible mild enthesophyte formation overlying the left bicipital groove on the left lateral view. This area is obscured by superimposed thorax and cervical spine on the other views. Mild enthesophyte formation and punctate mineral density along the caudal aspect of the shoulders bilaterally, noted previously. In the thorax the cardiac silhouette and pulmonary vessels are normal size and shape. Numerous incidental pulmonary osteomas. No soft tissue pulmonary nodules or pleural effusion.
(amended on 07/16/2024 10:37)
Three ventral dorsal radiographs of the thorax were also uploaded. The area of interest in the right scapula is less visible on these views due to superimposed thorax. The ideal isolated scapular view is a lateral projection, with the thoracic limbs positioned so that the scapula of interest is pushed dorsal to the spine. I have attached a photo from a textbook that describes the position. You can find this photo in the uploads section of this case within Vetology. The file name is =ZZ92=IMG_6541.jpg=ZZ92=.
(amended on 07/16/2024 12:54)
Additional images focused on the scapulae are provided. Images of each scapula are available. In all, there is a total of 15 images obtained today. There is confirmed lysis with a small amount of irregular proliferation in the caudal aspect of the right scapula. Margins of the lysis are poorly delineated. Similar changes are not present in the left scapula. Small round soft tissue density overlying the caudal lung/diaphragm on one of the right scapular views is end-on pulmonary vessel.</t>
  </si>
  <si>
    <t>1. There is a suspect lytic lesion in the right scapula that was not seen previously. This could be artifact caused by summating normal anatomy._x000D_
2. Mild degenerative change in the shoulders, as well as subtle change suggestive of bicipital tendinopathy. This is unchanged compared to the previous study._x000D_
3. Normal thorax.
(amended on 07/16/2024 12:54)
The additional scapular views confirm an aggressive lytic process in the right scapula. Neoplasia such as osteosarcoma is the most likely diagnosis. Osteomyelitis is very unlikely.</t>
  </si>
  <si>
    <t>If there is palpable abnormality or discomfort identified within the right scapula (or if lameness is right-sided), additional focused scapular imaging and cytology/histopathology would be recommended. otherwise, cross-sectional imaging of the shoulders with MRI could be considered.
(amended on 07/16/2024 12:54)
Histopathology of the right scapular lesion would be necessary for a definitive diagnosis.</t>
  </si>
  <si>
    <t>Three radiographs of the thorax/abdomen are provided. Images dated 10/2/23 are available for comparison. There is severe narrowed cervical trachea on both of the lateral views. The left atrium continues to appear prominent. Cardiac to thoracic ratio is normal. Fat deposition encircles the heart and extends into the cranial mediastinum on the VD projection. There is a mild bronchial pattern as before, likely normal for age change. No soft tissue pulmonary nodules or pleural effusion. Narrowed T10-11 intervertebral disc space is a normal anatomic variant. In the abdomen the liver is mildly enlarged with smooth margins. This is similar to the previous study. Normal size kidneys and spleen. The gastrointestinal tract is mildly filled. There is a spiculated mineral opaque 0.5 cm calculus and several punctate calculi within the urinary bladder, not present on the previous study. No definitive lumbar spinal abnormalities. The coxofemoral joints are congruent. The patient is overweight, with moderate volume subcutaneous fat along the dorsum.</t>
  </si>
  <si>
    <t>1. Cystic calculi, measuring up to a size that is too large to pass the urethra. It is unknown if this is responsible for the reported discomfort. No other abnormalities are identified to explain the discomfort. An intervertebral disc protrusion/extrusion remains possible._x000D_
2. Mild hepatomegaly as before, a nonspecific finding that may be steroid or other hepatopathy. Acute inflammation or neoplasia are given lesser consideration with the chronicity._x000D_
3. Persistent severe cervical tracheal collapse._x000D_
4. Prominent left atrium suggestive of mitral valve regurgitation. This is of doubtful clinical significance today.</t>
  </si>
  <si>
    <t>A CBC, blood chemistry profile, urinalysis, palpation for spinal discomfort, and diet modification in an effort to dissolve the calculi and prevent further formation should be considered.</t>
  </si>
  <si>
    <t xml:space="preserve">
1.SEVERE BRONCHIAL PATTERN; MODERATE DYNAMIC AIRWAY DISEASE._x000D_
2.Based on these AI airway/pulmonary findings, the probability of this patient having clinically detectable respiratory signs is VERY HIGH (&gt;75%)_x000D_
3.Are respiratory signs present? If YES._x000D_
4.AI link to canine airway collapse treatment article: https://platform.v2.vetology.net/doc/canine-tracheal-collapse-treatment_x000D_
5.Pleural fissure lines or small volume pleural effusion has been detected. In a mildly overweight animal, excessive pericardial fat can artifactually mimic the result of minimal pleural effusion._x000D_
6.Severe cardiomegaly has been detected but Heart Failure is NOT suspected._x000D_
7.Are respiratory signs present? If NO.</t>
  </si>
  <si>
    <t>Orthogonal views of the thorax and abdomen are provided:_x000D_
_x000D_
Thorax:_x000D_
_x000D_
No signs of esophageal FBs.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contains soft tissue material in the fundus best seen in the VD view._x000D_
Small intestines are mildly gas and fluid filled, not overtly distended. _x000D_
Unformed feces in the colon._x000D_
Serosal detail is preserved._x000D_
Liver and spleen are within normal limits of size and smoothly marginated._x000D_
Kidneys and urinary bladder WNL.</t>
  </si>
  <si>
    <t>1) Unremarkable thorax without signs of pulmonary metastases nor signs of thoracic lymphadenopathy._x000D_
2) Rule out gastric foreign body.</t>
  </si>
  <si>
    <t>Consider abdominal US with fastened follow up radiographs in 12-24 hours to evaluate progression of the GI material, evaluating the neeed of an endoscopy vs endoscopy.</t>
  </si>
  <si>
    <t>5 views of the thorax and abdomen are submitted for review._x000D_
In the thorax, the cardiac silhouette and pulmonary vasculature are within normal limits.  Multifocal punctate mineral opacities consistent with pulmonary osteomas are noted throughout the lung fields.  No pleural or mediastinal abnormalities are seen._x000D_
In the abdomen, the stomach and small bowel contain a mild amount of ingesta.  Formed stool is noted in the colon.  The liver and spleen are normal in size, shape, and margination.  The bilateral renal silhouettes are within normal limits.  The urinary bladder is unremarkable.  Serosal detail is normal.  A medium sized subcutaneous fat opacity mass lesion is noted along the right lateral abdominal wall.  A similar type lesion is also noted along the ventral thoracic wall._x000D_
Mild to moderate spondylosis deformans is noted in the lumbar spine.  No aggressive bony changes are seen.</t>
  </si>
  <si>
    <t>Radiographically normal geriatric thorax.  Radiographically normal abdomen.  At least 2 subcutaneous fat opacity mass lesions as noted.  Clinical correlation of these is recommended.</t>
  </si>
  <si>
    <t xml:space="preserve">Patient Name : Donut Kelkar, Date of study: Jul 16, 2024
6 images are provided for review
There are no previous radiographs for comparison.
Liver: The liver has a slightly rounded caudoventral margin, and slight caudal displacement of the gastric axis in the right lateral image.  This is not identified in the left lateral image.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fluid, ill-defined soft tissue material, and gas.  The stomach is within normal limits for size.
The small intestine contains minimal gas and mild fluid or is empty with a subjectively uniform population for size. 
The colon contains minimal heterogeneous soft tissue material and gas.  In the distal descending colon, heterogeneous soft tissue material has a pattern suspicious for foreign material (corn cob).  
Musculoskeletal: Minimal T12-13 and obvious T13-L1, L1-2 and L3-4 spondylosis deformans is present.  Severe bilateral coxofemoral joint osteoarthrosis is present.  The remaining included musculoskeletal structures are normal.
</t>
  </si>
  <si>
    <t>1. Suspicious colonic material for foreign material such as a corn cob, and suspected colitis.
2. Gastric contents due to pyloric outflow tract obstruction and foreign material and/or gastritis/delayed gastric emptying.
3. No current evidence of small intestinal mechanical ileus.
4. Minimal hepatomegaly versus artifact from positioning/technique.  
- If present, differential diagnoses include vacuolar change, nodular hyperplasia, hepatitis, or unlikely other.
5. Severe bilateral coxofemoral joint osteoarthrosis.</t>
  </si>
  <si>
    <t>Consider further evaluation of the pylorus with positive/double-contrast gastrography, ultrasonography, or possibly with serial abdominal radiographs for monitoring for passage of gastric material.  Alternatively, gastroscopy for further evaluation of pylorus and retrieval of material if needed.  Passage of foreign material into the colon may be the etiology of reported signs.  No current evidence of small intestinal mechanical ileus is identified.  Routine blood work if  not recently performed. Additionally consider abdominal ultrasonography if evidence of hepatopathy is revealed in recent blood work.  Empirical therapy and supportive care for coxofemoral joint osteoarthrosis as needed for dietary indiscretion.</t>
  </si>
  <si>
    <t xml:space="preserve">
1.A minimal bronchial pattern has been detected._x000D_
2.The cardiac silhouette size is normal._x000D_
3.There is no evidence of ALVEOLAR PATTERN, PERIHILAR INFILTRATE or DYNAMIC AIRWAY COLLAPSE or BRONCHIECTASIS.</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</si>
  <si>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
(amended on 07/16/2024 08:31)
VHS is between 10.5-10.8 depending on the lateral view.</t>
  </si>
  <si>
    <t>Opposite lateral and ventrodorsal thoracic radiographs (4 images) dated July 16, 2024._x000D_
_x000D_
_x000D_
The cardiac silhouette,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evident._x000D_
The liver, ingesta-filled stomach, and cranial peritoneal detail are normal._x000D_
No aggressive or clinically significant osseous pathology is identified.</t>
  </si>
  <si>
    <t>Unremarkable thorax. The cause for the coughing is not radiographically apparent. Rule out upper airway causes (ex: pharyngitis/laryngitis, postnasal drip from rhinitis, dynamic upper airway collapse, everted laryngeal saccules, less likely a mass) vs. dynamic lower airway collapse/chondromalacia not captured in this study vs. tracheitis vs. less likely mild bronchitis that is insensitive to radiographic detection.</t>
  </si>
  <si>
    <t>Sedated upper airway exam, pharyngeal PCR swab infectious panel, +/- fluoroscopic airway study. If normal:_x000D_
Airway sampling may be needed for definitive diagnosis (bronchoalveolar lavage or transtracheal wash).  Heartworm testing and fecal parasite screening (float and Baermann) +/- empirical deworming.  Empirical antibiotic or anti-inflammatory steroidal therapy is reasonable to consider.  Internal medicine consultation if the patient remains clinical despite treatment and the cause remains unknown.</t>
  </si>
  <si>
    <t xml:space="preserve">
1.The evaluation has a strong suspicion of pulmonary nodules or mass lesion being present._x000D_
2.The cardiac silhouette size is normal._x000D_
3.There is no evidence of ALVEOLAR PATTERN, PERIHILAR INFILTRATE or DYNAMIC AIRWAY COLLAPSE or BRONCHIECTASIS._x000D_
4.A minimal bronchial pattern has been detected.</t>
  </si>
  <si>
    <t>Five radiographs of the thorax are provided. The left atrium is equivocally visible on the right lateral views, but is not seen on the other projections. Pulmonary vessels are normal size. Cardiac to thoracic ratio is normal. There is a small area of increased opacity in the right cranial lung, seen cranial to the heart on the left lateral views, and in the right 3rd intercostal space on the VD projection. Otherwise the lungs are clear. No pleural effusion. Possible redundant dorsal trachealis membrane in the cervical region, of uncertain significance today. Normal cranial abdomen.</t>
  </si>
  <si>
    <t>1. Focal severe interstitial pattern in the right cranial lung lobe, most consistent with aspiration pneumonia. In the absence of a cough, fibrosis/focal atelectasis secondary to chronic insult is also possible._x000D_
2. Equivocal prominence of the left atrium suggestive of acquired mitral valve disease. This is of doubtful clinical significance today.</t>
  </si>
  <si>
    <t>If the patient is febrile, coughing, has elevated white blood cell count, antibiotics would be recommended for aspiration pneumonia.</t>
  </si>
  <si>
    <t xml:space="preserve">
1.A mild perihilar infiltrate has been detected._x000D_
2.A mild interstitial to alveolar pattern has been detected._x000D_
3.The cardiac silhouette size is normal._x000D_
4.There is no evidence of BRONCHITIS, DYNAMIC AIRWAY COLLAPSE or BRONCHIECTASIS or PULMONARY NODULES.</t>
  </si>
  <si>
    <t>Study:_x000D_
Thoracic/abdominal radiography: four images dated July 15, 2024_x000D_
_x000D_
Findings:_x000D_
The cardiac silhouette and pulmonary vasculature are normal in size. The pulmonary parenchyma is unremarkable. The pleural space is normal. There is no intrathoracic lymphadenopathy. The patient has a redundant dorsal tracheal membrane. There is mild narrowing of the trachea lumen at the thoracic inlet on the right lateral projection. The cardia of the stomach is herniated into the thoracic cavity on the left lateral view. The abdominal serosal detail is adequate with no apparent free peritoneal gas or peritoneal effusion.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There are simple, complete short oblique fractures of the right 12th and 13th ribs. There is variable moderate to severe multifocal subcutaneous emphysema along the right and left flanks and along the dorsum. The subcutaneous emphysema is most pronounced along the right flank there is also heterogeneous soft tissue swelling.</t>
  </si>
  <si>
    <t>1. Right 12th and 13th rib fractures from recent trauma._x000D_
2. Multifocal subcutaneous emphysema from bite wounds. Recommend empiric wound management._x000D_
3. Sliding hiatal hernia._x000D_
4. Likely chondromalacia and dynamic airway disease/tracheal collapse._x000D_
5. There is no evidence of pulmonary contusions, pneumothorax or pleural effusion._x000D_
6. Unremarkable abdomen. There is no evidence of penetrating abdominal trauma. Point-of-care sonography can be considered to further evaluate for possible peritoneal effusion with due to the recent trauma.</t>
  </si>
  <si>
    <t xml:space="preserve">
1.MODERATE BRONCHOINTERSTITIAL PULMONARY PATTERN; MODERATE DYNAMIC AIRWAY DISEASE; MODERATE ALVEOLAR INFILTRATE or ATELECTASIS._x000D_
2.MODERATE INTERSTITIAL TO ALVEOLAR INFILTRATE; CONCURRENT MODERATE BRONCHIAL PATTERN; MILD PERIHILAR INFILTRATE._x000D_
3.Based on the AI airway/pulmonary findings, the probability of this patient having clinically detectable respiratorysigns is MEDIUM to HIGH (50-75%)_x000D_
4.Based on these AI airway/pulmonary findings, the probability of this patient having clinically detectable respiratory signs is HIGH (75%)_x000D_
5.Mild cardiomegaly has been detected but Heart Failure is NOT suspected._x000D_
6.Are respiratory signs present? If YES._x000D_
7.Are respiratory signs present? If NO._x000D_
8.AI linked bacterial pneumonia treatment in dogs: https://platform.v2.vetology.net/doc/pneumonia-in-dogs-and-cats_x000D_
9.Are respiratory signs present? If NO._x000D_
10.Are respiratory signs present? If YES.</t>
  </si>
  <si>
    <t>Study:_x000D_
Thoracic radiography: five images dated July 15, 2024_x000D_
_x000D_
Findings:_x000D_
The cardiac silhouette and pulmonary vasculature are normal in size. The pulmonary parenchyma is unremarkable. No pulmonary nodules or masses are present. Thin pleural fissure lines are seen in the right and left fifth intercostal space on the VD view. There is a approximately 9 cm round soft tissue opaque mass in the cranial mediastinum. The trachea is normal in diameter and course. On the right lateral projection timestamped 9:26 PM, there is a soft tissue opaque nodule bulging from the dorsal margin of the tail the spleen. Mild periarticular new bone formation is present at the caudodistal aspect of the humeral head and infraglenoid process of the scapula bilaterally. There is narrowing of the T3-T4 through T7-T8 intervertebral disc spaces. There is moderate to severe spondylosis deformans from T3 through T8 and at T 13-L1.</t>
  </si>
  <si>
    <t>1. Cranial mediastinal mass. Rule out reactive or neoplastic cranial mediastinal lymphadenopathy), thymoma, thymic lymphoma or ectopic thyroid carcinoma. Thoracic sonography or computed tomography and tissue sampling should be considered for further evaluation._x000D_
2. The thin pleural fissure lines seen on the VD view may indicate incidental tangential visualization, pleural thickening or trace nonspecific pleural effusion._x000D_
3. Splenic nodule. Rule out extramedullary hematopoiesis, lymphoid hyperplasia or neoplasia. Sonography should be considered for further evaluation._x000D_
4. Mild bilateral shoulder osteoarthrosis._x000D_
5. Multifocal thoracic thoracic intervertebral disc disease.</t>
  </si>
  <si>
    <t xml:space="preserve">
1.The evaluation has come up positive for a pulmonary nodular pattern._x000D_
2.The cardiac silhouette size is normal._x000D_
3.There is no evidence of BRONCHITIS, ALVEOLAR PATTERN, DYNAMIC AIRWAY COLLAPSE or BRONCHIECTASIS or PLEURAL EFFUSION._x000D_
4.A minimal perihilar infiltrate has been detected.</t>
  </si>
  <si>
    <t>Orthogonal views of the abdomen are provided:_x000D_
_x000D_
Abdomen:_x000D_
_x000D_
The urinary bladder is severely distended without signs of cystic/urethral calculi._x000D_
The stomach is empty._x000D_
Small intestines are mildly gas and fluid filled, not overtly distended. No signs of mechanical ileus._x000D_
Serosal detail is decreased with peritoneal striations and likely small volume of free fluid. There is also bilateral inguinal SC cellulitis._x000D_
Liver and spleen are within normal limits of size and smoothly marginated._x000D_
Kidneys are WNL. _x000D_
_x000D_
Visible hind limbs are unremarkable other than a suspected left hind limb  caudal SC cellulitis or wet hair artifact and mild popliteal lymphadenopathy._x000D_
Unremarkable lateral thorax.</t>
  </si>
  <si>
    <t>1) Distended bladder: rule out mechanical ileus vs functional/neurogenic  in origin._x000D_
2) Scant effusion: transudate vs uroabdomen vs exudate less likely._x000D_
3) Bilateral inguinal and left hind limb cellulitis: infllammatory/infectious/vascular/traumatic._x000D_
4) Reactive popliteal lymphadenopathy.</t>
  </si>
  <si>
    <t>Consider abdominal US to further evaluate the urinary tract with renal function test, urinalysis, UPC and urine culture, with abdominocentesis, evaluating the benefit of a urethral catheter placement with +/- retrograde urethorgram or CT.</t>
  </si>
  <si>
    <t xml:space="preserve">
1.A moderate interstitial to alveolar pattern has been detected._x000D_
2.The cardiac silhouette size is normal._x000D_
3.There is no evidence of DYNAMIC AIRWAY COLLAPSE or BRONCHIECTASIS or PLEURAL EFFUSION.</t>
  </si>
  <si>
    <t>A single latera view of the thorax is provided:_x000D_
_x000D_
Thorax:_x000D_
_x000D_
Cardiac silhouette has a normal shape and size._x000D_
Pulmonary vessels are within normal limits of size and shape._x000D_
Pulmonary parenchyma shows a very suspicious irregular and likely caveated lung mass caudorosally located. No other nodules or masses are seen._x000D_
Pleural space, mediastinum, diaphragm and thoracic wall within normal limits._x000D_
_x000D_
In the right foot there is focal soft tissue swelling without signs of bone lysis centered in the distal interphalangeal joint of the 4th digit. No abnormalities seen in the left foot.</t>
  </si>
  <si>
    <t>1) Incomplete exam with a. suspected caudal cavitary pulmonary neoplasia with potential lung digit syndrome (metastases from the pulmonary neoplasia to the digits) in the right foot 4th digit. Other differentials for the digit swelling would be less likely including inflammatory/infectious or traumatic event.</t>
  </si>
  <si>
    <t>Consider a VD view to be complete and orthogonal views of the feet with vs CT of both. US guided FNAs of the suspected pulmonary mass and digit lesion.</t>
  </si>
  <si>
    <t xml:space="preserve">Patient Name : Sweetie Higgins, Date of study: Jul 15, 2024
5 images are provided for review
Canine Thorax (5 Images) - 2 Lateral, 3 Vd
There are no previous radiographs for comparison.
Pulmonary parenchyma: A mild diffuse bronchial pattern is present. A minimal to mild diffuse interstitial pattern is present.  The lungs are minimal or mildly hypoinflated in the lateral image.
Pulmonary vasculature: The pulmonary vasculature is subjectively normal in size and tapers in the periphery of the lungs.
Cardiac silhouette: The cardiac silhouette is mild to moderately tall and occupies 2/3 the height of the thorax, with dorsal trachea displacement.  The caudodorsal margin of the cardiac silhouette is slightly fal in the right lateral image.  Slight increased soft tissue is suspected in the region of the left atrium in the ventrodorsal image.
Mediastinum: The cranial mediastinum is normal.
Trachea: The trachea is normal.
Esophagus: The esophagus is not well-identified.
Pleural space: The pleural space is normal.
Musculoskeletal: The patient is obese.   The remaining included musculoskeletal structures are normal.
</t>
  </si>
  <si>
    <t>1. Mild-moderate left-sided cardiomegaly such as from myxomatous mitral valvular disease and insufficiency.
- There is no current evidence of left-sided congestive heart failure.  
2. Minimal-mild diffuse bronchial and interstitial pulmonary patterns due to fibrosis from prior disease, age-related changes, artifact from hypoinflation and/or infectious/immune-mediated lower airway disease or unlikely other.
3. Obesity.</t>
  </si>
  <si>
    <t>Echocardiography, blood pressure and ECG for further evaluation of the heart.  Routine blood work and urinalysis if not recently performed.  Consider respiratory PCR panel, airway sampling, and fecal analysis/deworming for further evaluation.  Routine blood work if not recently performed.  Monitoring as directed or sooner if clinical signs acutely change, fail to improve or worsen.</t>
  </si>
  <si>
    <t xml:space="preserve">
1.MODERATE BRONCHOINTERSTITIAL PULMONARY PATTERN; MODERATE ALVEOLAR INFILTRATE or ATELECTASIA; PLEURAL FISSURE LINES or PLEURAL EFFUSION; MILD DYNAMIC AIRWAY DISEASE._x000D_
2.Based on these AI airway/pulmonary findings, the probability of this patient having clinically detectable respiratory signs is MEDIUM to HIGH (50%-75%)_x000D_
3.Pleural fissure lines or moderate to severe pleural effusion has been detected._x000D_
4.Are respiratory signs present? If YES._x000D_
5.Bacterial pneumonia treatment in dogs: https://platform.v2.vetology.net/doc/pneumonia-in-dogs-and-cats_x000D_
6.Mild cardiomegaly has been detected but Heart Failure is NOT suspected._x000D_
7.Are respiratory signs present? If NO.</t>
  </si>
  <si>
    <t>Orthogonal views of the thorax and abdomen are provided:_x000D_
_x000D_
Thorax:_x000D_
_x000D_
Cardiac silhouette shows a mild enlargement of the left atrium dorsally displacing the carina._x000D_
Pulmonary vessels are within normal limits of size and shape._x000D_
Pulmonary parenchyma is within normal limits. _x000D_
Pleural space, mediastinum, diaphragm and thoracic wall within normal limits._x000D_
_x000D_
Abdomen:_x000D_
_x000D_
The stomach contains small volume of food._x000D_
Small intestines are mildly gas and fluid filled, not overtly distended. _x000D_
Serosal detail is preserved._x000D_
Liver and spleen are within normal limits of size and smoothly marginated._x000D_
Kidneys and urinary bladder WNL._x000D_
Cranioventral SC lipomas._x000D_
_x000D_
Dorsal to the lumbar spine there is degloving of the skin which is irregular and thickened with focal SC emphysema, consistent with the history._x000D_
No signs of vertebral fractures or subluxations. However, L4-L5 IVDS is collapsed with end plate sclerosis and ventrolateral spondylosis deformans._x000D_
Suspected inguinal lympahdenopathy._x000D_
Old left sided FHO.</t>
  </si>
  <si>
    <t>1) Left atrial enlargement secondary to chronic mitral endocardiosis without signs of CHF._x000D_
2) Unremarkable abdomen._x000D_
3) Dorsal lumbar skin degloving consistent with the history._x000D_
4) L4-L5 IVDS. Changes consistent with chronic IVDD._x000D_
5) Old left sided FHO._x000D_
6) Suspected inguinal lympahdenopathy. Reactive vs neoplastic unlikely.</t>
  </si>
  <si>
    <t>Medical treatment of the reported wounds._x000D_
Evaluate the need/benefit of a cardiology consultation with ECG and echocardiogram and abdominal US for a more complete evaluation including the inguinal lymph nodes with FNAs._x000D_
Full neuro exam with +/- MRI.</t>
  </si>
  <si>
    <t>Orthogonal views of the thorax are provided:_x000D_
_x000D_
Thorax:_x000D_
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rounded/irregular margins._x000D_
Spleen also shows irregular margins.</t>
  </si>
  <si>
    <t>1) Left atrial enlargement secondary to chronic mitral endocardiosis without signs of CHF._x000D_
2) Hepatomegaly: Neoplastic /metastatic is the main differential. Other concomitant differentials such as Metabolic vs Vacuolar infiltration vs Hepatic nodular hyperplasia vs Inflammatory vs Toxic or hepatopathies are not excluded._x000D_
3) Irregular spleen: rule out EMH foci (anemic patient) vs lymphoid hyperplasia vs neoplasia/metastases.</t>
  </si>
  <si>
    <t>Consider a cardiology consultation with ECG and echocardiogram and abdominal US to further evaluate the liver and spleen (with US guided FNAs) and causes of anemia and band neutrophils other than the periocular process._x000D_
Consider a CT of the oronasal cavity with +/- rhinoscopy and biopsies.</t>
  </si>
  <si>
    <t xml:space="preserve">
1.Are respiratory signs present? If YES._x000D_
2.Are respiratory signs present? If NO._x000D_
3.There is no evidence of PLEURAL EFFUSION._x000D_
4.MINIMAL TO MILD BRONCHOINTERSTITIAL PULMONRAY PATTERN; MILD PERIHILAR PATTERN._x000D_
5.Based on the AI airway/pulmonary findings, the probability of this patient having clinically detectable respiratory signs is LOW (25%)_x000D_
6.Mild cardiomegaly has been detected but Heart Failure is NOT suspected.</t>
  </si>
  <si>
    <t xml:space="preserve">Patient Name : Charlie Price, Date of study: Jul 15, 2024
4 images are provided for review
Canine Thorax (4 Images) - 3 Lateral, 1 Vd
There are no previous radiographs for comparison.  Additional images are attached to case 2711520.
Pulmonary parenchyma: A minimal to mild diffuse bronchial pattern is present.  In some images, the lungs are moderate or severely hypoinflated, and a moderate diffuse interstitial pattern is present.  This interstitial pattern is improved or absent in the better inflated images.  In the underinflated images, lobar bronchi are ill-defined.
Pulmonary vasculature: The pulmonary vasculature is subjectively normal in size and tapers in the periphery of the lungs.
Cardiac silhouette: The cardiac silhouette is mildly tall and occupies at least 2/3 the height of the thorax in the lateral images.  
Mediastinum: The cranial mediastinum is normal.
Trachea: A soft tissue band superimposes over the trachea.  The trachea is narrowed in a dorsoventral dimension and taperts towards the carina in the right lateral image.  The carina is narrowed in the right lateral image.  
Esophagus: The esophagus is not well-identified.
Pleural space: The pleural space is normal.
Musculoskeletal: The included musculoskeletal structures are normal.
</t>
  </si>
  <si>
    <t>1. Mild left-ventricular enlargement such as from myxomatous mitral valvular disease or unlikely other.
2. Tracheal/carina narrowing, dorsal redundant tracheal membrane, and suspected dynamic lobar airway disease.
3. Minimal-mild diffuse bronchial pulmonary pattern such as from fibrosis from prior disease, age-related changes, infectious/immune-mediated lower airway disease or unlikely other.
4. Transient interstitial pulmonary pattern due to hypoinflation or unlikely other.</t>
  </si>
  <si>
    <t>Echocardiography, ecg and blood pressure as well as routine blood work if not recently performed.  Consider tracheoscopy/bronchoscopy and fluoroscopy with/without airway sampling for further evaluation.  Empirical therapy and supportive care in the interim as needed.  Monitoring with routine blood work and thoracic imaging as directed, or sooner if clinical signs acutely change, fail to improve or worsen.</t>
  </si>
  <si>
    <t xml:space="preserve">
1.Pleural fissure lines or small volume pleural effusion has been detected. In a mildly overweight animal, excessive pericardial fat can artifactually mimic the result of minimal pleural effusion._x000D_
2.Mild cardiomegaly has been detected but Heart Failure is NOT suspected._x000D_
3.MILD BRONCHOINTERSTITIAL PULMONARY PATTERN; MILD DYNAMIC AIRWAY DISEASE; MINIMAL PERIHILAR INFILTRATE._x000D_
4.Based on these AI airway/pulmonary findings, the probability of this patient having clinically detectable respiratory signs is MEDIUM (50%)_x000D_
5.Are respiratory signs present? If YES._x000D_
6.Are respiratory signs present? If NO._x000D_
7.There is no evidence of PULMONARY NODULES.</t>
  </si>
  <si>
    <t>Left-sided cardiomegaly.  Interstitial to alveolar pulmonary pattern consistent with cardiogenic pulmonary edema.  Other causes such as noncardiogenic edema, neoplasia, or atypical distribution of pneumonia cannot be excluded.</t>
  </si>
  <si>
    <t xml:space="preserve">
1.SEVERE INTERSTITIAL TO ALVEOLAR PATTERN; PULMONARY NODULES or NODULAR PATTERN; MILD DYNAMIC AIRWAY DISEASE; MILD BRONCHITIS._x000D_
2.Aspiration, bacterial pneumonia, atelectasis or recurrent microaspiration (brachycephalic dogs or laryngeal paralysis) causing lower airway inflammation with atelectasis or pneumonia is most likely._x000D_
3.A moderate perihilar infitlrate has been detected._x000D_
4.Moderate cardiomegaly has been detected but Heart Failure is NOT suspected.</t>
  </si>
  <si>
    <t>Study:_x000D_
Thoracic and abdominal radiography: five images dated July 15,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stomach contains a small volume of gas. The small intestines are normal in size, course and content. The is gas filled. The liver and spleen are normal in size and margin. The kidneys are normal in size and contour. The urinary bladder is normal in size and opacity. There is no uterine dilation. There is narrowing of the T4-T5 through T6-T7, T 13-L1 and L7-S1 intervertebral disc spaces with variable mild to severe spondylosis deformans.</t>
  </si>
  <si>
    <t>1. Normal thorax. There is no radiographic evidence of cardiopulmonary disease or intrathoracic neoplasia._x000D_
2. Unremarkable abdomen. Abdominal sonography can be to further evaluate for intra-abdominal neoplasia pending mandibular lymph node aspirates._x000D_
3.  T4-T5 through T6- T7, T 13-L1 and L7-S1 intervertebral disc disease. Neurology consultation and MRI can be considered if the spinal pain persists in spite of strict activity restriction and pain management.</t>
  </si>
  <si>
    <t>7 images of the thorax, abdomen, and left elbow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 joint surfaces are smooth and regular.  No fractures or aggressive osseous lesions are seen.  Soft tissue mass is present adjacent to the distal left humerus.</t>
  </si>
  <si>
    <t>Radiographically normal abdomen.  Radiographically normal thorax for patient of this age.  Subcutaneous mass without evidence of osseous involvement on the view provided.</t>
  </si>
  <si>
    <t xml:space="preserve">
1.The cardiac silhouette size is normal._x000D_
2.There is no evidence of ALVEOLAR PATTERN, PERIHILAR INFILTRATE, DYNAMIC AIRWAY COLLAPSE or BRONCHIECTASIS or PLEURAL EFFUSION._x000D_
3.A moderate bronchial pattern has been detected.</t>
  </si>
  <si>
    <t>Study:_x000D_
Thoracic/abdominal radiography: four images dated July 15, 2024_x000D_
_x000D_
Findings:_x000D_
The cardiac silhouette and pulmonary vasculature are normal in size. The pulmonary parenchyma is unremarkable. A thin pleural fissure line is seen between the right middle and caudal lung lobes on the VD views. There is no intrathoracic lymphadenopathy. The trachea is normal in diameter and course. The stomach contains unstructured heterogeneous soft tissue material presumed to be ingesta with a small amount of interspersed stippled mineral. Similar material is scattered throughout the small intestines. The small intestines are normal in size and course. The colon contains formed fecal material. The liver and spleen are normal in size and margin. The renal silhouettes are normal in size and contour. The urinary bladder is normal in size and opacity. There is no uterine dilation. The osseous structures are unremarkable/age appropriate.</t>
  </si>
  <si>
    <t>1. The thin pleural fissure line is seen between the right middle and caudal lung lobes on the VD views may indicate incidental tangential visualization, pleural thickening or trace nonspecific pleural effusion. Point-of-care thoracic sonography can be considered to further evaluate for possible pleural effusion._x000D_
2. There is no evidence of cardiopulmonary disease. A cause of coughing is not evident. Lack of a definitive bronchial pulmonary pattern does not exclude the possibility of allergic/inflammatory, infectious, irritant or parasitic bronchitis. Consider infectious respiratory disease PCR testing to further evaluate for possible infectious tracheobronchitis._x000D_
3. Postprandial gastrointestinal tract=ZZ90= otherwise, unremarkable abdomen.</t>
  </si>
  <si>
    <t xml:space="preserve">
1.A mild interstitial has been identified._x000D_
2.The cardiac silhouette size is normal._x000D_
3.There is no evidence of DYNAMIC AIRWAY COLLAPSE or BRONCHIECTASIS, PULMONARY NODULES or PLEURAL EFFUSION._x000D_
4.A mild perihilar infiltrate has been detected.</t>
  </si>
  <si>
    <t>Seven orthogonal survey radiographs of the thorax and abdomen dated 15th July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stomach is mild to moderately dilated with fluid and gas. A large gas Is present in the pyloric region on the left lateral image. The duodenum is not distended in the ventrodorsal image, however some loss of serosal detail is present. The small intestines are homogenously mainly empty, containing some fluid/soft tissue opaque material. The caecum is mildly gas distended. The descending colon contains poorly formed faeces. The urinary bladder is filled. The hepatic silhouette is normal in size with smooth borders. The spleen is normal in shape, size and position. The kidneys are partially obscured by gastrointestinal contents, but the visible aspect are normal._x000D_
_x000D_
Musculoskeletal findings: There is subcutaneous swelling in the region of the ventral sternum as reported.</t>
  </si>
  <si>
    <t>1. Mild gastric dilation with mainly fluid and gas: A gastric ileus secondary to dietary indiscretion or infectious-inflammatory causes may be present. Partial pyloric outflow obstruction by non-radiopaque foreign body is possible. Pancreatitis is possible._x000D_
2. Ventral subcutaneous swelling: Differentials include cellulitis (puncture wound, non-radiopaque migrating foreign body), insect bite hypersensitivity, skin allergy.</t>
  </si>
  <si>
    <t>Supportive management including rehydration, gastroprotectants,  full blood work, faecal analysis if clinically indicated is advised, if not already performed. Repeat 3-view post fasting radiographs depending on clinical progression or consider an abdominal ultrasound. If vomiting continues without development of diarrhea, an upper GI contrast study may also be considered._x000D_
Empirical management is advised. If a localised swelling develops, consider musculoskeletal ultrasound. Depending on clinical progression, consider repeat radiographs.</t>
  </si>
  <si>
    <t>Opposite lateral and VD views of the thorax and abdomen, lateral views of the neck, and a VD view the pelvis are provided for interpretation. There are 15 images total._x000D_
_x000D_
There is swelling in the submandibular region that appears consistent with the history of enlarged submandibular lymph nodes. The appearance of the larynx and trachea is unremarkable. The other soft tissues of the neck are unremarkable. No abnormalities are seen involving the cervical spine._x000D_
_x000D_
There is ill defined increased opacity in the cranial thorax in the lateral views and mild widening of the mediastinum in the VD view. The appearance is suspicious for a mediastinal mass effect, particularly cranial mediastinal lymph node enlargement. No pulmonary infiltrates or pleural effusion are identified. The cardiovascular structures are within normal limits._x000D_
_x000D_
Mild to moderate enlargement of the liver and spleen is identified. Both organs have normal shape and smooth margins. There is ill defined increased opacity in the cranial dorsal abdomen. A more subtle but also suspicious increase in ill defined opacity is seen in the caudal sublumbar area. No abnormalities are identified involving the GI tract. Serosal detail in the abdomen is slightly reduced. There is moderate to severe lumbosacral spondylosis._x000D_
_x000D_
The pelvis and hip joints are within normal limits. There is mild to moderate chronic periarticular remodeling involving both stifles. No destructive bone lesions are identified.</t>
  </si>
  <si>
    <t>There is mild to moderate hepatomegaly and splenomegaly, and ill defined increased opacity in the area of hepatic lymph nodes in the cranial dorsal abdomen and sublumbar lymph nodes in the caudal dorsal abdomen._x000D_
There is a small mediastinal mass effect that is suspicious for a cranial mediastinal lymphadenopathy._x000D_
In conjunction with the peripheral lymphadenopathy described in the history, these changes would be most consistent with lymphoreticular neoplasia._x000D_
Systemic infectious/inflammatory disease with multiple organ and lymph involvement would be a secondary differential.</t>
  </si>
  <si>
    <t>Lymphoma is the primary differential for this patient. Other reticuloendothelial neoplasia or systemic infectious disease should be ruled out as secondary differentials._x000D_
The temporary improvement seen previously may have been the result of cytotoxic effects of prednisone on lymphoma cells._x000D_
_x000D_
Biopsy of an enlarged peripheral lymph node is recommended._x000D_
Ultrasound of the abdomen is recommended to verify the suspicion of hepatic and sublumbar lymphadenopathy and evaluate the liver and spleen._x000D_
_x000D_
Symptomatic therapy for the vomiting is recommended as needed.</t>
  </si>
  <si>
    <t xml:space="preserve">
1.A minimal to mild bronchointerstitial pulmonary pattern has been detected._x000D_
2.MINIMAL INTERSITIAL PATTERN; OVERLYING CUTANEOUS NODULES or END-ON VESSELS._x000D_
3.Based on these AI airway/pulmonary findings, the probability of this patient having clinically detectable respiratory signs due to lower airway disease is UNLIKELY (&lt;25%) with the exception of acute tracheobronchitis or PTE._x000D_
4.Based on the AI airway/pulmonary findings, the probability of this patient having clinically detectable respiratory signs is LOW to MEDIUM (25%-50%)_x000D_
5.The evaluation has come up positive for a pulmonary nodular pattern._x000D_
6.MILD BRONCHIAL PATTERN; NODULAR PULMONARY PATTERN which is likely due to overlying CUTANEOUS NODULES or MINERALIZED COSTOCHONDRAL JUNCTIONS._x000D_
7.A minimal interstitial pattern has been detected._x000D_
8.Are respiratory signs present? If YES._x000D_
9.Are respiratory signs present? If NO._x000D_
10.The cardiac silhouette size is normal._x000D_
11.There is no evidence of DYNAMIC AIRWAY COLLAPSE or BRONCHIECTASIS._x000D_
12.There is detection of a few small soft tissue opacities overlying the lungs.</t>
  </si>
  <si>
    <t>A two view study of the thorax is provided for interpretation._x000D_
_x000D_
The caudal waist of the cardiac silhouette has a straight appearance, which would be compatible with mild left atrial dilation. Overall heart size is still within normal limits. Vertebral Heart Score is normal at 9.8. The pulmonary vessels are normal. There is a mild increase in interstitial opacity in the left cranial lung field. The tip of the left cranial lobe is slightly retracted from the chest wall. In the lateral view, there is a moderate increase in pleural markings superimposed over the heart._x000D_
The liver is at the upper end of normal size range, with normal shape. The other cranial abdominal organs are unremarkable. Narrowing of disc spaces is suspected in the caudal thoracic spine, but definitive evaluation is hindered by positional obliquity of the endplates.</t>
  </si>
  <si>
    <t>Overall heart size is normal. The shape of the heart would be compatible with mild dilation of the left atrium, although this appearance is also sometimes seen as an benign variant. No evidence of ventricular dilation is identified._x000D_
_x000D_
There is a regional increase in pleural markings and slight retraction of the visceral pleura in the area of the left cranial lung lobe. These are subtle changes that suggests a sliver of free pleural fluid in the area, of unknown cause. This could be the result of a previous thoracic insult, but considering the current complaint of cough without other pulmonary abnormalities pathologic causes should be ruled out. Mild regional pleuritis or focal pneumonia would be primary differentials, possibly secondary to a migrating foreign body such as a grass awn.</t>
  </si>
  <si>
    <t>The pulmonary/pleural changes are subtle, but early pleuritis or focal pneumonia should be ruled out, and similar changes can be associated with radiolucent foreign body migration._x000D_
_x000D_
CBC is recommended._x000D_
More advanced imaging such as CT or bronchoscopy would be ideal for more definitive evaluation. If this is not an option, empiric antibiotic therapy is suggested.</t>
  </si>
  <si>
    <t xml:space="preserve">
1.A severe alveolar pattern has been detected._x000D_
2.Moderate cardiomegaly has been detected but Heart Failure is NOT suspected._x000D_
3.A concurrent bronchial pattern has been detected._x000D_
4.There is no evidence of PERIHILAR INFILTRATE, DYNAMIC AIRWAY COLLAPSE or BRONCHIECTASIS, PULMONARY NODULES or PLEURAL EFFUSION.</t>
  </si>
  <si>
    <t>Two right lateral thoracic radiographs dated 1st July 2024 are available for review. There are no previous radiographs available for comparison. The images are u grainy reducing interpretation._x000D_
_x000D_
Airway findings: The cervical and thoracic trachea have a normal size, outline and position. The carina, tracheal bifurcation and mainstem bronchi are normal. The laryngeal cartilages and middle eyes consistent with age. There is a mild to moderate bronchointerstitial opacification predominantly in the perihilar region. There is some opacification in the region of the caudal ventral aspect of the left cranial lung lobe. A ventrodorsal or left  lateral image is not available._x000D_
_x000D_
Cardiovascular findings: There is increased pericardial fat, causing some border effacement.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The patient is overweight._x000D_
_x000D_
Included abdomen: No significant abnormalities are detected.</t>
  </si>
  <si>
    <t>Bronchointerstitial pattern pattern: Primary consideration should be given to body habitus and normal ageing/fibrosis from previous disease. Allergic bronchitis, chronic bacterial /viral bronchitis +/- parasitic bronchitis should also be considered. Less likely are hyperardenocorticism, neoplasia (such a lymphoma) or idiopathic pulmonary fibrosis.  _x000D_
The ventral opacification may be due to increased pleural fat, however a component of focal bronchopneumonia or aspiration may be present._x000D_
A diagnostic study requires at least 2 orthogonal images, therefore the study is of limited diagnostic quality.</t>
  </si>
  <si>
    <t>A 3 view thoracic series is advised. consider evaluation for airway collapse (fluoroscopy vs. right lateral inspiratory and expiratory radiographs vs. CT with virtual bronchoscopy)._x000D_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t>
  </si>
  <si>
    <t xml:space="preserve">
1.Pleural fissure lines or moderate pleural effusion has been detected. An overlying skin fold or in a moderately overweight animal, excessive pericardial fat could artifactually mimic the result of moderate pleural effusion._x000D_
2.Severe cardiomegaly has been detected but Heart Failure is NOT suspected._x000D_
3.Are respiratory signs present? If NO._x000D_
4.The evaluation has come up positive for a pulmonary nodular pattern._x000D_
5.SEVERE INTERSTITIAL TO ALVEOLAR PATTERN; MODERATE BRONCHIAL PATTERN; SEVERE DYNAMIC AIRWAY DISEASE._x000D_
6.Based on these AI airway/pulmonary findings, the probability of this patient having clinically detectable respiratory signs is VERY HIGH (&gt;75%)_x000D_
7.Are respiratory signs present? If YES.</t>
  </si>
  <si>
    <t>7 views of the thorax, abdomen, and pelvis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mild amount of gas.  The small bowel is normal in uniform diameter.  A moderate amount of stool is noted in the colon.  The liver, spleen, renal silhouettes, and urinary bladder are within normal limits.  Serosal detail is adequate._x000D_
The bilateral femoral heads are well-seated in the acetabula.  The coxofemoral joint spaces are congruent.  No degenerative changes are noted in either hip.  The sacroiliac joints are within normal limits.  No definitive abnormalities are noted in either stifle.  There is subjective muscle atrophy in the right thigh as compared to the left.  The thoracic and lumbar spine are within normal limits.</t>
  </si>
  <si>
    <t>Radiographically normal thorax and abdomen.  Radiographically normal pelvis.  The muscle atrophy in the right thigh could be consistent with disuse atrophy associated with chronic lameness.  However, radiographic explanation is not identified.  Soft tissue injury is normal.</t>
  </si>
  <si>
    <t>Consultation with an orthopedic specialist could be considered.  Otherwise, continued symptomatic/supportive medical management may be helpful.</t>
  </si>
  <si>
    <t>Orthogonal views of the thorax and abdomen are provided:_x000D_
_x000D_
Thorax:_x000D_
_x000D_
Cardiac silhouette shows a mild enlargement of the left atrium dorsally displacing the carina._x000D_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and urinary bladder WNL._x000D_
Oval soft tissue opacity swelling is seen in the left inguinal area adjacent to the prepuce and peniswith ill defined mineralization._x000D_
Old left sided pelvis fractures._x000D_
Hind limbs are unremarkable._x000D_
_x000D_
Multifocal signs of chronic IVDD with cervical IVD and L4-L5 IVD narrowing.</t>
  </si>
  <si>
    <t>1) Left atrial enlargement secondary to chronic mitral endocardiosis without signs of CHF._x000D_
2) Unremarkable abdomen._x000D_
3) Old left sided pelvic fractures._x000D_
4) Left inguinal oval soft tissue opacity mass with dystrophic mineralization along with same side old left sided pelvic fractures. Rule out old traumatic inguinal hernia with omentum and dystrophic mineralization vs neoplasia vs granuloma/abscess.</t>
  </si>
  <si>
    <t>Consider a cardiology consultation with ECG and echocardiogra prior to abdominal US or ideally a CT of the abdomen and pelvis to better evaluate the left inguinal ring and the reported mass.</t>
  </si>
  <si>
    <t>Three orthogonal thoracic radiographs and four thoracic limb radiographs dated 15th July 2024 are available for review. There are no previous radiographs available for comparison. These images are submitted for assessment of the thorax. Limbs are superimposed on the thorax, severely limiting interpretation._x000D_
_x000D_
Airway findings: A smoothly marginated soft tissue opacity is variably present overlying the dorsal aspect of the trachea at the thoracic inlet. This opacity reduces approximately 50% of the dorsoventral diameter of the trachea. The intrathoracic trachea is normal. The pulmonary parenchyma is normal in the ventrodorsal image. The thorax is poorly visible with triceps musculature superimposed on the lateral images._x000D_
_x000D_
Cardiovascular findings: There is border effacement of the cardiac silhouette on the lateral images. The cardiac silhouette, pulmonary veins and mainstem vessels are normal in the ventral dorsal image._x000D_
_x000D_
Mediastinum and pleural space: There is increased cranial mediastinal fat._x000D_
_x000D_
Musculoskeletal findings: The patient is obese._x000D_
_x000D_
Included abdomen: No significant abnormalities are detected.</t>
  </si>
  <si>
    <t>The dorsal attenuation of the trachea is consistent with redundant trachealis membrane or overlying musculature. This unlikely associated with the traumatic incident._x000D_
The thorax is otherwise normal (limited evaluation).</t>
  </si>
  <si>
    <t>A 3 view thoracic series is advised, specifically if respiratory findings increase.</t>
  </si>
  <si>
    <t xml:space="preserve">
1.SEVERE ALVEOLAR INFILTRATE; DIFFUSE, MILD BRONCHOINTERSTITIAL PULMONARY PATTERN._x000D_
2.Based on the AI airway/pulmonary findings, the probability of this patient having clinically detectable respiratory signs is VERY HIGH (&gt;75%)_x000D_
3.Pleural fissure lines or moderate to severe pleural effusion has been detected. An overlying skin fold or in an obese animal, excessive pericardial fat could artifactually mimic the result of severe pleural effusion._x000D_
4.Mild cardiomegaly has been detected but Heart Failure is NOT suspected._x000D_
5.There is no evidence of DYNAMIC AIRWAY COLLAPSE or BRONCHIECTASIS._x000D_
6.Are respiratory signs present? If YES._x000D_
7.AI linked canine pneumonia treatment: https://platform.v2.vetology.net/doc/pneumonia-in-dogs-and-cats_x000D_
8.Are respiratory signs present? If NO.</t>
  </si>
  <si>
    <t>Three radiographs of the thorax are provided. There is mild to moderate generalized cardiac silhouette enlargement. No cranial pulmonary vascular abnormalities are appreciated. Perihilar vessels are poorly delineated on the VD projection. There is no pleural effusion. Possible redundant dorsal trachealis membrane in the cervical region on the left lateral view. The laryngeal region is unremarkable.</t>
  </si>
  <si>
    <t>1. Mild to moderate generalized cardiomegaly consistent with acquired valvular disease. There is loss of perihilar vessel visibility, which is typically due to cardiac decompensation. Poor lung aeration due to recumbency could also cause this appearance._x000D_
2. Possible cervical tracheal collapse.</t>
  </si>
  <si>
    <t>If the patient has elevated respiratory rate, abnormal lung auscultation, exercise intolerance, diuretics would be recommended. Follow-up echocardiogram is recommended.</t>
  </si>
  <si>
    <t>A right lateral thorax view is provided for comparison to the previous thoracic study dated 7-8-24._x000D_
_x000D_
In the previous right lateral view, a small subtle soft tissue nodular shadow was seen superimposed over the cranial aspect of the heart just caudal to the fourth rib._x000D_
In the radiograph made today, the suspected nodular shadow is superimposed over the tip of the fifth rib, such that there is a similar subtle opacity in the same area but still questionable as to etiology and significance. The other lung fields all appear normal. The cardiovascular structures are within normal limits. No destructive or productive bone lesions are seen.</t>
  </si>
  <si>
    <t>There remains a subtle nodular shadow superimposed over the cranial aspect of the heart that is solitary and indistinct._x000D_
Similar to the previous study, the opacity is curious and could potentially represent a small nodule but is questionable at this time as to etiology and significance. Artifact cannot be excluded.</t>
  </si>
  <si>
    <t>A follow-up three view study of the thorax is recommended in 4 to 6 weeks.</t>
  </si>
  <si>
    <t>Six orthogonal survey radiographs of the thorax and abdomen dated 15th July 2024 are available for review. There are no previous radiographs available for comparison. _x000D_
_x000D_
Thorax:_x000D_
Airway findings: The trachea is elevated within the thorax. There is narrowing of the mainstem bronchi. There is widening of the tracheal bifurcation. Throughout the lung parenchyma there is a moderate interstitial opacification, most prominent in the perihilar region. In the right caudal dorsal lung field, there is a mild alveolar pattern. Thin pleural fissure lines are present. No nodules or masses are seen._x000D_
_x000D_
Cardiovascular findings: There is a large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80% of the width of the thoracic volume. The cranial and caudal pulmonary vasculature are enlarged. The caudal vena cava is enlarged._x000D_
_x000D_
Mediastinum and pleural space: There is mild ventral soft tissue attenuation consistent with mild pleural effusion._x000D_
_x000D_
Musculoskeletal findings: No significant abnormalities are detected._x000D_
_x000D_
Included abdomen: No significant abnormalities are detected.</t>
  </si>
  <si>
    <t xml:space="preserve">
1.MODERATE ALVEOLAR PATTERN; CONCURRENT MILD BRONCHOINTERSTITIAL PATTERN; MINIMAL DYNAMIC AIRWAY DISEASE._x000D_
2.Based on these AI airway/pulmonary findings, the probability of this patient having clinically detectable respiratory signs is MEDIUM (50%)_x000D_
3.Are respiratory signs present? If YES._x000D_
4.AI linked article on canine alveolar lung disease. https://platform.v2.vetology.net/doc/pneumonia-in-dogs-and-cats_x000D_
5.Are respiratory signs present? If NO._x000D_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</si>
  <si>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margins are rounded and extend mildly beyond the costal arch, causing caudal displacement of the gastric axis.  The stomach contains a moderate amount of ingesta.  The small intestines are normal in size.  Gas and feces are present in the colon.  The urinary bladder is small.  The remaining abdominal organs are normal.  Spinal alignment is normal with no consistently narrowed intervertebral disc spaces.  The coxofemoral joints are congruent.  No fractures or aggressive osseous lesions are seen.</t>
  </si>
  <si>
    <t>Radiographically normal thorax for patient of this age.  Mild hepatomegaly=ZZ90= this is a nonspecific finding that may be seen with congestion, vacuolar hepatopathy, inflammation, neoplasia, etc.  Abdominal ultrasound may be helpful in further evaluation if biochemically indicated.  Unremarkable osseous structures.</t>
  </si>
  <si>
    <t>Three radiographs of the thorax, four views of the abdomen, and orthogonal views of the proximal pelvic limbs are provided. The cardiac silhouette and pulmonary vessels are normal size and shape. Mild unstructured interstitial pattern is normal for the age of this patient. There are a few incidental pulmonary osteomas. No soft tissue pulmonary nodules or pleural effusion. Normal tracheal diameter._x000D_
_x000D_
In the abdomen the spleen is normal size for this breed. Normal-sized kidneys and liver. The gastrointestinal tract is mildly filled. Two punctate mineral densities overlying the urinary bladder on the lateral views are likely superficial debris. No lumbar spinal abnormalities. The coxofemoral joints are congruent. Pelvic limb musculature is mildly reduced on the right. Patellar location is normal. There is moderate volume fluid in the cranial and caudal aspect of the right stifle joint, with mild enthesophyte formation on the femoral trochlear ridges and distal patella. No left stifle joint abnormalities are appreciated.</t>
  </si>
  <si>
    <t>1. Moderate right stifle effusion most consistent with cranial cruciate ligament tear/rupture. This is the most likely cause for lameness, if this is the limb on which the patient is lame._x000D_
2. Normal thorax, abdomen, coxofemoral joints.</t>
  </si>
  <si>
    <t>If confirmed the patient is lame on the right pelvic limb and there is palpable stifle instability, surgical stabilization would be recommended.</t>
  </si>
  <si>
    <t>7 images of the thorax and abdomen are presented for review.  The trachea is mildly narrowed in the cervical region.  Mild rightward deviation of the trachea on the VD view is due to the expiratory nature of the film.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beyond the costal arch.  The stomach contains a moderate amount of gas.  The small intestines are normal in size.  Gas and feces are present in the colon.  The urinary bladder is distended.  The remaining abdominal organs are normal.</t>
  </si>
  <si>
    <t>Mild hepatomegaly=ZZ90= this is a nonspecific finding that may be seen with congestion, vacuolar hepatopathy, inflammation, neoplasia, etc.  Abdominal ultrasound may be helpful in further evaluation if biochemically indicated.  Cervical tracheal narrowing consistent with tracheal collapse.</t>
  </si>
  <si>
    <t xml:space="preserve">
1.Mild cardiomegaly has been detected but Heart Failure is NOT suspected._x000D_
2.MILD to MODERATE INTERSTITIAL TO ALVEOLAR PATTERN; MILD DYNAMIC AIRWAY DISEASE; MINIMAL PERIHILAR INFILTRATE._x000D_
3.MODERATE ALVEOLAR PATTERN; CONCURRENT MILD BRONCHOINTERSTITIAL PATTERN; MILD DYNAMIC AIRWAY DISEASE._x000D_
4.MILD BRONCHOINTERSTITIAL PULMONARY PATTERN; MILD DYNAMIC AIRWAY DISEASE; MINIMAL PERIHILAR INFILTRATE._x000D_
5.MODERATE INTERSITIAL TO ALVEOLAR PATTERN; MILD BRONCHITIS; MINIMAL PERIHILAR INFILTRATE._x000D_
6.Based on the AI airway/pulmonary findings, the probability of this patient having clinically detectable respiratory signs is MEDIUM (50%)._x000D_
7.Based on these AI airway/pulmonary findings, the probability of this patient having clinically detectable respiratory signs is MEDIUM (50%)_x000D_
8.Based on the AI airway/pulmonary findings, the probability of this patient having clinically detectable respiratory signs is MEDIUM (50%)_x000D_
9.Probability these AI pulmonary findings will accompany clinically detectable respiratory signs: MEDIUM to HIGH (50-75%%)_x000D_
10.Are respiratory signs present? If YES._x000D_
11.Are respiratory signs present? If YES._x000D_
12.Are respiratory signs present? If YES._x000D_
13.Are respiratory signs present? If YES._x000D_
14.AI linked bacterial pneumonia treatment in dogs: https://platform.v2.vetology.net/doc/pneumonia-in-dogs-and-cats_x000D_
15.Are respiratory signs present? If NO._x000D_
16.Are respiratory signs present? If NO._x000D_
17.Are respiratory signs present? If NO._x000D_
18.Are respiratory signs present? If NO.</t>
  </si>
  <si>
    <t>Four radiographs of the thorax, and three views of the abdomen are provided. The cardiac silhouette and pulmonary vessels are normal size and shape. Mild bronchial markings in the lungs. Several incidental pulmonary osteomas. No soft tissue pulmonary nodules or pleural effusion on the lateral views. On the 1st VD projection there is curved 3.1 cm increased opacity extending to the right of the heart. This is not seen on the 2nd VD view or either of the two left lateral projections. This is likely summating normal anatomy and/or pleural fat deposition. Normal tracheal diameter. No enlarged intrathoracic lymph nodes._x000D_
_x000D_
In the abdomen formed feces fills the colon. The liver is upper normal size with smooth margins. Normal sized spleen and kidneys. No medial iliac lymphadenomegaly. The stomach and small bowel are minimally filled. No radiopaque cystic calculi. No significant osseous abnormalities.</t>
  </si>
  <si>
    <t>Mild bronchial markings is most likely normal age-related change. Airway inflammation such as bronchitis is given lesser consideration in the absence of associated cough. Otherwise normal thorax and abdomen.</t>
  </si>
  <si>
    <t>A CBC, blood chemistry profile, and cytology of the enlarged peripheral lymph nodes should be considered.</t>
  </si>
  <si>
    <t>3 views of the thorax are submitted for review.  The cardiac silhouette and pulmonary vasculature are within normal limits.  Mild generalized bronchial markings are noted throughout the lung fields.  No alveolar infiltrates are seen.  No pleural effusion or intrathoracic lymphadenopathy is noted.  The trachea is normal in diameter.  The visible cranial abdomen is unremarkable._x000D_
No aggressive bony changes are seen.</t>
  </si>
  <si>
    <t>The appearance of the lung fields is most consistent with chronic bronchitis, either infectious or allergic/immune mediated.  Occult heartworm disease cannot be definitively excluded.</t>
  </si>
  <si>
    <t>Correlation with Heartworm status could be considered.  Otherwise, given the refractory nature of the clinical signs, lower airway sampling with transtracheal wash or BAL could be considered for further diagnostics.</t>
  </si>
  <si>
    <t xml:space="preserve">
1.MILD TO MODERATE BRONCHOINTERSTITIAL PULMONARY PATTERN; ATELECTASIS or ALVEOLAR INFILTRATE._x000D_
2.Based on these AI airway/pulmonary findings, the probability of this patient having clinically detectable respiratory signs is LOW to MEDIUM (25-50%)_x000D_
3.Are respiratory signs present? If NO._x000D_
4.The cardiac silhouette size is normal._x000D_
5.There is no evidence of DYNAMIC AIRWAY COLLAPSE or BRONCHIECTASIS._x000D_
6.Are respiratory signs present? If YES.</t>
  </si>
  <si>
    <t>Four radiographs of the thorax are provided. There is mild left atrial and ventricular enlargement. Pulmonary vessels are normal size. There are no abnormalities in the pulmonary parenchyma. The mainstem bronchi are narrowed on the left lateral view. No pleural effusion. Adequate tracheal diameter. There is a well delineated 18.9 x 12.6 cm ovoid mass dorsal lateral to the right thorax. This mass is fat opaque on the lateral views and appears soft tissue opaque on the VD projection, likely due to size of the mass. No adjacent osseous lysis or proliferation. Normal cranial abdomen.</t>
  </si>
  <si>
    <t>1. Mild left-sided cardiomegaly consistent with acquired mitral valve disease. There is no pulmonary venous congestion or pulmonary edema, however there is mainstem bronchial compression. This is the most likely cause for coughing. Inhaled irritant/allergens could be contributing._x000D_
2. Right extrathoracic mass, most likely a lipoma. There is no adjacent osseous involvement.</t>
  </si>
  <si>
    <t xml:space="preserve">
1.MILD BRONCHOINTERSTITIAL PULMONARY PATTERN; MILD DYNAMIC AIRWAY DISEASE; ATELECTASIS or less likely, pneumonia;  MINIMAL PERIHILAR INFILTRATE._x000D_
2.Based on the AI airway/pulmonary findings, the probability of this patient having clinically detectable respiratory signs is MEDIUM (50%)_x000D_
3.Are respiratory signs present? If YES._x000D_
4.Are respiratory signs present? If NO._x000D_
5.Moderate cardiomegaly has been detected but Heart Failure is NOT suspected.</t>
  </si>
  <si>
    <t>Opposite lateral and VD views of the thorax are provided._x000D_
_x000D_
There is a mild regional increase in interstitial opacity in the left caudal lung field in the VD view relative to the other lung fields. No corresponding abnormal opacity is seen in any of the lateral views. No alveolar infiltrates are identified. The cardiovascular structures are within normal limits.</t>
  </si>
  <si>
    <t>The reported aspiration pneumonia appears resolved. There is some asymmetry in the VD view, the presence of pathologic pulmonary infiltrates cannot be confirmed in any of the lateral views so this is potentially artifactual. No alveolar opacity is seen.</t>
  </si>
  <si>
    <t>The pneumonia appears adequately resolved radiographically. Considering some cough is still present, an additional week of antibiotics should be considered.</t>
  </si>
  <si>
    <t xml:space="preserve">
1.MODERATE INTERSTITIAL TO ALVEOLAR INFILTRATE; MILD PERIHILAR INFILTRATE; MINIMAL BRONCHIAL PATTERN._x000D_
2.Based on these AI airway/pulmonary findings,  the probability of this patient having clinically detectable respiratory signs is HIGH (75%)_x000D_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6.The evaluation has come up positive for a pulmonary nodular pattern._x000D_
7.The cardiac silhouette size is normal.</t>
  </si>
  <si>
    <t>Orthogonal radiographs of the thorax/abdomen are provided. The images attached to this request have a patient name of =ZZ92=Montgomery, Munchkin=ZZ92=. The cardiac silhouette and pulmonary vessels are normal size and shape. There are no abnormalities in the pulmonary parenchyma. No pleural fluid or gas. Increased opacity extending from the cardiac apex to the diaphragm on the VD projection is mediastinal fat deposition. The diaphragm is intact. Possible redundant dorsal trachealis membrane, of doubtful significance today. Normal proximal thoracic limbs and cervicothoracic spine. In the abdomen there is no effusion or organomegaly. The gastrointestinal tract is mildly filled. No effusion. On the VD projection, the spinous process of L4 is slightly angled towards the left compared to L3. Mild narrowed left aspect of the L3-4 intervertebral disc space. No vertebral malalignment is appreciated on the lateral view. No definitive narrowed intervertebral disc spaces or foramina. No pelvic fractures. The sacroiliac and proximal joints are congruent. No soft tissue swelling.</t>
  </si>
  <si>
    <t>The appearance of L3-4 is highly suggestive of trauma with intervertebral disc protrusion/extrusion and mild subluxation. No other abnormalities are appreciated on this study.</t>
  </si>
  <si>
    <t xml:space="preserve">
1.MILD BRONCHOINTERSTITIAL PULMONARY PATTERN; MILD DYNAMIC AIRWAY DISEASE; ATELECTASIS or less likely, pneumonia._x000D_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PULMONARY NODULES or PLEURAL EFFUSION.</t>
  </si>
  <si>
    <t>7 images of the thorax, abdomen, and cervical spine are presented for review.  The cardiovascular and pulmonary structures are normal.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  Spinal alignment is normal with no consistently narrowed intervertebral disc spaces.  No fractures or aggressive osseous lesions are seen.</t>
  </si>
  <si>
    <t>Radiographically normal thorax and abdomen.  Unremarkable cervical spine.</t>
  </si>
  <si>
    <t>THORAX (4 total radiographs for review). _x000D_
_x000D_
- An endotracheal tube is present in situ._x000D_
- On both the right and left lateral projections, the ventral pleural margin of the pulmonary parenchyma at the level of the cardiac silhouette is scalloped and irregular.  On the orthogonal VD projection, the pulmonary parenchyma is normal._x000D_
- A small volume of gas is present in the cranial thoracic esophagus._x000D_
- The cardiac silhouette and pulmonary vasculature are normal._x000D_
- The remaining intrathoracic structures are normal._x000D_
- The stomach is mildly distended with gas and contains minimal soft tissue opaque material._x000D_
- The remaining cranial abdominal structures are normal._x000D_
- No discrete musculoskeletal abnormalities are identified.</t>
  </si>
  <si>
    <t>1. Overall, the thorax is relatively unremarkable.  The irregular/scalloped ventral border of the pulmonary parenchyma is most likely representative of pulmonary atelectasis secondary to general anesthesia. A focal region of pneumonia or pulmonary fibrosis is less likely._x000D_
_x000D_
2. Despite lack of radiographic evidence of cardiomegaly, if a persistent audible cardiac murmur is present, an echocardiogram may still be considered regardless._x000D_
_x000D_
3. Mild aerophagia._x000D_
_x000D_
4. Endotracheal tube in situ</t>
  </si>
  <si>
    <t>Three orthogonal thoracic radiographs dated 15th July 2024 are available for review. There are no previous radiographs available for comparison. _x000D_
_x000D_
Airway findings: There is mild elevation of the trachea. There is widening of the tracheal bifurcation. The pulmonary parenchyma is normal._x000D_
_x000D_
Cardiovascular findings: There is a moderate sized smoothly marginated soft tissue opacity contiguous with the caudal dorsal border of the cardiac silhouette. A soft tissue opacity is superimposed on the caudal cardiac silhouette in the dorsoventral image.  The overall cardiac silhouette is at upper normal limits. The pulmonary vessels as well as the mainstem vasculature are normal._x000D_
_x000D_
Mediastinum and pleural space: No significant abnormalities are detected._x000D_
_x000D_
Musculoskeletal findings: No significant abnormalities are detected._x000D_
_x000D_
Included abdomen: There is mild smoothly marginated hepatomegaly.</t>
  </si>
  <si>
    <t>1. Left atrial dilation with mild left-sided cardiomegaly. This is most likely due to mixoid degeneration of the mitral valve. There is no evidence for cardiac insufficiency. _x000D_
2.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t>
  </si>
  <si>
    <t>Three radiographs of the thorax are provided. There is moderate generalized cardiac silhouette enlargement. The cranial lobar vein is larger than the artery on the left lateral view. There is a severe interstitial to alveolar pattern in the right perihilar region on the VD view. No pleural effusion. Mainstem bronchi are deviated dorsally. The left mainstem bronchus is compressed. Possible redundant dorsal trachealis membrane in the cervical region. In the cranial abdomen the liver is upper normal size to mildly enlarged and there is small volume peritoneal effusion.</t>
  </si>
  <si>
    <t>1. Moderate generalized cardiomegaly consistent with acquired mitral and tricuspid valve disease. There is pulmonary venous congestion and pulmonary edema indicating left-sided heart failure. Mainstem bronchial compression likely contributing to the cough._x000D_
2. Prominent liver with mild peritoneal effusion. This may be due to right-sided cardiac decompensation and venous congestion. A separate inflammatory, neoplastic process, or metabolic abnormality is next on the differential list.</t>
  </si>
  <si>
    <t xml:space="preserve">
1.Based on these AI airway/pulmonary findings, the probability of this patient having clinically detectable respiratory signs is VERY HIGH (&gt;75%)_x000D_
2.Are respiratory signs present? If YES._x000D_
3.Are respiratory signs present? If NO._x000D_
4.A moderate perihilar infitlrate has been detected._x000D_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suspected._x000D_
7.SEVERE INTERSTITIAL TO ALVEOLAR PATTERN; MODERATE BRONCHIAL PATTERN; SEVERE DYNAMIC AIRWAY DISEASE.</t>
  </si>
  <si>
    <t xml:space="preserve">Patient Name : Grant Huxham, Date of study: Jul 15, 2024
4 images are provided for review
There are no previous radiographs for comparison.  The ventrodorsal image of the abdomen is mislabeled.  
Pulmonary parenchyma: A minimal to mild diffuse bronchial pattern is present.
Pulmonary vasculature: The pulmonary vasculature is subjectively normal in size and tapers in the periphery of the lungs.
Cardiac silhouette: The cardiac silhouette has a mildly flattened caudodorsal margin.   The cardiac silhouette is slightly tall but the trachea maintains a caudoventral declination towards the base of the cardiac silhouette.  
Mediastinum: The cranial mediastinum is normal.
Trachea: The trachea is normal.
Esophagus: The esophagus is not well-identified.
Pleural space: The pleural space is normal.
Liver: The liver is minimally enlarged with slight caudal displacement of the gastric axis.  
Spleen: The spleen is normal in size with smooth margins and homogeneous soft tissue.
Kidneys: The left kidney is normal.  The right kidney is obscured without obvious mineral or enlargement.
Retroperitoneum: Retroperitoneal detail is adequate.
Urogenital: The urinary bladder is normal in size, homogeneous soft tissue, and smoothly marginated.
Peritoneum: Peritoneal detail is adequate.
Gastrointestinal tract: The stomach contains a moderate volume of heterogeneous soft tissue material and gas.  The stomach is within normal  limits for size. 
The small intestine contains mild to moderate gas and mild heterogeneous soft tissue material, with a subjectively uniform population for size. 
The colon contains Mild to moderate gas and heterogeneous soft tissue material.  The colon wall is segmentally spastic.  The colon is normal in size.
Musculoskeletal: The included musculoskeletal structures are normal.
</t>
  </si>
  <si>
    <t xml:space="preserve">1. Equivocal left ventricular enlargement versus variation of normal/phase of the cardiopulmonary cycle.
- If present, consider congenital anomaly given patient age.
- There is no current evidence of left-sided congestive heart failure.  
2. Minimal hepatomegaly due to variation of normal/artifact, vacuolar change, nodular hyperplasia, or unlikely other.
3. Moderate heterogeneous gastric material due to recent meal versus gastritis/delayed gastric emptying, or pyloric outflow tract obstruction.
4. Nonspecific small and large intestinal appearance due to enteritis/colitis or passage of normal ingesta/recent bowel movement.
- There is no current evidence of small intestinal mechanical ileus.  </t>
  </si>
  <si>
    <t>Consider repeat abdominal radiographs after 8-12 hours of empirical therapy, supportive care and fasting to monitor for passage of the gastric and intestinal material.  Consider echocardiography, ECG and blood pressure for further evaluation, especially if a murmur is identified.  Empirical therapy and supportive care in the interim as needed for possibly dietary indiscretion and gastroenterocolitis.  Monitoring as directed, or sooner if clinical signs acutely change, fail to improve or worsen.</t>
  </si>
  <si>
    <t>A three view study of the thorax is provided for interpretation._x000D_
_x000D_
The heart is within normal size and shape limits. Pulmonary vessels are normal. There is a mild increase in interstitial lung opacity. No alveolar infiltrates or pleural effusion are seen. There is mild dynamic narrowing of the mid trachea. The appearance is still within the limits of benign variation. The cranial abdominal organs are unremarkable.</t>
  </si>
  <si>
    <t>No evidence of cardiac chamber dilation is seen._x000D_
_x000D_
The mild interstitial pattern would be compatible with low-grade bronchitis or prominent age related changes. This appearance is probably normal for this patient if no relevant clinical signs are present.</t>
  </si>
  <si>
    <t>Periodic recheck radiographs every 6 to 12 months is suggested.</t>
  </si>
  <si>
    <t xml:space="preserve">
1.MILD BRONCHOINTERSTITIAL PULMONARY PATTERN._x000D_
2.Based on these AI airway/pulmonary findings, the probability of this patient having clinically detectable respiratory signs are LOW (25%)_x000D_
3.Are respiratory signs present? If YES._x000D_
4.Are respiratory signs present? If NO._x000D_
5.The cardiac silhouette size is normal._x000D_
6.There is no evidence of PERIHILAR INFILTRATE, DYNAMIC AIRWAY COLLAPSE or BRONCHIECTASIS, PULMONARY NODULES or PLEURAL EFFUSION.</t>
  </si>
  <si>
    <t>5 views of the thorax and abdomen are submitted for review.  The cardiac silhouette is subjectively normal in size and shape for the breed.  The pulmonary vasculature is not enlarged.  Mild to moderate generalized bronchial markings are noted throughout the lung fields.  No pleural effusion or intrathoracic lymphadenopathy is noted.  The cranial mediastinum is widened.  The trachea is normal in diameter._x000D_
The abdomen, the stomach contains a moderate amount of food-like material.  The small bowel contains mild amount of gas without overt dilation or plication.  A moderate amount of stool is noted in the colon.  The liver is mildly enlarged with slightly rounded serosal margins.  The spleen, renal silhouettes, and urinary bladder appear within normal limits.  Serosal detail is adequate._x000D_
Multiple congenital hemivertebra are noted in the caudal thoracic spine, typical for the breed.  Marked degenerative changes are noted in the elbows.  No aggressive bony changes are seen.</t>
  </si>
  <si>
    <t>Essentially radiographically normal thorax given the age and breed of the patient.  Chronic inflammation, chronic obstructive pulmonary disease, and/or pulmonary hypertension cannot be ruled out._x000D_
Mild hepatomegaly.  This could be normal for the patient are consistent with vacuolar change, inflammation, venous congestion, or less likely neoplasia.  Otherwise, radiographically normal postprandial abdomen.</t>
  </si>
  <si>
    <t>Correlation with blood work may be helpful.  An echocardiogram could be considered for further evaluation of the heart and to assess pulmonary arterial pressures.  An abdominal ultrasound could be considered for further evaluation of the liver.</t>
  </si>
  <si>
    <t xml:space="preserve">
1.SEVERE INTERSTITIAL TO ALVEOLAR PATTERN; SEVERE DYNAMIC AIRWAY DISEASE; MILD BRONCHIAL PATTERN._x000D_
2.MODERATE INTERSTITIAL TO ALVEOLAR INFILTRATE; MILD BRONCHIAL PATTERN; MILD PERIHILAR INFILTRATE._x000D_
3.Based on these AI airway/pulmonary findings, the probability of this patient having clinically detectable respiratory signs is VERY HIGH (&gt;75%)_x000D_
4.Based on the AI airway/pulmonary findings, the probability of this patient having clinically detectable respiratory signs is HIGH (75%)_x000D_
5.Pleural fissure lines or small volume pleural effusion has been detected. In a mildly overweight animal, excessive pericardial fat can artifactually mimic the result of minimal pleural effusion._x000D_
6.Severe cardiomegaly has been detected but Heart Failure is NOT suspected._x000D_
7.Are respiratory signs present? If NO._x000D_
8.Are respiratory signs present? If NO._x000D_
9.A mild perihilar infiltrate has been detected._x000D_
10.Are respiratory signs present? If YES._x000D_
11.Are respiratory signs present? If YES.</t>
  </si>
  <si>
    <t>Study:_x000D_
Thoracic and abdominal radiography: seven images dated July 15, 2024_x000D_
_x000D_
Findings:_x000D_
There is dorsal deviation of the trachea at the heart base. The cardiac silhouette is normal in size. The bony vasculature is normal in size. The pulmonary parenchyma is unremarkable. No pulmonary nodules or masses are present. The pleural space is normal. The trachea is normal in diameter. The stomach contains recently ingested food. The small intestines are normal in size and course. The colon contains formed fecal material. The liver and spleen are normal in size and margin. The renal silhouettes are poorly visualized due to visceral crowding. There is no overt renomegaly. On the lateral views, there is a 0.7 cm round mineral opacity in the craniodorsal abdomen. On the orthogonal view, this is seen craniolateral to the margin of the right kidney. The urinary bladder is normal in size and opacity. The patient has multiple, breed associated, congenitally anomalous vertebrae. Mild periarticular bone information is present at the caudodistal aspect of the humeral head bilaterally. There is moderate L4-L5 and severe L7-S1 spondylosis deformans.</t>
  </si>
  <si>
    <t>1. There is concern for a heart base mass effect (e.g. chemodectoma or hemangiosarcoma). Breed normal variation secondary mediastinal fat deposition cannot be excluded. Consider echocardiography for further evaluation._x000D_
2. It is difficult to localize the mineral opacity in the right craniodorsal abdomen. Consider enteric foreign material or nodular fat necrosis (Bates body)._x000D_
3. The abdomen is otherwise unremarkable. Abdominal sonography and a G.I. panel can be considered to further evaluate the weight loss and soft stools with blood.</t>
  </si>
  <si>
    <t xml:space="preserve">
1.MODERATE BRONCHOINTERSTITIAL PULMONARY PATTERN; MILD PERIHILAR INFILTRATE; MILD DYNAMIC AIRWAY DISEASE; ATELECTASIS or less likely, pneumonia._x000D_
2.Based on the AI airway/pulmonary findings, the probability of this patient having clinically detectable respiratory signs is MEDIUM to HIGH (50-75%)_x000D_
3.Based on the AI airway/pulmonary findings, the probability of this patient having clinically detectable respiratory signs is MEDIUM to HIGH (50%-75%)_x000D_
4.Are respiratory signs present? If YES._x000D_
5.In the PRESENCE of respiratory signs, active pneumonitis (aspiration or bacterial (including Bordatella, Mycoplasma and Wolbachia), allergic, viral, fungal or parasitic (including heartworm pathosis) would be most likely._x000D_
6.Are respiratory signs present? If NO._x000D_
7.In the ABSENCE of respiratory signs, atelectasis secondary to heavy sedation or anesthesia or a false positive due to a combination of age-related changes and/or overlying soft tissues such as forelimb musculature overlying the cranial thorax would be most likely._x000D_
8.MODERATE INTERSTITIAL TO ALVEOLAR PATTERN; PLEURAL FISSURE LINES or PLEURAL EFFUSION; MILD BRONCHITIS; MILD DYNAMIIC AIRWAY DISEASE._x000D_
9.Mild cardiomegaly has been detected but Heart Failure is NOT suspected.</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</si>
  <si>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Hemivertebrae are present in the thoracic spine.</t>
  </si>
  <si>
    <t>Radiographically normal abdomen.  Radiographically normal thorax for patient of this age.  Congenital hemivertebrae.</t>
  </si>
  <si>
    <t>Study:_x000D_
Thoracic radiography: four images dated July 15, 2024_x000D_
_x000D_
Findings:_x000D_
The cardiac silhouette and pulmonary vasculature are normal in size. There is a mild generalized bronchial pulmonary pattern. The pleural space is normal. There is no intrathoracic lymphadenopathy. The larynx is normal. The trachea is normal in diameter and course. The stomach contains unstructured heterogeneous soft tissue material presumed to be ingesta. No skeletal abnormalities are present.</t>
  </si>
  <si>
    <t>1. The mild generalized bronchial pulmonary pattern could be secondary to the previous heartworm disease or may active allergic, inflammatory, infectious, inhaled irritant or parasitic bronchitis. Airway sampling plus/minus Baermann fecal flotation and repeat heartworm testing can be considered for further evaluation this finding._x000D_
2. Normal diameter of the trachea does not exclude the possibility of dynamic airway disease. Fluoroscopy can be considered to further evaluate for possible tracheal collapse given the reported tracheal sensitivity on physical exam.</t>
  </si>
  <si>
    <t xml:space="preserve">
1.A moderate bronchointerstitial pulmonary pattern detected._x000D_
2.The cardiac silhouette size is normal._x000D_
3.There is no evidence of PERIHILAR INFILTRATE or DYNAMIC AIRWAY COLLAPSE or BRONCHIECTASIS.</t>
  </si>
  <si>
    <t>Four orthogonal thoracic radiographs and 2 orthogonal radiographs of the left thoracic extremities dated 12th July and 15th July 2024 are available for review. There are no previous radiographs available for comparison. _x000D_
_x000D_
Thorax: _x000D_
Airway findings: No nodules, masses, or lymphadenomegaly is visible. The trachea has a normal position, shape and size. The pulmonary parenchyma is normal. _x000D_
_x000D_
Cardiovascular findings: The cardiac silhouette, and pulmonary vasculature is within normal limits._x000D_
_x000D_
Mediastinum and pleura: There is no evidence of pleural effusion, _x000D_
_x000D_
Included abdomen: No significant abnormalities are detected. _x000D_
_x000D_
Musculoskeletal system: There is lysis of the distal aspect of the middle phalanx of the fourth digit of the left limb. The lysis is geographic to punctate. No clear new bone formation is visible. There is periosteal modelling and punctate lucency of the ungual crest of the distal phalanx of that digit. A medial fragment is present at the articular margin. A dorsal fragment is visible in the lateral image. There is moderate associated soft tissue swelling.</t>
  </si>
  <si>
    <t>1. Negative metastasis check, normal thorax._x000D_
2. Aggressive bony lesion centred on the distal interphalangeal joint of the fourth digit of the left limb: Differentials include septic arthritis and osteomyelitis, a articular neoplasm (synovial cell sarcoma), primary bone neoplasm. A nailbed infection, or melanoma is considered less likely.</t>
  </si>
  <si>
    <t>Computed tomography has a higher resolution capability to detect small pulmonary parenchyma nodules and may be considered._x000D_
Toe amputation with histology and culture as planned is advised.</t>
  </si>
  <si>
    <t>Three radiographs of the thorax and a lateral view of the abdomen are provided. The cardiac silhouette is normal size and shape for this breed. There is a mild bronchial pattern throughout the lungs. No soft tissue pulmonary nodules or pleural effusion. Small round soft tissue densities adjacent to the heart represent end-on pulmonary vessels. No pleural effusion. Increased opacity in the cranial left thorax on the VD projection is a combination of mediastinal fat deposition, rotation, and superimposed scapula. Normal tracheal diameter. Mild congenital breed-related vertebral malformations in the thoracic spine, of doubtful significance today. In the abdomen there is moderate volume soft tissue opaque ingesta in the stomach. Small bowel are mildly gas-filled. Serosal detail is reduced. The gastric axis is in normal position. The spleen, kidneys, and urinary bladder are obscured. No radiopaque urolithiasis. Spondylosis deformans is likely incidental.</t>
  </si>
  <si>
    <t>Reduced abdominal detail likely due to distended gastrointestinal tract. Scant effusion is not ruled out. Otherwise normal abdomen and thorax.</t>
  </si>
  <si>
    <t xml:space="preserve">
1.MODERATE INTERSTITIAL TO ALVEOLAR PATTERN; MILD BRONCHITIS._x000D_
2.Based on the AI airway/pulmonary findings, the probability of this patient having clinically detectable respiratory signs is MEDIUM to HIGH (50-75%)_x000D_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6.Minimal cardiomegaly has been detected but Heart Failure is NOT suspected.</t>
  </si>
  <si>
    <t>8 views of the thorax and abdomen are submitted for review.  3 views of the thorax and 3 views of the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mild amount of gas.  The small bowel is normal and uniform in diameter.  The colon is empty.  The liver and spleen are normal in size, shape, and margination.  The bilateral renal silhouettes are within normal limits.  The urinary bladder is unremarkable.  Serosal detail is normal._x000D_
Mild spondylosis deformans and degenerative change is seen associated with the intervertebral disc space at L1 to and at the lumbosacral junction.</t>
  </si>
  <si>
    <t>Radiographically normal thorax and abdomen.  No evidence of mechanical obstruction of the GI tract is seen.  Nonspecific gastroenteritis or dietary indiscretion is not excluded._x000D_
The L1-2 intervertebral disc space could be consistent with chronic intervertebral disc disease or possibly chronic/previous Discospondylitis.  The clinical significance is doubtful in the absence of current clinical signs.</t>
  </si>
  <si>
    <t>Symptomatic/supportive medical management appears appropriate in the short-term.  If clinical signs persist, an abdominal ultrasound could be considered.</t>
  </si>
  <si>
    <t>Seven radiographs of the thorax and abdomen are provided. The cardiac silhouette and pulmonary vessels are normal size and shape. There are no abnormalities in the pulmonary parenchyma. No pleural effusion. Adequate tracheal diameter. Mild vertebral malformations in the mid thoracic spine, of doubtful clinical significance today. In the abdomen there is no peritoneal or retroperitoneal effusion. Small volume of formed feces in the colon. The stomach and small bowel are minimally filled. The urinary bladder is mildly filled and soft tissue opaque. The prostate is questionably visible but is not significantly enlarged. No radiopaque urolithiasis. No lumbar spinal abnormalities on the lateral or VD views. The coxofemoral joints are congruent. Pelvic limb musculature is adequate and symmetric.</t>
  </si>
  <si>
    <t>Normal thorax and abdomen. A reason for the clinical signs is not identified. Spinal abnormality such as spina bifida remains possible, despite there being no evidence of such on this study.</t>
  </si>
  <si>
    <t>A neurologic examination is recommended. Further evaluation of the spine is desired, cross-sectional imaging with CT/MRI would be recommended.</t>
  </si>
  <si>
    <t xml:space="preserve">
1.PLEURAL EFFUSION or PLEURAL FISSURE LINES; MODERATE INTERSITIAL TO ALVEOLAR PATTERN; MILD PERIHILAR INFILTRATE._x000D_
2.Based on these AI airway/pulmonary findings, the probability of this patient having clinically detectable respiratory signs is HIGH (75%)_x000D_
3.Are respiratory signs present? If YES._x000D_
4.Are respiratory signs present? If NO._x000D_
5.The cardiac silhouette size is normal._x000D_
6.There is no evidence of DYNAMIC AIRWAY COLLAPSE or BRONCHIECTASIS or PULMONARY NODULES.</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</si>
  <si>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There is spondylosis deformans of the lumbosacral spine.</t>
  </si>
  <si>
    <t>Orthogonal views of the thorax and abdomen are provided. There are four images total. The left lateral thorax view includes the neck._x000D_
_x000D_
There is moderate dynamic narrowing of the caudal cervical trachea. The intrathoracic trachea is unremarkable. There is a mild increase in unstructured interstitial opacity. The appearance is most prominent in the lateral views which are hyperinflated, the lungs appear fairly normal in the VD view which is better inflated. No alveolar infiltrates or pulmonary nodules are seen. The cardiovascular structures are within normal limits._x000D_
_x000D_
The liver is mildly enlarged overall, with mildly lobular margins. In the VD view there is a round mass-like shadow in the right cranial abdomen that is potentially involving the liver. The spleen is moderately enlarged. Serosal detail in the abdomen is normal. The GI tract and the other organs are within normal limits.</t>
  </si>
  <si>
    <t>The spleen is significantly enlarged, and is a concern for neoplasia including lymphoma. The liver is mildly enlarged, and the liver margins appear lobular, so follow up imaging of both organs is recommended. Relevance to the cough is unknown._x000D_
_x000D_
There is no evidence of cardiac chamber dilation or heart failure. The interstitial pulmonary pattern is really only apparent in the lateral views, which are not well inflated so artifactual increased pulmonary density is likely contributing. Viral or allergic pneumonitis could still be present._x000D_
There is moderate dynamic tracheal narrowing, so collapsing trachea would be a likely explanation for the cough.</t>
  </si>
  <si>
    <t>The appearance of the liver and spleen is concerning in this study._x000D_
Clinical significance is unknown in the absence of any relevant clinical signs, but early neoplastic infiltration should be ruled out based on the appearance. Ultrasound of the abdomen should be considered. CBC and serum chemistry is recommended.</t>
  </si>
  <si>
    <t xml:space="preserve">
1.MILD to MODERATE BRONCHOINTERSTITIAL PATTERN; MINIMAL DYNAMIC AIRWAY DISEASE._x000D_
2.Based on these AI airway/pulmonary findings, the probability of this patient having clinically detectable respiratory signs is LOW to MEDIUM (25%-50%)_x000D_
3.Are respiratory signs present? If YES._x000D_
4.AI linked bacterial bronchitis in dogs article: https://platform.v2.vetology.net/doc/bacterial-bronchitis-in-dogs-and-cats_x000D_
5.Are respiratory signs present? If NO._x000D_
6.A mild perihilar infiltrate has been detected._x000D_
7.Mild cardiomegaly has been detected but Heart Failure is NOT suspected.</t>
  </si>
  <si>
    <t>3 views of the thorax are submitted for review.  The left atrium is markedly enlarged.  The cardiac silhouette is increased in height with straightening of the caudal cardiac waist and dorsal deviation of the intrathoracic trachea.  The pulmonary vasculature is within normal limits.  No pulmonary parenchymal abnormalities are noted.  No pleural effusion or intrathoracic lymphadenopathy is seen.  The trachea is normal in diameter.  The visible cranial abdomen is unremarkable._x000D_
No significant osseous abnormalities are seen.</t>
  </si>
  <si>
    <t>Marked left sided cardiomegaly.  This is consistent with stage IIb myxomatous mitral valve disease.  No evidence of left-sided congestive heart failure is seen.</t>
  </si>
  <si>
    <t>Cardiac medications as with Pimobendan appear indicated in this case.  An echocardiogram is indicated for further evaluation of cardiac size and function.</t>
  </si>
  <si>
    <t xml:space="preserve">
1.A mild perihilar infiltrate and minimal bronchial pattern have been detected_x000D_
2.A mild to moderate interstitial to alveolar pattern has been detected.._x000D_
3.MILD INTERSTITIAIL TO ALVEOLAR PATTERN; MINIMAL DYNAMIC AIRWAY DISEASE._x000D_
4.MILD BROCHOINTERSTITIAL PULMONARY PATTERN; CONCURRENT ATELECTASIS (MILD) SUSPECTED._x000D_
5.Severe cardiomegaly has been detected but Heart Failure is NOT suspected._x000D_
6.MINIMAL BRONCHIAL PATTERN; MINIMAL DYNAMIC AIRWAY DISEASE._x000D_
7.Based on these AI airway/pulmonary findings, the probability this patient will have clinically detectable respiratory signs is LOW (25%)_x000D_
8.Based on these AI airway/pulmonary findings, the probability of this patient having clinically detectable respiratory signs is LOW (25%)_x000D_
9.Are respiratory signs present? If YES._x000D_
10.Are respiratory signs present? If YES._x000D_
11.Are respiratory signs present? If YES._x000D_
12.Are respiratory signs present? If NO._x000D_
13.Are respiratory signs present? If NO._x000D_
14.Are respiratory signs present? If NO.</t>
  </si>
  <si>
    <t>Three orthogonal thoracic radiographs dated 15th July 2024 are available for review. There are no previous radiographs available for comparison. _x000D_
_x000D_
Airway findings: The thoracic trachea is undulating. Throughout the lung parenchyma there is a moderate bronchial pattern. The mainstem bronchi are mildly mineralised and poorly tapering. The thorax is hypoinflated. There is mild widening of the tracheal bifurcation._x000D_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Multisite spondylosis deformans and intervertebral disc narrowing is present._x000D_
_x000D_
Included abdomen: No significant abnormalities are detected.</t>
  </si>
  <si>
    <t>1. The undulating trachea is likely due to tracheomalacia, however head positioning may contribute._x000D_
2. Bronchial pattern at bronchiectasia is consistent with chronic bronchitis of environmental, allergic, or infectious-inflammatory origin. Heart worm is considered unlikely._x000D_
3. Multisite intervertebral disc disease.</t>
  </si>
  <si>
    <t>Respiratory workup including CBC, serum chemistry, urinalysis, Baermann faecal testing, 4DX, +/- respiratory panel or fungal testing as indicated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 Evaluate for upper airway disease as clinically indicated.</t>
  </si>
  <si>
    <t xml:space="preserve">
1.The cardiac silhouette size is normal._x000D_
2.There is no evidence of DYNAMIC AIRWAY COLLAPSE or BRONCHIECTASIS._x000D_
3.Pleural fissure lines or small volume pleural effusion has been detected. In a mildly overweight animal, excessive pericardial fat can artifactually mimic the result of minimal pleural effusion._x000D_
4.A mild to moderate bronchointerstitial pulmonary pattern has been detected._x000D_
5.A mild perihilar infiltrate has been detected.</t>
  </si>
  <si>
    <t>RADIOLOGY REPORT_x000D_
Study: VD, Rt and Le lateral radiographs of the thorax, 7 images dated 7/12/2024._x000D_
_x000D_
Imaging findings:_x000D_
- Heart: mild left atrial enlargement_x000D_
- Pulmonary vasculature: WNL_x000D_
- Pleural space: WNL_x000D_
- Mediastinal structures: left principal bronchus is mildly displaced dorsal_x000D_
- Pulmonary parenchyma and lower airways: all lung lobes have a mild-moderate bronchial pattern_x000D_
- Cranial abdominal organs: WNL_x000D_
- Skeletal structures included in the views: WNL_x000D_
_x000D_
WNL = within normal limits</t>
  </si>
  <si>
    <t>1.  Lower airway disease=ZZ90= DDx: inflammatory/eosinophilic bronchitis versus infectious bronchitis._x000D_
2.  Mild compensated left-sided cardiac disease=ZZ90= DDx: mitral valve degeneration and insufficiency versus cardiomyopathy._x000D_
3.  No findings of congestive heart failure, pneumonia, pulmonary metastases, or thoracic lymphadenopathy present._x000D_
4.  Principal bronchus displacement/compression by the mild left atrial enlargement could also contribute to the reported coughing.</t>
  </si>
  <si>
    <t>Additional diagnostic steps for this patient may include (if not already performed):_x000D_
- EKG and echocardiogram to further characterize the mild left-sided cardiomegaly._x000D_
- Transtracheal wash to collect lower airway fluid samples for airway cytology and culture and sensitivity_x000D_
- Possible consultation with a veterinary internal medicine specialist regarding chronic cough and lower airway disease.</t>
  </si>
  <si>
    <t>Study:_x000D_
Thoracic radiography: five images dated July 15, 2024_x000D_
_x000D_
Findings:_x000D_
There is straightening of the caudal cardiac waist on the lateral projections. The pulmonary vasculature is normal in size. There is a mild generalized bronchial pulmonary pattern. The pleural space is normal. There is no intrathoracic lymphadenopathy. The patient has a redundant dorsal tracheal membrane. The stomach contains unstructured heterogeneous soft tissue material presumed to be ingesta. The liver extends mildly beyond the costal arch with smooth and sharp margins. There is narrowing of the C5-C6, C6-C7 and T 13-L1 through L2-L3 intervertebral disc spaces with mild spondylosis deformans.</t>
  </si>
  <si>
    <t>1. Straightening of the caudal cardiac waist can be an indicator of mild specific left atrial enlargement/mitral valve disease. There is no evidence of cardiac decompensation. Echocardiography can be considered for further evaluation._x000D_
2. The mild generalized bronchial pulmonary pattern may indicate allergic, inflammatory, infectious, parasitic or irritant bronchitis. Airway sampling, heartworm testing and Baermann fecal flotation can be considered for further evaluation._x000D_
3. Redundant dorsal tracheal membrane. Normal diameter of the trachea does not exclude the possibility of concomitant tracheal collapse. Fluoroscopy can be considered to further evaluate for possible dynamic airway disease given the reported tracheal sensitivity on physical exam._x000D_
4. The generalized hepatomegaly is nonspecific. Rule out vacuolar hepatopathy secondary to the reported diabetes or suspected hyperadrenocorticism, hyperplasia, hepatitis or infiltrative neoplasia. Sonography can be considered for further evaluation._x000D_
5. Multifocal intervertebral disease.</t>
  </si>
  <si>
    <t xml:space="preserve">
1.MILD BRONCHOINTERSTITIAL PULMONARY PATTERN; MILD DYNAMIC AIRWAY DISEASE._x000D_
2.Based on these AI airway/pulmonary findings, the probability of this patient having clinically detectable respiratory signs is LOW to MEDIUM (25-50%)_x000D_
3.Minimal cardiomegaly has been detected but Heart Failure is NOT suspected._x000D_
4.Are respiratory signs present? If YES._x000D_
5.Are respiratory signs present? If NO._x000D_
6.There is no evidence of PERIHILAR INFILTRATE or PULMONARY NODULES.</t>
  </si>
  <si>
    <t>Two lateral radiographs of the thorax, and orthogonal views of the distal right thoracic limb are provided. The distal left thoracic limb is included on the dorsopalmar projection. The cardiac silhouette and pulmonary vessels are normal size. The lungs are clear. There is no pleural effusion. Adequate tracheal diameter. No cervicothoracic spinal abnormalities, and the cranial abdomen is unremarkable. The shoulder joints are congruent. No cubital abnormalities are appreciated. Carpal bones are in appropriate alignment. No metacarpal or phalangeal osseous or soft tissue abnormalities.</t>
  </si>
  <si>
    <t>Normal thorax and thoracic limbs. A reason for lameness is not identified. Soft tissue sprain/strain is most likely. Lateralized intervertebral disc lesion is next on the differential list.</t>
  </si>
  <si>
    <t>Recommend palpate for spinal discomfort and a neurologic examination. This patient may benefit from anti-inflammatories.</t>
  </si>
  <si>
    <t>Three radiographs of the thorax are provided. Images dated 6/24/24 are available for comparison. The cardiac silhouette and pulmonary vessels are normal size and shape. There is improved ventral lung aeration, with no evidence of the previously noted interstitial infiltrates. Linear increased opacity overlying the caudoventral heart on the left lateral view is a combination of pulmonary vessels and rib contour. There is no pleural effusion. Normal tracheal diameter.</t>
  </si>
  <si>
    <t>The thorax is normal today. Pneumonia has resolved.</t>
  </si>
  <si>
    <t xml:space="preserve">
1.MINIMAL TO MILD BRONCHOINTERSTITIAL PULMONRAY PATTERN; MILD PERIHILAR PATTERN._x000D_
2.Based on the AI airway/pulmonary findings, the probability of this patient having clinically detectable respiratory signs is LOW (25%)_x000D_
3.A minimal bronchointerstitial pulmonary pattern with a concurrent, minimal perihilar infiltrate have been detected._x000D_
4.The cardiac silhouette size is normal.</t>
  </si>
  <si>
    <t>3 views of the thorax are submitted for review.  The cardiac silhouette and pulmonary vasculature are within normal limits.  Mild bronchial and interstitial markings are noted throughout the lung fields.  No evidence of intrathoracic lymphadenopathy is seen.  No pleural effusion or mediastinal abnormalities are noted.  The trachea is normal in diameter.  The visible cranial abdomen is unremarkable.  Multiple congenital hemivertebra, typical for the breed, are noted in the thoracic spine.</t>
  </si>
  <si>
    <t>The appearance of the lung fields is very nonspecific and generally within normal limits for the breed.  Chronic inflammatory airway disease is not excluded.</t>
  </si>
  <si>
    <t>Correlation with pending lab work may be helpful.  Otherwise, lower airway sampling may be indicated.</t>
  </si>
  <si>
    <t xml:space="preserve">
1.A minimal to mild bronchointerstitial pulmonary pattern has been detected._x000D_
2.The cardiac silhouette size is normal._x000D_
3.There is no evidence of PERIHILAR INFILTRATE, PULMONARY NODULES or PLEURAL EFFUSION.</t>
  </si>
  <si>
    <t>3 views of the thorax are reviewed and compared to a previous study made June 27, 2024.  The cardiovascular structures remain within normal limits.  Mild bronchointerstitial markings are noted throughout the thorax and are unchanged as compared to the previous study.  No pleural or mediastinal abnormalities are noted.  No other changes are noted compared to previous.</t>
  </si>
  <si>
    <t>The appearance of the lung fields is nonspecific and typical for the breed, or consistent with incidental age-related change and/or chronic inflammatory airway disease.</t>
  </si>
  <si>
    <t>Correlation with pending lab work may be helpful.  Otherwise, empirical medical management versus lower airway sampling may be indicated.</t>
  </si>
  <si>
    <t>THORAX (3 total radiographs for review).  Multiple previous examinations are available for comparison, most recently from 2016._x000D_
_x000D_
- The cardiac silhouette and pulmonary vasculature are normal._x000D_
- The pulmonary parenchyma is normal_x000D_
- The trachea, esophagus and remainder of the mediastinum are normal._x000D_
- The pleural space and remaining intrathoracic structures are normal._x000D_
- Faintly mineralized, rounded structure in the region of the gallbladder (3.75 x 3.75 m)_x000D_
- The stomach contains moderate gas-stippled soft-tissue opaque material and a mild volume of gas._x000D_
- Multifocal thoracolumbar intervertebral disc space narrowing and spondylosis</t>
  </si>
  <si>
    <t>1. Normal thorax. No obvious radiographic contraindication to general anesthesia is detected._x000D_
_x000D_
2. Suspected cholecystolith. If clinically indicated, sonographic assessment of the biliary system may be considered. _x000D_
_x000D_
3. Recent meal._x000D_
_x000D_
4. Thoracolumbar intervertebral disc degeneration.</t>
  </si>
  <si>
    <t xml:space="preserve">THORAX (3 images):
Images are dated July 15, 2024.  Ungloved human extremity primary beam.  
Pulmonary parenchyma: The lungs are mildly hypoinflated.  A moderate diffuse interstitial pulmonary pattern is present.  This is most severe in the caudal lungs and on the right.
Pulmonary vasculature: The pulmonary vasculature obscured in the caudal lung be the pulmonary pattern.
Cardiac silhouette: The cardiac silhouette is severely enlarged and tall, occupying greater than 2/3 the height of the thorax.  The trachea is dorsally displaced.  The caudodorsal margin of the cardiac silhouette is flattened.  Suspected increased soft tissue is in the region of the left atrium in the ventrodorsal image.  
Mediastinum: The cranial mediastinum is normal.
Trachea: The trachea is normal.
Esophagus: The esophagus is not well-identified.
Pleural space: The pleural space is normal.
Musculoskeletal: A broad-based soft tissue to fat opaque mass arises from the caudoventral extra-thoracic soft tissues and is suspected to superimpose over the caudal lungs in the ventrodorsal image.  The remaining included musculoskeletal structures are normal.
</t>
  </si>
  <si>
    <t xml:space="preserve">1. Severe left-sided cardiomegaly such as from myxomatous mitral valvular disease and insufficiency.
2. Moderate diffuse interstitial pulmonary pattern, most severe in the caudal lungs and on the right.
- Differential diagnoses include left-sided congestive heart failure/pulmonary edema or unlikely other.
3. Caudoventral extra-thoracic soft tissue mass such as from lipoma versus malignant neoplasia or other.  </t>
  </si>
  <si>
    <t>Oxygen and diuretic therapy with repeat thoracic radiographs to monitor for resolution/progression of the pulmonary pattern. Echocardiography, eCG and blood pressure once stable, as well as routine blood work and urinalysis.  Empirical therapy and supportive care for additional clinical signs as needed. Monitoring as directed or sooner if clinical signs acutely change, fail to improve or worsen.</t>
  </si>
  <si>
    <t xml:space="preserve">
1.Severe cardiomegaly has been detected but Heart Failure is NOT suspected._x000D_
2.SEVERE INTERSTITIAL TO ALVEOLAR PATTERN; MODERATE BRONCHIAL PATTERN; MODERATE DYNAMIC AIRWAY DISEASE._x000D_
3.MODERATE BRONCHOINTERSTITIAL PULMONARY PATTERN, MODERATE DYNAMIC AIRWAY DISEASE,  SLIGHT PERIHILAR INFILTRATE._x000D_
4.Based on these AI airway/pulmonary findings, the probability of this patient having clinically detectable repsiratory signs is VERY HIGH (&gt;75%)_x000D_
5.Based on these AI airway/pulmonary findings, the probability of this patient having clinically detectable respiratorysigns is MEDIUM (50%)_x000D_
6.Are respiratory signs present? If YES._x000D_
7.Pleural fissure lines or moderate to severe pleural effusion has been detected. An overlying skin fold or in an obese animal, excessive pericardial fat could artifactually mimic the result of severe pleural effusion._x000D_
8.Are respiratory signs present? If YES._x000D_
9.AI linked bronchitis disease treatment in dogs and cats: https://platform.v2.vetology.net/doc/bacterial-bronchitis-in-dogs-and-cats_x000D_
10.Are respiratory signs present? If NO._x000D_
11.AI linked pneumonia in dogs article: https://platform.v2.vetology.net/doc/pneumonia-in-dogs-and-cats_x000D_
12.Are respiratory signs present? If NO._x000D_
13.The evaluation has a strong suspicion of pulmonary nodules or mass lesion being present.</t>
  </si>
  <si>
    <t>Study:_x000D_
Thoracic radiography: three images dated July 15, 2024_x000D_
_x000D_
Findings:_x000D_
The cardiac silhouette is normal in size and shape. The pulmonary vasculature is normal in size. The pulmonary parenchyma is normal. No pulmonary nodules or masses are present. The pleural space is normal. There is no intrathoracic lymphadenopathy. The trachea is normal in diameter. The included abdomen is unremarkable. No skeletal abnormalities are present.</t>
  </si>
  <si>
    <t>Three radiographs of the thorax are provided. Images dated 11/10/23 are available for comparison. The cardiac silhouette is normal size and shape. The appearance of straightened caudal heart waist on the lateral views is due to superimposed rib contour. Pulmonary vessels are normal size. There are faint bronchial markings and a crisp pleural fissure lines consistent with age. No interstitial infiltrates or pleural effusion. Normal cranial mediastinal width. Redundant dorsal trachealis membrane causes severe narrowed cervical trachea on the right lateral projection. The cranial abdomen is unremarkable.</t>
  </si>
  <si>
    <t>Dynamic cervical tracheal collapse, the most likely cause for coughing. Faint bronchial markings is most likely normal aging change. Concurrent allergic bronchitis is given lesser consideration. There is no evidence of pneumonia or cardiovascular disease.</t>
  </si>
  <si>
    <t>Current treatment is appropriate. Consider utilization of a body harness in place of the neck lead. This patient may benefit from Cerenia administration +/- treatment for allergic airway disease.</t>
  </si>
  <si>
    <t xml:space="preserve">
1.The cardiac silhouette size is normal._x000D_
2.There is no evidence of BRONCHITIS, ALVEOLAR PATTERN, PULMONARY NODULES or PLEURAL EFFUSION._x000D_
3.A minimal perihilar infiltrate has been detected.</t>
  </si>
  <si>
    <t>3 views of the thorax are provided for review.  The trachea is dorsally deviated, indicating left ventricular enlargement.  A bulge is present in the region of the left atrium.  Interstitial to alveolar opacity is present in the caudal lung lobes near the hilus.  A thin pleural fissure line is seen in the right caudal thorax.  The mediastinal structures are normal.  Cranial abdominal detail is adequate.  The liver margin is rounded and extends beyond the costal arch.  A rounded soft tissue mass is present in the cranioventral abdomen, silhouetting with the liver.</t>
  </si>
  <si>
    <t>Left-sided cardiomegaly.  Interstitial to alveolar pulmonary pattern consistent with cardiogenic pulmonary edema.  Echocardiography may be helpful in further evaluation.  Cranioventral abdominal mass=ZZ90= this may represent the suspected splenic mass seen on ultrasound, but appears continuous with the liver on these images.  Hepatomegaly is nonspecific and may indicate neoplasia, congestion, hepatitis, etc.  Abdominal ultrasound may be helpful.</t>
  </si>
  <si>
    <t xml:space="preserve">
1.MODERATE BRONCHOINTERSTITIAL PULMONARY PATTERN; MODERATE ALVEOLAR INFILTRATE or ATELECTASIA; PLEURAL FISSURE LINES or PLEURAL EFFUSION; MODERATE DYNAMIC AIRWAY DISEASE._x000D_
2.Based on these AI airway/pulmonary findings, the probability of this patient having clinically detectable respiratory signs is HIGH (75%)_x000D_
3.Pleural fissure lines or moderate to severe pleural effusion has been detected._x000D_
4.Are respiratory signs present? If YES._x000D_
5.Severe cardiomegaly has been detected but Heart Failure is NOT suspected._x000D_
6.Are respiratory signs present? If NO._x000D_
7.The evaluation has a strong suspicion of pulmonary nodules or mass lesion being present.</t>
  </si>
  <si>
    <t>Three lateral radiographs of the abdomen dated 15th July 2024 are available for review. There are no previous radiographs available for comparison. _x000D_
_x000D_
Intra-abdominal findings: The hepatic silhouette is enlarged with rounded borders. The tail of the spleen is normal. The stomach is empty with a caudally displaced axis. The small intestines are variably filled with fluid/soft tissue opaque material and some gas. No segmental dilation is noted. The descending colon contains gas. The urinary bladder is small. The kidneys are partially obscured by gastrointestinal contents, but the visible aspect are normal. The serosal detail is normal._x000D_
_x000D_
Extra-abdominal findings: The patient is overweight._x000D_
_x000D_
Included thorax: No significant abnormalities are detected.</t>
  </si>
  <si>
    <t>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 In this case, hepatic toxicity due to ketoconazole causing pyogranulomatous hepatitis should be considered. Lymphoma should also be considered._x000D_
The mild increased small intestinal gas content and empty colon may support a differential of a mild enterocolitis.</t>
  </si>
  <si>
    <t>Study:_x000D_
Thoracic radiography: three images dated July 15, 2024_x000D_
_x000D_
Findings:_x000D_
The cardiac silhouette is normal in size and shape. The pulmonary vasculature is normal in size. The pulmonary parenchyma is unremarkable. The pleural space is normal. There is no intrathoracic lymphadenopathy. The trachea is normal in diameter and course. The stomach contains heterogeneous soft tissue material presumed to be ingesta. No skeletal abnormalities are present.</t>
  </si>
  <si>
    <t>12 images of the thorax, cervical region, and pelvis are provided for review.  The cardiovascular structures are normal.  Numerous, variably sized, soft tissue nodules are present throughout the pulmonary parenchyma.  A larger soft tissue mass is present in the caudal subsegment of the left cranial lung lobe.  The mediastinal and pleural structures are normal.  Cranial abdominal detail is adequate.  A round soft tissue mass is present in the right submandibular region, causing mild ventral and leftward deviation of the larynx.  Coverage of the left femoral head by its acetabulum is reduced.  Mild osteophyte formation is seen in the left femoral neck.  The remaining joint surfaces are smooth and regular.  No stifle effusion is seen.  There is spondylosis deformans of the lumbar spine.  No fractures or aggressive osseous lesions are seen.</t>
  </si>
  <si>
    <t>Nodular pulmonary pattern most consistent with metastatic neoplasia.  The larger mass may indicate a primary pulmonary neoplasm or additional metastasis.  Fungal cannot be completely excluded.  Airway sampling or lung aspirate may be helpful.  Right retropharyngeal mass.  Consider thyroid versus other origin.  Ultrasonography or CT may be helpful.  Left coxofemoral subluxation and mild DJD.</t>
  </si>
  <si>
    <t>Three radiographs of the thorax are provided. There is mild to moderate left atrial and auricular enlargement. The left ventricle and right heart are also prominent. Pulmonary arteries and veins are symmetric in taper as expected. Perihilar vessels are adequately visible. There are mild bronchial markings, crisp pleural fissure lines, and punctate pulmonary osteomas consistent with age. Curved soft tissue opacity caudal to the right heart on the VD projection is normal caudal vena cava. Redundant dorsal trachealis membrane causes moderate narrowed cervical trachea. Fat opaque lipomatous tissue ventral to the cranial sternum is incidental. Round area of stippled mineral density overlying the ventral right liver is consistent with gallbladder debris, typically incidental. Narrowed T13-L1 intervertebral disc space, of doubtful significance today.</t>
  </si>
  <si>
    <t>Mild to moderate, predominantly left-sided cardiomegaly. This is consistent with chronic mitral and tricuspid valve disease. There is no pulmonary venous congestion or pulmonary edema, however there is mainstem bronchial compression which may be responsible for the cough. Tracheal collapse could be contributing to the cough. Faint bronchial markings is most likely normal for age. Concurrent allergic bronchitis is not ruled out.</t>
  </si>
  <si>
    <t>Current treatment is appropriate. Also recommend follow-up echocardiogram to help guide treatment.</t>
  </si>
  <si>
    <t>Study:_x000D_
Thoracic radiography: three images dated July 15, 2024_x000D_
_x000D_
Findings:_x000D_
There is severe bilateral pleural effusion. There is associated reduced lung volume. There is a severe generalized bronchial pulmonary pattern with concurrent interstitial coalescing to alveolar infiltrates throughout the pulmonary parenchyma. Multiple indistinct nodular opacities are present in the caudal dorsal lung fields. The severity of the pleural effusion limits evaluation the cardiac silhouette. There is no overt cardiomegaly. The pulmonary vasculature is normal in size. There is no apparent intrathoracic lymphadenopathy. The trachea is normal in diameter. There is incidental visualization of the gallbladder extending ventral to the liver on the lateral projections. The included abdomen is otherwise unremarkable. The L7 vertebra is transitional. There is mild L6-L7 spondylosis deformans.</t>
  </si>
  <si>
    <t>The combination of the pleural effusion and unstructured interstitial to alveolar infiltrates scattered throughout the pulmonary parenchyma may indicate congestive heart failure/cardiogenic pulmonary edema in spite of the lack of any grossly evident cardiomegaly. Other causes of pleural effusion cannot be completely excluded. Other differentials for the interstitial to alveolar disease include pneumonia or, less likely infiltrative neoplasia. The concurrent bronchial pattern may indicate lower airway disease or may be secondary to a bronchial cuffing from the interstitial infiltrates. The indistinct nodular opacities in the caudal dorsal lung field may indicate end-on bronchi, end-on pulmonary vessels or neoplasia.</t>
  </si>
  <si>
    <t>Recommend thoracocentesis with fluid analysis plus/minus echocardiography and computed tomography of the thorax for further evaluation.</t>
  </si>
  <si>
    <t xml:space="preserve">
1.A mixed pulmonary pattern consisting of a severe interstitial to alveolar pattern, moderate bronchial pattern, dynamic airway disease and perihilar infiltrate have been detected._x000D_
2.Based on these AI airway/pulmonary findings, the probability of this patient having clinically detectable respiratory signs is VERY HIGH (&gt;75%)_x000D_
3.Are respiratory signs are present? If YES._x000D_
4.Are respiratory signs are present? If NO._x000D_
5.Pleural fissure lines or moderate to severe pleural effusion has been detected. An overlying skin fold or in an obese animal, excessive pericardial fat could artifactually mimic the result of severe pleural effusion._x000D_
6.Mild cardiomegaly has been detected but Heart Failure is NOT suspected._x000D_
7.The evaluation has a strong suspicion of pulmonary nodules or mass lesion being present.</t>
  </si>
  <si>
    <t>Study:_x000D_
Thoracic radiography: three images dated July 15, 2024_x000D_
_x000D_
Findings:_x000D_
The cardiac silhouette is normal in size and shape. The pulmonary vasculature is normal in size. There is a moderate alveolar pattern in the ventral aspect of the right middle lung lobe and a mild alveolar pattern in the ventral aspect of the right cranial lung lobe. The pleural space is normal. There is no intrathoracic lymphadenopathy. The trachea is normal in diameter. There is a small volume of gas in the esophagus. The included abdomen is unremarkable. There is moderate to severe degenerative change in the included portion of the left elbow.</t>
  </si>
  <si>
    <t>1. Given the history of regurgitation, the alveolar pattern in the right cranial and middle lung lobes likely indicates aspiration pneumonia. Recommend repeat radiography in 10 to 14 days to monitor for response to antibiotic therapy._x000D_
2. There is no evidence of an esophageal motility disorder. An esophagogram can be considered for further evaluation if the reported regurgitation persist in spite of medical management._x000D_
3. Moderate to severe left elbow osteoarthrosis. Consider orthogonal views of each elbow to evaluate for underlying elbow dysplasia.</t>
  </si>
  <si>
    <t>Three radiographs of the thorax/abdomen, and a VD view of the pelvis are provided. The cardiac silhouette is mildly enlarged. Pulmonary vessels are normal sites. The appearance of round thin-walled 2.3 cm lucency overlying the caudoventral lungs on the left lateral view is not definitively seen on the other projections. No other evidence of pulmonary parenchymal abnormalities. Small volume fluid and gas in the esophagus is transient and incidental. No pleural effusion. Narrowed T11-12, T12-13 intervertebral disc spaces. In the abdomen there is no effusion or organomegaly. The gastrointestinal tract is mildly filled. No radiopaque urolithiasis. Punctate metal density in the proximal colon is likely incidental. The coxofemoral joints are congruent. Pelvic limb musculature is symmetric. Patellar location is normal.</t>
  </si>
  <si>
    <t>1. The appearance of T11-12 and T12-13 are both suggestive of intervertebral disc disease. Such a lesion at these or another site is the most likely cause for the clinical signs._x000D_
2. Mild cardiomegaly concerning for acquired valvular disease. In the absence of a murmur or arrhythmia, significance is doubtful._x000D_
3. Possible solitary pulmonary bulla in the right caudal moment versus summating normal anatomy. A bulla would be incidental, other than to make note to use caution with positive pressure ventilation during future anesthetic events._x000D_
4. Normal coxofemoral joints.</t>
  </si>
  <si>
    <t>Recommend palpation for spinal discomfort and a neurologic examination. If no significant abnormalities, this patient may benefit from anti-inflammatories and strict rest. Otherwise, consultation with a neurologist and advanced spinal imaging such as MRI should be considered.</t>
  </si>
  <si>
    <t xml:space="preserve">
1.A mild perihilar infiltrate has been detected._x000D_
2.Pleural fissure lines or small volume pleural effusion has been detected. In a mildly overweight animal, excessive pericardial fat can artifactually mimic the result of minimal pleural effusion._x000D_
3.The cardiac silhouette size is normal._x000D_
4.There is no evidence of BRONCHITIS, ALVEOLAR PATTERN, DYNAMIC AIRWAY COLLAPSE or BRONCHIECTASIS or PULMONARY NODULES.</t>
  </si>
  <si>
    <t xml:space="preserve">Severe images are available for evaluation.
Images are dated July 14, 2024.
Pulmonary parenchyma: A mild to moderate diffuse bronchial pattern is present.
Pulmonary vasculature: The pulmonary vasculature is subjectively normal in size and tapers in the periphery of the lungs.
Cardiac silhouette: The cardiac silhouette has a slightly flat caudodorsal margin.  Slight rounded increased soft tissue is suspected in the region of the left atrium in the ventrodorsal image.
Mediastinum: The cranial mediastinum is normal.
Trachea: The trachea is normal.
Esophagus: The esophagus is not well-identified.
Pleural space: The pleural space is normal.
Musculoskeletal: Spondylosis deformans is present at T3-4, T4-5, T5-6, T7-8, T9-10 and T12-13.  The remaining included musculoskeletal structures are normal.
</t>
  </si>
  <si>
    <t>1. Mild-moderate diffuse bronchial pulmonary pattern.
- Differential diagnoses include infectious/immune-mediated lower airway disease such as from mycoplasma spp., bordetella spp., parasitism, or inhaled allergen/irritant, fibrosis from prior disease, age-related changes, or unlikely evolving uremic pneumonitis or other.
2. Suspected left atrial enlargement versus artifact from phase of the cardiopulmonary cycle and patient positioning.
- If present, the primary differential diagnosis is myxomatous mitral valvular disease.
- There is no current evidence of left-sided congestive heart failure.</t>
  </si>
  <si>
    <t>Consider respiratory PCR panel, airway sampling, and fecal analysis/deworming for further evaluation.  Echocardiography, ecg and urinalysis for further evaluation if not recently performed.  Empirical therapy and supportive care in the interim as needed or sooner especially if dyspnea manifests.  Monitoring as directed or sooner if clinical signs acutely change, fail to improve or worsen.</t>
  </si>
  <si>
    <t xml:space="preserve">Three images are available for evaluation.
Images are dated July 13, 2024.
Bones/Joints:
The T11-12 and T12-13 intervertebral disc spaces are narrowed, more severe at T12-13.  
There is no evidence of mineral over the intervertebral foramina.  There is no evidence of intervertebral dorsal articulation osteoarthrosis.
There is no evidence of medullary sclerosis, osteolysis, endosteal scalloping, or periosteal proliferation.
Soft tissues:  The included soft tissues are normal.
</t>
  </si>
  <si>
    <t xml:space="preserve">1. Mild T12-13 and minimal T11-12 intervertebral disc space narrowing and presumed intervertebral disc disease.
</t>
  </si>
  <si>
    <t>Consider neurologist consultation and MRI for further evaluation. Routine blood work and thoracic imaging to screen for occult systemic disease prior to referral.   Empirical therapy and supportive care in the interim as needed. Monitoring as directed, or sooner if clinical signs acutely change, fail to improve or worsen.</t>
  </si>
  <si>
    <t>8 images of the thorax, cervical region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The trachea is normal in diameter.  The laryngeal and pharyngeal structures are normal.  The hyoid apparatus is intact.  There is mild leftward displacement of the larynx and proximal trachea at the level of C1-2.  Abdominal serosal detail is adequate in all quadrants.  The stomach contains a small amount of gas.  The small intestines are normal in size.  Gas and feces are present in the colon.  The urinary bladder is small.  The remaining abdominal organs are normal.</t>
  </si>
  <si>
    <t>Radiographically normal abdomen.  Radiographically normal thorax for patient of this age.  Mass effect in the right submandibular region without a discrete mass visible.  This is consistent with the reported cervical swelling.  Consider lymphadenopathy, sialocele, ectopic thyroid, other origin.  Ultrasonography or CT may be helpful.</t>
  </si>
  <si>
    <t>Abdomen: Within the right cranial abdomen there is a segment of bowel that is a mild amount of heterogeneous soft tissue opacity within his lumen.  It is uncertain if this represents the ascending colon or segment of jejunum.  There are segments of jejunum that are gas-filled and considered within normal limits for diameter.  The liver and spleen are unremarkable.  There are no abnormalities involving the urinary tract.  Serosal detail is normal.  There is narrowing of intervertebral disc space at L4-5.  There are regions of mineralization superimposed over the ventral portions of the foramina at L4-5.  Spondylosis deformans is noted at this level as well.  There is bilateral coxofemoral osteoarthrosis.  On the visible portion of the thorax there appears to be a diffuse bronchial pattern.</t>
  </si>
  <si>
    <t>Heterogeneous soft tissue opacity suspected to be within the ascending colon however a small intestinal etiology cannot be ruled out._x000D_
_x000D_
Gas-filled segments of jejunum most likely representing enteritis._x000D_
_x000D_
Intervertebral disc disease at L4-5._x000D_
_x000D_
The mineral opacity superimposed over the foramen at L4-5 most likely represents lateralizing spondylosis deformans._x000D_
_x000D_
Suspect diffuse bronchial pattern.</t>
  </si>
  <si>
    <t xml:space="preserve">
1.A moderate alveolar pattern has been detected._x000D_
2.MODERATE INTERSTITIAL TO ALVEOLAR PATTERN with PNEUMONIA or ATELECTASIS; MINIMAL DYNAMIC AIRWAY DISEASE._x000D_
3.Based on these AI airway/pulmonary findings, the probability this patient will have clinically detectable respiratory signs is LOW to MEDIUM (25-50%)_x000D_
4.Are respiratory signs present? If YES._x000D_
5.The cardiac silhouette size is normal._x000D_
6.There is no evidence of PERIHILAR INFILTRATE._x000D_
7.Are respiratory signs present? If NO._x000D_
8.Pleural fissure lines or moderate to severe pleural effusion has been detected. An overlying skin fold or in an obese animal, excessive pericardial fat could artifactually mimic the result of severe pleural effusion.</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</si>
  <si>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spleen is subjectively enlarged with mildly rounded margins.  The stomach contains a moderate amount of gas.  The small intestines are normal in size.  Gas and feces are present in the colon.  The urinary bladder is small.  The remaining abdominal organs are normal.</t>
  </si>
  <si>
    <t>Mild splenomegaly.  This is a nonspecific finding that may still be seen in a variety of physiologic and disease states.  Radiographically normal thorax for patient of this age.</t>
  </si>
  <si>
    <t>Splenic aspirates could be considered.</t>
  </si>
  <si>
    <t xml:space="preserve">
1.PULMONARY NODULES or NODULAR PATTERN; MODERATE INTERSTITIAL TO ALVEOLAR PATTERN._x000D_
2.Based on these AI airway/pulmonary findings, the probability of this patient havingclinically detectable respiratory signs is HIGH (75%)_x000D_
3.The evaluation has a strong suspicion of soft tissue pulmonary nodules or mass lesion being present._x000D_
4.Are respiratory signs present? If YES._x000D_
5.Are respiratory signs present? If NO._x000D_
6.The cardiac silhouette size is normal._x000D_
7.There is no evidence of DYNAMIC AIRWAY COLLAPSE or BRONCHIECTASIS.</t>
  </si>
  <si>
    <t>Thorax: Today=ZZ91=s study is compared to a study dated 2/21/2024.  There is mild generalized cardiomegaly.  There is no evidence of cardiogenic pulmonary edema.  There is a static diffuse bronchial pattern.  The cranial mediastinum is widened as previous.  There is a mild increase in soft tissue opacity superimposed over the ventral portion of the cardiac silhouette on the lateral views.  The previously described fissure line is not identified.  The trachea is unremarkable.</t>
  </si>
  <si>
    <t>Mild generalized cardiomegaly without evidence of decompensation._x000D_
_x000D_
Static diffuse bronchial pattern which may be age-related or bronchitis._x000D_
_x000D_
The soft tissue opacity superimposed over the cardiac silhouette may represent summation with fat however pleural effusion cannot be ruled out._x000D_
_x000D_
Widened cranial mediastinum most likely secondary to fat accumulation however a mass within the cranial mediastinum cannot be ruled out.</t>
  </si>
  <si>
    <t xml:space="preserve">
1.SEVERE INTERSTITIAL TO ALVEOLAR PATTERN; SEVERE BRONCHIAL PATTERN; MODERATE DYNAMIC AIRWAY DISEASE._x000D_
2.Based on these AI airway/pulmonary findings, the probability of this patient having clinically detectable respiratory signs is VERY HIGH (&gt;75%)_x000D_
3.A mild perihilar infiltrate has been detected._x000D_
4.Are respiratory signs present? If NO._x000D_
5.The evaluation has come up positive for a pulmonary nodular pattern._x000D_
6.Are respiratory signs present? If YES._x000D_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t>
  </si>
  <si>
    <t xml:space="preserve">ABDOMEN (3 images):
Images are dated July 13, 2024.
Liver: The liver is subjectively normal in size.
Spleen: The spleen is normal in size with smooth margins and homogeneous soft tissue.
Kidneys: The kidneys are partially obscured without obvious enlargement or mineral.  
Retroperitoneum: Retroperitoneal detail is adequate.
Urogenital: The urinary bladder is normal in size, homogeneous soft tissue, and smoothly marginated.
Peritoneum: Peritoneal detail is adequate.
Gastrointestinal tract: The stomach contains a mild volume of gas and fluid or is empty.  The stomach contains a well-defined, thick linear mineral foreign body in the pylorus or body of the stomach.  
The small intestine contains mild to moderate gas and is enlarged in the cranioventral abdomen.  Segments of small intestine in the caudoventral abdomen are slightly smaller and contains fluid, gas or are empty.  
The colon contains mild gas.  The colon is normal in size.
Musculoskeletal: The presumed L1 is transitional with ribs.  Only six lumbar vertebrae without ribs are identified.  Nipples are prominent, consistent with intact patient status.  The remaining included musculoskeletal structures are normal.
</t>
  </si>
  <si>
    <t>1. Gastric mineral foreign material without current evidence of pyloric outflow tract obstruction.  
- Gastritis and delayed gastric emptying from dietary indiscretion are considered likely.  
2. Small intestinal changes are suspicious for evolving mechanical ileus versus enteritis/functional ileus.</t>
  </si>
  <si>
    <t xml:space="preserve">Consider routine blood work and repeat abdominal imaging with radiographs after 8-12 hours of fasting/supportive care, versus ultrasonography for further evaluation of the small intestine.  Consider gastroscopy for retrieval of gastric foreign material if small intestinal mechanical ileus is ruled out.  Empirical therapy and supportive care in the interim as needed.  Consider thoracic imaging for further evaluation of reported clinical signs.  Consider thoracic/abdominal computed tomography for further evaluation of reported mammary nodules/masses and pre-surgical planning for incisional/excisional biopsy for a definitive diagnosis.  Monitoring as directed, or sooner if clinical signs fail to improve, change or worsen with empirical therapy.  </t>
  </si>
  <si>
    <t>THORAX (3 total radiographs for review).  Compared to previous examination dated 06/06/24._x000D_
_x000D_
- Ill-defined, patchy unstructured interstitial pulmonary pattern today visualized in the caudal lung lobes, causing a reduction in the conspicuity of the pulmonary vasculature._x000D_
- Mild diffuse bronchial pattern and persistent multifocal lower airway mineralization._x000D_
- Cardiac silhouette and pulmonary vasculature normal._x000D_
- Pleural space, trachea and remaining intrathoracic structures normal._x000D_
- Stomach contains mild gas and soft-tissue opaque material._x000D_
- The remaining cranial abdominal structures are normal._x000D_
- Dorsally located cutaneous mineralization in the extra-cervical and thoracic regions.</t>
  </si>
  <si>
    <t>1. New, patchy unstructured interstitial pattern throughout the caudal lung lobes. DDx bronchopneumonia or less likely pulmonary atelectasis. You may consider treating this patient for pneumonia and rechecking the radiographs (e.g. 7-10 days) to re-evaluate the degree of opacification of the pulmonary parenchyma over time._x000D_
_x000D_
2. Unchanged mild diffuse bronchial pattern and peripheral airway mineralization, likely secondary to age-related airway changes and/or Cushing=ZZ91=s disease._x000D_
_x000D_
3. Aerophagia (limited assessment)._x000D_
_x000D_
4. Widespread dorsal cutaneous dystrophic mineralization (also likely related to Cushing=ZZ91=s disease).</t>
  </si>
  <si>
    <t xml:space="preserve">
1.Are respiratory signs present? If YES._x000D_
2.Bacterial pneumonia treatment in dogs: https://platform.v2.vetology.net/doc/pneumonia-in-dogs-and-cats_x000D_
3.Are respiratory signs present? If NO._x000D_
4.The evaluation has a strong suspicion of pulmonary nodules or mass lesion being present._x000D_
5.MODERATE BRONCHOINTERSTITIAL PULMONARY PATTERN; MODERATE ALVEOLAR INFILTRATE or ATELECTASIA; PLEURAL FISSURE LINES or PLEURAL EFFUSION; MILD DYNAMIC AIRWAY DISEASE._x000D_
6.Based on these AI airway/pulmonary findings, the probability of this patient having clinically detectable respiratory signs is MEDIUM to HIGH (50%-75%)_x000D_
7.Pleural fissure lines or moderate to severe pleural effusion has been detected._x000D_
8.Severe cardiomegaly has been detected but Heart Failure is NOT suspected.</t>
  </si>
  <si>
    <t>Study:_x000D_
Thoracic, abdominal and pelvic and pelvic limb radiography: eight images dated July 13, 2024_x000D_
_x000D_
Findings:_x000D_
The cardiac silhouette and pulmonary vasculature are normal in size. The pulmonary parenchyma is unremarkable. The pleural space is normal. There is no intrathoracic lymphadenopathy. The trachea is normal in diameter and course. There is no esophageal dilation. On the left lateral projection, there is a round soft tissue opacity in the pylorus. Some small intestinal segments contain a small amount of granular soft tissue material presumed to be ingesta. The small intestines are normal in size and course. The colon contains gas and a small amount of formed fecal material. The liver is normal in size and margin. The spleen is mildly to moderately enlarged with smooth margins. The renal silhouettes are normal in size and contour. The urinary bladder is normal in size and opacity. There is for coverage of the left femoral head by the acetabulum with moderate coxofemoral incongruency. The coverage of the right femoral head by the acetabulum is adequate. There is mild to moderate bilateral remodeling/thickening of the femoral head and neck. There is increased soft tissue opacity within the cranial aspect of the stifle joint space bilaterally. There is mild bilateral stifle periarticular new bone formation. The pelvic limb musculature is bilaterally symmetric.</t>
  </si>
  <si>
    <t>1. The round soft tissue opacity in the pylorus on the left lateral projection may represent food, foreign material or, less likely, and intraluminal mass. There is no evidence of small intestinal mechanical obstruction. Repeat fasted radiography can be considered to monitor for persistence or resolution of the soft tissue opacity in the pylorus. Alternatively, sonography can be considered if clinical signs persist or worsen in spite of medical management._x000D_
2. The generalized splenomegaly is nonspecific. Rule out extramedullary hematopoiesis, lymphoid hyperplasia, splenitis, congestion or infiltrative neoplasia. Sonography can be considered for further evaluation._x000D_
3. Normal thorax._x000D_
4. Left hip dysplasia and mild to moderate bilateral coxofemoral osteoarthrosis._x000D_
5. The bilateral stifle joint effusion/capsular thickening and mild osteoarthrosis may indicate bilateral cranial cruciate and/or meniscal injury.</t>
  </si>
  <si>
    <t>Study:_x000D_
Thoracic radiography: three images dated July 13, 2024_x000D_
_x000D_
Findings:_x000D_
The cardiac silhouette and pulmonary vasculature are normal in size. There is no main pulmonary or lobar arterial enlargement. There is a moderate generalized bronchial pulmonary pattern. The pleural space is normal. There is no intrathoracic lymphadenopathy. The trachea is normal in diameter and course. The stomach contains a small amount of heterogeneous soft tissue material presumed to be ingesta. The osseous structures are unremarkable.</t>
  </si>
  <si>
    <t>The moderate generalized bronchial pulmonary pattern likely indicates heartworm associated bronchitis. There no cardiovascular changes associated with the reported heartworm disease. The lack of cardiovascular changes and mild severity of the reported clinical signs are suggestive of class I heartworm disease.</t>
  </si>
  <si>
    <t xml:space="preserve">
1.The evaluation has come up positive for a pulmonary nodular pattern._x000D_
2.Are respiratory signs present? If YES._x000D_
3.Are respiratory signs present. If YES._x000D_
4.Are respiratory signs present. If NO._x000D_
5.MODERATE INTERSTITIAL TO ALVEOLAR PATTERN; MILD BRONCHITIS._x000D_
6.Based on these AI airway/pulmonary findings, the probability of this patient having clinically detectable respiratory signs is MEDIUM (50%)_x000D_
7.Are respiratory signs present? If NO._x000D_
8.The cardiac silhouette size is normal._x000D_
9.There is no evidence of DYNAMIC AIRWAY COLLAPSE or BRONCHIECTASIS._x000D_
10.PULMONARY NODULES or NODULAR PATTERN; MODERATE INTERSTITIAL TO ALVEOLAR PATTERN._x000D_
11.Based on these AI airway/pulmonary findings, the probability of this patient havingclinically detectable respiratory signs is HIGH (75%)_x000D_
12.Are respiratory signs present? If YES._x000D_
13.Are respiratory signs present? If NO._x000D_
14.PULMONARY NODULAR PATTERN; MINIMAL BRONCHOINTERSTITIAL PULMONARY PATTERN._x000D_
15.The evaluation has a strong suspicion of soft tissue pulmonary nodules or mass lesion being present.</t>
  </si>
  <si>
    <t>Thorax: There is mild to moderate left-sided cardiomegaly.  There is pulmonary underinflation augmenting an increase in opacity associated with the pulmonary parenchyma in the caudal dorsal thorax.  The pulmonary parenchyma on the ventrodorsal view is unremarkable.  There are no abnormalities involving the pulmonary vasculature.  There is no evidence of pleural effusion or lymphadenopathy.  There are no abnormalities involving the visible portions of the abdomen.</t>
  </si>
  <si>
    <t>Left-sided cardiomegaly.  Cardiac decompensation is not suspected.</t>
  </si>
  <si>
    <t xml:space="preserve">
1.SEVERE DYNAMIC AIRWAY DISEASE; MODERATE BRONCHOINTERSTITIAL PULMONARY PATTERN; MODERATE ALVEOLAR INFILTRATE or ATELECTASIS._x000D_
2.Based on these AI airway/pulmonary findings, the probability of this patient having clinically detectable respiratory signs is HIGH (75%)_x000D_
3.Are respiratory signs present? If YES._x000D_
4.AI linked collapsing airway disease in dogs: https://platform.v2.vetology.net/doc/canine-tracheal-collapse-treatment_x000D_
5.Are respiratory signs present? If NO._x000D_
6.Severe cardiomegaly has been detected but Heart Failure is NOT suspected._x000D_
7.There is no evidence of PULMONARY NODULES.</t>
  </si>
  <si>
    <t>Eleven radiographs are provided, with images of the thorax, abdomen, and spine. Images dated 6/22/23 and 8/23/22 are available for comparison. The cardiac silhouette is normal size and shape. The appearance of soft tissue bulge along the cranial left aspect of the heart on the VD projection is due to adjacent cranial lobar bronchus contour. Pulmonary vessels are normal size. Mild bronchial pattern throughout the lungs, and crisp pleural fissure lines is normal for the age of this patient. Normal tracheal diameter. Mild degenerative change in the shoulders. Narrowed caudal cervical intervertebral disc spaces is likely due to normal neck curvature/dependent sloping due to positioning._x000D_
_x000D_
In the abdomen there is no peritoneal or retroperitoneal effusion. Normal-sized kidneys, spleen, liver. Punctate nephroliths are likely incidental. No radiopaque cystic calculi. The T12-13 intervertebral disc space is narrowed. This was not present on the 8/23/22 study, but is likely present on the June 22, 2023 study (this view has mild rotation). There is a punctate mineral density overlying the L6-7 intervertebral foramen, also present on the previous studies. There is mild to moderate osteoarthritis in the coxofemoral joints, unchanged.</t>
  </si>
  <si>
    <t>The appearance of T12-13 and L6-7 is likely intervertebral disc disease, however was present on the previous study. Acute exacerbation with progressive disease at these sites, or additional sites of intervertebral disc protrusion/extrusion is the most likely cause for the clinical signs. Coxofemoral osteoarthritis could be contributing to discomfort. The thorax and abdomen are normal. There is no evidence of cardiovascular disease on this study. A small valvular regurgitant jet can result in a relatively loud murmur.</t>
  </si>
  <si>
    <t>Consider conservative treatment with anti-inflammatories and strict rest.</t>
  </si>
  <si>
    <t xml:space="preserve">
1.Mild dynamic airway disease has been identified._x000D_
2.A minimal bronchial pattern and concurrent mild dynamic airway disease have been identified._x000D_
3.The cardiac silhouette size is normal._x000D_
4.There is no evidence of ALVEOLAR PATTERN, PERIHILAR INFILTRATE or PLEURAL EFFUSION.</t>
  </si>
  <si>
    <t>Study:_x000D_
Spinal, pelvic and pelvic limb radiography: six images dated July 13, 2024_x000D_
_x000D_
Findings:_x000D_
The dens is intact and well defined. The atlantoaxial joint space is normal. Patient obliquity and beam distortion limit evaluation for thoracolumbar intervertebral disc space narrowing. There is impression of narrowing of the T 12-T 13, T 13-L1 and L4-L5 through L6-L7 intervertebral disc spaces. There is in situ mineralization of the L7-S1 intervertebral disc. The coxofemoral joints are normal with good coverage of the femoral head by the acetabulum bilaterally. The patella is in the correct anatomic location bilaterally. The degree of soft tissue opacity within the stifle joint spaces appears within normal limits. No degenerative change is present in either stifle. The tarsus is normal bilaterally. The pelvic limb musculature is bilaterally symmetric.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There is no prostatomegaly. The caudal cardiac waist appears straightened. Suture material is present in the inguinal region bilaterally.</t>
  </si>
  <si>
    <t>1.  T 12-T 13, T 13-L1 and L4-L5 through L6-L7 intervertebral disc disease. Neurology consultation and MRI should be considered for further evaluation._x000D_
2. Straightening of the caudal cardiac waist can be an indicator of mild specific left atrial enlargement/mitral valve disease. Echocardiography can be considered for further evaluation._x000D_
3. Postprandial stomach=ZZ90= otherwise, unremarkable abdomen._x000D_
4. The coxofemoral joints and pelvic limbs are unremarkable.</t>
  </si>
  <si>
    <t xml:space="preserve">
1.A severe alveolar pattern has been detected._x000D_
2.There is no evidence of PERIHILAR INFILTRATE._x000D_
3.Moderate dynamic airway disease has been detected._x000D_
4.Mild cardiomegaly has been detected but Heart Failure is NOT suspected.</t>
  </si>
  <si>
    <t>Three radiographs of the thorax are provided. The abdomen is included on two of the views. The cardiac silhouette is moderately enlarged and has a rounded/globoid shaped on all views. Pulmonary vessels are normal to reduced in size. No pleural effusion. The lungs are clear. The mainstem bronchi are dorsally deviated and compressed. Redundant dorsal trachealis membrane in the cervical region. In the abdomen there is no effusion or organomegaly. The gastrointestinal tract and urinary bladder are minimally filled. No osseous abnormalities.</t>
  </si>
  <si>
    <t>Moderate generalized cardiomegaly with globoid contour. Pericardial effusion is most likely. Chronic valvular disease may be present concurrently. There is no evidence of heart failure, however there is mainstem bronchial compression. Possible cervical tracheal collapse. Normal abdomen.</t>
  </si>
  <si>
    <t xml:space="preserve">
1.There is no evidence of BRONCHITIS, ALVEOLAR PATTERN or PULMONARY NODULES._x000D_
2.Minimal dynamic airway disease has been detected._x000D_
3.Moderate cardiomegaly has been detected but Heart Failure is NOT suspected._x000D_
4.A mild perihilar infiltrate has been detected.</t>
  </si>
  <si>
    <t>Thorax: The pulmonary parenchyma, cardiac silhouette, and pulmonary vasculature are unremarkable.  There is no evidence of pleural effusion or lymphadenopathy._x000D_
_x000D_
Abdomen: There are several segments of jejunum that have possible diffuse wall thickening.  The remainder of the abdominal viscera is unremarkable.  Serosal detail is normal._x000D_
_x000D_
Thoracolumbar spine: There are no abnormalities identified.</t>
  </si>
  <si>
    <t>Possible small intestinal wall thickening.  This is not a definitive finding on survey radiography.  Differential considerations include variation of normal, artifactual, enteritis, or IBD.</t>
  </si>
  <si>
    <t xml:space="preserve">
1.The cardiac silhouette size is normal._x000D_
2.There is no evidence of BRONCHITIS, DYNAMIC AIRWAY COLLAPSE or BRONCHIECTASIS or PULMONARY NODULES._x000D_
3.A minimal perihilar infiltrate has been detected.</t>
  </si>
  <si>
    <t>Study:_x000D_
Thoracic radiography: three images dated July 13, 2024_x000D_
A DP view of the carpi/manus is also present in the study._x000D_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included abdomen is unremarkable. There is narrowing of the T9-T 10 and T 11-T 12 through L1-L2 intervertebral disc spaces. There is mild to moderate multifocal thoracolumbar spondylosis deformans. The bones of the carpus and manus are unremarkable bilaterally. There are no fractures or luxations. There is no evidence of aggressive osseous disease. There is a 1 cm ovoid smoothly marginated mineral body situated between the right thoracic limb third and fourth digits.</t>
  </si>
  <si>
    <t>1. The mineral body between the right thoracic limb third and fourth digit may indicate an interdigital foreign body or mineralized granuloma. A neoplastic etiology is less likely._x000D_
2. The left carpus and manus are unremarkable. A cause of the left thoracic limb lameness is not evident._x000D_
3. Unremarkable thorax. There is no radiographic evidence of cardiopulmonary disease or intrathoracic neoplasia._x000D_
4. Multifocal thoracolumbar intervertebral disc disease.</t>
  </si>
  <si>
    <t>Orthopedic consultation can be considered if the left thoracic limb lameness persists or worsens in spite of pain management and activity restriction.</t>
  </si>
  <si>
    <t xml:space="preserve">
1.The evaluation has come up positive for a pulmonary nodular pattern._x000D_
2.A mild perihilar infiltrate has been detected._x000D_
3.A mild interstitial pattern has been detected._x000D_
4.Pleural fissure lines or small volume pleural effusion has been detected. In a mildly overweight animal, excessive pericardial fat can artifactually mimic the result of minimal pleural effusion._x000D_
5.The cardiac silhouette size is normal._x000D_
6.There is no evidence of ALVEOLAR PATTERN or DYNAMIC AIRWAY COLLAPSE or BRONCHIECTASIS.</t>
  </si>
  <si>
    <t>Orthogonal views of the abdomen are provided:_x000D_
_x000D_
Abdomen:_x000D_
_x000D_
The stomach is filled with food and gas._x000D_
Small intestines are mildly gas and fluid filled, not overtly distended. No signs of mechanical ileus._x000D_
Soft feces in the colon._x000D_
Serosal detail is decreased due to a thin body condition and tight up abdomen with soft tissue summation._x000D_
Liver and spleen are within normal limits of size and smoothly marginated._x000D_
Kidneys and urinary bladder WNL.</t>
  </si>
  <si>
    <t>1) Unremarkable abdomen. Rule out gastroenterocolitis of allergic/inflammatory/idiopathic origin vs gastroenterocolitis secondary to dietary indiscretion vs IBD flare up.</t>
  </si>
  <si>
    <t>Consider abdominal US to further evaluate causes of gastroenterocolitis.</t>
  </si>
  <si>
    <t>Four radiographs of the thorax, and a lateral view of the abdomen are provided. Images dated 6/15/24 were identified under a slightly different patient information (different breed, case ID number 268-7935). There is mild to moderate left-sided cardiomegaly, similar to the previous study. This causes dorsal deviation and compression of the mainstem bronchi. Pulmonary arteries and veins are symmetric and taper as expected. There is no loss of perihilar vessel visibility. Mild narrowed cervical trachea. No pleural effusion._x000D_
_x000D_
In the abdomen there is hepatomegaly as before. Mid abdominal detail is reduced. The gastrointestinal tract is mildly filled. Round increased opacity in the cranial abdomen is fluid in the pylorus. Spiculated mineral opaque 1.3 cm calculus in the urinary bladder. Punctate nephroliths are likely incidental. Possible punctate mineral density overlying the L4-5 intervertebral foramen is of doubtful clinical significance today. No proximal pelvic limb abnormalities are identified on this study.</t>
  </si>
  <si>
    <t>This study is essentially unchanged compared to previous radiographs._x000D_
1. Unchanged mild to moderate left-sided cardiomegaly consistent with acquired mitral valve disease. There is no evidence of heart failure, however the enlarged heart causes mainstem bronchial compression._x000D_
2. Probable cervical tracheal collapse._x000D_
3. Hepatomegaly, a nonspecific finding may be steroid or other hepatopathy, acute inflammation, or neoplasia._x000D_
4. Cystic calculus, of a size that is too large to pass the urethra.
(amended on 07/15/2024 05:51)
5. Mid abdominal detail is poor on the most recent study, which is concerning for scant effusion. This was not present previously previously. This may be artifact due to distended intestines. Scant effusion due to inflammatory process or metabolic abnormality is not ruled out. Right-sided cardiac decompensation causing venous congestion is next on the differential list.</t>
  </si>
  <si>
    <t>An echocardiogram is recommended to help guide treatment.
(amended on 07/15/2024 05:51)
Abdominal FAST scan could be considered to rule in/out peritoneal effusion.</t>
  </si>
  <si>
    <t xml:space="preserve">
1.Are respiratory signs present? If NO._x000D_
2.AI linked bacterial pneumonia treatment in dogs: https://platform.v2.vetology.net/doc/pneumonia-in-dogs-and-cats_x000D_
3.Pleural fissure lines or small volume pleural effusion has been detected. In a mildly overweight animal, excessive pericardial fat can artifactually mimic the result of minimal pleural effusion._x000D_
4.Severe cardiomegaly has been detected but Heart Failure is NOT suspected._x000D_
5.SEVERE DYNAMIC AIRWAY DISEASE; MODERATE BRONCHOINTERSTITIAL PULMONARY PATTERN; MODERATE ALVEOLAR INFILTRATE or ATELECTASIS._x000D_
6.MODERATE INTERSTITIAL TO ALVEOLAR INFILTRATE; CONCURRENT MODERATE BRONCHIAL PATTERN; MILD PERIHILAR INFILTRATE._x000D_
7.Based on these AI airway/pulmonary findings, the probability of this patient having clinically detectable respiratory signs is HIGH (75%)_x000D_
8.Based on the AI airway/pulmonary findings, the probability of this patient having clinically detectable respiratorysigns is HIGH (75%)_x000D_
9.Are respiratory signs present? If YES._x000D_
10.Are respiratory signs present? If YES._x000D_
11.Are respiratory signs present? If NO.</t>
  </si>
  <si>
    <t>Four radiographs of the thorax are provided. Images dated July 9, 2023 were reviewed. The cardiac silhouette is normal size as before. Pulmonary arteries and veins are symmetric and taper as expected. A new development, the thoracic esophagus is moderately dilated with gas and fluid on the lateral views, with scant gas in the cervical esophagus. Hazy appearance of the perihilar region on the lateral views is likely due to fluid in the esophagus. On the VD projection gas is again identified within the esophagus, and there are no definitive perihilar pulmonary parenchymal abnormalities on this projection. No pleural effusion. Normal tracheal diameter and position. Mild degenerative change in the elbows.</t>
  </si>
  <si>
    <t>Megaesophagus. This may be due to esophagitis. Endocrinopathy (hypothyroidism, hypoadrenocorticism), myasthenia gravis, idiopathic etiology are next on the differential list. There is no evidence of aspiration pneumonia or cardiovascular disease. Small valvular regurgitant jet is not definitively ruled out.</t>
  </si>
  <si>
    <t>Consider routine blood work and empiric treatment for potential esophagitis. If esophageal dilation is persistent, additional workup for megaesophagus would be recommended.</t>
  </si>
  <si>
    <t xml:space="preserve">
1.SEVERE INTERSTITIAL AND ALVEOLAR INFILTRATE with PNEUMONIA or less likely, ATELECTASIS; SEVERE DYNAMIC AIRWAY DISEASE; MODERATE PERIHILAR INFILTRATE; MILD BRONCHIAL PATTERN._x000D_
2.Pleural fissure lines or moderate pleural effusion has been detected. An overlying skin fold or in a moderately overweight animal, excessive pericardial fat could artifactually mimic the result of moderate pleural effusion._x000D_
3.Severe cardiomegaly has been detected but Heart Failure is NOT suspected._x000D_
4.Based on these AI airway/pulmonary findings, the probability this patient will have clinically detectable respiratory signs is NEAR CERTAINTY (&gt;99%)_x000D_
5.Are respiratory signs present? If YES._x000D_
6.Are respiratory signs are present? If NO.</t>
  </si>
  <si>
    <t>Three radiographs of the thorax and two views of the abdomen are provided. The cardiac silhouette and pulmonary vessels are normal size and shape. There are no abnormalities in the pulmonary parenchyma or pleural space. Probable previous fractured right 9th rib, incidental. Mild narrowed caudal cervical trachea. No intrathoracic lymphadenomegaly. Small round increased opacities adjacent to the heart are end-on pulmonary vessels._x000D_
_x000D_
In the abdomen there is fluid and gas in the colon. The stomach and small bowel are minimally filled. No radiopaque foreign material. Serosal detail is adequate. Normal-sized liver, spleen, kidneys. The urinary bladder is minimally filled and soft tissue opaque. Both patellas are medially displaced.</t>
  </si>
  <si>
    <t>1. Liquid diarrhea. Gastroenteritis is most likely. There is no evidence of an obstructive process._x000D_
2. Probable cervical tracheal collapse. No intrathoracic abnormalities._x000D_
3. Bilateral medial patellar luxation.</t>
  </si>
  <si>
    <t>If the patient does not rapidly improve with supportive care, abdominal ultrasound would be recommended.</t>
  </si>
  <si>
    <t>Three radiographs of the thorax and two views of the abdomen are provided. The cardiac silhouette and pulmonary vessels are normal size and shape. There are no abnormalities in the pulmonary parenchyma. No pleural effusion. Moderate narrowed cervical trachea on the right lateral view._x000D_
_x000D_
In the abdomen there is no peritoneal or retroperitoneal effusion. The gastrointestinal tract is mildly filled. Normal-sized liver, spleen, and kidneys. Two punctate mineral densities in the colon are incidental. No radiopaque urolithiasis. The prostate is not enlarged. Osseous structures are unremarkable.</t>
  </si>
  <si>
    <t>Possible dynamic cervical tracheal collapse. Otherwise normal thorax and abdomen.</t>
  </si>
  <si>
    <t>Three radiographs of the thorax/abdomen are provided. The cardiac silhouette is normal size and shape. Pulmonary vessels are normal size. Perihilar vessels have crisp margins. Hazy increased opacity overlying the left lungs on the VD projection is due to rotation and superimposed fat deposition. There is no pleural effusion. No abnormalities in the pulmonary parenchyma. Small volume fluid in the caudal esophagus is transient and incidental. Mild narrowed cervical trachea on the right lateral view. In the abdomen there is no effusion or organomegaly. The gastrointestinal tract is minimally filled. The cecum is gas-filled. The urinary bladder is mildly filled and soft tissue opaque.</t>
  </si>
  <si>
    <t>1. Varied tracheal diameter suggestive of dynamic collapse. This should be correlated with characteristic of the cough and tracheal palpation. Otherwise normal thorax. Inhaled irritant/allergens could be contributing to the cough. There is no evidence of cardiovascular disease on this study. A small valvular regurgitant jet can result in a relatively loud murmur._x000D_
2. Normal abdomen.</t>
  </si>
  <si>
    <t>Recommend utilization of a body harness in place of a neck lead. This patient may benefit from symptomatic treatment for the cough.</t>
  </si>
  <si>
    <t>Study:_x000D_
Thoracic radiography three images dated July 13, 2024_x000D_
_x000D_
Findings:_x000D_
The cardiac silhouette is normal in size and shape. The pulmonary vasculature is normal in size. The pulmonary parenchyma is unremarkable. The pleural space is normal. There is no apparent intrathoracic lymphadenopathy. The esophagus is severely, diffusely distended with heterogeneous soft tissue material that has the appearance of ingesta. The trachea is ventrally deviated by the severe esophageal dilation. The tracheal diameter is normal. The included abdomen is unremarkable. The osseous structures are age appropriate.</t>
  </si>
  <si>
    <t>1. Megaesophagus. Congenital megaesophagus is prioritized given the young age of the patient._x000D_
2. There is no evidence of secondary aspiration pneumonia.</t>
  </si>
  <si>
    <t>An esophagogram plus/minus endoscopy can be considered for further evaluation.</t>
  </si>
  <si>
    <t xml:space="preserve">
1.Based on the AI airway/pulmonary findings, the probability of this patient having soft tissue pulmonary nodules and clinically detectable respiratory signs is VERY HIGH (&gt;75%)_x000D_
2.SEVERE BRONCHOINTERSTITIAL TO ALVEOLAR PATTERN; PULMONARY NODULES or NODULAR PATTERN; PLEURAL FLUID or LESS LIKELY, OVERLYING SKIN FOLDS or SEVERE OBESITY; SEVERE DYNAMIC AIRWAY DISEASE._x000D_
3.The evaluation result has a strong suspicion of soft tissue pulmonary nodules being present. This case should be further scrutinized for the presence of pulmonary metastasis or other soft tissue nodular pulmonary lesions such as; fungal disease, pulmonary abscesses or parasitic cysts. Keep in mind that disseminated lymphoma and METASTATIC mast cell neoplasia typically cause intrathoracic lymph node enlargement and DO NOT typically cause soft tissue pulmonary nodules. In older dogs, neoplasia (primary or metastatic) is the primary consideration. A false positive result due to cutaneous nodules or nipples overlying the thorax artifactually creating this result is considered unlikely in this case. However, if a cutaneous nodule is suspected, apply a radiopaque marker or barium to the cutaneous structure or nipple and repeat the thoracic radiographs._x000D_
4.Are respiratory signs present? If YES. In a younger dog, pneumonia (aspiration, bacterial, fungal, parasitic (including heartworm pathosis) or embolic), pulmonary hemorrhage, pulmonary fibrosis or pleural space disease (mild pleural effusion) with concurrent dynamic airway collapse and/or bronchiectasis is likely. In older dogs, neoplasia (lobar neoplasia or ) or PTE are additional considerations. A component of upper airway disease causing secondary lower airway disease, including aspiration pneumonia or atelectasis, may be present._x000D_
5.Are respiratory signs present? If NO. A false positive due to a combination of age-related changes due to sedation or anesthesia and/or overlying soft tissues such as forelimb musculature overlying the cranial thorax would be more likely._x000D_
6.Pleural fissure lines pleural effusion has been detected. In an overweight animal, excessive pericardial fat or overlying skin folds can artifactually mimic the result of pleural effusion._x000D_
7.Given the complexity of this case, study submission to a radiologist for review is recommended._x000D_
8.Severe cardiomegaly has been detected but Heart Failure is NOT suspected.</t>
  </si>
  <si>
    <t xml:space="preserve">Patient Name : ZaZu mcilwain, Date of study: Jul 12, 2024
3 images are provided for review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Only in the ventrodorsal image, ill-defined rounded increased soft tissue is suspected in the region of the middle tracheobronchial lymph node.  No obvious ventral displacement of the carina or caudal lobar bronchi in the lateral image.  
Trachea: The trachea is normal.
Esophagus: The esophagus is not well-identified.
Pleural space: The pleural space is normal.
Musculoskeletal: T5-6 spondylosis deformans is present.  The remaining included musculoskeletal structures are normal
</t>
  </si>
  <si>
    <t xml:space="preserve">1. Possible middle tracheobronchial lymphadenomegaly versus artifact from superimposed normal structures.
- If present, this is concerning for evolving metastatic/multicentric neoplasia or less likely granulomatous/fungal pneumonia or other.
2. Mild diffuse bronchial pulmonary pattern such as from infectious/immune-mediated lower airway disease (mycoplasma spp., bordetella spp., parasitism, or other), inhaled allergen/irritant, fibrosis from prior disease, age-related changes, or unlikely metastatic/multicentric neoplasia or other.
</t>
  </si>
  <si>
    <t>Consider routine blood work, abdominal imaging, and computed tomography of the thorax for further evaluation of the lungs and possible middle tracheobronchial lymph node enlargement.  Consider fungal serology if the patient has an appropriate travel/exposure history.   If a primary mass is encountered in additional imaging, coagulation testing, tissue sampling and oncologist consultation for further evaluation.  Empirical therapy and supportive care in the interim as needed.  Monitoring as directed or sooner if clinical signs acutely change, fail to improve or worsen.</t>
  </si>
  <si>
    <t xml:space="preserve">
1.PULMONARY NODULAR PATTERN likely due to END ON PULMONARY VESSELS, PULMONARY OSTEOMAS or COSTOCHONDRAL JUNCTIONS; MILD INTERSTITIAL TO ALVEOLAR PATTERN; MILD BRONCHITIS._x000D_
2.The evaluation result has a strong suspicion of soft tissue pulmonary nodules being present._x000D_
3.Based on the AI airway/pulmonary findings, the probability of this patient having clinically detectable respiratory signs is LOW to MEDIUM (25-50%)_x000D_
4.Are respiratory signs present? If YES._x000D_
5.Are respiratory signs present? If NO._x000D_
6.MILD BRONCHOINTERSTITIAL PULMONARY PATTERN WITH ATELECTASIS or LESS LIKELY, PNEUMONIA, MILD PERIHILAR INFILTRATE._x000D_
7.Probability these AI pulmonary findings will accompany clinically detectable respiratory signs: MILD TO MODERATE (25-50%)_x000D_
8.Are respiratory signs present? If YES._x000D_
9.Are respiratory signs present? If NO._x000D_
10.The cardiac silhouette size is normal.</t>
  </si>
  <si>
    <t xml:space="preserve">
1.MODERATE INTERSITIAL TO ALVEOLAR PATTERN; MILD BRONCHITIS; MINIMAL PERIHILAR INFILTRATE._x000D_
2.Probability these AI pulmonary findings will accompany clinically detectable respiratory signs: MEDIUM to HIGH (50-75%%)_x000D_
3.Are respiratory signs present? If YES._x000D_
4.AI linked bacterial pneumonia treatment in dogs: https://platform.v2.vetology.net/doc/pneumonia-in-dogs-and-cats_x000D_
5.Are respiratory signs present? If NO._x000D_
6.The cardiac silhouette size is normal._x000D_
7.There is no evidence of PLEURAL EFFUSION.</t>
  </si>
  <si>
    <t>Four orthogonal thoracic radiographs dated 12th July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No significant abnormalities are detected.</t>
  </si>
  <si>
    <t>No radiographic findings explain the presenting signs. Consider an upper airway abnormality.</t>
  </si>
  <si>
    <t xml:space="preserve">Patient Name : Roxy Livanos, Date of study: Jul 12, 2024
3 images are provided for review
There are no previous radiographs for comparison.
Pulmonary parenchyma: A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mild gas or is empty.  A tracheal stripe sign is present.  
Pleural space: The pleural space is normal
Musculoskeletal: The patient is obese.  The remaining included musculoskeletal structures are normal.
</t>
  </si>
  <si>
    <t xml:space="preserve">1. Moderate diffuse bronchial pulmonary pattern.
- Differential diagnoses include infectious/immune-mediated lower airway disease such as from mycoplasma spp., bordetella spp., parasitism, or inhaled allergen/irritant or unlikely other such as atypical metastatic neoplasia, with/without underlying fibrosis from prior disease or age-related changes.
2. No obvious pulmonary nodules or intra-thoracic lymphadenomegaly.
3. Obesity. 
 </t>
  </si>
  <si>
    <t>Consider respiratory PCR panel, airway sampling, and fecal analysis for further evaluation.  Consider computed tomography of the head/thorax for a more sensitive evaluation, especially given prior reported clinical signs of sneezing/epistaxis.  Empirical therapy and supportive care as needed in the interim. Monitoring as directed or sooner if clinical signs acutely change, fail to improve or worsen.</t>
  </si>
  <si>
    <t>Study:_x000D_
Thoracic and abdominal radiography: six images dated July 12,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small volume of gas. The small intestines are normal in size, course and content. The colon is gas filled. The liver and spleen are normal in size and margin. The renal silhouettes are normal in size and contour. The urinary bladder is normal in size and opacity. The osseous structures are unremarkable.</t>
  </si>
  <si>
    <t>1. Unremarkable abdomen. A cause of the reported anorexia and diarrhea is not evident. There is no radiographic evidence of gastrointestinal foreign material or small intestinal mechanical obstruction. Abdominal sonography can be considered for further evaluation if clinical signs persist or worsen in spite of medical management._x000D_
2. Normal thorax.</t>
  </si>
  <si>
    <t xml:space="preserve">
1.MODERATE INTERSTITIAL TO ALVEOLAR PATTERN; MILD BRONCHITIS._x000D_
2.Based on the AI airway/pulmonary findings, the probability of this patient having clinically detectable respiratory signs is MEDIUM to HIGH (50-75%)_x000D_
3.Are respiratory signs present? If YES._x000D_
4.Are respiratory signs present? If NO._x000D_
5.The cardiac silhouette size is normal._x000D_
6.There is no evidence of DYNAMIC AIRWAY COLLAPSE or BRONCHIECTASIS.</t>
  </si>
  <si>
    <t>6 views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The abdomen, the stomach contains a mild amount of gas.  The small bowel is mildly gas-filled without overt dilation or plication.  A mild amount of gas and stool is noted in the cecum and colon.  The liver is mildly enlarged with rounded serosal margins.  The spleen is normal in size and shape.  The renal silhouettes and urinary bladder are normal.  Serosal detail is adequate._x000D_
No significant osseous abnormalities are seen.</t>
  </si>
  <si>
    <t>The appearance of the GI tract is very nonspecific and could be consistent with enterocolitis, dietary indiscretion or sensitivity, or possibly infiltrative disease.  The mildly prominent liver is nonspecific but could be associated with vacuolar change or less likely inflammation or neoplasia._x000D_
Radiographically normal thorax.</t>
  </si>
  <si>
    <t>If empirical medical management is ineffective, an abdominal ultrasound could be considered for further evaluation.</t>
  </si>
  <si>
    <t xml:space="preserve">
1.MILD BRONCHOINTERSTITIAL PULMONARY PATTERN._x000D_
2.Based on these AI airway/pulmonary findings, the probability of this patient having clinically detectable respiratory signs are LOW (25%)_x000D_
3.Are respiratory signs present? If YES._x000D_
4.Are respiratory signs present? If NO._x000D_
5.The cardiac silhouette size is normal._x000D_
6.There is no evidence of DYNAMIC AIRWAY COLLAPSE or BRONCHIECTASIS, PULMONARY NODULES or PLEURAL EFFUSION.</t>
  </si>
  <si>
    <t>Orthogonal views of the thorax and abdomen are provided:_x000D_
_x000D_
Thorax:_x000D_
_x000D_
Narrowing of the cervical trachea at the thoracic inlet._x000D_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 No signs of radiopaque foreign bodies._x000D_
Small intestines are mildly gas and fluid filled, not overtly distended. No signs of mechanical ileus._x000D_
Serosal detail is preserved._x000D_
Liver and spleen are within normal limits of size and smoothly marginated._x000D_
Kidneys and urinary bladder WNL.</t>
  </si>
  <si>
    <t>1) Findings compatible with cervical tracheal collapse. Unremarkable thorax without signs of pulmonary metastases nor signs of thoracic lymphadenopathy._x000D_
2) Unremarkable abdomen.</t>
  </si>
  <si>
    <t>Consider abdominal US if clinically necessary._x000D_
Consider fluoroscopy (followed by tracheobronchoscopy, BAL and culture/cytology)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If negative, consider empirical treatment for chronic bronchitis.</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</si>
  <si>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extends beyond the costal arch with sharp margins._x000D_
Spleen shows a questionable nodule in the VD view superimposed with its ventral extremity._x000D_
Kidneys and urinary bladder WNL._x000D_
In the RL view there is an ill defined opacity ventral to the descending colon cranial to the bladder that recalls an enlarged uterus._x000D_
_x000D_
There are multifocal signs of chronic IVDD. Regarding the spine, C2 shows a most likely ossiculum terminale separated from the dens of the vertebral body without signs of atlanto-axial subluxation._x000D_
T12-T13 and T13-L1 IVDS is narrow.</t>
  </si>
  <si>
    <t>1) Unremarkable thorax without signs of pulmonary metastases nor signs of thoracic lymphadenopathy._x000D_
2) Hepatomegaly: Metabolic vs Vacuolar infiltration vs Hepatic nodular hyperplasia vs Inflammatory vs Toxic vs Neoplastic or a combination of these differentials._x000D_
3) Rule out pyometra vs mucometra._x000D_
4) Rule out superimposed left uterine horn with the spleen vs benign splenic nodule vs malignant._x000D_
4) Incidental ossiculum terminale at C2._x000D_
6) T12-T13 and T13-L1: findings consistent with chronic IVDD. Rule out disc herniation.</t>
  </si>
  <si>
    <t>Consider abdominal US to further evaluate the liver, spleen and the uterus along with urinary tract with renal function test, urinalysis, UPC and urine culture, with +/- US guided FNAs._x000D_
Consider a neuro exam with MRI if necessary.</t>
  </si>
  <si>
    <t>5 images of the thorax and left thoracic limb are provided for review.  The trachea is dorsally deviated, indicating left ventricular enlargement.  A small bulge is present in the region of the left atrium.  No pulmonary infiltrates are seen.  The pulmonary vasculature is normal in size.  The mediastinal and pleural structures are normal.  Cranial abdominal detail is adequate.  The joint surfaces are smooth and regular.  Osteophytes are present at the caudal aspect of the humeral head and glenoid cavity.  No fractures or aggressive osseous lesions are seen.</t>
  </si>
  <si>
    <t>Mild left-sided cardiomegaly without current evidence of cardiogenic pulmonary edema.  Echocardiography may be helpful in further evaluation.  Mild left shoulder DJD.</t>
  </si>
  <si>
    <t xml:space="preserve">
1.MILD BRONCHOINTERSTITIAL PULMONARY PATTERN; MILD DYNAMIC AIRWAY DISEASE; MILD PERIHILAR INFILTRATE._x000D_
2.Based on these AI airway/pulmonary findings, the probability of this patient having clinically detectable respiratory signs is MEDIUM (50%)_x000D_
3.Are respiratory signs present? If YES._x000D_
4.Are respiratory signs present? If NO._x000D_
5.There is no evidence of PLEURAL EFFUSION._x000D_
6.Minimal cardiomegaly has been detected but Heart Failure is NOT suspected.</t>
  </si>
  <si>
    <t>THORAX (4 total radiographs for review). _x000D_
_x000D_
- Severe left-sided cardiomegaly, characterized by straightening of the caudal cardiac margin, dorsal displacement of the caudal aspect of the thoracic trachea and a rounding in the region of the left atrium.  There is overt elevation and compression of the left principal bronchus noted on the VD image._x000D_
- The pulmonary vasculature is normal._x000D_
- Diffuse unstructured interstitial pattern that is most predominant in the caudodorsal/perihilar region._x000D_
- The remaining included intrathoracic structures are normal._x000D_
- The liver is moderately enlarged, with rounded margins._x000D_
- Stomach contains moderate gas stippled soft tissue opaque material._x000D_
- The remaining cranial abdominal structures are normal._x000D_
- There is mild multifocal vertebral spondylosis deformans.</t>
  </si>
  <si>
    <t>1.  Severe left-sided cardiomegaly with overt left atrial enlargement and left principal bronchial compression (potentially causing the more chronic coughing reported). DDx degenerative mitral valve disease most likely.  The diffuse unstructured interstitial pattern that is most prominent in the caudodorsal/perihilar region must be prioritized as cardiogenic pulmonary edema secondary to left-sided congestive heart failure, however in the lack of a reported dyspnea/respiratory distress could also indicate pulmonary atelectasis/hypoinflation.  I would lean towards the side of left-sided congestive heart failure and would recommend considering initiating cardiac therapy including diuretics, oxygen as clinically indicated and recheck thoracic radiographs to reevaluate the degree of pulmonary opacification over time.  Echocardiogram, ECG and cardiologist consultation are recommended if not recently performed. _x000D_
_x000D_
2. Moderate hepatomegaly. Most likely vacuolar (metabolic) hepatopathy. Hepatic congestion, hepatitis or neoplasia are less likely, but possible._x000D_
_x000D_
3. Recent meal.</t>
  </si>
  <si>
    <t xml:space="preserve">
1.The evaluation has come up positive for a pulmonary nodular pattern._x000D_
2.Severe cardiomegaly has been detected but Heart Failure is NOT suspected._x000D_
3.Are respiratory signs present? If NO._x000D_
4.MODERATE BRONCHINTERSTITIAL PATTERN; MILD DYNAMIC AIRWAY DISEASE; ATELECTASIS or less likely, PNEUMONIA._x000D_
5.Based on these AI airway/pulmonary findings, the probability of this patient having clinically detectable respiratory signs is MEDIUM (50%)_x000D_
6.Are respiratory signs present? If YES.</t>
  </si>
  <si>
    <t>Three radiographs of the thorax, and a lateral view of the abdomen are provided. There is prominence of the left atrium. Pulmonary vessels are normal size. Faint bronchial markings are present. No pleural effusion. Pointed contour to the mid right heart on the VD projection (right laterality marker located on the left side of the patient on this view) is fat deposition. No pleural effusion. Normal tracheal diameter. No esophageal dilation._x000D_
_x000D_
In the abdomen the stomach contains moderate volume of formed kibble-like soft tissue density. Small bowel are minimally filled. Formed feces in the colon. Thin linear 1.0 cm mineral density overlying the proximal colon is likely incidental. No radiopaque urolithiasis. Normal-sized liver, kidneys, spleen. The uterus is not identified. Narrowed L4-5, L5-6 intervertebral disc spaces is likely incidental today.</t>
  </si>
  <si>
    <t>1. Faint bronchial markings may be normal age-related change and/or chronic airway inflammation such as bronchitis. No other abnormalities are identified to explain the coughing._x000D_
2. Prominent left atrium consistent with acquired mitral valve disease. There is no pulmonary venous congestion or pulmonary edema. This is incidental today._x000D_
3. Normal abdomen.</t>
  </si>
  <si>
    <t>consider symptomatic treatment for the cough.</t>
  </si>
  <si>
    <t xml:space="preserve">
1.A minimal interstitial pattern has been detected._x000D_
2.Moderate cardiomegaly has been detected but Heart Failure is NOT suspected._x000D_
3.Mild dynamic airway disease has been identified._x000D_
4.A minimal bronchial pattern and concurrent mild dynamic airway disease have been identified._x000D_
5.There is no evidence of PERIHILAR INFILTRATE or PULMONARY NODULES.</t>
  </si>
  <si>
    <t xml:space="preserve">Patient Name : Snickers Lowe, Date of study: Jul 12, 2024
5 images are provided for review
There are no previous radiographs for comparison.  Ungloved human digits primary beam.  
Pulmonary parenchyma: A minimal to mild diffuse bronchial pattern is present.  A minimal to mild diffuse interstitial pattern is present, that is most severe in the hypoinflated lateral images.  The lungs are mild to moderately hypoinflated in the lateral images.    Lobar bronchi are ill-defined in the final lateral image, and subjectively narrowed.  
Pulmonary vasculature: The pulmonary vasculature is subjectively normal in size and tapers in the periphery of the lungs.
Cardiac silhouette: The cardiac silhouette is moderately tall and occupies over 2/3 the height of the thorax.  The trachea is dorsally displaced.  The caudodorsal margin of the cardiac silhouette is flattened.  The cardiac silhouette is widened and occupies the width of 3.5-4 intercostal spaces.  The cardiac silhouette is rounded and widened in the ventrodorsal image. 
Mediastinum: The cranial mediastinum is normal.
Trachea: A soft tissue band superimposes over the thoracic trachea segment.  
Esophagus: The esophagus is not well-identified.
Pleural space: The pleural space is normal.
Musculoskeletal: The patient is obese.  The remaining  included musculoskeletal structures are normal.
</t>
  </si>
  <si>
    <t>1. Moderate generalized cardiomegaly such as from myxomatous mitral valvular disease, tricuspid valvular disease, cor pulmonale/pulmonary hypertension, or unlikely other.
- There is no current evidence of left-sided congestive heart failure.  
2. Minimal to mild diffuse bronchial and interstitial pulmonary patterns due to fibrosis fromprior disease, age-related changes, infectious/immune-mediated lower airway disease, or unlikely other.  
- This is likely exacerbated by hypoinflation of the lungs.
3. Dorsal redundant tracheal membrane with suspected bronchial narrowing and dynamic airway disease.
4. Obesity.</t>
  </si>
  <si>
    <t>Echocardiography, ECG and blood pressure for further evaluation.  Consider routine blood work and urinalysis to screen for occult systemic disease if not recently performed.  Bronchoscopy/tracheoscopy/fluoroscopy and airway sampling/respiratory PCR panel may be contributory for further evaluation.  Empirical therapy and supportive care in the interim as needed.  Monitoring with serial thoracic radiographs as directed, or sooner if clinical signs acutely change, fail to improve or worsen.</t>
  </si>
  <si>
    <t xml:space="preserve">
1.Are respiratory signs present? If YES._x000D_
2.Are respiratory signs present? If NO._x000D_
3.Are respiratory signs present? If NO._x000D_
4.MINIMAL to MILD BRONCHOINTERSTITIAL PULMONARY PATTERN; MILD DYNAMIC AIRWAY DISEASE; FOCAL ATELECTASIS, or less likely, ALVEOLAR INFILTRATE._x000D_
5.MILD BRONCHOINTERSTITIAL PULMONARY PATTERN; MILD DYNAMIC AIRWAY DISEASE; MINIMAL PERIHILAR INFILTRATE._x000D_
6.Based on these AI airway/pulmonary findings, the probability of this patient having clinically detectable respiratory signs is MEDIUM (50%)_x000D_
7.Based on these AI airway/pulmonary findings, the probability of this patient having clinically detectable resspiratory signs is LOW (25%)_x000D_
8.Are respiratory signs present? If YES._x000D_
9.Severe cardiomegaly has been detected but Heart Failure is NOT suspected.</t>
  </si>
  <si>
    <t>Study:_x000D_
Thoracic and abdominal radiography: six images dated July 12,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moderate amount of unstructured heterogeneous soft tissue material presumed to be ingesta. The small intestines are normal in size, course and content. The colon contains formed fecal material. The liver is normal in size and margin. The spleen is absent, consistent with the reported prior splenectomy. There multiple metallic surgical clips from the prior splenectomy in the midabdomen. The renal silhouettes are normal in size and contour. The urinary bladder is normal in size and opacity. The region of the prostate is not included on the lateral projections. There is narrowing of the T1-T2 through T3-T4 intervertebral disc spaces. There is a large lipomatous mass in the subcutaneous tissues of the left lateral thorax.</t>
  </si>
  <si>
    <t>1. Prior splenectomy=ZZ90= otherwise, unremarkable abdomen._x000D_
2. Normal thorax. There is no radiographic evidence of cardiopulmonary or metastatic disease.</t>
  </si>
  <si>
    <t>A cause of the reported anemia is not evident. Abdominal sonography can be considered for further evaluation.</t>
  </si>
  <si>
    <t>A three view study of the thorax is provided for interpretation. All three images have moderate blurring due to respiratory motion._x000D_
_x000D_
There is moderate to severe dynamic narrowing of the cervical trachea. The intrathoracic trachea is unremarkable. The heart is at the upper end of normal size range. There is subtle straightening of the caudal cardiac waist that suggest mild left atrial dilation may be present, but the appearance is equivocal. The pulmonary vessels and parenchyma are within normal limits. No pleural effusion is seen. No esophageal abnormalities are identified._x000D_
The stomach is mildly distended with fluid and gas. The other cranial abdominal organs are unremarkable.</t>
  </si>
  <si>
    <t>Dynamic narrowing of the cervical trachea is compatible with collapsing trachea as a likely explanation for the clinical signs._x000D_
No pulmonary changes suggestive of active lung disease or heart failure are identified._x000D_
Heart size is borderline at the upper end of normal range.</t>
  </si>
  <si>
    <t>Symptomatic therapy for the cough is recommended._x000D_
_x000D_
Heart disease is not suspected to be related to the clinical signs. However, considering the acute development of a significant heart murmur echocardiography should still be considered for more complete evaluation.</t>
  </si>
  <si>
    <t xml:space="preserve">
1.Are respiratory signs present? If NO._x000D_
2.MODERATE BRONCHOINTERSTITIAL PULMONARY PATTERN; MILD DYNAMIC AIRWAY DISEASE; ATELECTASIS or less likely, pneumonia; MINIMAL PERIHILAR INFILTRATE._x000D_
3.Based on the AI airway/pulmonary findings, the probability of this patient having clinically detectable respiratory signs is MEDIUM to HIGH (50%-75%)_x000D_
4.Are respiratory signs present? If YES._x000D_
5.Mild cardiomegaly has been detected but Heart Failure is NOT suspected._x000D_
6.There is no evidence of PLEURAL EFFUSION.</t>
  </si>
  <si>
    <t>WHOLE-BODY (4 total radiographs for review). _x000D_
_x000D_
- Severe, dynamic collapse of the trachea extending from the level of the caudal cervical area, through the thoracic inlet and nearly to the level of the carina._x000D_
- Moderate left-sided cardiomegaly, characterized by straightening of the caudal cardiac margin and dorsal displacement of the caudal aspect of the thoracic trachea._x000D_
- The pulmonary vasculature is normal._x000D_
- Mild, diffuse unstructured interstitial pattern._x000D_
- The remaining included intrathoracic structures are normal._x000D_
- The liver is moderately enlarged, with rounded margins._x000D_
- The stomach, small intestine and colon diffusely contain a moderate volume of gas._x000D_
- The remaining abdominal structures are normal._x000D_
- There is narrowing, endplate sclerosis and spondylosis deformans centered on the intervertebral discs of T12-13 and L1-2.</t>
  </si>
  <si>
    <t>1. The patient=ZZ91=s coughing seems most likely radiographically attributable to tracheal collapse, secondary to chondromalacia._x000D_
_x000D_
2.  Moderate left-sided cardiomegaly, without pulmonary vasculature congestion or congestive heart failure. Most likely compatible with degeneration of the mitral valve. Consider careful cardiac auscultation and echocardiography/ECG for further assessment._x000D_
_x000D_
3.  Mild diffuse unstructured interstitial pattern most likely secondary to pulmonary hypoinflation/atelectasis._x000D_
_x000D_
4. Mild hepatomegaly. Most likely vacuolar (metabolic) hepatopathy. Hepatic congestion, hepatitis or neoplasia are less likely, but possible._x000D_
_x000D_
6. Aerophagia._x000D_
_x000D_
7. T12-13 and L1-2 intervertebral disc disease.</t>
  </si>
  <si>
    <t>In this case, the cough could be multifactorial and related to both tracheal collapse and airway compression from left heart enlargement.  Evaluation towards and empirical treatment of either of these pathologies may provide clinical benefit to the patient.</t>
  </si>
  <si>
    <t xml:space="preserve">
1.Are respiratory signs present? If NO._x000D_
2.Severe cardiomegaly has been detected but Heart Failure is NOT suspected._x000D_
3.There is no evidence of PLEURAL EFFUSION._x000D_
4.MILD BRONCHOINTERSTITIAL PULMONARY PATTERN; MILD DYNAMIC AIRWAY DISEASE; MILD PERIHILAR INFILTRATE._x000D_
5.Based on these AI airway/pulmonary findings, the probability of this patient having clinically detectable respiratory signs is MEDIUM (50%)_x000D_
6.Are respiratory signs present? If YES.</t>
  </si>
  <si>
    <t>9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is at the lower limits of normal for size.  An irregular soft tissue mass is present in the cranioventral abdomen in the area of the tail of the spleen.  The stomach contains a moderate amount of ingesta.  The small intestines are normal in size.  Gas and feces are present in the colon.  The urinary bladder is small.  The remaining abdominal organs are normal.  Osteophytes present on the femoral necks and acetabular rims.</t>
  </si>
  <si>
    <t>Lobulated cranioventral abdominal mass.  Splenic origin neoplasia or hematoma is considered most likely.  Other possibilities for urgent include pedunculated liver mass or mesenteric mass.  Abdominal ultrasound may be helpful.  Radiographically normal thorax for patient of this age.  Lack of specific changes does not rule out laryngeal paralysis as a potential cause for the reported dyspnea.  Severe bilateral coxofemoral DJD.</t>
  </si>
  <si>
    <t>Three orthogonal thoracic radiographs dated 12th July 2024 are available for review. These are compared with previous radiographs dated 12th March 2024 and 10th November 2023_x000D_
_x000D_
Thorax: _x000D_
Airway findings: No nodules, masses, or lymphadenomegaly is visible. The trachea has a normal position, shape and size. The pulmonary parenchyma still has a comparable mild bronchial pattern. No nodules or masses are seen._x000D_
_x000D_
Cardiovascular findings: The cardiac silhouette, and pulmonary vasculature is within normal limits._x000D_
_x000D_
Mediastinum and pleura: There is no evidence of pleural effusion, _x000D_
_x000D_
Included abdomen: No significant abnormalities are detected. _x000D_
_x000D_
Musculoskeletal system: The metal surgical clips are still present in the region of the left thoracic wall.</t>
  </si>
  <si>
    <t>1. Negative metastasis check._x000D_
2. Continued bronchial pattern, consistent with normal ageing/fibrosis from previous disease in absence of any respiratory signs._x000D_
3. Surgical clips from previous mass removal.</t>
  </si>
  <si>
    <t>Continue radiographic monitoring.</t>
  </si>
  <si>
    <t xml:space="preserve">Patient Name : Precious Oakley, Date of study: Jul 12, 2024
2 images are provided for review
Canine Thorax (2 Images) - 1 Lateral, 1 Vd
Previous images dated [07/05/2024 Case#2703623] are available for comparison.
Pulmonary parenchyma: A mild diffuse bronchial pattern is present.  A minimal to mild diffuse interstitial pattern is present.  The interstitial component is less severe in the ventrodorsal image.  The lungs are hypoinflated in the right lateral image.
Pulmonary vasculature: The pulmonary vasculature is subjectively normal in size and tapers in the periphery of the lungs.
Cardiac silhouette: The cardiac silhouette is tall and occupies great than 2/3 the height of the thorax.  The trachea is dorsally displaced.  The caudodorsal cardiac silhouette is flattened.  
Mediastinum: The cranial mediastinum is normal.
Trachea: The trachea is normal.
Esophagus: The esophagus contains mild gas.
Pleural space: The pleural space is normal.
Musculoskeletal: The included musculoskeletal structures are normal.
</t>
  </si>
  <si>
    <t xml:space="preserve">1. Mild-moderate left-sided cardiomegaly such as from myxomatous mitral valvular disease and insufficiency.
-  There is no current evidence of left-sided congestive heart failure.
2. Minimal-mild diffuse bronchial and interstitial pulmonary patterns, with less severe interstitial component in the ventrodorsal image.
- Differential diagnoses include artifact from hypoinflation, fibrosis from prior disease, age-related changes, infectious/immune-mediated lower airway disease or unlikely other.
- This pattern is similar to prior.  </t>
  </si>
  <si>
    <t>Echocardiography, ECG and blood pressure for further evaluation, as well as routine blood work and urinalysis if not recently performed.  Consider respiratory PCR panel, fecal analysis/deworming, and airway sampling for further evaluation.   This examination does not rule out underlying dynamic airway disease contributing to reported cough. Empirical therapy and supportive care in the interim as needed.  Monitoring as directed or sooner if clinical signs acutely change, fail to improve or worsen.</t>
  </si>
  <si>
    <t xml:space="preserve">
1.Are respiratory signs present? If NO._x000D_
2.MILD BRONCHOINTERSTITIAL PULMONARY PATTERN with ATELECTASIS or less likely, PNEUMONIA; MILD PERIHILAR INFILTRATE._x000D_
3.SEVERE DYNAMIC AIRWAY DISEASE; MILD BRONCHOINTERSTITIAL TO ALVEOLAR PATTERN._x000D_
4.Based on the AI airway/pulmonary findings, the probability of this patient having clinically detectable respiratory signs is LOW to MEDIUM (25%-50%)_x000D_
5.Based on these AI airway/pulmonary findings, the probability of this patient having clinically detectable respiratory signs is HIGH (75%)._x000D_
6.Are respiratory signs present? If YES._x000D_
7.Are respiratory signs present? If YES._x000D_
8.Are respiratory signs present? If NO_x000D_
9.AI linked information on dynamic airway collapse in dogs: https://platform.v2.vetology.net/doc/canine-tracheal-collapse-treatment_x000D_
10.Mild cardiomegaly has been detected but Heart Failure is NOT suspected.</t>
  </si>
  <si>
    <t>Five radiographs of the thorax and abdomen are provided. The cardiac silhouette and pulmonary vessels are normal size and shape. There are no abnormalities in the pulmonary parenchyma or pleural space. Normal tracheal diameter and position. No esophageal dilation. In the abdomen moderate volume of formed feces fills the colon. The stomach and small bowel are minimally filled. No radiopaque cystic calculi. Normal-sized liver, spleen, kidneys. Osseous structures are unremarkable.</t>
  </si>
  <si>
    <t>Normal thorax and abdomen. The reason for the respiratory sign is not identified.</t>
  </si>
  <si>
    <t>Recommend routine blood work to rule out a metabolic abnormality.</t>
  </si>
  <si>
    <t>Orthogonal abdomen views and a lateral view of the thorax are provided._x000D_
_x000D_
There is a mild to moderate reduction in serosal detail in the abdomen, most prominent cranially. No mass lesions or organomegaly are identified. The appearance of the GI tract is within normal limits. No foreign bodies or pathologic dilation are identified._x000D_
_x000D_
The cardiovascular structures are within normal limits. There is a mild bronchial pulmonary pattern. No thoracic lymphadenopathy or pleural effusion is seen.</t>
  </si>
  <si>
    <t>There is reduced serosal detail in the abdomen consistent with significant inflammation or effusion._x000D_
Primary rule outs for this patient include peritonitis, severe pancreatitis, and abdominal hemorrhage which could be secondary to neoplasia or coagulopathy._x000D_
Considering the presence of concurrent fever on presentation, peritonitis and lymphoma would be primary differentials.</t>
  </si>
  <si>
    <t>There is concern for peritonitis in this patient. A perforating ulcer should be ruled out primarily. Surgical exploration may be indicated. _x000D_
 Coagulopathy should also be ruled out._x000D_
Ultrasound could also be used for more definitive evaluation.</t>
  </si>
  <si>
    <t>Patient Name : Phoebe Winfield, Date of study: Jul 12, 2024_x000D_
9 images are provided for review_x000D_
There are no previous radiographs for comparison._x000D_
_x000D_
Bones/Joints:_x000D_
The T4, T5, t6, T7, T8, T9, T10 vertebrae are mild to moderately narrowed in a craniocaudal dimension and wedge-shaped. T13 has a thin left 13th rib. The T7-8 spinous processes are partially fused._x000D_
A dens is present. There is no evidence of atlantoaxial joint subluxation._x000D_
There is no evidence of intervertebral disc space narrowing, or mineral over the intervertebral foramina. There is no evidence of intervertebral dorsal articulation osteoarthrosis._x000D_
_x000D_
There is no evidence of medullary sclerosis, osteolysis, endosteal scalloping, or periosteal proliferation._x000D_
_x000D_
Soft tissues: The included soft tissues are normal.</t>
  </si>
  <si>
    <t>1. Multifocal breed-specific thoracic vertebral anomalies._x000D_
2. No evidence of obvious intervertebral disc disease, vertebral fracture, luxation or aggressive bone lesion.</t>
  </si>
  <si>
    <t>Consider neurologist consultation and MRI for further evaluation of reported clinical signs. This examination does not rule our COMMS or syringohydromyelia/syrinx or non-mineralized intervertebral disc herniation contributing to reported signs. Monitoring with routine thoracic radiographs as directed, or sooner if clinical signs acutely change, fail to improve or worsen.</t>
  </si>
  <si>
    <t>Three radiographs of the thorax are provided. The cardiac silhouette is normal size and shape. There is a mild bronchial pattern throughout the lungs. No interstitial infiltrates. No pleural effusion. Tracheal diameter is adequate. Small volume gas and fluid in the esophagus is transient and incidental. Mild breed-related vertebral malformations in the mid thoracic spine are of doubtful significance today.</t>
  </si>
  <si>
    <t>Mild bronchial pattern. Infectious airway disease is most likely. There is no evidence of cardiovascular disease or pneumonia. No tracheal abnormalities are appreciated, however dynamic collapse is not definitively ruled out.</t>
  </si>
  <si>
    <t>Recommend supportive care for infectious airway disease.</t>
  </si>
  <si>
    <t xml:space="preserve">
1.Are respiratory signs present? If NO_x000D_
2.Are respiratory signs present? If NO._x000D_
3.MILD BRONCHOINTERSTITIAL PULMONARY PATTERN with ATELECTASIS or less likely, PNEUMONIA; MILD PERIHILAR INFILTRATE._x000D_
4.MILD BRONCHOINTERSTITIAL PULMONARY PATTERN; MILD DYNAMIC AIRWAY DISEASE; MINIMAL PERIHILAR INFILTRATE._x000D_
5.Based on these AI airway/pulmonary findings, the probability of this patient having clinically detectable respiratory signs is MEDIUM (50%)_x000D_
6.The cardiac silhouette size is normal._x000D_
7.Based on the AI airway/pulmonary findings, the probability of this patient having clinically detectable respiratory signs is LOW to MEDIUM (25%-50%)_x000D_
8.Are respiratory signs present? If YES._x000D_
9.Are respiratory signs present? If YES.</t>
  </si>
  <si>
    <t xml:space="preserve">Patient Name : reese reese, Date of study: Jul 12, 2024
7 images are provided for review
There are no previous radiographs for comparison. Ungloved human extremities in the primary beam.
Bones/Joints:
Minimal left coxofemoral joint osteoarthrosis is suspected with slight osteophytes at the junction of the femoral head/neck.  The right coxofemoral joint is subjectively normal. There is adequate coverage of the femoral heads by the acetabulums.
The left stifle has no evidence of osteoarthrosis.  The left infrapatellar fat pad is well-defined.
The included left tarsus, metatarsus and digits are normal.
The right stifle has no evidence of osteoarthrosis.  The right infrapatellar fat pad is well-defined.
The included right tarsus, metatarsus and digits are normal.  
There is no evidence of medullary sclerosis, osteolysis, endosteal scalloping, or periosteal proliferation.  Suspected region of left femoral distolateral lucency is artifactual due to positioning.  
Soft tissues:  The included soft tissues are normal.  The reported enlargement caudal to the left stifle and in the inguinal region is not identified.  
</t>
  </si>
  <si>
    <t>1. Minimal left coxofemoral joint osteoarthrosis is suspected.
2. Normal right coxofemoral joint.
3. Normal right stifle.
4. Normal left stifle.</t>
  </si>
  <si>
    <t>Consider orthopedic consultation for further evluation of reported subtle left pelvic limb lameness.  Cross-sectional imaging may better evaluate the inguinal region and thigh soft tissues given reported palpable changes not identified in this examination.  Routine blood work and thoracic imaging to screen for occult systemic disease.  Monitoring as directed, or sooner if clinical signs acutely change, fail to improve or worsen.</t>
  </si>
  <si>
    <t xml:space="preserve">
1.Mild cardiomegaly has been detected but Heart Failure is NOT suspected._x000D_
2.MINIMAL BRONCHOINTERSTITIAL PULMONARY PATTERN; MINIMAL DYNAMIC AIRWAY DISEASE; MILD PERIHILAR INFILTRATE._x000D_
3.Based on these AI airway/pulmonary findings, the probability of this patient having clinically detectable respiratory signs is LOW (25%)_x000D_
4.Are respiratory signs present? If YES._x000D_
5.Are respiratory signs present? If NO._x000D_
6.There is no evidence of PULMONARY NODULES or PLEURAL EFFUSION.</t>
  </si>
  <si>
    <t>Abdomen: There is an ill-defined mass-like region within the mid left ventral abdomen.  There are segments of small intestine that are fluid-filled and considered on the upper limits of normal for diameter.  There is an increase in wispy soft tissue opacity associated with the mid abdomen with mild decrease in serosal detail.  There is mild amount of heterogeneous soft tissue opacity within the gastric lumen.  The liver and spleen are unremarkable.  There are no abnormalities involving the visible portions of the urinary tract.  There are no significant abnormalities involving the visible portions of the thorax.</t>
  </si>
  <si>
    <t>The masslike region may represent a true mass or possible summation with segments of jejunum that are fluid-filled._x000D_
_x000D_
Fluid-filled segments of jejunum.  In light of clinical history, an obstructive process cannot be ruled out._x000D_
_x000D_
The material within the gastric lumen most likely represents ingesta or nonobstructive foreign material._x000D_
_x000D_
Suspect mild peritoneal effusion.</t>
  </si>
  <si>
    <t xml:space="preserve">
1.Mild cardiomegaly has been detected but Heart Failure is NOT suspected._x000D_
2.MODERATE to SEVERE BRONCHOINTERSTITIAL PULMONARY PATTERN; DYNAMIC AIRWAY COLLAPSE and/or BRONCHIECTASIS; ALVEOLAR INFILTRATE or ATELECTASIS._x000D_
3.Based on these AI airway/pulmonary findings, the probability of this patient having clinically detectable repsiratory signs is VERY HIGH (&gt;75%)_x000D_
4.Are respiratory signs present? If YES._x000D_
5.AI linked bacterial pneumonia treatment: https://platform.v2.vetology.net/doc/pneumonia-in-dogs-and-cats_x000D_
6.AI linked bacterial bronchitis treatment: https://platform.v2.vetology.net/doc/bacterial-bronchitis--in-dogs-and-cats_x000D_
7.Are respiratory signs present? If NO.</t>
  </si>
  <si>
    <t>Thorax: Today=ZZ91=s study is compared to a study dated 3/26/2024 there is a mild diffuse bronchointerstitial pattern as previous.  The cardiac silhouette and pulmonary vasculature are unremarkable.  There is no evidence of pleural effusion or lymphadenopathy.  There is an increase in soft tissue opacity superimposed over the dorsal aspect of the extrathoracic trachea at the level of the thoracic inlet.  This was noted previous..</t>
  </si>
  <si>
    <t>Static diffuse bronchointerstitial pattern._x000D_
_x000D_
The soft tissue opacity superimposed over the dorsal aspect of the extrathoracic trachea most likely represents a redundant dorsal tracheal membrane and/or rotational obliquity artifact.</t>
  </si>
  <si>
    <t xml:space="preserve">
1.Are respiratory signs present? If NO._x000D_
2.MILD BRONCHOINTERSTITIAL PULMONARY PATTERN._x000D_
3.Based on these AI airway/pulmonary findings, the probability of this patient having clinically detectable respiratory signs are LOW (25%)_x000D_
4.Are respiratory signs present? If YES._x000D_
5.The cardiac silhouette size is normal._x000D_
6.There is no evidence of PERIHILAR INFILTRATE or DYNAMIC AIRWAY COLLAPSE or BRONCHIECTASIS.</t>
  </si>
  <si>
    <t xml:space="preserve">Patient Name : Pepper Rousoan, Date of study: Jul 12, 2024
3 images are provided for review
Canine Abdomen (3 Images) - 2 Lateral, 1 Vd
There are no previous radiographs for comparison.
Liver: The liver is subjectively normal in size.
Spleen: The spleen is normal in size with smooth margins and homogeneous soft tissue.
Kidneys: The kidneys are normal in size and shape without obvious mineral.
Retroperitoneum: Retroperitoneal detail is adequate.
Urogenital:   In the caudoventral abdomen are multiple tortuous and large soft tissue tubular structures.  These are in the right and mid-caudal abdomen and suspected left caudal abdomen in the ventrodorsal image.  These are larger than small intestine, and result in mild cranial displacement of the small intestine.    Some of these segments are suspected to be between the urinary bladder and colon.  The urinary bladder is normal in size, homogeneous soft tissue, and smoothly marginated.
Peritoneum: Peritoneal detail is adequate.
Gastrointestinal tract: The stomach contains a mild volume of gas and fluid or is empty. The stomach is normal in size.
The small intestine contains mild gas and fluid or is empty with a subjectively uniform population for size. 
The colon contains minimal soft tissue material and gas.  The colon is normal in size.  
Musculoskeletal: The included musculoskeletal structures are normal.
</t>
  </si>
  <si>
    <t xml:space="preserve">1. Suspicious for uterine horn enlargement such as from evolving pyometra, mucometra, metritis, hematometra, or unlikely early pregnancy or other.
2. No current evidence of gastrointestinal mechanical ileus.  </t>
  </si>
  <si>
    <t>Routine blood work if not recently performed, and consider celiotomy and ovariohysterectomy given suspicion of pyometra.  Abdominal ultrasonography may be contributory for further evaluation.  Empirical therapy and supportive care in the interim as needed.  Monitoring as directed or sooner if clinical signs acutely change, fail to improve or worsen.</t>
  </si>
  <si>
    <t>Consider empirical treatment for chronic bronchitis evaluating response to treatment. If clinical signs persist, consider a CT of the thorax with bronchoscopy, BAL, culture, cytology, Baermann test and deworming.</t>
  </si>
  <si>
    <t>5 views of the thorax and abdomen are submitted for review._x000D_
In the thorax, a ventrally distributed alveolar pattern is noted in the right middle lung lobe and in the cranial and caudal subsegments of the left cranial lung lobe.  The cardiovascular structures are normal.  No pleural or mediastinal abnormalities are seen.  The trachea is normal in diameter._x000D_
The stomach and small bowel are within normal limits.  The colon is essentially empty.  The liver and spleen are normal in size, shape, and margination.  The bilateral renal silhouettes are within normal limits.  The urinary bladder is unremarkable.  Serosal detail is normal._x000D_
No aggressive bony changes are seen.</t>
  </si>
  <si>
    <t>Bilateral ventrally distributed alveolar pattern in the right middle and left cranial lung lobes.  This is most consistent with bacterial bronchopneumonia, likely secondary to aspiration.</t>
  </si>
  <si>
    <t>A CBC is recommended.  Broad-spectrum antibiotic therapy appears indicated.</t>
  </si>
  <si>
    <t xml:space="preserve">
1.MINIMAL DYNAMIC AIRWAY DISEASE; MINIMAL BRONCHOINTERSTITIAL PULMONARY PATTERN._x000D_
2.SEVERE ALVEOLAR INFILTRATE; MINIMAL BRONCHOINTERSTITIAL PATTERN._x000D_
3.Based on the AI airway/pulmonary findings, the probability of this patient having clinically detectable respiratory signs is VERY HIGH (&gt;75%)_x000D_
4.Based on these AI airway/pulmonary findings, the probability of this patient having clinically detectable respiratory signs is LOW (25%)_x000D_
5.AI linked canine pneumonia treatment: https://platform.v2.vetology.net/doc/pneumonia-in-dogs-and-cats_x000D_
6.Are respiratory signs present? If YES._x000D_
7.Are respiratory signs present? If YES._x000D_
8.Are respiratory signs present? If NO._x000D_
9.Pleural fissure lines or small volume pleural effusion has been detected. In a mildly overweight animal, excessive pericardial fat can artifactually mimic the result of minimal pleural effusion._x000D_
10.Are respiratory signs present? If NO._x000D_
11.The cardiac silhouette size is normal.</t>
  </si>
  <si>
    <t>Orthogonal views of the thorax and abdomen are provided:_x000D_
_x000D_
Thorax:_x000D_
_x000D_
There is cervical tracheal narrowing._x000D_
Cardiac silhouette shows a severe enlargement of the left atrium dorsally displacing the carina._x000D_
The pulmonary veins are normal sized. However, there is questionable peri-hilar ill defined interstitial pulmonary pattern extending caudodorsally._x000D_
Pleural space, mediastinum, diaphragm and thoracic wall within normal limits._x000D_
_x000D_
Abdomen:_x000D_
_x000D_
The stomach is empty._x000D_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Kidneys show bilateral renoliths._x000D_
Urinary bladder WNL._x000D_
_x000D_
Visible spine is unremarkable without signs of disc herniation, aggressive bone lesions, vertebral fractures or subluxations.</t>
  </si>
  <si>
    <t>1) Findings most consistent with dynamic cervical tracheal collapse._x000D_
2) Cardiomegaly (left sided) with peri-hilar ill defined interstitial pulmonary pattern extending caudodorsally. Rule out left sided congestive heart failure secondary to chronic mitral endocardiosis. Rule out concomitant tricuspid endocardiosis with post-capillary pulmonary hypertension._x000D_
3) Hepatomegaly: Metabolic vs Vacuolar infiltration vs Hepatic nodular hyperplasia vs Inflammatory vs Toxic vs Neoplastic or a combination of these differentials.</t>
  </si>
  <si>
    <t>Consider a cardiology consultation with ECG and echocardiogram to help rule in/out an early LSCHF with +/- oxygen supplementation, pro bnp, BP and lasix trial (prior evaluation of the renal function) with recheck radiographs in 12 hours (or sooner if clinically indicated) to re-evaluate and to monitor the response to treatment. Evaluate then the benefit/need of an empirical treatment of tracheal collapse._x000D_
Consider abdominal US to further evaluate the liver and the urinary tract with renal function test, urinalysis, UPC and urine culture._x000D_
Consider a neuro exam with MRI if necessary.</t>
  </si>
  <si>
    <t xml:space="preserve">Patient Name : Angel Baby Beck, Date of study: Jul 12, 2024
3 images are provided for review
Canine Thorax (3 Images) - 2 Lateral, 1 Vd
There are no previous radiographs for comparison.
Pulmonary parenchyma: A minimal diffuse bronchial pattern is present.  A minimal diffuse interstitial pattern is present.    The lungs are hypoinflated in the lateral images.  
Pulmonary vasculature: The pulmonary vasculature is subjectively normal in size and tapers in the periphery of the lungs.
Cardiac silhouette: The cardiac silhouette is slightly tall in the lateral images and occupies 2/3 the height of the thorax.  The trachea is slightly dorsally displaced  
Mediastinum: The cranial mediastinum is normal.
Trachea: The trachea is normal.
Esophagus: The esophagus is not well-identified.
Pleural space: The pleural space is normal.
Musculoskeletal: The included musculoskeletal structures are normal.
</t>
  </si>
  <si>
    <t xml:space="preserve">1. Minimal diffuse bronchial and interstitial pulmonary patterns.
- Differential diagnoses include fibrosis from prior disease, age-related changes, artifact from hypoinflation, and/or infectious/immune-mediated lower airway disease or unlikely other.
2. Equivocal left ventricular enlargement versus artifact from phase of the cardiopulmonary cycle and patient positioning.
- If present, consider evolving myxomatous mitral valvular disease or unlikely other.
- There is no current evidence of left-sided congestive heart failure.  
</t>
  </si>
  <si>
    <t>Consider routine blood work if not recently performed.  Echocardiography, eCG and blood pressure, if a murmur is later identified.  Computed tomography for pre-surgical planning of reported melanoma biopsy and a more sensitive evaluation of the thorax may be contributory.   Empirical therapy and supportive care in the interim as needed.  Monitoring as directed or sooner if clinical signs acutely change, fail to improve or worsen.</t>
  </si>
  <si>
    <t>9 images of the thorax, pelvis, and thoracic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The trachea is narrowed in the cervical region.  Cranial abdominal detail is adequate.  Coverage of the femoral heads by the acetabular rims is adequate bilaterally.  No fractures or aggressive osseous lesions are seen.  The joint surfaces are smooth and</t>
  </si>
  <si>
    <t>Radiographically normal thorax for patient of this age.  Cervical tracheal narrowing suggestive of tracheal collapse.  Radiographically normal pelvis and thoracic limbs.</t>
  </si>
  <si>
    <t xml:space="preserve">
1.A moderate bronchointerstitial pulmonary pattern detected._x000D_
2.Minimal cardiomegaly has been detected but Heart Failure is NOT suspected._x000D_
3.A minimal interstitial pulmonary pattern with a concurrent, mild perihilar infiltrate have been detected.</t>
  </si>
  <si>
    <t xml:space="preserve">Patient Name : Chato Benitez, Date of study: Jul 12, 2024
4 images are provided for review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symmetrically widened in the ventrodorsal image.  No obvious increased mediastinal soft tissue is in the lateral images.  
Trachea: The tracheal diameter to thoracic inlet ratio is approximately 0.12-0.13, which is the lower limit of normal size for english bulldog breeds..
Esophagus: The esophagus contains minimal gas or is empty.
Pleural space: A thin pleural fissure line is present between the right cranial and middle lung lobes in the ventrodorsal image.  A slight pleural fissure is suspected between the right middle and caudal lung lobes in the ventrodorsal image, but this does not obviously widen in the periphery. 
Musculoskeletal:  T10 and T11 are butterfly or wedge shaped in the and narrowed in a craniocaudal dimension.  The remaining included musculoskeletal structures are normal.
</t>
  </si>
  <si>
    <t>1. Minimal-mild diffuse bronchial pulmonary pattern.
- Differential diagnoses include infectious/immune-mediated lower airway disease such as from mycoplasma spp., bordetella spp., parasitism, or inhaled allergen/irritant, or artifact, or unlikely other.
2. Right-sided pleural fluid versus pleural folding/thickening or less likely tangential beam artifact.
3. Lower limit of normal tracheal size for breed (borderline tracheal hypoplasia).
- consider additional brachycephalic airway syndrome components contributing to reported signs (stenotic nares, laryngeal saccule eversion, etc.)
4. Suspected cranial mediastinal widening due to fat deposition, normal variation, or unlikely other.
5. Thoracic congenital vertebral anomaly.</t>
  </si>
  <si>
    <t>Consider respiratory PCR panel, airway sampling, and fecal analysis for further evaluation.  Routine bloodwork to screen for occult systemic disease may be contributory.  Sedated laryngeal examination and possible surgical intervention for brachycephalic airway syndrome depending on additional diagnostics.   Empirical therapy and supportive care in the interim as needed for cough. Monitoring as directed or sooner if clinical signs acutely change, fail to improve or worsen.</t>
  </si>
  <si>
    <t xml:space="preserve">
1.MILD BRONCHOINTERSTITIAL PULMONARY PATTERN WITH ATELECTASIS or LESS LIKELY, PNEUMONIA, MILD PERIHILAR INFILTRATE._x000D_
2.Probability these AI pulmonary findings will accompany clinically detectable respiratory signs: MILD TO MODERATE (25-50%)_x000D_
3.Are respiratory signs present? If YES._x000D_
4.Are respiratory signs present? If NO._x000D_
5.The cardiac silhouette size is normal._x000D_
6.There is no evidence of PULMONARY NODULES.</t>
  </si>
  <si>
    <t>5 images of the thorax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Cranial abdominal detail is adequate.</t>
  </si>
  <si>
    <t xml:space="preserve">
1.The evaluation has a strong suspicion of pulmonary nodules or mass lesion being present._x000D_
2.The cardiac silhouette size is normal._x000D_
3.There is no evidence of DYNAMIC AIRWAY COLLAPSE or BRONCHIECTASIS._x000D_
4.Pleural fissure lines or small volume pleural effusion has been detected. In a mildly to moderately overweight animal, excessive pericardial fat can artifactually mimic the result of mild pleural effusion._x000D_
5.A minimal interstitial pulmonary pattern with a concurrent, mild perihilar infiltrate have been detected.</t>
  </si>
  <si>
    <t>6 views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mild amount of gas.  The small bowel is normal and uniform in diameter.  The colon is empty.  The liver and spleen are normal in size, shape, and margination.  The bilateral renal silhouettes are within normal limits.  The urinary bladder is unremarkable.  Serosal detail is normal.  The visible skeletal structures are unremarkable.</t>
  </si>
  <si>
    <t>The appearance of the colon is nonspecific but consistent with a history of diarrhea.  No evidence of mechanical obstruction of the GI tract is seen.  Nonspecific gastroenterocolitis, pancreatitis, or dietary indiscretion could be considered.</t>
  </si>
  <si>
    <t>Empirical medical management appears appropriate in the short-term.  If clinical signs persist, an abdominal ultrasound to be considered.</t>
  </si>
  <si>
    <t>Three radiographs of the thorax/abdomen are provided. Images dated 3/15/23 are available for comparison. The cardiac silhouette is normal size and shape. Pulmonary vessels are normal size. There are no abnormalities in the pulmonary parenchyma. No pleural effusion. Normal tracheal diameter. In the abdomen there is no effusion. The stomach contains a moderate amount of gas, small volume amorphous soft tissue density, and a small accumulation of mineral opaque debris. Small bowel are mildly filled with fluid and scant gas. Small volume formed feces in the distal colon. Several punctate mineral densities in the intestines, similar to gastric contents. No severe intestinal distention. Normal-sized liver, spleen, kidneys. No radiopaque urolithiasis. Normal osseous structures.</t>
  </si>
  <si>
    <t>Gastric contents are unexpected with the history. If the patient has been completely anorexic for over 24 hours, this would be consistent with foreign material, although vomiting is typically present. Otherwise normal abdomen and thorax.</t>
  </si>
  <si>
    <t>Recommend repeat blood work, and a strictly fasted positive contrast gastrogram to rule in/out gastric foreign material.</t>
  </si>
  <si>
    <t xml:space="preserve">Patient Name : Rhody diminico, Date of study: Jul 12, 2024
6 images are provided for review
There are no previous radiographs for comparison.
Pulmonary parenchyma: The pulmonary parenchyma is subjectively normal.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heterogeneous soft tissue material and gas.  The stomach is normal in size.  Gas is in the pylorus in the left lateral image. Gastric rugal folds are mildly prominent.   
The small intestine contains minimal gas and mild fluid or is empty with a subjectively uniform population for size. 
The colon contains mild well-defined soft tissue material and gas. The colon is normal in size.
Bones/Joints:  The T13-L1, L1-2 intervertebral disc spaces are narrowed in the ventrodorsal image.  No obvious mineral is superimposed over the intervertebral foramina.  Apparent L6-7 narrowing in the ventrodorsal image is not corroborate in the lateral image.  
Minimal right coxofemoral joint osteoarthrosis is suspected, with a slight osteophyte at the junction of the femoral head/neck.  The left coxofemoral joint has no obvious osteoarthrosis.  There is adequate coverage of the femoral heads by the acetabulums. The patellas are medially positioned over the distomedial femurs in the craniocaudal image. 
There is no evidence of medullary sclerosis, osteolysis, endosteal scalloping, or periosteal proliferation.
Soft tissues:  A broad-based soft tissue or fat opaque nodule is in the caudoventral extra-thoracic soft tissues.  The remaining included soft tissues are normal.
</t>
  </si>
  <si>
    <t xml:space="preserve">1. Prominent gastric rugal folds from non-specific gastritis or individual variation.
2. Gastric material due to recent meal, versus gastritis/delayed gastric emptying or unlikely pyloric outflow tract obstruction.
3. There is no evidence of small intestinal mechanical ileus.
4. T13-L1  intervertebral disc disease.
5. L1-2 intervertebral disc disease.
6. Minimal right coxofemoral joint osteoarthrosis.
7. Bilateral medial patella luxation on limited stifle evaluation..
8. Caudoventral extra-thoracic soft tissue nodule versus fat opaque structure such as from lipoma or other neoplasm (malignant versus benign) or other.
9. No evidence of intra-thoracic lymphadenomegaly or soft tissue nodules.  </t>
  </si>
  <si>
    <t>Consider routine blood work and abdominal ultrasonography for further evaluation of the gastrointestinal tract given reported clinical signs.  Consider incisional/excisional biopsy of ventral extra-thoracic nodule for a definitive diagnosis.  If this is neoplasia such as mast cell tumor, consider abdominal ultrasonography for further evaluation of the liver/spleen in addition to gastrointestinal tract.  Empirical therapy and supportive care in the interim as needed.  Monitoring as directed, or sooner if clinical signs acutely change, fail to improve or worsen.</t>
  </si>
  <si>
    <t xml:space="preserve">Patient Name : Chloe Harbour, Date of study: Jul 12, 2024
3 images are provided for review
Canine Thorax (3 Images) - 2 Lateral, 1 Vd
There are no previous radiographs for comparison.
Pulmonary parenchyma: A  mild  to moderate diffuse bronchial pattern is present.  A minimal diffuse interstitial pulmonary pattern is present.    The presumed right cranial lobar bronchus fails to taper in the periphery of the lungs.  The lungs are hypoinflated in the lateral images. 
Pulmonary vasculature: The pulmonary vasculature is subjectively normal in size and tapers in the periphery of the lungs.
Cardiac silhouette: The cardiac silhouette is tall and occupies 2/3 the height of the thorax.  The caudodorsal margin of the cardiac silhouette is slightly flattened.  The cardiac silhouette is slightly rounded in the area of the right heart in the ventrodorsal image.  
Mediastinum: The cranial mediastinum is normal.
Trachea: The trachea is normal.
Esophagus: The esophagus is not well-identified.
Pleural space: The pleural space is normal.
Musculoskeletal: The included musculoskeletal structures are normal.
</t>
  </si>
  <si>
    <t xml:space="preserve">1. Moderate diffuse bronchial pulmonary pattern and minimal interstitial pulmonary pattern.
- Differential diagnoses include infectious/immune-mediated lower airway disease such as from mycoplasma spp., bordetella spp., parasitism, or unlikely other, versus inhaled allergen/irritant, or a combination of these.
2. Suspected right cranial lobar columnar bronchiectasis and suspected dynamic airway disease/chondromalacia.
3. Mild generalized cardiomegaly.
- Differential diagnoses include tricuspid valvular disease, cor pulmonale/pulmonary hypertension, myxomatous mitral valvular disease, or unlikely other.
- There is no current evidence of left-sided congestive heart failure.  
</t>
  </si>
  <si>
    <t>Consider respiratory PCR panel, airway sampling, and fecal analysis/deworming for further evaluation.  Tracheoscopy/bronchoscopy/fluoroscopy and computed tomography of the thorax may be beneficial for further evaluation of bronchiectasis and suspected lower airway disease.  Echocardiography, eCG, blood pressure and routine blood work if not recently performed prior to advanced imaging. Empirical therapy and supportive care in the interim as needed for suspected chronic lower airway disease.  .  Monitoring as directed or sooner if clinical signs acutely change, fail to improve or worsen.</t>
  </si>
  <si>
    <t xml:space="preserve">
1.Are respiratory signs present? If YES._x000D_
2.Are respiratory signs present? If NO._x000D_
3.A minimal perihilar infiltrate has been detected._x000D_
4.Pleural fissure lines or small volume pleural effusion has been detected. In a mildly overweight animal, excessive pericardial fat can artifactually mimic the result of minimal pleural effusion._x000D_
5.Moderate cardiomegaly has been detected but Heart Failure is NOT suspected._x000D_
6.MODERATE BRONCHOINTERSTITIAL PULMONARY PATTERN; MODERATE DYNAMIC AIRWAY DISEASE; MODERATE ALVEOLAR INFILTRATE or ATELECTASIS._x000D_
7.Based on these AI airway/pulmonary findings, the probability of this patient having clinically detectable respiratory signs is HIGH (75%)</t>
  </si>
  <si>
    <t xml:space="preserve">Patient Name : Icy Kirova, Date of study: Jul 12, 2024
3 images are provided for review
There are no previous radiographs for comparison.  Ungloved human digits primary beam.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Thin pleural fissure lines that do not widen in the periphery of the lung are present between the right cranial/middle and right middle/caudal lung lobes.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heterogeneous soft tissue material and gas.    Minimal granular mineral is admixed with gastric material.  
The small intestine contains mild to moderate gas and fluid or is empty with a subjectively uniform population for size. 
The colon contains mild to moderate heterogeneous soft tissue material and gas.
Musculoskeletal: The included musculoskeletal structures are normal.
</t>
  </si>
  <si>
    <t xml:space="preserve">1. Minimal diffuse bronchial pulmonary pattern such as from fibrosis from prior disease, age-related changes, artifact, or infectious/immune-mediated lower airway disease (mycoplasma spp. bordetella spp., lung worms/parasitism or inhaled allergen/irritant) or unlikely other.
2. Minimal pleural fissure lines due to tangential beam artifact, pleural thickening/folding or unlikely other.
3. Gastric material with minimal granular mineral such as from recent meal versus gastritis/delayed gastric emptying or less likely pyloric outflow tract obstruction given lack of vomiting in reported clinical signs.
4. Non-specific small intestinal appearance due to variation of normal/passing ingesta and/or enteritis/functional ileus.
- There is no evidence of small intestinal mechanical ileus.  </t>
  </si>
  <si>
    <t>Consider empirical therapy and supportive care for cough in the interim.  This examination does not rule out occult dynamic airway disease.  Respiratory PCR panel, bronchoscopy/tracheoscopy, airway sampling and fecal analysis/deworming may be contributory.  Routine blood work to screen for occult systemic disease. Monitoring as directed, or sooner if clinical signs acutely change, fail to improve or worsen.</t>
  </si>
  <si>
    <t>3 views of the neck and thorax are submitted for review.  No definitive abnormalities noted in the cervical spine.  The ventral cervical soft tissues are within normal limits.  The cardiac silhouette and pulmonary vasculature are normal.  Mild to moderate bronchointerstitial markings are noted throughout the lung fields.  Multifocal punctate mineral foci consistent with pulmonary osteomas are also noted in the lung fields.  The visible cranial abdomen is unremarkable.  No significant osseous abnormalities are seen.</t>
  </si>
  <si>
    <t>The appearance of the lung fields is most consistent with chronic inflammatory airway disease and incidental age-related change.  Occult cervical intervertebral disc disease or other soft tissue injury is not excluded as a cause of the presenting clinical signs.</t>
  </si>
  <si>
    <t>Symptomatic medical management may be helpful in the short-term.</t>
  </si>
  <si>
    <t xml:space="preserve">
1.A mild perihilar infiltrate and more diffuse, minimal interstitial pulmonary pattern have been detected._x000D_
2.The cardiac silhouette size is normal._x000D_
3.There is no evidence of DYNAMIC AIRWAY COLLAPSE or BRONCHIECTASIS.</t>
  </si>
  <si>
    <t xml:space="preserve">Patient Name : Milo Alqaruiti, Date of study: Jul 12, 2024
4 images are provided for review
There are no previous radiographs for comparison.
Pulmonary parenchyma: A moderate focal alveolar pattern is suspected in the ventral periphery of the right middle lung lobe in the left lateral image.  In the ventrodorsal image, mild to moderate alveolar and interstitial soft tissue is present in the right cranial and middle lung lobes.  Mild alveolar pattern is over the caudal lung lobes in the right lateral image, but this is not corroborated in the left lungs in the ventrodorsal image. A moderate diffuse bronchial pattern is present.  
Pulmonary vasculature: The pulmonary vasculature is subjectively normal in size and tapers in the periphery of the lungs.
Cardiac silhouette: The cardiac silhouette is normal in size and shape.
Mediastinum: A rightward mediastinal shift is present in the ventrodorsal image.  The cranial mediastinum is normal.
Trachea: The trachea is normal.
Esophagus: The esophagus contains minimal gas or is empty.  
Pleural space: The pleural space is normal.
Musculoskeletal: T5-6 spondylosis deformans is present.  The remaining included musculoskeletal structures are normal.
</t>
  </si>
  <si>
    <t xml:space="preserve">1. Right middle and cranial lung lobe and possibly left cranial lung lobe caudal subsegment alveolar patterns.
- The primary differential diagnosis is bronchopneumonia/aspiration pneumonia.  
2.  Moderate diffuse bronchial pulmonary pattern.
- Differential diagnoses include infectious/immune-mediated lower airway disease such as from mycoplasma spp., bordetella spp., parasitism, or unlikely other, and pneumonitis such as from atypical inhaled allergen/irritant, or unlikely other.
3. Rightward mediastinal shift due to recumbency and/or lung-volume loss from chronic pneumonia, or unlikely other.
- This likely exacerbates appearance of alveolar patterns in the right lungs.  </t>
  </si>
  <si>
    <t>Consider airway sampling, respiratory PCR panel, and fecal analysis for further evaluation.  Empirical therapy and supportive care for suspected bronchopneumonia and lower airway disease in the interim as needed.   Routine blood work and abdominal imaging to screen for occult systemic disease may be contributory.  Consider therapy for 1-2 weeks past radiographic resolution of alveolar patterns.   Monitoring as directed or sooner if clinical signs acutely change, fail to improve or worsen in the face of empirical therapy.</t>
  </si>
  <si>
    <t xml:space="preserve">
1.SEVERE ALVEOLAR INFILTRATE; MILD BRONCHOINTERSTITIAL PATTERN._x000D_
2.Based on the AI airway/pulmonary findings, the probability of this patient having clinically detectable respiratory signs is VERY HIGH (&gt;75%)_x000D_
3.Are respiratory signs present? If YES._x000D_
4.AI linked canine pneumonia treatment: https://platform.v2.vetology.net/doc/pneumonia-in-dogs-and-cats_x000D_
5.Are respiratory signs present? If NO._x000D_
6.Pleural fissure lines or moderate pleural effusion has been detected. An overlying skin fold or in a moderately overweight animal, excessive pericardial fat could artifactually mimic the result of moderate pleural effusion._x000D_
7.The evaluation has come up positive for a pulmonary nodular pattern._x000D_
8.The cardiac silhouette size is normal._x000D_
9.There is no evidence of DYNAMIC AIRWAY COLLAPSE or BRONCHIECTASIS.</t>
  </si>
  <si>
    <t xml:space="preserve">Patient Name : Zoya Rice, Date of study: Jul 12, 2024
5 images are provided for review
There are no previous radiographs for comparison.
Pulmonary parenchyma: A minimal to mild diffuse bronchial pattern is present.  The lungs are variably hypoinflated in the lateral images.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In the initial right lateral image, a broad-based soft tissue nodule arises from the mid-ventral extra-thoracic soft tissues.  The remaining included musculoskeletal structures are normal.
</t>
  </si>
  <si>
    <t>1. Minimal-mild diffuse bronchial pulmonary pattern.
- Differential diagnoses include infectious/immune-mediated lower airway disease such as from mycoplasma spp., bordetella spp., parasitism, or inhaled allergen/irritant.
2. No evidence of pulmonary soft tissue nodules or intra-thoracic lymphadenomegaly.  
3. Ventral extra-thoracic soft tissue nodule such as from reported possible neoplasia (mast cell tumor) versus other.</t>
  </si>
  <si>
    <t>Consider excisional biopsy of reported cutaneous nodule, with/without computed tomography for pre-surgical planning.  Abdominal imaging and hepatic/splenic tissue sampling, especially if mast cell tumor grade 2 or above is confirmed.  Oncologist consultation may be contributory.  Empirical therapy and supportive care in the interim as needed. Monitoring as directed or sooner if clinical signs acutely change, fail to improve or worsen.</t>
  </si>
  <si>
    <t>Four radiographs of the proximal thoracic limbs are provided. There is poorly delineated severe soft tissue thickening caudal to the left elbow. There is no radiopaque foreign material, gas within the swelling. No adjacent osseous lysis or periosteal proliferation. The left cubital joint and both shoulder joints are congruent. Cortical and medullary opacities are uniform. The viewable thorax is unremarkable.</t>
  </si>
  <si>
    <t>Severe soft tissue swelling caudal to the left elbow, of uncertain etiology. A small puncture wound with cellulitis/edema is most likely. Abscess formation is not ruled out. There is no evidence of osseous involvement. No other thoracic limb abnormalities.</t>
  </si>
  <si>
    <t>Fine-needle aspirates of the swelling is recommended for a definitive diagnosis.</t>
  </si>
  <si>
    <t xml:space="preserve">
1.MODERATE INTERSTITIAL TO ALVEOLAR PATTERN; MILD BRONCHITIS._x000D_
2.Based on the AI airway/pulmonary findings, the probability of this patient having clinically detectable respiratory signs is MEDIUM to HIGH (50-75%)_x000D_
3.Are respiratory signs present? If YES._x000D_
4.Are respiratory signs present? If NO._x000D_
5.The cardiac silhouette size is normal._x000D_
6.There is no evidence of DYNAMIC AIRWAY COLLAPSE or BRONCHIECTASIS or PULMONARY NODULES._x000D_
7.Pleural fissure lines or small volume pleural effusion has been detected. In a mildly overweight animal, excessive pericardial fat can artifactually mimic the result of minimal pleural effusion.</t>
  </si>
  <si>
    <t xml:space="preserve">Patient Name : WRIGLEY Eichhorn, Date of study: Jul 12, 2024
3 images are provided for review
Canine Thorax (3 Images) - 2 Lateral, 1 Vd
Previous images dated [07/05/2024 Case#2703525] are available for comparison.
Pulmonary parenchyma: A mild diffuse bronchial pattern is present.  This is improved compared to prior.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</si>
  <si>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Mild diffuse bronchial pulmonary pattern.
- Differential diagnoses include infectious/immune-mediated lower airway disease such as from mycoplasma spp., bordetella spp., parasitism, or inhaled allergen/irritant, fibrosis from prior disease, ag-related changes, or unlikely other.
2. No obvious evidence of current alveolar pulmonary pattern.  </t>
  </si>
  <si>
    <t>Consider respiratory PCR panel, airway sampling, and fecal analysis/empirical deworming for further evaluation.  Empirical therapy and supportive care in the interim as needed for cough and possible resolving pneumonia given reported history. Monitoring as directed or sooner if clinical signs acutely change, fail to improve or worsen.
(amended on 07/12/2024 11:59)
Consider abdominal imaging and urinalysis if clinically indicated.</t>
  </si>
  <si>
    <t>Orthogonal radiographs of the thorax, and five views of the abdomen are provided. The cardiac silhouette is normal size and shape. The lungs are clear. There is no pleural effusion. Normal tracheal diameter and cranial mediastinal width._x000D_
_x000D_
In the abdomen there is small volume formed feces filling the colon. Small bowel are diffusely mildly fluid filled. There is small volume gas in the stomach, and transiently in the proximal duodenum. No radiopaque gastrointestinal foreign material or severe intestinal distention. Normal-sized liver, spleen, kidneys. The urinary bladder is mild to moderately filled and soft tissue opaque. The prostate is mildly enlarged, consistent with the reproductive status of this patient.</t>
  </si>
  <si>
    <t>Normal thorax and abdomen. A reason for intermittent vomiting is not identified. Gastroenteritis secondary to dietary indiscretion is most likely. Small radiolucent gastric foreign material causing gastritis and pyloric outflow obstruction is not definitively ruled out. There is no evidence of an obstructive process.</t>
  </si>
  <si>
    <t>Consider a positive contrast gastrogram to rule out gastric foreign material. Strictly fasted abdominal ultrasound is another option, as long as there is minimal gas in the stomach at the time of imaging.</t>
  </si>
  <si>
    <t>Three radiographs of the thorax are provided. Images dated March 25, 2021 are available for comparison. There is moderate left-sided cardiomegaly. Mild rounding of the right heart. The mainstem bronchi are dorsally deviated and compressed. Pulmonary vessels are normal size. There is no loss of perihilar vessel visibility. Severe narrowed caudal cervical and thoracic trachea on the right lateral view, with moderate narrowed cervical trachea on the left lateral projection. No pleural effusion.</t>
  </si>
  <si>
    <t>Progressive chronic valvular disease, with moderate, predominantly left-sided cardiomegaly today. This is consistent with acquired mitral and tricuspid valve disease. There is no pulmonary venous congestion, however there is mainstem bronchial compression caused by the cardiomegaly. Concurrent dynamic tracheal collapse.</t>
  </si>
  <si>
    <t>An echocardiogram is recommended to help guide treatment. Also recommend utilization of a body harness in place of a neck lead.</t>
  </si>
  <si>
    <t xml:space="preserve">
1.MINIMAL to MILD BRONCHOINTERSTITIAL PULMONARY PATTERN; MILD DYNAMIC AIRWAY DISEASE; FOCAL ATELECTASIS, or less likely, ALVEOLAR INFILTRATE._x000D_
2.MINIMAL to MILD BRONCHOINTERSTITIAL PULMONARY PATTERN; MILD DYNAMIC AIRWAY DISEASE; MILD PERIHILAR INFILTRATE._x000D_
3.MILD DYNAMIC AIRWAY DISEASE; MINIMAL INTERSTITIAL TO ALVEOLAR PATTERN; MILD PERIHILAR INFILTRATE._x000D_
4.MILD BRONCHOINTERSTITIAL PATTERN; MILD PERIHILAR INFILTRATE._x000D_
5.Based on these AI airway/pulmonary findings, the probability of this patient having clinically detectable respiratory signs is LOW to MEDIUM (25-50%)_x000D_
6.Based on the AI airway/pulmonary findings, the probability of this patient having clinically detectable respiratory signs is LOW to MEDIUM (25%-50%)_x000D_
7.Based on these AI airway/pulmonary findings, the probability of this patient having clinically detectable resspiratory signs is LOW (25%)_x000D_
8.Based on the AI airway/pulmonary findings, the probability of this patient having clinically detectable respiratory signs is LOW to MEDIUM (25-50%)_x000D_
9.Are respiratory signs present? If YES._x000D_
10.Are respiratory signs present? If YES._x000D_
11.Are respiratory signs present? If YES._x000D_
12.Are respiratory signs present? If YES._x000D_
13.Are respiratory signs present? If NO._x000D_
14.Are respiratory signs present? If NO._x000D_
15.Are respiratory signs present? If NO._x000D_
16.Are respiratory signs present? If NO._x000D_
17.Severe cardiomegaly has been detected but Heart Failure is NOT suspected.</t>
  </si>
  <si>
    <t>Five radiographs of the thorax are provided. The cardiac silhouette is normal size and shape. Pulmonary vessels are normal size. There is a mild bronchial pattern throughout the lungs. No soft tissue pulmonary nodules or pleural effusion. The esophagus is diffusely gas dilated on all views. Normal tracheal diameter and position. Normal cranial abdomen.</t>
  </si>
  <si>
    <t>Megaesophagus. Differentials include esophagitis, myasthenia gravis, endocrinopathy (hypothyroidism, hypoadrenocorticism, idiopathic etiology. There is no evidence of aspiration pneumonia. The mild bronchial pattern it may be normal aging change versus chronic airway inflammation such as allergic bronchitis.</t>
  </si>
  <si>
    <t>Consider symptomatic treatment for the cough and supportive care for potential esophagitis. If esophageal dilation is persistent on follow-up imaging, additional workup for megaesophagus would be recommended.</t>
  </si>
  <si>
    <t xml:space="preserve">
1.PULMONARY NODULES or NODULAR PATTERN; PLEURAL EFFUSION or PLEURAL FISSURE LINES; SEVERE INTERSTITIAL TO ALVEOLAR PATTERN; MODERATE BRONCHIAL PATTERN; DYNAMIC AIRWAY DISEASE._x000D_
2.Based on the AI airway/pulmonary findings, the probability of this patient having clinically detectable respiratory signs is VERY HIGH (&gt;75%)_x000D_
3.In older dogs, a pulmonary mass or pulmonary nodules, pulmonary hemorrhage, pleural effusion or PTE are primary considerations._x000D_
4.In the ABSENCE of respiratory signs, lung lobe collapse or severe atelectasis secondary to anesthesia or deep sedation could artifactually create this appearance._x000D_
5.If this AI evaluation is inconsistent with your assessment or the clinical picture, a Vetology AI overread may be beneficial._x000D_
6.The evaluation has detected soft tissue pulmonary nodules and pleural fluid._x000D_
7.Mild cardiomegaly has been detected but Heart Failure is NOT suspected.</t>
  </si>
  <si>
    <t xml:space="preserve">Patient Name : Zeus Berdac, Date of study: Jul 11, 2024
10 images are provided for review
There are no previous radiographs for comparison.
Bones/Joints:  Multifocal thoracolumbar spondylosis deformans is present.   This is most severe at T13-L1, L1-2, L2-3 and L7-S1.  The L7-S1 intervertebral disc space is severely narrowed.  Mineral is superimposed over the L7-S1 intervertebral foramina.  
There is no evidence of intervertebral dorsal articulation osteoarthrosis.
There is no evidence of medullary sclerosis, osteolysis, endosteal scalloping, or periosteal proliferation.
Soft tissues:  The included soft tissues are normal.
</t>
  </si>
  <si>
    <t>1. Severe L7-S1 intervertebral disc disease and mineral of the intervertebral foramina due to herniated mineralized disc material or unlikely other.
2. Multifocal thoracolumbar spondylosis deformans.</t>
  </si>
  <si>
    <t>Consider neurologist consultation and MRI for further evaluation of L7-S1 and intervertebral disc disease/cauda equina syndrome contributing to the reported clinical signs.  Routine blood work and thoracic imaging to screen for occult systemic disease if not recently performed. Empirical therapy and supportive care in the interim as needed.  Monitoring as directed or sooner if clinical signs acutely change, fail to improve or worsen.
(amended on 07/12/2024 11:10)
Consider focused evaluation of reported digital mass and work-up for possible aggressive neoplasm prior to advanced imaging for L7-S1 intervertebral disc disease.</t>
  </si>
  <si>
    <t xml:space="preserve">Patient Name : Chewy Chambers, Date of study: Jul 11, 2024
8 images are provided for review
There are no previous radiographs for comparison.
Liver: The liver is subjectively normal in size with a sharp, well-defined caudoventral margin that terminates cranial to the 13th ribs.
Spleen: The spleen is normal in size with smooth margins and homogeneous soft tissue.
Kidneys: Left-sided nephroliths are suspected.  The kidneys are subjectively normal in size.
Retroperitoneum: Retroperitoneal detail is adequate.
Urogenital: The urinary bladder is normal in size, homogeneous soft tissue, and smoothly marginated.
Peritoneum: Peritoneal detail is adequate.
Gastrointestinal tract: The stomach contains a mild fluid or is empty.  The stomach is within normal limits for size.
The small intestine contains mild gas, fluid or is empty with a subjectively uniform population for size. 
The colon contains mild heterogeneous soft tissue material and gas.
Bones/Joints:
Mild bilateral coxofemoral joints osteoarthrosis is present. This is characterized by osteophytes at the craniodorsal acetabular rims.    There is subjectively adequate coverage of the femoral heads by the acetabulums.
Mild left stifle osteoarthrosis is present, with osteophytes at the femoral trochlear ridges lateral tibial condyle and fabellae.  The left infrapatellar fat pad is obscured by superimposed normal structures. The included left tarsus, metatarsus and digits are normal.
Mild right stifle osteoarthrosis is present, with osteophytes at the lateral tibial condyle and lateral fabella. The right infrapatellar fat pad is obscured by superimposed normal structures. The included right tarsus, metatarsus and digits are normal.  
Mild right elbow osteoarthrosis is suspected with osteophytes suspected at the radial head and medial coronoid. The right shoulder is normal.  Minimal osteophyte production is suspected at the distomedial margin of the radius and medial margin of the radial carpal bone. The included right metacarpus and digits are normal.
Minimal left elbow osteoarthrosis is suspected with osteophytes suspected at the medial coronoid. The left shoulder is normal.  Minimal osteophyte production is suspected at the distomedial margin of the radius and medial margin of the radial carpal bone. The included left metacarpus and digits are normal. 
There is no evidence of medullary sclerosis, osteolysis, endosteal scalloping, or periosteal proliferation.
Soft tissues:  The right antebrachial soft tissues are moderately circumferentially enlarged compared to the left.  The remaining included soft tissues are normal.
</t>
  </si>
  <si>
    <t xml:space="preserve">1.  Right antebrachial soft tissue swelling such as from strain/sprain injury or less likely other.
- This is consistent with reported recent trauma.
- No obvious right antebrachial fractures are identified.  
2. Mild right elbow osteoarthrosis is suspected.
3. Minimal right antebrachiocarpal joint osteoarthrosis is suspected.
4. Mild right stifle joint osteoarthrosis.
5. Mild bilateral coxofemoral joint osteoarthrosis.
6. Minimal left elbow osteoarthrosis is suspected.
7. Minimal left antebrachiocarpal joint osteoarthrosis is suspected.
8. Mild left stifle joint osteoarthrosis.
9. Suspected left-sided nephroliths.
10. no obvious hepatomegaly is identified.  </t>
  </si>
  <si>
    <t>Consider routine blood work and urine cortisol:creatine ratio to rule-out underlying hyperadrenocorticism and screen for systemic disease if not recently performed.  Abdominal ultrasonography may also be beneficial for further evaluation of the liver and adrenal glands.  Empirical therapy and supportive care as needed in the interim for suspected acute soft tissue injury to the right antebrachium.  Repeat radiographs if clinical signs of right thoracic limb lameness fail to improve or worsen.</t>
  </si>
  <si>
    <t xml:space="preserve">
1.Based on these AI airway/pulmonary findings, the probability of this patient having clinically detectable respiratory signs is LOW to MEDIUM (25-50%)_x000D_
2.Are respiratory signs present? If YES._x000D_
3.MILD BRONCHIAL PATTERN; MILD DYNAMIC AIRWAY DISEASE._x000D_
4.Are respiratory signs present? If NO._x000D_
5.The cardiac silhouette size is normal._x000D_
6.There is no evidence of ALVEOLAR PATTERN, PERIHILAR INFILTRATE, PULMONARY NODULES or PLEURAL EFFUSION.</t>
  </si>
  <si>
    <t>7 images of the thorax and abdomen are provided for review.  The trachea is dorsally deviated, indicating left ventricular enlargement.  A bulge is present in the region of the left atrium.  The cardiac silhouette is also the right ventricular margin.  The trachea is variable in diameter.  No pulmonary infiltrates are seen.  The pulmonary vasculature is normal in size.  The mediastinal and pleural structures are normal.  Abdominal serosal detail is adequate in all quadrants.  The stomach contains a moderate amount of gas.  The small intestines are normal in size.  Gas and feces are present in the colon.  The urinary bladder contains multiple variably sized rounded mineral structures.  A subsequent image shows gas in the subcutaneous tissues and no cystic calculi.  Rounded mineral structures are seen superimposed over the caudal portion pelvis on the postoperative image.  The remaining abdominal organs are normal.</t>
  </si>
  <si>
    <t>Cystic calculi with subsequent removal.  Urethral calculi on the postoperative image.  Generalized cardiomegaly without current evidence of cardiogenic pulmonary edema.  Variable tracheal diameter consistent with dynamic tracheal collapse.</t>
  </si>
  <si>
    <t xml:space="preserve">
1.SEVERE DYNAMIC AIRWAY DISEASE; MILD to MODERATE INTERSTITIAL to ALVEOLAR INFILTRATE._x000D_
2.Based on these AI airway/pulmonary findings, the probability of this patient having clinically detectable respiratory signs is MEDIUM to HIGH (50%-75%)_x000D_
3.Are respiratory signs present? If YES._x000D_
4.Are respiratory signs present? If NO._x000D_
5.Pleural fissure lines or small volume pleural effusion has been detected. In a mildly to moderately overweight animal, excessive pericardial fat can artifactually mimic the result of mild pleural effusion._x000D_
6.Severe cardiomegaly has been detected but Heart Failure is NOT suspected.</t>
  </si>
  <si>
    <t>THORAX (3 total radiographs for review).  Compared to previous examination dated 04/01/2024._x000D_
_x000D_
- The cardiac silhouette and pulmonary vasculature are normal._x000D_
- The pulmonary parenchyma is normal_x000D_
- The trachea, esophagus and remainder of the mediastinum are normal._x000D_
- The pleural space and remaining intrathoracic structures are normal._x000D_
- Similar metallic shrapnel/pellet in the right cranioventral peritoneal cavity._x000D_
- The included MSK structures are normal</t>
  </si>
  <si>
    <t>1. Unchanged normal thorax.  There is no radiographic evidence of cardiopulmonary disease.  Given the reported cardiac murmur, an echocardiogram may still be considered regardless._x000D_
_x000D_
2.  Similar, small, ballistic shrapnel in the right cranio-ventral peritoneal tissues.</t>
  </si>
  <si>
    <t>Opposite lateral and VD thorax views are provided for interpretation and comparison to the previous study dated 6-27-24._x000D_
_x000D_
There is a mild bronchial pattern. The appearance is similar to the previous radiographs. No alveolar infiltrates or pleural effusion are identified. No thoracic lymphadenopathy is seen. The trachea is unremarkable. The cardiovascular structures are within normal limits.</t>
  </si>
  <si>
    <t>The mild bronchial pattern is compatible with bronchitis, and similar to the previous radiographs. Allergic bronchitis or parasitic infection such as lungworms would be primary differentials considering the limited response to antibiotics so far. Fungal pneumonia should also be ruled out.</t>
  </si>
  <si>
    <t>Bronchoscopy or BAL/TTW should be considered to assist definitive diagnosis if the pending fungal titers are negative.</t>
  </si>
  <si>
    <t xml:space="preserve">
1.A mild bronchointerstitial pulmonary pattern and minimal dynamic airway disease have been detected._x000D_
2.Minimal dynamic airway disease has been detected._x000D_
3.Pleural fissure lines or small volume pleural effusion has been detected. In a mildly overweight animal, excessive pericardial fat can artifactually mimic the result of minimal pleural effusion._x000D_
4.The cardiac silhouette size is normal.</t>
  </si>
  <si>
    <t>Abdomen: There is a heterogeneous soft tissue opacity associated with the gastric lumen.  There is no evidence of a small intestinal foreign body or obstruction.  The liver and spleen are unremarkable.  There are no abnormalities involving the visible portions of the urinary tract.  Serosal detail is normal.  There are no significant abnormalities involving the visible portions of the thorax.</t>
  </si>
  <si>
    <t>The appearance of the gastric lumen may represent normal ingesta, foreign material, or possible gas outlining thickened rugal folds.</t>
  </si>
  <si>
    <t>Orthogonal views of the thorax and abdomen are provided:_x000D_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empty._x000D_
In the cranioventral abdomen there are some abnormally gas distended bowell loops, too ventral for the normal location of the colon. The rest of the small intestines are mildly gas and fluid filled. Colon is filled with fluid. _x000D_
Serosal detail is decreased._x000D_
Liver and spleen are within normal limits of size and smoothly marginated._x000D_
Kidneys and urinary bladder WNL.</t>
  </si>
  <si>
    <t>1) Unremarkable thorax without signs of pulmonary metastases nor signs of thoracic lymphadenopathy._x000D_
2) Changes in the small intestines concerning for a mechanical ileus. Given the age and history of the patient, main rule out is a neoplasm. Rule out scant effusion vs poor serosal detail due to a thin body condition.</t>
  </si>
  <si>
    <t>Consider abdominal US to further evaluate causes of vomition/regurgitation, weight loss and anemia.</t>
  </si>
  <si>
    <t>Study:_x000D_
Thoracic and abdominal radiography: six images dated July 11, 2024_x000D_
_x000D_
Findings:_x000D_
The cardiac silhouette is small. The pulmonary vascular also appears reduced in size. There is mild narrowing the caudal vena cava. There is there is mild to moderate patchy alveolar disease in the right cranial lung lobe, right middle lung lobe in both segments of the left cranial lung lobe. Best seen on the left lateral projection, there is a 6 cm round soft tissue opaque mass in the cranial mediastinum. The pleural space is normal. The trachea is normal in diameter. There is severe dilation of the esophagus. A moderate amount of granular mineral material is also present in the stomach. There is gas distention of the stomach. There is craniodorsal rotation of the pylorus which is separated from the fundic portion of the stomach by a soft tissue opaque band. The small intestines are gas and fluid-filled and normal in size and course. The colon contains gas with a normal diameter. The liver extends mildly beyond the costal arch with smooth and sharp margins. The spleen is prominent and curled in the left mid abdomen. The renal silhouettes are normal in size and contour. The urinary bladder is normal in size and opacity. There is severe spondylosis deformans from T 13 to L4 and at L7-S1.</t>
  </si>
  <si>
    <t>1. Gastric dilation and volvulus. Exploratory laparotomy is recommended._x000D_
2. The curling and enlargement of the spleen may indicate concurrent splenic torsion or may be secondary to congestion._x000D_
3. The multifocal alveolar pattern likely indicates pneumonia. Recommend empiric antibiotic therapy with repeat radiography in 10 to 14 days to monitor for response to treatment._x000D_
4. Megaesophagus versus aerophagia._x000D_
5. The microcardia, reduced size of the pulmonary vasculature and narrowing of the caudal vena cava are suggestive of dehydration/hypovolemia.
(amended on 07/11/2024 22:44)
Addendum for additional conclusion:_x000D_
_x000D_
6. Cranial mediastinal mass. Rule out thymoma, thymic lymphoma (reactive or neoplastic cranial mediastinal lymphadenopathy) or ectopic thyroid carcinoma. Thoracic sonography and tissue sampling can be considered for further evaluation.</t>
  </si>
  <si>
    <t xml:space="preserve">
1.MODERATE INTERSITIAL TO ALVEOLAR PATTERN; MILD PERIHILAR INFILTRATE._x000D_
2.Based on these AI airway/pulmonary findings, the probability of this patient having clinically detectable respiratory signs is MEDIUM (50%)._x000D_
3.Are respiratory signs present? If YES._x000D_
4.AI linked bacterial pneumonia treatment in dogs: https://platform.v2.vetology.net/doc/pneumonia-in-dogs-and-cats_x000D_
5.Are respiratory signs present? If NO._x000D_
6.The cardiac silhouette size is normal._x000D_
7.There is no evidence of DYNAMIC AIRWAY COLLAPSE or BRONCHIECTASIS._x000D_
8.The evaluation has come up positive for a pulmonary nodular pattern._x000D_
9.Pleural fissure lines or small volume pleural effusion has been detected. In a mildly to moderately overweight animal, excessive pericardial fat can artifactually mimic the result of mild pleural effusion.</t>
  </si>
  <si>
    <t>Study:_x000D_
Thoracic/abdominal radiography: three images dated July 11, 2024_x000D_
_x000D_
Findings:_x000D_
The cardiac silhouette is normal in size and shape. The pulmonary vasculature is normal in size The pulmonary parenchyma is unremarkable. The pleural space is normal. There is no intrathoracic lymphadenopathy. The larynx is normal. There is a broad-based soft tissue opaque band superimposed with the dorsal aspect of the trachea lumen at the thoracic inlet on the left lateral view representing other redundant dorsal tracheal membrane or superimposition of the esophagus. The trachea is normal in diameter and course.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 osseous structures are unremarkable._x000D_
_x000D_
Human digits are present inside and just outside the primary beam on the right lateral view.</t>
  </si>
  <si>
    <t>1. Normal thorax. There is no radiographic evidence of heart disease. Consider echocardiography and ECG for further evaluation of the reported syncopal episodes._x000D_
2. Normal diameter of the trachea does not exclude the possibility of dynamic airway disease. Fluoroscopy can be considered to further evaluate for possible tracheal collapse._x000D_
3. Normal abdomen.</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</si>
  <si>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(old rib fracture in the right 7th rib) within normal limits._x000D_
_x000D_
Abdomen:_x000D_
_x000D_
The stomach is filled with food._x000D_
Small intestines are mildly gas and fluid filled, not overtly distended. No signs of mechanical ileus._x000D_
Serosal detail is preserved._x000D_
Liver extends beyond the costal arch with sharp margins._x000D_
Spleen is within normal limits of size and smoothly marginated._x000D_
Kidneys and urinary bladder WNL._x000D_
_x000D_
Visible spine is unremarkable without signs of disc herniation, aggressive bone lesions, vertebral fractures or subluxations._x000D_
Unremarkable pelvis.</t>
  </si>
  <si>
    <t>Consider abdominal US to further evaluate the liver._x000D_
Consider a neuro exam with MRI if necessary: if negative, consider an orthopedic exam under sedation.</t>
  </si>
  <si>
    <t xml:space="preserve">
1.MODERATE ALVEOLAR PATTERN; CONCURRENT MILD BRONCHOINTERSTITIAL PATTERN; MILD DYNAMIC AIRWAY DISEASE._x000D_
2.Based on the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PULMONARY NODULES or PLEURAL EFFUSION.</t>
  </si>
  <si>
    <t>WHOLE-BODY (3 total radiographs for review).  Compared to previous examination from 2023._x000D_
_x000D_
- Peritoneal serosal detail is normal._x000D_
- The liver is mildly enlarged, with rounded margins._x000D_
- The stomach contains moderate, mixed, irregular and gas-stippled soft-tissue opaque material_x000D_
- The small intestine contains mild multifocal gas and soft-tissue opaque material_x000D_
- The colon contains gas, soft-tissue/fluid and minimal formed fecal material._x000D_
- The spleen, region of the kidneys and urinary bladder are normal._x000D_
- The cardiac silhouette and pulmonary vasculature are normal._x000D_
- The pulmonary parenchyma is normal_x000D_
- The trachea, esophagus and remainder of the mediastinum are normal._x000D_
- The pleural space and remaining intrathoracic structures are normal._x000D_
- No musculoskeletal abnormalities are noted.</t>
  </si>
  <si>
    <t>1. Moderate gastric material may be food, foreign material or a combination of both. There is irregular material visualized that suggests at least some of the gastric contents may be from dietary indiscretion. You may consider fasting (12-24h) and rechecking the abdominal radiographs to evaluate the appearance of the material in the stomach over time._x000D_
_x000D_
2. Mild hepatomegaly. Most likely vacuolar (metabolic) hepatopathy. Hepatic congestion, hepatitis or neoplasia are less likely, but possible._x000D_
_x000D_
3. Normal thorax.</t>
  </si>
  <si>
    <t xml:space="preserve">
1.MINIMAL to MILD DIFFUSE, MIXED BRONCHOINTERSTITIAL PULMONARY PATTERN with ATELECTASIS or less likely, pneumonia._x000D_
2.Probability these AI pulmonary findings will accompany clinically detectable respiratory signs: LOW (25%)_x000D_
3.Are respiratory signs present? If YES._x000D_
4.Are respiratory signs present? If NO._x000D_
5.There is no evidence of DYNAMIC AIRWAY COLLAPSE or BRONCHIECTASIS, PULMONARY NODULES or PLEURAL EFFUSION._x000D_
6.Minimal cardiomegaly has been detected but Heart Failure is NOT suspected.</t>
  </si>
  <si>
    <t>Study:_x000D_
Thoracic radiography: three images dated July 11, 2024_x000D_
The lateral projection of the abdomen is also present in the study._x000D_
_x000D_
Findings:_x000D_
Evaluation of both the thorax and abdomen are limited by the lack of orthogonal views. The cardiac silhouette is moderately enlarged appearing tall and wide. There is mild bilateral pleural effusion. There is a diffuse bronchointerstitial pulmonary pattern. No pulmonary nodules or masses are identified. There is no apparent intrathoracic lymphadenopathy. The trachea is normal in diameter. There is a mild to moderate amount of peritoneal effusion. The stomach contains a small volume of gas. The small intestines are normal in size, course and content. The colon contains formed fecal material. The liver is severely enlarged with smooth and rounded margins. The spleen is not visualized. The renal silhouettes are normal in size and contour. The region of the urinary bladder and prostate are not included. There is variable mild to severe multifocal thoracolumbar spondylosis deformans. Osteophytes are present caudal to the femoral head bilaterally. The patient is of overweight body condition. There is a lipomatous mass in the subcutaneous tissues of the dorsum.</t>
  </si>
  <si>
    <t>1. Moderate generalized cardiomegaly. Rule out cardiomyopathy, degenerative valve disease or pericardial effusion. Echocardiography should be considered for further evaluation._x000D_
2. Non-specific bicavitary effusion. Congestive heart failure is considered given the apparent cardiomegaly. Other differentials include infection, inflammation, bile peritonitis and pleuritis, pancreatitis, neoplasia, hypoproteinemia, coagulopathy and nonneoplastic liver disease. Thoracocentesis and/or abdominocentesis with fluid analysis should be considered. Should_x000D_
3. The mild diffuse bronchointerstitial pulmonary pattern. This could be a benign age-related change is accentuated by relaxation atelectasis. Right lower airway disease or cardiogenic pulmonary edema with peribronchial cuffing cannot be completely excluded._x000D_
4. The generalized hepatomegaly is nonspecific. Rule out metabolic/vacuolar hepatopathy, hyperplasia, hepatitis or neoplasia. Sonography can be considered for further evaluation._x000D_
5. Bilateral elbow osteoarthrosis.</t>
  </si>
  <si>
    <t xml:space="preserve">
1.A moderate interstitial to alveolar pattern and moderate perihilar infiltrate have been detected._x000D_
2.A moderate interstitial to alveolar pattern has been detected._x000D_
3.Moderate to severe bronchointerstitial pulmonary pattern._x000D_
4.SEVERE DYNAMIC AIRWAY DISEASE; MODERATE BRONCHIAL PATTERN._x000D_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suspected._x000D_
7.Based on these AI airway/pulmonary findings, the probability of this patient having clinically detectable respiratory signs is HIGH (75%)_x000D_
8.Are respiratory signs present? If YES._x000D_
9.Are respiratory signs present? If NO._x000D_
10.The evaluation has a strong suspicion of pulmonary nodules or mass lesion being present._x000D_
11.A moderate bronchointerstitial pattern with potential areas of alveolar infiltrate, consolidation or pulmonary mass lesion(s) have been identified.</t>
  </si>
  <si>
    <t xml:space="preserve">Patient Name : Maxx Lowey, Date of study: Jul 11, 2024
1 images are provided for review
Canine Thorax (1 Images) - 1 Lateral
There are no previous radiographs for comparison.
Pulmonary parenchyma: A mild diffuse bronchial pattern is present.
Pulmonary vasculature: The pulmonary vasculature is subjectively normal in size and tapers in the periphery of the lungs.
Cardiac silhouette: The caudodorsal margin of the cardiac silhouette is slightly flat.
Mediastinum: The cranial mediastinum is normal.
Trachea: The trachea is normal.
Esophagus: The esophagus is not well-identified.
Pleural space: The pleural space is normal.
Musculoskeletal: The included musculoskeletal structures are normal.
</t>
  </si>
  <si>
    <t xml:space="preserve">1. Mild diffuse bronchial pulmonary pattern.
- Differential diagnoses include infectious/immune-mediated lower airway disease such as from mycoplasma spp., bordetella spp., parasitism, or inhaled allergen/irritant, or unlikely fibrosis from prior disease, age-related changes, or other.
- No current evidence of alveolar pattern/pneumonia on limited evaluation.  
2. Mild left-atrial enlargement versus artifact from the phase of the cardiopulmonary cycle and patient positioning.
- If present, consider evolving myxomatous mitral valvular disease.
- There is no current evidence of left-sided congestive heart failure.  </t>
  </si>
  <si>
    <t>Consider respiratory PCR panel, airway sampling, and fecal analysis/deworming for further evaluation.  Echocardiography, ECG and blood pressure especially if a murmur is present.  Abdominal imaging and routine blood work for further evaluation of reported chronic vomiting.  Monitoring as directed or sooner if clinical signs acutely change, fail to improve or worsen.</t>
  </si>
  <si>
    <t xml:space="preserve">
1.A mild interstitial to alveolar infiltrate has been detected._x000D_
2.There is no evidence of DYNAMIC AIRWAY COLLAPSE or BRONCHIECTASIS, PULMONARY NODULES or PLEURAL EFFUSION._x000D_
3.Mild cardiomegaly has been detected but Heart Failure is NOT suspected.</t>
  </si>
  <si>
    <t>Orthogonal radiographs of the thorax, lateral abdomen, VD pelvis, and orthogonal views of the distal right pelvic limb are provided. The cardiac silhouette and pulmonary vessels are normal size. There is a mild bronchial pattern throughout the lungs. A severe interstitial pattern in the caudal segment of the left cranial lung lobe on the VD projection, possibly overlying the craniodorsal heart on the lateral view. No pleural fluid or gas. No rib fractures. Reduced size of the 4th sternal segment, with mild dorsal subluxation of the segment is likely incidental. The diaphragm is intact. No pleural fluid or gas. Normal proximal thoracic limbs. On the lateral view, there is lucency and adjacent sclerosis overlying the vertebral endplates at T6-7._x000D_
_x000D_
In the abdomen there is no peritoneal or retroperitoneal effusion. The gastrointestinal tract is mildly filled. There is a smoothly marginated round stippled mineral opaque 2.5 cm calculus in the urinary bladder. The gastrointestinal tract is mildly filled. No medial iliac lymphadenomegaly is appreciated. Smoothly marginated 0.7 cm metal opaque pellet overlying the caudal ventral abdomen is likely incidental today. No organomegaly. Suspect focal lysis and irregular endplates at T13-L1 and L7-S1. The right femur is craniodorsally displaced with respect to the acetabulum. No coxofemoral joint fractures. There is a diagonal lucency in the left ilium, immediately caudal to the sacroiliac joint. The sacroiliac joint is congruent. The left coxofemoral joint is congruent. There are several thin curved lucencies in the right pelvis, immediately caudal to the acetabulum. There is focal area of increased opacity overlying the medial aspect of the left ischial table, consistent with superimposed fracture fragments. Faint lucency overlying the medial aspect of the left pubis on the VD view. Patellar location is normal. On the isolated right pelvic limb view, there is large volume soft tissue density overlying the cranial aspect of the right stifle joint, with poor visibility of the infrapatellar fat pad. There is no evidence of right stifle effusion on the edge of the VD pelvis view. Severe soft tissue swelling encircling the right tibiotarsal joint, and in the digits of the right pelvic limb. No distal pelvic limb fractures or subluxation is appreciated.</t>
  </si>
  <si>
    <t>1. Right coxofemoral luxation. Increased opacity overlying the right stifle joint is likely superimposed swelling. There is no convincing evidence of joint effusion on the edge of the VD pelvis view. Distal right pelvic limb soft tissue swelling, with no additional fracture or subluxation appreciated._x000D_
2. Incomplete/nondisplaced left ilial wing/body fracture, right and left ischial fractures with probable left pubic fracture. _x000D_
3. Probable pulmonary contusions in the caudal segment of the left cranial lung lobe. Aspiration pneumonia is next on the differential list._x000D_
4. Highly suspect discospondylitis at T6-7, T13-L1, L7-S1. Artifact caused by superimposed spondylosis deformans is next on the differential list._x000D_
5. Cystic calculus, of a size that is too large to pass successfully.</t>
  </si>
  <si>
    <t>Recommend urinalysis with culture (as discospondylitis is suspected), right coxofemoral luxation reduction, medical support to include antibiotics for potential aspiration pneumonia, anti-inflammatories, and pain management as needed. As the left ilial fracture appears to be incomplete, surgical stabilization may not be necessary.</t>
  </si>
  <si>
    <t>3 views of the thorax are submitted for review.  The cardiac silhouette is normal in size and shape.  The pulmonary vasculature is within normal limits.  Mild bronchointerstitial markings are noted in the lung fields.  No pleural effusion or intrathoracic lymphadenopathy is seen.  The trachea is normal in diameter._x000D_
No definitive abnormalities are seen in the visible abdomen.  No significant osseous abnormalities are noted.</t>
  </si>
  <si>
    <t>The appearance of the lung fields is most consistent with incidental age-related change or chronic inflammatory airway disease. Acute infectious/inflammatory respiratory disease is also possible.</t>
  </si>
  <si>
    <t>Symptomatic/supportive medical management may be helpful in the short-term.</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</si>
  <si>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6.Minimal cardiomegaly has been detected but Heart Failure is NOT suspected.</t>
  </si>
  <si>
    <t>Study:_x000D_
Thoracic radiography: three images dated July 11, 2024_x000D_
_x000D_
Findings:_x000D_
There is severe left ventricular, left auricular and left atrial enlargement. The cranial lobar vasculature is normal in size. There is a moderate to severe perihilar/caudodorsal unstructured interstitial pulmonary pattern and mild cranioventral unstructured interstitial pulmonary pattern. The severity of the pulmonary infiltrates in the caudoventral lung field limits evaluation of the caudal lobar vasculature. There is a thin pleural fissure line between the right cranial and middle lung lobes on the VD view. There is no intrathoracic lymphadenopathy. There is a broad-based soft tissue opaque band superimposed the dorsal aspect of the cervical trachea lumen representing other redundant dorsal tracheal membrane or superimposition of the esophagus. The stomach contains heterogeneous soft tissue material presumed to be ingesta. The osseous structures are unremarkable.</t>
  </si>
  <si>
    <t>1. Severe left-sided cardiomegaly, indicative of mitral valve disease, with decompensated congestive heart failure/cardiogenic pulmonary edema. Recommend echocardiography for further evaluation. Diuretic therapy with repeat radiography to monitor for response to treatment is recommended in the interim._x000D_
2. The thin pleural fissure lines seen between the right cranial and middle lung lobes on the VD view may indicate incidental tangential visualization, pleural thickening or trace pleural effusion.</t>
  </si>
  <si>
    <t xml:space="preserve">
1.A severe perihilar infiltrate has been detected._x000D_
2.The evaluation has a strong suspicion of pulmonary nodules or mass lesion being present._x000D_
3.Pleural fissure lines or moderate to severe pleural effusion has been detected. An overlying skin fold or in an obese animal, excessive pericardial fat could artifactually mimic the result of severe pleural effusion._x000D_
4.Severe cardiomegaly has been detected but Heart Failure is NOT suspected._x000D_
5.Are respiratory signs present? If NO._x000D_
6.SEVERE INTERSTITIAL TO ALVEOLAR PATTERN; SEVERE BRONCHIAL PATTERN; SEVERE DYNAMIC AIRWAY DISEASE._x000D_
7.Based on these AI airway/pulmonary findings, the probability of this patient having clinically detectable respiratory signs is VERY HIGH (&gt;75%)_x000D_
8.Are respiratory signs present? If YES.</t>
  </si>
  <si>
    <t>Study:_x000D_
Thoracic radiography: four images dated July 11, 2024_x000D_
_x000D_
Findings:_x000D_
The cardiac silhouette and pulmonary vasculature are normal in size. There is a large lobulated soft tissue opaque mass with indistinct margins in the the right cranial lung lobe. The mass extends to the periphery of the lung lobe on the VD view. The pleural space is normal. There is no intrathoracic lymphadenopathy. There is a broad-based soft tissue opaque band superimposed the dorsal aspect of the cervical trachea lumen representing other redundant dorsal tracheal membrane or superimposition of the esophagus. The trachea is normal in diameter and course. The included abdomen is normal. No skeletal abnormalities are present.</t>
  </si>
  <si>
    <t>Right cranial lung lobe mass. Primary pulmonary carcinoma is prioritized. Thoracic sonography and tissue sampling can be considered for further evaluation.</t>
  </si>
  <si>
    <t xml:space="preserve">
1.The cardiac silhouette size is normal._x000D_
2.There is no evidence of DYNAMIC AIRWAY COLLAPSE or BRONCHIECTASIS or PULMONARY NODULES._x000D_
3.Pleural fissure lines or moderate pleural effusion has been detected. An overlying skin fold or in a moderately overweight animal, excessive pericardial fat could artifactually mimic the result of moderate pleural effusion._x000D_
4.A severe alveolar pattern and mild perihilar pattern have been detected.</t>
  </si>
  <si>
    <t>THORAX (3 total radiographs for review). _x000D_
_x000D_
- There is moderate left-sided cardiomegaly present, characterized by straightening of the caudal cardiac margin, increased cardiac rate which dorsally displaces the caudal aspect of the thoracic trachea, a rounding in the region of the left atrium, as well as the left auricle._x000D_
- The pulmonary vasculature is normal._x000D_
- There is a soft tissue opaque band dorsally overlying the trachea in the caudal cervical and thoracic inlet regions._x000D_
- The remaining intrathoracic structures are normal._x000D_
- The liver is mildly enlarged, with rounded margins._x000D_
- The remaining cranial abdominal structures are normal._x000D_
- The included musculoskeletal structures are normal.</t>
  </si>
  <si>
    <t>1. Moderate left-sided cardiomegaly, without pulmonary vasculature congestion or congestive heart failure. Most likely compatible with degeneration of the mitral valve. Consider careful cardiac auscultation and echocardiography/ECG for further assessment._x000D_
_x000D_
2.  The appearance of the trachea in the caudal cervical and thoracic inlet regions can be compatible with tracheal collapse secondary to chondromalacia._x000D_
_x000D_
3. Mild hepatomegaly. Most likely vacuolar (metabolic) hepatopathy. Hepatic congestion, hepatitis or neoplasia are less likely, but possible.</t>
  </si>
  <si>
    <t>In this case, the patient=ZZ91=s coughing may be multifactorial and related to lower airway compression from the left heart enlargement and/or tracheal collapse.</t>
  </si>
  <si>
    <t xml:space="preserve">
1.Severe cardiomegaly has been detected but Heart Failure is NOT suspected._x000D_
2.There is no evidence of PLEURAL EFFUSION._x000D_
3.MINIMAL to MILD BRONCHOINTERSTITIAL PULMONARY PATTERN; MILD DYNAMIC AIRWAY DISEASE; MILD PERIHILAR INFILTRATE._x000D_
4.Based on these AI airway/pulmonary findings, the probability of this patient having clinically detectable respiratory signs is LOW to MEDIUM (25-50%)_x000D_
5.Are respiratory signs present? If YES._x000D_
6.Are respiratory signs present? If NO.</t>
  </si>
  <si>
    <t>Study:_x000D_
Thoracic and abdominal radiography: five images dated July 11, 2024_x000D_
_x000D_
Findings:_x000D_
There is moderate left ventricular and left atrial enlargement. The pulmonary vasculature is normal in size. The pulmonary parenchyma is unremarkable. The pleural space is normal. There is no intrathoracic lymphadenopathy. The larynx is unremarkable. The trachea is normal in diameter. There is no lobar bronchi narrowing. The stomach contains a small volume of gas. The small intestines are normal in size, course and content. The colon contains formed fecal material. The liver extends mildly beyond the costal arch with smooth margins. The spleen is normal in size and margin. The kidneys are normal in size and contour. The urinary bladder is normal in size and opacity. There is mild T 11-T 12, L3-L4 and L7-S1 spondylosis deformans. Mild periarticular bone formation is present at the caudodistal aspect the humeral head bilaterally. There is mild bilateral stifle periarticular bone formation. The patient is of obese body condition. There is a cutaneous soft tissue opaque nodule along the right cranioventral abdomen. This lesion is superimposed with the liver on the VD views giving the false impression of a cholelith.</t>
  </si>
  <si>
    <t>1. Moderate left-sided cardiomegaly, suggestive of mitral valve disease, without evidence of decompensation. Echocardiography should be considered for further evaluation._x000D_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airway sampling plus/minus heartworm testing and Baermann fecal flotation can be considered for further evaluation of the reported coughing._x000D_
3. The generalized hepatomegaly is nonspecific. Rule out metabolic/vacuolar hepatopathy, hyperplasia, hepatitis or infiltrative neoplasia. Sonography can be considered for further evaluation._x000D_
4. Mild bilateral shoulder and stifle osteoarthrosis.</t>
  </si>
  <si>
    <t xml:space="preserve">
1.SEVERE DYNAMIC AIRWAY DISEASE; MILD BRONCHIAL PATTERN._x000D_
2.Based on these AI airway/pulmonary findings, the probability of this patient having clinically detectable respiratory signs is MEDIUM-HIGH (50%-75%)_x000D_
3.Are respiratory signs present? If YES._x000D_
4.AI linked dynamic airway collapse in dogs: https://platform.v2.vetology.net/doc/canine-tracheal-collapse-treatment_x000D_
5.Are respiratory signs present? If NO._x000D_
6.There is no evidence of PERIHILAR INFILTRATE, PULMONARY NODULES or PLEURAL EFFUSION._x000D_
7.Severe cardiomegaly has been detected but Heart Failure is NOT suspected.</t>
  </si>
  <si>
    <t>WHOLE-BODY (6 total radiographs for review).  A previous examination is available for comparison from 2022._x000D_
_x000D_
- The cervical vertebrae and cervicothoracic junction are normal._x000D_
- The thoracic vertebrae and thoracolumbar junction are normal._x000D_
- At L3-4, there is ill-defined mineral opaque material superimposed over the vertebral canal._x000D_
- The lumbosacral junction is normal._x000D_
- The sacrum and sacroiliac joints are normal._x000D_
- The pelvic bones are normal._x000D_
- The coxofemoral joints are normal._x000D_
- The included portions of the proximal pelvic limbs are normal._x000D_
- There is a large degree of cranial mediastinal fat deposition._x000D_
- The abdominal structures are normal.</t>
  </si>
  <si>
    <t>1. A discrete spinal cause for the reported clinical signs is not clearly identified. There is a possible chronic/prior disc extrusion at L3-4 however it=ZZ91=s clinical significance is uncertain. Radiographic sensitivity for soft-tissue lesions affecting the spine can be limited. There are no fractures, luxations, discospondylitis or aggressive bone lesions noted. If clinically indicated (such as if the patient does not improve or worsens despite medical management and exercise modification), consultation with a veterinary neurologist and/or advanced imaging of the spine (e.g. CT or MRI) might be considered.</t>
  </si>
  <si>
    <t xml:space="preserve">
1.MODERATE BRONCHOINTERSTITIAL PULMONARY PATTERN; MILD DYNAMIC AIRWAY DISEASE; ATELECTASIS or less likely, pneumonia; MINIMAL PERIHILAR INFILTRATE._x000D_
2.Based on the AI airway/pulmonary findings, the probability of this patient having clinically detectable respiratory signs is MEDIUM to HIGH (50%-75%)_x000D_
3.Are respiratory signs present? If YES._x000D_
4.Are respiratory signs present? If NO._x000D_
5.The cardiac silhouette size is normal._x000D_
6.Pleural fissure lines or small volume pleural effusion has been detected. In a mildly overweight animal, excessive pericardial fat can artifactually mimic the result of minimal pleural effusion.</t>
  </si>
  <si>
    <t>Study:_x000D_
Abdominal radiography: three images dated July 11, 2024_x000D_
_x000D_
Findings:_x000D_
The serosal detail is normal. The stomach contains a small volume of gas. The thickness of the gastric wall rugae is within normal limits for the degree of gastric distention. The small intestines are normal in size, course and content. The colon contains formed fecal material. The liver and spleen are normal in size and margin. The kidneys are normal in size and contour. The urinary bladder is normal in size and opacity. The urinary bladder is normal in size and opacity. No mineral opaque calculi are present in the bladder or included region of the urethra. The included thorax is normal. The T 13 vertebra is transitional with bilateral hypoplastic ribs. There is mild T 10-T 11 spondylosis deformans.</t>
  </si>
  <si>
    <t>Unremarkable abdomen. Test negative for urocystolithiasis.</t>
  </si>
  <si>
    <t>Opposite lateral and VD views of the thorax and abdomen are provided._x000D_
_x000D_
In both left lateral views (thorax view and abdomen view) there is an unusual soft tissue shadow which is moderately defined in the antrum of the stomach extending into the pyloric area. A less defined but still suspicious shadow is also seen in this area in the VD view. Gastric rugal folds are prominent overall. No dilation of the stomach or intestine is seen. Serosal detail in the abdomen is normal. The liver is at the upper end of normal size range to slightly enlarged._x000D_
_x000D_
The cardiovascular structures are within normal limits. There is mild bronchial mineralization. In the left lateral thorax view, a mildly defined region of focal soft tissue opacity is seen superimposed over the ventral margin of the heart dorsal to the six sternebra. No corresponding shadow is seen in the other views.</t>
  </si>
  <si>
    <t>There is an unusual shadow in the pyloric region of the stomach that is suspicious for a foreign body. Clinical significance is unknown in the absence of vomiting as a presenting complaint. This could represent a recently ingested treat or something similar, but the radiographic appearance remains concerning for a foreign body._x000D_
No obstructive pattern is identified: the intestinal tract is unremarkable. Liver size is borderline, which could be incidental or associated with diffuse hepatopathy. Correlation with relevant labwork abnormalities is recommended._x000D_
_x000D_
There is one unusual shadow seen superimposed over the apex of the heart in the left lateral view only. The appearance in this view suggests a focal area of pulmonary infiltration or atelectasis, but this cannot be corroborated on the other views so artifactual causes cannot be excluded. Relevance to the clinical presentation is probably limited regardless.</t>
  </si>
  <si>
    <t>Supportive care and symptomatic therapy is recommended._x000D_
Follow up radiographs of the abdomen (including a left lateral view) after the patient has not eaten for at least 18 hours should be considered to rule out gastric foreign body, depending on clinical signs and suspicion. A contrast gastrogram could be considered if survey radiographs are inconclusive.</t>
  </si>
  <si>
    <t xml:space="preserve">
1.A severe alveolar infiltrate or pulmonary mass has been identified._x000D_
2.A minimal interstitial pulmonary pattern with a concurrent, mild perihilar infiltrate have been detected._x000D_
3.The evaluation has come up positive for a pulmonary nodular pattern._x000D_
4.The cardiac silhouette size is normal._x000D_
5.There is no evidence of DYNAMIC AIRWAY COLLAPSE or BRONCHIECTASIS.</t>
  </si>
  <si>
    <t>ABDOMEN (3 radiographs for review). _x000D_
_x000D_
- Peritoneal serosal detail is normal, however the patient has a lean body condition and reduced peritoneal fat for contrast._x000D_
- The stomach contains mild gas and homogenous soft tissue/fluid.  The gastric rugal folds are prominent._x000D_
- The small intestine is mildly diffusely distended with soft tissue/fluid and contains a small volume of gas._x000D_
- The colon contains gas, soft-tissue/fluid and minimal formed fecal material, as well as a small mineral opaque focus in the descending colon._x000D_
- The liver, spleen, region of the kidneys and urinary bladder are normal._x000D_
- The cardiac silhouette and pulmonary vasculature are normal._x000D_
- The pulmonary parenchyma is normal_x000D_
- The trachea, esophagus and remainder of the mediastinum are normal._x000D_
- The pleural space and remaining intrathoracic structures are normal._x000D_
- No musculoskeletal abnormalities are noted.</t>
  </si>
  <si>
    <t>1. The appearance of the stomach, small intestine and colon can be compatible with a combination of aerophagia and non-specific generalized functional ileus (e.g. gastroenterocolitis). There is no evidence of small intestinal foreign material or mechanical obstruction. If clinically indicated (such as if the patient does not improve or worsens despite medical management), abdominal ultrasonography might be considered._x000D_
_x000D_
2. Tiny mineral foreign body in the descending colon._x000D_
_x000D_
3. Normal thorax</t>
  </si>
  <si>
    <t>Orthogonal views of the thorax are provided:_x000D_
_x000D_
Thorax:_x000D_
_x000D_
Cardiac silhouette has a normal shape and size._x000D_
Pulmonary vessels are within normal limits of size and shape._x000D_
Pulmonary parenchyma is within normal limits. No evidence of pneumonia._x000D_
Pleural space, mediastinum, diaphragm and thoracic wall within normal limits.</t>
  </si>
  <si>
    <t>Consultate with the clinician in charge.</t>
  </si>
  <si>
    <t xml:space="preserve">
1.A mild interstitial to alveolar pattern and minimal perihilar pattern have been detected._x000D_
2.The cardiac silhouette size is normal._x000D_
3.There is no evidence of DYNAMIC AIRWAY COLLAPSE or BRONCHIECTASIS._x000D_
4.A mild bronchial pattern and minimal perihilar infiltrate have been detected._x000D_
5.A mild, diffuse mixed bronchointerstitial pattern with potential small regions of alveolar infiltrate has been detected.</t>
  </si>
  <si>
    <t>Study:_x000D_
Thoracic radiography: three images dated July 4, 2024_x000D_
_x000D_
Findings:_x000D_
The cardiac silhouette and pulmonary vasculature are normal in size. The pulmonary parenchyma is unremarkable. The pleural space is normal. There is no intrathoracic lymphadenopathy. On the right lateral view timestamped 3:56 PM, there is dilation and retraction of the larynx. On the right lateral view timestamped 3:45 PM, there is an indistinct broad-based soft tissue opaque band superimposed with the cervical trachea lumen representing either a redundant dorsal tracheal membrane or superposition of the esophagus. The trachea is normal in diameter and course. The included abdomen is unremarkable. No skeletal abnormalities are present.</t>
  </si>
  <si>
    <t>1. The dilation retraction of the larynx is a nonspecific finding. This finding to be secondary to laryngeal dysfunction, dynamic airway disease, nasal disease or chronic lower airway disease._x000D_
2. Unremarkable thorax.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t>
  </si>
  <si>
    <t>Fluoroscopy, sedated laryngeal exam, airway sampling plus/minus heartworm testing and Baermann fecal flotation can be considered for further evaluation of the reported coughing.</t>
  </si>
  <si>
    <t xml:space="preserve">
1.MILD BRONCHOINTERSTITIAL PULMONARY PATTERN._x000D_
2.Based on these AI airway/pulmonary findings, the probability of this patient having clinically detectable respiratory signs are LOW (25%)_x000D_
3.Are respiratory signs present? If YES._x000D_
4.Are respiratory signs present? If NO._x000D_
5.The cardiac silhouette size is normal._x000D_
6.There is no evidence of PERIHILAR INFILTRATE, DYNAMIC AIRWAY COLLAPSE or BRONCHIECTASIS or PULMONARY NODULES.</t>
  </si>
  <si>
    <t>Study:_x000D_
Thoracic and abdominal radiography: nine images dated July 11, 2024_x000D_
_x000D_
Findings:_x000D_
The cardiac silhouette and pulmonary vasculature are normal in size. A mild to moderate alveolar pattern is present in the right cranial lung lobe. The pleural space is normal. There is no intrathoracic lymphadenopathy. The larynx is unremarkable. The trachea is normal in diameter and course. There is mild gas dilation of the esophagus. The stomach contains minimal gas. The small intestines are normal in size, course and content. The colon contains formed fecal material. The liver and spleen are normal in size and margin. The kidneys are normal in size and contour. The urinary bladder is normal in size and opacity. There is no prostatomegaly. The osseous structures are unremarkable/age appropriate.</t>
  </si>
  <si>
    <t>1. The alveolar pattern in the right cranial lung lobe likely indicates aspiration pneumonia._x000D_
2. The mild gas dilation of the esophagus could be secondary to aerophagia or may indicate an esophageal motility disorder given the history of regurgitation._x000D_
3. Unremarkable abdomen. There is no radiographic evidence of gastrointestinal foreign material or small intestinal mechanical obstruction.</t>
  </si>
  <si>
    <t>Recommend empiric antibiotic therapy for pneumonia with repeat radiography in 10 to 14 days to monitor for response to treatment. The dilation of the esophagus should be monitored on the recheck study. Abdominal sonography and an esophagogram can be considered for further evaluation of the regurgitation persists in spite of medical management.</t>
  </si>
  <si>
    <t>Study:_x000D_
Thoracic radiography: three images dated July 11, 2024_x000D_
_x000D_
Findings:_x000D_
There is mild left ventricular and left atrial enlargement. The pulmonary vasculature is normal in size. There is a mild generalized bronchial pulmonary pattern. The pleural space is normal. There is no intrathoracic lymphadenopathy. The patient has a redundant dorsal tracheal membrane. The trachea is normal in diameter. The liver extends beyond the costal arch with smooth margins. The stomach contains unstructured heterogeneous soft tissue material presumed to be ingesta. The osseous structures are unremarkable.</t>
  </si>
  <si>
    <t>1. Mild left-sided cardiomegaly, indicative of mitral valve disease, without evidence of decompensation. Echocardiography should be considered for further evaluation._x000D_
2. The mild generalized bronchial pulmonary pattern may indicate allergic, inflammatory, infectious, parasitic or irritant bronchitis. Airway sampling, heartworm testing and Baermann fecal flotation can be considered for further evaluation._x000D_
3. Redundant dorsal tracheal membrane. Normal diameter of the trachea does not exclude possibly of concomitant tracheal collapse. Fluoroscopy can be considered to further evaluate for possible dynamic airway disease.</t>
  </si>
  <si>
    <t xml:space="preserve">
1.Moderate cardiomegaly has been detected but Heart Failure is NOT suspected._x000D_
2.MILD BRONCHOINTERSTITIAL PULMONARY PATTERN; MILD DYNAMIC AIRWAY DISEASE._x000D_
3.Based on these AI airway/pulmonary findings, the probability of this patient having clinically detectable respiratory signs is LOW to MEDIUM (25-50%)_x000D_
4.Are respiratory signs present? If YES._x000D_
5.Are respiratory signs present? If NO._x000D_
6.There is no evidence of PLEURAL EFFUSION.</t>
  </si>
  <si>
    <t>9 views of the bilateral thoracic limbs are submitted for review.  There is mild bony remodeling and enthesiopathy at the medial epicondyle of the left humerus.  The medial coronoid process is poorly delineated on the lateral views.  Mild periarticular osteophytes are noted along the anconeal process.  Mild subchondral sclerosis is noted at the ulnar trochlear notch.  The caudal aspect of the left humeral head is normally smooth.  The left carpus and left front foot are within normal limits.  Similar irregularity is noted at the medial epicondyle of the right humerus.  The right medial coronoid process is also mildly irregular.  Right shoulder and distal aspect of the right thoracic limb are within normal limits.  No abnormalities noted in the limited view of the thorax.</t>
  </si>
  <si>
    <t>Mild to moderate degenerative joint disease in both elbows, consistent with medial coronoid process fragmentation.</t>
  </si>
  <si>
    <t>Symptomatic/supportive medical management may be helpful.  Otherwise, consultation with a surgeon is advised.</t>
  </si>
  <si>
    <t xml:space="preserve">
1.A minimal interstitial pattern has been detected._x000D_
2.The cardiac silhouette size is normal._x000D_
3.There is no evidence of BRONCHITIS, ALVEOLAR PATTERN or DYNAMIC AIRWAY COLLAPSE or BRONCHIECTASIS.</t>
  </si>
  <si>
    <t>THORAX (3 total radiographs for review). _x000D_
_x000D_
- The cardiac silhouette and pulmonary vasculature are normal._x000D_
- The pulmonary parenchyma is normal_x000D_
- The trachea, esophagus and remainder of the mediastinum are normal._x000D_
- The pleural space and remaining intrathoracic structures are normal._x000D_
- The stomach contains a moderate volume of gas-stippled soft tissue opaque material._x000D_
- Remaining cranial abdominal structures are normal._x000D_
- The included musculoskeletal structures are normal.</t>
  </si>
  <si>
    <t>1.  Normal thorax. A discrete radiographic cause for the reported cough/sneezing is not clearly identified. There is no evidence of pulmonary consolidation to suggest pneumonia. Radiographic sensitivity for subtle lower airway disease such as tracheobronchitis can be limited._x000D_
_x000D_
2.  Recent meal.</t>
  </si>
  <si>
    <t>Orthogonal radiographs of the thorax, and a lateral view of a distal pelvic limb are provided. The cardiac silhouette and pulmonary vessels are normal size and shape. There are no abnormalities in the pulmonary parenchyma. Several incidental pulmonary osteomas. No pleural effusion. Normal cranial mediastinal width._x000D_
_x000D_
In the distal pelvic limb, there is a large area of poorly delineated lysis with marked irregular, interrupted and partially spiculated periosteal proliferation surrounding the mid and distal tibia. There is significant distal tibial cortical thinning. Severe regional soft tissue swelling. The fibula is obscured.</t>
  </si>
  <si>
    <t>1. Aggressive mixed lytic and proliferative lesion in the distal tibia of one of the pelvic limbs. This is most consistent with osseous neoplasia such as osteosarcoma. Osteomyelitis is given lesser consideration._x000D_
2. Normal thorax.</t>
  </si>
  <si>
    <t>Histopathology of the tibial lesion would be necessary for a definitive diagnosis.</t>
  </si>
  <si>
    <t>Three radiographs of the thorax are provided. The cardiac silhouette is normal size. Pulmonary vessels and caudal vena cava are reduced in size. There are several incidental pulmonary osteomas. No soft tissue pulmonary nodules or pleural effusion. Curved increased opacity cranial to the heart base on the left lateral view is normal great vessels. Adequate tracheal diameter. In the cranial abdomen the splenic tail is enlarged and smoothly irregular, with small volume adjacent fluid.</t>
  </si>
  <si>
    <t>Prominent irregular splenic tail with adjacent peritoneal effusion. Neoplasia such as hemangiosarcoma with hemorrhagic effusion is suspected. An inflammatory process is given secondary consideration. Reduced pulmonary vascular size consistent with hypovolemia. No other thoracic abnormalities.</t>
  </si>
  <si>
    <t>Abdominal ultrasound is recommended to confirm/rule out a mass lesion, determine origin, and rule out additional intra-abdominal lesions which may preclude surgical intervention.</t>
  </si>
  <si>
    <t>Three radiographs of the thorax are provided. The cardiac silhouette is normal size and shape with no chamber enlargement. Pulmonary vessels are normal size. Mild unstructured interstitial pattern is consistent with age and size of this patient. There are no soft tissue pulmonary nodules, pleural effusion, or enlarged intrathoracic lymph nodes. Tracheal diameter and position are normal. Ovoid increased opacity to the right of the heart on the VD projection is end-on pulmonary vessel. No esophageal dilation.</t>
  </si>
  <si>
    <t>Normal thorax. There is no evidence of pneumonia or cardiovascular disease. A reason for the clinical signs is not identified. Consider reverse sneezing. Infectious airway disease is given secondary consideration.</t>
  </si>
  <si>
    <t>Orthogonal views of the thorax are provided:_x000D_
_x000D_
Thorax:_x000D_
_x000D_
Cardiac silhouette shows a moderate enlargement of the left atrium dorsally displacing the carina._x000D_
Pulmonary vessels are within normal limits of size and shape._x000D_
There is a peri-hilar and diffuse caudodorsal alveolo-interstitial pulmonary pattern._x000D_
Pleural space, mediastinum, diaphragm and thoracic wall within normal limits.</t>
  </si>
  <si>
    <t>1) Cardiomegaly (left sided) with peri-hilar and diffuse caudodorsal alveolo-interstitial pulmonary pattern. Findings consistent with left sided congestive heart failure secondary to chronic mitral endocardiosis. Rule out tricuspid endocardiosis with post-capillary pulmonary hypertension.</t>
  </si>
  <si>
    <t xml:space="preserve">
1.MILD BRONCHOINTERSTITIAL PULMONARY PATTERN; MILD DYNAMIC AIRWAY DISEASE; MINIMAL PERIHILAR INFILTRATE._x000D_
2.Based on these AI airway/pulmonary findings, the probability of this patient having clinically detectable respiratory signs is MEDIUM (50%)_x000D_
3.Are respiratory signs present? If YES._x000D_
4.Severe cardiomegaly has been detected but Heart Failure is NOT suspected._x000D_
5.Are respiratory signs present? If NO.</t>
  </si>
  <si>
    <t>8 images of the thorax and thoracic limbs are provided for review.  The cardiac silhouette is mildly generally enlarged.  There is a moderate bronchial pattern in all lung lobes.  The mediastinal and pleural structures are normal.  Cranial abdominal detail is adequate.  The joint surfaces are smooth and regular.  No fractures or aggressive osseous lesions are seen.  An osteophyte is present at the lateral humeral epicondyles on the left.</t>
  </si>
  <si>
    <t>Moderate bronchial pulmonary pattern=ZZ90= consider bronchitis, response to inhaled irritants, response to circulating parasites, eosinophilic bronchopneumopathy.  Airway sampling may be helpful in further evaluation.  Generalized cardiomegaly without current evidence of cardiogenic pulmonary edema.  Echocardiography may be helpful in further evaluation.  Mild left elbow DJD.</t>
  </si>
  <si>
    <t>Study:_x000D_
Thoracic radiography: three images dated July 11, 2024_x000D_
_x000D_
Findings:_x000D_
There is moderate left ventricular and left atrial enlargement. The pulmonary vasculature is normal in size. The pulmonary parenchyma is unremarkable. The pleural space is normal. There is no intrathoracic lymphadenopathy. The trachea is normal in diameter. The stomach and small intestines contain unstructured heterogeneous/granular soft tissue material presumed to be ingesta. The included abdomen is otherwise unremarkable. There is variable mild to moderate multifocal thoracolumbar spondylosis deformans. The patient is of overweight body condition.</t>
  </si>
  <si>
    <t>Moderate left-sided cardiomegaly, suggestive of mitral valve disease, without evidence of decompensation. Echocardiography and ECG should be considered for further evaluation.</t>
  </si>
  <si>
    <t xml:space="preserve">
1.MILD to MODERATE BRONCHOINTERSTITIAL PULMONARY PATTERN; MODERATE DYNAMIC AIRWAY COLLAPSE and/or BRONCHIECTASIS._x000D_
2.Based on these AI airway/pulmonary findings, the probability of this patient having clinically detectable respiratory signs is MEDIUM (50%)_x000D_
3.Are respiratory signs present? If YES._x000D_
4.Are respiratory signs present? If NO._x000D_
5.There is no evidence of PLEURAL EFFUSION._x000D_
6.A minimal perihilar infiltrate has been detected._x000D_
7.Severe cardiomegaly has been detected but Heart Failure is NOT suspected.</t>
  </si>
  <si>
    <t>Patient Name: Moki Gregory, Date of study: July 11, 2024.
3 images are provided for review (2 lateral, 1 CC).
There are no previous images available for comparison.
Findings:
Right forelimb: There is no evidence of acute trauma (i.e. fractures, luxation, subluxation). The scapula and long bones of the right forelimb are within normal limits. There is mild periarticular osseous proliferation at the caudal aspect of the right shoulder. The elbow and carpus are unremarkable. There is no soft tissue swelling.
Left forelimb: There is mild osteoarthrosis of the left shoulder.
Cervical spine: There are no repeatable sites of intervertebral disc space narrowing. The vertebral bodies are normal. The spinal canal is well aligned.</t>
  </si>
  <si>
    <t>1. A cause for acute right forelimb non-weightbearing lameness is not identified. A soft tissue injury or distal limb lesion are prioritized.
2. There is mild osteoarthrosis of the right and left shoulders.</t>
  </si>
  <si>
    <t>Rest and multimodal pain management are recommended. If clinical signs persist, repeated orthopedic and neurologic evaluation would be recommended. Consultation with a specialist may be beneficial if clinically indicated.</t>
  </si>
  <si>
    <t xml:space="preserve">Patient Name : King Rescue, Date of study: Jul 11, 2024
7 images are provided for review
Additional images dated July 12, 2024 are also provided.  Thorax evluation is limited without orthogonal images.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heterogeneous soft tissue material and gas.  Mineral material is in the pylorus.  An ovoid mineral body is suspected in the pylorus versus descending duodenum cranial to the pylorus in the right lateral image.  In the images dated July 12, 2024, the ovoid mineral body is suspected in the descending colon or possibly small intestine and some minimal residual gastric material is present.  
The small intestine contains mild to moderate gas.
The colon contains mild soft tissue material and minimal gas.  The colon is subjectively normal in size.
Musculoskeletal:  Wet hair artifact is present.  The included musculoskeletal structures are normal.
</t>
  </si>
  <si>
    <t xml:space="preserve">1. Gastric foreign material due to dietary indiscretion with/without pyloric outflow tract obstruction.
2. Presumed passing mineral foreign body from dietary indiscretion, with/without gastritis/enteritis/colitis.
3. Non-specific small intestinal appearance due to enteritis, aerophagia or variation of normal.
- No obvious evidence of small intestinal mechanical ileus is identified.
4. Minimal diffuse bronchial pulmonary pattern such as from fibrosis from prior disease, age-related changes, infectious/immune-mediated lower airway disease or unlikely other.
</t>
  </si>
  <si>
    <t>Etiology of reported fever is not definitively identified.  Radiographic evidence of pneumonia may lag behind clinical presentation. Consider abdominal ultrasonography for further evaluation of occult systemic disease.  Consider gastroscopy for retrieval of gastric material, versus empirical therapy/supportive care and monitoring for passage of this material with serial radiographs.  Empirical therapy and supportive care in the interim as needed.  Monitoring as directed, or sooner if clinical signs acutely change, fail to improve or worsen.</t>
  </si>
  <si>
    <t>A three view thoracoabdominal study is provided for interpretation._x000D_
_x000D_
There is a moderately defined mass in the left caudal dorsal lung that has mild to moderate internal cavitation with gas. Lung parenchyma surrounding this mass is similar to the rest of the lung, which is a mild increase in bronchial markings in bronchial mineralization within the limits of age related change. No thoracic lymphadenopathy or pleural effusion is seen. No tracheal abnormalities are identified._x000D_
The shape of the heart is consistent with mild left atrial dilation, although aside from this contour change at the caudal heart base overall heart size is within normal limits. Pulmonary vessels are normal._x000D_
_x000D_
The abdominal organs are within normal size and shape limits. No abnormalities are identified involving the GI tract. No mass lesions or loss of detail are seen._x000D_
_x000D_
There is severe disc space narrowing and moderate spondylosis at T12-T13. No destructive bone lesions are seen.</t>
  </si>
  <si>
    <t>There is a left caudal lobe pulmonary mass in the caudal dorsal lung. The mass measures approximately 3 x 5 cm, not accounting for radiographic magnification. There is a gas pocketing within the mass._x000D_
_x000D_
Primary rule outs for this lesion include primary lung tumor with internal necrosis vs. pulmonary abscess vs. granuloma secondary to infectious disease such as fungal disease._x000D_
Neoplasia is more likely, but abscess should be ruled out due to the gas pocketing within the lesion. An aspirated foreign body such as a grass awn should be ruled out as a predisposing factor._x000D_
_x000D_
There is mild left atrial dilation. Chronic mitral regurgitation is likely responsible for the heart murmur, but is not suspected to be associated with the coughing.</t>
  </si>
  <si>
    <t>Bronchoscopy is recommended for definitive diagnosis._x000D_
If this is not an option, this lesion is likely accessible for imaging and sampling with ultrasound._x000D_
CBC and serum chemistry is recommended.</t>
  </si>
  <si>
    <t xml:space="preserve">Patient Name : Chooch Dligregorio, Date of study: Jul 11, 2024
4 images are provided for review
There are no previous radiographs for comparison. Only lateral images are provided.  Images are overexposed with saturation of lung tissue.  
Pulmonary parenchyma: A minimal diffuse interstitial pattern is present.  Few small mineral foci are in the cranioventral portion of the lungs.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</si>
  <si>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Minimal diffuse interstitial pulmonary pattern.
- Differential diagnoses include artifact from overexposure, or unlikely other such as atypical metastatic neoplasia, hematogeneous spread of pneumonia/sepsis, or least likely non-cardiogenic pulmonary edema.
2. Normal cardiac silhouette size and shape on limited evaluation.
3. Presumed pulmonary osseous metaplasia.  </t>
  </si>
  <si>
    <t>Etiology of reported clinical signs is not definitively identified but dehydration/hypovolemia secondary to reported abdominal signs is considered.  Consider computed tomography of the thorax/abdomen versus  abdominal radiographs with/without ultrasonography for further evaluation of occult systemic disease.  Computed tomography is more sensitive and likely more beneficial in this case given patient size.  Depending on result of prior biopsy, consider Oncologist consultation.  Monitoring as directed or sooner if clinical signs acutely change, fail to improve or worsen.</t>
  </si>
  <si>
    <t>Four radiographs of the thorax/abdomen are provided. The cardiac silhouette is normal size and shape. No abnormalities in the pulmonary parenchyma or pleural space. Adequate tracheal diameter. In the abdomen there are large tubular fluid dilated structures in the caudal ventral abdomen on either side. Serosal detail is mildly reduced. The gastrointestinal tract is mildly filled and no radiopaque foreign material is present. There is small volume fluid in the distal colon. On the lateral views there is the appearance of a round 7.5 cm soft tissue opacity in the caudal ventral abdomen. The only curved soft tissue structure in the caudal abdomen on the VD views is the urinary bladder. The liver is prominent with smooth margins. Normal size spleen and kidneys. Osseous structures are unremarkable.</t>
  </si>
  <si>
    <t>1. Fluid dilated uterus most consistent with pyometra. Mucometra, hydrometra, early pregnancy are given much lesser consideration today._x000D_
2. Round soft tissue opacity in the caudoventral abdomen is most likely summating fluid dilated uterus and urinary bladder. A mass lesion such as originating from the spleen is given secondary consideration._x000D_
3. Liquid diarrhea, otherwise no gastrointestinal abnormalities are appreciated._x000D_
4. Mild hepatomegaly, a nonspecific finding that may be steroid or other hepatopathy, acute inflammation, or least likely neoplasia._x000D_
5. Normal thorax.</t>
  </si>
  <si>
    <t xml:space="preserve">
1.Severe cardiomegaly has been detected but Heart Failure is NOT suspected._x000D_
2.SEVERE ALVEOLAR INFILTRATE; MILD DYNAMIC AIRWAY DISEASE._x000D_
3.Based on these AI airway/pulmonary findings, the probability of this patient having clinically detectable respiratory signs is VERY HIGH (&gt;75%)_x000D_
4.AI link to bacterial pneumonia treatment in dogs: https://platform.v2.vetology.net/doc/pneumonia-in-dogs-and-cats_x000D_
5.Are respiratory signs present? If YES._x000D_
6.Are respiratory signs present? If NO._x000D_
7.The evaluation has a strong suspicion of pulmonary nodules or mass lesion being present._x000D_
8.Pleural fissure lines or moderate to severe pleural effusion has been detected. An overlying skin fold or in an obese animal, excessive pericardial fat could artifactually mimic the result of severe pleural effusion.</t>
  </si>
  <si>
    <t xml:space="preserve">Patient Name : Dylan Oakman, Date of study: Jul 11, 2024
1 images are provided for review
Canine Thorax (1 Images) - 1 Lateral  Single image limits evaluation.  
Prior images dated June 14, 2024 and previous are available.
Pulmonary parenchyma: A minimal to mild diffuse bronchial pattern is present.
Pulmonary vasculature: The pulmonary vasculature is subjectively normal in size and tapers in the periphery of the lungs.
Cardiac silhouette: The cardiac silhouette is mildly tall and occupies 2/3 the height of the thorax.  The trachea id dorsally displaced.
Mediastinum: The cranial mediastinum is normal.
Trachea: The trachea is normal.
Esophagus: The esophagus is not well-identified.
Pleural space: The pleural space is normal.
Musculoskeletal: The included musculoskeletal structures are normal.
Cranial abdomen:  Multiple mineral foci over the liver, unchanged from prior.  </t>
  </si>
  <si>
    <t>1. Equivocal left ventricular enlargement versus artifact from patient positioning/phase of the cardiopulmonary cycle.
- If present consider myxomatous mitral valvular disease and insufficiency.
- There is no evidence of congestive heart failure.
2. Minimal to mild diffuse bronchial pulmonary pattern due to fibrosis from prior disease, age-related changes, infectious/immune-mediated lower airway disease, or unlikely other.</t>
  </si>
  <si>
    <t>Echocardiography, ECG and blood pressure for further evaluation, as well as routine blood work and urinalysis if not recently performed.  Consider respiratory PCR panel, airway sampling, and fecal analysis/deworming for further evaluation of the lower airways.  Abdominal imaging for further evaluation of the liver/gallbladder.  Empirical therapy and supportive care in the interim as needed.  Monitoring as directed, or sooner if clinical signs acutely change, fail to improve or worsen.</t>
  </si>
  <si>
    <t xml:space="preserve">
1.Mild cardiomegaly has been detected but Heart Failure is NOT suspected._x000D_
2.There is no evidence of ALVEOLAR PATTERN, DYNAMIC AIRWAY COLLAPSE or BRONCHIECTASIS, PULMONARY NODULES or PLEURAL EFFUSION._x000D_
3.A minimal interstitial pulmonary pattern with a concurrent, mild perihilar infiltrate have been detected.</t>
  </si>
  <si>
    <t>A three view study of the thorax, lateral views of the front limbs, and a DP view that includes both front feet are provided for interpretation (six images). Previous radiographs of the forelimbs dated 12-27-21 are compared._x000D_
_x000D_
Forelimbs: There is an osseous body adjacent to the left acromion which is similar to the previous radiographs. No other shoulder abnormalities are seen._x000D_
Slight remodeling and osteophyte production is present involving the elbows, also similar to the previous study._x000D_
There is a fusiform osseous body at the dorsal medial aspect of the radius bilaterally. Similar pathology was present in the previous radiographs, the fragmented area appears to have smoothed some in the recheck interim and appears more mature. Mild osteophyte production is seen involving the left radiocarpal bone, which is slightly more prominent than it was previously._x000D_
_x000D_
In the DP view of the fee, the fifth digit of the left foot appear swollen. The second digit of the right foot also appear slightly swollen, this is less prominent._x000D_
_x000D_
Thorax: There is a mild diffuse bronchial pulmonary pattern. No alveolar infiltrates or pleural effusion are seen. The cardiovascular structures are within normal limits.</t>
  </si>
  <si>
    <t>There is a mild bronchial pattern which would be compatible with allergic bronchitis or low-grade infectious bronchitis. Considering the response to antibiotics, this likely represents resolving infectious bronchitis._x000D_
_x000D_
The orthopedic changes described are similar to previous radiographs two and half years ago. The distal radius changes are probably the result of chronic repetitive trauma. The elbow changes are minimal. These findings are unlikely to be responsible for the recent onset lameness. Soft tissue injury or inflammation would be more likely responsible._x000D_
The second digit of the right foot appears subtly swollen. The fifth digit of the left foot appears more swollen._x000D_
Cellulitis or traumatic injury involving the feet/digits should be ruled out as a cause of lameness.</t>
  </si>
  <si>
    <t>Physical exam evaluation of the feet and digits is recommended._x000D_
_x000D_
Restricted activity and anti-inflammatory therapy for possible soft tissue injury is recommended.</t>
  </si>
  <si>
    <t xml:space="preserve">
1.Are respiratory signs present? If YES._x000D_
2.MINIMAL to MILD BRONCHOINTERSTITIAL PULMONARY PATTERN; POTENTIAL FOR FOCAL ATELECTASIS._x000D_
3.Based on these AI airway/pulmonary findings, the probability of this patient having clinically detectable respiratory signs is LOW (25%)_x000D_
4.A minimal perihilar infiltrate has been detected._x000D_
5.Are respiratory signs present? If NO._x000D_
6.The cardiac silhouette size is normal._x000D_
7.There is no evidence of PLEURAL EFFUSION.</t>
  </si>
  <si>
    <t>Study:_x000D_
Thoracic radiography: three images dated July 11, 2024_x000D_
The VD view of the abdomen is also present in the study._x000D_
_x000D_
Findings:_x000D_
The cardiac silhouette and pulmonary vasculature are normal in size. There is a proximally 5.5 cm ovoid soft tissue opaque mass in the dorsal aspect of the right caudal lung lobe. Multiple smaller soft tissue opaque nodules are scattered throughout the pulmonary parenchyma. The pleural space is normal. There is no intrathoracic lymphadenopathy. The trachea is normal in diameter and course. Evaluation the abdomen is limited by the lack of lateral views. Both renal silhouettes appear moderately enlarged. There is no overt hepatomegaly. The head of the spleen appear is mildly to moderately enlarged with smooth margins. The stomach contains unstructured heterogeneous soft tissue material presumed to be ingesta. The small intestines are normal in size, course and content. The colon contains formed fecal material. There is variable mild to severe multifocal thoracolumbar spondylosis deformans. Mild periarticular bone formation is present the caudodistal aspect the humeral head bilaterally.</t>
  </si>
  <si>
    <t>1. The larger right caudal lung lobe mass is concerning for primary pulmonary neoplasia (carcinoma). Metastatic neoplasia or a granuloma cannot be completely excluded._x000D_
2. The smaller pulmonary nodules may indicate metastatic disease from the larger mass or a distant site neoplasm. Fungal disease is less likely in the absence of any tracheobronchial lymphadenopathy._x000D_
3. Bilateral renomegaly. Rule out nephritis, hydronephrosis or renal neoplasia. Sonography should be considered for further evaluation._x000D_
4. The generalized splenomegaly is nonspecific. Rule out extramedullary hematopoiesis, lymphoid hyperplasia, splenitis or infiltrative neoplasia. Sonography should be considered for further evaluation.</t>
  </si>
  <si>
    <t>A three view study of the thorax and a lateral abdomen view are provided._x000D_
_x000D_
Thorax: There is a moderate to severe diffuse bronchial pulmonary pattern. There is an ill defined area of slightly more prominent interstitial opacity in the right middle lung field. No mass lesions or pulmonary nodules are seen. Slight pleural effusion is identified. The cardiovascular structures are within normal limits._x000D_
_x000D_
Abdomen: Serosal detail in the abdomen is mildly reduced. There is increased ill defined opacity in the cranial abdomen. No discrete mass lesions are identified. The appearance of the GI tract is within normal limits._x000D_
There is an extra lumbar vertebra at the lumbosacral junction. Severe spondylosis deformans is present at this level._x000D_
Slight lucent mottling is identified involving the dorsal spinous process of L5. This is a subtle change and could be artifactual.</t>
  </si>
  <si>
    <t>There is a moderate to severe bronchial pattern with patchy interstitial opacity and slight pleural effusion. The appearance of the lungs is consistent with bronchitis._x000D_
There is ill defined increased cranial abdominal opacity and a mild reduction in abdominal detail._x000D_
Severe pancreatitis could potentially result in the abdominal radiographic changes and can sometimes be associated with pleural effusion. Overall the radiographic abnormalities are more prominent than what would normally be expected with pancreatitis so additional disease processes should still be ruled out._x000D_
Additional differentials for this combination of findings would include systemic infectious disease involving the thorax and abdomen including tickborne disease or fungal/protozoal disease, lymphoreticular neoplasia such as lymphoma or histiocytosis, and coagulopathy.</t>
  </si>
  <si>
    <t>Ultrasound of the abdomen is recommended to look for evidence of neoplasia vs. pancreatitis._x000D_
Supportive care and antibiotic therapy for bronchitis is recommended._x000D_
Serology to help rule out systemic infectious diseases including tickborne disease and fungal/protozoal disease is recommended.</t>
  </si>
  <si>
    <t xml:space="preserve">
1.A mild bronchial pattern has also been detected._x000D_
2.Are respiratory signs present? If YES._x000D_
3.PLEURAL EFFUSION or less likely, OVERLYING SKIN FOLDS MIMICKING PLEURAL FLUID; PULMONARY NODULAR PATTERN likely due to END ON PULMONARY VESSELS, PROMINENT COSTOCHONDRAL JUNCTIONS or OVERLYING CUTANEOUS NODULES; MILD BRONCHIAL PATTERN._x000D_
4.Based on these AI airway/pulmonary findings, the probability of this patient having clinically detectable respiratory signs is HIGH (75%)_x000D_
5.MODERATE INTERSTITIAL to ALVEOLAR INFILTRATE; MILD BRONCHIAL PATTERN._x000D_
6.Based on the AI airway/pulmonary findings, the probability of this patient having clinically detectable respiratory signs is HIGH (75%)_x000D_
7.Pleural fissure lines or moderate to severe pleural effusion has been detected._x000D_
8.The evaluation has a strong suspicion of pulmonary nodules or mass lesion being present._x000D_
9.A moderate perihilar infitlrate has been detected._x000D_
10.Are respiratory signs present? If NO._x000D_
11.The cardiac silhouette size is normal.</t>
  </si>
  <si>
    <t xml:space="preserve">Patient Name : Knicky Shafer, Date of study: Jul 11, 2024
3 images are provided for review
There are no previous radiographs for comparison.
Pulmonary parenchyma:  A mild to moderate diffuse bronchial pattern is present.  The thoracic limbs superimpose over the cranial thorax in the lateral images.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Only in the right lateral image, there is decreased gas opacity in the region of the larynx, and a focal soft tissue opacity is suspected in the region of the common pharynx. 
 This is not corroborated in the left lateral image, where the larynx is well-defined and gas filled.  The remaining included musculoskeletal structures are normal.
</t>
  </si>
  <si>
    <t xml:space="preserve">1. Mild-moderate diffuse bronchial pulmonary pattern.
- Differential diagnoses include infectious/immune-mediated lower airway disease such as from mycoplasma spp., bordetella spp., parasitism, or inhaled allergen/irritant, fibrosis from prior disease, age-related changes, or a combination of these or unlikely other.
2. Suspicious for laryngeal collapse/dynamic laryngeal disease, with/without underlying dynamic tracheal or lower airway disease.  </t>
  </si>
  <si>
    <t>Consider respiratory PCR panel, airway sampling, and fecal analysis for further evaluation.   Consider sedated laryngeal examination, tracheoscopy/bronchoscopy and fluoroscopy for further evaluation.   Empirical therapy and supportive care in the interim as needed.   Routine blood work and abdominal imaging if signs of anorexia fail to improve.   Monitoring as directed or sooner if clinical signs acutely change, fail to improve or worsen.</t>
  </si>
  <si>
    <t xml:space="preserve">
1.MILD BRONCHIAL PATTERN; MINIMAL DYNAMIC AIRWAY DISEASE._x000D_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ALVEOLAR PATTERN, PERIHILAR INFILTRATE or PULMONARY NODULES.</t>
  </si>
  <si>
    <t>4 images of the thorax and pelvis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Coverage of the femoral heads by the acetabular rims is adequate.  Osteophytes present on the femoral necks and acetabular rims.  No fractures or aggressive osseous lesions are seen.</t>
  </si>
  <si>
    <t>Radiographically normal thorax for patient of this age.  Mild to moderate bilateral coxofemoral DJD.</t>
  </si>
  <si>
    <t>4 images of the thorax and spine are provided for review.  The trachea is dorsally deviated, indicating left ventricular enlargement.  A bulge is present in the region of the left atrium.  No pulmonary infiltrates are seen.  The pulmonary vasculature is normal in size.  The mediastinal and pleural structures are normal.  Cranial abdominal detail is adequate.  There is narrowing of the intervertebral disc spaces C4-7 with spondylosis deformans at C6-7.  Additional intervertebral disc space narrowing is seen at T10-12.  No fractures or aggressive osseous lesions are seen.
(amended on 07/12/2024 09:06)
Cardiac size is similar to previous images dated 7/7/2023.</t>
  </si>
  <si>
    <t>Left-sided cardiomegaly without current evidence of cardiogenic pulmonary edema.  Echocardiography may be helpful in further evaluation.  Multiple sites of intervertebral disc space narrowing suggestive of herniations.  CT or MRI may be helpful.</t>
  </si>
  <si>
    <t xml:space="preserve">
1.Severe cardiomegaly has been detected but Heart Failure is NOT suspected._x000D_
2.MILD BRONCHOINTERSTITIAL PULMONARY PATTERN WITH ATELECTASIS or LESS LIKELY, PNEUMONIA, MILD PERIHILAR INFILTRATE._x000D_
3.MODERATE DYNAMIC AIRWAY DISEASE; MILD BRONCHOINTERSTITIAL PULMONARY PATTERN; ATELECTASIS or ALVEOLAR INFILTRATE._x000D_
4.Based on these AI airway/pulmonary findings, the probability of this patient having clinically detectable respiratory signs is MEDIUM (50%)_x000D_
5.Probability these AI pulmonary findings will accompany clinically detectable respiratory signs: MILD TO MODERATE (25-50%)_x000D_
6.AI linked information on dynamic airway collapse treatment in dogs: https://platform.v2.vetology.net/doc/canine-tracheal-collapse-treatment_x000D_
7.Are respiratory signs present? If NO._x000D_
8.Are respiratory signs present? If YES._x000D_
9.Are respiratory signs present? If NO._x000D_
10.Are respiratory signs present? If YES.</t>
  </si>
  <si>
    <t>A lateral radiograph of the thorax, and three views of the abdomen are provided. The cardiac silhouette and pulmonary vessels are normal size and shape. The lungs are clear. Normal tracheal diameter. No esophageal dilation. In the abdomen serosal detail is adequate. There is small volume gas in the stomach. Small bowel is minimally filled. The cecum is gas dilated. Small volume of formed feces in the colon. No radiopaque foreign material. Normal-sized liver, kidneys, spleen. The urinary bladder is mildly filled and soft tissue opaque.</t>
  </si>
  <si>
    <t>Normal thorax and abdomen. Gastroenteritis secondary to dietary indiscretion is most likely. There is no evidence of an obstructive process.</t>
  </si>
  <si>
    <t xml:space="preserve">Patient Name : Sue Rossow, Date of study: Jul 11, 2024
6 images are provided for review
There are no previous radiographs for comparison.  Motion artifact is present.  
Pulmonary parenchyma: A minimal to mild diffuse bronchial pattern is present.  this is exacerbated by motion artifact in some images.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Small broad-based soft tissue or fat nodule in the mid-ventral extra-thoracic soft tissues.  The remaining included musculoskeletal structures are normal.
</t>
  </si>
  <si>
    <t xml:space="preserve">1. Minimal-mild diffuse bronchial pulmonary pattern.
- Differential diagnoses include fibrosis from prior disease, age-related changes, infectious/immune-mediated lower airway disease such as from mycoplasma spp., bordetella spp., parasitism, or unlikely other.
2. No obvious pulmonary soft tissue nodules or intra-thoracic lymphadenomegaly.  
3. Presumed ventral extra-thoracic lipoma versus other.  </t>
  </si>
  <si>
    <t>Consider respiratory PCR panel, airway sampling, and fecal analysis for further evaluation.  Abdominal imaging to screen for occult systemic disease given reported clinical signs.  Empirical therapy and supportive care as needed in the interim.  Monitoring as directed or sooner if clinical signs acutely change, fail to improve or worsen.</t>
  </si>
  <si>
    <t xml:space="preserve">
1.The cardiac silhouette size is normal._x000D_
2.There is no evidence of PERIHILAR INFILTRATE, DYNAMIC AIRWAY COLLAPSE or BRONCHIECTASIS or PULMONARY NODULES._x000D_
3.A mild bronchial pattern has been detected._x000D_
4.Pleural fissure lines or small volume pleural effusion has been detected. In a mildly overweight animal, excessive pericardial fat can artifactually mimic the result of minimal pleural effusion.</t>
  </si>
  <si>
    <t>Three radiographs of the thorax/abdomen are provided. The cardiac silhouette and pulmonary vessels are normal size and shape. There is a mild bronchial pattern throughout the lungs consistent with age. Increased opacity overlying the ventral heart on both of the lateral views is due to pleural fat deposition and superimposed skin fold. Small volume gas in the caudal esophagus only on the left lateral view. No other evidence of esophageal dilation. Normal tracheal diameter. Mild congenital breed-related vertebral malformations in the thoracic spine, typically incidental. In the abdomen there is small volume gas in the stomach. Small intestines are mildly fluid-filled. There is gas and scant minimally formed feces in the colon. No radiopaque foreign material or urolithiasis. Normal size liver, spleen, kidneys. Mineral density overlying the L1-2, L2-3, L4-5 intervertebral foramina are doubtful clinical significance today.</t>
  </si>
  <si>
    <t>Transient gas in the caudal esophagus consistent with aerophagia. Otherwise normal thorax and abdomen. There is no convincing evidence of megaesophagus or gastrointestinal obstruction. A reason for hyporexia is not identified.</t>
  </si>
  <si>
    <t>Six radiographs of the thorax and thoracic limbs are provided. There are no abnormalities in the cervical spine. Normal scapulae. Both humeral heads are smoothly contoured and the glenohumeral joints are congruent. The appearance of small mineral density extending lateral to the right humeral greater tubercle on the 1st craniocaudal view is superimposed portion of the scapula. Cortical and medullary opacities are uniform. Questionable enthesophyte formation on the left ulnar anconeal process on the lateral view. Carpal bone alignment is normal. No left metacarpal or phalangeal osseous or soft tissue abnormalities. Tissues of the distal right manus appear thickened on the dorsopalmar projections, but may be due to digit positioning.</t>
  </si>
  <si>
    <t>Questionable enthesophyte formation on the left ulnar anconeal process, concerning for medial coronoid process disease. No other abnormalities are identified to explain lameness. Soft tissue sprain/strain should be considered.</t>
  </si>
  <si>
    <t>Recommend supportive care with anti-inflammatories. If there is no improvement and lameness is localized to the elbow, cross-sectional elbow imaging with computed tomography would be recommended.</t>
  </si>
  <si>
    <t xml:space="preserve">
1.MILD BRONCHOINTERSTITIAL PULMONARY PATTERN; MILD DYNAMIC AIRWAY DISEASE; ATELECTASIS or less likely, pneumonia._x000D_
2.Based on these AI airway/pulmonary findings, the probability of this patient having clinically detectable respiratory signs is MEDIUM (50%)_x000D_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6.The cardiac silhouette size is normal.</t>
  </si>
  <si>
    <t>Four radiographs of the abdomen/thorax are provided. The urinary bladder is mildly filled and soft tissue opaque. No abnormalities in the region of the medial iliac lymph nodes. The kidneys are normal size, shape, and opacity. Normal-sized spleen. The liver extends slightly caudoventral to the stomach, maintaining crisp margins, and there is no deviation of the gastric axis. The gastrointestinal tract is mildly filled. No osseous abnormalities. In the thorax cardiovascular structures are normal size and shape. The lungs are clear. No pleural effusion.</t>
  </si>
  <si>
    <t>Normal abdomen and thorax. There is no evidence of radiopaque urolithiasis.</t>
  </si>
  <si>
    <t xml:space="preserve">
1.MODERATE INTERSTITIAL TO ALVEOLAR PATTERN; MILD BRONCHITIS._x000D_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DYNAMIC AIRWAY COLLAPSE or BRONCHIECTASIS._x000D_
7.Pleural fissure lines or moderate to severe pleural effusion has been detected. An overlying skin fold or in an obese animal, excessive pericardial fat could artifactually mimic the result of severe pleural effusion.</t>
  </si>
  <si>
    <t>A three view thoracoabdominal study and a VD view of the pelvis are provided for interpretation._x000D_
_x000D_
There is an ill defined lobular mass effect and slightly reduced detail in the mid to cranial abdomen. The appearance is predominantly in the area of the spleen. A discrete mass lesion cannot be identified. The other abdominal organs are within normal limits. No abnormalities are identified involving the GI tract._x000D_
_x000D_
The cardiovascular structures are within normal limits. No pulmonary nodules or parenchymal infiltrates are identified. No thoracic lymphadenopathy or pleural effusion is seen._x000D_
_x000D_
No spinal abnormalities are identified. The pelvis and hips are within normal limits. No destructive or productive bone lesions are seen.</t>
  </si>
  <si>
    <t>There is an ill-defined mass effect in the mid to cranial abdomen in the general area of the spleen._x000D_
Primary differentials for this appearance would include a mass lesion involving the spleen, mesenteric lymphadenopathy, splenic torsion, and mass involving the pancreas or liver._x000D_
_x000D_
No musculoskeletal abnormalities are identified._x000D_
No thoracic abnormalities are identified.</t>
  </si>
  <si>
    <t>Abdominal neoplasia with brain metastasis and seizure is a primary differential for the presenting complaint in this patient._x000D_
Splenic mass with an internal bleed into the spleen and acute anemia/hypoxia should also be ruled out._x000D_
Lymphoma involving the abdomen and CNS could also have a similar presentation._x000D_
_x000D_
Ultrasound of the abdomen is recommended, with FNA and cytologic evaluation of any relevant anatomic abnormalities found.</t>
  </si>
  <si>
    <t xml:space="preserve">
1.A minimal interstitial pattern has been detected._x000D_
2.Pleural fissure lines or small volume pleural effusion has been detected. In a mildly overweight animal, excessive pericardial fat can artifactually mimic the result of minimal pleural effusion._x000D_
3.A mild perihilar infiltrate has been detected._x000D_
4.The evaluation has come up positive for a pulmonary nodular pattern._x000D_
5.The cardiac silhouette size is normal._x000D_
6.There is no evidence of BRONCHITIS or DYNAMIC AIRWAY COLLAPSE or BRONCHIECTASIS.</t>
  </si>
  <si>
    <t>Thorax: The pulmonary parenchyma, cardiac silhouette, and pulmonary vasculature are unremarkable.  There is no evidence of pleural effusion or lymphadenopathy.  There is a increase in soft tissue opacity associate with the dorsal aspect of the extrathoracic trachea.  On the right lateral view there is an irregular lucency superimposed over the vertebral body of C5.  This is not identified on the other views.</t>
  </si>
  <si>
    <t>Unremarkable thorax._x000D_
_x000D_
Increase in soft tissue opacity associated with the dorsal aspect of the extrathoracic trachea which may reflect a redundant dorsal tracheal membrane and/or rotational obliquity artifact._x000D_
_x000D_
The lucent region seen over the vertebral body of C5 most likely represents a summation artifact.  True lysis cannot definitively be ruled out.</t>
  </si>
  <si>
    <t xml:space="preserve">
1.There is no evidence of BRONCHITIS or PULMONARY NODULES._x000D_
2.A mild perihilar infiltrate has been detected._x000D_
3.Minimal dynamic airway disease has been detected._x000D_
4.Mild cardiomegaly has been detected but Heart Failure is NOT suspected.</t>
  </si>
  <si>
    <t>5 survey radiographs made July 10 along with a contrast study of the thorax, esophagus, and stomach mid July 11 are submitted for review.  A total of 9 films are available._x000D_
All of the images are reported in this report._x000D_
In the initial study, a large, fairly well-demarcated generally ovoid shaped soft tissue opacity lesion is noted in the right caudal dorsal thorax.  The structure appears to be space-occupying as there is ventral deviation of the carina and caudal lobar bronchus on the right.  Mild bronchointerstitial markings are noted throughout the remainder of the lung fields.  The cardiac silhouette and pulmonary vasculature are normal in size and shape.  The trachea is normal in diameter for the breed.  In the abdomen, the stomach is markedly distended with gas and also contains a mild to moderate amount of what appears to be kibble or other food like material.  No other abnormalities are noted in the abdomen.  At least 1 congenital hemivertebra is noted in the mid thoracic spine, typical for the breed._x000D_
In the follow-up studies, a trace amount of barium delineates the intrathoracic esophagus on the VD view.  There is slight leftward deviation of the esophagus from the level of the cardiac silhouette caudally.  This corresponds to the cranial aspect of the aforementioned soft tissue opacity structure.  On the lateral view, a mild amount of e barium is noted in the caudal cervical and cranial intrathoracic esophagus.  The mucosal margins appear smooth.  The barium column is somewhat truncated and the esophagus contains a minimal amount of gas with barium lining the mucosa from the cranial edge of the soft tissue opacity caudally extending into the stomach. A mild amount of barium is noted in the gravity-dependent region of the stomach.  The stomach is also markedly gas-distended.  The previously noted food like material is no longer visible.  The soft tissue opacity in the caudal dorsal thorax is persistent with fairly well-demarcated, smooth curvilinear margins.  The ventral displacement of the caudal lobar bronchus is still evident as well.  The margins of the structure are less well-defined on the VD view however.</t>
  </si>
  <si>
    <t>These findings are most consistent with a large, generally ovoid shaped space-occupying soft tissue opacity mass lesion in the right caudal thorax.  This could be associated with a fluid-filled or other soft tissue opacity space-occupying mass in the caudal mediastinum, medial to the right caudal lung lobe or lesion within the caudal lung lobe itself.  A pulmonary abscess, other soft tissue opacity solid or fluid-filled structure, or atypical appearing bronchopneumonia could be considered.  Additionally, I cannot definitively exclude the possibility of a paraesophageal hiatal hernia although this is thought to be less likely given the No barium fills the structure and essentially all of the stomach appears to be located in the abdomen in its normal anatomic position.  A solid mass such as a neoplastic lesion also cannot be definitively excluded but would be much less likely given the very young age of the patient.  No evidence of esophageal communication is noted in the barium images.  The marked distention of the stomach could be consistent with gastric ileus.  Some component of aerophagia is also possible.</t>
  </si>
  <si>
    <t>Correlation with a CBC is recommended.  A thoracic CT scan should also be very helpful for further delineation of the exact location and character of the lesion.</t>
  </si>
  <si>
    <t xml:space="preserve">
1.MODERATE TO SEVERE INTERSTITIAL TO ALVEOLAR PATTERN; PLEURAL EFFUSION or PLEURAL FISSURE LINES; PULMONARY NODULES or NODULAR PATTERN; MILD BRONCHITIS._x000D_
2.Based on the AI airway/pulmonary findings, the probability of this patient having clinically detectable respiratory signs is VERY HIGH (&gt;75%)_x000D_
3.The evaluation has a suspicion of soft tissue pulmonary nodules or mass lesion being present._x000D_
4.Are respiratory signs present? If YES._x000D_
5.Are respiratory signs present? If NO._x000D_
6.Mild cardiomegaly has been detected but Heart Failure is NOT suspected.</t>
  </si>
  <si>
    <t>THORAX (4 total radiographs for review). _x000D_
_x000D_
- Soft tissue opaque band dorsally overlying the trachea in the region of the thoracic inlet_x000D_
- Mild, diffuse bronchial pattern._x000D_
- The cardiac silhouette and pulmonary vasculature are normal._x000D_
- The pulmonary parenchyma is normal_x000D_
- The trachea, esophagus and remainder of the mediastinum are normal._x000D_
- The pleural space and remaining intrathoracic structures are normal._x000D_
- Stomach contains a mild volume of gas and mild gas-stippled soft tissue opaque material.</t>
  </si>
  <si>
    <t>1. The appearance of the trachea can be compatible with tracheal collapse secondary to chondromalacia. _x000D_
_x000D_
2. Mild diffuse bronchial pattern. Considering the historical coughing, chronic bronchitis is possible. It may have an allergic, infectious or inhaled irritant component._x000D_
_x000D_
3. Aerophagia.</t>
  </si>
  <si>
    <t>In this case, the patient=ZZ91=s coughing could be multifactorial and related to one or more of chronic lower airway disease and/or tracheal collapse. Evaluation for and empirical treatment towards either of these pathologies may provide clinical benefit</t>
  </si>
  <si>
    <t xml:space="preserve">
1.MILD BRONCHIAL PATTERN; MINIMAL DYNAMIC AIRWAY DISEASE._x000D_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PERIHILAR INFILTRATE.</t>
  </si>
  <si>
    <t>Study:_x000D_
Thoracic radiography: three images dated July 10, 2024_x000D_
_x000D_
Findings:_x000D_
The cardiac silhouette and pulmonary vasculature are normal in size. The pulmonary parenchyma is unremarkable. The pleural space is normal. There is no intrathoracic lymphadenopathy. There is a broad-based soft tissue opaque band superimposed with the cervical trachea lumen representing other redundant dorsal tracheal membrane or superimposition of the esophagus. The trachea is normal in diameter and course. The included abdomen is unremarkable. No skeletal abnormalities are present.</t>
  </si>
  <si>
    <t>Study:_x000D_
Thoracolumbar/lumbosacral spinal (including the thorax and abdomen), pelvic and pelvic limb radiography: five images dated July 10, 2024_x000D_
_x000D_
Findings:_x000D_
There is no intervertebral disc space or foraminal narrowing. There is no evidence of discospondylitis. The coxofemoral joints are normal with good coverage of the femoral head by the acetabulum bilaterally. The pelvis and sacroiliac joints are normal. The patella is in the correct anatomic location bilaterally. The degree of soft tissue opacity within the stifle joint spaces is within normal limits. No degenerative change is present in either stifle. The bones of the tarsus and pes are unremarkable bilaterally. The pelvic limb musculature is similar in size bilaterally. The included thorax and abdomen are unremarkable.</t>
  </si>
  <si>
    <t>The osseous structures are unremarkable. The lack of any apparent intervertebral disc space narrowing does not exclude the possibility of intervertebral disc disease. Neurology consultation and MRI can be considered for further evaluation if clinical signs persist or worsen in spite of strict activity restriction and pain management.</t>
  </si>
  <si>
    <t>A three view study of the thorax is provided for interpretation._x000D_
_x000D_
The heart is within normal size limits overall. There is a slight bulge at the caudal heart base in the area of the left atrium. Pulmonary vessels are normal. The thorax is hypoinflated in all three views. The cranial abdomen is only minimal included, but appears distended with reduced detail. This is likely contributing to reduced thoracic inflation. There is a bronchointerstitial pulmonary pattern. The lung pattern is suspected to be mostly the result of hypoinflation artifact an age-related change. Airway inflammation cannot be excluded. No pulmonary nodules or pleural effusion are seen. No tracheal or esophageal abnormalities are identified.</t>
  </si>
  <si>
    <t>There is a slight bulge in the area of the left atrium, the appearance is equivocal. Mild left atrial dilation may be present but overall heart size still appears normal._x000D_
The pulmonary changes are suspected to be mostly the result of age related change and hypoinflation artifact. Bronchitis should still be ruled out if coughing is present. The lung pattern is not suspected to be related to heart disease._x000D_
No changes concerning for neoplasia are identified.</t>
  </si>
  <si>
    <t>No thoracic abnormalities felt to be clinically significant are identified.</t>
  </si>
  <si>
    <t xml:space="preserve">
1.MODERATE INTERSTITIAL TO ALVEOLAR INFILTRATE; CONCURRENT MODERATE BRONCHIAL PATTERN; MILD PERIHILAR INFILTRATE._x000D_
2.MODERATE BRONCHOINTERSTITIAL PULMONARY PATTERN; ALVEOLAR INFILTRATE or ATELECTASIS; DYNAMIC AIRWAY DISEASE._x000D_
3.Based on the AI airway/pulmonary findings, the probability of this patient having clinically detectable respiratorysigns is MEDIUM to HIGH (50-75%)_x000D_
4.Based on these AI airway/pulmonary findings, the probability of this patient having clinically detectable respiratory signs is HIGH (75%)_x000D_
5.Are respiratory signs present? If YES._x000D_
6.Pleural fissure lines or moderate to severe pleural effusion has been detected. An overlying skin fold or in an obese animal, excessive pericardial fat could artifactually mimic the result of severe pleural effusion._x000D_
7.Mild cardiomegaly has been detected but Heart Failure is NOT suspected._x000D_
8.Are respiratory signs present? If YES._x000D_
9.Are respiratory signs present? If NO._x000D_
10.AI linked bacterial pneumonia treatment in dogs: https://platform.v2.vetology.net/doc/pneumonia-in-dogs-and-cats_x000D_
11.Are respiratory signs present? If NO._x000D_
12.The evaluation has a strong suspicion of pulmonary nodules or mass lesion being present.</t>
  </si>
  <si>
    <t xml:space="preserve">Patient Name : Zephyr Preston, Date of study: Jul 10, 2024
5 images are provided for review
There are no previous radiographs for comparison.  The ventrodorsal image has no labels and is flipped.
Pulmonary parenchyma: A moderate interstitial pattern to alveolar pattern is present in the cranial subsegment of the left cranial lung lobe.  A moderate alveolar pattern is in the caudal subsegment of the left cranial lung lobes.  Faint and well-defined air-bronchograms are present in the caudal subsegment.  A mild to moderate interstitial pattern is present in the right cranial lung lobe.  A minimal to mild diffuse bronchial pattern is present.
Pulmonary vasculature: The pulmonary vasculature is subjectively normal in size and tapers in the periphery of the lungs.
Cardiac silhouette: The cardiac silhouette is normal in size and shape.
Mediastinum: A leftward mediastinal shift is present.
Trachea: The trachea is normal.
Esophagus: The esophagus contains minimal gas or is empty.  
Pleural space: The pleural space is normal.
Musculoskeletal:  Presumed superimposed normal structures/mineralized laryngeal cartilages over the cranial cervical region.  The included musculoskeletal structures are normal.
</t>
  </si>
  <si>
    <t xml:space="preserve">1. Bilateral cranial lung lobe alveolar or interstitial patterns.
- Differential diagnoses include bronchopneumonia/aspiration pneumonia, or unlikely hemorrhage, or other such as atypical neoplasia.
2. Minimal to mild diffuse bronchial pulmonary pattern due to fibrosis from prior disease, age-related changes, infectious/immune-mediated lower airway disease (such as from mycoplasma spp., bordetella spp., parasitism, or other), or unlikely other.
3. Leftward mediastinal shift due to atelectasis/recumbency is suspected.
4. Presumed incidental laryngeal cartilage mineralization.  </t>
  </si>
  <si>
    <t>Therapy for suspected bronchopneumonia as needed in the interim.  Consider therapy for 1-2 weeks past radiographic resolution of signs.  If signs of dyspnea or stertor/stridor are present or manifest, consider sedated laryngeal examination for further evaluation.   Monitor with routine blood work and thoracic imaging as directed, or sooner if clinical signs acutely change, fail to improve or worsen.</t>
  </si>
  <si>
    <t xml:space="preserve">
1.MODERATE INTERSTITIAL to ALVEOLAR INFILTRATE; MILD BRONCHIAL PATTERN._x000D_
2.Based on the AI airway/pulmonary findings, the probability of this patient having clinically detectable respiratory signs is HIGH (75%)_x000D_
3.Are respiratory signs present? If YES._x000D_
4.Are respiratory signs present? If NO._x000D_
5.The cardiac silhouette size is normal.</t>
  </si>
  <si>
    <t>6 views of the thorax and abdomen are submitted for review._x000D_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attains a mild amount of gas.  The small bowel is normal in uniform diameter.  Formed stool is noted throughout the colon.  The liver and spleen are normal in size, shape, and margination.  The bilateral renal silhouettes are within normal limits.  The urinary bladder is unremarkable.  Serosal detail is normal._x000D_
No aggressive bony changes are seen.</t>
  </si>
  <si>
    <t>Radiographically normal thorax and abdomen.  An explanation for the clinical signs is not radiographically evident.  Urinary incontinence or urinary tract infection cannot be excluded._x000D_
The normal appearance of the thorax is not inconsistent with mild/subclinical heartworm disease.</t>
  </si>
  <si>
    <t>Correlation with blood work and urinalysis, and abdominal ultrasound may be helpful.</t>
  </si>
  <si>
    <t>5 lateral views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spleen is irregularly margined.  The stomach contains a moderate amount of ingesta with several small mineral structures.  The small intestines are normal in size.  Gas and feces with mineral structures are present in the colon.  The urinary bladder is small.  The remaining abdominal organs are normal.  There is spondylosis deformans of the thoracolumbar and lumbosacral spine.</t>
  </si>
  <si>
    <t>Gastric and colonic mineral foreign material, likely secondary to bone ingestion.  Irregular spleen concerning for nodules.  These are nonspecific may represent regeneration, extramedullary hematopoiesis, inflammation, neoplasia.  This is consistent with the previous ultrasound findings.  Repeat ultrasound and aspirates may be helpful.  Radiographically normal thorax for patient of this age on the views provided.</t>
  </si>
  <si>
    <t xml:space="preserve">
1.PLEURAL EFFUSION or less likely, OVERLYING SKIN FOLDS MIMICKING PLEURAL FLUID; PULMONARY NODULAR PATTERN likely due to END ON PULMONARY VESSELS, PROMINENT COSTOCHONDRAL JUNCTIONS or OVERLYING CUTANEOUS NODULES; MILD BRONCHIAL PATTERN._x000D_
2.Based on these AI airway/pulmonary findings, the probability of this patient having clinically detectable respiratory signs is HIGH (75%)_x000D_
3.Pleural fissure lines or moderate to severe pleural effusion has been detected._x000D_
4.The evaluation has a strong suspicion of pulmonary nodules or mass lesion being present._x000D_
5.A mild bronchial pattern has also been detected._x000D_
6.PULMONARY NODULAR PATTERN; MINIMAL BRONCHOINTERSTITIAL PULMONARY PATTERN._x000D_
7.Based on these AI airway/pulmonary findings, the probability of this patient having clinically detectable respiratory signs is MEDIUM (50%)_x000D_
8.Are respiratory signs present. If NO._x000D_
9.MILD BRONCHOINTERSTITIAL PULMONARY PATTERN; MINIMAL DYNAMIC AIRWAY DISEASE._x000D_
10.The evaluation has come up positive for a pulmonary nodular pattern._x000D_
11.Are respiratory signs present. If YES._x000D_
12.Based on these AI airway/pulmonary findings, the probability of this patient having clinically detectable respiratory signs is LOW to MEDIUM (25-50%)_x000D_
13.Are respiratory signs present? If YES._x000D_
14.Are respiratory signs present? If NO._x000D_
15.The cardiac silhouette size is normal._x000D_
16.There is no evidence of PERIHILAR INFILTRATE.</t>
  </si>
  <si>
    <t xml:space="preserve">Patient name: 30526029. Date of study: 7/10/24. Three radiographs of the thorax and cranial abdomen are available for interpretation. Prior radiographs dated 8/15/23 and 2/5/24 are available for comparison.
Thorax:
Airway/pulmonary parenchyma: On the right lateral projection, a H:1.1 cm x L: 0.6 cm soft tissue opaque nodule overlies the 4th intercostal space immediately ventral to the trachea. On the VD projection, this nodular opacity may overlie the left 4th and a portion of the 5th intercostal spaces and is considered less likely to represent a nipple. 
A mixed heavy interstitial and alveolar infiltrate overlies the region cranial to the heart and in the accessory lung lobe region which has progressed in the recheck interim. The CVC is obscured on the lateral projection. On the VD projection, the pulmonary infiltrate is most severe at the medial aspect of the left caudal lung lobe. 
Hypoinflation is present on all studies, most severe on the most recent study. The diffuse bronchointerstitial pulmonary pattern and bronchiectasis have progressed in the recheck interim. 
A second nodular opacity overlies the right 3rd intercostal space on the VD projection, but the appearance and location of this opacity is consistent with an overlying nipple. 
Cardiovascular: Cardiac size has increased when compared to the 2/5/24 study but is considered similar in size when compared to the 8/15/23 study. On the VD projection, left caudal pulmonary artery size has increased in the recheck interim. On the lateral projection, the pulmonary vasculature in the caudodorsal thorax has enlarged in the recheck interim. While the CVC is partially obscured, CVC enlargement is suspected. The degree of pericardial fat has increased in the recheck interim. 
Mediastinum: Mild widening to the cranial mediastinum is present on the VD projection secondary to fat deposition. 
Pleural space: Normal
Cranial abdomen: An increase in soft tissue opacity is noted ventral to the pyloric region creating the appearance of a rounded and mildly lobular caudal liver margin. Additionally, the pylorus is dorsally displaced which was not present on the prior studies. Abdominal detail in this region is decreased, similar to the 8/15/23 study. 
Msk: Quantity of fat deposition has increased in the recheck interim which may be contributing to the hypoinflation secondary to abdominal distention. Caudal thoracic chronic degenerative changes are static in the recheck interim. </t>
  </si>
  <si>
    <t xml:space="preserve">1) Progressive cardiomegaly and suspected CVC enlargement. The decrease in abdominal detail in the recheck interim is concerning for abdominal fluid. Right heart failure should be ruled out. 
2) Left caudal pulmonary vessel enlargement with accompanying pulmonary infiltrate. Rule out overcirculation edema due to PTE affecting other lung lobes.
3) Potential soft tissue nodule in the left lung. This should be monitored for progression via radiographs or consider a thoracic CT after assessing the heart. A tuberculosis lesion should also be considered. 
4) Progressive bronchointerstitial pulmonary pattern. Cranioventral and ventral accessory lung lobe infiltrates. DDx: PTE vs. overcirculation edema vs. concurrent pneumonia.
5) Potential liver nodule or mass. </t>
  </si>
  <si>
    <t>Cardiac ultrasound with evaluation of the liver to assess for evidence of left and right heart failure. Ultrasound evaluation of the liver to also assess for a liver nodule/mass. Rule out tuberculosis. 
Follow up on the potential pulmonary nodule in the left lung via repeat thoracic radiographs in 1 month vs. thoracic CT after evaluating the heart.</t>
  </si>
  <si>
    <t xml:space="preserve">
1.Are respiratory signs present? If NO._x000D_
2.SEVERE ALVEOLAR INFILTRATE; MILD PERIHILAR PATTERN; MORE DIFFUSE MILD BRONCHOINTERSTITIAL PULMONARY PATTERN._x000D_
3.Based on the AI airway/pulmonary findings, the probability of this patient having clinically detectable respiratory signs is HIGH (75%)_x000D_
4.Are respiratory signs present? If YES._x000D_
5.AI linked canine pneumonia treatment: https://platform.v2.vetology.net/doc/pneumonia-in-dogs-and-cats_x000D_
6.Pleural fissure lines or moderate pleural effusion has been detected. An overlying skin fold or in a moderately overweight animal, excessive pericardial fat could artifactually mimic the result of moderate pleural effusion._x000D_
7.The cardiac silhouette size is normal.</t>
  </si>
  <si>
    <t>Study:_x000D_
Thoracic radiography: three images dated July 10, 2024_x000D_
_x000D_
Findings:_x000D_
The cardiac silhouette is normal in size and shape. The pulmonary vasculature is normal in size. The pulmonary parenchyma is unremarkable. No pulmonary nodules or masses are present. The pleural space is normal. There is no intrathoracic lymphadenopathy. The trachea is normal in diameter. The included abdomen is unremarkable. There is mild to moderate multifocal spondylosis deformans present. There is pronounced incidental age-related degenerative change at the costochondral junction. These changes superimposed with the pulmonary parenchyma on the VD view giving the false impression of pulmonary nodules in these regions. The patient is of overweight body condition.</t>
  </si>
  <si>
    <t>1. Normal thorax. There is no radiographic evidence of pulmonary metastatic disease. Abdominal sonography should be considered for further staging of the reported rectal mass._x000D_
2. A cause of coughing is not evident. Consider laryngeal paralysis. Lack of a definitive bronchial pulmonary pattern does not exclude the possibility of allergic/inflammatory, infectious, irritant or parasitic bronchitis. Sedated laryngeal exam, airway sampling plus/minus heartworm testing and Baermann fecal flotation can be considered to further evaluate the reported coughing.</t>
  </si>
  <si>
    <t xml:space="preserve">
1.A severe bronchial pattern has been detected._x000D_
2.The cardiac silhouette size is normal._x000D_
3.There is no evidence of DYNAMIC AIRWAY COLLAPSE or BRONCHIECTASIS._x000D_
4.A minimal interstitial pulmonary pattern with a concurrent, minimal perihilar infiltrate have been detected.</t>
  </si>
  <si>
    <t>Three radiographs of the thorax, VD view of the thorax/abdomen, and a lateral view of the thoracolumbar spine are provided. The cardiac silhouette is normal size and shape on the thoracic views. The left atrium is visible on the VD thorax/abdomen view, likely due to slight rotation. Pulmonary vessels are reduced in size. There are no abnormalities in the pulmonary parenchyma or pleural space. Normal tracheal diameter. Narrowed C2-3 and C6-7 intervertebral disc spaces. Smoothly marginated round 0.5 cm mineral density dorsal to the mid thoracic spine is likely an incidental granuloma. _x000D_
_x000D_
There are 13 thoracic vertebrae with ribs. Only six lumbar vertebrae. Markedly reduced dorsal articular facets at T10-11, T11-12. Reduced size of the T12-13 intervertebral foramen and L4-5 intervertebral disc space. Mild ventral spondylosis deformans in the caudal lumbar spine, of doubtful significance. In the abdomen there is no effusion or organomegaly. The gastrointestinal tract is moderately filled. The urinary bladder is not definitively seen. No radiopaque urolithiasis is appreciated. Normal coxofemoral joints.</t>
  </si>
  <si>
    <t>1. Narrowed C2-3, C6-7, L4-5 intervertebral disc spaces and T12-13 intervertebral foramen are all suggestive of intervertebral disc disease. Such a lesion at these or another site is the most likely cause for the neurologic deficits. This patient has reduced dorsal articular facets, which can be seen in this breed and can predispose to spinal instability._x000D_
2. Reduced pulmonary vascular size, likely hypovolemia. No other cardiovascular abnormalities are appreciated, although underlying cardiac disease could be masked by hypovolemia. Otherwise normal thorax and abdomen.</t>
  </si>
  <si>
    <t>Consultation with a neurologist and advanced spinal imaging with CT/MRI should be considered.</t>
  </si>
  <si>
    <t xml:space="preserve">
1.MODERATE INTERSTITIAL TO ALVEOLAR PATTERN with PNEUMONIA or ATELECTASIS; MILD DYNAMIC AIRWAY DISEASE._x000D_
2.Based on these AI airway/pulmonary findings, the probability this patient will have clinically detectable respiratory signs is LOW to MEDIUM (25-50%)_x000D_
3.Are respiratory signs present? If YES._x000D_
4.Are respiratory signs present? If NO._x000D_
5.Mild cardiomegaly has been detected but Heart Failure is NOT suspected._x000D_
6.There is no evidence of BRONCHITIS, PERIHILAR INFILTRATE, PULMONARY NODULES or PLEURAL EFFUSION.</t>
  </si>
  <si>
    <t>Six radiographs of the thorax and abdomen are provided. There is equivocal prominence of the left atrium. Cardiac to thoracic ratio and pulmonary vessel size is normal. Mild age-related changes in the lungs. No pleural effusion. No intrathoracic lymphadenomegaly. Adequate tracheal diameter. No narrowed cervical intervertebral disc spaces. Normal proximal thoracic limbs. In the abdomen formed feces fills the colon. The stomach and small bowel are mildly filled. No radiopaque foreign material. Normal-sized liver, spleen, kidneys. No radiopaque urolithiasis. No narrowed intervertebral disc spaces or foramina in the thoracic or lumbar spine.</t>
  </si>
  <si>
    <t>Equivocal prominent left atrium suggestive of chronic degenerative mitral valve disease. This is incidental today. Otherwise normal thorax and abdomen. A reason for the clinical signs is not identified. Non-mineralized intervertebral disc protrusion/extrusion is the most likely diagnosis.</t>
  </si>
  <si>
    <t>If there are no significant neurologic deficits and pain can be medically managed, recommend conservative treatment with anti-inflammatories and strict rest. If there is no improvement or the patient develops neurologic deficits, consultation with a neurologist and advanced spinal imaging with MRI would be recommended.</t>
  </si>
  <si>
    <t>Study:_x000D_
Thoracic radiography: three images dated July 10, 2024_x000D_
_x000D_
Orthogonal views of the left tarsus/pes are also included in the study is not interpreted based on the thoracic review type._x000D_
_x000D_
Findings:_x000D_
The cardiac silhouette and pulmonary vasculature are normal in size on the right lateral view, there is an indistinct 1.6 cm ovoid soft tissue opacity superimposed with the cardiac silhouette at the level of the seventh ribs. This finding is not seen on the orthogonal view. The pleural space is normal. There is no intrathoracic lymphadenopathy. The trachea is normal in diameter and course. The stomach contains granular soft tissue material presumed to be ingesta. There is minimal spondylosis deformans at T4-T5 and T5-T6 spondylosis deformans. The patient is of overweight body condition.</t>
  </si>
  <si>
    <t>1. Suspect solitary pulmonary nodule. Rule out primary pulmonary neoplasia, metastatic neoplasia or granuloma. A superimposition artifact cannot be excluded given the lack of visibility on the VD view. Computed tomography of the thorax can be considered for further evaluation._x000D_
2. There is no evidence of intrathoracic lymphadenopathy. Abdominal sonography can be considered for further staging pending peripheral lymph node aspirates.</t>
  </si>
  <si>
    <t xml:space="preserve">
1.MILD BRONCHOINTERSTITIAL PULMONARY PATTERN WITH ATELECTASIS or LESS LIKELY, PNEUMONIA, MILD PERIHILAR INFILTRATE._x000D_
2.Probability these AI pulmonary findings will accompany clinically detectable respiratory signs: MILD TO MODERATE (25-50%)_x000D_
3.Are respiratory signs present? If YES._x000D_
4.The cardiac silhouette size is normal._x000D_
5.Are respiratory signs present? If NO.</t>
  </si>
  <si>
    <t>7 images of the thorax and thoracic limbs are presented for review.  The cardiovascular structures are normal.  There is a diffuse moderate bronchial pulmonary pattern.  No pulmonary nodules or enlarged intrathoracic lymph nodes are seen.  The pleural and mediastinal structures are normal.  Cranial abdominal detail is adequate.  There is spondylosis deformans of the thoracic spine.  The joint surfaces are smooth and regular.  No fractures or aggressive osseous lesions are seen.  Mild osteophyte formation is seen on the right anconeal process.</t>
  </si>
  <si>
    <t>Minimal right elbow DJD.  Moderate bronchial pulmonary pattern=ZZ90= consider bronchitis, response to inhaled irritants, response to circulating parasites, eosinophilic bronchopneumopathy.</t>
  </si>
  <si>
    <t xml:space="preserve">
1.A mild bronchial pattern has been detected._x000D_
2.The cardiac silhouette size is normal._x000D_
3.There is no evidence of DYNAMIC AIRWAY COLLAPSE or BRONCHIECTASIS or PLEURAL EFFUSION.</t>
  </si>
  <si>
    <t>Three radiographs of the thorax are provided. The cardiac silhouette is normal size and shape, with no chamber enlargement. There are faint bronchial markings throughout the lungs consistent with the patient=ZZ91=s age. No pleural effusion, pulmonary nodules, or enlarged intrathoracic lymph nodes. Small round soft tissue densities overlying and adjacent to the heart are end-on pulmonary vessels. Normal tracheal diameter. No esophageal dilation. No definitive narrowed intervertebral disc spaces or foramina. Normal proximal thoracic limbs. In the cranial abdomen there is no organomegaly or effusion.</t>
  </si>
  <si>
    <t>Normal thorax. A reason for the clinical signs is not identified.</t>
  </si>
  <si>
    <t>Recommend a CBC, blood chemistry profile, and cranial nerve assessment.
(amended on 07/11/2024 06:12)
With the reported adrenomegaly, hepatic nodules, and elevated hepatic enzymes, also consider testing for Cushing=ZZ91=s, which could predispose to hypercoagulability.</t>
  </si>
  <si>
    <t>Four radiographs of the thorax/abdomen are provided. The cardiac silhouette is normal size for this breed. There are no abnormalities in the pulmonary parenchyma. No pleural effusion. Normal tracheal diameter. Normal cervical spine and proximal thoracic limbs._x000D_
_x000D_
In the abdomen the urinary bladder is distended and soft tissue opaque. Formed feces fills the colon. The stomach and small bowel are minimally filled. Normal-sized liver, spleen, kidneys. Narrowed T13-L1 intervertebral disc space. No other spinal abnormalities.</t>
  </si>
  <si>
    <t>The appearance of T13-L1 is suggestive of intervertebral disc protrusion/extrusion. Such a lesion at this or another site is the most likely cause for current clinical signs. The thorax and abdomen are normal.</t>
  </si>
  <si>
    <t xml:space="preserve">Patient Name : Daisy Garcia, Date of study: Jul 10, 2024
3 images are provided for review
There are no previous radiographs for comparison.  The lateral images depict the same limb but have opposite labels.  The abnormal limb is presumed the left limb based on the provided history.
Bones/Joints:
Mild smooth or slightly irregular, well-defined periosteal proliferation is at the caudal and distal cortex of the left humerus.  
The right elbow is normal.  
The right shoulder is normal.
The left elbow is normal.  
The left shoulder is normal.  
Soft tissues:  The soft tissues lateral to the left distal humerus are focally moderately enlarged and convex.  These soft tissues are caudal to the left humerus in the lateral image.  A well-defined, smoothly marginated mineral body is proximal to the left olecranon in the lateral image.  The remaining included soft tissues are normal.
</t>
  </si>
  <si>
    <t>1. Left distolateral brachial soft tissue swelling/mass and mild humeral periosteal proliferation.
- Differential diagnoses include neoplasia (malignant such as a soft tissue sarcoma) or less likely benign given local periosteal reaction of the humerus, or unlikely other.
2. Left triceps muscle insertional enthesopathy is suspected such as from prior injury.
3. Normal right elbow.</t>
  </si>
  <si>
    <t>Consider biopsy of the left distal brachial soft tissue lesion.  Thoracic imaging and routine blood work if not recently performed.  Oncologist consultation depending on results.  Empirical therapy and supportive care in the interim as needed.  Monitoring with serial radiographs as directed, or sooner if clinical signs acutely change, fail to improve or worsen.</t>
  </si>
  <si>
    <t>4 images of the entire body and right thoracic limb are presented for review.  The trachea is narrowed in the cervical region.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margins are rounded and extend beyond the costal arch, causing caudal displacement of the gastric axis.  The stomach contains a moderate amount of gas.  The small intestines are normal in size.  Gas and feces are present in the colon.  The remaining abdominal organs are normal.  There is narrowing of the intervertebral disc space and spondylosis deformans at C6-7.  The joint surfaces are smooth and regular.  No fractures or aggressive osseous lesions are seen.</t>
  </si>
  <si>
    <t>Hepatomegaly=ZZ90= this is a nonspecific finding that may be seen with congestion, vacuolar hepatopathy, inflammation, neoplasia, etc.  Abdominal ultrasound may be helpful in further evaluation if biochemically indicated.  Cervical tracheal narrowing suggestive of tracheal collapse.  Changes at C6-7 suggest chronic intervertebral disc herniation.  CT or MRI could be considered.  Unremarkable right thoracic limb.</t>
  </si>
  <si>
    <t>5 lateral views of the thorax, abdomen, and cervical region are presented for review.  The cardiovascular and pulmonary structures are normal.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small.  The remaining abdominal organs are normal.  Spinal alignment is normal with no consistently narrowed intervertebral disc spaces.  Atlantoaxial alignment remains normal with flexion.  No fractures or aggressive osseous lesions are seen.  The laryngeal and pharyngeal structures are normal.  The cervical soft tissue structures are normal.</t>
  </si>
  <si>
    <t>Radiographically normal thorax and cervical region on the views provided.  Prominent rugal folds suggestive of gastritis.  This does not rule out underlying pancreatitis, dietary indiscretion, etc.</t>
  </si>
  <si>
    <t xml:space="preserve">Patient Name : June Carter Miller, Date of study: Jul 10, 2024
2 images are provided for review
There are no previous radiographs for comparison. Caudal abdomen is excluded in the lateral image.  
Liver: The liver is subjectively normal in size.
Spleen: The spleen is normal in size with smooth margins and homogeneous soft tissue.
Kidneys: The kidneys are obscured without obvious enlargement or mineral.  
Retroperitoneum: Retroperitoneal detail is adequate.
Urogenital: The urinary bladder is enlarged and soft tissue opaque in the right caudal abdomen.  urinary bladder enlargement results in cranial and leftward displacement of the intestine.  
Peritoneum: Few small gas foci are suspected in the peritoneum in the caudal left abdomen in the ventrodorsal image, and the cranioventral abdomen in the lateral image.  
Gastrointestinal tract: The stomach contains a mild to moderate volume of gas and ill-defined soft tissue material.  The stomach is normal in size.
The small intestine contains mild gas and minimal fluid or is empty with a subjectively uniform population for size. 
The colon contains moderate heterogeneous soft tissue material and gas.
Musculoskeletal: Row of metal staples is over the mid and caudal abdomen on mid-line in the ventrodorsal image.  The remaining included musculoskeletal structures are normal.
</t>
  </si>
  <si>
    <t xml:space="preserve">1. Suspected peritoneal gas consistent with reported history of recent celiotomy.
2. Urinary bladder enlargement due to behavior, fluid administration/anesthesia, or unlikely urinary tract outflow obstruction or other.  
3. No evidence of a diaphragmatic hernia.  
</t>
  </si>
  <si>
    <t>Etiology of reported history is not identified.  Consider urinalysis and culture/sensitivity testing or catheterization depending on clinical signs.  Empirical therapy and supportive care in the interim as needed.  Monitoring as directed or sooner if clinical signs acutely change, fail to improve or worsen.</t>
  </si>
  <si>
    <t xml:space="preserve">Patient Name : Chi Chi Castoro, Date of study: Jul 10, 2024
3 images are provided for review
Canine Thorax (3 Images) - 2 Lateral, 1 Vd
There are no previous radiographs for comparison.  Motion artifact is present in the ventrodorsal image. 
Pulmonary parenchyma: A minimal to mild diffuse bronchial pattern is present. Interstitial soft tissue in the right cranial lung in the ventrodorsal image is not corroborated in the left lateral image.
Pulmonary vasculature: The pulmonary vasculature is subjectively normal in size and tapers in the periphery of the lungs.
Cardiac silhouette: The cardiac silhouette is tall and occupies greater than 2/3 the height of the thorax.  the trachea is dorsally displaced.  The caudodorsal margin of the cardiac silhouette is enlarged.  Increased soft tissue is in the region of the left atrium in the ventrodorsal image.  
Mediastinum: The cranial mediastinum is normal.
Trachea: A soft tissue band superimposes over the dorsal trachea in the caudal cervical region.
Esophagus: The esophagus is not well-identified.
Pleural space: The pleural space is normal.
Musculoskeletal: The included musculoskeletal structures are normal.
</t>
  </si>
  <si>
    <t xml:space="preserve">1. Moderate-severe left-sided cardiomegaly such as from myxomatous mitral valvular disease and insufficiency or unlikely other.
- There is no current evidence of left-sided congestive heart failure.  
2. Minimal-mild diffuse bronchial pulmonary pattern due to fibrosis from prior disease, age-related changes, infectious/immune-mediated lower airway disease, or less likely other.
3. Dorsal redundant tracheal membrane versus superimposed normal structures, with/without underlying dynamic airway disease.  
4. Presumed artifact from motion/superimposition versus right cranial lung lobe interstitial pattern.
</t>
  </si>
  <si>
    <t>Echocardiography, ECG and blood pressure for further evaluation.  If dyspnea manifests, consider diuretic and oxygen therapy with serial thoracic radiographs to monitor the pulmonary pattern.   Repeat thoracic radiographs including a humanoid and DV image for further evaluation of the cranial and caudal lung lobes. Routine blood work if not recently performed.  Empirical therapy and supportive care in the interim as needed. Monitoring as directed or sooner if clinical signs acutely change, fail to improve or worsen.</t>
  </si>
  <si>
    <t xml:space="preserve">Patient Name : Sean Yamada, Date of study: Jul 10, 2024
4 images are provided for review
There are no previous radiographs for comparison.
Bones/Joints:
The coxofemoral joints have no obvious osteoarthrosis.  There is adequate coverage of the femoral heads by the acetabulums.
Appearance of the left proximal tibia in the ventrodorsal image is most likely due to obliquity.  The left stifle has no evidence of osteoarthrosis.  The left infrapatellar fat pad is well-defined.  Left femoral trochlear hypoplasia is present, but the left patella is in a normal position.
The included left tarsus, metatarsus and digits are normal.
The right stifle has no evidence of osteoarthrosis.  The right infrapatellar fat pad is well-defined.  Right femoral trochlear hypoplasia is present, but the right patella is in a normal position.
The included right tarsus, metatarsus and digits are normal.  
There is no evidence of medullary sclerosis, osteolysis, endosteal scalloping, or periosteal proliferation.
Soft tissues:  The included soft tissues are normal.
</t>
  </si>
  <si>
    <t xml:space="preserve">1. Bilateral femoral trochlear hypoplasia without evidence of patellar luxation.
2. Appearance of left proximal tibial due to patient positioning.
3. No obvious coxofemoral joint osteoarthrosis.
</t>
  </si>
  <si>
    <t>Consider empirical therapy and supportive care in the interim as needed for suspected occult/intermittent patellar luxation.   Orthopedist consultation may be contributory.  Consider focused orthogonal views of the left stifle/proximal tibia in 2-4 weeks to monitor for a progressive lesion, especially if clinical signs worsen in the face of empirical therapy.  Monitoring as directed or sooner if clinical signs acutely change, fail to improve or worsen.</t>
  </si>
  <si>
    <t xml:space="preserve">Patient Name : Pixi Leach, Date of study: Jul 10, 2024
6 images are provided for review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widened and occupies the width of at least 3.5 intercostal spaces.  The cardiac silhouette is prominent in the region of the main pulmonary artery in the right lateral and ventrodorsal images.  The cardiac silhouette is tall in the left lateral image, and occupies over 2/3 the height of the thorax, with slight dorsal tracheal displacement.  
Mediastinum: The cranial mediastinum is normal.
Trachea: The caudal trachea is suspected to taper towards the carina in the right lateral image.  The trachea has an undulant dorsal margin at the level of the 2nd intercostal space in the right lateral image.  A soft tissue band partially superimposes over the dorsal trachea.
Esophagus: The esophagus is not well-identified.
Pleural space: The pleural space is normal.
Liver: The liver is small with cranial displacement of the gastric axis.  The liver is asymmetrical with smaller left liver compared to the right in the ventrodorsal image.  Ill-defined mineral is superimposed over the right cranial liver.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gas.  Gas is in the pylorus in the left lateral image.  The stomach is within normal limits for size..
The small intestine contains mild gas and heterogeneous soft tissue material,  fluid or is empty with a subjectively uniform population for size. 
The colon contains mild heterogeneous soft tissue material and gas.
Musculoskeletal: Multifocal thoracolumbar spondylosis deformans is present.  The T12-13, T13-L1, L1-2, L2-3, and L4-5, L5-6 intervertebral disc spaces are narrowed.  This is most severe at L1-2.  Mineral is superimposed over the ventral aspects of the L1-2, L5-6, and L5-6 intervertebral foramina.  The remaining included musculoskeletal structures are normal.
</t>
  </si>
  <si>
    <t>1. Mild-moderate left-sided cardiomegaly and suspected right-sided cardiomegaly with main pulmonary arterial enlargement.
- Differential diagnoses include myxomatous mitral valvular disease with/without tricuspid valvular disease, cor pulmonale or other.
- There is no current evidence of left-sided congestive heart failure.  
2. Minimal diffuse bronchial pulmonary pattern due to fibrosis from prior disease, age-related changes, infectious/immune-mediated lower airway disease, or unlikely other.
3. Suspected dynamic tracheal narrowing and chondromalacia with/without bronchial narrowing.
4. Microhepatia versus hepatic asymmetry due to breed or individual variation of normal.
- If present, consider occult portosystemic shunt vessel or unlikely other.
5. Suspected choleliths/choledocoliths or unlikely other.
6. Multifocal thoracolumbar intervertebral disc disease as above, most severe at L1-2, L4-5n and L5-6.</t>
  </si>
  <si>
    <t>Echocardiography, ECG and blood pressure for further evaluation.  Routine blood work and urinalysis if not recently performed.  Bile acid testing may be contributory.  Abdominal ultrasonography for further evluation of the liver and gallbladder if clinically indicated.  Consider neurologist consultation and MRI for further evaluation of the spine if clinically indicated.  Empirical therapy and supportive care in the interim as needed.  Tracheoscopy/bronchoscopy and airway sampling may be contributory for further evaluation.  Monitoring as directed, or sooner if clinical signs acutely change, fail to improve or worsen.</t>
  </si>
  <si>
    <t>Orthogonal views of the head, thorax and abdomen are provided:_x000D_
_x000D_
Head:_x000D_
_x000D_
There is extensive periodontal disease with gingival retraction, multifocal alveoli=ZZ91=s and multiple pieces being absent. Lateral to the 404 and 403 extending from cranial to caudal of these dental pieces there is a soft tissue well defined mass without signs of lysis of the adjacent right mandible._x000D_
Rest of the head is unremarkable._x000D_
Incidental dystrophic mineralization of the epiglottis and laryngeal cartilages (age related change)._x000D_
Signs of caudal cervical IVDD with collapsed IVDS._x000D_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distended with food._x000D_
Small intestines are mildly gas and fluid filled, not overtly distended. No signs of mechanical ileus._x000D_
Serosal detail is preserved._x000D_
Liver and spleen are within normal limits of size and smoothly marginated. Gallbladder cholelith._x000D_
Kidneys and urinary bladder WNL._x000D_
_x000D_
Multifocal signs of chronic IVDD.</t>
  </si>
  <si>
    <t>1) Oral mass adjacent to the 403 and 404 compatible with oral neoplasia such as melanoma vs fibrosarcoma vs SCC. Other differentials are less likely._x000D_
2) No signs of pulmonary metastases._x000D_
3) Unremarkable abdomen other than gallbladder cholelith.</t>
  </si>
  <si>
    <t>Biopsy along with oncologist consultation prior to removal (ideally after a CT of the oral cavity and head).</t>
  </si>
  <si>
    <t xml:space="preserve">
1.MODERATE INTERSTITIAL TO ALVEOLAR PATTERN; PULMONARY NODULES OR NODULAR PATTERN; MILD BRONCHITIS; MINIMAL DYNAMIC AIRWAY DISEASE._x000D_
2.Based on the AI airway/pulmonary findings, the probability of this patient having clinically detectable respiratorysigns is MEDIUM to HIGH (50-75%)_x000D_
3.The evaluation has come up positive for a pulmonary nodular pattern._x000D_
4.Are respiratory signs present? If YES._x000D_
5.Are respiratory signs present? If NO._x000D_
6.The cardiac silhouette size is normal.</t>
  </si>
  <si>
    <t>Four radiographs of the thorax/abdomen are provided. Bone opacity is diffusely markedly reduced, and long bone cortices are thin. No definitive fractures are identified in the thoracic limbs or spine. Distal femoral and proximal tibial epiphyses are minimally visible, limiting evaluation of the stifle joints. Cardiovascular structures are normal size for a juvenile patient. No pulmonary parenchymal or pleural space abnormalities. In the abdomen serosal detail is poor, consistent with the young age of this patient. The gastrointestinal tract is moderately filled.</t>
  </si>
  <si>
    <t>Marked osteopenia. This is most consistent with nutritional hyperparathyroidism. I do not identify any fractures, however small folding fractures are not definitively ruled out. Neurologic deficits may be secondary to the hyperparathyroidism. A small spinal fracture/subluxation, skull fracture, or intervertebral disc protrusion/extrusion are not definitively ruled out.</t>
  </si>
  <si>
    <t>Recommend a CBC, blood chemistry profile, cranial nerve assessment, medical support, and evaluation of patient=ZZ91=s diet.</t>
  </si>
  <si>
    <t xml:space="preserve">
1.Pleural fissure lines or moderate to severe pleural effusion has been detected. An overlying skin fold or in an obese animal, excessive pericardial fat could artifactually mimic the result of severe pleural effusion._x000D_
2.MODERATE DYNAMIC AIRWAY DISEASE; MILD BRONCHOINTERSTITIAL PULMONARY PATTERN +/- PULMONARY HYPOINFLATION._x000D_
3.Based on these AI airway/pulmonary findings, the probability of this patient having clinically detectable respiratory signs is MEDIUM (50%)_x000D_
4.Are respiratory signs present? If YES._x000D_
5.AI linked dynamic airway collapse in dogs: https://platform.v2.vetology.net/doc/canine-tracheal-collapse-treatment_x000D_
6.Are respiratory signs present? If NO._x000D_
7.The cardiac silhouette size is normal.</t>
  </si>
  <si>
    <t>Three radiographs of the thorax are provided. The cardiac silhouette is normal size. Fat deposition is seen along the right side of the heart on the VD view. There are no abnormalities in the pulmonary parenchyma. No pleural effusion. Mild narrowed caudal cervical trachea. No esophageal dilation. Normal cranial abdomen.</t>
  </si>
  <si>
    <t>Mild narrowed caudal cervical trachea. Dynamic tracheal collapse is the most likely diagnosis. No intrathoracic abnormalities.</t>
  </si>
  <si>
    <t>A three view study of the thorax is provided for interpretation._x000D_
_x000D_
The heart is at the upper end of normal size range, with normal shape. The pulmonary vessels and parenchyma are within normal limits. No nodules are seen. No pleural effusion is identified. The patient has overweight body condition. No destructive or productive bone lesions are seen.</t>
  </si>
  <si>
    <t>Unremarkable thorax._x000D_
No evidence of metastatic neoplasia.</t>
  </si>
  <si>
    <t>No cardiopulmonary abnormalities or other contraindication to removal of the reported perianal mass is identified.</t>
  </si>
  <si>
    <t xml:space="preserve">Patient Name : Grace Elshire, Date of study: Jul 10, 2024
3 images are provided for review
Canine Thorax (3 Images) - 2 Lateral, 1 Vd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tall and occupies greater than 2/3 the height of the thorax.  The trachea is dorsally displaced.  The caudodorsal margin of the cardiac silhouette is flattened.  
Mediastinum: The cranial mediastinum is normal.
Trachea: The trachea is normal.
Esophagus: The esophagus is not well-identified.
Pleural space: The pleural space is normal.
Musculoskeletal: The included musculoskeletal structures are normal.
</t>
  </si>
  <si>
    <t>1. Moderate left-sided cardiomegaly such as from myxomatous mitral valvular disease and insufficiency versus other.
- There is no current evidence of left-sided congestive heart failure.  
2. Minimal diffuse bronchial pulmonary pattern due to fibrosis from prior disease, age-related changes, infectious/immune-mediated lower airway disease, or unlikely other.</t>
  </si>
  <si>
    <t>Echocardiography, ECG and blood pressure for further evaluation, as well as routine blood work and urinalysis if not recently performed.   Monitoring with serial thoracic radiographs as directed, or sooner if clinical signs acutely change, fail to improve or worsen.</t>
  </si>
  <si>
    <t xml:space="preserve">
1.Are respiratory signs present? If YES._x000D_
2.MODERATE BRONCHOINTERSTITIAL PULMONARY PATTERN; ALVEOLAR INFILTRATE or ATELECTASIS; DYNAMIC AIRWAY DISEASE._x000D_
3.Based on these AI airway/pulmonary findings, the probability of this patient having clinically detectable respiratory signs is HIGH (75%)_x000D_
4.Severe cardiomegaly has been detected but Heart Failure is NOT suspected._x000D_
5.Are respiratory signs present? If NO.</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</si>
  <si>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ingesta.  The small intestines are normal in size.  Gas and feces are present in the colon.  The urinary bladder is small.  The remaining abdominal organs are normal.</t>
  </si>
  <si>
    <t>Study:_x000D_
Nine images that include the thorax, abdomen and extremities dated July 10, 2024_x000D_
_x000D_
Findings:_x000D_
The patient has age appropriate open physes. The spine is normal with no intervertebral disc space or foraminal narrowing or evidence of vertebral fractures. The shoulder joints and elbow joints are unremarkable. The bones of the carpus and pes are normal bilaterally. The thoracic limb musculature is bilaterally symmetric. The coxofemoral joints are normal. The pelvis and sacroiliac joints are normal. The degree of soft tissue opacity within the stifle joint spaces is bilaterally symmetric and age appropriate. The tarsus and included portion of the pes are unremarkable bilaterally. There are no apparent Salter-Harris type fractures. The pelvic limb musculature is bilaterally symmetric. The cardiac silhouette and pulmonary vasculature are normal in size. The pulmonary parenchyma is unremarkable. The pleural space is normal. There is no intrathoracic lymphadenopathy. The trachea is normal in diameter and course. The stomach contains unstructured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There is no prostatomegaly.</t>
  </si>
  <si>
    <t>The study is unremarkable with no evidence of traumatic injury.</t>
  </si>
  <si>
    <t>Consider orthopedic consultation and computed tomography of the forelimbs if the thoracic limb lameness persists or in spite of activity restriction and pain management.</t>
  </si>
  <si>
    <t>Thorax: There is moderate generalized cardiomegaly.  There is a diffuse bronchial interstitial pattern.  There is no evidence of lymphadenopathy or pleural effusion._x000D_
_x000D_
Abdomen: The liver is diffusely enlarged.  There is a moderate amount of heterogeneous soft tissue opacity within the gastric lumen as well as small mineral opacities within the gastric lumen.  There are numerous mineral opacities throughout the gastrointestinal tract.  There is a metallic projectile (BB) associated with the soft tissues of the caudal right abdomen/right thigh region.  There are numerous regions of spondylosis deformans involving the lumbar vertebral column.  There are no other abnormalities identified.</t>
  </si>
  <si>
    <t>Generalized cardiomegaly without evidence of decompensation._x000D_
_x000D_
Diffuse bronchointerstitial pattern which may be age-related or bronchitis._x000D_
_x000D_
Diffuse hepatomegaly._x000D_
_x000D_
Mineral opaque material throughout the gastrointestinal tract consistent with nonobstructive foreign material.</t>
  </si>
  <si>
    <t xml:space="preserve">
1.MILD to MODERATE BRONCHOINTERSTITIAL PATTERN; MILD DYNAMIC AIRWAY DISEASE._x000D_
2.Based on these AI airway/pulmonary findings, the probability of this patient having clinically detectable respiratory signs is MEDIUM (50%)_x000D_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6.Moderate cardiomegaly has been detected but Heart Failure is NOT suspected.</t>
  </si>
  <si>
    <t>3 views of the thorax are submitted for review.  The cardiac silhouette and pulmonary vasculature are within normal limits.  Mild bronchial and interstitial markings are noted throughout the lung fields.  No evidence of intrathoracic lymphadenopathy is seen.  No pleural effusion or mediastinal abnormalities are noted.  The trachea is normal in diameter.  The visible cranial abdomen and skeletal structures are unremarkable.</t>
  </si>
  <si>
    <t>The peer to the lung field is very nonspecific and could be consistent with incidental age-related change or possibly chronic inflammatory airway disease.</t>
  </si>
  <si>
    <t>Lower airway sampling with transtracheal wash or BAL could be considered.  Otherwise, empirical medical management appears appropriate.</t>
  </si>
  <si>
    <t xml:space="preserve">Patient Name : Fred Wilcox, Date of study: Jul 10, 2024
6 images are provided for review
Canine Thorax (6 Images) - 4 Vd, 2 Lateral
There are no previous radiographs for comparison.  Motion artifact is present.
Pulmonary parenchyma: A minimal diffuse bronchial and minimal diffuse interstitial pattern is present.
Pulmonary vasculature: The pulmonary vasculature is subjectively normal in size and tapers in the periphery of the lungs.
Cardiac silhouette: The cardiac silhouette is normal in size and shape.
Mediastinum: A leftward mediastinal shift is in the ventrodorsal images.  The cranial mediastinum is normal.
Trachea: The trachea is normal.
Esophagus: The esophagus is not well-identified.
Pleural space: The pleural space is normal.
Musculoskeletal: The included musculoskeletal structures are normal.
</t>
  </si>
  <si>
    <t>1. Minimal diffuse bronchial and minimal interstitial pulmonary patterns.
- Differential diagnoses include infectious/immune-mediated lower airway disease such as from mycoplasma spp., bordetella spp., parasitism, or inhaled allergen/irritant, or fibrosis from prior disease, age-related changes, or unlikely other.
2. Leftward mediastinal shift due to patient positioning/recumbency.</t>
  </si>
  <si>
    <t>Consider respiratory PCR panel, airway sampling, and fecal analysis for further evaluation.  Empirical therapy and supportive care in the interim as needed for reported coughing.  Monitoring as directed or sooner if clinical signs acutely change, fail to improve or worsen.</t>
  </si>
  <si>
    <t xml:space="preserve">
1.A minimal to mild, diffuse mixed bronchointerstitial pattern with atelectasis or less likely, pneumonia, has been detected._x000D_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DYNAMIC AIRWAY COLLAPSE or BRONCHIECTASIS.</t>
  </si>
  <si>
    <t>Study:_x000D_
Spinal radiography: 13 images dated July 10, 2024_x000D_
_x000D_
Findings:_x000D_
The dens is intact and well defined. The atlantoaxial joint space is normal. There is in situ mineralization of the T 10-T 11, T 12-T 13 and L1-L2 intervertebral disc spaces. There is narrowing of the C7-T1, T 11-T 12 and L1-L2 intervertebral disc spaces. The coxofemoral joints are normal with good coverage of the femoral head by the acetabulum bilaterally. The included appendicular skeletal structures are unremarkable. The pelvic limb musculature is bilaterally symmetric. The patient is of overweight body condition.</t>
  </si>
  <si>
    <t>C7-T1, T 11-T 12 and L1-L2 intervertebral disease. There is also T 10-T 11 and T 12-T 13 in situ degenerative disc disease.</t>
  </si>
  <si>
    <t>Neurology consultation and MRI should be considered if the patient=ZZ91=s clinical signs persist or worsen in spite of strict activity restriction and pain management.</t>
  </si>
  <si>
    <t xml:space="preserve">
1.A minimal interstitial pattern has been detected._x000D_
2.A moderate perihilar infitlrate has been detected._x000D_
3.The cardiac silhouette size is normal._x000D_
4.There is no evidence of ALVEOLAR PATTERN, DYNAMIC AIRWAY COLLAPSE or BRONCHIECTASIS or PULMONARY NODULES._x000D_
5.Pleural fissure lines or small volume pleural effusion has been detected. In a mildly overweight animal, excessive pericardial fat can artifactually mimic the result of minimal pleural effusion.</t>
  </si>
  <si>
    <t>Study:_x000D_
Thoracic radiography: three images dated July 10, 2024_x000D_
_x000D_
Findings:_x000D_
The cardiac silhouette and pulmonary vasculature are normal in size. The pulmonary parenchyma is unremarkable. The pleural space is normal. There is no intrathoracic lymphadenopathy. The larynx is unremarkable. There is an indistinct broad-based soft tissue opaque band superimposed with the dorsal aspect of the cervical trachea lumen representing either a redundant dorsal tracheal membrane or superimposition of the esophagus. The trachea is normal in diameter. There is no lobar bronchi narrowing. The stomach contains heterogeneous soft tissue material presumed to be ingesta. The osseous structures are unremarkable. The patient is of overweight body condition._x000D_
_x000D_
A human digit is present in the primary beam on the left lateral view.</t>
  </si>
  <si>
    <t>Normal thorax.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can be considered to further evaluate for possible tracheal collapse given the reported goose honking nature of the cough.</t>
  </si>
  <si>
    <t xml:space="preserve">
1.A minimal interstitial pulmonary and concurrent, mild dynamic airway disease have been detected._x000D_
2.Mild dynamic airway disease has been detected._x000D_
3.The cardiac silhouette size is normal._x000D_
4.There is no evidence of ALVEOLAR PATTERN, PERIHILAR INFILTRATE, PULMONARY NODULES or PLEURAL EFFUSION.</t>
  </si>
  <si>
    <t>Three radiographs of the thorax and three views of the abdomen are provided. The cardiac silhouette and pulmonary vessels are normal size and shape. There are no abnormalities in the pulmonary parenchyma. No pleural effusion. The plane of the esophagus is unremarkable. Normal tracheal diameter and position._x000D_
_x000D_
In the abdomen peritoneal and retroperitoneal detail is normal. There is moderate volume soft tissue opaque ingesta in the stomach. Small bowel is minimally filled. Small-volume semi-formed feces in the cecum and colon. No radiopaque foreign material. Normal-sized liver, spleen, kidneys. No radiopaque urolithiasis. The coxofemoral joints are normal.</t>
  </si>
  <si>
    <t>Normal thorax and abdomen. Gastric contents appears to be normal ingesta. All or a portion of gastric contents could be foreign material, but is given lesser consideration in the absence of vomiting. A reason for regurgitation is not identified. There is no evidence of megaesophagus or aspiration pneumonia.</t>
  </si>
  <si>
    <t>An esophagram study could be considered. Multiple contrast textures may be necessary (liquid barium, barium admixed with canned food, and barium admixed with kibble). Endoscopy is a 2nd option.</t>
  </si>
  <si>
    <t>4 images of the thorax are provided for review.  Note that previous images are not linked to this study.  The cardiovascular structures are normal.  There is a mild bronchial pattern in all lung lobes.  The mediastinal and pleural structures are normal.  Cranial abdominal detail is adequate.
(amended on 07/10/2024 15:20)
Comparison is made to previous images dated 6/14/2024 under the first name Birch.  The bronchial pulmonary pattern is mildly improved.</t>
  </si>
  <si>
    <t>Mild bronchial pulmonary pattern=ZZ90= consider bronchitis, response to inhaled irritants, response to circulating parasites, eosinophilic bronchopneumopathy.  Resolving bronchopneumonia or viral/Bordetella type pneumonitis cannot be excluded.  With therapy, viral or Bordetella type pneumonitis is typically resolved within 10 to 14 days at the longest.  Airway sampling may be helpful in further evaluation.</t>
  </si>
  <si>
    <t xml:space="preserve">Patient Name : Chewbacca Bycroft, Date of study: Jul 10, 2024
3 images are provided for review
Canine Thorax (3 Images) - 2 Lateral, 1 Vd
This examination is compared to prior dated May 29, 2024.
Pulmonary parenchyma: A minimal to mild diffuse bronchial pattern is present.
Pulmonary vasculature: The pulmonary vasculature is subjectively normal in size and tapers in the periphery of the lungs.
Cardiac silhouette: The cardiac silhouette is tall and occupies 2/3 the height of the thorax.  The caudodorsal margin of the cardiac silhouette is flattened.  Rounded increased soft tissue is present in the region of the left atrium in the ventrodorsal image.  A slight convexity of the cardiac silhouette is at the 2-3 o'clock region (left auricular appendage).  
Mediastinum: The cranial mediastinum is normal.
Trachea: a slight soft tissue band is over the dorsal trachea just cranial to the thoracic inlet.
Esophagus: The esophagus is not well-identified.
Pleural space: The pleural space is normal.
Musculoskeletal: The included musculoskeletal structures are normal.
</t>
  </si>
  <si>
    <t xml:space="preserve">1. Mild left-sided cardiomegaly such as from myxomatous mitral valvular disease and insufficiency.
- This is similar to prior.
- No current evidence of left-sided congestive heart failure.  
2. Minimal diffuse bronchial pulmonary pattern due to fibrosis from prior disease, age-related changes, infectious/immune-mediated lower airway disease, or unlikely other.
3. Dorsal redundant tracheal membrane versus superimposed normal structures, with/without underlying dynamic airway disease.  </t>
  </si>
  <si>
    <t>Echocardiography, ECG and blood pressure for further evaluation.  Routine blood work and urinalysis if not recently performed.  Consider respiratory PCR panel and fecal analysis/deworming for further evaluation if clinically indicated.  Empirical therapy and supportive care in the interim as needed. Monitoring as directed or sooner if clinical signs acutely change, fail to improve or worsen.</t>
  </si>
  <si>
    <t xml:space="preserve">
1.MILD BRONCHIAL PATTERN; MILD DYNAMIC AIRWAY DISEASE; MILD PERIHILAR PATTERN._x000D_
2.Based on these AI airway/pulmonary findings, the probability of this patient having clinically detectablerespiratorysigns is LOW (25%)_x000D_
3.Are respiratory signs present? If YES._x000D_
4.Are respiratory signs present? If NO._x000D_
5.There is no evidence of ALVEOLAR PATTERN, PULMONARY NODULES or PLEURAL EFFUSION._x000D_
6.Moderate cardiomegaly has been detected but Heart Failure is NOT suspected.</t>
  </si>
  <si>
    <t>3 views of the thorax are provided for review.  The trachea is dorsally deviated, indicating left ventricular enlargement.  A bulge is present in the region of the left atrium.  Mild bronchial markings are present in all lung lobes.  No perihilar pulmonary infiltrates are seen.  The pulmonary vasculature is normal in size.  The mediastinal and pleural structures are normal.  Cranial abdominal detail is adequate.</t>
  </si>
  <si>
    <t>Mild bronchial pulmonary pattern=ZZ90= consider bronchitis, response to inhaled irritants, response to circulating parasites, eosinophilic bronchopneumopathy.  Airway sampling may be helpful in further evaluation.  Left-sided cardiomegaly without current evidence of cardiogenic pulmonary edema.  Echocardiography may be helpful in further evaluation.</t>
  </si>
  <si>
    <t xml:space="preserve">
1.MINIMAL to MILD BRONCHOINTERSTITIAL PULMONARY PATTERN; MILD DYNAMIC AIRWAY DISEASE; MILD PERIHILAR INFILTRATE._x000D_
2.Are respiratory signs present? If YES._x000D_
3.Pleural fissure lines or small volume pleural effusion has been detected. In a mildly overweight animal, excessive pericardial fat can artifactually mimic the result of minimal pleural effusion._x000D_
4.Severe cardiomegaly has been detected but Heart Failure is NOT suspected._x000D_
5.Are respiratory signs present? If NO._x000D_
6.Based on these AI airway/pulmonary findings, the probability of this patient having clinically detectable respiratory signs is LOW to MEDIUM (25-50%)</t>
  </si>
  <si>
    <t>Nine radiographs are provided, with images of the thorax, abdomen, pelvis, stifles. The cardiac silhouette and pulmonary vessels are normal size and shape. There are no abnormalities in the pulmonary parenchyma. No pleural effusion or intrathoracic lymphadenomegaly._x000D_
_x000D_
In the abdomen there is a well-defined smoothly marginated round 6.0 cm soft tissue opaque mass in the splenic tail. No effusion. Normal size kidneys, liver. The gastrointestinal tract is mildly filled. No radiopaque cystic calculi. There is thickened soft tissue density separating the caudal urinary bladder from the descending colon, but uterine horns are not definitively seen. There is equivocal small amount of smoothly irregular osseous proliferation along the ventral aspect of the L7 and the sacrum on the lateral views. Narrowed T13-L1 intervertebral disc space. The coxofemoral joints are congruent. Pelvic limb musculature is reduced. Patellar location is normal. There is no stifle joint effusion or popliteal lymphadenomegaly. Punctate mineral density lateral to the right stifle is likely incidental.</t>
  </si>
  <si>
    <t>1. Splenic tail mass, most likely neoplasia such as hemangiosarcoma. Hematoma or hemangioma could also cause this appearance._x000D_
2. Soft tissue density separating the distal colon from the urinary bladder may represent distended uterus, such as could be seen with pyometra or uterine neoplasia. Questionable osteitis on adjacent L7 and sacrum, also supportive of an inflammatory or neoplastic process in this area._x000D_
3. The appearance of T13-L1 is suggestive of intervertebral disc disease. Such a lesion at this or another site is the most likely cause for discomfort and atrophy. No pelvic limb abnormalities are appreciated. Soft tissue sprain/strain remains possible._x000D_
4. Normal thorax.</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</si>
  <si>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there is mild caudal displacement of the gastric axis.  The stomach contains a small amount of gas.  The small intestines are normal in size.  Gas is present in the colon and cecum.  The urinary bladder is small.  The remaining abdominal organs are normal.</t>
  </si>
  <si>
    <t>Three radiographs of the thorax/abdomen are provided. The cardiac silhouette and pulmonary vessels are normal size and shape. There are faint bronchial markings consistent with the patient=ZZ91=s age. No soft tissue pulmonary nodules or pleural effusion. Hazy round soft tissue opacity cranioventral to the tracheal bifurcation on the left lateral view is end-on pulmonary vessel. No pleural effusion. Adequate tracheal diameter. In the abdomen the liver is upper normal size. Linear 1.5 cm wire-like metal density in the cranioventral peritoneal space is incidental chronic migrated gastrointestinal foreign material. The gastrointestinal tract is minimally filled. Normal-sized spleen and left kidney. The right kidney is incompletely visible. No radiopaque urolithiasis. Narrowed L1-2, L2-3, L4-5, L5-6 intervertebral disc spaces, with mineral density overlying the L5-6 intervertebral foramen.</t>
  </si>
  <si>
    <t>Probable intervertebral disc disease in the lumbar spine. This may be responsible for discomfort when picked up. Otherwise normal thorax and abdomen.</t>
  </si>
  <si>
    <t>Further investigation of the liver with ultrasound could be considered.</t>
  </si>
  <si>
    <t xml:space="preserve">Patient Name : Pepper Gray, Date of study: Jul 10, 2024
3 images are provided for review
Canine Abdomen (3 Images) - 1 Vd, 2 Lateral
There are no previous radiographs for comparison.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partially obscured without obvious enlargement or mineral.
Peritoneum: Peritoneal detail is adequate.
Gastrointestinal tract: The stomach contains a moderate gas and is within normal limits for size.  Gas is in the pylorus in the left lateral image. 
The small intestine contains mild to moderate fluid or is empty with a subjectively uniform population for size. 
The colon contains mild to moderate gas and minimal soft tissue in one lateral image, and moderate soft tissue in the alternate lateral image.   The colon is normal in size.
Musculoskeletal: Bilateral femoral trochlear hypoplasia is present.  The remaining included musculoskeletal structures are normal.
</t>
  </si>
  <si>
    <t xml:space="preserve">1. Non-specific gastrointestinal tract changes such as from enteritis, colitis, or individual variation of normal/recent bowel movement.
- Differential diagnoses for enteritis/colitis include dietary indiscretion, toxin ingestion, diet/antibiotic responsive disease, inflammatory bowel disease, parasitism/primary infectious disease, or unlikely pancreatitis or occult systemic disease.  
- There is no evidence of mechanical ileus.  </t>
  </si>
  <si>
    <t>Consider urinalysis and culture/sensitivity testing for further evaluation.  Empirical therapy and supportive care in the interim as needed.  Abdominal ultrasonography may be contributory, especially if signs fail to improve or worsen.  Monitoring as directed, or sooner if clinical signs acutely change, fail to improve or worsen.</t>
  </si>
  <si>
    <t>Four radiographs of the thorax are provided. There is suspect prominent left atrium on the VD projections. Cardiac to thoracic ratio is normal. Pulmonary vessels are obscured by the lung pattern. There are numerous (far too many to count) well-defined variably sized round soft tissue opaque nodules and masses throughout the lungs. These lesions measure up to 3.8 cm, and all lung lobes are severely affected. No pleural effusion. Tracheal diameter is normal.</t>
  </si>
  <si>
    <t>Diffuse, severe pulmonary metastatic disease. A primary lesion is not definitively identified on this study.</t>
  </si>
  <si>
    <t xml:space="preserve">
1.Are respiratory signs present? If YES._x000D_
2.Are respiratory signs present? If NO._x000D_
3.Pleural fissure lines or moderate to severe pleural effusion has been detected. An overlying skin fold or in an obeseanimal, excessive pericardial fat could artifactually mimic the result of severe pleural effusion._x000D_
4.A severe perihilar infiltrate has been detected._x000D_
5.Severe cardiomegaly has been detected but Heart Failure is NOT suspected._x000D_
6.SEVERE INTERSTITIAL TO ALVEOLAR PATTERN; PULMONARY NODULES OR MASS LESION; PLEURAL FLUID or PLEURAL THICKENING; MODERATE BRONCHIAL PATTERN; DYNAMIC AIRWAY DISEASE._x000D_
7.Based on these AI airway/pulmonary findings, the probability of this patient having clinically detectable respiratorysigns is VERY HIGH (&gt;75%)_x000D_
8.This evaluation has detected pulmonary nodules or a mass lesion and pleural fissure lines or effusion._x000D_
9.Given this combination of above thoracic findings, a radiologist over read may be beneficial.</t>
  </si>
  <si>
    <t>6 views of the thorax and abdomen are submitted for review._x000D_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liver is moderately enlarged extending down the costal arch.  The gastric axis is mildly caudally deviated.  The spleen, visible margins of the renal silhouettes, and urinary bladder are within normal limits.  The small bowel and colon are unremarkable.  Serosal detail is adequate._x000D_
No osseous abnormalities are seen.</t>
  </si>
  <si>
    <t>Moderate hepatomegaly.  Differentials include generalized vacuolar change, inflammation, or neoplasia._x000D_
Radiographically normal thorax.</t>
  </si>
  <si>
    <t xml:space="preserve">Patient Name : Timothy Chtchedrine, Date of study: Jul 10, 2024
3 images are provided for review
This examination is compared to previous dated April 4, 2024 and prior.  Caudal thorax is excluded from the ventrodorsal image.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right thoracic limb is absent entirely. Multiple metal staples are in the right craniolateral extra-thoracic soft tissues.  The remaining included musculoskeletal structures are normal.
</t>
  </si>
  <si>
    <t xml:space="preserve">1. Unchanged minimal diffuse bronchial pulmonary pattern.
- Differential diagnoses include infectious/immune-mediated lower airway disease such as from mycoplasma spp., bordetella spp., parasitism, or inhaled allergen/irritant.
2. Right thoracic limb absence due to prior amputation for reported primary neoplasm.  </t>
  </si>
  <si>
    <t>Empirical therapy and supportive care in the interim as needed.  Monitoring as directed or sooner if clinical signs acutely change, fail to improve or worsen.</t>
  </si>
  <si>
    <t>4 images of the thorax are presented for review.  The cardiovascular structures are normal.  There is a diffuse bronchointerstitial pulmonary pattern that is considered appropriate for the age of the patient.  No pulmonary nodules or enlarged intrathoracic lymph nodes are seen.  The pleural and mediastinal structures are normal.  Cranial abdominal detail is adequate.</t>
  </si>
  <si>
    <t>Consider fluoroscopy (followed by tracheobronchoscopy, BAL and culture/cytology) to rule in/out extrathoracic vs intrathoracic tracheal collapse or bronchial component, evaluating treatment options. Take advantage of the bronchoscopy to further evaluate the larynx given 30% of patients with tracheal collapse display different degrees of laryngeal paralysis. If negative, consider empirical treatment for chronic bronchitis._x000D_
Consider abdominal US to further evaluate the liver.</t>
  </si>
  <si>
    <t>Study:_x000D_
Thoracic radiography: right lateral and VD views dated July 9, 2024_x000D_
_x000D_
Findings:_x000D_
There mild cardiomegaly (VHS approximately 11) with straightening of the caudal cardiac waist and dorsal deviation of the trachea. The pulmonary vasculature is normal in size. The pulmonary parenchyma is unremarkable. The pleural space is normal. There is no intrathoracic lymphadenopathy. The trachea is normal in diameter. The spleen is moderately enlarged with smooth margins. The osseous structures are unremarkable. The patient is of overweight body condition.</t>
  </si>
  <si>
    <t>1. Mild left-sided cardiomegaly, indicative of mitral valve disease, without evidence of decompensation. Echocardiography should be considered for further evaluation._x000D_
2. The generalized splenomegaly is nonspecific. Rule out extramedullary hematopoiesis, lymphoid hyperplasia, splenitis, congestion or infiltrative neoplasia. Sonography can be considered for further evaluation.</t>
  </si>
  <si>
    <t>Patient Name: Cocoa Mendez, Date of study: July 9, 2024
7 images are provided for review
There are no previous radiographs for comparison.
Findings:
Thoracolumbar spine: There are small, punctate mineral foci superimposed with the intervertebral foramen of L2-3 and L3-4. There is mild intervertebral disc space narrowing of L2-3 and L3-4. The vertebral bodies and endplates are intact/normal. The articular process joints are within normal limits.
Pelvis/pelvic limbs: The right and left stifles are normal in opacity with no evidence of effusion/synovial hypertrophy. There is no evidence of stifle osteoarthritis. The tarsi are within normal limits. The coxofemoral joints are congruent with normal coverage of the femoral heads. There is no osteoarthritis of the hips.
Abdomen: No significant abnormalities identified in the abdomen.
Thorax: The cardiopulmonary structures are within normal limits.</t>
  </si>
  <si>
    <t>1. There is mild intervertebral disc space narrowing and punctate mineral foci superimposed with the intervertebral foramen of L2-3 and L3-4. The primary consideration given the reported neurologic deficits is a compressive lesion secondary to protrusion/extrusion of mineralized intervertebral disc material. A specific site of compression cannot be confirmed radiographically, cross-sectional imaging is required.
2. Normal pelvis and pelvic limbs.
3. Unremarkable thorax and abdomen.</t>
  </si>
  <si>
    <t>Strict activity restriction and multimodal pain management are recommended. Consider neurologist consultation and thoracolumbar MRI if clinical signs fail to improve or worsen.</t>
  </si>
  <si>
    <t xml:space="preserve">Patient Name : Leo knudsen, Date of study: Jul 9, 2024
8 images are provided for review
There are no previous radiographs for comparison.
Pulmonary parenchyma: A minimal interstitial to alveolar pattern is suspected over the right middle lung lobe in the left lateral images.  A minimal to mild diffuse bronchial pattern is present.  Increased interstitial to alveolar soft tissue in the right lungs in the ventrodorsal image with rightward mediastinal shift.  This pattern is absent in the alternate ventrodorsal images, with the right lungs better inflated.  Mild increased interstitial pattern in the left caudal lungs of the alternate ventrodorsal images is not identified in the initial ventrodorsal images.  
Pulmonary vasculature: The pulmonary vasculature is subjectively normal in size and tapers in the periphery of the lungs.
Cardiac silhouette: The cardiac silhouette is normal in size and shape.
Mediastinum: A rightward mediastinal shift is present in the initial ventrodorsal images, that is resolved in the alternate ventrodorsal images.  The cranial mediastinum is normal.
Trachea: A slight soft tissue band is over the dorsal aspect of the trachea in the left lateral image.  
Esophagus: The esophagus contains mild gas.
Pleural space: The pleural space is normal.
Musculoskeletal: The included musculoskeletal structures are normal.
</t>
  </si>
  <si>
    <t>1. Transient right and left-sided interstitial to alveolar patterns are most likely due to atelectasis such as from recumbency versus bronchopneumonia/aspiration pneumonia, or unlikely other.
2. Minimal to mild diffuse bronchial pattern.
- Differential diagnoses include infectious/immune-mediated lower airway disease such as from mycoplasma spp., bordetella spp., parasitism or other, or unlikely other.
3.  Superimposed normal structures versus redundant dorsal tracheal membrane with/without underlying dynamic airway disease.</t>
  </si>
  <si>
    <t>Empirical therapy and supportive care in the interim as needed for possible bronchopneumonia.  Consider repeat imaging with computed tomography of the head/thorax especially if repeat radiographs are similar and signs persist or worsen.  Consider respiratory PCR panel, airway sampling, and fecal analysis for further evaluation.  Routine blood work may be contributory if not recently performed.  Monitoring as directed or sooner if clinical signs acutely change, fail to improve or worsen.</t>
  </si>
  <si>
    <t>Orthogonal views of the thorax and abdomen are provided:_x000D_
_x000D_
Thorax:_x000D_
_x000D_
No abnormalities seen in the trachea._x000D_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Indistint tiny mineral opacities rae seen in the region of the kidneys/Gi tract._x000D_
Urinary bladder WNL._x000D_
_x000D_
Multifocal signs of chronic IVDD.</t>
  </si>
  <si>
    <t>Consider continuation of empirical treatment evaluating response to treatment. If clinical signs persist, consider a bronchoscopy with BAL, culture, cytology, Baermann test and deworming._x000D_
Consider abdominal US to further evaluate the urinary tract (ruling in/out tiny renoliths) with renal function, UPC and urinalysis.</t>
  </si>
  <si>
    <t>7 images of the thorax and abdomen are provided for review.  The cardiovascular structures are normal.  There is a moderate bronchial pattern in all lung lobes.  The mediastinal and pleural structures are normal.  Abdominal serosal detail is adequate in all quadrants.  The stomach contains a small amount of gas and the rugal folds are prominent.  The small intestines are normal in size.  Gas and feces are present in the colon.  The urinary bladder is small.  The remaining abdominal organs are normal.</t>
  </si>
  <si>
    <t>Prominent rugal folds suggestive of gastritis.  This does not rule out underlying pancreatitis or infiltrative neoplasia.  Abdominal ultrasound could be considered in further evaluation.  Moderate bronchial pulmonary pattern=ZZ90= consider bronchitis, response to inhaled irritants, response to circulating parasites, eosinophilic bronchopneumopathy.  Airway sampling may be helpful in further evaluation.</t>
  </si>
  <si>
    <t xml:space="preserve">
1.The cardiac silhouette size is normal._x000D_
2.There is no evidence of BRONCHITIS, DYNAMIC AIRWAY COLLAPSE or BRONCHIECTASIS or PLEURAL EFFUSION._x000D_
3.A minimal perihilar infiltrate has been detected._x000D_
4.A minimal interstitial pattern has been detected.</t>
  </si>
  <si>
    <t>Orthogonal views of the thorax are provided:_x000D_
_x000D_
Thorax:_x000D_
_x000D_
No abnormalities seen in the trachea._x000D_
Cardiac silhouette has a normal shape and size._x000D_
Pulmonary vessels are within normal limits of size and shape._x000D_
Pulmonary parenchyma shows foci of alveolar pulmonary pattern with air bronchograms in the most cranioventral aspect of both cranial lung lobes with bronchiectasis of the cranial bronchi. No evidence of pulmonary nodules/masses.Pleural space, mediastinum, diaphragm and thoracic wall within normal limits.</t>
  </si>
  <si>
    <t>1) Alveolar t of both cranial lung lobes with bronchiectasis of the cranial bronchi compatible with ongoing pneumonia with concomitant chronic lower airway disease (bronchiectasis).</t>
  </si>
  <si>
    <t>Given the chronicity of the clinical signs consider a bronchoscopy with BAL, cytology with culture, Baermann test and deworming. Rule out any predisposing cause for vomition, regurgitation or neurological condition such as laryngeal paralysis.</t>
  </si>
  <si>
    <t>6 views of the thorax and abdomen are submitted for review._x000D_
Of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stable contains a mild to moderate amount of heterogeneous ingesta.  The small bowel is normal in uniform diameter.  A moderate amount of stool is noted throughout the colon.  The liver and spleen are normal in size, shape, and margination.  The bilateral renal silhouettes are within normal limits.  The urinary bladder is unremarkable.  Serosal detail is normal._x000D_
No significant osseous abnormalities are seen.</t>
  </si>
  <si>
    <t>The material in the stomach is nonspecific and appears most consistent with food.  Radiolucent foreign material cannot be ruled out.  No evidence of mechanical obstruction of the GI tract is seen.  Nonspecific gastroenteritis or pancreatitis is also possible.</t>
  </si>
  <si>
    <t>Correlation with blood work may be helpful.  Otherwise, an abdominal ultrasound could be considered.</t>
  </si>
  <si>
    <t>A three view study of the thorax is provided for interpretation._x000D_
_x000D_
The cardiovascular structures are within normal limits. No pulmonary infiltrates or bronchial thickening are identified. The trachea has smooth walls and normal uniform diameter. The cranial abdominal organs are unremarkable. No musculoskeletal abnormalities are identified.</t>
  </si>
  <si>
    <t>No anatomic abnormalities are identified in this study. The thorax is unremarkable.</t>
  </si>
  <si>
    <t>No evidence of pulmonary disease or tracheal collapse is seen. Viral tracheobronchitis or allergic lung disease could still be present. Neck therapy for the cough is recommended._x000D_
_x000D_
Upper airway pathology involving the larynx/pharynx should also be ruled out as a possible cause of cough and anorexia.</t>
  </si>
  <si>
    <t xml:space="preserve">Patient Name : EDITH VAN METRE, Date of study: Jul 9, 2024
7 images are provided for review
There are no previous radiographs for comparison.
Pulmonary parenchyma:  A mild to moderate interstitial pattern is in the left cranial lung lobe.  
Pulmonary vasculature: The pulmonary vasculature is subjectively normal in size and tapers in the periphery of the lungs.
Cardiac silhouette: The cardiac silhouette is normal in size and shape.
Mediastinum: Mediastinal gas is present that extends into the ventral soft tissues of the neck.
Trachea: The trachea is normal.  An endotracheal tube is present that terminates just cranial to the carina.  
Esophagus: The esophagus is not well-identified.
Pleural space: Mild pleural gas is present in the left caudal and ventral thorax.  This results is slight retraction of left lung margins from the diaphragmatic recess and apparent elevation of the cardiac silhouette from the sternum. 
Bones/Joints:
In the image that contains both thoracic limbs, the more cranially positioned limb (presumed left), has a shot oblique fracture of the distal ulnar diaphysis, with mild caudal and distal displacement.  This is suspected to be an il-defined lucent line partially over the distomedial left ulnar diaphysis in one of the dorsopalmar images.  
There is no evidence of medullary sclerosis, osteolysis, endosteal scalloping, or periosteal proliferation.
Soft tissues:  Gas is present in the ventral pectoral and caudoventral neck as well as the dorsal neck and craniodorsal thoracic soft tissues.  Mild gas is in the left lateral thoracic body wall soft tissues.  There is suspicion of left-sided 3rd rib fracture only identified in the ventrodorsal image.  The remaining  included soft tissues are normal.
</t>
  </si>
  <si>
    <t xml:space="preserve">1. Left cranial lung lobe interstitial pattern and small left cranial lung due to contusion/hemorrhage from recent trauma and possibly atelectasis.
2. Pneumothorax more left-sided due to recent trauma.
3. Pneumomediastinum and emphysema due to recent trauma.
4. Presumed left ulnar diaphyseal fracture with mild displacement. 
5. POssible left 3rd rib fracture versus artifact.  </t>
  </si>
  <si>
    <t>Consider empirical therapy and supportive care in the interim as needed.  Monitoring with serial thoracic radiographs, and consider thoracocentesis or chest tube placement if progressive pneumothorax manifests.  Confirm laterality of ulnar fracture and consider internal fixation/rigid stabilization.  Empirical therapy and supportive care for trauma in the interim as needed. 
 Monitoring as directed or sooner if clinical signs acutely change, fail to improve or worsen.</t>
  </si>
  <si>
    <t xml:space="preserve">
1.MODERATE INTERSITIAL TO ALVEOLAR PATTERN; MILD PERIHILAR INFILTRATE._x000D_
2.Based on these AI airway/pulmonary findings, the probability of this patient having clinically detectable respiratory signs is MEDIUM (50%)._x000D_
3.Are respiratory signs present? If YES._x000D_
4.AI linked bacterial pneumonia treatment in dogs: https://platform.v2.vetology.net/doc/pneumonia-in-dogs-and-cats_x000D_
5.The cardiac silhouette size is normal._x000D_
6.Are respiratory signs present? If NO._x000D_
7.There is no evidence of DYNAMIC AIRWAY COLLAPSE or BRONCHIECTASIS, PULMONARY NODULES or PLEURAL EFFUSION.</t>
  </si>
  <si>
    <t>Orthogonal views of the thorax are provided:_x000D_
_x000D_
Thorax:_x000D_
_x000D_
Cardiac silhouette has a normal shape and size._x000D_
Pulmonary vessels are within normal limits of size and shape._x000D_
Pulmonary parenchyma shows a faint interstitial alveolar pulmonary pattern  ventrally located in the left cranial lung lobe. No evidence of pulmonary nodules/masses._x000D_
Pleural space, mediastinum, diaphragm and thoracic wall within normal limits.</t>
  </si>
  <si>
    <t>1) No signs of cardiomegaly (this does not exclude a cardiac disease)._x000D_
2) Debatable/questionable pneumonia in the cranial segment of the left cranial lung lobe.</t>
  </si>
  <si>
    <t>Given the lack of cardiomegaly but history of ventricular arrhythmia, consider a cardiology consultation with ECG and echocardiogram._x000D_
Consider opposite lateral views of the thorax with a VD view centered in the cranial and right middle lung lobes correlating potential signs of pneumonia with the clinical signs of the patient.</t>
  </si>
  <si>
    <t xml:space="preserve">
1.A minimal to mild, diffuse mixed bronchointerstitial pattern with atelectasis or less likely, pneumonia, has been detected._x000D_
2.Based on these AI airway/pulmonary findings, the probability of this patient having clinically detectable respiratory signs is LOW (25%)_x000D_
3.Are respiratory signs present? If YES._x000D_
4.Are respiratory signs present? If NO._x000D_
5.The evaluation has a strong suspicion of pulmonary nodules or mass lesion being present._x000D_
6.Pleural fissure lines or moderate to severe pleural effusion has been detected. An overlying skin fold or in an obese animal, excessive pericardial fat could artifactually mimic the result of severe pleural effusion._x000D_
7.The cardiac silhouette size is normal._x000D_
8.There is no evidence of DYNAMIC AIRWAY COLLAPSE or BRONCHIECTASIS.</t>
  </si>
  <si>
    <t xml:space="preserve">Patient Name : Ginger Fennell, Date of study: Jul 9, 2024
3 images are provided for review
Canine Thorax (3 Images) - 2 Lateral, 1 Vd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Slight soft tissue band over the cervical tracheal segment in the left lateral image..
Esophagus: The esophagus is not well-identified.
Pleural space: The pleural space is normal.
Musculoskeletal: The included musculoskeletal structures are normal.
</t>
  </si>
  <si>
    <t>1. Minimal-mild diffuse bronchial pulmonary pattern.
- Differential diagnoses include fibrosis from prior disease, age-related changes, infectious/immune-mediated lower airway disease or unlikely other.
2. Dorsal redundant tracheal membrane with/without underlying dynamic airway disease,  versus artifact or superimposed normal structures.</t>
  </si>
  <si>
    <t>Consider airway sampling and respiratory PCR for further evaluation. This examination does not rule out dynamic airway disease.  Consider tracheoscopy/bronchoscopy and/or fluroscopy for further evaluation. Routine blood work to rule out occult systemic disease if not recently performed.  Empirical therapy and supportive care in the interim as needed. Monitoring as directed or sooner if clinical signs acutely change, fail to improve or worsen.</t>
  </si>
  <si>
    <t>THORAX and ABDOMEN (6 total radiographs for review). No previous for comparison. _x000D_
_x000D_
- In the right caudal hemithorax, there is a large, rounded, homogeneously soft-tissue opaque mass. Along the caudoventral margins of the mass, on the right lateral projection, there is the impression of multiple smaller, satellite, rounded soft-tissue nodules that are not distinctly noted orthogonally._x000D_
- The cardiac silhouette and pulmonary vasculature are normal._x000D_
- The pleural space, trachea, and mediastinum are normal._x000D_
- The liver and spleen are moderately enlarged, with rounded margins._x000D_
- The stomach contains mild gas and soft-tissue opaque material._x000D_
- The small intestine is non-distended/empty and contains a small volume of soft-tissue/fluid and gas._x000D_
- The colon contains gas and formed fecal material._x000D_
- The region of the kidneys is normal._x000D_
- There is moderate multifocal spondylosis, with bridging in the cranial lumbar and cranial thoracic regions.</t>
  </si>
  <si>
    <t>1. Large right caudal hemithoracic mass. Most likely originating from the pulmonary parenchyma. The primary differential diagnosis is neoplasia. Given the size of the lesion, a primary pulmonary tumor (e.g. bronchial carcinoma) is prioritized. A large metastatic lesion is less likely, but possible. Non-neoplastic pulmonary granuloma or abscess are less likely. Further characterization could be possible with thoracic CT. Although the mass is large, it may be difficult to perform ultrasound guided fine needle aspiration as the mass does not obvious contact the thoracic body wall._x000D_
_x000D_
2. Impression of multiple additional small pulmonary nodules associated with the primary mass, raising concern for locoregional metastatic disease from #1. _x000D_
_x000D_
3. Moderate hepatomegaly. In consideration of the history, this is prioritized as vacuolar hepatopathy and nodular/regenerative hyperplasia, however metastatic neoplasia or hepatitis are also possible._x000D_
_x000D_
4. Mild splenomegaly. DDx congestion from sedation, lymphoid hyperplasia, EMH, less likely neoplasia._x000D_
_x000D_
5. Bridging spondylosis deformans in the cranial lumbar and cranial thoracic regions.</t>
  </si>
  <si>
    <t xml:space="preserve">
1.SEVERE INTERSTITIAL TO ALVEOLAR PATTERN; SEVERE BRONCHIAL PATTERN; MODERATE DYNAMIC AIRWAY DISEASE._x000D_
2.Based on these AI airway/pulmonary findings, the probability of this patient having clinically detectable respiratory signs is VERY HIGH (&gt;75%)_x000D_
3.Are respiratory signs present? If YES._x000D_
4.Are respiratory signs present? If NO._x000D_
5.Pleural fissure lines or small volume pleural effusion has been detected. In a mildly to moderately overweight animal, excessive pericardial fat can artifactually mimic the result of mild pleural effusion._x000D_
6.Moderate cardiomegaly has been detected but Heart Failure is NOT suspected._x000D_
7.A mild perihilar infiltrate has been detected._x000D_
8.The evaluation has come up positive for a pulmonary nodular pattern.</t>
  </si>
  <si>
    <t>Three radiographs of the thorax are provided. Images dated April 30, 2024 are available for comparison. There is moderate, predominantly left-sided cardiomegaly. This is relatively similar to the previous study. Subsequent dorsal deviation of the thoracic trachea and mainstem bronchi. The mainstem bronchi are compressed. Pulmonary vessels are normal size. Perihilar vessels are poorly visible on the VD projection although this projection is expiratory. No definitive pulmonary parenchymal abnormalities on the lateral views. No pleural effusion. Adequate tracheal diameter. Scant mineral opaque debris in the stomach, likely incidental.</t>
  </si>
  <si>
    <t>Moderate, predominantly left-sided cardiomegaly consistent with chronic valvular disease. There is no evidence of pulmonary venous congestion, however there is mainstem bronchial compression which is the most likely cause for coughing. Loss of perihilar vessel visibility on the VD projection, similar to the previous study. This is most likely due to expiration and dorsal recumbency.</t>
  </si>
  <si>
    <t>Current treatment is appropriate. Recommend an echocardiogram to help guide treatment. Also recommend obtaining a dorsoventral projection (with the patient in sternal recumbency) on all future studies of this patient. This would allow for maximum dorsal lung aeration to help rule in/out pulmonary edema.</t>
  </si>
  <si>
    <t xml:space="preserve">
1.There is no evidence of PULMONARY NODULES or PLEURAL EFFUSION._x000D_
2.A minimal perihilar infiltrate has been detected._x000D_
3.Moderate dynamic airway disease has been detected._x000D_
4.A mild interstitial pattern has been detected._x000D_
5.Moderate cardiomegaly has been detected but Heart Failure is NOT suspected.</t>
  </si>
  <si>
    <t>Orthogonal views of the thorax are provided:_x000D_
_x000D_
Thorax:_x000D_
_x000D_
No abnormalities seen in the trachea._x000D_
Cardiac silhouette has a normal shape and size._x000D_
Pulmonary vessels are within normal limits of size and shape._x000D_
Pulmonary parenchyma is within normal limits. No evidence of pneumonia._x000D_
Pleural space, mediastinum, diaphragm and thoracic wall within normal limits._x000D_
_x000D_
Foreign mineral particles in the stomach. Otherwise unremarkable abdomen.</t>
  </si>
  <si>
    <t>Consider CT of the nasal cavity/thorax with bronchoscopy, BAL, culture, cytology followed (in this order) by rhinoscopy and biopsies with culture and deworming._x000D_
Consider abdominal US to further evaluate causes of vomition other than the dietary indiscretion with gastric foreign particles.</t>
  </si>
  <si>
    <t>Three radiographs of the thorax, and three views of the abdomen are provided. The cardiac silhouette and pulmonary vessels are normal size. Mild unstructured interstitial pattern is normal for the age of this patient. There are no soft tissue pulmonary nodules or pleural effusion. Faint increased opacity overlying the cranial right thorax on the VD projection is superimposed extrathoracic tissue. Moderate to severe narrowed cervical trachea._x000D_
_x000D_
In the abdomen the gastrointestinal tract is mildly filled. Small volume small mineral opaque fragments throughout the gastrointestinal tract are likely incidental. There is no effusion. Normal size kidneys, liver, spleen. No radiopaque urolithiasis. Osseous structures are unremarkable.</t>
  </si>
  <si>
    <t>Cervical tracheal collapse. Otherwise normal thorax and postprandial abdomen.</t>
  </si>
  <si>
    <t>If further evaluation of the liver is desired, abdominal ultrasound would be recommended. There is no contraindication for general anesthesia based on this study.</t>
  </si>
  <si>
    <t>Study:_x000D_
Thoracic/abdominal radiography: three images dated July 9, 2024_x000D_
_x000D_
Findings:_x000D_
The cardiac silhouette and pulmonary vasculature are normal in size. Multiple soft tissue opaque nodules/masses are scattered throughout the pulmonary parenchyma. Multiple thin pleural fissure lines are seen on the VD view. There is no apparent intrathoracic lymphadenopathy. The trachea is normal in diameter. The abdominal serosal detail is normal. The stomach contains unstructured heterogeneous soft tissue material presumed to be ingesta. There is a thin linear metallic opacity in the mesentery adjacent to the pylorus. The small intestines are normal in size, course and content. The colon contains a small volume of gas. The liver extends mildly beyond the costal arch with smooth margins. The spleen is normal in size and margin. The renal silhouettes are normal in size and contour. The urinary bladder is normal in size and opacity. There is narrowing of the L2-L3 intervertebral disc space with mild spondylosis deformans.</t>
  </si>
  <si>
    <t>1. Pulmonary nodules/masses. Rule out metastatic disease. Fungal disease is less likely in the absence of any apparent tracheobronchial lymphadenopathy._x000D_
2. The mild hepatomegaly is nonspecific. Rule out metabolic/vacuolar hepatopathy, hyperplasia, hepatitis or  neoplasia._x000D_
3. The thin pleural fissure lines seen on the VD view may indicate trace nonspecific pleural effusion, pleural thickening and/or incidental tangential visualization._x000D_
4. Peritoneal linear metallic, possibly wire, foreign body. This is a relatively common incidental finding._x000D_
5.. L2-L3 intervertebral disc disease.</t>
  </si>
  <si>
    <t>Recommend abdominal sonography to further evaluate for any evidence of intra-abdominal neoplasia. Regionally appropriate fungal serology testing can also be considered if an and endemic area.</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</si>
  <si>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3.MODERATE INTERSTITIAL TO ALVEOLAR INFILTRATE; CONCURRENT MODERATE BRONCHIAL PATTERN; MILD PERIHILAR INFILTRATE._x000D_
4.Based on the AI airway/pulmonary findings, the probability of this patient having clinically detectable respiratorysigns is MEDIUM to HIGH (50-75%)_x000D_
5.Are respiratory signs present? If YES._x000D_
6.AI linked bacterial pneumonia treatment in dogs: https://platform.v2.vetology.net/doc/pneumonia-in-dogs-and-cats_x000D_
7.Are respiratory signs present? If NO._x000D_
8.The evaluation has come up positive for a pulmonary nodular pattern.</t>
  </si>
  <si>
    <t>Three orthogonal thoracic radiographs dated 9th July 2024 are available for review. There are no previous radiographs available for comparison. _x000D_
_x000D_
Airway findings: The thoracic trachea is mildly elevated. There is widening of the tracheal bifurcation. There is narrowing of the mainstem bronchi. Throughout the lung parenchyma there is a moderate to severe bronchointerstitial opacification. Opacification is centred along the mainstem bronchi._x000D_
_x000D_
Cardiovascular findings: There is a moderate sized smoothly marginated soft tissue opacity contiguous with the caudal dorsal border of the cardiac silhouette. A soft tissue opacity is superimposed on the caudal cardiac silhouette in the dorsoventral image.  The overall cardiac silhouette is mildly enlarged. The pulmonary vasculature is poorly visible. The mainstem vessels are normal._x000D_
_x000D_
Mediastinum and pleural space: Thin pleural fissure lines are present._x000D_
_x000D_
Musculoskeletal findings: There is multisite mild to moderate ventral spondylosis deformans and intervertebral disc narrowing._x000D_
_x000D_
Included abdomen: The hepatic silhouette is enlarged with rounded borders. There is loss of serosal detail in the ventral aspect of the abdomen.</t>
  </si>
  <si>
    <t>1. Moderate bronchointerstitial pattern: Chronic bacterial /viral bronchitis +/- parasitic bronchitis should be considered. Fungal pneumonia is considered less likely. Allergic lower airway disease is considered unlikely. Less likely are hyperardenocorticism, neoplasia (such a lymphoma) or idiopathic pulmonary fibrosis. Considering the cardiac findings, early cardiogenic pulmonary oedema is possible._x000D_
2. Mainly left sided cardiomegaly  Ddx: myxomatous degeneration of the mitral (+- tricuspid) valves. The evidence for cardiac insufficiency is equivocal. The hepatomegaly is most likely due to congestion. A component of cardiogenic pulmonary oedema is likely. The loss of serosal detail may be due to ascites secondary to increased central venous pressures.</t>
  </si>
  <si>
    <t>Respiratory workup including CBC, serum chemistry, urinalysis, Baermann faecal testing, fungal testing, 4DX, +/- respiratory panel as indicated may be considered.  Alternatively, diagnostic /empirical therapy for lower airway disease, empirical deworming can be considered. Repeat radiographs prior to end of therapy._x000D_
Considering suspect cardiac insufficiency, complete bloodwork if not already performed. ECG, blood pressure measurements and echocardiography are advised.</t>
  </si>
  <si>
    <t xml:space="preserve">
1.The evaluation has a strong suspicion of pulmonary nodules or mass lesion being present._x000D_
2.MODERATE to SEVERE BRONCHOINTERSTITIAL PULMONARY PATTERN; DYNAMIC AIRWAY COLLAPSE and/or BRONCHIECTASIS; ALVEOLAR INFILTRATE or ATELECTASIS._x000D_
3.Based on these AI airway/pulmonary findings, the probability of this patient having clinically detectable repsiratory signs is VERY HIGH (&gt;75%)_x000D_
4.Are respiratory signs present? If YES._x000D_
5.AI linked bacterial pneumonia treatment: https://platform.v2.vetology.net/doc/pneumonia-in-dogs-and-cats_x000D_
6.AI linked bacterial bronchitis treatment: https://platform.v2.vetology.net/doc/bacterial-bronchitis--in-dogs-and-cats_x000D_
7.Are respiratory signs present? If NO._x000D_
8.Pleural fissure lines or moderate to severe pleural effusion has been detected. An overlying skin fold or in an obese animal, excessive pericardial fat could artifactually mimic the result of severe pleural effusion._x000D_
9.Severe cardiomegaly has been detected but Heart Failure is NOT suspected.</t>
  </si>
  <si>
    <t>Study:_x000D_
Thoracic radiography: three images dated July 9, 2024_x000D_
A right lateral view of the abdomen is also present in the study._x000D_
_x000D_
Findings:_x000D_
The cardiac silhouette and pulmonary vasculature are normal in size. There is a moderate generalized bronchial pulmonary pattern. No pulmonary nodules or masses are present.. The pleural space is normal. There is no intrathoracic lymphadenopathy. The larynx is unremarkable. The trachea is normal in diameter and course. Evaluation the abdomen is limited by the lack of a VD view. There is mild effusion in the caudoventral abdomen. The stomach contains a small volume of gas the small intestines are normal in size, course and content. The colon contains formed fecal material with a normal diameter. The liver and spleen are normal in size and margin. The renal silhouettes are normal in size and contour. The urinary bladder is normal in size and opacity. The prostate is not visualized. There is an indistinct increase in soft tissue opacity dorsal to the colon. There is narrowing of the L1-L2 intervertebral disc space with sclerotic endplates and severe spondylosis deformans. There is severe L2-L3 and mild L7-S1 spondylosis deformans. There is severe bilateral elbow periarticular bone formation.</t>
  </si>
  <si>
    <t>1. The mild generalized bronchial pulmonary pattern may indicate allergic, inflammatory, infectious, parasitic or irritant bronchitis. Airway sampling, heartworm testing and Baermann fecal flotation can be considered for further evaluation._x000D_
2. There is no evidence of pulmonary metastatic disease._x000D_
3. Mild caudal abdominal effusion._x000D_
4. Suspect sublumbar mass. Consider reactive or neoplastic lymphadenopathy. Artifact created by superimposition of the pelvic limb musculature cannot be excluded. Recommend abdominal sonography for further evaluation._x000D_
5. Severe bilateral elbow osteoarthrosis._x000D_
6. Chronic L1-L2 intervertebral disc sees.</t>
  </si>
  <si>
    <t xml:space="preserve">
1.Are respiratory signs present? If NO._x000D_
2.MODERATE INTERSTITIAL TO ALVEOLAR INFILTRATE; MILD BRONCHIAL PATTERN; MINIMAL PERIHILAR INFILTRATE._x000D_
3.Based on these AI airway/pulmonary findings,  the probability of this patient having clinically detectable respiratory signs is HIGH (75%)_x000D_
4.Are respiratory signs present? If YES._x000D_
5.The cardiac silhouette size is normal.</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</si>
  <si>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gas.  The small intestines are normal in size.  Gas and feces are present in the colon.  The urinary bladder is small.  The remaining abdominal organs are normal.  A thin metallic structure is present in the right mid abdomen within the mesentery.</t>
  </si>
  <si>
    <t>Abdominal metallic foreign body, likely incidental grill brush bristle or similar.  Radiographically normal thorax for patient of this age.</t>
  </si>
  <si>
    <t xml:space="preserve">
1.A moderate interstitial to alveolar pattern has been detected._x000D_
2.Mild cardiomegaly has been detected but Heart Failure is NOT suspected._x000D_
3.There is no evidence of BRONCHITIS, PERIHILAR INFILTRATE, DYNAMIC AIRWAY COLLAPSE or BRONCHIECTASIS or PULMONARY NODULES.</t>
  </si>
  <si>
    <t>Orthogonal views of the thorax are provided:_x000D_
_x000D_
Thorax:_x000D_
_x000D_
Cardiac silhouette shows a mild enlargement of the left atrium dorsally displacing the carina._x000D_
Pulmonary parenchyma shows a false expiratory interstitial lung pattern with increased peri-hilar opacity. No evidence of pulmonary nodules/masses._x000D_
Pulmonary vessels are within normal limits of size and shape._x000D_
Pleural space, mediastinum, diaphragm and thoracic wall within normal limits._x000D_
_x000D_
Liver extends beyond the costal arch with sharp margins.</t>
  </si>
  <si>
    <t>1) Left atrial enlargement secondary to chronic mitral endocardiosis without signs of CHF. Rule out concomitant tricuspid endocardiosis with pulmonary hypertension._x000D_
2) Peri-hilar opacity: likely due to expiratory films vs early cariogenic pulmonary edema or perihilar lymphadenopathy although not excluded are less likely._x000D_
3) Hepatomegaly: Metabolic vs Vacuolar infiltration vs Hepatic nodular hyperplasia vs Inflammatory vs Toxic vs Neoplastic or a combination of these differentials.</t>
  </si>
  <si>
    <t xml:space="preserve">
1.A moderate bronchointerstitial pattern, regions of alveolar infiltrate, a mild perihilar infiltrate and concurrent dynamic airway disease (see #2) have been detected._x000D_
2.Moderate dynamic airway disease has been detected._x000D_
3.The evaluation has a strong suspicion of pulmonary nodules or mass lesion being present._x000D_
4.Pleural fissure lines or small volume pleural effusion has been detected. In a mildly overweight animal, excessive pericardial fat can artifactually mimic the result of minimal pleural effusion._x000D_
5.Moderate cardiomegaly has been detected but Heart Failure is NOT suspected.</t>
  </si>
  <si>
    <t xml:space="preserve">Patient Name : owens bailey, Date of study: Jul 9, 2024
6 images are provided for review
There are no previous radiographs for comparison.  The cranial thorax tip is excluded from the ventrodorsal image.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not well-identified, but no obvious enlargement or mineral is present.  
Peritoneum: Peritoneal detail is adequate.
Gastrointestinal tract: The stomach contains a moderate volume of gas. Gastric rugal folds are prominent.  Gas is in the pylorus in the left lateral image. The stomach is within normal limits for size.  
The small intestine contains mild fluid or is empty with a subjectively uniform population for size. 
The colon contains minimal gas and is predominantly soft tissue.  The colon is subjectively normal in size.
Musculoskeletal: The patient is thin, with concave soft tissues between lumbar spinous processes.  The remaining included musculoskeletal structures are normal.
</t>
  </si>
  <si>
    <t xml:space="preserve">1. Prominent gastric rugal folds such as from non-specific gastritis versus variation of normal.
2. No evidence of small intestinal mechanical ileus.  
3. Minimal diffuse bronchial pulmonary pattern such as from normal variation, fibrosis from prior disease, age-related changes, or unlikely infectious/immune-mediated lower airway disease.
</t>
  </si>
  <si>
    <t>Etiology of reported clinical signs is not definitively identified.  Given reported electrolyte imbalances and azotemia, consider acute renal failure (nephritis, toxin ingestion versus other) and oliguria/anuric status versus endocrinopathy such as Addisons disease (especially if hyperkalemia is also present) versus severe dehydration/heat shock.   Consider abdominal ultrasonography for further evaluation of the kidneys and urinary bladder.  Blood pressure and SDMA may be contributory.  Fluid therapy will likely be beneficial, and consider repeat imaging and possible cystocentesis if urinary bladder distension is identified.  Empirical therapy and supportive care in the interim as needed for possible renal injury versus other.  Monitoring as directed, or sooner if signs acutely worsen or fail to improve.
(amended on 07/09/2024 12:37)
Given patient reportedly is outdoor only, depending on possible wildlife contact, consider also leptospirosis spp. infection, and possible serology for further evaluation.</t>
  </si>
  <si>
    <t>Fifteen orthogonal cervical vertebral column and thoracic limb radiographs dated 9th July 2024 are available for review. There are no previous radiographs available for comparison. _x000D_
_x000D_
Cervical vertebral column: Cervical vertebral column is normal. The intervertebral disc width is normal. No mineralised material is seen within or dorsal to the intervertebral disc spaces. The vertebral body alignment is normal._x000D_
_x000D_
Thoracic limbs: The right shoulder is normal. The right elbow is normal. The right carpus is normal. The left shoulder and elbow are also normal. No localised or diffuse soft tissue swelling is noted.</t>
  </si>
  <si>
    <t>No radiographic findings explain the presenting signs. A muscular or tendinous strain or articular sprain should be considered as differentials. _x000D_
Occult intervertebral disease such as intervertebral disk protrusion or other spinal cord pathology including embolic (FCE), high velocity disk, inflammatory or neoplastic disease or myelopathy is not excluded .</t>
  </si>
  <si>
    <t>Full neurologic examination if not already performed. If no proprioceptive deficits or clinical signs are mild, consider treating for intervertebral disk disease/arthritis (exercise restriction, NSAIDs with supportive bloodwork, +/- multimodal analgesia). If no response to therapy, patient has proprioceptive deficits or is worsening in general, referral to a neurologist for discussion regarding feasibility of MRI vs. CT of the spine can be considered</t>
  </si>
  <si>
    <t xml:space="preserve">
1.PULMONARY NODULES or NODULAR PATTERN; MODERATE INTERSTITIAL TO ALVEOLAR PATTERN; MILD BRONCHITIS._x000D_
2.Based on the AI airway/pulmonary findings, the probability of this patient having soft tissue pulmonary nodules and clinically detectable respiratory signs is VERY HIGH (&gt;75%)_x000D_
3.The evaluation result has a strong suspicion of soft tissue pulmonary nodules being present._x000D_
4.Are respiratory signs present? If YES._x000D_
5.Are respiratory signs present? If NO._x000D_
6.The cardiac silhouette size is normal.</t>
  </si>
  <si>
    <t>Study:_x000D_
Thoracic radiography: three images dated July 9, 2024_x000D_
_x000D_
Findings:_x000D_
The cardiac silhouette and pulmonary vasculature are normal in size. There is a mild generalized bronchial pulmonary pattern. The pleural space is normal. There is no intrathoracic lymphadenopathy. The larynx is normal. The trachea is normal in diameter and course. There is no lobar bronchi narrowing. The stomach contains unstructured heterogeneous soft tissue material presumed to be ingesta. The osseous structures are unremarkable.</t>
  </si>
  <si>
    <t>1. The mild generalized bronchial pulmonary pattern may indicate allergic, inflammatory, infectious, parasitic or irritant bronchitis. Airway sampling, heartworm testing and Baermann fecal flotation can be considered for further evaluation._x000D_
2. Normal diameter of the trachea does not exclude the possibility of chondromalacia and dynamic airway disease. Fluoroscopy can be considered to further evaluate for possible tracheal collapse given the reported tracheal sensitivity on physical exam.</t>
  </si>
  <si>
    <t>Opposite lateral and ventrodorsal thoracic and abdominal radiographs (7 images) dated July 9, 2024._x000D_
_x000D_
_x000D_
_x000D_
The liver and spleen are normal in size and shape. Both kidneys are normal in size and shape. The urinary bladder is mildly distended with homogeneous fluid opacity. The stomach contains a mild volume of gas and a similar amount of mobile heterogeneous amorphous soft-tissue/fluid content. The descending duodenum is gas-filled on the left lateral view and is unremarkable in diameter. The remaining small bowel is mostly empty aside from a thin layer of gas and a scant amount soft-tissue content. The colon is mostly empty and collapsed. Retroperitoneal and peritoneal detail are normal. No regional lymphadenopathy is evident._x000D_
_x000D_
The cardiac silhouette, pulmonary vasculature, and great vessels are within normal limits. The pulmonary parenchyma is unremarkable. There is a small round soft-tissue opacity superimposed with the cranioventral lung field on the left lateral view at the level of the 3rd intercostal spaces=ZZ90= this likely represents a similar appearing soft-tissue nodule in the right peripheral body wall (caudal to axilla) in a similar location on the VD projection. No convincing pulmonary nodules are identified. No intrathoracic lymphadenopathy is evident. The trachea is normal in diameter and course with gas filling its lumen. The pleural space, mediastinum, and diaphragm are normal._x000D_
_x000D_
Both hips have subchondral sclerosis of the acetabula, and the left hip is notably incongruent with periarticular bony remodeling. There is multifocal thoracolumbar spondylosis deformans without disc space narrowing. No aggressive osseous lesions are identified.</t>
  </si>
  <si>
    <t>1. Non-obstructive gastroenteritis +/- colitis.  Rule out dietary indiscretion or toxin vs. food allergy/intolerance vs. flareup of a chronic enteropathy (ex: IBD) vs. GI infectious vs. systemic/extra GI causes (liver or kidney injury/disease, pancreatitis, endocrine disorder, systemic infection, non-GI neoplasia)._x000D_
2. Unremarkable thorax. The small round soft-tissue opacity superimposed with the right cranioventral lung field on the left lateral view likely represents a cutaneous or subcutaneous lesion visible on the VD projection in the right body wall. A pulmonary nodule is considered unlikely._x000D_
3. Moderate left and mild right hip osteoarthritis._x000D_
4. Multifocal spondylosis deformans.</t>
  </si>
  <si>
    <t>Supportive care with fluid rehydration, antiemetics, gastroprotectants/omeprazole, and bland diet.  General health profile (CBC, chemistry, UA, fecal) +/- spec cPL and baseline cortisol to screen for underlying causes.  Repeat fasted abdominal radiographs or ultrasound if the patient fails medical management._x000D_
_x000D_
Dedicated pelvic radiographs.</t>
  </si>
  <si>
    <t>A lateral radiograph of the thorax, orthogonal views of the abdomen, and a VD view of the pelvis are provided. The cardiac silhouette and pulmonary vessels are normal size. The lungs are clear. No pleural effusion. Adequate tracheal diameter._x000D_
_x000D_
In the abdomen there is no effusion. Gas fills the colon. The stomach and small bowel are minimally filled. Normal size liver, spleen, left kidney. The right kidney is obscured. The uterus is not definitively seen. No radiopaque urolithiasis. Normal lumbar spine. Both femoral necks are moderate to severely thickened, and there are enthesophytes on the acetabular margins. The right femur is craniodorsally displaced with respect to the acetabulum. Moderate amount of smoothly irregular osseous remodeling along the lateral and medial margin of the right ilial body. The right patella is medially displaced. Pelvic limb musculature is mildly reduced on the right.
(amended on 07/09/2024 11:50)
Linear increased opacity overlying the urinary bladder on the lateral view is not seen on the other projections and is likely superimposed skinfolds.</t>
  </si>
  <si>
    <t>1. Bilateral hip dysplasia with moderate to severe osteoarthritis, and craniodorsal luxation on the right side. Secondary osseous remodeling on the ilial body due to chronic luxation. Osseous proliferation along the medial aspect of the right ilial body may be due to chronic insult at the psoas muscle attachment._x000D_
2. Medial patellar luxation on the right may be contributing to discomfort._x000D_
3. Normal thorax.
(amended on 07/09/2024 11:50)
4. Normal abdomen.</t>
  </si>
  <si>
    <t>A ventral dorsal and right lateral radiograph of the thorax are provided. There is moderate generalized cardiac silhouette enlargement. The cranial lobar vein is larger than the artery. There is a severe interstitial to alveolar pattern in the right perihilar region, with moderate interstitial pattern in the left perihilar region. No pleural effusion. The enlarged left heart causes severe narrowed caudal thoracic trachea and mainstem bronchi. Redundant dorsal trachealis membrane causes moderate narrowed cervical trachea. Normal cranial abdomen.</t>
  </si>
  <si>
    <t>1. Moderate generalized cardiomegaly consistent with acquired mitral and tricuspid valve disease. There is pulmonary venous congestion and pulmonary edema indicating left-sided heart failure. This is the cause for progressive clinical signs. There is subsequent caudal thoracic tracheal and mainstem bronchial compression, likely contributing to the cough._x000D_
2. Cervical tracheal collapse, also likely contributing to the cough.</t>
  </si>
  <si>
    <t xml:space="preserve">
1.Are respiratory signs present? If YES._x000D_
2.Are respiratory signs present? If NO._x000D_
3.Moderate dyanmic airway disease has been detected._x000D_
4.Pleural fissure lines or moderate pleural effusion has been detected. An overlying skin fold or in a moderately overweight animal, excessive pericardial fat could artifactually mimic the result of moderate pleural effusion._x000D_
5.Severe cardiomegaly has been detected but Heart Failure is NOT suspected._x000D_
6.Based on these AI airway/pulmonary findings, the probability of this patient having clinically detectable respiratory signs is HIGH (75%)_x000D_
7.A severe interstitial to alveolar pattern with a concurrent mild bronchial pattern and dynamic airway disease have been detected.</t>
  </si>
  <si>
    <t>Four radiographs of the thorax, and a lateral view of the abdomen are provided. The cardiac silhouette and pulmonary vessels are normal size and shape. Small volume fat deposition seen between the right cranial and middle lung lobes, and extending caudal to the heart on the VD projection. There are a few incidental pulmonary osteomas. No soft tissue pulmonary nodules or pleural effusion. Normal tracheal diameter. No esophageal dilation. In the abdomen there is adequate peritoneal and retroperitoneal serosal detail. The gastrointestinal tract is mildly filled. Fluid in the pylorus causes the round soft tissue contour in the cranioventral right abdomen. No radiopaque urolithiasis.</t>
  </si>
  <si>
    <t>4 images of the thorax and abdomen are presented for review.  The cardiovascular structures are normal.  The trachea is variably narrowed, with narrowing of the trachea and primary bronchi on expiration.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Costal arch.  The stomach contains a moderate amount of ingesta.  The small intestines are normal in size.  Gas and feces are present in the colon.  The urinary bladder is small.  The remaining abdominal organs are normal.</t>
  </si>
  <si>
    <t>Hepatomegaly=ZZ90= this is a nonspecific finding that may be seen with congestion, vacuolar hepatopathy, inflammation, neoplasia, etc.  Abdominal ultrasound may be helpful in further evaluation if biochemically indicated.  Variable tracheobronchial narrowing consistent with dynamic collapse.  Radiographically normal thorax for patient of this age.</t>
  </si>
  <si>
    <t xml:space="preserve">
1.SEVERE INTERSTITIAL TO ALVEOLAR PATTERN; MODERATE BRONCHIAL PATTERN; SEVERE DYNAMIC AIRWAY DISEASE._x000D_
2.Based on these AI airway/pulmonary findings, the probability of this patient having clinically detectable respiratory signs is VERY HIGH (&gt;75%)_x000D_
3.Are respiratory signs present? If YES._x000D_
4.Are respiratory signs present? If NO._x000D_
5.Pleural fissure lines or moderate pleural effusion has been detected. An overlying skin fold or in a moderately overweight animal, excessive pericardial fat could artifactually mimic the result of moderate pleural effusion._x000D_
6.Mild cardiomegaly has been detected but Heart Failure is NOT suspected.</t>
  </si>
  <si>
    <t>Eight radiographs are provided, with images of the thorax/abdomen, pelvis, and stifles. The cardiac silhouette and pulmonary vessels are normal size and shape. Mild age-related changes in the lungs. No soft tissue pulmonary nodules or pleural effusion. Small round soft tissue densities adjacent to the heart represent end-on pulmonary vessels. Normal tracheal diameter. In the abdomen the liver is mildly enlarged with smooth margins. Normal-sized spleen and kidneys. The gastrointestinal tract is moderately filled. No radiopaque cystic calculi. The L2-3 intervertebral foramen is slightly reduced in size. The coxofemoral joints are congruent. Pelvic limb musculature is adequate and symmetric. Patellar location is normal. There is moderate volume fluid in the cranial aspect of the left stifle joint. The left tibia is slightly cranially positioned with respect to the femoral condyles. No right stifle joint abnormalities.</t>
  </si>
  <si>
    <t>1. Moderate left stifle effusion and possible radiographic drawer sign, most consistent with cranial cruciate ligament tear/rupture. This is the most likely cause for lameness. Normal right stifle and coxofemoral joints._x000D_
2. The appearance of L2-3 is suggestive of intervertebral disc disease. This could be contributing to discomfort._x000D_
3. Mild hepatomegaly, a nonspecific finding that may be steroid or other hepatopathy, acute inflammation, least likely neoplasia. This should be correlated with history and blood work. Otherwise normal abdomen._x000D_
4. Normal thorax.</t>
  </si>
  <si>
    <t>If there is severe left stifle discomfort, severe lameness, and palpable instability, surgical stabilization would be recommended.</t>
  </si>
  <si>
    <t>Three radiographs of the thorax, and three views of the abdomen are provided. The cardiac silhouette is upper normal size on the ventral dorsal view. The heart appears relatively larger on the lateral projections due to thoracic conformation. Narrowed left mainstem bronchus on the right lateral view. Mild narrowed cervical trachea on both lateral views. No abnormalities in the pulmonary parenchyma. There is a dens on C2. Narrowed C3-4, C5-6, C6-7 intervertebral disc spaces. No scapular abnormalities. The glenohumeral joints are congruent. Mild degenerative change in the cubital joints._x000D_
_x000D_
In the abdomen soft tissue density extending ventral to the pylorus may represent enlarged liver versus normal splenic tail nestled adjacent to the liver. Normal sized kidneys. Punctate mineral density between the urinary bladder trigone and colon on the lateral views, to the right of midline on the VD projection. The L2-3 intervertebral foramen is slightly smaller than those on either side. Mild degenerative change in the coxofemoral joints. Both patellas are medially displaced.</t>
  </si>
  <si>
    <t>1. The appearance of C3-4, C5-6, C6-7, L2-3 are all suggestive of intervertebral disc disease. This is the most significant finding on this study._x000D_
2. Bilateral mild cubital and coxofemoral osteoarthritis and bilateral medial patellar luxation, could be contributing to discomfort._x000D_
3. Possible mild hepatomegaly versus normal splenic tail. Differentials for hepatomegaly are varied and include steroid hepatopathy, acute inflammation, or neoplasia. This should be correlated with history and blood work._x000D_
4. Punctate mineral density cranial to the pelvic inlet is most likely incidental granuloma. A distal ureterolith is next on the differential list._x000D_
5. Mainstem bronchial collapse and probable cervical tracheal collapse. No other intrathoracic abnormalities.</t>
  </si>
  <si>
    <t>If the patient does not improve with supportive care, consultation with a neurologist and advanced spinal imaging with CT/MRI should be considered.</t>
  </si>
  <si>
    <t xml:space="preserve">
1.Based on these AI airway/pulmonary findings, the probability of this patient having clinically detectable respiratory signs is LOW to MEDIUM (25-50%)_x000D_
2.The cardiac silhouette size is normal._x000D_
3.There is no evidence of PULMONARY NODULES or PLEURAL EFFUSION.</t>
  </si>
  <si>
    <t>3 views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The trachea is narrowed in the cervical region.  Cranial abdominal detail is adequate.</t>
  </si>
  <si>
    <t>Radiographically normal thorax for patient of this age.  Cervical tracheal narrowing suggestive of tracheal collapse.</t>
  </si>
  <si>
    <t>A three view study of the thorax that includes the neck and cranial abdomen is provided for interpretation._x000D_
_x000D_
There is a moderate to severe diffuse bronchointerstitial pulmonary pattern. The overall diffuse pattern is mildly improved relative to the previous radiograph dated 6-26-24. However, there is a new finding of a mildly defined soft tissue nodule in the right middle lung field at the level of the six intercostal space. No thoracic lymphadenopathy or pleural effusion is seen. No tracheal or laryngeal abnormalities are identified._x000D_
The heart is at the upper end of normal size range, with normal shape. Pulmonary vessels are unremarkable._x000D_
_x000D_
The colon is moderately distended with fecal balls. The rest of the GI tract is unremarkable. Liver size is borderline, at the upper end of normal range.</t>
  </si>
  <si>
    <t>The bronchointerstitial pattern is only mildly improved relative to the previous study, and there is a new finding of what is suspected to represent a pulmonary granuloma in the right middle lung field._x000D_
These findings are consistent with inflammatory lower airway disease with a granulomatous component, not typical of standard bacterial bronchitis. Atypical bacterial forms including Mycobacterium Mycoplasma as well as parasitic infection and fungal disease should be ruled out.</t>
  </si>
  <si>
    <t>CBC, heartworm testing, and Baermann fecal exam for lungworms is recommended._x000D_
Sampling from the lower airways via BAL/TTW or bronchoscopy should be considered to assist definitive diagnosis._x000D_
Fungal panel should also be considered depending on relevant epidemiology and results of the other tests.</t>
  </si>
  <si>
    <t xml:space="preserve">
1.Are respiratory signs present? If YES._x000D_
2.Are respiratory signs present? If NO._x000D_
3.SEVERE ALVEOLAR PATTERN; PLEURAL EFFUSION or PLEURAL FISSURE LINES; MODERATE DYNAMIC AIRWAY DISEASE; MILD, DIFFUSE BRONCHOINTERSTITIAL PULMONARY PATTERN._x000D_
4.SEVERE INTERSTITIAL TO ALVEOLAR INFILTRATE, MODERATE DYNAMIC AIRWAY DISEASE, MILD BRONCHIAL PATTERN, MILD PERIHILAR INFILTRATE._x000D_
5.Based on the AI airway/pulmonary findings, the probability of this patient having clinically detectable respiratory signs is VERY HIGH (&gt;75%)_x000D_
6.Based on these AI airway/pulmonary findings, the probability this patient will have clinically detectable respiratory signs is NEAR CERTAINTY (&gt;99%)_x000D_
7.Are respiratory signs present? If YES._x000D_
8.Are respiratory signs present? If NO._x000D_
9.Mild cardiomegaly has been detected but Heart Failure is NOT suspected.</t>
  </si>
  <si>
    <t>Study:
Thoracic radiography: three images dated July 9, 2024
Findings:
There is severe left ventricular and left atrial enlargement. The pulmonary vasculature is normal in size. The pulmonary parenchyma is unremarkable. The pleural space is normal. There is no intrathoracic lymphadenopathy. The patient has a redundant dorsal tracheal membrane. The trachea is normal in diameter. There is no lobar bronchi narrowing. The liver extends mildly beyond the costal arch with a smooth and rounded caudoventral margin. The stomach contains heterogeneous soft tissue material presumed to be ingesta. The included abdomen is otherwise unremarkable. The osseous structures are unremarkable.</t>
  </si>
  <si>
    <t>1. Severe left-sided cardiomegaly, indicative of mitral valve disease, without evidence of decompensation. Echocardiography should be considered for further evaluation.
2. Redundant dorsal tracheal membrane. Normal diameter of the trachea does not exclude the possibility of concomitant tracheal collapse.
3. There is no radiographic evidence of intrathoracic neoplasia.
4. The mild hepatomegaly is nonspecific. Rule out metabolic/vacuolar hepatopathy, hyperplasia, hepatitis or infiltrative neoplasia. Sonography can be considered for further evaluation.</t>
  </si>
  <si>
    <t xml:space="preserve">
1.Are respiratory signs present? If NO._x000D_
2.MILD to MODERATE BRONCHOINTERSTITIAL PATTERN; MILD DYNAMIC AIRWAY DISEASE._x000D_
3.Based on these AI airway/pulmonary findings, the probability of this patient having clinically detectable respiratory signs is MEDIUM (50%)_x000D_
4.Are respiratory signs present? If YES._x000D_
5.AI linked bacterial bronchitis in dogs article: https://platform.v2.vetology.net/doc/bacterial-bronchitis-in-dogs-and-cats_x000D_
6.There is no evidence of PULMONARY NODULES or PLEURAL EFFUSION._x000D_
7.Severe cardiomegaly has been detected but Heart Failure is NOT suspected.</t>
  </si>
  <si>
    <t>Three radiographs of the thorax are provided. The cardiac silhouette is normal size and shape. Pulmonary arteries and veins are symmetric and taper as expected. There is a mild bronchial pattern. Otherwise the lungs are clear. No pleural effusion. Focal soft tissue indentation in the lateral aspect of the right 8th intercostal space on the VD view is an incidental variant caused by thoracic conformation. Redundant dorsal trachealis membrane causes mild narrowed caudal cervical trachea on the edge of the right lateral view. Normal cranial abdomen.</t>
  </si>
  <si>
    <t>1. Mild bronchial pattern, consider airway inflammation due to inhaled irritant/allergens or infectious airway disease._x000D_
2. The appearance of the caudal cervical trachea is suggestive of dynamic collapse. This could be contributing to the cough.</t>
  </si>
  <si>
    <t>Recommend symptomatic treatment for the cough, and utilization of a body harness in place of a neck lead.</t>
  </si>
  <si>
    <t>Three radiographs of the thorax, and three views of the abdomen are provided. Images dated 10/10/23 are available for comparison. There is mild left atrial enlargement, best appreciated on the left lateral thoracic view and VD abdominal view. Pulmonary vessels are normal size. There are no abnormalities of the pulmonary parenchyma. No pleural effusion. Normal tracheal diameter. Scant fluid in the caudal esophagus is incidental._x000D_
_x000D_
In the abdomen serosal detail is adequate. The liver, spleen, and kidneys are normal size and shape. The gastrointestinal tract is minimally distended. There are no radiopaque uroliths. Punctate mineral density overlying the L2-3 intervertebral foramen as before, likely incidental. The coxofemoral joints are congruent.</t>
  </si>
  <si>
    <t>New development of mild left atrial enlargement. This is consistent with valvular regurgitation. This may be due to chronic degenerative valve disease or dilated cardiomyopathy. There is no evidence of pulmonary venous congestion or heart failure. Otherwise normal thorax and abdomen.</t>
  </si>
  <si>
    <t>There is no contraindication for general anesthesia based on this study. Recommend reevaluation of patient=ZZ91=s diet, as some diets may be responsible for cardiac disease.</t>
  </si>
  <si>
    <t xml:space="preserve">
1.Are respiratory signs present? If NO._x000D_
2.Are respiratory signs present? If YES._x000D_
3.Are respiratory signs present? If YES._x000D_
4.AI linked information on dynamic airway collapse treatment in dogs: https://platform.v2.vetology.net/doc/canine-tracheal-collapse-treatment_x000D_
5.Are respiratory signs present? If NO._x000D_
6.MILD BRONCHOINTERSTITIAL PULMONARY PATTERN WITH ATELECTASIS or LESS LIKELY, PNEUMONIA, MILD PERIHILAR INFILTRATE._x000D_
7.MODERATE DYNAMIC AIRWAY DISEASE; MILD BRONCHOINTERSTITIAL PULMONARY PATTERN; ATELECTASIS or ALVEOLAR INFILTRATE._x000D_
8.Based on these AI airway/pulmonary findings, the probability of this patient having clinically detectable respiratory signs is MEDIUM (50%)_x000D_
9.Probability these AI pulmonary findings will accompany clinically detectable respiratory signs: MILD TO MODERATE (25-50%)_x000D_
10.Severe cardiomegaly has been detected but Heart Failure is NOT suspected.</t>
  </si>
  <si>
    <t xml:space="preserve">Patient Name : Bangle Matthews, Date of study: Jul 9, 2024
4 images are provided for review
Canine Thorax (4 Images) - 2 Lateral, 2 Vd
There are no previous radiographs for comparison.
Pulmonary parenchyma: A minimal to mild diffuse bronchial pattern is present.  A minimal diffuse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</si>
  <si>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Minimal-mild diffuse bronchial and interstitial pulmonary patterns.
- Differential diagnoses include fibrosis from prior disease, age-related changes, and/or infectious/immune-mediated lower airway disease, secondary to heartworm disease and vascular accident, or unlikely other.
2. No current evidence of right-sided cardiomegaly or obvious pulmonary arterial enlargement.  </t>
  </si>
  <si>
    <t>Consider repeat thoracic radiographs with a dorsoventral image for more sensitive evaluation of the pulmonary arteries.  Echocardiography, ECG and blood pressure as directed, or if a murmur is identified.  Routine blood work and urinalysis if not recently performed.  Heartworm adulticide therapy protocol as directed, and monitoring with repeat radiographs needed, or sooner if acute cardiopulmonary signs manifest.</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</si>
  <si>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and displaced towards midline.  Gas and feces are present in the colon.  The urinary bladder is small. A tubular soft tissue structure is seen between the colon and urinary bladder within the caudal abdomen.  The remaining abdominal organs are normal. The mammae are prominent.</t>
  </si>
  <si>
    <t>Radiographically normal thorax for patient of this age.  Mildly enlarged uterus. Consider pyometra, mucometra, hydrometra, early pregnancy, pseudo pregnancy.</t>
  </si>
  <si>
    <t>Abdominal ultrasound could be considered in further evaluation prior to abdominal exploratory.</t>
  </si>
  <si>
    <t xml:space="preserve">
1.Are respiratory signs present? If NO._x000D_
2.The cardiac silhouette size is normal._x000D_
3.There is no evidence of PLEURAL EFFUSION._x000D_
4.Are respiratory signs present? If YES._x000D_
5.Are respiratory signs present? If NO._x000D_
6.A minimal to mild, diffuse mixed bronchointerstitial pattern with atelectasis or less likely, pneumonia, has been detected._x000D_
7.MILD BRONCHOINTERSTITIAL PULMONARY PATTERN; MILD DYNAMIC AIRWAY DISEASE._x000D_
8.Based on these AI airway/pulmonary findings, the probability of this patient having clinically detectable respiratory signs is LOW to MEDIUM (25-50%)_x000D_
9.Based on these AI airway/pulmonary findings, the probability of this patient having clinically detectable respiratory signs is LOW (25%)_x000D_
10.Are respiratory signs present? If YES.</t>
  </si>
  <si>
    <t xml:space="preserve">Patient Name : Gigi Hock, Date of study: Jul 9, 2024
2 images are provided for review
Canine Thorax (2 Images) - 1 Lateral, 1 Vd
There are no previous radiographs for comparison.  Ungloved human digits primary beam.  
Pulmonary parenchyma: A minimal to mild diffuse interstitial pulmonary pattern is present.  This is most severe in the right caudal lung lobes.  A minimal to mild diffuse bronchial pattern is present.
Pulmonary vasculature: The pulmonary vasculature are subjectively enlarged in the periphery of the lungs in the lateral images.  
Cardiac silhouette: The cardiac silhouette is  mildly tall and occupies 2/3 the height of the thorax.   The trachea is dorsally displaced.  The caudodorsal margin of the cardiac silhouette is flattened.    Minimal lateral displacement of mainstem bronchi is suspected in the ventrodorsal image.  
Mediastinum: The cranial mediastinum is normal.
Trachea: The trachea is normal.
Esophagus: The esophagus is not well-identified.
Pleural space: Thin pleural fissure lines that do not widen in the periphery are present between the right cranial/middle and right middle/caudal lung lobes.  
Musculoskeletal: The included musculoskeletal structures are normal.
</t>
  </si>
  <si>
    <t xml:space="preserve">1. Mild left-sided cardiomegaly such as from myxomatous mitral valvular disease and insufficiency.
2. Minimal to mild diffuse interstitial and bronchial pulmonary patterns, most severe in the right caudal lung lobes.
- Differential diagnoses include left-sided congestive heart failure/pulmonary edema  or unlikely other.
3. Minimal pleural fissure lines such as from evolving scant pleural fluid or pleural thickening/folding or unlikely other.  </t>
  </si>
  <si>
    <t>Diuretic therapy and oxygen supplementation with repeat thoracic radiographs to monitor for progression/resolution of the pulmonary pattern.  Echocardiography, ECG and blood pressure for further evaluation as well as routine blood work and urinalysis once stable.  Monitoring as directed or sooner if clinical signs acutely change, fail to improve or worsen.</t>
  </si>
  <si>
    <t xml:space="preserve">
1.MINIMAL to MILD DIFFUSE, MIXED BRONCHOINTERSTITIAL PULMONARY PATTERN with ATELECTASIS or less likely, pneumonia._x000D_
2.MINIMAL to MILD BRONCHOINTERSTITIAL PULMONARY PATTERN; MINIMAL DYNAMIC AIRWAY DISEASE._x000D_
3.MILD BRONCHOINTERSTITIAL PATTERN; MINIMAL DYNAMIC AIRWAY DISEASE._x000D_
4.Based on these AI airway/pulmonary findings, the probability of this patient having clinically detectable respiratory signs is LOW to MEDIUM (25-50%)_x000D_
5.Based on these AI airway/pulmonary findings, the probability of this patient having clinically detectable respiratory signs are LOW (25%)_x000D_
6.Probability these AI pulmonary findings will accompany clinically detectable respiratory signs: LOW (25%)_x000D_
7.Are respiratory signs present? If YES._x000D_
8.Are respiratory signs present? If YES._x000D_
9.Pleural fissure lines or small volume pleural effusion has been detected. In a mildly overweight animal, excessive pericardial fat can artifactually mimic the result of minimal pleural effusion._x000D_
10.Moderate cardiomegaly has been detected but Heart Failure is NOT suspected._x000D_
11.Are respiratory signs present? If YES._x000D_
12.Are respiratory signs present? If NO._x000D_
13.Are respiratory signs present? If NO._x000D_
14.Are respiratory signs present? If NO.</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</si>
  <si>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 In the LL view some end on small peripheral pulmonary vessels are superimposed with the cardiac silhouette._x000D_
No signs of cranial mediastinal lymphadenopathy or other thoracic lymphadenopathy._x000D_
Pleural space, diaphragm and thoracic wall within normal limits.</t>
  </si>
  <si>
    <t xml:space="preserve">
1.The evaluation result has a strong suspicion of soft tissue pulmonary nodules being present._x000D_
2.Are respiratory signs present? If NO._x000D_
3.The cardiac silhouette size is normal._x000D_
4.Are respiratory signs present? If YES._x000D_
5.PULMONARY NODULAR PATTERN likely due to END ON PULMONARY VESSELS, PULMONARY OSTEOMAS or COSTOCHONDRAL JUNCTIONS; MILD INTERSTITIAL TO ALVEOLAR PATTERN; MILD BRONCHITIS._x000D_
6.Based on the AI airway/pulmonary findings, the probability of this patient having clinically detectable respiratory signs is LOW to MEDIUM (25-50%)_x000D_
7.Are respiratory signs present? If YES._x000D_
8.Are respiratory signs present? If NO._x000D_
9.MILD BRONCHOINTERSTITIAL PULMONARY PATTERN WITH ATELECTASIS or LESS LIKELY, PNEUMONIA, MILD PERIHILAR INFILTRATE._x000D_
10.Probability these AI pulmonary findings will accompany clinically detectable respiratory signs: MILD TO MODERATE (25-50%)</t>
  </si>
  <si>
    <t>Orthogonal views of the thorax and abdomen are provided:_x000D_
_x000D_
Thorax:_x000D_
_x000D_
Cardiac silhouette has a normal shape and size._x000D_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and urinary bladder WNL._x000D_
_x000D_
Bilateral elbow dysplasia and bilateral hip dysplasia with moderate periarticular osteophytosis.</t>
  </si>
  <si>
    <t>Consider abdominal US to further evaluate causes of vomition, ADR, lethargy and potential anemia.</t>
  </si>
  <si>
    <t xml:space="preserve">
1.A minimal interstitial pattern has been detected._x000D_
2.Minimal dynamic airway disease has been detected._x000D_
3.The cardiac silhouette size is normal.</t>
  </si>
  <si>
    <t>Consider abdominal US to further evaluate causes of not eating and drinking much and acting lethargic.</t>
  </si>
  <si>
    <t>Orthogonal views of the head and thorax are provided:_x000D_
_x000D_
Head:_x000D_
_x000D_
Right sided soft tissue mass ventrolateral to the right mandible (level of 307 through 309) without evidence of bony lysis._x000D_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t>
  </si>
  <si>
    <t>1) Right sided oral soft tissue mass compatible with the reported oral melanoma vs fibrosarcoma vs SCC._x000D_
2) Unremarkable thorax without signs of pulmonary metastases nor signs of thoracic lymphadenopathy._x000D_
3) Hepatomegaly: Metabolic vs Vacuolar infiltration vs Hepatic nodular hyperplasia vs Inflammatory vs Toxic vs Neoplastic infiltration from melanoma not excluded, or a combination of these differentials.</t>
  </si>
  <si>
    <t>Consider a CT of the head and ideally of the thorax and abdomen to further evaluate the mass and completely rule out regional metastases and thoraco-abdominal metastases (small pulmonary nodules may not be visible on plain radiographs) vs CT of the oral cavity and abdominal US to further evaluate the liver and rest of the abdomen ruling out potential metastases..</t>
  </si>
  <si>
    <t xml:space="preserve">
1.MILD BRONCHOINTERSTITIAL PULMONARY PATTERN._x000D_
2.Based on these AI airway/pulmonary findings, the probability of this patient having clinically detectable respiratory signs are LOW (25%)_x000D_
3.Are respiratory signs present? If YES._x000D_
4.Are respiratory signs present? If NO._x000D_
5.The cardiac silhouette size is normal._x000D_
6.There is no evidence of PERIHILAR INFILTRATE.</t>
  </si>
  <si>
    <t>Study:_x000D_
Thoracic, abdominal and right pelvic limb radiography: nine images dated July 8, 2024_x000D_
_x000D_
Findings:_x000D_
The cardiac silhouette and pulmonary vasculature are normal in size. On the right lateral view, there is a 0.4 submeter round soft tissue opacity superimposed with the cardiac silhouette in the ventral aspect of the fourth intercostal space. This finding is not seen on the orthogonal view. The pleural space is normal. There is no intrathoracic lymphadenopathy. The trachea is normal in diameter and course. The stomach contains unstructured heterogeneous soft tissue material presumed to be ingesta. The pylorus is appropriately gas-filled on the left lateral image. The small intestines are normal in size, course and content. The colon contains formed fecal material. The liver and spleen are normal in size and margin. The kidneys are normal in size and contour. The urinary bladder is normal in size and opacity. There is no uterine dilation. There is mild multifocal thoracolumbar and lumbosacral spondylosis deformans. The L1 vertebra is transitional with bilateral hypoplastic ribs. There is a large subcutaneous soft tissue opaque mass along the caudolateral aspect of the right pelvic limb at the level of the proximal. The adjacent femur is normal with no evidence of osteolysis. The ipsilateral popliteal lymph node appears normal in size. There is a small mineral body adjacent to the lesser trochanter of the right femur.</t>
  </si>
  <si>
    <t>1. Right pelvic limb subcutaneous mass. A soft tissue sarcoma should be considered. Benign neoplasia cannot be excluded. Tissue sampling are recommended for further evaluation. Computed tomography can be considered for surgical planning._x000D_
2. Questionable left cranial lung lobe pulmonary nodule (neoplasia versus granuloma) versus superposition artifact (given the lack of repeatability on the orthogonal view. Computed tomography of the thorax can be considered for further evaluation._x000D_
3. Unremarkable abdomen._x000D_
4. The punctate mineral opacity adjacent to the lesser trochanter of the right femur is indicative of an iliopsoas enthesophyte.</t>
  </si>
  <si>
    <t>A three view study of the thorax is provided for interpretation. The studies compared to previous radiograph dated 9-21-23._x000D_
_x000D_
No tracheal abnormalities are identified._x000D_
The heart is at the upper end of normal size range, with normal shape. Pulmonary vessels are normal._x000D_
There is a mild increase in bronchial markings overall. The appearance is fairly similar to the previous study, possibly slightly more prominent._x000D_
The cranial abdominal organs are unremarkable.</t>
  </si>
  <si>
    <t>The mild bronchial pattern is within the limits of what might be seen as age related change, but would be compatible with allergic or idiopathic chronic bronchitis if warranted by clinical signs. Infectious bronchitis is unlikely, but viral tracheitis/tracheobronchitis could still be present without more prominent radiographic changes._x000D_
No findings concerning for neoplasia or heart failure are identified._x000D_
_x000D_
If the cough persists on a long-term basis, idiopathic or allergic chronic bronchitis is likely responsible.</t>
  </si>
  <si>
    <t>Symptomatic therapy for possible allergic bronchitis, low-grade idiopathic chronic bronchitis, or viral tracheobronchitis is recommended.</t>
  </si>
  <si>
    <t>5 images of the thorax are provided for review.  The cardiovascular structures are normal.  There is a moderate bronchial pattern in all lung lobes.  The esophagus is gas distended.  The mediastinal and pleural structures are normal.  Cranial abdominal detail is adequate.</t>
  </si>
  <si>
    <t>Moderate bronchial pulmonary pattern=ZZ90= consider bronchitis, response to inhaled irritants, response to circulating parasites, eosinophilic bronchopneumopathy.  Airway sampling may be helpful in further evaluation.  Esophageal dilation may represent aerophagia, esophagitis, or motility disorder.  An esophagram could be considered to evaluate motility.</t>
  </si>
  <si>
    <t xml:space="preserve">Patient Name : Calvin Marrero, Date of study: July 8, 2024
2 images are provided for review
Canine Thorax (2 Images) - 1 Vd, 1 Lateral
This examination is compared to prior dated May 27, 2024 and prior.
Pulmonary parenchyma: A minimal interstitial pattern is present.  A minimal to mild diffuse bronchial pattern is present.
Pulmonary vasculature: The pulmonary veins in the right caudal lung lobe are enlarged and rail to taper as expected in the periphery of the lungs.  
Cardiac silhouette: The cardiac silhouette moderately tall and occupies greater than 2/3 the height of the thoracic cavity.  The caudodorsal margin of the cardiac silhouette is flattened and enlarged.  Rounded increased soft tissue is in the region of the left atrium in the ventrodorsal image, with lateral displacement of mainstem bronchi.  The cardiac silhouette is widened and rounded in the region of the right heart in the ventrodorsal image.  The cardiac silhouette occupies the width of 3-3.5 intercostal spaces in the lateral image.  
Mediastinum: The cranial mediastinum is normal.
Trachea: The trachea is normal.
Esophagus: The esophagus is not well-identified.
Pleural space: The pleural space is normal.
Musculoskeletal: Multifocal lumbar spondylosis deformans is present.  The remaining included musculoskeletal structures are normal.
</t>
  </si>
  <si>
    <t xml:space="preserve">1. Moderate-severe left- and possible right-sided cardiomegaly.
- Differential diagnoses include myxomatous mitral valvular disease and insufficiency with/without tricuspid valvular disease or cor pulmonale/pulmonary hypertension, or unlikely other.  
- This is similar to prior.
2. Suspicious for right caudal lung lobe pulmonary venous enlargement and mild interstitial pulmonary pattern from evolving left-sided congestive heart failure.
- This is progressive from prior.  
3. Minimal diffuse bronchial and interstitial pulmonary patterns.
- Differential diagnoses include evolving left-sided congestive heart failure and/or fibrosis from prior disease, age-related changes, or unlikely other.
</t>
  </si>
  <si>
    <t>Echocardiography, ECG and blood pressure for further evaluation once stable.  Diuretic therapy and oxygen supplementation with repeat thoracic radiographs to monitor for progression/resolution of the pulmonary pattern.  Routine bloodwork and urinalysis if not recently performed.  Abdominal imaging to screen for systemic disease if not recently performed.   Monitoring as directed or sooner if clinical signs acutely change, fail to improve or worsen.</t>
  </si>
  <si>
    <t xml:space="preserve">
1.MODERATE BRONCHOINTERSTITIAL PULMONARY PATTERN; MODERATE ALVEOLAR INFILTRATE or ATELECTASIS; MODERATE DYNAMIC AIRWAY DISEASE._x000D_
2.MODERATE BRONCHOINTERSTITIAL PULMONARY PATTERN, MODERATE DYNAMIC AIRWAY DISEASE,  SLIGHT PERIHILAR INFILTRATE._x000D_
3.Based on these AI airway/pulmonary findings, the probability of this patient having clinically detectable respiratory signs is HIGH (75%)_x000D_
4.Based on these AI airway/pulmonary findings, the probability of this patient having clinically detectable respiratorysigns is MEDIUM (50%)_x000D_
5.Are respiratory signs present? If YES._x000D_
6.AI linked bronchitis disease treatment in dogs and cats: https://platform.v2.vetology.net/doc/bacterial-bronchitis-in-dogs-and-cats_x000D_
7.Pleural fissure lines or moderate pleural effusion has been detected. An overlying skin fold or in a moderately overweight animal, excessive pericardial fat could artifactually mimic the result of moderate pleural effusion._x000D_
8.Severe cardiomegaly has been detected but Heart Failure is NOT suspected._x000D_
9.Are respiratory signs present? If YES._x000D_
10.Are respiratory signs present? If NO._x000D_
11.Are respiratory signs present? If NO.</t>
  </si>
  <si>
    <t>Study:_x000D_
Thoracic radiography: five images dated July 8, 2024_x000D_
_x000D_
Findings:_x000D_
The cardiac silhouette is normal in size and shape. The pulmonary vasculature is normal in size. There is a mild generalized bronchointerstitial pulmonary pattern. No pulmonary nodules or masses are present. The pleural space is normal. There is no intrathoracic lymphadenopathy. The trachea is normal in diameter. The stomach contains unstructured heterogeneous soft tissue material presumed to be ingesta. The included abdomen is otherwise unremarkable. There is no hepatomegaly. There is multifocal cervical and thoracolumbar intervertebral disc space narrowing and variable mild to severe spondylosis deformans. The left 13th rib is hypoplastic.</t>
  </si>
  <si>
    <t>1. There is no radiographic evidence of heart disease. Consider echocardiography for further evaluation of the reported heart murmur._x000D_
2. The mild diffuse bronchointerstitial pulmonary pattern is likely a benign age-related change in the absence of any respiratory signs. Allergic, inflammatory, infectious, inhaled irritant or parasitic bronchitis cannot be completely excluded._x000D_
3. There is no evidence of pulmonary metastatic disease._x000D_
4. Normal appearance of liver does not exclude a hepatopathy. Abdominal sonography plus/minus adrenal axis testing can be considered for further evaluation of the reported elevated ALKP._x000D_
5. Multifocal intervertebral disease.</t>
  </si>
  <si>
    <t xml:space="preserve">
1.There is no evidence of BRONCHITIS or ALVEOLAR PATTERN._x000D_
2.A minimal perihilar infiltrate has been detected._x000D_
3.Minimal dynamic airway disease has been detected._x000D_
4.Minimal cardiomegaly has been detected but Heart Failure is NOT suspected.</t>
  </si>
  <si>
    <t>Study:_x000D_
Thoracic radiography: three images dated July 8,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unstructured heterogeneous/granular soft tissue material presumed to be ingesta. No skeletal abnormalities are present. There is a lipomatous mass in the subcutaneous tissues of the left lateral thorax.</t>
  </si>
  <si>
    <t>Normal thorax. There is no radiographic evidence of cardiopulmonary disease or intrathoracic neoplasia.</t>
  </si>
  <si>
    <t>There no radiographic contraindications for the planned dental prophylaxis.</t>
  </si>
  <si>
    <t xml:space="preserve">
1.A mild bronchial pattern and minimal perihilar infiltrate have been detected._x000D_
2.A mild interstitial to alveolar pattern and minimal perihilar pattern have been detected._x000D_
3.A mild, diffuse mixed bronchointerstitial pattern with potential small regions of alveolar infiltrate has been detected._x000D_
4.The cardiac silhouette size is normal._x000D_
5.There is no evidence of DYNAMIC AIRWAY COLLAPSE or BRONCHIECTASIS.</t>
  </si>
  <si>
    <t>Thorax: There is moderate to severe left-sided and moderate right-sided cardiomegaly.  There is no evidence of cardiogenic pulmonary edema or pleural effusion.  The pulmonary vasculature and pulmonary parenchyma are unremarkable.  There is no evidence of lymphadenopathy.  On the visible portions of the thoracic limbs there is osteoarthrosis involving one of the elbows (laterality uncertain).  On the visible portions of the abdomen there is mild diffuse hepatomegaly.</t>
  </si>
  <si>
    <t>Moderate to severe left-sided and moderate right-sided cardiomegaly without evidence of decompensation._x000D_
_x000D_
Elbow osteoarthrosis (laterality uncertain)._x000D_
_x000D_
Mild diffuse hepatomegaly.</t>
  </si>
  <si>
    <t xml:space="preserve">
1.Are respiratory signs present? If NO._x000D_
2.Are respiratory signs present? If NO._x000D_
3.MILD BRONCHOINTERSTITIAL PULMONARY PATTERN WITH ATELECTASIS or LESS LIKELY, PNEUMONIA, MILD PERIHILAR INFILTRATE._x000D_
4.MODERATE DYNAMIC AIRWAY DISEASE; MILD BRONCHOINTERSTITIAL PULMONARY PATTERN; ATELECTASIS or ALVEOLAR INFILTRATE._x000D_
5.Based on these AI airway/pulmonary findings, the probability of this patient having clinically detectable respiratory signs is MEDIUM (50%)_x000D_
6.Probability these AI pulmonary findings will accompany clinically detectable respiratory signs: MILD TO MODERATE (25-50%)_x000D_
7.Are respiratory signs present? If YES._x000D_
8.Severe cardiomegaly has been detected but Heart Failure is NOT suspected._x000D_
9.Are respiratory signs present? If YES._x000D_
10.AI linked information on dynamic airway collapse treatment in dogs: https://platform.v2.vetology.net/doc/canine-tracheal-collapse-treatment</t>
  </si>
  <si>
    <t>Three radiographs of the thorax/abdomen are provided. The cardiac silhouette and pulmonary vessels are normal size. There is a small area of increased opacity overlying the mid ventral heart on both of the lateral views but is not confirmed on the VD projection. No pleural effusion. Adequate tracheal diameter. Wispy soft tissue thickening dorsal to the thoracic spine consistent with subcutaneous fluid administration. In the abdomen the prostate is moderate to severely enlarged and soft tissue opaque. Round increased opacity overlying the urinary bladder is superimposed loop of bowel. Normal size kidneys, spleen, liver. There is a broad-based 1.5 cm soft tissue opaque bulge extending lateral to the spleen on the VD projection. Small volume gas in the stomach. Small bowel are minimally filled. Small volume fluid and gas in the colon. No radiopaque foreign material. Mineral density overlies the L1-2, L2-3, L3-4 intervertebral foramina, of doubtful clinical significance today.
(amended on 07/09/2024 10:22)
Correction to patient=ZZ91=s information-the patient is INTACT.</t>
  </si>
  <si>
    <t>1. Moderate to severe prostatomegaly. In a neutered patient this is significantly concerning for prostatic neoplasia. Prostatitis or recent/late neuter could also cause this appearance._x000D_
2. Probable small splenic nodule, a nonspecific finding that may be lymphoid hyperplasia, extramedullary hematopoiesis, neoplasia._x000D_
3. Impending liquid diarrhea. No other gastrointestinal abnormalities. Gastroenteritis/pancreatitis is suspected._x000D_
4. Increased opacity overlying the ventral lungs is concerning for mild aspiration pneumonia. Atelectasis and summating normal anatomy could also cause this appearance. In the absence of coughing or abnormal lung auscultation, significance is doubtful. Otherwise normal thorax.
(amended on 07/09/2024 10:22)
1. Correction: With the updated patient reproductive status, prostatomegaly is consistent with benign prostatic hyperplasia. There is no further concern regarding prostatitis or prostatic neoplasia.</t>
  </si>
  <si>
    <t>Abdominal ultrasound is recommended to evaluate the gastrointestinal tract, spleen, and prostate.
(amended on 07/09/2024 10:22)
Abdominal ultrasound is recommended to evaluate the gastrointestinal tract and spleen.</t>
  </si>
  <si>
    <t xml:space="preserve">Patient Name: Teddy Riethmiller, Date of study: July 8, 2024.
Canine Thorax (3 Images) - 1 VD, 2 Lateral
There are no previous radiographs for comparison.
Findings:
Cardiac silhouette: The cardiac silhouette is enlarged at the level of the aortic root. The cardiac silhouette is otherwise within normal limits of size and shape.
Pulmonary vessels: The pulmonary arteries and veins are normal in size and are symmetrical.
Pulmonary parenchyma: There is a diffuse, mild bronchial pattern. There is no evidence of pulmonary consolidation, soft tissue opaque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unremarkable.
Cranial abdomen: No significant abnormalities identified in the cranial abdomen.
Musculoskeletal: There is mild spondylosis deformans of the cranial lumbar spine. The included skeletal and superficial soft tissue structures of the study are otherwise within normal limits.
</t>
  </si>
  <si>
    <t xml:space="preserve">1. Mild diffuse bronchial pattern. Differentials include chronic bronchitis of allergic, infectious/inflammatory, parasitic, and irritant etiologies.
-This is thought to be the cause of the reported cough.
2. There is evidence of enlargement of the aortic root. Differentials include subaortic stenosis, aortic aneurysm, and systemic hypertension. There is no evidence of heart failure. A cardiogenic cough is not suspected. </t>
  </si>
  <si>
    <t>-Airway sampling (respiratory PCR, bronchoalveolar lavage, transtracheal wash) is recommended to guide treatment. A Baermann fecal analysis is recommended to screen for lung worms.
-If a murmur can be auscultated, echocardiography, EKG, and blood pressure would be recommended to further evaluate the heart.</t>
  </si>
  <si>
    <t xml:space="preserve">
1.Are respiratory signs present? If NO._x000D_
2.MILD BRONCHIAL PATTERN; MILD DYNAMIC AIRWAY DISEASE._x000D_
3.Based on these AI airway/pulmonary findings, the probability of this patient having clinically detectable respiratory signs is LOW to MEDIUM (25-50%)_x000D_
4.Are respiratory signs present? If YES._x000D_
5.The cardiac silhouette size is normal._x000D_
6.There is no evidence of PERIHILAR INFILTRATE or PLEURAL EFFUSION.</t>
  </si>
  <si>
    <t>Six orthogonal survey radiographs of the thorax and abdomen dated 8th July 2024 are available for review. There are no previous radiographs available for comparison. _x000D_
_x000D_
Thorax: _x000D_
Airway findings: The cervical and thoracic trachea have a normal size, outline and position. The carina, tracheal bifurcation and mainstem bronchi are normal. There is a mild caudal dorsal bronchial pattern. _x000D_
_x000D_
Cardiovascular findings: The cardiac silhouette is normal in shape, size and margination. The cranial and caudal pulmonary vasculature is normal. The caudal vena cava is tapering. The aorta and mainstem pulmonary artery have a normal outline in the vd/dv l image._x000D_
_x000D_
Mediastinum and pleural space: There is some rounding of the caudal ventral pulmonary lobes indicative of some scant pleural effusion._x000D_
_x000D_
Abdomen: The hepatic silhouette is small. There is free gas at the cranial dorsal aspect of the abdomen outlining the caudal aspect of the diaphragm and stomach. The stomach itself is gas dilated, but not under tension. The small intestines are variably gas distended, and present on the right side of the abdomen. No segmental dilation is present. The descending colon contains gas and some formed faeces. The head of the spleen is normal. The tail of the spleen is poorly outlined in the ventrodorsal image, with irregular gas lucencies superimposed on the tail of the spleen. There is loss of serosal detail in the cranial ventral aspect of the abdomen, with wispy opacification. The urinary bladder is filled._x000D_
_x000D_
Musculoskeletal findings: There is lumbar spondylosis deformans.</t>
  </si>
  <si>
    <t>1. The abdominal findings indicate free gas and diffuse ileus: Differentials include septic peritonitis with intestinal perforation, neoplasia most likely splenic, with haemorrhage and rupture, potentially with secondary septic peritonitis. Carcinomatosis should be considered._x000D_
2. The tapering caudal vena cava is indicative of dehydration._x000D_
3. The pleural effusion is most likely paraneoplastic or sympathetic inflammatory transudate considering 1.</t>
  </si>
  <si>
    <t>Emergency supportive management is indicated. Abdominal ultrasound with FNA of any free fluid is indicated. Depending on findings, after emergency stabilisation, an explorative laparotomy may be considered. Alternatively, palliative approach may be considered.</t>
  </si>
  <si>
    <t>Six orthogonal survey radiographs of the thorax and abdomen dated 8th July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stomach contains a large amount of soft tissue opaque material within swirling gas pattern. The small intestines are variably filled with gas, fluid and soft tissue opaque material. Some of the swelling soft tissue opaque material is seen within the small intestines. The colon is significantly dilated with the same swelling soft tissue opaque material. The caecum is moderately gas dilated. The urinary bladder is filled. Caudal to the urinary bladder there is a spherical soft tissue opacity consistent with an enlarged prostate. The hepatic silhouette is normal in size with smooth borders. The spleen is normal in shape, size and position. The kidneys are partially obscured by gastrointestinal contents, but the visible aspect are normal. The serosal detail is normal._x000D_
_x000D_
Musculoskeletal findings: No significant abnormalities are detected.</t>
  </si>
  <si>
    <t>1. The gastric and intestinal contents may be due to a large meal, however a dietary indiscretion is most likely in light of the swirling gas pattern of the material.</t>
  </si>
  <si>
    <t>Supportive management including rehydration, gastroprotectants,  full blood work,  is advised, if not already performed. Repeat 3-view post fasting radiographs depending on clinical progression.</t>
  </si>
  <si>
    <t>Study:_x000D_
Spinal radiography: five images dated July 5, 2024_x000D_
_x000D_
Findings:_x000D_
The dens is intact and well defined. There is narrowing of the C5-C6 and C6-C7 intervertebral disc spaces. There is severe spondylosis deformans at C6-C7. There is mild T5-T6 and moderate T 13-L1 spondylosis deformans. There is no evidence of discospondylitis. The included appendicular skeletal structures are unremarkable. There is a mild diffuse bronchointerstitial pulmonary pattern, most likely a benign age-related change. The liver extends mildly beyond the costal arch with smooth margins.</t>
  </si>
  <si>
    <t>1. C5-C6 and C6-C7 intervertebral disc disease. Neurology consultation and MRI should be considered if the patient=ZZ91=s clinical signs persist or worsen in spite of strict activity restriction and pain management._x000D_
2. The generalized hepatomegaly is nonspecific. Rule out metabolic/vacuolar hepatopathy, hyperplasia, hepatitis or infiltrative neoplasia. Correlate with any liver enzyme abnormalities. Sonography can be considered for further evaluation if clinically relevant.</t>
  </si>
  <si>
    <t xml:space="preserve">
1.Minimal cardiomegaly has been detected but Heart Failure is NOT suspected._x000D_
2.There is no evidence of PERIHILAR INFILTRATE, DYNAMIC AIRWAY COLLAPSE or BRONCHIECTASIS or PLEURAL EFFUSION._x000D_
3.A minimal to mild bronchointerstitial pulmonary pattern has been detected.</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</si>
  <si>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arewithin normal limits._x000D_
_x000D_
Multiple ribs show a permeative lysis with secondary pathological fractures. Suspected permeative lysis is seen in the zygomatic arches, wings of the atlas, spinous processes of the majority of the included vertebrae, not so well distinguished in the vertebral bodies. Similar and more extensive permeative lysis is seen in both radius and ulnae and to a lesser degree in both humeri and scapulae, without evidence of pathological fractures._x000D_
_x000D_
Liver extends beyond the costal arch with sharp margins.</t>
  </si>
  <si>
    <t>1) No signs of pulmonary metastases nor signs of thoracic lymphadenopathy._x000D_
2) Zygomatic arches, ribs, vertebral and anterior appendicular extensive and multifocal permeative lysis is highly suspicious of multiple myeloma vs plasm cell tumor. A bony metastases from carcinoma is less likely. A clear pathological fracture of the left fore limb is not distinguished (mediolateral views should be taken).</t>
  </si>
  <si>
    <t>Consider abdominal US along with gamma protein levels and total protein levels, Benze jones proteins and ideally a CT of the entire body with bone biopsy. Oncologist consultation.</t>
  </si>
  <si>
    <t>8 views of the thorax, abdomen, and pelvis are submitted for review.  There is moderate periarticular osteophytosis and bone remodeling associated with the femoral head and neck and acetabulum on both sides.  There is subjectively shallower acetabular coverage on the right as compared to the left.  However, this may be accentuated by rightward obliquity.  The sacroiliac joints are within normal limits._x000D_
In the abdomen, the stomach contains a mild amount of gas.  The small bowel and colon are within normal limits.  The liver and spleen are normal in size, shape, and margination.  The bilateral renal silhouettes are within normal limits.  The urinary bladder is unremarkable.  Serosal detail is normal._x000D_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  An endotracheal tube extends to the level of the caudal cervical spine.  A mild amount of gas is noted in the intrathoracic esophagus.</t>
  </si>
  <si>
    <t>Moderate, bilateral coxofemoral DJD.  No evidence of an aggressive bone lesion is seen._x000D_
Radiographically normal thorax and abdomen.</t>
  </si>
  <si>
    <t>Medical management for osteoarthritis may be helpful.</t>
  </si>
  <si>
    <t xml:space="preserve">
1.The cardiac silhouette size is normal._x000D_
2.There is no evidence of BRONCHITIS, DYNAMIC AIRWAY COLLAPSE or BRONCHIECTASIS, PULMONARY NODULES or PLEURAL EFFUSION._x000D_
3.A mild interstitial to alveolar pattern and minimal perihilar pattern have been detected.</t>
  </si>
  <si>
    <t>Three orthogonal thoracic radiographs dated 8th July 2024 are available for review. There are no previous radiographs available for comparison. _x000D_
_x000D_
Airway findings: The cervical and thoracic trachea have a normal size, outline and position. The carina, tracheal bifurcation and mainstem bronchi are normal. The pulmonary parenchyma has a homogenous interstitial opacification consistent with body habitus. A mild bronchial pattern is present caudal dorsally._x000D_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 caudal oesophagus is gas-filled on the left lateral image, with a and apparent thickened wall, or partially filled with fluid and gas._x000D_
_x000D_
Musculoskeletal findings: The patient is overweight._x000D_
_x000D_
Included abdomen: No significant abnormalities are detected.</t>
  </si>
  <si>
    <t>1. Mild caudal dorsal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The interstitial pattern is most likely due to body habitus._x000D_
2. The gas and fluid in the caudal oesophagus may be positional, however an oesophagitis should be considered. Mild aspiration due to oesophagitis should also be considered as a cause for the coughing.</t>
  </si>
  <si>
    <t>Correlate with palpation testing for upper respiratory disease. Respiratory workup including CBC, serum chemistry, urinalysis, Baermann faecal testing, 4DX, +/- respiratory panel as indicated may be considered.  Alternatively, diagnostic /empirical therapy for lower airway disease, empirical deworming,  can be considered.</t>
  </si>
  <si>
    <t>A two view study of the thorax is provided for interpretation._x000D_
_x000D_
Severe heart enlargement is identified. The shape of the heart is consistent with left sided chamber dilation but some degree of right sided chamber dilation is also suspected to be present. There is a moderate interstitial to alveolar pulmonary pattern. Thin pleural fissure lines are faintly visible. No tracheal or laryngeal abnormalities are identified._x000D_
_x000D_
The liver is mildly enlarged. Faint irregular mineral opacity is seen associated with the right side liver, believed to represent mineral dense choleliths in the gallbladder.</t>
  </si>
  <si>
    <t>There is severe cardiomegaly and an interstitial to alveolar pulmonary pattern that would be consistent with pulmonary edema._x000D_
Congestive heart failure is the most likely explanation for the clinical and radiographic findings._x000D_
Subclinical cardiac disease with concurrent pneumonia as a less likely possibility._x000D_
_x000D_
The liver is enlarged. Possible etiologies include metabolic or endocrine associated hepatopathies vs. inflammatory/infectious liver disease vs. less likely neoplasia._x000D_
Hepatic congestion secondary to right-sided cardiac disease could also contribute to increased liver size._x000D_
Cholelithiasis is also identified, although unlikely to be related to the other abnormalities.</t>
  </si>
  <si>
    <t>Supportive care and medical management for probable congestive heart failure is recommended._x000D_
CBC and serum chemistry is recommended.</t>
  </si>
  <si>
    <t xml:space="preserve">
1.A moderate perihilar infitlrate has been detected._x000D_
2.Are respiratory signs present? If NO._x000D_
3.SEVERE INTERSTITIAL TO ALVEOLAR PATTERN; SEVERE BRONCHITIS;  PULMONARY NODULES OR MASS LESION; PLEURAL FLUID or PLEURAL THICKENING; SEVERE DYNAMIC AIRWAY DISEASE._x000D_
4.Based on these AI airway/pulmonary findings, the probability of this patient having clinically detectable respiratorysigns is VERY HIGH (&gt;75%)_x000D_
5.This evaluation has detected pulmonary nodules or a mass lesion and pleural fissure lines or effusion._x000D_
6.Are respiratory signs present? If YES._x000D_
7.Given this combination of above thoracic findings, a radiologist over read may be beneficial._x000D_
8.Severe cardiomegaly has been detected but Heart Failure is NOT suspected.</t>
  </si>
  <si>
    <t>Orthogonal views of the thorax are provided:_x000D_
_x000D_
Thorax:_x000D_
_x000D_
No abnormalities are seen in the pharynx/hyoid apparatus._x000D_
Cardiac silhouette shows a moderate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Thoracic hemivertebrae leading to skoliosis (breed change)._x000D_
Liver extends beyond the costal arch with sharp margins.</t>
  </si>
  <si>
    <t>Consider a cardiology consultation with ECG and echocardiogram and abdominal US to further evaluate the liver prior to a BOAS exam with +/- CT of the oronasopharyngeal region and laryngeal exam under sedation.</t>
  </si>
  <si>
    <t xml:space="preserve">
1.SEVERE PLEURAL EFFUSION; MODERATE TO SEVERE INTERSTITIAL to ALVEOLAR PATTERN._x000D_
2.Based on the AI airway/pulmonary findings, the probability of this patient having clinically detectable respiratory signs is VERY HIGH (&gt;75%)_x000D_
3.Severe pleural effusion has been detected._x000D_
4.Are respiratory signs present? If NO._x000D_
5.Mild cardiomegaly has been detected but Heart Failure is NOT suspected._x000D_
6.There is no evidence of PULMONARY NODULES.</t>
  </si>
  <si>
    <t>Study:_x000D_
Thoracic radiography: three images dated July 8, 2024_x000D_
_x000D_
Findings:_x000D_
The cardiac silhouette and pulmonary vasculature are normal in size. The pulmonary parenchyma is unremarkable. The pleural space is normal. There is no intrathoracic lymphadenopathy. The trachea is normal in diameter and course. The included abdomen is normal. No skeletal abnormalities are present. The patient is of overweight body condition.</t>
  </si>
  <si>
    <t>Normal thorax. There is no radiographic evidence of cardiopulmonary disease. A cause of the excessive panting is not evident.</t>
  </si>
  <si>
    <t>Study:_x000D_
Thoracic radiography: four images dated July 8, 2024_x000D_
_x000D_
Compared to prior study dated April 1, 2024_x000D_
_x000D_
Findings:_x000D_
There is mild left ventricular and left atrial enlargement, similar in severity to the prior examination. The pulmonary vasculature is normal in size. There is a mild diffuse bronchointerstitial pulmonary pattern. On the lateral views, finding is slightly more pronounced in the caudodorsal lung field than in the prior examination. The the lateral views or expiratory. The pleural space is normal. There is no intrathoracic lymphadenopathy. The larynx is unremarkable. The trachea is normal in diameter. There is no lobar bronchi narrowing. The stomach contains a small amount of heterogeneous soft tissue material presumed to be ingesta. There is mild bilateral elbow periarticular bone formation. The patient is of overweight body condition.</t>
  </si>
  <si>
    <t>1. Static mild left-sided cardiomegaly, suggestive of mitral valve disease. Echocardiography is recommended for further evaluation._x000D_
2. The diffuse bronchointerstitial pulmonary pattern is likely a benign age-related change. The slight increase in severity of this finding in the caudodorsal lung fields in the present examination is not be secondary to long hypoinflation/patient expiration. Mild cardiogenic pulmonary edema is considered less likely repeat lateral projections taken during peak inspiration can be considered to evaluate the repeatability of this finding._x000D_
3. Mild bilateral elbow osteoarthrosis.</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</si>
  <si>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5.Moderate cardiomegaly has been detected but Heart Failure is NOT suspected.</t>
  </si>
  <si>
    <t>3 views of the abdomen are provided for review.  Serosal detail is adequate in all quadrants.  The liver margins are rounded and extend beyond the costal arch, causing caudal displacement of the gastric axis.  The stomach contains a moderate amount of gas.  The small intestines are normal in size.  Gas and feces are present in the colon.  The urinary bladder is distended.  No mineral is seen associated with the urinary tract.  The remaining abdominal organs are normal.</t>
  </si>
  <si>
    <t>Hepatomegaly=ZZ90= this is a nonspecific finding that may be seen with congestion, vacuolar hepatopathy, inflammation, neoplasia, etc.</t>
  </si>
  <si>
    <t xml:space="preserve">
1.There is no evidence of BRONCHITIS, PERIHILAR INFILTRATE, PULMONARY NODULES or PLEURAL EFFUSION._x000D_
2.Mild dynamic airway disease has been detected._x000D_
3.Mild cardiomegaly has been detected but Heart Failure is NOT suspected.</t>
  </si>
  <si>
    <t>A ventral dorsal and both lateral radiographs of the thorax are provided. The heart is a normal size and shape, with no chamber enlargement. Pulmonary vessels are normal size. There are no abnormalities in the pulmonary parenchyma on the lateral views. The lungs appear more opaque on the VD projection due to expiration. Increased opacity dorsal to the cranial sternum on the lateral views is likely superimposed thoracic limbs. Tracheal diameter is adequate. The plane of the esophagus is unremarkable. Normal larynx.</t>
  </si>
  <si>
    <t>Normal thorax. A reason for intermittent cough is not identified. Inhaled irritant/allergens is suspected. Although no tracheal abnormalities are appreciated on this study, dynamic collapse remains possible. This should be correlated with characteristic of the cough and tracheal palpation.</t>
  </si>
  <si>
    <t>Study:_x000D_
Thoracic radiography: six images dated July 8, 2024_x000D_
_x000D_
Findings:_x000D_
The cardiac silhouette is normal in size and shape. The pulmonary vasculature is normal in size. The pulmonary parenchyma is unremarkable. No pulmonary nodules or masses are present. The pleural space is normal. There is no intrathoracic lymphadenopathy. The trachea is normal in diameter and course. The liver extends mildly beyond the costal arch with smooth margins. The osseous structures are unremarkable. The patient is of obese body condition.</t>
  </si>
  <si>
    <t>1. Normal thorax. There is no radiographic evidence of pulmonary metastatic disease._x000D_
2. There is no radiographic evidence of heart disease. Consider echocardiography for further evaluation of the reported heart murmur._x000D_
3. The generalized hepatomegaly is nonspecific. Rule out metabolic/vacuolar hepatopathy, hyperplasia, hepatitis or infiltrative neoplasia. Sonography can be considered for further evaluation.</t>
  </si>
  <si>
    <t xml:space="preserve">
1.MILD to MODERATE BRONCHINTERSTITIAL PATTERN with ATELECTASIS or less likely, PNEUMONIA; MILD DYNAMIC AIRWAY DISEASE._x000D_
2.MILD INTERSTITIAL TO ALVEOLAR PATTERN; MILD DYNAMIC AIRWAY DISEASE; MILD PERIHILAR INFILTRATE._x000D_
3.Based on these AI airway/pulmonary findings, the probability of this patient having clinically detectable respiratory signs is MEDIUM to HIGH (50-75%)_x000D_
4.Based on the AI airway/pulmonary findings, the probability of this patient having clinically detectable respiratory signs is MEDIUM (50%)_x000D_
5.Are respiratory signs present? If YES._x000D_
6.Are respiratory signs present? If YES._x000D_
7.Are respiratory signs present? If NO._x000D_
8.Are respiratory signs present? If NO._x000D_
9.The evaluation has a strong suspicion of pulmonary nodules or mass lesion being present._x000D_
10.Pleural fissure lines or moderate to severe pleural effusion has been detected. An overlying skin fold or in an obese animal, excessive pericardial fat could artifactually mimic the result of severe pleural effusion._x000D_
11.The cardiac silhouette size is normal.</t>
  </si>
  <si>
    <t>Two radiographs of the abdomen and a single cervical radiographs dated 8th July 2024 are available for review. There are no previous radiographs available for comparison. These images are submitted for assessment of the abdomen._x000D_
_x000D_
Intra-abdominal findings: The hepatic silhouette is normal in size with smooth borders. The spleen is normal in shape, size and position. The kidneys are partially obscured by gastrointestinal contents, but the visible aspect are normal. The stomach is mainly empty, with a normal axis. The small intestines contain mainly fluid/soft tissue opaque material. No segmental dilation is noted. The descending colon is mild to moderately gas dilated. The urinary bladder is filled. The serosal detail is normal. No distended vessel loops are seen dorsal to the bladder on the lateral image. On the ventrodorsal image some small visceral loops are seen on either side of the urinary bladder._x000D_
_x000D_
Extra-abdominal findings: No significant abnormalities are detected._x000D_
_x000D_
Included thorax: No significant abnormalities are detected.</t>
  </si>
  <si>
    <t>1. The fluid-filled small intestines and gas distended colon are supportive for a mild enterocolitis. This may be due to dietary indiscretion or infectious-inflammatory origin. The small loops adjacent to the bladder in the ventrodorsal image are most likely displaced loops of small intestines, however minimally distended uterine horns is possible.</t>
  </si>
  <si>
    <t>Supportive management including rehydration, gastroprotectants,  full blood work, faecal analysis if clinically indicated is advised, if not already performed. Consider repeat radiographs, or abdominal ultrasound depending on clinical progression.</t>
  </si>
  <si>
    <t>Study:_x000D_
Thoracic radiography: three images dated July 8, 2024_x000D_
_x000D_
Findings:_x000D_
There is moderate left ventricular and left atrial enlargement. The pulmonary vasculature is normal in size. The pulmonary parenchyma is unremarkable. The pleural space is normal. There is no intrathoracic lymphadenopathy. On the right lateral view, there is an indistinct broad-based soft tissue opaque band superimposed with the dorsal aspect of the cervical trachea lumen representing either a redundant dorsal tracheal membrane or superimposition of the esophagus. The trachea is normal in diameter. There is no lobar bronchi narrowing. The stomach contains heterogeneous soft tissue material presumed to be ingesta. There is moderate bilateral elbow periarticular new bone formation.</t>
  </si>
  <si>
    <t>1. Moderate left-sided cardiomegaly, indicative of mitral valve disease, without evidence of decompensation. Echocardiography should be considered for further evaluation._x000D_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can be considered to further evaluate for worsening of the visa diagnosed tracheal collapse._x000D_
3. Moderate bilateral elbow osteoarthrosis.</t>
  </si>
  <si>
    <t xml:space="preserve">
1.Severe cardiomegaly has been detected but Heart Failure is NOT suspected._x000D_
2.MINIMAL to MILD BRONCHOINTERSTITIAL PULMONARY PATTERN; MILD DYNAMIC AIRWAY DISEASE; MILD PERIHILAR INFILTRATE._x000D_
3.Based on these AI airway/pulmonary findings, the probability of this patient having clinically detectable respiratory signs is LOW to MEDIUM (25-50%)_x000D_
4.Are respiratory signs present? If YES._x000D_
5.Are respiratory signs present? If NO._x000D_
6.There is no evidence of PLEURAL EFFUSION.</t>
  </si>
  <si>
    <t>Three orthogonal thoracic radiographs dated 8th July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60% of the dorsoventral diameter of the trachea. The intrathoracic trachea is normal. Within the lung parenchyma there is a fine bronchial pattern._x000D_
_x000D_
Cardiovascular findings: There is a large smoothly marginated soft tissue opacity contiguous with the caudal dorsal border of the cardiac silhouette. A soft tissue opacity is superimposed on the caudal cardiac silhouette in the dorsoventral image.  The overall cardiac silhouette is still within normal limits. The cranial pulmonary veins are enlarged. The caudal vena cava is normal._x000D_
_x000D_
Mediastinum and pleural space: No significant abnormalities are detected._x000D_
_x000D_
Musculoskeletal findings: No significant abnormalities are detected._x000D_
_x000D_
Included abdomen: No significant abnormalities are detected.</t>
  </si>
  <si>
    <t>1. The dorsal attenuation of the trachea is consistent with tracheomalacia, and/or redundant trachealis membrane. The extent of attenuation would be expected to cause coughing._x000D_
2. Left atrial dilation. This is most likely due to mixoid degeneration of the mitral valve. The size and shape of the dilation are slightly atypical, therefore tracheobronchial lymphadomegaly should also be considered. The evidence for cardiac insufficiency is equivocal. The pulmonary veins are distended, however clear signs of cardiogenic pulmonary oedema are not present.</t>
  </si>
  <si>
    <t>Continue medical management, or consider surgical consultation depending on clinical progression of the tracheal collapse._x000D_
Radiography is insensitive for early cardiac insufficiency, therefore ECG, blood pressure measurements, and echocardiography are advised for further evaluation, or baseline measurements.</t>
  </si>
  <si>
    <t xml:space="preserve">
1.A mild perihilar infiltrate and concurrent, mild dynamic airway disease have been detected._x000D_
2.Mild dynamic airway disease has been detected._x000D_
3.A minimal interstitial pulmonary pattern with a concurrent, mild perihilar infiltrate have been detected._x000D_
4.Moderate cardiomegaly has been detected but Heart Failure is NOT suspected._x000D_
5.A minimal interstitial pulmonary and concurrent, mild dynamic airway disease have been detected._x000D_
6.Mild dynamic airway disease has been detected._x000D_
7.There is no evidence of PULMONARY NODULES or PLEURAL EFFUSION.</t>
  </si>
  <si>
    <t>Opposite lateral and VD views of the thorax are provided._x000D_
_x000D_
There is a mild bronchial pattern, that primarily involves the larger airways. Interstitial lung opacity is mildly increased in the right hemithorax. No alveolar infiltrates are seen. No thoracic lymphadenopathy or pleural effusion is identified. The trachea has smooth walls and normal uniform diameter. The cranial abdominal organs are within normal limits. There is marked narrowing of intervertebral disc spaces in the cervical spine from C2 to C5.</t>
  </si>
  <si>
    <t>There is a mild bronchial pattern. The appearance is slightly more prominent than typical age related change and would be compatible with bronchitis. Allergic vs. infectious causes should be ruled out.</t>
  </si>
  <si>
    <t>Infectious bronchitis is suspected due to the acute onset and progressive nature of the cough. Antibiotic therapy is recommended._x000D_
CBC and heartworm testing is recommended.</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</si>
  <si>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NO._x000D_
4.Are respiratory signs present? If YES._x000D_
5.The cardiac silhouette size is normal.</t>
  </si>
  <si>
    <t>Orthogonal views of the thorax are provided:_x000D_
_x000D_
Thorax:_x000D_
_x000D_
No abnormalities seen in the trachea._x000D_
No signs of thoracic lymphadenopathy._x000D_
Cardiac silhouette has a normal shape and size._x000D_
Pulmonary vessels are within normal limits of size and shape._x000D_
Pulmonary parenchyma is within normal limits. No evidence of pneumonia nor signs of pulmonary nodules or masses._x000D_
Pleural space, mediastinum, diaphragm and thoracic wall within normal limits.</t>
  </si>
  <si>
    <t>1) Unremarkable lungs do not exclude a tracheobronchitis of allergic origin vs inflammatory/infectious or parasitic origin.</t>
  </si>
  <si>
    <t>Consider FNAs from peripheral lymph nodes and abdominal US with +/- Fnas of the liver, spleen and any enlarged abdominal lymph node prior to any empirical treatment for chronic tracheobronchitis evaluating response to treatment.</t>
  </si>
  <si>
    <t>A ventral dorsal and lateral radiographs of the thorax are provided. The cardiac silhouette and pulmonary vessels are normal size and shape. There are a few faint bronchial markings within the lungs. No pleural effusion. Adequate tracheal diameter. The plane of the esophagus is normal.</t>
  </si>
  <si>
    <t>Several faint bronchial markings. With the history, airway inflammation due to inhaled irritant/allergens, or infectious airway disease should be considered. Otherwise normal thorax.</t>
  </si>
  <si>
    <t>Recommend treatment for allergic airway disease, if discontinued previously. If there is no improvement, airway cytology may be necessary.</t>
  </si>
  <si>
    <t xml:space="preserve">Patient Name : Rusty Griswald Ward, Date of study: July 8, 2024
3 images are provided for review
Canine Thorax (3 Images) - 2 Lateral, 1 Vd
Prior images dated December 7,  2023 and previous are available.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Minimal to mild bilateral shoulder osteoarthrosis is suspected.  The remaining included musculoskeletal structures are normal.
</t>
  </si>
  <si>
    <t>1. Mild diffuse bronchial pulmonary pattern.
- Differential diagnoses include fibrosis from prior disease, age-related changes, or less likely infectious/immune-mediated lower airway disease or unlikely other.</t>
  </si>
  <si>
    <t>No obvious cardiomegaly in this examination, but this does not rule out early/evolving cardiac disease such as from myxomatous mitral valvular disease versus other.  There is no current evidence of left-sided congestive heart failure.  Echocardiography, eCG and blood pressure for further evaluation.  Consider respiratory PCR panel, airway sampling, and fecal analysis/deworming for further evaluation if clinically indicated.  Empirical therapy and supportive care in the interim as needed.  Monitoring as directed or sooner if clinical signs acutely change, fail to improve or worsen.</t>
  </si>
  <si>
    <t>Orthogonal views of the thorax are provided:_x000D_
_x000D_
Thorax:_x000D_
_x000D_
There is cervical tracheal collapse more marked at the thoracic inlet._x000D_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t>
  </si>
  <si>
    <t>1) Findings consistent with cervical tracheal collapse._x000D_
2) Left atrial enlargement secondary to chronic mitral endocardiosis without signs of CHF._x000D_
3) Hepatomegaly: Metabolic vs Vacuolar infiltration vs Hepatic nodular hyperplasia vs Inflammatory vs Toxic vs Neoplastic or a combination of these differentials</t>
  </si>
  <si>
    <t xml:space="preserve">
1.MILD BRONCHOINTERSTITIAL PULMONARY PATTERN; MILD DYNAMIC AIRWAY DISEASE; ATELECTASIS or less likely, pneumonia;  MINIMAL PERIHILAR INFILTRATE._x000D_
2.Based on the AI airway/pulmonary findings, the probability of this patient having clinically detectable respiratory signs is MEDIUM (50%)_x000D_
3.Pleural fissure lines or small volume pleural effusion has been detected. In a mildly overweight animal, excessive pericardial fat can artifactually mimic the result of minimal pleural effusion._x000D_
4.Mild cardiomegaly has been detected but Heart Failure is NOT suspected._x000D_
5.Are respiratory signs present? If YES._x000D_
6.Are respiratory signs present? If NO.</t>
  </si>
  <si>
    <t>Three orthogonal thoracic radiographs dated 8th July 2024 are available for review. These images are compared with previous radiographs dated 17th July 2023._x000D_
_x000D_
Airway findings: A smoothly marginated soft tissue opacity is variably present overlying the dorsal aspect of the trachea at the thoracic inlet. This opacity reduces approximately 80% of the dorsoventral diameter of the trachea. The intrathoracic trachea is also narrowed. There is a diffuse interstitial opacification of the lung parenchyma, predominantly caudal dorsally._x000D_
_x000D_
Cardiovascular findings: There is a large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80% of the width of the thoracic volume. The cranial and caudal pulmonary vasculature are enlarged. The caudal vena cava is enlarged._x000D_
_x000D_
Mediastinum and pleural space: There is mild ventral soft tissue attenuation consistent with mild pleural effusion._x000D_
_x000D_
Musculoskeletal findings: No significant abnormalities are detected._x000D_
_x000D_
Included abdomen: No significant abnormalities are detected.</t>
  </si>
  <si>
    <t>1. The dorsal attenuation of the trachea is consistent with tracheomalacia.  The extent of attenuation would be expected to cause coughing._x000D_
2..Mainly left sided cardiomegaly with pulmonary venous distension and cardiogenic pulmonary edema consistent with left sided congestive heart failure. Ddx: myxomatous degeneration of the mitral (+- tricuspid) valves with post-capillary pulmonary hypertension vs systolic dysfunction (DCM)._x000D_
2. The interstitial opacification is most likely due to cardiogenic pulmonary oedema. Lower airway infectious/inflammatory disease is less likely.</t>
  </si>
  <si>
    <t>Consider evaluation for airway collapse (fluoroscopy vs. right lateral inspiratory and expiratory radiographs vs. CT with virtual bronchoscopy). Alternatively consider medical management. Consider surgical consultation depending on clinical progression. _x000D_
Complete bloodwork if not already performed. Management for left sided congestive heart failure including diuretic therapy with oxygen support as needed. ECG and systemic blood pressure monitoring. Recommend repeat thoracic radiographs after 24-48 hours of therapy, sooner if clinically indicated. Continued monitoring of renal values and urinalysis._x000D_
_x000D_
Once stabilized, an echocardiogram is recommended.</t>
  </si>
  <si>
    <t xml:space="preserve">
1.Are respiratory signs present? If NO._x000D_
2.Severe cardiomegaly has been detected but Heart Failure is NOT suspected._x000D_
3.There is no evidence of PULMONARY NODULES or PLEURAL EFFUSION._x000D_
4.MODERATE DYNAMIC AIRWAY DISEASE; MILD BRONCHOINTERSTITIAL PULMONARY PATTERN +/- PULMONARY HYPOINFLATION._x000D_
5.MILD BRONCHOINTERSTITIAL PULMONARY PATTERN; MINIMAL to MILD PERIHILAR PATTERN._x000D_
6.Based on these AI airway/pulmonary findings, the probability of this patient having clinically detectable respiratory signs is MEDIUM (50%)_x000D_
7.Based on the AI airway/pulmonary findings, the probability of this patient having clinically detectable respiratory signs is LOW (25%)_x000D_
8.AI linked dynamic airway treatment: https://platform.v2.vetology.net/doc/canine-tracheal-collapse-treatment_x000D_
9.Are respiratory signs present? If YES._x000D_
10.In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11.In the PRESENCE of respiratory signs, low grade active pneumonitis (allergic, bacterial, parasitic (including heartworm disease), inhaled allergen or toxin) or upper airway disease causing pulmonary hypoinflation and/or recurrent microaspiration may be more likely.</t>
  </si>
  <si>
    <t>Opposite lateral and VD views of the thorax and abdomen are provided._x000D_
_x000D_
No tracheal or laryngeal abnormalities are identified. There is a mild unstructured interstitial pulmonary pattern, which is most prominent in the caudal caudal and right cranial lung fields._x000D_
In the lateral views there is an ill defined rounded region of increased opacity in the caudal dorsal thorax adjacent to the diaphragm at the level of the stomach. This appears to be associated with a midline opacity superimposed over the diaphragm in the VD view, and likely represents a hiatal hernia._x000D_
_x000D_
All the abdominal organs are within normal size and shape limits. The appearance of the gastrointestinal tract is unremarkable. No mass lesions or loss of detail are seen in the abdomen.</t>
  </si>
  <si>
    <t>There is a mild interstitial pattern. Considering the intermittent nature of the cough, this is most likely associated with allergic lung disease. Mild pneumonia or low-grade fungal disease could appear similar, but is less likely without more significant clinical or laboratory evidence of infectious disease._x000D_
_x000D_
The opacity seen in the caudal dorsal thorax is suspected to represent a hiatal hernia. This is sometimes seen as an incidental finding, but associated esophagitis/reflux could also be contributing to the coughing problem._x000D_
_x000D_
No abdominal abnormalities are identified._x000D_
No cardiovascular abnormalities are identified.</t>
  </si>
  <si>
    <t>Empiric medical management for possible reflux esophagitis is recommended._x000D_
Symptomatic therapy for the cough is recommended.</t>
  </si>
  <si>
    <t xml:space="preserve">Patient Name : Izzie Quinsaat, Date of study: Jul 8, 2024
6 images are provided for review
This examination is compared to prior dated November 17, 2022.  The ventrodorsal image is moderate to severely oblique.  
Pulmonary parenchyma: A minimal diffuse bronchial pattern is present.  The lungs are moderately hypoinflated in the lateral images.  A minimal diffuse interstitial pattern is present.  
Pulmonary vasculature: The pulmonary vasculature is subjectively normal in size and tapers in the periphery of the lungs.
Cardiac silhouette: The cardiac silhouette is mildly tall and occupies 2/3 the height of the thorax.  The trachea is dorsally displaced.  The caudodorsal margin of the cardiac silhouette is flattened.  Rounded increased soft tissue is suspected in the region of the left atrium.  The apex of the cardiac silhouette is subjectively shifted leftward.
Mediastinum: A leftward mediastinal shift is present.  The cranial mediastinum is symmetrically widened.  No obvious increased mediastinal soft tissue in the lateral images.  
Trachea: A soft tissue band partially superimposes over the dorsal margin of the trachea.  
Esophagus: The esophagus is not well-identified.
Pleural space: The pleural space is normal.
Liver: The liver is mildly enlarged with caudal displacement of the gastric axis.  The liver margins are partially obscured.  
Spleen: The dorsal extremity of the spleen is subjectively normal in the ventrodorsal image.  
Kidneys: The kidneys are partially obscured without obvious enlargement or mineral.  
Retroperitoneum: Retroperitoneal detail is adequate.
Urogenital: The urinary bladder is normal in size, homogeneous soft tissue, and smoothly marginated.
Peritoneum: Peritoneal detail is moderately decreased.
Gastrointestinal tract: The stomach contains a mild volume of gas and is normal in size subjectively.
The small intestine contains mild gas and fluid or is empty with a subjectively uniform population for size. 
The colon contains mild heterogeneous soft tissue material and gas.  The colon is normal in size.
Musculoskeletal: L7-S1 spondylosis deformans is present.  The remaining included musculoskeletal structures are normal.
</t>
  </si>
  <si>
    <t xml:space="preserve">1. Moderate peritoneal effusion due to occult neoplasia, or unlikely right-sided congestive heart failure, hemorrhage, or other.
2.  Hepatomegaly due to hepatitis/cholangiohepatitis, evolving neoplasia (primary versus metastatic), or less likely vacuolar change, nodular hyperplasia, or unlikely right-sided congestive heart failure.
3. Mild left-sided cardiomegaly and possible right-sided cardiomegaly such as from myxomatous mitral valvular disease with/without tricuspid valvular disease or cor pulmonale, or unlikely other.
- There is no evidence of left-sided congestive heart failure.  
4. Mild diffuse bronchial and interstitial pulmonary patterns such as from fibrosis and prior disease, age-related changes, or unlikely infectious/immune-mediated lower airway disease or unlikely other.
- The interstitial component is exacerbated by hypoinflation and mediastinal shift.
5. Widened cranial mediastinum due to fat deposition or less likely evolving lymphadenomegaly or mass.
</t>
  </si>
  <si>
    <t>Consider abdominal ultrasonography and/or computed tomography for further evaluation.  If a cardiac murmur is identified. echocardiography to rule out right-sided heart disease contributing to peritoneal fluid.   If a hepatic/peritoneal mass is identified, mediastinal ultrasonography or computed tomography to further screen for evolving lymphadenomegaly such as from metastatic neoplasia. Empirical therapy and supportive care in the interim as needed.  Monitoring as directed, or sooner if clinical signs acutely change, fail to improve or worsen.</t>
  </si>
  <si>
    <t xml:space="preserve">
1.Pleural fissure lines or moderate pleural effusion has been detected. An overlying skin fold or in a moderately overweight animal, excessive pericardial fat could artifactually mimic the result of moderate pleural effusion._x000D_
2.SEVERE BROCHIAL PATTERN; MILD INTERSTITIAL INFILTRATE with ATELECTASIS or less likely, PNEUMONIA; MILD DYNAMIC AIRWAY DISEASE._x000D_
3.Based on these AI airway/pulmonary findings, the probability of this patient having clinically detectabe respiratory signs is HIGH (75%)_x000D_
4.Are respirartory signs present? If YES._x000D_
5.Are respiratory signs preesnt? If NO._x000D_
6.The cardiac silhouette size is normal.</t>
  </si>
  <si>
    <t>Four orthogonal thoracic radiographs dated 8th July 2024 are available for review. There are no previous radiographs available for comparison. _x000D_
_x000D_
Thorax: _x000D_
Airway findings: No nodules, masses, or lymphadenomegaly is visible. The trachea has a normal position, shape and size. The pulmonary parenchyma is normal. Multiple pulmonary osteomata are present._x000D_
_x000D_
Cardiovascular findings: The cardiac silhouette, and pulmonary vasculature is within normal limits._x000D_
_x000D_
Mediastinum and pleura: There is no evidence of pleural effusion, _x000D_
_x000D_
Included abdomen: No significant abnormalities are detected. _x000D_
_x000D_
Musculoskeletal system: Multiple mammary masses are present.</t>
  </si>
  <si>
    <t>1. Negative metastasis check, normal thorax._x000D_
2. Mammary masses consistent with reported mammary adenocarcinoma.</t>
  </si>
  <si>
    <t>Computed tomography has a higher resolution capability to detect small pulmonary parenchyma nodules and may be considered.</t>
  </si>
  <si>
    <t>Three radiographs of the thorax, and four views of the head are provided. The cardiac silhouette and pulmonary vessels are normal size and shape. There are no abnormalities in the pulmonary parenchyma or pleural space. Small volume gas in the caudal esophagus is transient and incidental. Normal cranial mediastinal width. The head views include two lateral projections, and closed-mouth dorsoventral views. There is a large area of soft tissue opacity occupying the majority of the mid and rostral visible right nasal sinus. The soft tissue density extends across midline into the rostral left nasal sinus. There is loss of visibility of the rostral osseous nasal septum. No other definitive head abnormalities.</t>
  </si>
  <si>
    <t>1. Mass-effect in the right nasal sinus, crossing midline into the left nasal sinus, with osseous lysis. This is most consistent with malignant neoplasia such as adenocarcinoma. Fungal or inflammatory rhinitis is given much lesser consideration. Although the mass does not appear to extend as far caudally as the cribriform plate, with the history of seizures, there may be extension of the mass into the calvarium._x000D_
2. Normal thorax.</t>
  </si>
  <si>
    <t>Cross-sectional imaging of the head with CT is recommended. This will help identify extent of the lesion, structures involved, guide sampling and potential treatment options.</t>
  </si>
  <si>
    <t>3 views of the thorax are provided for review.  The trachea is dorsally deviated, indicating left ventricular enlargement.  A small bulge is present in the region of the left atrium.  The cardiac silhouette is also mildly widened with rounding of the right ventricular border.  Increased bronchial markings are present in all lung lobes.  No perihilar pulmonary infiltrates are seen.  The pulmonary vasculature is normal in size.  The mediastinal and pleural structures are normal.  Cranial abdominal detail is adequate.</t>
  </si>
  <si>
    <t xml:space="preserve">
1.Pleural fissure lines or moderate to severe pleural effusion has been detected. An overlying skin fold or in an obese animal, excessive pericardial fat could artifactually mimic the result of severe pleural effusion._x000D_
2.MODERATE ALVEOLAR PATTERN; CONCURRENT MILD BRONCHOINTERSTITIAL PATTERN; MODERATE DYNAMIC AIRWAY DISEASE._x000D_
3.Based on the AI airway/pulmonary findings, the probability of this patient having clinically detectable respiratory signs is MEDIUM to HIGH (50-75%)._x000D_
4.Are respiratory signs present? If YES._x000D_
5.Are respiratory signs present? If NO._x000D_
6.Severe cardiomegaly has been detected but Heart Failure is NOT suspected.</t>
  </si>
  <si>
    <t>13 images of the proximal thoracic limbs and spine are provided for review.  No fractures, luxations, or aggressive osseous lesions are seen.  There is consistent narrowing of the intervertebral disc space at C6-7.  A mineral opaque intervertebral disc is seen in situ at T10-11.  The joint surfaces are smooth and regular.  The soft tissue structures included are normal.</t>
  </si>
  <si>
    <t>Narrowed intervertebral disc space suggestive of intervertebral disc herniation.  Additional site of intervertebral disc disease at T10-11.  This does not rule out intervertebral disc herniation at another site or other causes of spinal cord compression.</t>
  </si>
  <si>
    <t xml:space="preserve">
1.Pleural fissure lines or small volume pleural effusion has been detected. In a mildly overweight animal, excessive pericardial fat can artifactually mimic the result of minimal pleural effusion._x000D_
2.Minimal cardiomegaly has been detected but Heart Failure is NOT suspected._x000D_
3.SEVERE INTERSTITIAL TO ALVEOLAR PATTERN; MODERATE BRONCHIAL PATTERN; MILD DYNAMIC AIRWAY DISEASE._x000D_
4.Based on these AI airway/pulmonary findings, the probability of this patient having clinically detectable repsiratory signs is VERY HIGH (&gt;75%)_x000D_
5.Are respiratory signs present? If YES._x000D_
6.AI linked canine pnuemonia treatment: https://platform.v2.vetology.net/doc/pneumonia-in-dogs-and-cats_x000D_
7.Are respiratory signs present? If NO.</t>
  </si>
  <si>
    <t>Three orthogonal thoracic radiographs dated 8th July 2024 are available for review. There are no previous radiographs available for comparison. _x000D_
_x000D_
Airway findings: The trachea is narrow throughout the course. The tracheal wall is prominent. Throughout the lung parenchyma there is a mild bronchial opacification. There is still some mild cranial ventral interstitial to alveolar opacification of the left cranial lung lobe. 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Multiple congenital vertebral abnormalities are present consistent with breed. The patient is overweight._x000D_
_x000D_
Included abdomen: No significant abnormalities are detected.</t>
  </si>
  <si>
    <t>1. Mild cranial ventral opacification of the left cranial lung lobe: This may be a remnant of the previous described aspiration pneumonia. Comparison with previous radiographs was not possible._x000D_
2. Tracheal hypoplasia consistent with breed. A concurrent tracheatis may be present.</t>
  </si>
  <si>
    <t xml:space="preserve">
1.Are respiratory signs present? If NO._x000D_
2.MODERATE INTERSTITIAL TO ALVEOLAR INFILTRATE; MILD BRONCHIAL PATTERN; MINIMAL PERIHILAR INFILTRATE._x000D_
3.Based on these AI airway/pulmonary findings,  the probability of this patient having clinically detectable respiratory signs is HIGH (75%)_x000D_
4.Are respiratory signs present? If YES._x000D_
5.Pleural fissure lines or small volume pleural effusion has been detected. In a mildly overweight animal, excessive pericardial fat can artifactually mimic the result of minimal pleural effusion._x000D_
6.The cardiac silhouette size is normal.</t>
  </si>
  <si>
    <t>Orthogonal views of the thorax and abdomen are provided for interpretation._x000D_
_x000D_
There is a severe diffuse interstitial pulmonary pattern, with patchy regions of peribronchial infiltrates. This pattern coalesces two of mild alveolar pattern in the right caudal lobe. The heart is at the upper end size range to slightly enlarged. VHS = 11.3. The pulmonary vessels are within normal limits. No tracheal abnormalities are identified._x000D_
The liver is mildly enlarged. The spleen is prominent but felt to be within normal limits. The GI tract is gas filled but node dilation of the stomach or intestine is seen. Folds in the stomach are prominent. The other abdominal organs are unremarkable.</t>
  </si>
  <si>
    <t>There is a severe diffuse bronchointerstitial pattern, with alveolar infiltrates in the right caudal lobe._x000D_
Bronchopneumonia is suspected._x000D_
Additional differentials should include acute heart failure, fungal pneumonia, and lymphoreticular neoplasia such as pulmonary lymphoma._x000D_
_x000D_
There is mild liver enlargement. This is a nonspecific change that can be seen with metabolic or endocrine associated hepatopathies as well as hepatitis or neoplasia such as lymphoma._x000D_
_x000D_
Heart size is borderline. Heart failure could create is similar pulmonary pattern, but is considered less likely without more prominent cardiomegaly</t>
  </si>
  <si>
    <t>Supportive care and antibiotic therapy is recommended._x000D_
Recheck CBC is recommended._x000D_
_x000D_
Diuretic therapy could be considered if clinical and radiographic response to antibiotics is limited over the next 3 to 5 days.</t>
  </si>
  <si>
    <t xml:space="preserve">
1.If NO respiratory signs are present, lung lobe collapse or severe atelectasis secondary to anesthesia or deep sedation could create this appearance._x000D_
2.SEVERE PLEURAL EFFUSION; MODERATE TO SEVERE INTERSTITIAL to ALVEOLAR PATTERN; MODERATE DYNAMIC AIRWAY DISEASE._x000D_
3.Based on the AI airway/pulmonary findings, the probability of this patient having clinically detectable respiratory signs is VERY HIGH (&gt;75%)_x000D_
4.Severe pleural effusion has been detected._x000D_
5.Severe cardiomegaly has been detected but Heart Failure is NOT suspected._x000D_
6.A severe perihilar infiltrate has been detected.</t>
  </si>
  <si>
    <t xml:space="preserve">Patient Name : bentley Engelhardt, Date of study: Jul 8, 2024
5 images are provided for review
This examination is compared to prior dated November 8, 2022.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Increased soft tissue is suspected over the dorsal aspect of the mid-cervical trachea, just caudal to the larynx.  
Esophagus: The esophagus contains mild gas or is empty.
Pleural space: The pleural space is normal.
Musculoskeletal:  Multifocal thoracic spondylosis deformans is present.  The remaining included musculoskeletal structures are normal.
</t>
  </si>
  <si>
    <t xml:space="preserve">1. Tracheal soft tissue due to redundant dorsal tracheal membrane with/wiuhtout dynamic airway disease, versus evolving tracheal mass, or unlikely superimposed normal structures.
2. Minimal diffuse bronchial pulmonary pattern such as from infectious/immune-mediated lower airway disease (mycoplasma spp., bordetella spp., parasitism, or other) and/or inhaled allergen/irritant, fibrosis from prior disease, age-related changes, or unlikely other.  
</t>
  </si>
  <si>
    <t>Consider computed tomography of the neck and thorax as well as sedated laryngeal examination and tracheoscopy for further evaluation of the trachea.  Consider respiratory PCR panel, airway sampling, and fecal analysis for further evaluation of lower airway disease contributing to clinical signs.  Routine blood work may be contributory. Empirical therapy and supportive care as needed in the interim.  Monitoring as directed or sooner if clinical signs acutely change, fail to improve or worsen.</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</si>
  <si>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5.There is no evidence of PULMONARY NODULES._x000D_
6.Minimal cardiomegaly has been detected but Heart Failure is NOT suspected.</t>
  </si>
  <si>
    <t>Study:_x000D_
Thoracic radiography: three images dated July 7, 2024_x000D_
_x000D_
Findings:_x000D_
There is moderate to severe left ventricular, left auricular and left atrial enlargement. The pulmonary vasculature is normal in size. There is a mild diffuse bronchointerstitial pulmonary pattern. Multiple punctate mineral opacities consistent with incidental pulmonary osteomas are scattered throughout the pulmonary parenchyma. The pleural space is normal. There is no intrathoracic lymphadenopathy. The trachea is normal in diameter. There is no lobar bronchi narrowing. The included abdomen is unremarkable. There is multifocal thoracic intervertebral disc space narrowing and mild spondylosis deformans.</t>
  </si>
  <si>
    <t>1. Moderate to severe left-sided cardiomegaly, suggestive of mitral valve disease. Echocardiography is recommended for further evaluation._x000D_
2. The diffuse bronchointerstitial pulmonary pattern is a nonspecific finding. This could be a benign age-related change or could indicate allergic, inflammatory, infectious, inhaled irritant or parasitic bronchitis. Interstitial cardiogenic pulmonary edema with secondary peribronchial cuiffing is considered less likely given the uniformity of this finding throughout the lung fields. Airway sampling plus/minus heartworm testing and Baermann fecal flotation can be considered to further evaluate for lower airway disease_x000D_
3. Incidental pulmonary osseous metaplasia.</t>
  </si>
  <si>
    <t xml:space="preserve">
1.A moderate to severe interstitial to alveolar pattern has been detected._x000D_
2.SEVERE BRONCHIAL PATTERN; MODERATE DYNAMIC AIRWAY DISEASE._x000D_
3.There is a questionable detection of soft tissue pulmonary nodules._x000D_
4.Are respiratory signs present? If YES._x000D_
5.There is no detection of an INTERSTITIAL or ALVEOLAR PATTERN, BRONCHIAL PATTERN or PERIHILAR INFILTRATE. Intrathoracic LYMPH NODE ENLARGEMENT and PLEURAL EFFUSION are also not detected._x000D_
6.Are respiratory signs present? If NO._x000D_
7.Severe bronchointerstitial pulmonary pattern present._x000D_
8.Severe bronchial and severe alveolar pattern._x000D_
9.Moderate dynamic airway disease has been detected._x000D_
10.Based on these AI airway/pulmonary findings, the probability of this patient having clinically detectable respiratory signs is VERY HIGH (&gt;75%)_x000D_
11.A mild perihilar infiltrate has been detected._x000D_
12.Pleural fissure lines or moderate pleural effusion has been detected. An overlying skin fold or in a moderately overweight animal, excessive pericardial fat could artifactually mimic the result of moderate pleural effusion._x000D_
13.Severe cardiomegaly has been detected but Heart Failure is NOT suspected.</t>
  </si>
  <si>
    <t>Orthogonal views of the thorax and neck are provided for interpretation. There are three radiographs total._x000D_
_x000D_
No laryngeal or tracheal abnormalities are identified. No esophageal abnormalities are seen. There is a large bulge at the caudal heart base in the area of the left atrium. Aside from the left atrial shadow heart size is mildly enlarged overall. The pulmonary vessels and parenchyma are within normal limits. No pleural effusion is seen.</t>
  </si>
  <si>
    <t>The shape of the heart is consistent with severe left atrial dilation. Mild left ventricle dilation is also suspected, but echocardiography is recommended for more definitive evaluation._x000D_
_x000D_
There are no pulmonary changes suggestive of congestive heart failure or significant pulmonary disease. No tracheal or esophageal abnormalities are identified.</t>
  </si>
  <si>
    <t>The cause of the cough is not apparent in the radiographs. Metabolic or systemic infectious disease should be ruled out with appropriate labwork._x000D_
_x000D_
Viral tracheobronchitis or allergic lung disease could still be present. Dynamic lower airway collapse is not apparent in the radiographs but could also be present and not visible in survey radiographs. Symptomatic therapy for the cough is recommended.</t>
  </si>
  <si>
    <t xml:space="preserve">
1.Mild cardiomegaly has been detected but Heart Failure is NOT suspected._x000D_
2.MINIMAL TO MILD BRONCHOINTERSTITIAL PULMONRAY PATTERN; MILD PERIHILAR PATTERN._x000D_
3.MODERATE DYNAMIC AIRWAY DISEASE; MILD BRONCHIAL PATTERN._x000D_
4.Based on these AI airway/pulmonary findings, the probability of this patient having clinically detectable respiratory signs is MEDIUM (50%)_x000D_
5.Based on the AI airway/pulmonary findings, the probability of this patient having clinically detectable respiratory signs is LOW (25%)_x000D_
6.Are respiratory signs present? If YES._x000D_
7.Are respiratory signs present? If YES._x000D_
8.Are respiratory signs present? If NO._x000D_
9.Are respiratory signs present? If NO.</t>
  </si>
  <si>
    <t xml:space="preserve">Patient Name : Bella Gutierrez, Date of study: Jul 8, 2024
3 images are provided for review
There are no previous radiographs for comparison.
Pulmonary parenchyma: A minimal to mild diffuse bronchial pattern is present.  A minimal interstitial pattern is present.  A presumed nipple superimposes over the right 8th intercostal space in the ventrodorsal image.  
Pulmonary vasculature: The pulmonary vasculature is subjectively normal in size and tapers in the periphery of the lungs.
Cardiac silhouette: The cardiac silhouette is moderate tall in the lateral image, with dorsal tracheal displacement.  The caudodorsal margin of the cardiac silhouette is mildly flat.  Slightly rounded increased soft tissue is suspected in the region of the left atrium in the ventrodorsal image.
Mediastinum: The cranial mediastinum is normal.
Trachea: The trachea is normal.
Esophagus: The esophagus is not well-identified.
Pleural space: The pleural space is normal.
Liver: The liver is subjectively normal in size.
Spleen: The spleen is prominent in the left abdomen in the ventrodorsal image.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mild volume of gas or is empty.  the stomach is within normal limits for size.
The small intestine contains mild gas and fluid or is empty with a subjectively uniform population for size. 
The colon contains moderate well-defined soft tissue material and gas.
Musculoskeletal: Minimal L2-3 spondylosis deformans is present.  Inguinal soft tissues are focally enlarged and ovoid. Multiple prominent nippls are present, consistent with intact status of this patient.  The remaining included musculoskeletal structures are normal.
</t>
  </si>
  <si>
    <t>1. Mild-moderate left-sided cardiomegaly such as from myxomatous mitral valvular disease and insufficiency.
- There is no evidence of left-sided congestive heart failure.
2. Minimal to mild diffuse bronchial pulmonary pattern due to fibrosis from prior disease, age-related changes, or unlikely infectious/immune-mediated lower airway disease or unlikely other.
3. Minimal interstitial pulmonary pattern due to fibrosis from prior disease or age-related changes.
4. No obvious intra-thoracic lymphadenomegaly or pulmonary nodules.
5. Prominent spleen such as from passive congestion from sedation (if administered), extramedullary hematopoiesis, lymphoid hyperplasia, evolving neoplasia or unlikely other.
6. Enlarged inguinal soft tissues are presumed to be reported mammary mass.</t>
  </si>
  <si>
    <t>Echocardiography and routine blood work for further evaluation. Consider abdominal ultrasonography and/or computed tomography to further screen for metastatic disease.  Empirical therapy and supportive care in the interim as needed.  Monitoring with serial thoracic radiographs as directed, or sooner if clinical signs acutely change, fail to improve or worsen.</t>
  </si>
  <si>
    <t xml:space="preserve">
1.Mild dynamic airway disease has been identified._x000D_
2.A minimal bronchial pattern and concurrent mild dynamic airway disease have been identified._x000D_
3.There is no evidence of ALVEOLAR PATTERN, PULMONARY NODULES or PLEURAL EFFUSION._x000D_
4.A minimal perihilar infiltrate has been detected._x000D_
5.Moderate cardiomegaly has been detected but Heart Failure is NOT suspected.</t>
  </si>
  <si>
    <t>Orthogonal views of the hind limbs, abdomen, and thorax including the neck are provided for interpretation. There are nine images total._x000D_
_x000D_
There is mild to moderate narrowing of the T13-L1 intervertebral disc space._x000D_
The pelvis and hips are within normal limits._x000D_
No abnormalities are seen involving either stifle joint._x000D_
There is a small mineral opacity at the lateral aspect of the right calcaneus in the craniocaudal tarsus view. The other tarsal joint margins are smooth. Both tarsal joints appear swollen in the DP view, but no swelling is seen in the lateral view. The appearance of swelling in the DP view is suspected to be caused by the rope ties on the limbs rather than pathological swelling._x000D_
No abnormalities are seen involving the cervical spine._x000D_
_x000D_
There is moderate dynamic narrowing of the cervical trachea, similar to previous radiographs 2-8-24._x000D_
The cardiovascular structures are within normal limits. No pulmonary abnormalities are identified._x000D_
_x000D_
The caudal margin of the liver is mildly rounded. Liver size is normal overall. The other abdominal organs are within normal limits. No mass effect or loss of detail are seen in the abdomen.</t>
  </si>
  <si>
    <t>There is evidence of disc degeneration at the thoracolumbar junction. Disc disease would be a likely explanation for the reported spinal pain._x000D_
_x000D_
The small mineral opacity seen at the lateral aspect of the right tarsus is a subtle change, and likely incidental. No other orthopedic abnormalities are identified._x000D_
_x000D_
Tracheal collapse is suspected._x000D_
_x000D_
No significant thoracic abnormalities are identified._x000D_
The liver margins appear mildly rounded. This could be a benign hyperplastic change, artifact, or less likely due to pathologic liver infiltration.</t>
  </si>
  <si>
    <t>Restricted activity and anti-inflammatory therapy for probable intervertebral disc disease is recommended._x000D_
_x000D_
CBC and serum chemistry is recommended to help rule out clinically significant liver pathology. Ultrasound evaluation of the liver could also be considered.</t>
  </si>
  <si>
    <t xml:space="preserve">
1.A mild perihilar infiltrate has been detected._x000D_
2.The cardiac silhouette size is normal._x000D_
3.There is no evidence of BRONCHITIS, DYNAMIC AIRWAY COLLAPSE or BRONCHIECTASIS or PULMONARY NODULES.</t>
  </si>
  <si>
    <t>Three radiographs of the thorax and three views of the abdomen are provided. The cardiac silhouette is normal size on the lateral views. The left ventricle appears prominent on the VD projection due to slight rotation. There are no abnormalities in the pulmonary parenchyma. No pleural effusion._x000D_
_x000D_
In the abdomen there is no peritoneal or retroperitoneal effusion. Small volume formed feces in the colon. There are several small rock-like mineral opaque fragments in the distal colon, likely incidental. The stomach and small bowel are minimally distended. Normal-sized liver, spleen. The kidneys are incompletely visible. Moderate prostatomegaly consistent with the reproductive status of this patient. The scrotum is prominent on the left lateral view, consistent with the reported testicular enlargement. No radiopaque urolithiasis is appreciated.</t>
  </si>
  <si>
    <t>Scrotal swelling, significantly concerning for testicular torsion. An inflammatory process is next on the differential list. Neoplasia is felt to be least likely with the acute presentation. Otherwise normal abdomen and thorax.</t>
  </si>
  <si>
    <t>Ultrasound evaluation of the testicles is recommended, utilizing Doppler interrogation. Ultrasound of the entire abdomen could be performed at the same time as well.</t>
  </si>
  <si>
    <t xml:space="preserve">
1.Are respiratory signs present? If YES._x000D_
2.Are respiratory signs present? If NO._x000D_
3.MINIMAL to MILD DIFFUSE, MIXED BRONCHOINTERSTITIAL PULMONARY PATTERN with ATELECTASIS or less likely, pneumonia._x000D_
4.Probability these AI pulmonary findings will accompany clinically detectable respiratory signs: LOW (25%)_x000D_
5.Pleural fissure lines or moderate to severe pleural effusion has been detected. An overlying skin fold or in an obese animal, excessive pericardial fat could artifactually mimic the result of severe pleural effusion._x000D_
6.The cardiac silhouette size is normal.</t>
  </si>
  <si>
    <t>Study:_x000D_
Thoracic radiography: three images dated July a 2024_x000D_
_x000D_
Findings:_x000D_
There is mild left ventricular and left atrial enlargement. The pulmonary vasculature is normal in size. The pulmonary parenchyma is unremarkable. The pleural space is normal. There is no intrathoracic lymphadenopathy. The trachea is normal in diameter. The dorsal tracheal wall is mildly undulating on the left lateral projection. The stomach contains unstructured heterogeneous soft tissue material presumed to be ingesta. There is mild bilateral elbow periarticular bone formation.</t>
  </si>
  <si>
    <t>1. Mild left-sided cardiomegaly, indicative of mitral valve disease, without evidence of decompensation. Echocardiography should be considered for further evaluation._x000D_
2. The mildly undulation the dorsal tracheal wall seen on the left lateral view can be an indicator of chondromalacia. Fluoroscopy can be considered to further evaluate for possible tracheal collapse given the reported tracheal sensitivity on physical exam._x000D_
3. Mild bilateral elbow osteoarthrosis.</t>
  </si>
  <si>
    <t xml:space="preserve">
1.Mild cardiomegaly has been detected but Heart Failure is NOT suspected._x000D_
2.MILD BRONCHOINTERSTITIAL PULMONARY PATTERN; MILD DYNAMIC AIRWAY DISEASE; MINIMAL PERIHILAR INFILTRATE._x000D_
3.Based on these AI airway/pulmonary findings, the probability of this patient having clinically detectable respiratory signs is MEDIUM (50%)_x000D_
4.Are respiratory signs present? If YES._x000D_
5.Are respiratory signs present? If NO.</t>
  </si>
  <si>
    <t>Orthogonal views of the abdomen and a VD view of the thorax (incomplete study)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WNL._x000D_
Bilateral dorsolateral SC lipomas._x000D_
_x000D_
Unremarkable pelvis.</t>
  </si>
  <si>
    <t>1) Unremarkable thorax in this incomplete exam._x000D_
2) Unremarkable abdomen.</t>
  </si>
  <si>
    <t>Consider a lateral view of the thorax to be complete._x000D_
Consider abdominal US to further evaluate the urinary tract with renal function test, urinalysis, UPC and urine culture as well as insulin levels.</t>
  </si>
  <si>
    <t xml:space="preserve">
1.SEVERE ALVEOLAR INFILTRATE; DIFFUSE, MILD BRONCHOINTERSTITIAL PULMONARY PATTERN._x000D_
2.Based on the AI airway/pulmonary findings, the probability of this patient having clinically detectable respiratory signs is VERY HIGH (&gt;75%)_x000D_
3.Are respiratory signs present? If YES._x000D_
4.AI linked canine pneumonia treatment: https://platform.v2.vetology.net/doc/pneumonia-in-dogs-and-cats_x000D_
5.Are respiratory signs present? If NO._x000D_
6.Pleural fissure lines or small volume pleural effusion has been detected. In a mildly overweight animal, excessive pericardial fat can artifactually mimic the result of minimal pleural effusion._x000D_
7.Mild cardiomegaly has been detected but Heart Failure is NOT suspected.</t>
  </si>
  <si>
    <t>6 views of the thorax and abdomen are submitted for review.  The stomach contains a mild amount of gas.  The small bowel is normal in uniform diameter without dilation or plication.  A mild amount of gas is noted in the cecum and colon.  The liver and spleen are normal in size and shape.  Moderate diverticular mineralization is noted in the kidneys.  The urinary bladder is minimally distended.  Serosal detail is adequate._x000D_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Chronic intervertebral disc disease and spondylosis deformans is noted in the cranial to mid lumbar spine, particularly at L3-4.  No aggressive bony changes are seen.</t>
  </si>
  <si>
    <t>The mineralization of the kidneys is consistent with chronic nonspecific nephritis and degenerative change of doubtful clinical significance.  Otherwise, radiographically normal abdomen.  Acute gastroenteritis or pancreatitis is not excluded._x000D_
Radiographically normal thorax.</t>
  </si>
  <si>
    <t>A two view study of the thorax is provided for interpretation. A previous two view study dated 4-12-24 is also provided for comparison._x000D_
_x000D_
The heart is within normal size and shape limits. Pulmonary vessels are normal. There is a mild diffuse bronchial pattern. There is mild mineralization of the bronchial walls. No tracheal abnormalities are identified. The cranial abdominal organs are unremarkable.</t>
  </si>
  <si>
    <t>There is a mild bronchial pattern. The prominent bronchial markings are partly due to mineralization of the bronchial walls rather than overt tracheal thickening. This can be seen as an age-related change, or due to chronic inflammation._x000D_
Overall the appearance is most compatible with chronic allergic lung disease or low-grade idiopathic chronic bronchitis._x000D_
No cardiovascular abnormalities are identified.</t>
  </si>
  <si>
    <t>Symptomatic therapy for idiopathic or allergic chronic bronchitis is recommended.</t>
  </si>
  <si>
    <t xml:space="preserve">Patient Name : Sammi Clouture, Date of study: Jul 8, 2024
3 images are provided for review
There are no previous radiographs for comparison.
Pulmonary parenchyma: In the right lateral image, ill-defined alveolar soft tissue without obvious air-bronchograms or lobar margination is suspected in the left lung lobes.  This increased soft tissue is somewhat rounded in the ventral periphery of the left cranial lung lobe.  Ill-defined soft tissue is suspected in the caudal subsegment of the left cranial lung lobe over the cardiac silhouette in the right lateral image.  In the left lateral image, ill-defined increased soft tissue is superimposed over the cardiac silhouette and caudodorsal lung.  A  mild diffuse bronchial pattern is present.  Moderate to severe increased alveolar soft tissue is in the left lungs in the ventrodorsal image.  
Pulmonary vasculature: The pulmonary vasculature is subjectively normal in size and tapers in the periphery of the lungs.  In the right lateral image, a tubular soft tissue to mineral opacity is superimposed over the dorsal aspect of the cranial lungs, from the 3rd to 5th intercostal spaces.  
Cardiac silhouette: The cardiac silhouette is normal in size and shape in the lateral images.  The cardiac silhouette is partially obscured in the ventrodorsal image.  The trachea has a normal caudoventral declination towards the base of the cardiac silhouette in the lateral images.  
Mediastinum: The cranial mediastinum is normal.
Trachea: A soft tissue band partially superimposes over the cervical tracheas dorsal aspect.
Esophagus: The esophagus is not well-identified.
Pleural space: Mild fluid is suspected between left lung lobes in the caudal thorax in the ventrodorsal image.  
Musculoskeletal: The included musculoskeletal structures are normal.
</t>
  </si>
  <si>
    <t>1.  Left-sided alveolar pulmonary patterns such as from severe atelectasis/collapsing airway disease or chronic disease with lung volume loss, versus evolving neoplasia (histiocytic sarcoma versus other), or unlikely other.
2. Suspected left-sided pleural fluid such as from malignant effusion,hemorrhage, inflammation or less likely other.
3. Tubular opacity over the left cranial lung from bronchial collapse with/without mural mineral from chronic lower airway disease, or unlikely bronchial foreign material, or least likely artifact or other.
4. Mild diffuse bronchial pattern due to fibrosis from prior disease, age-related changes infectious/immune-mediated lower airway disease or unlikely other.</t>
  </si>
  <si>
    <t>In spite of severity of left cranial lung increased soft tissue, there is no obvious air-bronchograms or mass-effect from the left hemi-thorax.  Consider computed tomography of the thorax with/without airway sampling and tracheoscopy/bronchoscopy for further evaluation.  Routine blood work, coagulation testing and tissue sampling depending on results, especially if a left pulmonary mass is confirmed.  Oncologist consultation depending on results.  Abdominal imaging to screen for occult systemic disease if not recently performed.  Empirical therapy and supportive care in the interim for cough and possible dynamic lower airway disease.  Monitoring as directed or sooner if clinical signs acutely change, fail to improve or worsen.</t>
  </si>
  <si>
    <t xml:space="preserve">
1.Pleural fissure lines or moderate to severe pleural effusion has been detected. An overlying skin fold or in an obese animal, excessive pericardial fat could artifactually mimic the result of severe pleural effusion._x000D_
2.A severe alveolar pattern has been detected._x000D_
3.A moderate to severe interstitial to alveolar pattern has been detected._x000D_
4.MODERATE DYNAMIC AIRWAY DISEASE; MILD BRONCHIAL PATTERN._x000D_
5.A severe perihilar infiltrate has been detected._x000D_
6.Severe cardiomegaly has been detected but Heart Failure is NOT suspected._x000D_
7.There is a questionable detection of soft tissue pulmonary nodules._x000D_
8.Based on the AI airway/pulmonary findings, the probability of this patient having clinically detectable respiratory signs is LOW to MEDIUM (25%-50%)_x000D_
9.Moderate dynamic airway disease has been detected._x000D_
10.MILD BRONCHIAL PATTERN; NODULAR PULMONARY PATTERN which is likely due to overlying CUTANEOUS NODULES or MINERALIZED COSTOCHONDRAL JUNCTIONS._x000D_
11.There is no detection of an INTERSTITIAL or ALVEOLAR PATTERN, BRONCHIAL PATTERN or PERIHILAR INFILTRATE. Intrathoracic LYMPH NODE ENLARGEMENT and PLEURAL EFFUSION are also not detected._x000D_
12.Are respiratory signs present? If NO._x000D_
13.Are respiratory signs present? If YES._x000D_
14.Are respiratory signs present? If NO._x000D_
15.A concurrent bronchial pattern has been detected._x000D_
16.Based on these AI airway/pulmonary findings, the probability of this patient having clinically detectable respiratory signs is MEDIUM (50%)_x000D_
17.The evaluation has come up positive for a pulmonary nodular pattern._x000D_
18.Are respiratory signs present? If YES.</t>
  </si>
  <si>
    <t>3 views of the thorax are provided for review.  The cardiovascular structures are normal.  There is a moderate bronchial pattern in all lung lobes.  Poorly defined soft tissue is seen surrounding the tracheal bifurcation.  The pleural structures are normal.  Cranial abdominal detail is adequate.  There is lumbarization of the 13th ribs bilaterally.</t>
  </si>
  <si>
    <t>Moderate bronchial pulmonary pattern=ZZ90= consider bronchitis, response to inhaled irritants, response to circulating parasites, eosinophilic bronchopneumopathy, coccidioidomycosis, atypical distribution for neoplasia.  Hilar lymphadenopathy=ZZ90= consider inflammatory or neoplastic.</t>
  </si>
  <si>
    <t>Airway sampling and testing for coccidioidomycosis may be helpful in further evaluation.</t>
  </si>
  <si>
    <t xml:space="preserve">
1.SEVERE ALVEOLAR INFILTRATE; MILD PERIHILAR PATTERN; MORE DIFFUSE MILD BRONCHOINTERSTITIAL PULMONARY PATTERN._x000D_
2.Based on the AI airway/pulmonary findings, the probability of this patient having clinically detectable respiratory signs is HIGH (75%)_x000D_
3.Are respiratory signs present? If YES._x000D_
4.Are respiratory signs present? If NO._x000D_
5.There is no evidence of PULMONARY NODULES._x000D_
6.Pleural fissure lines or moderate to severe pleural effusion has been detected. An overlying skin fold or in an obese animal, excessive pericardial fat could artifactually mimic the result of severe pleural effusion._x000D_
7.Mild cardiomegaly has been detected but Heart Failure is NOT suspected.</t>
  </si>
  <si>
    <t>Patient Name: Bear Bear Cunha, Date of study: July 8, 2024
Canine Abdomen (2 Images) - 1 Lateral, 1 VD
Canine Thorax (3 Images) - 2 Lateral, 1 VD
There are no previous radiographs for comparison.
Findings:
Cardiac silhouette: The cardiac silhouette is normal in size and shape. Superimposition of ribs artifactually increase/enlarge the caudodorsal aspect of the cardiac silhouette.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increased in height cranial to the thoracic inlet on the right lateral view.
Esophagus: The region of the esophagus is within normal limits.
Gastrointestinal tract: The stomach contains a small volume of heterogeneous ingesta admixed with gas and is normal in position. The small intestines are diffusely within normal limits of diameter containing gas and fluid. The colon is normal in size containing gas and loosely formed feces.
Liver: The liver is within normal limits of size and shape.
Spleen: The spleen is within normal limits.
Urinary: The visible margins of the kidneys are normal in size, shape, and margination. The urinary bladder is normal in size and opacity. Mineral opaque urinary calculi are not identified.
Peritoneal space: There is adequate serosal detail.
Musculoskeletal: The included skeletal and superficial soft tissue structures of the study are within normal limits.</t>
  </si>
  <si>
    <t>1. Collapsing trachea.
2. The cardiopulmonary structures are within normal limits.
3. The urinary system is unremarkable. There is no evidence of mineral opaque urinary calculi. A urinary bladder neoplasm is not excluded. A congenital malformation (i.e. ectopic ureters) is considered much less likely..</t>
  </si>
  <si>
    <t>Consider urinalysis with culture/sensitivity for further evaluation.  An abdominal ultrasound is recommended if not recently performed.</t>
  </si>
  <si>
    <t xml:space="preserve">
1.There is no evidence of ALVEOLAR PATTERN, PERIHILAR INFILTRATE, DYNAMIC AIRWAY COLLAPSE or BRONCHIECTASIS, PULMONARY NODULES or PLEURAL EFFUSION._x000D_
2.A minimal bronchial pattern has been detected._x000D_
3.Mild cardiomegaly has been detected but Heart Failure is NOT suspected.</t>
  </si>
  <si>
    <t>6 images of the thorax and abdomen are presented for review.  The cardiovascular structures are normal.  A large soft tissue mass is present in the right middle lung lobe.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</si>
  <si>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Radiographically normal abdomen.  Pulmonary mass concerning for primary pulmonary neoplasia.</t>
  </si>
  <si>
    <t xml:space="preserve">
1.Are respiratory signs present? If YES._x000D_
2.PULMONARY NODULES or NODULAR PATTERN; MODERATE TO SEVERE INTERSTITIAL TO ALVEOLAR PATTERN; PLEURAL EFFUSION; BRONCHITIS; PERIHILAR INFILTRATE._x000D_
3.Based on the AI airway/pulmonary findings, the probability of this patient having clinically detectable respiratory signs is VERY HIGH (&gt;75%)_x000D_
4.The evaluation has a strong suspicion of soft tissue pulmonary nodules or mass lesion being present._x000D_
5.Moderate cardiomegaly has been detected but Heart Failure is NOT suspected._x000D_
6.Are respiratory signs present? If NO.</t>
  </si>
  <si>
    <t>Patient Name : Mochi Dobkin, Date of study: Jul 8, 2024
3 images are provided for review
Canine Thorax (3 Images) - 2 Lateral, 1 Vd
There are no previous radiographs for comparison.
Pulmonary parenchyma: A minimal to mild diffuse bronchial pattern is present.  This is least severe in the ventrodorsal image, with the lungs the best inflated.  The lungs are mildly hypoinflated in the lateral images.  
Pulmonary vasculature: The pulmonary vasculature is subjectively normal in size and tapers in the periphery of the lungs.
Cardiac silhouette: The cardiac silhouette is mildly tall in the lateral images, with dorsal tracheal displacement.  This is not well identified in the ventrodorsal image.  
Mediastinum: The cranial mediastinum is normal.
Trachea: A soft tissue band partially superimposes over the dorsal aspect of the cervical trachea.
Esophagus: The esophagus is not well-identified.
Pleural space: The pleural space is normal.
Musculoskeletal: The included musculoskeletal structures are normal.</t>
  </si>
  <si>
    <t xml:space="preserve">1. Mild diffuse bronchial pulmonary pattern due to infectious/immune-mediated lower airway disease, fibrosis from prior disease, age-related changes, or unlikely other.
- This is exacerbated by hypoinflation in the lateral images.
2. Equivocal left-ventricular enlargement versus artifact from patient conformation and/or phase of the cardiopulmonary cycle.
- If present, consider myxomatous mitral valvular disease or unlikely other
- There is no evidence of left-sided congestive heart failure.
3. Suspected cervical tracheal redundant dorsal membrane versus superimposed normal structures.
- underlying dynamic airway disease is not ruled out.  </t>
  </si>
  <si>
    <t>Consider respiratory PCR panel, airway sampling, and fecal analysis/deworming for further evaluation.  Tracheoscopy/bronchoscopy may be contributory for further evaluation. Consider echocardiography, ECG and blood pressure, especially if a murmur is identified or progressive cardiomegaly is identified in recheck images. Empirical therapy and supportive care in the interim as needed.  Monitoring as directed or sooner if clinical signs acutely change, fail to improve or worsen.</t>
  </si>
  <si>
    <t xml:space="preserve">
1.MILD BRONCHOINTERSTITIAL PULMONARY PATTERN; MILD PERIHILAR INFILTRATE; MILD DYNAMIC AIRWAY DISEASE; ATELECTASIS or less likely, pneumonia._x000D_
2.Based on the AI airway/pulmonary findings, the probability of this patient having clinically detectable respiratory signs is MEDIUM (50%)_x000D_
3.Are respiratory signs present? If YES._x000D_
4.Mild cardiomegaly has been detected but Heart Failure is NOT suspected._x000D_
5.Are respiratory signs present? If NO.</t>
  </si>
  <si>
    <t>5 images of the thorax and abdomen are provided for review.  The trachea is dorsally deviated, indicating left ventricular enlargement.  A bulge is present in the region of the left atrium.  Interstitial to alveolar opacity is present in the caudal lung lobes near the hilus.  The mediastinal and pleural structures are normal.  Abdominal serosal detail is adequate in all quadrants.  The liver margins are rounded and extend mildly beyond the costal arch, causing caudal displacement of the gastric axis.  The stomach contains a small amount of ingesta.  The small intestines are normal in size.  Gas and feces are present in the colon.  The urinary bladder is small.  The remaining abdominal organs are normal.  There is spondylosis deformans of the thoracolumbar spine.</t>
  </si>
  <si>
    <t>Mild hepatomegaly=ZZ90= this is a nonspecific finding that may be seen with congestion, vacuolar hepatopathy, inflammation, neoplasia, etc.  Abdominal ultrasound may be helpful in further evaluation if biochemically indicated.  Left-sided cardiomegaly.  Interstitial to alveolar pulmonary pattern consistent with cardiogenic pulmonary edema.  Consider repeat radiographs following diuretic therapy.  Echocardiography may be helpful in further evaluation.</t>
  </si>
  <si>
    <t xml:space="preserve">
1.A mixed pulmonary pattern consisting of a severe interstitial to alveolar pattern, moderate bronchial pattern, dynamic airway disease and perihilar infiltrate have been detected._x000D_
2.Based on these AI airway/pulmonary findings, the probability of this patient having clinically detectable respiratory signs is VERY HIGH (&gt;75%)_x000D_
3.Are respiratory signs are present? If YES._x000D_
4.Are respiratory signs are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suspected._x000D_
7.The evaluation has a strong suspicion of pulmonary nodules or mass lesion being present.</t>
  </si>
  <si>
    <t>3 views centered over the vertebral column are submitted for review.  No definitive abnormalities are noted in the cervical spine.  The ventral cervical soft tissues are within normal limits.  The limited view of the thoracic spine and lumbar spine are also unremarkable.  No abnormalities are noted within the limited view of the thorax or abdomen.</t>
  </si>
  <si>
    <t>No radiographic abnormalities are noted to explain the clinical signs.  Soft tissue injury is not excluded.  Occult intervertebral disc disease also cannot be ruled out.</t>
  </si>
  <si>
    <t xml:space="preserve">
1.A severe alveolar pattern has been detected._x000D_
2.The cardiac silhouette size is normal._x000D_
3.There is no evidence of BRONCHITIS, DYNAMIC AIRWAY COLLAPSE or BRONCHIECTASIS, PULMONARY NODULES or PLEURAL EFFUSION.</t>
  </si>
  <si>
    <t xml:space="preserve">Patient Name: Bubba PAWS of Coronado, Date of study: Jul 8, 2024
12 images are provided for review. Three thoracic radiographs and three forelimb radiographs are included for review.  There are no previous radiographs for comparison.
Neck: No overt lesions are noted. 
Thorax:
Airway/pulmonary parenchyma: The lungs are hypoinflated on all projections. A mild bronchial pattern is present. Lobar bronchial diameter is normal. No soft tissue pulmonary nodules are noted. 
Cardiovascular: Mild cardiomegaly with left ventricular enlargement is present on the VD projection. On the lateral projection, there is rounding to the caudal cardiac margin but heart size is normal. The pulmonary vein to the left cranial lung lobe is increased in size. The CVC is also mildly distended. 
Mediastinum: Normal
Pleural space: Normal
Cranial abdomen: The liver and spleen are minimally enlarged but retain a smooth margin. The gastric lumen has an atypical, reticulated appearance either due to prominent rugae or gastric contents. 
Msk: On the VD projection, there is either focal periosteal irregularity to the cranial aspect of the left 4th rib or overlying bronchial wall thickening creating this appearance. The distal aspect of the left 5th rib has a smooth, wider appearance than the contralateral 5th rib. 
Forelimbs: 
Joints:
Shoulders: Normal
Elbows: Normal
Carpi: Mixed productive and destructive osseous remodeling affects the distal antebrachia, carpal bones and proximal metacarpal bones bilaterally, right worse than left. The right carpus is also hyperextended. The soft tissues around both carpi are swollen, left worse than right. On the DP projection, exuberant periosteal reaction affects the medial aspect of the right carpus and there is fusion of the right carpometacarpal joint. A residual screw hole is present axially in the row of right distal carpal bones. The left antebrachiocarpal joint is subluxated medially on the oblique DP projection. 
Long bones: Chronic periosteal irregularity affects the cranial aspect of the right humerus on the lateral projection, the cranial margin of the mid-diaphysis bilaterally and the caudal aspect of the left ulnar diaphysis. A well-defined oval lucent region is present between the left ulnar periosteal reaction and the caudal cortex. Overlying this region is stippled mineral and there is a focal region of more irregular periosteal reaction focally at the distal aspect of the chronic periosteal change. The soft tissues caudal to the left ulna are more swollen than the contralateral limb. 
Soft tissues: The soft tissues around, and distal to, both carpi are swollen. Proximally, the right brachial and antebrachial soft tissues appear atrophied on the DP projection. </t>
  </si>
  <si>
    <t xml:space="preserve">Thorax:
1) No pulmonary nodules or intrathoracic lymph node enlargement noted. 
2) Mild cardiomegaly, primarily left sided, mild pulmonary venous distention and CVC distention. DDx: secondary to sedation vs. secondary to cardiac disease including early systolic dysfunction. 
Forelimbs: 
3) Evidence of prior trauma with chronic periosteal reaction affecting ribs, right humerus and left antebrachium. The caudal aspect of the left antebrachium should be monitored for a draining tract or abscess formation.
4) Right carpal partial arthrodesis with evidence of previous surgery. Prior septic arthritis may have been present resulting in the mixed productive and destructive appearance to the carpal bones. Fibrous union may be present at the right antebrachiocarpal joint.
5) Left carpal subluxation and arthritis. The combination of prior trauma and increased weight bearing on the left carpus due to right carpal injury is suspected. A prior septic or immune mediated cause are considered less likely. Non-septic, degenerative effusion causing the carpal swelling is suspected over a septic process. </t>
  </si>
  <si>
    <t xml:space="preserve">Recheck thoracic radiographs and assess for murmur if the dog is sedated. If the dog is not sedated, cardiac ultrasound, ECG and systemic blood pressure evaluation are recommended to assess the cardiomegaly. 
For the forelimb changes, left carpal arthrocentesis, monitor for a draining tract along the caudal aspect of the left antebrachium and ortho consultation are recommended. </t>
  </si>
  <si>
    <t>Orthogonal views of the thorax are provided:_x000D_
_x000D_
Thorax:_x000D_
_x000D_
There is mild cervical tracheal narrowing more marked at the thoracic inlet._x000D_
Cardiac silhouette is WNL._x000D_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t>
  </si>
  <si>
    <t>1) Findings compatible with cervical tracheal collapse. Unremarkable lungs do not exclude a bronchitis of allergic origin vs inflammatory/infectious or parasitic origin. No signs of pulmonary metastases nor signs of thoracic lymphadenopathy._x000D_
2) Hepatomegaly: Metabolic vs Vacuolar infiltration vs Hepatic nodular hyperplasia vs Inflammatory vs Toxic vs Neoplastic or a combination of these differentials</t>
  </si>
  <si>
    <t xml:space="preserve">
1.Are respiratory signs present? If NO._x000D_
2.MILD BRONCHOINTERSTITIAL PULMONARY PATTERN; MILD DYNAMIC AIRWAY DISEASE._x000D_
3.Based on these AI airway/pulmonary findings, the probability of this patient having clinically detectable respiratory signs is LOW to MEDIUM (25-50%)_x000D_
4.Are respiratory signs present? If YES._x000D_
5.Mild cardiomegaly has been detected but Heart Failure is NOT suspected._x000D_
6.There is no evidence of PERIHILAR INFILTRATE or PULMONARY NODULES.</t>
  </si>
  <si>
    <t>5 images of the thorax and abdomen are presented for review.  The trachea is narrowed in the cervical region.  The intrathoracic trachea is mildly dorsally deviated, indicating left ventricular enlargement.  There is straightening of the caudal cardiac waist in the region of the left atrium.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beyond the costal arch, similar to previous images dated 2/27/2023.  The stomach contains a moderate amount of gas.  The small intestines are normal in size.  Gas and feces are present in the colon.  The urinary bladder is small.  The remaining abdominal organs are normal.</t>
  </si>
  <si>
    <t>Persistent hepatomegaly.  Mild left-sided cardiomegaly.  Cervical tracheal narrowing suggestive of tracheal collapse.</t>
  </si>
  <si>
    <t xml:space="preserve">
1.Are respiratory signs present? If NO._x000D_
2.There is no evidence of PLEURAL EFFUSION._x000D_
3.MILD to MODERATE BRONCHOINTERSTITIAL PATTERN; MILD DYNAMIC AIRWAY DISEASE._x000D_
4.Based on these AI airway/pulmonary findings, the probability of this patient having clinically detectable respiratory signs is MEDIUM (50%)_x000D_
5.Are respiratory signs present? If YES._x000D_
6.AI linked bacterial bronchitis in dogs article: https://platform.v2.vetology.net/doc/bacterial-bronchitis-in-dogs-and-cats_x000D_
7.Mild cardiomegaly has been detected but Heart Failure is NOT suspected.</t>
  </si>
  <si>
    <t>Patient Name : Hugo Mitcham, Date of study: Jul 8, 2024_x000D_
4 images are provided for review_x000D_
There are no previous radiographs for comparison._x000D_
_x000D_
Pulmonary parenchyma: A mild to moderate diffuse bronchial pattern is present. A minimal diffuse interstitial pattern is also present. The lungs are hypoinflated in all images._x000D_
Pulmonary vasculature: The pulmonary vasculature is subjectively normal in size and tapers in the periphery of the lungs._x000D_
Cardiac silhouette: The cardiac silhouette is slightly tall in the right lateral image, but this is not corroborated in the left lateral image.  The cardiac silhouette has a slightly flat caudodorsal margin in the left lateral image.  No obvious increased left atrial soft tissue in the ventrodorsal image._x000D_
Mediastinum: The cranial mediastinum is normal._x000D_
Trachea: TA slight soft tissue band superimposes over the cranial thoracic segment of the trachea._x000D_
Esophagus: The esophagus is not well-identified._x000D_
Pleural space: The pleural space is normal._x000D_
_x000D_
Musculoskeletal: The included musculoskeletal structures are normal.</t>
  </si>
  <si>
    <t>1. Mild-moderate diffuse bronchial pulmonary pattern and minimal interstitial component._x000D_
- Differential diagnoses include infectious/immune-mediated lower airway disease such as from mycoplasma spp., bordetella spp., parasitism, or inhaled allergen/irritant, fibrosis from prior disease, are-related changes, or unlikely other._x000D_
- This is likely exacerbated by hypoinflation of the lungs._x000D_
2. Dorsal redundant tracheal membrane with/without underlying dynamic airway disease, versus superimposed normal structures._x000D_
3. Equivocal left-sided cardiomegaly versus artifact from patient positioning/phase of the cardiopulmonary cycle.</t>
  </si>
  <si>
    <t>Consider respiratory PCR panel, airway sampling, tracheoscopy/bronchoscopy and empirical deworming/fecal analysis for further evaluation. Empirical therapy and supportive care in the interim as needed for reported cough. Monitoring as directed or sooner if clinical signs acutely change, fail to improve or worsen in the face of empirical therapy for lower airway disease.  If a murmur is identified consider echocardiography, ECG and blood pressure.</t>
  </si>
  <si>
    <t xml:space="preserve">
1.The evaluation has come up positive for a pulmonary nodular pattern._x000D_
2.MODERATE BRONCHOINTERSTITIAL PULMONARY PATTERN; ALVEOLAR INFILTRATE or ATELECTASIS; DYNAMIC AIRWAY DISEASE._x000D_
3.Based on these AI airway/pulmonary findings, the probability of this patient having clinically detectable respiratory signs is HIGH (75%)_x000D_
4.Are respiratory signs present? If YES._x000D_
5.Are respiratory signs present? If NO._x000D_
6.Pleural fissure lines or moderate to severe pleural effusion has been detected. An overlying skin fold or in an obese animal, excessive pericardial fat could artifactually mimic the result of severe pleural effusion._x000D_
7.Moderate cardiomegaly has been detected but Heart Failure is NOT suspected.</t>
  </si>
  <si>
    <t>A lateral radiograph of the thorax, and three views of the abdomen are provided. The heart and pulmonary vessels are normal size and shape. There are no abnormalities in the pulmonary parenchyma or along the plane of the esophagus. Normal tracheal diameter. In the abdomen there is moderate volume soft tissue opacity stippled with gas filling the stomach. Thin curved 0.5 cm mineral density in the ventral stomach only on the right lateral view. No other foreign material appreciated. Small bowel are minimally filled. Small volume gas in the cecum. The colon contain semi-formed feces. Normal-sized liver, spleen, left kidney (right laterality marker located on the left side of the patient on the VD view). No radiopaque urolithiasis. Osseous structures are normal for a juvenile patient.</t>
  </si>
  <si>
    <t>Small mineral opaque fragment in the stomach is most likely incidental. Significant foreign material causing gastritis is given lesser consideration in the absence of vomiting. Otherwise normal postprandial abdomen and normal thorax.</t>
  </si>
  <si>
    <t>Current diagnostics are appropriate. If the patient does not improve with supportive care, fasted abdominal ultrasound would be recommended.</t>
  </si>
  <si>
    <t>Orthogonal views of the pelvis and left forelimb and a three view study of the thorax are provided for interpretation._x000D_
_x000D_
The pelvis and both hip joints are within normal limits. There is slight spondylosis at the lumbosacral junction. No disc space narrowing is seen. The stifles are included in the pelvis views and are unremarkable._x000D_
_x000D_
A tiny osteophyte is identified arising from the caudal margin of the humeral head._x000D_
Mild osteophyte production is also seen involving the head of the radius and the anconeal process in the elbow. There is mild subtrochlear sclerosis in the proximal ulna in the medial coronoid process is mildly irregular. There is a punctate mineral opacity at the palmar lateral aspect of the carpus consistent with a tiny osseous body in this area. These changes were present in the previous study dated 6-5-23. Slightly more prominent in the current radiographs._x000D_
_x000D_
No pulmonary nodules or parenchymal infiltrates are identified. The cardiovascular structures are within normal limits.</t>
  </si>
  <si>
    <t>Mild osteoarthritis is present involving the right shoulder and elbow. There is slight progression relative to the previous study._x000D_
There is a tiny osseous body at the palmar medial aspect of the carpus. There is no associate swelling or surrounding bony changes. This is likely incidental._x000D_
_x000D_
No abnormalities are identified involving the hips and stifles._x000D_
_x000D_
The thorax is unremarkable.</t>
  </si>
  <si>
    <t>Symptomatic therapy for the lameness is recommended as needed.</t>
  </si>
  <si>
    <t>Two lateral radiographs of the thorax, and two lateral views of the abdomen are provided. The cardiac silhouette and pulmonary vessels are normal size and shape. There are mild age-related changes in the lungs. There is a well-defined round 2.3 cm soft tissue opacity overlying the ventral heart on the left lateral view, not seen on the right lateral projection. No pleural effusion. Broad-based fat opaque 10.8 cm lipomatous mass adjacent to the caudal sternum, incidental. Narrowed C7-T1 intervertebral disc space, of doubtful clinical significance today._x000D_
_x000D_
In the abdomen there is moderate volume gas in the stomach. Small and large bowel are minimally filled. There is no radiopaque foreign material or urolithiasis. Normal size kidneys, liver, spleen.</t>
  </si>
  <si>
    <t>Soft tissue nodular contour overlying the ventral thorax only on the left lateral view is concerning for a neoplastic lung nodule, however a superimposed extrathoracic nodule could also cause this appearance. Otherwise normal thorax and abdomen.</t>
  </si>
  <si>
    <t>Recommend cranial nerve assessment, and palpation for extrathoracic nodules that might explain the contour seen on the left lateral view.</t>
  </si>
  <si>
    <t>Seven radiographs are provided, with images of the thorax, thoracic limbs, abdomen, pelvic limbs. Images dated 2/10/23 are available for comparison. No abnormalities are appreciated in the viewable skull. Narrowed C4-5 intervertebral disc space, present previously and likely incidental. The left humerus is medially displaced with respect to the scapula. On the edge of the left craniocaudal shoulder view, the right humerus is also mildly medially positioned with respect to the scapula. The caudal aspect of both scapular glenoid are slightly flattened, with mild enthesophyte formation. No distal thoracic limb abnormalities are appreciated. There is mild left atrial enlargement as before. Pulmonary vessels are normal size. No abnormalities in the pulmonary parenchyma or pleural space. In the abdomen the liver is mildly enlarged with smooth margins. There is no effusion. No radiopaque urolithiasis. The uterus is not definitively seen. Previous femoral head ostectomy on the right. There is severe degenerative change in the left coxofemoral joint. Patellar location is normal. No right stifle joint effusion. The right tarsus is unremarkable. Linear mineral density caudal to the distal right tibia is likely incidental myositis ossificans.</t>
  </si>
  <si>
    <t>1. Medial left glenohumeral luxation. With the questionable flattening of the scapular glenoid, congenital malformation with chronic subluxation/luxation should be considered. For this reason, recurrent luxation is likely. As the right shoulder is mildly medially positioned on one of the views, bilateral shoulder laxity may be present._x000D_
2. Severe left coxofemoral osteoarthritis. This is the most likely cause for the pelvic limb clinical signs. An intervertebral disc lesion between T3 and L3 could also be contributing._x000D_
3. Mild left atrial enlargement as before, consistent with acquired mitral valve disease. There is no evidence of pulmonary venous congestion or pulmonary edema. This is of doubtful clinical significance today. Otherwise normal thorax._x000D_
4. Mild hepatomegaly, a nonspecific finding that may be steroid or other hepatopathy. An inflammatory process or neoplasia are given lesser consideration. This should be correlated with history and blood work.</t>
  </si>
  <si>
    <t>Recommend supportive care with anti-inflammatories. Consultation with an orthopedic surgeon could be considered to determine if there are other treatment options.</t>
  </si>
  <si>
    <t xml:space="preserve">
1.Minimal cardiomegaly has been detected but Heart Failure is NOT suspected._x000D_
2.MILD BRONCHOINTERSTITIAL PULMONARY PATTERN; MILD DYNAMIC AIRWAY DISEASE; ATELECTASIS or less likely, pneumonia._x000D_
3.Based on these AI airway/pulmonary findings, the probability of this patient having clinically detectable respiratory signs is MEDIUM (50%)_x000D_
4.Are respiratory signs present? If YES._x000D_
5.Are respiratory signs present? If NO.</t>
  </si>
  <si>
    <t>Left lateral and ventrodorsal thoracic radiographs (these 2 images) dated July 5, 2024._x000D_
_x000D_
_x000D_
_x000D_
The cardiac silhouette, pulmonary vasculature, and great vessels are within normal limits. The pulmonary parenchyma has mild diffuse bronchointerstitial pulmonary changes are more notable on the lateral view in which the lungs are poorly inflated=ZZ90= this is a less notable finding on the VD projection.. No pulmonary nodules, infiltrates, or other pathology is detected. The pleural space and diaphragm are normal. No mediastinal abnormalities are appreciated. The trachea is normal in diameter and course with gas filling its lumen. No intrathoracic lymphadenopathy is evident._x000D_
There is middle lumbar spondylosis deformans. No aggressive osseous lesions are identified. The liver, spleen, ingesta and gas-filled stomach, included bowel segments, visible portions of the kidneys, and cranial peritoneal detail are normal.</t>
  </si>
  <si>
    <t>Unremarkable geriatric thorax. The cause for the panting and exercise intolerance is not radiographically apparent. The bronchointerstitial pulmonary changes likely reflect poor pulmonary inflation and incidental age-associated changes. Chronic bronchitis is considered less likely.</t>
  </si>
  <si>
    <t>Sedated upper airway exam._x000D_
CBC, chemistry, UA, blood pressure, thyroid, fecal, 4Dx.</t>
  </si>
  <si>
    <t xml:space="preserve">
1.A mild to moderate bronchointerstitial pulmonary pattern has been detected._x000D_
2.The evaluation has come up positive for a pulmonary nodular pattern._x000D_
3.The cardiac silhouette size is normal._x000D_
4.There is no evidence of PERIHILAR INFILTRATE or DYNAMIC AIRWAY COLLAPSE or BRONCHIECTASIS._x000D_
5.Pleural fissure lines or moderate pleural effusion has been detected. An overlying skin fold or in a moderately overweight animal, excessive pericardial fat could artifactually mimic the result of moderate pleural effusion.</t>
  </si>
  <si>
    <t>Three radiographs of the thorax, and six views of the pelvis and pelvic limbs are provided. The cardiac silhouette and pulmonary vessels are normal size and shape. There are no abnormalities in the pulmonary parenchyma or pleural space. Small volume fat deposition separates the lungs from the sternum. The trachea is normal diameter. Normal cervical spine and proximal thoracic limbs. In the cranial abdomen there is moderate volume ingesta in the stomach. No abnormalities in the lumbar spine. Small round increased opacity overlying the urinary bladder on the left lateral view is caused by end-on loop of small bowel. The coxofemoral joints are congruent. Pelvic limb musculature is approximately symmetric. Patellar location is normal. There is increased opacity overlying the cranial aspect of the right stifle joint on the lateral view. There is rotation on this projection. No stifle degenerative change. The left stifle is unremarkable.</t>
  </si>
  <si>
    <t>1. Possible mild right stifle effusion suggestive of partial cranial cruciate ligament tear. This could be artifact caused by rotation. No other abnormalities are identified to explain the lameness. Soft tissue sprain/strain remains possible._x000D_
2. Normal thorax.</t>
  </si>
  <si>
    <t>Recommend supportive care with anti-inflammatories. There is no contraindication for general anesthesia based on this study, however if anesthesia was planned for immediately following these images, consider either postponing anesthesia, or ensuring extubation with partial inflation of the endotracheal tube cuff given current gastric contents.</t>
  </si>
  <si>
    <t>Three orthogonal thoracic radiographs dated 2nd July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60% of the dorsoventral diameter of the trachea. The intrathoracic trachea is normal. A egg-shaped smoothly marginated soft tissue mass is visible in the right caudal dorsal lung region of approximately 2 cm in length. The remainder of the lung parenchyma is unremarkable._x000D_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No significant abnormalities are detected._x000D_
_x000D_
Musculoskeletal findings: No significant abnormalities are detected._x000D_
_x000D_
Included abdomen: No significant abnormalities are detected.</t>
  </si>
  <si>
    <t>1. The dorsal attenuation of the trachea is consistent with tracheomalacia, and/or redundant trachealis membrane. The extent of attenuation would be expected to cause coughing._x000D_
2. Pulmonary mass: A primary bronchial adenocarcinoma, single metastasis, abscess or cyst is likely. The mass may compress one of the mainstem bronchi and may contribute towards coughing. _x000D_
3.  Left atrial dilation. This is most likely due to mixoid degeneration of the mitral valve. There is no evidence for cardiac insufficiency.</t>
  </si>
  <si>
    <t>Consider evaluation for airway collapse (fluoroscopy vs. right lateral inspiratory and expiratory radiographs vs. CT with virtual bronchoscopy). Alternatively consider continued medical management. Consider surgical consultation depending on clinical progression._x000D_
Radiography is insensitive for early cardiac insufficiency, therefore ECG, blood pressure measurements, and echocardiography may be considered for further evaluation, or baseline measurements._x000D_
Complete bloodwork, thoracic CT or ultrasound with aspirates if a peripheral lesion identified, and abdominal ultrasound are recommended for further staging.</t>
  </si>
  <si>
    <t xml:space="preserve">
1.MILD to MODERATE BRONCHOINTERSTITIAL PATTERN; MILD DYNAMIC AIRWAY DISEASE._x000D_
2.Based on these AI airway/pulmonary findings, the probability of this patient having clinically detectable respiratory signs is MEDIUM (50%)_x000D_
3.Are respiratory signs present? If YES._x000D_
4.AI linked bacterial bronchitis in dogs article: https://platform.v2.vetology.net/doc/bacterial-bronchitis-in-dogs-and-cats_x000D_
5.Are respiratory signs present? If NO._x000D_
6.There is no evidence of PERIHILAR INFILTRATE._x000D_
7.Severe cardiomegaly has been detected but Heart Failure is NOT suspected.</t>
  </si>
  <si>
    <t>4 images of the thorax are provided for review.  The cardiovascular structures are normal.  There is a mild bronchial pattern in all lung lobes.  Mineral opaque nodular structures consistent with incidental osteomas are seen throughout the pulmonary parenchyma.  The mediastinal and pleural structures are normal.  Cranial abdominal detail is adequate.</t>
  </si>
  <si>
    <t>Mild bronchial pulmonary pattern=ZZ90= consider bronchitis, response to inhaled irritants, response to circulating parasites, eosinophilic bronchopneumopathy.  Airway sampling may be helpful in further evaluation.  Lack of specific changes does not rule out laryngeal paralysis and sedated upper airway examination could also be considered</t>
  </si>
  <si>
    <t xml:space="preserve">
1.A moderate bronchointerstitial pattern, regions of alveolar infiltrate, a mild perihilar infiltrate and concurrent dynamic airway disease (see #2) have been detected._x000D_
2.Moderate dynamic airway disease has been detected._x000D_
3.SEVERE ALVEOLAR PATTERN; PLEURAL EFFUSION or PLEURAL FISSURE LINES; MODERATE DYNAMIC AIRWAY DISEASE; MILD, DIFFUSE BRONCHOINTERSTITIAL PULMONARY PATTERN._x000D_
4.Based on the AI airway/pulmonary findings, the probability of this patient having clinically detectable respiratory signs is VERY HIGH (&gt;75%)_x000D_
5.Are respiratory signs present? If YES._x000D_
6.Are respiratory signs present? If NO._x000D_
7.The cardiac silhouette size is normal.</t>
  </si>
  <si>
    <t>9 views of the thorax, abdomen, pelvis, and pelvic limbs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The stomach contains a moderate amount of ingesta.  Formed stool is noted throughout the colon.  The small bowel is within normal limits.  The liver and spleen are normal in size, shape, and margination.  The bilateral renal silhouettes are within normal limits.  The urinary bladder is unremarkable.  Serosal detail is normal._x000D_
Moderate intracapsular effusion is noted in the cranial aspect of the left stifle.  No degenerative changes are seen.  The left tarsus is within normal limits.  The right stifle and right tarsus are within normal limits.  The coxofemoral joints and sacroiliac joints are unremarkable.</t>
  </si>
  <si>
    <t>Moderate intracapsular effusion in the left stifle.  This is consistent with acute cranial cruciate ligament injury._x000D_
Radiographically normal thorax and abdomen.</t>
  </si>
  <si>
    <t>Surgery consultation is advised.</t>
  </si>
  <si>
    <t>Study:_x000D_
Thoracic radiography: right lateral and orthogonal views (two images) dated July 8, 2024_x000D_
_x000D_
Compared to prior study dated May 31, 2024_x000D_
_x000D_
Findings:_x000D_
The cardiac silhouette remains normal in size and shape. There is a static mild generalized bronchial pulmonary pattern. Similar to the prior exam, there is a linear soft tissue opacity superimposed with the cardiac silhouette and caudal trachea. On the VD view, there is a triangular soft tissue opacity in the left second intercostal space, confluent with the cranial mediastinum. A thin pleural fissure line extends laterally from this opacity. There is no apparent intrathoracic lymphadenopathy. The trachea is normal in diameter. The stomach contains granular soft tissue material presumed to be ingesta. The osseous structures are unremarkable. The patient is of obese body condition._x000D_
_x000D_
Human digits are present in the primary beam on the lateral projection.</t>
  </si>
  <si>
    <t>1.  The static mild generalized bronchial pulmonary pattern may indicate allergic, inflammatory, infectious, parasitic or irritant bronchitis. Airway plus/minus Baermann fecal flotation can be considered for further evaluation._x000D_
2. The triangular opacity in the left cranial thorax confluent with the cranial mediastinum may represent the cranial mediastinal reflection or incidental residual thymic tissue._x000D_
3. There is no evidence of pneumonia._x000D_
4. As before, the linear soft tissue opacity superimposed with the dorsal aspect of the cardiac silhouette may indicate incidental tangential pleural fissure line visualization, pleural thickening, trace pleural effusion or platelike atelectasis.</t>
  </si>
  <si>
    <t xml:space="preserve">
1.A minimal interstitial pattern has been detected._x000D_
2.A minimal bronchial pattern has been detected._x000D_
3.The cardiac silhouette size is normal._x000D_
4.There is no evidence of PERIHILAR INFILTRATE, DYNAMIC AIRWAY COLLAPSE or BRONCHIECTASIS, PULMONARY NODULES or PLEURAL EFFUSION.</t>
  </si>
  <si>
    <t>Study:_x000D_
Cervical and thoracic radiography: six images dated July 6, 2024_x000D_
_x000D_
Findings:_x000D_
The cardiac silhouette (VHS approximately 9) and pulmonary vasculature are normal in size. The pulmonary parenchyma is unremarkable. The pleural space is normal. There is no intrathoracic lymphadenopathy. The larynx is normal. The trachea is normal in diameter and course. There are two indistinct round mineral opacities in the region of the gallbladder on the lateral projections. The atlantooccipital junction is normal. The dens is intact and well defined. There is no intervertebral disc space or foraminal narrowing. On the left lateral view of the cervical spine, there is the impression of dorsal tipping of the C5 vertebral. This finding is not repeatable on the right lateral projection. There is no evidence of discospondylitis.</t>
  </si>
  <si>
    <t>1. The suspected dorsal tipping of the C5 vertebra on the left lateral projection may indicate cervical spondylomyelopathy (wobbler syndrome). Neurology consultation and MRI can be considered for further evaluation if the patient sign of pain persists or worsen in spite of strict activity restriction and pain management._x000D_
2. Normal thorax. There is no radiographic evidence of heart disease. Consider echocardiography for further evaluation of the reported heart murmur._x000D_
3. A cause of coughing is not evident. Lack of a definitive bronchial pulmonary pattern does not exclude the possibility of allergic/inflammatory, infectious, irritant or parasitic bronchitis.</t>
  </si>
  <si>
    <t xml:space="preserve">Patient Name : BEKKA ERNST, Date of study: Jul 8, 2024
6 images are provided for review
This examination is compared to prior dated May 31, 2024.
Pulmonary parenchyma:  A mild to moderate interstitial to alveolar pattern is present.  This pattern most severe and  best identified in the right middle, right caudal and left caudal lung lobes in the ventrodorsal image. An ill-defined pattern over the ventral periphery of the cranial lungs in the lateral image is suspected over the left cranial lung in the ventrodorsal image. The pattern in the left caudal lung over the 10th intercostal space has s somewhat rounded caudal margin, and air-bronchograms are also suspected.  The interstitial pattern is most severe in the caudodorsal lungs in the lateral image. An underlying minimal to mild diffuse bronchial pattern is also present.
Pulmonary vasculature: The pulmonary vasculature are partially obscured in the caudal lungs. 
Cardiac silhouette: The cardiac silhouette is mildly tall and occupies 2/3 the height of the cardiac silhouette in the right lateral image.  The caudodorsal margin of the cardiac silhouette is slightly flat in the right lateral image.  Slight divergence of the mainstem bronchi is suspected some ventrodorsal images.  The cardiac silhouette is subjectively rounded in the area of the right heart in the ventrodorsal image.  A soft tissue bulge or convexity is at the 1-2 o'clock position, in the region of the main pulmonary artery in the ventrodorsal image.  
Mediastinum: The cranial mediastinum is mildly symmetrically widened in the ventrodorsal images.
Trachea: A soft tissue band partially superimposes over the dorsal aspect of the trachea in the lateral images.
Esophagus: The esophagus is not well-identified.
Pleural space: The pleural space is normal.
Musculoskeletal: T4-5 spondylosis deformans is present.  The remaining included musculoskeletal structures are normal.
</t>
  </si>
  <si>
    <t>1. Mild-moderate interstitial to alveolar pulmonary pattern, most severe in the caudodorsal lungs and right middle lung lobe.
- The primary differential diagnosis is left-sided congestive heart failure/pulmonary edema.
- Given reported patient history of mammary carcinoma, atypical metastatic carcinoma, or unlikely hemorrhage or other such as atypical bronchopneumonia are also considered. 
2. Possible pulmonary nodule/mass versus coalescing pulmonary pattern (left-sided congestive heart failure/other), left  cranial and caudal lung lobes.
- If this is a nodule/mass this is most suspicious for metastatic neoplasia given reported patient history.
3. Minimal-mild left-sided cardiomegaly is similar to prior.
- Differential diagnoses include myxomatous mitral valvular disease and insufficiency, or unlikely other.
4. Dorsal redundant tracheal membrane and/or superimposed normal structures with/without underling dynamic airway disease.
5. Cranial mediastinal widening due to fat deposition, versus evolving lymphadenomegaly or other.
(amended on 07/08/2024 09:37)
6. Possible main pulmonary artery enlargement and right-sided cardiomegaly, such as from cor pulmonale/pulmonary hypertension and/or tricuspid valvular disease._x000D_
- Pulmonary pattern may be due to vascular accident and right-sided heart disease/pulmonary hypertension, in addition to the above, but this is considered least likely.</t>
  </si>
  <si>
    <t>Cardiomegaly is similar to images dated May 31, 2024, but the pulmonary pattern is new and significant.  Consider diuretic therapy, oxygen therapy and monitoring for progression/resolution of the pulmonary pattern with radiographs in 4-6 hours.  If the pulmonary pattern is persistent, consider other differential diagnoses over left-sided congestive heart failure.   If the pulmonary pattern improves, but reveals more distinct pulmonary nodules/mass, consider computed tomography for further evaluation if desired.  If the pattern completely resolves, and the patients condition improves, consider echocardiography, ECG and blood pressure for further evaluation.  Empirical therapy and supportive care in the interim as needed.</t>
  </si>
  <si>
    <t xml:space="preserve">
1.Mild cardiomegaly has been detected but Heart Failure is NOT suspected._x000D_
2.PULMONARY NODULES or NODULAR PATTERN; PLEURAL EFFUSION or PLEURAL FISSURE LINES; SEVERE INTERSTITIAL TO ALVEOLAR PATTERN; MODERATE BRONCHIAL PATTERN; DYNAMIC AIRWAY DISEASE._x000D_
3.Based on the AI airway/pulmonary findings, the probability of this patient having clinically detectable respiratory signs is VERY HIGH (&gt;75%)_x000D_
4.In older dogs, a pulmonary mass or pulmonary nodules, pulmonary hemorrhage, pleural effusion or PTE are primary considerations._x000D_
5.In the ABSENCE of respiratory signs, lung lobe collapse or severe atelectasis secondary to anesthesia or deep sedation could artifactually create this appearance._x000D_
6.If this AI evaluation is inconsistent with your assessment or the clinical picture, a Vetology AI overread may be beneficial._x000D_
7.The evaluation has detected soft tissue pulmonary nodules and pleural fluid.</t>
  </si>
  <si>
    <t>Study:_x000D_
Thoracic radiography: five images dated July 8, 2024_x000D_
_x000D_
Findings:_x000D_
The cardiac silhouette and pulmonary vasculature are normal in size. On the left lateral projection timestamped 9:12 AM, there is a round soft tissue opacity superimposed with the apex of the cardiac silhouette. This is appears to be artifact created by superimposition of a nipple or subcutaneous nodule (seen in this region the left lateral thorax on the VD view). The pulmonary parenchyma is otherwise unremarkable. The pleural space is normal. There is no intrathoracic lymphadenopathy. There is a broad-based soft tissue opaque band superimposed with the cervical trachea lumen representing other redundant dorsal tracheal membrane or superimposition of the esophagus. The trachea is normal in diameter and course. The included abdomen is normal. The osseous structures are unremarkable.</t>
  </si>
  <si>
    <t>As stated above, the round soft tissue opacity superimposed with the apex of the cardiac silhouette on the left lateral view timestamped 9:12 AM appears to be a superimposition artifact. There is no evidence of pulmonary metastatic disease.</t>
  </si>
  <si>
    <t>Study:_x000D_
Thoracic radiography: three images dated July 7, 2024_x000D_
_x000D_
Findings:_x000D_
The cardiac silhouette is normal in size and shape (VHS approximately 10.5). The pulmonary vasculature is normal in size. The pulmonary parenchyma is unremarkable. The pleural space is normal. There is no intrathoracic lymphadenopathy. The trachea is normal in diameter and course. There is no lobar bronchi narrowing. The stomach contains unstructured heterogeneous soft tissue material presumed to be ingesta. The included abdomen is otherwise unremarkable. No skeletal abnormalities are present.</t>
  </si>
  <si>
    <t>1. Unremarkable thorax. A cause of coughing is not evident. Lack of a definitive bronchial pulmonary pattern does not exclude the possibility of allergic/inflammatory, infectious, irritant or parasitic bronchitis. Normal diameter of the trachea does not exclude the possibility of dynamic airway disease._x000D_
2. There is no radiographic evidence of heart disease.</t>
  </si>
  <si>
    <t>Fluoroscopy, airway sampling plus/minus heartworm testing and Baermann fecal flotation can be considered to further evaluate the reported coughing.</t>
  </si>
  <si>
    <t>Three orthogonal thoracic radiographs dated 7th July 2024 are available for review. There are no previous radiographs available for comparison. _x000D_
_x000D_
Airway findings: The lungs are well inflated. The trachea has a normal position, shape and size. The carina and tracheal bifurcation are normal. The pulmonary parenchyma is normal. Superimposed on the tracheal bifurcation, and visible within the right pulmonary parenchyma there is a approximately 2.5 cm diameter soft tissue mass._x000D_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 The left flank mass is not visible._x000D_
_x000D_
Included abdomen: No significant abnormalities are detected.</t>
  </si>
  <si>
    <t>1. Solitary likely pulmonary mass: A single metastasis, non-related bronchial adenocarcinoma, abscess or cyst should be considered.</t>
  </si>
  <si>
    <t>Three orthogonal thoracic radiographs dated 7th July 2024 are available for review. There are no previous radiographs available for comparison. _x000D_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There is a moderate sized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No significant abnormalities are detected. _x000D_
_x000D_
Musculoskeletal findings:  No significant abnormalities are detected. _x000D_
_x000D_
Included abdomen: No significant abnormalities are detected.</t>
  </si>
  <si>
    <t>1. Left atrial dilation. This is most likely due to mixoid degeneration of the mitral valve. There is no evidence for cardiac insufficiency. _x000D_
2.Diffuse mild bronchial pattern: Consideration should be given to normal ageing, allergic bronchitis, chronic bacterial /viral bronchitis +/- parasitic bronchitis. Less likely are heart worm, hyperardenocorticism, neoplasia (such a lymphoma) or idiopathic pulmonary fibrosis.</t>
  </si>
  <si>
    <t>Radiography is insensitive for early cardiac insufficiency, therefore ECG, blood pressure measurements, and echocardiography may be considered for further evaluation, or baseline measurements._x000D_
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 If the patient=ZZ91=s signs continue despite supportive care, bronchoscopy/BAL vs. endotracheal wash +/- consultation with an Internist should be considered. Evaluate for upper airway disease as clinically indicated.</t>
  </si>
  <si>
    <t>Three orthogonal thoracic radiographs dated 7th July 2024 are available for review. There are no previous radiographs available for comparison. _x000D_
_x000D_
Thorax:_x000D_
Airway findings: The trachea is elevated within the thorax. There is narrowing of the mainstem bronchi. There is widening of the tracheal bifurcation. Throughout the lung parenchyma there is a faint interstitial opacification, most prominent in the perihilar and right caudal dorsal region. No nodules or masses are seen._x000D_
_x000D_
Cardiovascular findings: There is a very large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80% of the width of the thoracic volume. There is increased cardiac sternal contact. The cranial and caudal pulmonary vasculature are within upper normal limits.. The caudal vena cava is prominent._x000D_
_x000D_
Mediastinum and pleural space: There is mild ventral soft tissue attenuation consistent with mild pleural effusion._x000D_
_x000D_
Musculoskeletal findings: No significant abnormalities are detected._x000D_
_x000D_
Included abdomen: No significant abnormalities are detected.</t>
  </si>
  <si>
    <t>1.Generalised cardiomegaly with early cardiogenic pulmonary edema consistent with Ddx: myxomatous degeneration of the mitral and tricuspid valves with post-capillary pulmonary hypertension vs systolic dysfunction (DCM)._x000D_
2. The interstitial opacification is most likely due to cardiogenic pulmonary oedema. Lower airway infectious/inflammatory disease is less likely.</t>
  </si>
  <si>
    <t>The coughing is most likely due to come near complete bronchial compression, but may also be due to early cardiogenic pulmonary oedema._x000D_
Complete bloodwork if not already performed. Management for left sided congestive heart failure including diuretic therapy with oxygen support as needed. ECG and systemic blood pressure monitoring. Recommend repeat thoracic radiographs after 24-48 hours of therapy, sooner if clinically indicated. Continued monitoring of renal values and urinalysis. Once stabilized, an echocardiogram is recommended.</t>
  </si>
  <si>
    <t>Three orthogonal thoracic radiographs and 5 pelvic and pelvic limbs radiographs dated 7th July 2024 are available for review. There are no previous radiographs available for comparison. _x000D_
_x000D_
Airway findings: The lungs are well inflated. The trachea has a normal position, shape and size. The carina and tracheal bifurcation are normal. The pulmonary parenchyma is normal. In the right lateral image, superimposed on the apex of the cardiac silhouette there is a 8 mm length elliptic faint soft tissue opacity. This is not visible on the ventrodorsal image._x000D_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The included lumbar vertebral column is normal. The iliosacral joints are symmetric. There is good coverage of the femoral heads by the acetabuli.  No degenerative modelling is noted at the acetabular rim. There is mild widening of both coxofemoral joint spaces, however the limbs are adducted. The pelvic and caudal thigh musculature is symmetric. The patella are in an anatomical position. Both stifle joints are normal. There is mild circumferential soft tissue swelling of the left tarsus. No lytic or expansile bony lesions are seen. The left tarsal region is normal (mediolateral images only).</t>
  </si>
  <si>
    <t>1. Suspect small pulmonary nodule: This may be a single metastasis, single primary bronchial adenocarcinoma, abscess or cyst or less likely granuloma. A small skin mass is possible._x000D_
2. Right tarsal soft tissues swelling: Consistent with the confirmed previously removed mast cell tumour in the region._x000D_
3. The coxofemoral widening may be positional, however coxofemoral laxity may be present. This may be underlying the left pelvic limb lameness.</t>
  </si>
  <si>
    <t>Correlate with manipulative testing under sedation or anaesthesia. Consider distraction radiographs (Pennhip). Consider sports medicine rehabilitation therapy to increase muscle mass. Thoracic radiographic monitoring is advised.</t>
  </si>
  <si>
    <t>Patient Name : Levi Forsythe, Date of study: Jul 7, 2024_x000D_
9 images are provided for review_x000D_
There are no previous radiographs for comparison._x000D_
_x000D_
Bones/Joints: The C3-4 intervertebral disc space is slightly narrowed._x000D_
There is no evidence of mineral over the intervertebral foramina. No vertebral fractures or luxation are identified._x000D_
There is no evidence of medullary sclerosis, osteolysis, endosteal scalloping, or periosteal proliferation._x000D_
_x000D_
Soft tissues: The included soft tissues are normal.</t>
  </si>
  <si>
    <t>1. Slight C3-4 intervertebral disc disease versus artifact from positioning.</t>
  </si>
  <si>
    <t xml:space="preserve">
1.Are respiratory signs present? If YES._x000D_
2.Are respiratory signs present? If NO._x000D_
3.The cardiac silhouette size is normal._x000D_
4.There is no evidence of PERIHILAR INFILTRATE or DYNAMIC AIRWAY COLLAPSE or BRONCHIECTASIS._x000D_
5.Based on the AI airway/pulmonary findings, the probability of this patient having clinically detectable respiratory signs is LOW to MEDIUM (25%-50%)_x000D_
6.The evaluation has come up positive for a pulmonary nodular pattern._x000D_
7.A minimal interstitial pattern has been detected._x000D_
8.There is detection of a few small soft tissue opacities overlying the lungs._x000D_
9.A minimal to mild bronchointerstitial pulmonary pattern has been detected._x000D_
10.MILD BRONCHIAL PATTERN; NODULAR PULMONARY PATTERN which is likely due to overlying CUTANEOUS NODULES or MINERALIZED COSTOCHONDRAL JUNCTIONS._x000D_
11.MINIMAL INTERSITIAL PATTERN; OVERLYING CUTANEOUS NODULES or END-ON VESSELS._x000D_
12.Based on these AI airway/pulmonary findings, the probability of this patient having clinically detectable respiratory signs due to lower airway disease is UNLIKELY (&lt;25%) with the exception of acute tracheobronchitis or PTE.</t>
  </si>
  <si>
    <t>Opposite lateral and VD views of the thorax and abdomen are provided._x000D_
_x000D_
The cardiovascular structures are within normal limits. No pulmonary infiltrates or bronchial thickening are identified. No tracheal abnormalities are seen._x000D_
_x000D_
Abdominal organs are within normal size and shape limits. No abnormalities are identified involving the GI tract. Serosal detail is normal. Metallic sutures from previous OVH are visible._x000D_
_x000D_
There is moderate narrowing of intervertebral disc spaces in the thoracolumbar region from T11 to L1. L1-L2 is also mildly narrowed. There is minimal remodeling of the left femoral head.</t>
  </si>
  <si>
    <t>No significant thoracic or abdominal abnormalities are identified._x000D_
_x000D_
There is disc space narrowing suggestive of disc degeneration in the thoracolumbar spine.</t>
  </si>
  <si>
    <t>The cause of the cough is not visible in the radiographs. Viral tracheobronchitis or allergic lung disease could still be present. Symptomatic therapy is recommended.</t>
  </si>
  <si>
    <t xml:space="preserve">
1.A mild bronchial pattern has been detected._x000D_
2.The cardiac silhouette size is normal._x000D_
3.There is no evidence of PERIHILAR INFILTRATE, PULMONARY NODULES or PLEURAL EFFUSION.</t>
  </si>
  <si>
    <t>Thorax: Today=ZZ91=s study is compared to a study dated 4/27/2024 there is moderate to severe left-sided and moderate right-sided cardiomegaly.  This has remained unchanged since the previous study.  There is no evidence of cardiogenic pulmonary edema or pleural effusion.  The pulmonary parenchyma is unremarkable.  The pulmonary vasculature is unremarkable.  Abdomen: There are no abnormalities identified.  There is narrowing of the intervertebral disc bases of T13-L1, L1-2, and L2-3.</t>
  </si>
  <si>
    <t>Static moderate to severe left and moderate right-sided cardiomegaly without evidence of decompensation._x000D_
_x000D_
Regions of intervertebral disc disease.</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</si>
  <si>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3.MODERATE ALVEOLAR PATTERN; CONCURRENT MILD to MODERATE BRONCHOINTERSTITIAL PATTERN; MILD DYNAMIC AIRWAY DISEASE._x000D_
4.Based on the AI airway/pulmonary findings, the probability of this patient having clinically detectable respiratory signs is MEDIUM to HIGH (50-75%)._x000D_
5.Are respiratory signs present? If YES._x000D_
6.Are respiratory signs present? If NO.</t>
  </si>
  <si>
    <t xml:space="preserve">Patient Name: Phoebe Lloyd, Date of study: Nov 7, 2023
3 images are provided for review. 
There are no previous radiographs for comparison. The cranial thorax is not included on the radiographs. 
Thorax:
Airway/pulmonary parenchyma: A cranioventral alveolar infiltrate is present cranial to the heart on the lateral projections. The remainder of the lungs have a diffuse bronchointerstitial pattern with lobar bronchial dilation. 
Cardiovascular: Mild rounding and enlargement to the right heart is present. Mild rounding to the caudal margin of the cardiac silhouette is also present. On the VD projection, the visible portion of the heart has a rounded to globoid appearance. On the lateral projection, the cranial arteries appear thin while the right cranial lung lobe vein appears distended. The caudodorsal vasculature is distended on the lateral projections. 
Mediastinum: Increased opacity overlies the cranial thorax however a portion of this opacity can be secondary to overlying lung infiltrate. 
Pleural space; Scant pleural fluid is present. 
Abdomen:
Liver: The liver is mildly to moderately enlarged but retains a smooth margin. 
Spleen: Normal
Kidneys: The kidneys are partially obscured but overall renal size appears normal. The urinary bladder is mildly distended. No overt calculi are noted. 
GI: The stomach is gas filled with slightly prominent rugae. The small bowel is diffusely gas- and fluid-filled with some segments having a rigid appearance. Segmental small bowel dilation appears to be present on the left lateral projection. The colon is gas filled and has a rigid appearance. A thin gas opaque line overlies the ventral aspect of the descending colon which likely represents luminal gas.
Abdominal detail: Abdominal detail is decreased with a wispy appearance consistent with abdominal fluid and/or mesenteric inflammation. Decreased retroperitoneal detail is also present which may be due to overlying fluid or less likely, fluid within the retroperitoneal space.  </t>
  </si>
  <si>
    <t xml:space="preserve">1) Despite the segmental small bowel dilation, gastroenterocolitis is the primary consideration. Question owners about chronic IBD and grain free diet therapy. A slow-moving foreign body or partial small intestinal obstruction cannot be entirely ruled out.
2) Cranioventral alveolar infiltrate consistent with aspiration pneumonia. 
3) Cardiomegaly with pulmonary vessel distention and caudodorsal infiltrate. Rule out DCM and heart failure (both left and right) secondary to grain free diet. 
4) Hepatomegaly and abdominal fluid. Rule out right heart failure along with hepatopathy and/or fat deposition. </t>
  </si>
  <si>
    <t xml:space="preserve">Oxygen therapy as needed. Once stable, repeat three view thoracic radiographs centered on the thorax. 
Treatment for pneumonia and suspected gastroenterocolitis. A cardiac ultrasound, ECG and systemic blood pressure evaluation are recommended prior to any fluid therapy. If a cardiac ultrasound is not available, a brief evaluation of left ventricular function and left atrial size are recommended to assess for DCM. If cardiac function cannot be assessed, assess urine function prior to initiating Lasix therapy with follow-up radiographs in 12-24 hours to re-evaluate the caudodorsal pulmonary pattern. Monitor renal values with Lasix therapy. 
Abdominal ultrasound is also recommended to assess for hepatic venous distention. Abdominal fluid collection is also recommended to assess for a modified transudate vs. exudate. </t>
  </si>
  <si>
    <t xml:space="preserve">
1.MODERATE INTERSTITIAL to ALVEOLAR INFILTRATE; MILD BRONCHIAL PATTERN._x000D_
2.Based on the AI airway/pulmonary findings, the probability of this patient having clinically detectable respiratory signs is HIGH (75%)_x000D_
3.Are respiratory signs present? If YES._x000D_
4.Mild cardiomegaly has been detected but Heart Failure is NOT suspected._x000D_
5.Are respiratory signs present? If NO._x000D_
6.There is no evidence of DYNAMIC AIRWAY COLLAPSE or BRONCHIECTASIS or PULMONARY NODULES.</t>
  </si>
  <si>
    <t xml:space="preserve">Patient name: Bear. Date of study: 7/6/24. Single lateral projections of the caudal cervical, thoracic, and lumbar spine are available for interpretation. 
Caudal cervical region: Obliquity limits evaluation. There is suspected enlargement to the C6-7 articular processes. 
Thoracic spine: Minimal lordosis is present in the mid thoracic region which is considered an incidental congenital abnormality. 
The proximal rib alignment appears to slightly shift between T10 and T11. Additionally, there is a slight vertical malalignment to the caudal articular processes beginning at the T11 caudal articular processes also suggestive of a slight spinal torsion. The T10 caudal lamina also appears dorsally elevated. 
Lumbar spine: Focal vertical mineralization overlies the L1-2 and L5-6 disc spaces but without disc space narrowing. Vertical lucencies overlie the caudal aspect of the L1, L3 and L4 spinous processes suggestive of fracture lines. 
L-S ventral spondylosis is present. No end-plate or vertebral lysis is noted. 
Gas opacity overlies the soft tissues around the T13 through L2 vertebrae. </t>
  </si>
  <si>
    <t xml:space="preserve">1) Appearance to T10-11 would be most consistent with trauma and a potential T10 laminal elevation with T10 caudal articular process fracture allowing for a caudal thoracic spinal torsion/subluxation. 
2) Lucencies within or overlying the L2, L4 and L5 spinous processes also concerning for traumatic fractures. 
3) L-S ventral spondylosis. 
4) Chronic C6-7 articular process degenerative change. </t>
  </si>
  <si>
    <t xml:space="preserve">As there is potential for a spinal fracture, horizontal beam radiographs of the spine or spinal CT in lateral recumbency are recommended to further assess vs. spinal MRI, if neuro deficits are present. </t>
  </si>
  <si>
    <t>Study:_x000D_
Thoracic radiography: three images dated July 6, 2024_x000D_
_x000D_
Findings:_x000D_
The cardiac silhouette is normal in size and shape. The pulmonary vasculature is normal in size. There is incidental platelike atelectasis in the cranioventral lung field on both lateral views. The pulmonary ring was otherwise unremarkable. The pleural space is normal. There is no intrathoracic lymphadenopathy. The larynx is unremarkable. The trachea is normal in diameter. There is no esophageal dilation. The included abdomen is normal. No skeletal abnormalities are present.</t>
  </si>
  <si>
    <t>1. Unremarkable thorax. There is no radiographic evidence of heart disease. Consider echocardiography for further evaluation of the reported heart murmur._x000D_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airway sampling plus/minus heartworm testing and Baermann fecal flotation can be considered to further evaluate the reported coughing.</t>
  </si>
  <si>
    <t>Orthogonal views of the lumbar spine and pelvis, VD thoracoabdominal views, and a lateral view of the thorax are provided. There are seven images total._x000D_
_x000D_
There is a moderate bronchointerstitial pulmonary pattern. Thin pleural fissure lines are faintly visible. No rib fractures are seen. The cardiovascular structures are within normal limits._x000D_
_x000D_
No abnormalities identified involving the thoracic or lumbar spine. The pelvis and both hip joints are within normal limits. The stifles are included and also appear normal._x000D_
_x000D_
There is mild enlargement of the right side of the liver. Detail in the right cranial abdomen is reduced in the VD views, but no loss of detail is appreciated in the lateral views. This appearance is suspected to be secondary to the mild liver enlargement. Pancreatitis should also be ruled out if clinically indicated.</t>
  </si>
  <si>
    <t>No fractures or soft tissue swelling suggestive of trauma are identified._x000D_
There is a bronchointerstitial pulmonary pattern which would be most compatible with infectious/inflammatory disease such as bronchitis. Pulmonary contusions can sometimes appear similar, so this remains as a secondary differential, especially if there is high suspicion of traumatic injury in spite of the lack of visible swelling or fractures in the radiographs._x000D_
The thin pleural fissure lines are subtle change that could be associated with inflammatory/infectious pulmonary disease or the result of, with minimal hemorrhage. Other causes of scant pleural fluid could include vasculitis or hypoproteinemia.</t>
  </si>
  <si>
    <t>The pulmonary changes are most compatible with infectious bronchitis, fungal pneumonia, or other inflammatory/infectious disease. Pulmonary hemorrhage secondary to trauma or coagulopathy should still be considered as a less likely possibility._x000D_
CBC and serum chemistry is recommended.</t>
  </si>
  <si>
    <t xml:space="preserve">
1.A moderate interstitial to alveolar pattern and moderate perihilar infiltrate have been detected._x000D_
2.The evaluation has come up positive for a pulmonary nodular pattern._x000D_
3.A moderate interstitial pattern has been detected._x000D_
4.Pleural fissure lines or moderate to severe pleural effusion has been detected. An overlying skin fold or in an obese animal, excessive pericardial fat could artifactually mimic the result of severe pleural effusion._x000D_
5.The cardiac silhouette size is normal._x000D_
6.There is no evidence of DYNAMIC AIRWAY COLLAPSE or BRONCHIECTASIS.</t>
  </si>
  <si>
    <t>1) Unremarkable thorax without signs of cardiomegaly (this does not exclude a cardiac disease), pulmonary metastases nor signs of thoracic lymphadenopathy. _x000D_
2) Hepatomegaly: Metabolic vs Vacuolar infiltration vs Hepatic nodular hyperplasia vs Inflammatory vs Toxic vs Neoplastic or a combination of these differentials.</t>
  </si>
  <si>
    <t>Given the lack of cardiomegaly but audible murmur, consider a cardiology consultation with ECG and echocardiogram followed by an abdominal US to further evaluate causes of acute inappetence, vomition and the hepatic parenchyma.</t>
  </si>
  <si>
    <t>1) Unremarkable lungs do not exclude a pharyngitis/pharyngeal or retropharyngeal FB/tonsilitis vs bronchitis of inflammatory/infectious or parasitic origin.</t>
  </si>
  <si>
    <t>Consider empirical treatment for pharyngitis/tonsilitis/bronchitis (after a negative oral and pharyngeal/laryngeal exam under sedation) evaluating response to treatment.</t>
  </si>
  <si>
    <t xml:space="preserve">
1.MINIMAL TO MILD BRONCHOINTERSTITIAL PULMONRAY PATTERN; MILD PERIHILAR PATTERN._x000D_
2.Based on the AI airway/pulmonary findings, the probability of this patient having clinically detectable respiratory signs is LOW (25%)_x000D_
3.A minimal bronchointerstitial pulmonary pattern with a concurrent, minimal perihilar infiltrate have been detected._x000D_
4.The cardiac silhouette size is normal._x000D_
5.There is no evidence of PULMONARY NODULES or PLEURAL EFFUSION.</t>
  </si>
  <si>
    <t>Study:_x000D_
Thoracic radiography: three images dated July 6, 2024_x000D_
_x000D_
Findings:_x000D_
The cardiac silhouette is normal in size and shape. The pulmonary vasculature is normal in size. There is a mild to moderate generalized bronchial pulmonary pattern. The right and left cranial lung lobe bronchi are dilated. There is a moderate alveolar pattern in the cranial segment of the left cranial lung lobe. A mild alveolar pattern is also present in the ventral aspect of the right cranial lung lobe. The pleural space is normal. There is no intrathoracic lymphadenopathy. The trachea is normal in diameter. The stomach contains unstructured heterogeneous soft tissue material presumed to be ingesta.</t>
  </si>
  <si>
    <t>1. The right cranial and left cranial lung lobe alveolar pattern likely indicates pneumonia. Recommend repeat radiography in 10 to 14 days to monitor for response to antibiotic therapy._x000D_
2. Given the patient=ZZ91=s prior history, the diffuse bronchial pulmonary pattern could be secondary to underlying chronic allergic/inflammatory bronchitis or infectious bronchitis_x000D_
3. Right and left cranial lobar bronchiectasis._x000D_
4. There is no evidence of cardiomegaly/heart disease.</t>
  </si>
  <si>
    <t xml:space="preserve">
1.PULMONARY NODULAR PATTERN; MINIMAL BRONCHOINTERSTITIAL PULMONARY PATTERN._x000D_
2.The evaluation has come up positive for a pulmonary nodular pattern._x000D_
3.Based on these AI airway/pulmonary findings, the probability of this patient having clinically detectable respiratory signs is MEDIUM (50%)_x000D_
4.Are respiratory signs present. If YES._x000D_
5.Are respiratory signs present. If NO._x000D_
6.MINIMAL to MILD BRONCHOINTERSTITIAL PULMONARY PATTERN; POTENTIAL FOR FOCAL ATELECTASIS._x000D_
7.Based on these AI airway/pulmonary findings, the probability of this patient having clinically detectable respiratory signs is LOW (25%)_x000D_
8.Pleural fissure lines or small volume pleural effusion has been detected. In a mildly overweight animal, excessive pericardial fat can artifactually mimic the result of minimal pleural effusion._x000D_
9.The cardiac silhouette size is normal._x000D_
10.There is no evidence of DYNAMIC AIRWAY COLLAPSE or BRONCHIECTASIS._x000D_
11.Are respiratory signs present? If YES._x000D_
12.Are respiratory signs present? If NO.</t>
  </si>
  <si>
    <t>Four radiographs of the thorax are provided. The cardiac silhouette and pulmonary vessels are normal size and shape. Mild unstructured interstitial pattern is normal for the age and size of this patient. There is no pleural effusion. Small volume fat deposition is seen in the ventral thorax on the right lateral view. Smoothly undulating fat opacity along the ventrum is likely incidental lipomas. In the cranial abdomen there is a smoothly marginated round 5.1 cm soft tissue opacity extending ventral to the splenic tail. On the edge of the 1st left lateral view there is also a large (at least 9.5 cm) soft tissue opacity in the mid abdomen.</t>
  </si>
  <si>
    <t>1. Splenic tail mass with large additional abdominal mass that may also be of splenic origin. Neoplasia such as hemangiosarcoma is suspected._x000D_
2. Normal thorax.</t>
  </si>
  <si>
    <t>Abdominal ultrasound is recommended to confirm origin of the masses, and determine if there are additional lesions which may preclude surgical intervention. There is no contraindication for general anesthesia based on this study.</t>
  </si>
  <si>
    <t xml:space="preserve">
1.MINIMAL to MILD INTERSTITIAL TO ALVEOLAR INFILTRATE; MILD BRONCHIAL PATTERN; MINIMAL PERIHILAR INFILTRATE._x000D_
2.Based on the AI airway/pulmonary findings, the probability of this patient having clinically detectable respiratory signs is LOW to MEDIUM (25%-50%)_x000D_
3.Are respiratory signs present? If YES._x000D_
4.The cardiac silhouette size is normal._x000D_
5.Are respiratory signs present? If NO</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</si>
  <si>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ingesta.  The small intestines are normal in size.  Gas and feces are present in the colon.  The urinary bladder is small.  The remaining abdominal organs are normal.  Spinal alignment is normal with no consistently narrowed intervertebral disc spaces.  No fractures or aggressive osseous lesions are seen.</t>
  </si>
  <si>
    <t>Radiographically normal abdomen.  Radiographically normal thorax for patient of this age.  Radiographically normal spine.  This does not rule out intervertebral disc herniation or other causes of spinal cord compression.  CT or MRI could be considered in further evaluation.</t>
  </si>
  <si>
    <t xml:space="preserve">
1.MODERATE INTERSTITIAL TO ALVEOLAR INFILTRATE; MILD BRONCHIAL PATTERN; MILD PERIHILAR INFILTRATE._x000D_
2.Based on these AI airway/pulmonary findings,  the probability of this patient having clinically detectable respiratory signs is HIGH (75%)_x000D_
3.Are respiratory signs present? If YES._x000D_
4.Are respiratory signs present? If NO._x000D_
5.The cardiac silhouette size is normal._x000D_
6.There is no evidence of PLEURAL EFFUSION.</t>
  </si>
  <si>
    <t>Orthogonal views of the thorax are provided:_x000D_
_x000D_
Thorax:_x000D_
_x000D_
Cardiac silhouette has a normal shape and size. No evidence of a heart base mass._x000D_
Pulmonary vessels are within normal limits of size and shape._x000D_
Pulmonary parenchyma is within normal limits. No evidence of pulmonary nodules/masses._x000D_
Pleural space, mediastinum, diaphragm and thoracic wall within normal limits._x000D_
_x000D_
No evidence of a liver mass._x000D_
Multifocal signs of chronic IVDD.</t>
  </si>
  <si>
    <t>Consider a CT of the oral cavity._x000D_
Consider also a neuro exam with MRI if necessary.</t>
  </si>
  <si>
    <t xml:space="preserve">Patient Name : Beethoven Farson, Date of study: Jul 5, 2024
3 images are provided for review
Canine Thorax (3 Images) - 2 Lateral, 1 Vd
This examin is compared to previous dated December 9, 2023 and prior.
Pulmonary parenchyma: A minimal to mild diffuse bronchial pattern is present.
Pulmonary vasculature: The pulmonary vasculature is subjectively normal in size and tapers in the periphery of the lungs.
Cardiac silhouette: The cardiac silhouette is tall and occupies 2/3 the height of the thorax, with dorsal tracheal displacement.  The caudodorsal margin of the cardiac silhouette is flattened.  Rounded increased soft tissue is present in the region of the left atrium.  A soft tissue convexity is present at the 2-3 o'clock position of the cardiac silhouette, in the region of the left auricular appendage.  
Mediastinum: The cranial mediastinum is normal.
Trachea: A soft tissue band partially superimposes over the dorsal trachea.
Esophagus: The esophagus is not well-identified.
Pleural space: The pleural space is normal.
Musculoskeletal: Broad-based fat opaque nodule is suspected in the cranioventral extra-thoracic soft tissues.  The remaining included musculoskeletal structures are normal.
</t>
  </si>
  <si>
    <t xml:space="preserve">1. Mild-moderate left-sided cardiomegaly such as from myxomatous mitral valvular disease and insufficiency.
- There is no current evidence of left-sided congestive heart failure.  
- This is progressive from prior.
2. Minimal-mild diffuse bronchial pulmonary pattern due to infectious/immune-mediated lower airway disease, fibrosis from prior disease, age-related changes, or unlikely other.
3. Presumed ventral extra-thoracic lipoma.  </t>
  </si>
  <si>
    <t>Echocardiography, ECG and blood pressure for further evaluation.  Routine blood work and urinalysis if not recently performed.  Consider respiratory PCR panel and fecal analysis/deworming for further evaluation of the lower airways.  Empirical therapy and supportive care in the interim as needed.  Monitoring as directed, or sooner if clinical signs acutely change, fail to improve or worsen.</t>
  </si>
  <si>
    <t xml:space="preserve">
1.MILD BRONCHIAL PATTERN; MINIMAL DYNAMIC AIRWAY DISEASE._x000D_
2.Based on these AI airway/pulmonary findings, the probability of this patient having clinically detectable respiratory signs is LOW (25%)_x000D_
3.Are respiratory signs present? If YES._x000D_
4.Are respiratory signs present? If NO._x000D_
5.There is no evidence of ALVEOLAR PATTERN, PERIHILAR INFILTRATE or PLEURAL EFFUSION._x000D_
6.Severe cardiomegaly has been detected but Heart Failure is NOT suspected.</t>
  </si>
  <si>
    <t>Right thoracic limb: There are regions of subcutaneous emphysema involving the proximal right limb as well as cranial ventral portion of the right thorax.  There are no osseous abnormalities identified._x000D_
_x000D_
Thorax: There is no evidence of thoracic wall trauma.  There is no evidence of pulmonary contusions or pleural effusion.  The cardiac silhouette and pulmonary vasculature are unremarkable.  There are thoracic hemivertebra which is a common finding for breed of patient.</t>
  </si>
  <si>
    <t>Subcutaneous emphysema consistent with soft tissue trauma/possible puncture wounds.</t>
  </si>
  <si>
    <t xml:space="preserve">
1.Are respiratory signs present? If NO._x000D_
2.Are respiratory signs present? If YES._x000D_
3.MINIMAL to MILD DIFFUSE, MIXED BRONCHOINTERSTITIAL PULMONARY PATTERN with ATELECTASIS or less likely, pneumonia._x000D_
4.Probability these AI pulmonary findings will accompany clinically detectable respiratory signs: LOW (25%)_x000D_
5.The cardiac silhouette size is normal._x000D_
6.There is no evidence of DYNAMIC AIRWAY COLLAPSE or BRONCHIECTASIS, PULMONARY NODULES or PLEURAL EFFUSION.</t>
  </si>
  <si>
    <t>Study:_x000D_
Thoracic radiography: three images dated July 5, 2024_x000D_
_x000D_
Compared to prior study dated December 26, 2023_x000D_
_x000D_
Findings:_x000D_
There is now mild left ventricular and left atrial enlargement. The pulmonary vasculature is normal in size. The mild diffuse bronchointerstitial pulmonary patterns and unchanged from the prior exam and considered within normal limits for the age of the patient. The patient has redundant dorsal tracheal membrane. The tracheal diameter is normal. There is no intrathoracic lymphadenopathy. The pleural space is normal. The liver extends mildly beyond the costal arch with smooth margins. The stomach contains unstructured heterogeneous soft tissue material presumed to be ingesta. There is moderate left elbow periarticular bone formation.</t>
  </si>
  <si>
    <t>1. Mild left-sided cardiomegaly, indicative of mitral valve disease, without evidence of decompensation. Echocardiography should be considered for further evaluation._x000D_
2. Redundant dorsal tracheal membrane. Normal diameter of the trachea does not exclude the possibility of concomitant tracheal collapse. Fluoroscopy can be considered to further evaluate for possible worsening of the previously diagnosed dynamic airway disease as a cause of coughing is not otherwise evident._x000D_
3. The generalized hepatomegaly is nonspecific. Rule out metabolic/vacuolar hepatopathy, hypoxic hepatopathy secondary to dynamic airway disease, hyperplasia, hepatitis or infiltrative neoplasia. Sonography can be considered for further evaluation._x000D_
4. Moderate left elbow osteoarthrosis.</t>
  </si>
  <si>
    <t xml:space="preserve">
1.MODERATE BRONCHIAL PATTERN; MODERATE DYNAMIC AIRWAY DISEASE._x000D_
2.Based on these AI airway/pulmonary findings, the probability of this patient having clinically detectable respiratory signs is HIGH (75%)_x000D_
3.Are respiratory signs present? If YES._x000D_
4.Are respiratory signs present? If NO._x000D_
5.There is no evidence of PULMONARY NODULES or PLEURAL EFFUSION._x000D_
6.Severe cardiomegaly has been detected but Heart Failure is NOT suspected.</t>
  </si>
  <si>
    <t>Abdomen: There is mild amount of granular mineral opacity within the gastric lumen.  There is mild gas distention of the stomach.  There is no evidence of a small intestinal foreign body or obstruction.  The liver and spleen are unremarkable.  There are no abnormalities involving the visible portions of the urinary tract.  Serosal detail is normal.  There are no abnormalities involving the visible portions of the thorax.</t>
  </si>
  <si>
    <t>Mild amount of granular mineral opaque debris within the gastric lumen which may represent foreign material or normal ingesta.</t>
  </si>
  <si>
    <t>Thorax: A tracheal stent has previously being placed.  It is difficult to assess the pulmonary parenchyma due to pulmonary underinflation.  There is a possible bronchointerstitial pattern however this may be artifactual and secondary to pulmonary underinflation.  The cardiac silhouette and pulmonary vasculature are unremarkable.  There is no evidence of lymphadenopathy or pleural effusion.  There are no abnormalities involving the larynx/pharynx._x000D_
_x000D_
Abdomen: The liver is diffusely enlarged.  The spleen is unremarkable.  There are no abnormalities involving the gastrointestinal tract or visible portions of the urinary tract.</t>
  </si>
  <si>
    <t>Pulmonary underinflation which may be secondary to timing of radiographic acquisition.  Alternatively an upper airway obstructive process cannot be ruled out._x000D_
_x000D_
Possible bronchiointerstitial pattern however at this may be artifactual and due to pulmonary underinflation._x000D_
_x000D_
Mild diffuse hepatomegaly.</t>
  </si>
  <si>
    <t xml:space="preserve">
1.MODERATE ALVEOLAR PATTERN; CONCURRENT MILD BRONCHOINTERSTITIAL PATTERN; MODERATE DYNAMIC AIRWAY DISEASE._x000D_
2.Based on the AI airway/pulmonary findings, the probability of this patient having clinically detectable respiratory signs is MEDIUM to HIGH (50-75%)._x000D_
3.Are respiratory signs present? If YES._x000D_
4.Are respiratory signs present? If NO._x000D_
5.Mild cardiomegaly has been detected but Heart Failure is NOT suspected.</t>
  </si>
  <si>
    <t>Study:_x000D_
Thoracic radiography: three images dated July 5, 2024_x000D_
_x000D_
Findings:_x000D_
The cardiac silhouette and pulmonary vasculature are normal in size. The pulmonary parenchyma is unremarkable. The pleural space is normal. There is no intrathoracic lymphadenopathy. The patient has a redundant dorsal tracheal membrane. The larynx is unremarkable. The trachea is normal in diameter and course. The liver is moderately enlarged with smooth and sharp margins. The stomach contains a small amount of heterogeneous soft tissue material presumed to be ingesta. The T 13 vertebra is transitional with bilateral hypoplastic ribs.</t>
  </si>
  <si>
    <t>1. Redundant dorsal tracheal membrane. Normal diameter of the trachea does not exclude the positive concomitant tracheal collapse. Fluoroscopy can be considered to further evaluate for possible dynamic airway disease._x000D_
2. There is no radiographic evidence of cardiopulmonary disease. Lack of a bronchial pulmonary pattern does not exclude the possibility of lower airway disease._x000D_
3. The hepatomegaly is nonspecific. Vacuolar hepatopathy secondary to the reported Cushing=ZZ91=s disease is prioritized. Hepatitis, hyperplasia or infiltrative neoplasia cannot be completely excluded. Abdominal sonography can be considered for further evaluation if clinically relevant.</t>
  </si>
  <si>
    <t xml:space="preserve">
1.Mild cardiomegaly has been detected but Heart Failure is NOT suspected._x000D_
2.MILD BRONCHIAL PATTERN; MILD DYNAMIC AIRWAY DISEASE._x000D_
3.Based on these AI airway/pulmonary findings, the probability of this patient having clinically detectable respiratory signs is LOW to MEDIUM (25-50%)_x000D_
4.Are respiratory signs present? If YES._x000D_
5.Are respiratory signs present? If NO._x000D_
6.There is no evidence of PERIHILAR INFILTRATE, PULMONARY NODULES or PLEURAL EFFUSION.</t>
  </si>
  <si>
    <t>Five radiographs of the thorax/abdomen are provided. Normal tracheal diameter. The cardiac silhouette and pulmonary vessels are normal size. There are no abnormalities in the pulmonary parenchyma or pleural space. There is a smoothly irregular, lobulated 3.7 x 2.6 cm mineralized mass ventral lateral and to the left of the xiphoid process. There is no adjacent sternal or rib involvement. In the abdomen the liver is upper normal size. Normal-sized spleen. The kidneys are obscured. The gastrointestinal tract is mildly filled. The urinary bladder is minimally distended. No radiopaque urolithiasis. Small mineral density overlies the L3-4 intervertebral foramen, of doubtful clinical significance today.</t>
  </si>
  <si>
    <t>Mineralized caudoventral extrathoracic mass, concerning for malignant neoplasia such as originating from mammary gland. A benign lesion is next on the differential list. There is no adjacent osseous involvement. The thorax and abdomen are otherwise normal.</t>
  </si>
  <si>
    <t>Recommend mass removal with histopathology.</t>
  </si>
  <si>
    <t xml:space="preserve">
1.MODERATE BRONCHOINTERSTITIAL PULMONARY PATTERN; MILD DYNAMIC AIRWAY DISEASE; ATELECTASIS or less likely, pneumonia; MINIMAL PERIHILAR INFILTRATE._x000D_
2.Based on the AI airway/pulmonary findings, the probability of this patient having clinically detectable respiratory signs is MEDIUM to HIGH (50%-75%)_x000D_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6.Mild cardiomegaly has been detected but Heart Failure is NOT suspected.</t>
  </si>
  <si>
    <t>Spine: There is narrowing of the intervertebral disc space at C2-3.  There are several thoracic hemivertebra.  There are several regions of thoracic spondylosis deformans.  There are no significant abnormalities involving the lumbar vertebral column._x000D_
_x000D_
Thorax: The pulmonary parenchyma, cardiac silhouette, and pulmonary vasculature are unremarkable.  There is no evidence of pleural effusion or lymphadenopathy._x000D_
_x000D_
Abdomen: There are no abnormalities identified.  There are no abnormalities involving the visible portions of the pelvis.</t>
  </si>
  <si>
    <t>Narrowed  intervertebral disc space C2-3._x000D_
_x000D_
Numerous thoracic hemivertebra and regions of thoracic spondylosis deformans.</t>
  </si>
  <si>
    <t xml:space="preserve">
1.A mild perihilar infiltrate and concurrent, mild dynamic airway disease have been detected._x000D_
2.Mild dynamic airway disease has been detected._x000D_
3.The cardiac silhouette size is normal._x000D_
4.There is no evidence of BRONCHITIS, PULMONARY NODULES or PLEURAL EFFUSION.</t>
  </si>
  <si>
    <t>Abdomen: There is a moderate amount of heterogeneous soft tissue opacity within the gastric lumen.  There is no evidence of a small intestinal foreign body or obstruction.  The liver and spleen are unremarkable.  There are no abnormalities involving the urinary tract.  Serosal detail is normal._x000D_
_x000D_
Thorax: There is mild generalized cardiomegaly.  The pulmonary parenchyma and pulmonary vasculature are unremarkable.  There is no evidence of pleural effusion or lymphadenopathy.</t>
  </si>
  <si>
    <t>The material within the gastric lumen may represent foreign material or normal ingesta._x000D_
_x000D_
Mild generalized cardiomegaly without evidence of decompensation.</t>
  </si>
  <si>
    <t xml:space="preserve">
1.Minimal cardiomegaly has been detected but Heart Failure is NOT suspected._x000D_
2.Are respiratory signs present? If YES._x000D_
3.MINIMAL TO MILD BRONCHOINTERSTITIAL PULMONRAY PATTERN; MILD PERIHILAR PATTERN._x000D_
4.Based on the AI airway/pulmonary findings, the probability of this patient having clinically detectable respiratory signs is LOW (25%)_x000D_
5.Are respiratory signs present? If NO._x000D_
6.There is no evidence of DYNAMIC AIRWAY COLLAPSE or BRONCHIECTASIS or PLEURAL EFFUSION.</t>
  </si>
  <si>
    <t xml:space="preserve">Patient Name : Xan Virgilio, Date of study: Jul 5, 2024
3 images are provided for review
Canine Thorax (3 Images) - 2 Lateral, 1 Vd
Previous images dated [07/05/2024 Case#2703805] are available for comparison.
Pulmonary parenchyma: A minimal diffuse bronchial pattern is present.  A minimal diffuse interstitial pulmonary pattern is present.  The lungs are minimally or mildly hypoinflated in the lateral images.  
Pulmonary vasculature: The pulmonary vasculature are not well-identified in the caudal lungs.  In a left lateral image, a presumed right cranial lobar artery is subjectively enlarged and in the ventral periphery of the lungs.  
Cardiac silhouette: The cardiac silhouette is slightly prominent and rounded at the 1-2 o'clock position, in the region of the main pulmonary artery.  Mild rounded increased soft tissue is suspected in the region of the left atrium.  
Mediastinum: The cranial mediastinum is normal.
Trachea: The trachea is normal.
Esophagus: The esophagus contains mild gas.  
Pleural space: The pleural space is normal.
Musculoskeletal: The included musculoskeletal structures are normal.
</t>
  </si>
  <si>
    <t xml:space="preserve">1. Mild main pulmonary artery enlargement is suspected, consistent with reported heartworm disease.
2. Suspicious for right cranial lobar arterial enlargement, such as from heartworm disease/vascular accident and pulmonary hypertension.
3. Possible left atrial enlargement versus artifact or superimposed normal structures.
- If present, consider evolving mitral valvular disease versus other.
4. Minimal diffuse bronchial and interstitial pulmonary patterns, 
- Differential diagnoses include pneumonitis from concurrent heartworm disease infection with/without vascular accident, with/without underlying infectious/immune-mediated lower airway disease, or inhaled allergen/irritant, or unlikely other.
5. No obvious pulmonary soft tissue nodules or intra-thoracic lymph node enlargement is identified.
</t>
  </si>
  <si>
    <t>Consider echocardiography, blood pressure, routine blood work, urinalysis and ECG for further evaluation if not recently performed.  Abdominal imaging for further evaluation of the liver and spleen given reported historic mast cell tumor diagnosis.  Empirical therapy and supportive care in the interim as needed.  Monitoring as directed or sooner if clinical signs acutely change, fail to improve or worsen.</t>
  </si>
  <si>
    <t xml:space="preserve">Patient Name : Susie Kumar, Date of study: Jul 5, 2024
3 images are provided for review
There are no previous radiographs for comparison.  The ventrodorsal image is mislabeled with a "L" on the right side of the patient given position of the caudal vena cava.
Pulmonary parenchyma: A mild diffuse bronchial pattern is present.  The lungs are minimally hypoinflated in the right lateral image.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minimal gas in the left lateral image.
Pleural space: The pleural space is normal.
Musculoskeletal: The included musculoskeletal structures are normal.
</t>
  </si>
  <si>
    <t>1. Mild diffuse bronchial pulmonary pattern such as from infectious/immune-mediated lower airway disease (mycoplasma spp., bordetella spp., parasitism, or other), inhaled allergen/irritant, fibrosis from prior disease, age-related changes, or unlikely other.
2. No obvious pulmonary soft tissue nodules or intra-thoracic lymphadenomegaly.</t>
  </si>
  <si>
    <t>Consider fecal analysis/empirical deworming, respiratory PCR panel, airway sampling, and empirical therapy for infectious/immune-mediated lower airway disease in the interim. Routine blood work to screen for occult systemic diease if not recently performed.  Monitoring as directed or sooner if clinical signs acutely change, fail to improve or worsen.</t>
  </si>
  <si>
    <t xml:space="preserve">
1.A minimal to mild bronchointerstitial pulmonary pattern has been detected._x000D_
2.The evaluation has come up positive for a pulmonary nodular pattern._x000D_
3.The cardiac silhouette size is normal._x000D_
4.There is no evidence of DYNAMIC AIRWAY COLLAPSE or BRONCHIECTASIS._x000D_
5.Pleural fissure lines or moderate to severe pleural effusion has been detected. An overlying skin fold or in an obese animal, excessive pericardial fat could artifactually mimic the result of severe pleural effusion.</t>
  </si>
  <si>
    <t>Orthogonal radiographs of the thorax, and three views of the thorax/abdomen are provided. The cardiac silhouette and pulmonary vessels are normal size and shape. The lungs are clear. There is no pleural effusion. Severe narrowed cervical trachea. Incidental laryngeal mineralization. The C3-4 and C4-5 tubercle disc spaces are narrowed. No thoracic spinal abnormalities._x000D_
_x000D_
In the abdomen there is no effusion. The gastrointestinal tract is minimally filled. Punctate mineral density overlying the mid liver is likely a cholelith or choledocholith, typically incidental. Normal-sized liver, spleen, left kidney. The right kidney is incompletely visible. No radiopaque urolithiasis. The L1-2 intervertebral disc space is narrowed. Questionable narrowed L2-3, L3-4, L4-5 disc spaces, although may be due to mild rotation. The appearance of less well delineated ventral margin of the L4 vertebral body is an incidental variant caused by diaphragm attachment.</t>
  </si>
  <si>
    <t>The appearance of C3-4, C4-5, L1-2 are all suggestive of intervertebral disc protrusion/extrusion. Such a lesion at these or another site is the most likely cause for the clinical signs. The thorax and abdomen are normal.
(amended on 07/08/2024 05:05)
There is severe cervical tracheal collapse.</t>
  </si>
  <si>
    <t>If the patient does not improve with supportive care with anti-inflammatories and strict rest, consultation with a neurologist and cross-sectional imaging of the spine such as MRI should be considered.</t>
  </si>
  <si>
    <t>Thorax: There is moderate left-sided cardiomegaly.  There is no evidence of cardiogenic pulmonary edema.  On the right lateral view there is an increase in opacity with suspected faint air bronchograms superimposed over the ventral/apex of the cardiac silhouette.  This is not identified on the ventrodorsal view.  There is a mild diffuse bronchointerstitial pattern.  There is no evidence of lymphadenopathy.</t>
  </si>
  <si>
    <t>The soft tissue opacity superimposed over the cardiac silhouette on the right lateral view is suspicious for pneumonia within the ventral portions of the caudal segment of the left cranial lung lobe._x000D_
_x000D_
Moderate left-sided cardiomegaly.  Cardiac decompensation is not suspected at this time._x000D_
_x000D_
Bronchiointerstitial pattern.  This may be age-related or bronchitis.</t>
  </si>
  <si>
    <t xml:space="preserve">
1.MILD BRONCHOINTERSTITIAL PULMONARY PATTERN; MINIMAL DYNAMIC AIRWAY DISEASE; ATELECTASIS or less likely, pneumonia._x000D_
2.MILD BRONCHOINTERSTITIAL PULMONARY PATTERN WITH ATELECTASIS or LESS LIKELY, PNEUMONIA, MILD PERIHILAR INFILTRATE._x000D_
3.Based on these AI airway/pulmonary findings, the probability of this patient having clinically detectable respiratory signs is MEDIUM (50%)_x000D_
4.Pleural fissure lines or small volume pleural effusion has been detected. In a mildly overweight animal, excessive pericardial fat can artifactually mimic the result of minimal pleural effusion._x000D_
5.Severe cardiomegaly has been detected but Heart Failure is NOT suspected._x000D_
6.Are respiratory signs present? If NO._x000D_
7.Probability these AI pulmonary findings will accompany clinically detectable respiratory signs: MILD TO MODERATE (25-50%)_x000D_
8.Are respiratory signs present? If YES._x000D_
9.Are respiratory signs present? If YES._x000D_
10.Are respiratory signs present? If NO.</t>
  </si>
  <si>
    <t>Opposite lateral and VD views of the thorax including the neck are provided. There are four images total._x000D_
_x000D_
No tracheal or laryngeal abnormalities are identified. The esophagus is not visible, which is considered normal. No pulmonary infiltrates or bronchial thickening are seen. There is increased opacity involving the cranial mediastinum, seen just cranial to the heart and left of midline. Related opacity is also seen just cranial to the cardiac silhouette in the lateral views. The opacity does not cause a silhouette effect with the heart or aortic arch, and is suspicious for fat deposition in the mediastinum. The heart is within normal size and shape limits. The liver is mildly enlarged.</t>
  </si>
  <si>
    <t>No tracheal/pharyngeal or esophageal abnormalities are identified._x000D_
No evidence of pulmonary disease is identified._x000D_
_x000D_
There is increased opacity in the cranial mediastinum. This is suspected to be the result of incidental mediastinal fat deposition. Mild/early thymic enlargement such as might occur with thymoma or thymic lymphoma is less likely but cannot be excluded. A lesion in this area would not be expected to cause the reported clinical signs in the absence of secondary megaesophagus, which does not appear to be present.</t>
  </si>
  <si>
    <t>No findings that would specifically explain the presenting complaint are identified. Symptomatic therapy is recommended as needed._x000D_
_x000D_
The opacity in the mediastinum is suspected to be a benign incidental change. Follow up radiographs are recommended in six weeks to rule out progressive growth.</t>
  </si>
  <si>
    <t xml:space="preserve">
1.A minimal to mild bronchointerstitial pulmonary pattern has been detected._x000D_
2.Mild cardiomegaly has been detected but Heart Failure is NOT suspected._x000D_
3.There is no evidence of DYNAMIC AIRWAY COLLAPSE or BRONCHIECTASIS.</t>
  </si>
  <si>
    <t>A three view study of the thorax is provided for interpretation. This study is compared to the previous dated 11-27-23._x000D_
_x000D_
Moderate to severe left sided heart enlargement is identified. Heart size has increased slightly relative to the previous radiographs. Pulmonary vessels appear congested. There is a severe alveolar pattern involving the caudal dorsal lung fields. No tracheal abnormalities are identified.</t>
  </si>
  <si>
    <t>There is moderate to severe left sided cardiomegaly, pulmonary vascular congestion, and a caudal dorsal alveolar pattern that would be consistent with pulmonary edema._x000D_
The radiographic appearance is consistent with congestive heart failure._x000D_
Chronic mitral valve regurgitation would be the most likely underlying cause.</t>
  </si>
  <si>
    <t>Supportive care and medical management for congestive heart failure is recommended._x000D_
_x000D_
Recheck radiographs are recommended in 5 to 7 days, or sooner if clinical signs are not improving with heart failure therapy.</t>
  </si>
  <si>
    <t xml:space="preserve">
1.Severe cardiomegaly has been detected but Heart Failure is NOT suspected._x000D_
2.MODERATE BRONCHOINTERSTITIAL PULMONARY PATTERN; MODERATE ALVEOLAR INFILTRATE or ATELECTASIA; PLEURAL FISSURE LINES or PLEURAL EFFUSION; MODERATE DYNAMIC AIRWAY DISEASE._x000D_
3.Based on these AI airway/pulmonary findings, the probability of this patient having clinically detectable respiratory signs is HIGH (75%)_x000D_
4.Pleural fissure lines or moderate to severe pleural effusion has been detected._x000D_
5.Are respiratory signs present? If YES._x000D_
6.Are respiratory signs present? If NO._x000D_
7.The evaluation has a strong suspicion of pulmonary nodules or mass lesion being present.</t>
  </si>
  <si>
    <t xml:space="preserve">Patient Name : Justice Crossan, Date of study: Jul 5, 2024
5 images are provided for review
There are no previous radiographs for comparison.
Pulmonary parenchyma: A minimal to mild diffuse bronchial pattern is present.  The lungs are minimally hypoinflated in the lateral images.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patient is obese.  A broad-based fat or soft tissue nodule arises from the ventral extra-thoracic soft tissues.  The remaining included musculoskeletal structures are normal.
</t>
  </si>
  <si>
    <t>1. Minimal-mild diffuse bronchial pulmonary pattern such as from fibrosis from prior disease, age-related changes, or less likely infectious/immune-mediated lower airway disease (mycoplasma spp., bordetella spp., parasitism, or other), or unlikely other.
2. Obesity 
3. Presumed ventral extra-thoracic lipoma versus other.</t>
  </si>
  <si>
    <t>Consider respiratory sedated laryngeal examination with/without tracheoscopy, respiratory PCR panel, airway sampling, and fecal analysis for further evaluation.  Empirical therapy and supportive care in the interim as needed.  Monitoring as directed or sooner if clinical signs acutely change, fail to improve or worsen.</t>
  </si>
  <si>
    <t xml:space="preserve">
1.Are respiratory signs present? If NO._x000D_
2.MILD BRONCHOINTERSTITIAL PULMONARY PATTERN._x000D_
3.Based on these AI airway/pulmonary findings, the probability of this patient having clinically detectable respiratory signs are LOW (25%)_x000D_
4.Are respiratory signs present? If YES._x000D_
5.The cardiac silhouette size is normal._x000D_
6.There is no evidence of DYNAMIC AIRWAY COLLAPSE or BRONCHIECTASIS.</t>
  </si>
  <si>
    <t xml:space="preserve">Patient Name : Eclipse Hancock, Date of study: Jul 5, 2024
4 images are provided for review
Canine Thorax (4 Images) - 3 Lateral, 1 Vd
There are no previous radiographs for comparison.
Pulmonary parenchyma:   Increased interstitial to alveolar soft tissue is suspected in the ventral periphery of the right middle lung lobe in the left lateral image.  Moderate interstitial to alveolar soft tissue is present in the ventral periphery and mid-zones of the cranial/caudal subsegments of the left cranial lung lobe, with faint air-bronchograms.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</si>
  <si>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Left cranial and right middle lung lobe interstitial to alveolar pulmonary patterns, more severe in the left cranial lung lobe
- Differential diagnoses include bronchopneumonia/aspiration pneumonia or unlikely other such as hemorrhage or atypical neoplasia.
2. Minimal to mild diffuse bronchial pattern due to fibrosis from prior disease, age-related changes, or less likely infectious/immune-mediated lower airway disease or unlikely other.</t>
  </si>
  <si>
    <t>Therapy for suspected pneumonia with broad-spectrum antibiotics and supportive care in the interim.  Routine bloodwork and abdominal imaging to screen for occult systemic disease if not recently performed.  Monitoring with thoracic radiographs, and continue therapy for 1-2 weeks past radiographic resolution of the pulmonary pattern.  Monitoring as directed or sooner if clinical signs acutely change, fail to improve or worsen.</t>
  </si>
  <si>
    <t xml:space="preserve">
1.Are respiratory signs present? If NO._x000D_
2.SEVERE ALVEOLAR INFILTRATE; MINIMAL PERIHILAR PATTERN; MORE DIFFUSE MILD BRONCHOINTERSTITIAL PULMONARY PATTERN._x000D_
3.Based on the AI airway/pulmonary findings, the probability of this patient having clinically detectable respiratory signs is HIGH (75%)_x000D_
4.Are respiratory signs present? If YES._x000D_
5.The cardiac silhouette size is normal.</t>
  </si>
  <si>
    <t xml:space="preserve">Patient Name : winnie bonilla, Date of study: Jul 5, 2024
2 images are provided for review
There are no previous radiographs for comparison.  The cranial thorax is excluded in the lateral image.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left kidney is normal.  The right kidney is partially obscured without obvious enlargement or mineral.
Retroperitoneum: Retroperitoneal detail is adequate.
Urogenital: The urinary bladder is normal in size, homogeneous soft tissue, and smoothly marginated.
Peritoneum: Peritoneal detail is adequate.
Gastrointestinal tract: The stomach contains moderate to large volume of heterogeneous soft tissue admixed with gas.
The small intestine contains mild fluid or is empty with a subjectively uniform population for size. 
The colon contains minimal soft tissue material and gas.
Musculoskeletal: The included musculoskeletal structures are normal.
</t>
  </si>
  <si>
    <t xml:space="preserve">1. Mild diffuse bronchial pulmonary pattern such as from infectious/immune-mediated lower airway disease (mycoplasma spp., bordetella spp., parasitism, or other), inhaled allergen/irritant, fibrosis from prior disease, age-related changes, or unlikely other.
2. Moderate-large volume of gastric material due to recent meal and/or gastritis/delayed gastric emptying, or pyloric outflow tract obstruction (partial/intermittent or unlikely complete).
3. Small intestinal appearance due to normal variation of underlying non-specific enteritis.
- There is no evidence of mechanical ileus.
4. Colon contents from recent bowel movement and/or underlying non-specific colitis.  </t>
  </si>
  <si>
    <t>Consider respiratory PCR panel, airway sampling, and fecal analysis/deworming for further evaluation.  Consider GI panel and routine blood work for further evaluation.  Monitoring with repeat abdominal radiographs after 8-12 hours of fasting to monitor for passage of gastric material, including a left lateral image.  Empirical therapy and supportive care in the interim as needed.  Monitoring as directed or sooner if clinical signs acutely change, fail to improve or worsen in the face of empirical therapy.  .</t>
  </si>
  <si>
    <t>Orthogonal views of the thorax are provided (error trying to download the medical record):_x000D_
_x000D_
Thorax:_x000D_
_x000D_
Cardiac silhouette shows a moderate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t>
  </si>
  <si>
    <t xml:space="preserve">
1.Are respiratory signs present? If NO._x000D_
2.MILD to MODERATE BRONCHINTERSTITIAL PATTERN with ATELECTASIS or less likely, PNEUMONIA; MILD DYNAMIC AIRWAY DISEASE._x000D_
3.MILD INTERSTITIAL TO ALVEOLAR PATTERN; MILD DYNAMIC AIRWAY DISEASE; MILD PERIHILAR INFILTRATE._x000D_
4.Based on these AI airway/pulmonary findings, the probability of this patient having clinically detectable respiratory signs is MEDIUM to HIGH (50-75%)_x000D_
5.Based on the AI airway/pulmonary findings, the probability of this patient having clinically detectable respiratory signs is MEDIUM (50%)_x000D_
6.Are respiratory signs present? If YES._x000D_
7.Are respiratory signs present? If YES._x000D_
8.Are respiratory signs present? If NO._x000D_
9.Pleural fissure lines or moderate pleural effusion has been detected. An overlying skin fold or in a moderately overweight animal, excessive pericardial fat could artifactually mimic the result of moderate pleural effusion._x000D_
10.Severe cardiomegaly has been detected but Heart Failure is NOT suspected.</t>
  </si>
  <si>
    <t>A lateral radiograph of the thorax, and three views of the abdomen are provided. Large volume of formed feces fills the distal colon. The fecal column is not angular/desiccated, but does occupy the majority of the pelvic canal. Small bowel are minimally filled. Small volume gas in the stomach. Normal rugal folds are visible. There is no radiopaque gastrointestinal foreign material. Normal-sized liver, kidney, spleen. No radiopaque urolithiasis. Moderate osteoarthritis and subluxation in both coxofemoral joints. In the thorax there is a mild mixed bronchointerstitial pattern throughout the lungs. Small area of more pronounced increased opacity overlying caudoventral heart, although there is a superimposed skin fold at this level. No soft tissue pulmonary nodules or pleural effusion. No esophageal dilation. Adequate tracheal diameter.</t>
  </si>
  <si>
    <t>1. Normal abdomen. Gastroenterocolitis is most likely. There is no evidence of gastric or small intestinal obstruction. The fecal column does not appear desiccated, however is relatively large for this patient and mild constipation may be present._x000D_
2. The appearance of the caudoventral lungs is most likely due to superimposed skin fold. Aspiration pneumonia would be suspected if the patient were coughing, febrile, or had abnormal lung auscultation. Bronchointerstitial pattern in the remaining lungs is likely normal age change and/or due to chronic airway inflammation. In the absence of a chronic cough, significance is doubtful.</t>
  </si>
  <si>
    <t xml:space="preserve">
1.Pleural fissure lines or moderate to severe pleural effusion has been detected. An overlying skin fold or in an obese animal, excessive pericardial fat could artifactually mimic the result of severe pleural effusion._x000D_
2.The cardiac silhouette size is normal._x000D_
3.There is no evidence of DYNAMIC AIRWAY COLLAPSE or BRONCHIECTASIS._x000D_
4.The evaluation has come up positive for a pulmonary nodular pattern._x000D_
5.Moderate bronchointerstitial pulmonary pattern detected.</t>
  </si>
  <si>
    <t>Ten radiographs are provided, with images of the thorax/abdomen and thoracic limbs. The cardiac silhouette and pulmonary vessels are normal size. There is no pleural fluid or gas. The diaphragm is intact. No rib fractures. Normal thymus is visible on the VD projections. Adequate tracheal diameter. Vertebral alignment is normal. No vertebral fracture or subluxation is appreciated. No narrowed intervertebral disc spaces. Normal caudal skull. Scapular contour is normal. The glenohumeral, cubital, and carpal joints are congruent. Physes are age appropriate. No metacarpal or phalangeal osseous abnormalities. The appearance of mild soft tissue thickening surrounding the right 3rd and 4th digits may be due to positioning. There is no emphysema or radiopaque foreign material. In the abdomen serosal detail is adequate for the young age of this patient. The gastrointestinal tract is mildly filled. There is a smoothly ovoid 0.8 x 0.5 cm mineral density in a loop of bowel, of doubtful clinical significance today. No organomegaly. Normal lumbar spine.</t>
  </si>
  <si>
    <t>Questionable right thoracic limb digits three and four soft tissue swelling versus positional artifact. Otherwise no thoracic limb abnormalities are identified to explain the clinical signs. Soft tissue sprain/strain or occult physeal insult should be considered. Intervertebral disc protrusion/extrusion is next on the differential list. The thorax and abdomen are normal.</t>
  </si>
  <si>
    <t>If the patient does not improve with supportive care and develops neurologic deficits, consultation with a neurologist would be recommended.</t>
  </si>
  <si>
    <t xml:space="preserve">
1.MODERATE BRONCHOINTERSTITIAL PULMONARY PATTERN; MILD PERIHILAR INFILTRATE; MILD DYNAMIC AIRWAY DISEASE; ATELECTASIS or less likely, pneumonia._x000D_
2.Based on the AI airway/pulmonary findings, the probability of this patient having clinically detectable respiratory signs is MEDIUM to HIGH (50%-75%)_x000D_
3.Are respiratory signs present? If YES._x000D_
4.Are respiratory signs present? If NO._x000D_
5.Minimal cardiomegaly has been detected but Heart Failure is NOT suspected.</t>
  </si>
  <si>
    <t>Study:_x000D_
Thoracic radiography: three images dated July 5, 2024_x000D_
_x000D_
Findings:_x000D_
The cardiac silhouette and pulmonary vasculature are normal in size. There is a mild generalized bronchial palmar a pattern. The pleural space is normal. There is no intrathoracic lymphadenopathy. The trachea is normal in diameter and course. The liver extends beyond the costal arch with smooth and rounded margins. The osseous structures are unremarkable. The patient is of overweight body condition.</t>
  </si>
  <si>
    <t>1. The mild generalized bronchial pulmonary pattern may indicate allergic, inflammatory, infectious, parasitic or irritant bronchitis. Airway sampling, heartworm testing and Baermann fecal flotation can be considered for further evaluation._x000D_
2. The generalized hepatomegaly is nonspecific. Rule out metabolic/vacuolar hepatopathy, hyperplasia, hepatitis or infiltrative neoplasia. Sonography can be considered for further evaluation.</t>
  </si>
  <si>
    <t xml:space="preserve">
1.MILD BRONCHOINTERSTITIAL PULMONARY PATTERN; MINIMAL DYNAMIC AIRWAY DISEASE._x000D_
2.MILD BRONCHOINTERSTITIAL PULMONARY PATTERN; MINIMAL PERIHILAR PATTERN._x000D_
3.Based on these AI airway/pulmonary findings, the probability of this patient having clinically detectable respiratory signs is LOW to MEDIUM (25-50%)_x000D_
4.Based on the AI airway/pulmonary findings, the probability of this patient having clinically detectable respiratory signs is LOW (25%)_x000D_
5.In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6.Are respiratory signs present? If YES._x000D_
7.In the PRESENCE of respiratory signs, low grade active pneumonitis (allergic, bacterial, parasitic (including heartworm disease), inhaled allergen or toxin) or upper airway disease causing pulmonary hypoinflation and/or recurrent microaspiration may be more likely._x000D_
8.Mild cardiomegaly has been detected but Heart Failure is NOT suspected._x000D_
9.Are respiratory signs present? If NO.</t>
  </si>
  <si>
    <t>Opposite lateral and VD views of the thorax and abdomen are provided for interpretation. This study is compared to the previous dated 9-1-22._x000D_
_x000D_
There is a moderate to severe bronchial pattern, which has progressed significantly relative to the previous radiographs. The lung pattern also has a miliary interstitial component, with many tiny ill defined nodular shadows. Pleural markings are slightly increased. The cardiovascular structures are within normal limits. The heart is at the upper end of normal range. No tracheal abnormalities are seen._x000D_
_x000D_
A small linear mineral opacity is identified in the caudal dorsal liver on midline, likely representing mineralization in the bile duct. This was also present in previous radiographs. The liver is at the upper end of normal range. At the upper end of normal range. The other organs are within normal limits. No mass lesions or loss of detail are seen in the abdomen.</t>
  </si>
  <si>
    <t>The bronchial pattern has progressed significantly relative to previous radiographs. There is also a miliary interstitial component that is more prominent in what was seen previously._x000D_
These changes are most compatible with progression of chronic bronchitis with plugging of distal airways and formation of small granulomas. Primary rule outs include parasitic infection such as lungworms or heartworm disease, immune mediated disease such as eosinophilic bronchopneumonpathy, idiopathic or allergic chronic bronchitis, or less likely infectious bronchitis or fungal pneumonia._x000D_
_x000D_
Focal mineralization in the area of the bile duct is unlikely to be clinically significant. Liver and spleen size is borderline, also not expected to be clinically significant in the absence of more specific clinical signs.</t>
  </si>
  <si>
    <t>CBC, heartworm testing, and Baermann fecal exam for lungworms is recommended._x000D_
Sampling from the lower airways via BAL/TTW or bronchoscopy should be considered to assist definitive diagnosis of the lung disease._x000D_
Symptomatic therapy for the cough is recommended.</t>
  </si>
  <si>
    <t xml:space="preserve">
1.Are respiratory signs present: If YES._x000D_
2.Are respiratory signs present? If NO._x000D_
3.Based on these AI airway/pulmonary findings, the probability of this patient having clinically detectable respiratory signs is MEDIUM to HIGH (50-75%)_x000D_
4.Based on these AI airway/pulmonary findings, the probability of this patient having clinically detectable respiratory signs is MEDIUM to HIGH (50-75%)._x000D_
5.Are respiratory signs present? If YES._x000D_
6.SEVERE BRONCHIAL PATTERN; MILD INTERSTITIAL PULMONARY PATTERN._x000D_
7.SEVERE BRONCHIAL PATTERN; MINIMAL DYNAMIC AIRWAY DISEASE._x000D_
8.A mild interstitial has been identified._x000D_
9.A mild perihilar infiltrate has been detected._x000D_
10.Moderate cardiomegaly has been detected but Heart Failure is NOT suspected._x000D_
11.Are respiratory signs present: If NO.</t>
  </si>
  <si>
    <t>Orthogonal views of the thorax are provided and compared to the previous exam on the 02/02/24:_x000D_
_x000D_
Thorax:_x000D_
_x000D_
Cardiac silhouette has a normal shape and size (unchanged from the previous exam). VHS is 10.5._x000D_
Pulmonary vessels are within normal limits of size and shape._x000D_
Pulmonary parenchyma is within normal limits. No evidence of pulmonary nodules/masses._x000D_
Pleural space, mediastinum, diaphragm and thoracic wall within normal limits.</t>
  </si>
  <si>
    <t>1) Unremarkable thorax without signs of cardiomegaly (this does not exclude a cardiac disease as described), pulmonary metastases nor signs of thoracic lymphadenopathy.</t>
  </si>
  <si>
    <t>Consider a cardiology consultation with ECG and echocardiogram if necessary.</t>
  </si>
  <si>
    <t>Three radiographs of the thorax, three views of the abdomen, and two lateral views of the thoracolumbar spine are provided. The cardiac silhouette and pulmonary vessels are normal size and shape. There are no abnormalities in the pulmonary parenchyma. No pleural effusion. Normal tracheal diameter. No esophageal abnormalities. In the abdomen the urinary bladder is distended and soft tissue opaque. Normal-sized liver, spleen, kidneys. The entire gastrointestinal tract is minimally filled and no radiopaque foreign material is appreciated. Round gas lucency in the mid dorsal right abdomen is likely normal cecum. Proximal pelvic limbs are normal. Narrowed T10-11 intervertebral disc space is a normal anatomic variant. Mild reduced size of the T12-13 intervertebral foramen on the left lateral abdominal view. No other spinal abnormalities.</t>
  </si>
  <si>
    <t>The appearance of T12-13 is suggestive of intervertebral disc disease. Such a lesion at this or another site may be responsible for discomfort. Otherwise normal abdomen and thorax.</t>
  </si>
  <si>
    <t>If the clinical signs persist despite supportive care, abdominal ultrasound would be recommended.</t>
  </si>
  <si>
    <t>Patient Name: Chico Rana, Date of study: July 5, 2024.
Canine Thorax (2 Images) - 1 VD, 1 Lateral
There are no previous radiographs for comparison.
Findings:
Cardiac silhouette: The cardiac silhouette is normal in size and shape.
Pulmonary vessels: The pulmonary arteries and veins are small and symmetric in size.
Pulmonary parenchyma: The pulmonary parenchyma is normal no abnormal pulmonary patterns, nodules, or masses.
Pleural space: The pleural space is within normal limits.
Mediastinum: There is no evidence of intrathoracic lymphadenopathy. The mediastinum is normal in width and opacity.
Trachea: The trachea is normal in diameter and course.
Esophagus: There is a small volume of fluid in the caudal thoracic esophagus on the lateral view (normal variation). The region of the esophagus is otherwise unremarkable. There is no evidence of esophageal dilation.
Cranial abdomen: The pylorus is fluid-filled and contains a cluster of small mineral opaque foci. There is adequate serosal detail in the cranial abdomen.
Musculoskeletal: There is mild osteoarthritis of the shoulders. The included skeletal and superficial soft tissue structures of the study are otherwise within normal limits.</t>
  </si>
  <si>
    <t xml:space="preserve">1. Normal thorax. There is no evidence of esophageal disease or aspiration pneumonia.
2. Mild pyloric mineral material such as from dietary discretion or delayed gastric emptying. Gastroenteritis and pancreatitis are not ruled out. </t>
  </si>
  <si>
    <t xml:space="preserve">An abdominal ultrasound is recommended. A gastrointestinal panel and cPL could be considered. </t>
  </si>
  <si>
    <t xml:space="preserve">
1.MODERATE INTERSTITIAL TO ALVEOLAR PATTERN; MILD PERIHILAR INFILTRATE._x000D_
2.In the PRESENCE of respiratory signs, moderate pneumonitis (aspiration or bacterial  (including Bordatella, Mycoplasma and Wolbachia), allergic, viral, fungal or parasitic (including heartworm pathosis)) would be most likely._x000D_
3.The cardiac silhouette size is normal._x000D_
4.There is no evidence of BRONCHITIS, DYNAMIC AIRWAY COLLAPSE or BRONCHIECTASIS or PLEURAL EFFUSION._x000D_
5.In the ABSENCE of respiratory signs, atelectasis secondary to heavy sedation or anesthesia or a false positive due to a combination of age-related changes, obesity, pulmonary hypoinflation/partial atelectasis and/or overlying soft tissues such as forelimb musculature overlying the cranial thorax would be most likely.</t>
  </si>
  <si>
    <t>Patient Name : BRUCE Yerger, Date of study: Jul 5, 2024_x000D_
4 images are provided for review_x000D_
Compared to previous dated March 4, 2024 and prior. No other additional images are provided at the time of this evaluation._x000D_
_x000D_
Pulmonary parenchyma: A mild to moderate diffuse interstitial pulmonary pattern is present. This is mildly more severe in the right lungs and a rightward mediastinal shift is present in the ventrodorsal image. A mild to moderate diffuse bronchial pattern is present. This pattern is progressive from prior dated March 4, 2024._x000D_
Pulmonary vasculature: The pulmonary vasculature is subjectively normal in size and tapers in the periphery of the lungs._x000D_
Cardiac silhouette: Mild left ventricular and atrial enlargement identified in prior examinations is not definitively identified in this examination._x000D_
Mediastinum: The cranial mediastinum is normal._x000D_
Trachea: The trachea is normal._x000D_
Esophagus: The esophagus is not well-identified._x000D_
Pleural space: The pleural space is normal._x000D_
_x000D_
Musculoskeletal: The included musculoskeletal structures are normal._x000D_
_x000D_
_x000D_
In prior images dated June 29, 2024 (case #2703437), tHe cardiac silhouette is mildly enlarged and tall, with dorsal tracheal displacement.  The caudodorsal margin of the cardiac silhouette is flattened, and rounded increased soft tissue is suspected in the region of the left atrium.  These findings are not well-identified in the current examination._x000D_
_x000D_
The pulmonary pattern in prior images is moderate diffuse interstitial and moderate bronchi, more severe in the cranioventral portion of the lungs.  The current pulmonary pattern is improved in the left cranial lung lobe in the right lateral images, and similar or slightly improved in the right lungs in the lateral images._x000D_
_x000D_
Slight pleural fissure lines in the ventrodorsal image of the prior examination are not as well-identified in this examination, possibly due to patient obliquity.</t>
  </si>
  <si>
    <t>1. Improved but persistent moderate diffuse interstitial and bronchial pulmonary patterns._x000D_
- Most improvement over the right cranial lung lobe._x000D_
- Differential diagnoses include persistent left-sided congestive heart failure/pulmonary edema (possibly complicated by recent diuretic therapy/redistribution of edema) with/without occult pulmonary hypertension/vascular accident, or less likely non-cardiogenic pulmonary edema such as from MODS/MOFS or hematogeneous spread of pneumonia, versus atypical neoplastic disease such as from occult primary carcinoma, or least likely other._x000D_
- Concurrent infectious/immune-mediated lower airway disease, fibrosis from prior disease, and age-related changes are also considered.  _x000D_
2. Improved appearance of cardiomegaly compared to prior images._x000D_
-Consider myxomatous valvular disease, chordae tendinae rupture, versus other._x000D_
- Especially given prior imaging and reported murmur, consider underlying myxomatous mitral valvular disease.</t>
  </si>
  <si>
    <t>Empirical therapy and supportive care as needed in the interim for persistent left-sided congestive heart failure and/or underlying pulmonary disease. Consider further diuretic therapy and monitoring with 4-view thoracic radiographs for improvement or worsening of pulmonary pattern. Given reported murmur is novel for patient, consider ruptured cordae tendinae as etiology for signs of left-sided heart disease/failure. Echocardiography, ecg and blood pressure once stable. Consider respiratory PCR panel, airway sampling, and fecal analysis for further evaluation of lower airway disease. Abdominal imaging to screen for occult abdominal disease, especially if signs fail to improve or worsen with empirical therapy. Monitoring as directed or sooner if clinical signs acutely change, fail to improve or worsen.</t>
  </si>
  <si>
    <t xml:space="preserve">
1.The evaluation has a strong suspicion of soft tissue pulmonary nodules or mass lesion being present._x000D_
2.Are respiratory signs present? If NO._x000D_
3.PULMONARY NODULES or NODULAR PATTERN; MODERATE TO SEVERE INTERSTITIAL TO ALVEOLAR PATTERN; PLEURAL EFFUSION; MILD BRONCHITIS; MILD PERIHILAR INFILTRATE._x000D_
4.Based on the AI airway/pulmonary findings, the probability of this patient having clinically detectable respiratory signs is VERY HIGH (&gt;75%)_x000D_
5.Are respiratory signs present? If YES._x000D_
6.Moderate cardiomegaly has been detected but Heart Failure is NOT suspected.</t>
  </si>
  <si>
    <t>7 images of the thorax and abdomen are provided for review and compared with images dated 6/25/2024.  The cardiovascular structures are normal.  There is a moderate bronchial pattern in all lung lobes.  Previous alveolar infiltrates have resolved.  The mediastinal and pleural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</si>
  <si>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Radiographically normal abdomen.  Moderate bronchial pulmonary pattern=ZZ90= consider resolving bronchopneumonia most likely in this patient.</t>
  </si>
  <si>
    <t xml:space="preserve">
1.A minimal perihilar infiltrate has been detected._x000D_
2.MODERATE BRONCHOINTERSTITIAL PULMONARY PATTERN; MODERATE DYNAMIC AIRWAY DISEASE; MODERATE ALVEOLAR INFILTRATE or ATELECTASIS._x000D_
3.Based on these AI airway/pulmonary findings, the probability of this patient having clinically detectable respiratory signs is HIGH (75%)_x000D_
4.Are respiratory signs present? If YES._x000D_
5.Are respiratory signs present? If NO._x000D_
6.The cardiac silhouette size is normal.</t>
  </si>
  <si>
    <t>8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mildly beyond the costal arch.  The stomach contains a moderate amount of ingesta.  The small intestines are normal in size.  Gas and feces are present in the colon.  The urinary bladder is small.  The remaining abdominal organs are normal.  There is spondylosis deformans of the thoracolumbar spine.</t>
  </si>
  <si>
    <t>Mild hepatomegaly=ZZ90= this is a nonspecific finding that may be seen with congestion, vacuolar hepatopathy, inflammation, neoplasia, etc. Vacuolar hepatopathy secondary to prednisone is likely in this patient.  Abdominal ultrasound may be helpful in further evaluation if biochemically indicated.  Radiographically normal thorax for patient of this age.  Degenerative changes of the spine.</t>
  </si>
  <si>
    <t xml:space="preserve">Patient Name : Bub Soukup, Date of study: Jul 5, 2024
15 images are provided for review
Additional images dated the same day are also available (2703561).
Ungloved human digits primary beam.
Pulmonary parenchyma: A minimal to mild diffuse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slightly decreased diffusely, without obvious fluid striations. 
Gastrointestinal tract: The stomach contains a mild to moderate volume of heterogeneous soft tissue material and gas.
The small intestine contains mild gas and fluid or is empty with a subjectively uniform population for size. 
The colon contains mild to moderate gas or is empty.  The colon is subjectively normal in size.  
Bones/Joints:  Orientation of the left thoracic limb 2nd digit at the proximal interphalangeal joint due to positioning versus subluxation is only identified in the dorsopalmar image.  No obvious fractures of the included long bones are identified.  Numerous open physes and small cuboidal bones are present, consistent with patient age.  The included portion of the head is subjectively normal, with some ill-defined lucent sutures superimposed over the calvarial vault, but no obvious fractures.  
Soft tissues:  No obvious soft tissue enlargement is identified.  
</t>
  </si>
  <si>
    <t>1. Minimal to mild diffuse interstitial pulmonary pattern such as from artifact, hypoinflation, or unlikely minimal contusion or unlikely other.
2. Mild decreased peritoneal detail due to patients young age/variation of normal and/or minimal peritoneal fluid such as from hemorrhage/trauma versus other.
3. No obvious head fractures.
4. Presumed positioning artifact of left thoracic limb 4th digit or unlikely subluxation injury/other.
5. No evidence pelvic limb fractures.
6. Moderate heterogeneous gastric material due to recent meal and/or gastritis/delayed gastric emptying, or unlikely pyloric outflow tract obstruction, or other.</t>
  </si>
  <si>
    <t>If patient is experiencing signs of myelopathy/spinal injury, consult with neurologist and consider MRI/computed tomography.  If patient id demonstrating signs of lameness, radiographs collimated over region of interest with orthogonal views, and comparison images of the contralateral limb region for further evaluation, especially for a subtle injury in a patient of this age. Empirical therapy and supportive care in the interim as needed. Repeat abdominal radiographs after 8-12 hours of fasting/supportive care to monitor for passage of gastric material.    Monitoring as directed, or sooner if clinical signs acutely change, fail to improve or worsen.</t>
  </si>
  <si>
    <t xml:space="preserve">
1.SEVERE ALVEOLAR PATTERN; MILD, DIFFUSE BRONCHOINTERSTITIAL PULMONARY PATTERN; MILD DYNAMIC AIRWAY DISEASE._x000D_
2.Based on these AI airway/pulmonary findings, the probability of this patient having clinically detectable respiratory signs is VERY HIGH (&gt;75%)_x000D_
3.Are respiratory signs present? If YES._x000D_
4.Are respiratory signs present? If NO._x000D_
5.The cardiac silhouette size is normal._x000D_
6.There is no evidence of PULMONARY NODULES.</t>
  </si>
  <si>
    <t xml:space="preserve">Patient Name : Baby Girl, Date of study: Jul 5, 2024
3 images are provided for review
There are no previous radiographs for comparison.
Thorax:
Airway/pulmonary parenchyma: On the left lateral projection, a round soft tissue nodular opacity overlies the 3rd intercostal space. This nodular opacity is concerning for a pulmonary nodule as no nodule is noted along the thoracic wall on the VD projection. An increase in interstitial opacity overlies the cranial half of the thorax on all projections which is likely secondary to a component of pleural fluid. On the VD projection, a mixed interstitial and alveolar infiltrate affects the right cranial lung lobe and the left cranial lung lobe bronchus appears both caudally malpositioned and narrowed. The intrathoracic trachea is dorsally displaced on the lateral projections and is focally displaced to the right on the VD projection.  There is variability to the lobar bronchial diameter and a mild bronchial pattern along with pulmonary hypoinflation secondary to abdominal distention. 
Cardiovascular: An increase in soft tissue opacity is noted in the heart base region on the lateral projections resulting in dorsal displacement to the trachea cranial to the carina. Rounding to the right heart is present but the CVC size is decreased. The pulmonary vessel size to the lung periphery is also decreased. Pericardial fat is present which is increasing the cardiac silhouette size. 
Mediastinum: Cranial mediastinal widening is present likely secondary to a combination of fat deposition and fluid. 
Pleural space: Rounding to the lung lobes is present on the lateral projections indicative of pleural fluid. 
Cranial abdomen: The liver is enlarged with a rounded and lobuar margin.  
Msk: Seven sternabrae (instead of 8) are present indicative of a congential abnormality. This is contributing to the cranial positioning of the liver.  </t>
  </si>
  <si>
    <t xml:space="preserve">1) Suspected heart base mass. Ddx: chemodectoma vs. lymphoma or less suspected, hemangiosarcoma causing left cranial lung lobe displacement. 
2) Potential soft tissue pulmonary nodule. Pleural fluid which may be secondary to neoplasia and/or right heart failure. 
3) Hepatomegaly with a rounded margin. Rule out neoplasia given the nodular appearance. </t>
  </si>
  <si>
    <t xml:space="preserve">Thoracic/cardiac and abdominal ultrasounds vs. thoracic and abdominal CT. FNAs or biopsies as dictated by the additional diagnostic findings. Thoracentesis if a fluid pocket can be identified and safely sampled. </t>
  </si>
  <si>
    <t xml:space="preserve">
1.Mild cardiomegaly has been detected but Heart Failure is NOT suspected._x000D_
2.Mild dynamic airway disease has been detected._x000D_
3.There is no evidence of PULMONARY NODULES._x000D_
4.A moderate interstitial to alveolar infiltrate/lobar consolidation, bronchial pattern and concurrent mild dynamic airway disease have been detected.</t>
  </si>
  <si>
    <t>Patient Name: Annie Maultsby, Date of study: Jul 3, 2024
3 images are provided for review.
There are no previous radiographs of the thorax available for comparison.
Thorax:
Airway/pulmonary parenchyma: On all three projections, a round soft tissue nodular opacity overlies the caudal thorax. This nodule is best visualized on the VD projection overlying the left 11th intercostal space and stomach. Another potential nodular opacity overlies the ventral aspect of the heart on the left lateral projection. The remainder of the opacities that overlie the thorax on the VD projection can be attributed to nipple shadows. A mild bronchial pattern is present diffusely.
Cardiovascular: Normal
Mediastinum: Mild to moderate fat deposition is present in the cranial mediastinum on the VD projection. The thymic shadow is also visible which is an atypical finding in an older dog. Fluid is present in the caudal thoracic esophagus.
Pleural space: Normal
Cranial abdomen: The liver is mildly enlarged but retains a smooth margin. 
Msk: Cranial lumbar chronic IVDD is present.
(amended on 07/05/2024 09:48)
Mediastinum: There is a slight increase in soft tissue opacity in the heart base region on the right lateral projection and the pulmonary artery is more prominent than normal on the VD projection.</t>
  </si>
  <si>
    <t>1) Potential pulmonary nodules. As these nodules cannot be attributed to nipple shadows, true pulmonary nodules are suspected but not definitive. 
2) Visible thymic shadow which is an atypical finding for an older dog. Monitor as a thymic mass cannot be ruled out. 
3) Mild hepatomegaly with a smooth margin. Fat deposition suspected.
4) Cranial lumbar chronic IVDD.
(amended on 07/05/2024 09:48)
2a) Along with the visible thymic silhouette, rule out lymph node enlargement in the heart base region or other cause for the increase in soft tissue opacity.</t>
  </si>
  <si>
    <t>Thoracic CT to further evaluate for true pulmonary nodules vs. repeat thoracic radiographs in 1-2 months to reassess.
(amended on 07/05/2024 09:48)
Cardiac/thoracic ultrasound could also be considered to assess the heart base and cranial mediastinum.</t>
  </si>
  <si>
    <t>Three orthogonal thoracic radiographs dated 4th July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100 % of the dorsoventral diameter of the trachea. The intrathoracic trachea is normal. The tracheal bifurcation is widened. Throughout the lung parenchyma there is a mild to moderate interstitial opacification._x000D_
_x000D_
Cardiovascular findings: There is a moderate sized smoothly marginated soft tissue opacity contiguous with the caudal dorsal border of the cardiac silhouette. A soft tissue opacity is superimposed on the caudal cardiac silhouette in the dorsoventral image.  The overall cardiac silhouette is still mildly enlarged. There is mild increased cardiac sternal contact. The pulmonary vessels as well as the mainstem vasculature are normal._x000D_
_x000D_
Mediastinum and pleural space: There is increased ventral pleural, cranial mediastinal and pericardial fat._x000D_
_x000D_
Musculoskeletal findings: The patient is morbidly obese._x000D_
_x000D_
Included abdomen: There is hepatomegaly with rounded borders.</t>
  </si>
  <si>
    <t>1. The dorsal attenuation of the trachea is consistent with severe tracheomalacia causing near complete respiratory obstruction. _x000D_
2. Left atrial dilation with mild left-sided cardiomegaly: This is most likely due to mixoid degeneration of the mitral valve. The evidence for cardiac insufficiency is equivocal._x000D_
3. The diffuse interstitial opacification is at least partially due to body habitus. Pulmonary oedema, either due to upper respiratory obstruction (tracheomalacia) or early cardiac insufficiency is also likely present._x000D_
4. The hepatomegaly is most likely due to vacuolar hepatopathy, or underlying endocrine disease.</t>
  </si>
  <si>
    <t>Intensive medical management for tracheomalacia and a surgical consultation for tracheomalacia is advised._x000D_
Obesity predisposes for airway collapse, and reduction of thoracic volume (pickwickian syndrome), reducing pulmonary clearance, therefore weight management is necessary._x000D_
Radiography is insensitive for early cardiac insufficiency, therefore ECG, blood pressure measurements, and echocardiography are advised for further evaluation, or baseline measurements.</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</si>
  <si>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3.Are respiratory signs present? If YES._x000D_
4.AI linked pneumonia in dogs article: https://platform.v2.vetology.net/doc/pneumonia-in-dogs-and-cats_x000D_
5.Pleural fissure lines or small volume pleural effusion has been detected. In a mildly overweight animal, excessive pericardial fat can artifactually mimic the result of minimal pleural effusion._x000D_
6.Mild cardiomegaly has been detected but Heart Failure is NOT suspected._x000D_
7.Are respiratory signs present? If NO.</t>
  </si>
  <si>
    <t>Orthogonal views of the thorax are provided:_x000D_
_x000D_
Thorax:_x000D_
_x000D_
There is severe cervical tracheal collapse more marked at the thoracic inlet._x000D_
Cardiac silhouette shows a moderate to severe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t>
  </si>
  <si>
    <t>1) Findings consistent with cervical tracheal collapse._x000D_
2) Left atrial enlargement secondary to chronic mitral endocardiosis without signs of CHF. Rule out concomitant tricuspid endocardiosis with pulmonary hypertension.</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</si>
  <si>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3.MODERATE to SEVERE BRONCHOINTERSTITIAL PULMONARY PATTERN; DYNAMIC AIRWAY COLLAPSE and/or BRONCHIECTASIS; ALVEOLAR INFILTRATE or ATELECTASIS._x000D_
4.Based on these AI airway/pulmonary findings, the probability of this patient having clinically detectable repsiratory signs is VERY HIGH (&gt;75%)_x000D_
5.Are respiratory signs present? If YES._x000D_
6.AI link to canine airway collapse treatment article: https://platform.v2.vetology.net/doc/canine-tracheal-collapse-treatment</t>
  </si>
  <si>
    <t xml:space="preserve">Patient Name : Elsa Garcia, Date of study: Jul 3, 2024
8 images are provided for review
Canine Abdomen (4 Images) - 3 Lateral, 1 Vd
Canine Thorax (4 Images) - 3 Lateral, 1 Vd
There are no previous radiographs for comparison.
Bones/Joints:
Spondylosis deformans is at C3-4, C5-6, T4-5, T5-6T12-13, T13-L1, L1-2, L4-5, and L5-6.  The C3-4, C5-6, T11-12, T12-13,T13-L1, L1-2, L3-4, L4-5, and L5-6 intervertebral disc spaces are narrowed.  This is most severe at L1-2.  The L1-2 endplates are sclerotic and well-defined.  There is no evidence of mineral over the intervertebral foramina.  
Mild right and moderate left coxofemoral joint osteoarthrosis is present.  
There is no evidence of medullary sclerosis, osteolysis, endosteal scalloping, or periosteal proliferation.
Soft tissues:  The left gluteal and thigh and crural soft tissues are small compared to the right.  The inguinal soft tissues are enlarged and rounded in the lateral image, consistent with reported history.  The remaining included soft tissues are normal.
</t>
  </si>
  <si>
    <t>1. Multifocal cervical and thoracolumbar intervertebral disc disease as above, subjectively most severe at L1-2.
2. Mild-moderate bilateral coxofemoral joint osteoarthrosis, more severe on the left.
3. Left thigh and crural soft tissue atrophy such as from disuse or neurogenic atrophy, or a combination of these.</t>
  </si>
  <si>
    <t>Consider computed tomography for further evaluation of the reported inguinal mass as well as incisional/excisional biopsy for a definitive diagnosis.  Oncologist consultation depending on results.  Consider neurologist consultation and MRI for further evaluation of the reported clinical signs of pain. Routine blood work and thoracic imaging to screen for occult systemic disease.  Empirical therapy and supportive care in the interim as needed.  Monitoring as directed, or sooner if clinical signs acutely change, fail to improve or worsen.</t>
  </si>
  <si>
    <t>Study:_x000D_
Thoracic radiography: three images dated July 3, 2024_x000D_
_x000D_
Findings:_x000D_
The cardiac silhouette is normal in size and shape. The pulmonic vasculature is normal in size. There is a mild diffuse bronchointerstitial pulmonary pattern. There is incidental platelike atelectasis in the craniodorsal lung field on the lateral projections. The pleural space is normal. There is no intrathoracic lymphadenopathy. The trachea is normal in diameter. The stomach contains unstructured heterogeneous soft tissue material presumed to be ingesta. There is narrowing of the C2-C3 through C3-C4, T 11-T 12 through T 13-L1, L2-L3 and L4-L5 intervertebral disc spaces. There is variable mild to severe multifocal spondylosis deformans.</t>
  </si>
  <si>
    <t>1. The diffuse bronchointerstitial pulmonary pattern is a nonspecific finding. This could be a benign age-related change or may indicate allergic, inflammatory, infectious, inhaled irritant or parasitic bronchitis. Airway sampling plus/minus heartworm testing and Baermann fecal flotation can be considered to further evaluate for lower airway disease._x000D_
2. Normal diameter of the trachea does not exclude possibly of dynamic airway disease/tracheal collapse as a possible cause of the respiratory signs._x000D_
3. Multifocal intervertebral disc disease.</t>
  </si>
  <si>
    <t xml:space="preserve">
1.A minimal interstitial pattern has been detected._x000D_
2.The cardiac silhouette size is normal._x000D_
3.There is no evidence of ALVEOLAR PATTERN, PERIHILAR INFILTRATE or PULMONARY NODULES._x000D_
4.Minimal dynamic airway disease has been detected.</t>
  </si>
  <si>
    <t>Study:_x000D_
Thoracic and abdominal radiography: six images dated July 3, 2024_x000D_
_x000D_
Compared to prior study dated August 24, 2022_x000D_
_x000D_
Findings:_x000D_
The cardiac silhouette and pulmonary vasculature are normal in size. There is a similar mild  generalized bronchial pulmonary pattern. The pleural space is normal. There is no intrathoracic lymphadenopathy. The trachea is normal in diameter and course. The stomach contains a small volume of gas. Some small intestinal segments contain granular soft tissue material presumed to be ingesta. The small intestines are normal in size and course. The colon contains gas and formed fecal material. The liver has increased in size from the prior exam is now moderately enlarged. It is difficult to the comment on the spleen as none of the abdominal projections include the entirety of the abdomen. The urinary bladder is normal in size and opacity. The 13th ribs are hypoplastic. The 07 vertebra is transitional. There is severe lumbosacral spondylosis deformans. There appears to be severe bilateral coxofemoral degenerative change. The patient is of similar obese body condition.</t>
  </si>
  <si>
    <t>1. The static mild generalized bronchial pulmonary pattern may indicate allergic, inflammatory, infectious, inhaled irritant or, less likely, parasitic. Airway sampling plus/minus heartworm testing and Baermann fecal flotation can be considered for further evaluation. Patient body condition plus/minus possible laryngeal paralysis could also be contributing to the patient=ZZ91=s respiratory signs._x000D_
2. The progressive hepatomegaly is nonspecific. Rule out metabolic/vacuolar hepatopathy, hyperplasia, hepatitis or infiltrative neoplasia. Sonography can be considered for further evaluation._x000D_
3. Severe bilateral coxofemoral degenerative joint disease is suspected. A VD view of the pelvis can be considered for further evaluation.</t>
  </si>
  <si>
    <t>Thorax: There is moderate left-sided and mild right-sided cardiomegaly.  There is no evidence of cardiac pulmonary edema.  On the right lateral view there appears to be collapse of the mainstem bronchi.  The pulmonary parenchyma and pulmonary vasculature are unremarkable.  There is no evidence of pleural effusion or lymphadenopathy._x000D_
_x000D_
Abdomen: There is mild diffuse hepatomegaly.  The remainder of the abdominal viscera is unremarkable.  Serosal detail is normal.</t>
  </si>
  <si>
    <t>Moderate left-sided and mild right-sided cardiomegaly without evidence of decompensation._x000D_
_x000D_
Suspect dynamic collapsing mainstem bronchi._x000D_
_x000D_
Diffuse hepatomegaly.  Differential considerations include a hepatopathy, hepatitis, or possible congestion.</t>
  </si>
  <si>
    <t xml:space="preserve">
1.Are respiratory signs present? If NO._x000D_
2.Pleural fissure lines or small volume pleural effusion has been detected. In a mildly overweight animal, excessive pericardial fat can artifactually mimic the result of minimal pleural effusion._x000D_
3.Severe cardiomegaly has been detected but Heart Failure is NOT suspected._x000D_
4.SEVERE DYNAMIC AIRWAY DISEASE; MODERATE BRONCHOINTERSTITIAL PULMONARY PATTERN; MODERATE ALVEOLAR INFILTRATE or ATELECTASIS._x000D_
5.Based on these AI airway/pulmonary findings, the probability of this patient having clinically detectable respiratory signs is HIGH (75%)_x000D_
6.Are respiratory signs present? If YES.</t>
  </si>
  <si>
    <t>Study:_x000D_
Thoracic radiography: four images dated July 3, 2024_x000D_
_x000D_
Findings:_x000D_
The cardiac silhouette is normal in size and shape. The pulmonary vasculature is normal in size. There is a mild generalized bronchointerstitial pulmonary pattern. A more pronounced, interstitial to alveolar pattern is present in the right middle lung lobe with ipsilateral shifting of the cardiac silhouette on the VD view. The pleural space is normal. There is no intrathoracic lymphadenopathy. The trachea is normal in diameter. There is granular mineral material in the stomach and interspersed within the fecal material the colon. The T 13 vertebra is transitional.</t>
  </si>
  <si>
    <t>1. The interstitial to alveolar pattern in the right middle lung lobe may indicate persistent pneumonia or atelectasis (given the ipsilateral shifting of the cardiac silhouette). Consider continued antibiotic therapy with repeat radiography in another 7 to 10 days to monitor for response to treatment._x000D_
2. The diffuse bronchointerstitial pattern is a nonspecific finding. This could be a benign age-related change or may indicate allergic, inflammatory, infectious, inhaled irritant or parasitic bronchitis. Airway sampling plus/minus heartworm testing and Baermann fecal flotation can can be considered for further evaluation._x000D_
3. The granular mineral in the stomach and colon may indicate dietary indiscretion or may be an incidental finding depending on the contents of the patient=ZZ91=s normal diet and treats.</t>
  </si>
  <si>
    <t xml:space="preserve">
1.Moderate cardiomegaly has been detected but Heart Failure is NOT suspected._x000D_
2.A moderate to severe interstitial to alveolar infiltrate with a mild perihilar infiltrate has been identified._x000D_
3.A mild perihilar infiltrate has been identified.</t>
  </si>
  <si>
    <t>A three view study of the thorax and orthogonal abdomen views are provided for interpretation._x000D_
_x000D_
There is marked caudal displacement of the gastric axis and cranial abdominal organomegaly. The appearance is consistent with marked liver enlargement. There is a moderate reduction in serosal detail consistent with free fluid. Spleen margins are indistinct but suspected to be irregular._x000D_
_x000D_
There is moderate heart enlargement, with fairly normal shape of the cardiac silhouette. VHS =12.3. The pulmonary vessels are normal. There are multiple generally small but variably sized soft tissue nodules throughout the lung fields. Thin pleural fissure lines are faintly visible. Mild sternal lymph node enlargement is suspected.</t>
  </si>
  <si>
    <t>There is cranial abdominal organomegaly primarily involving the liver. Irregular spleen contour is also suspected. There is reduced abdominal detail consistent with probable hemorrhage secondary to neoplasia involving the liver and/or spleen._x000D_
The pulmonary changes are consistent with pulmonary metastasis of malignant neoplasia._x000D_
Mild sternal lymph node enlargement is suspected, which is often reactive but could also be associated with metastasis._x000D_
_x000D_
There is cardiomegaly, with relatively normal heart shape. The appearance is not suggestive of pericardial effusion, but this is still a consideration given the other findings that would be compatible with hemangiosarcoma. Dilated Cardiomyopathy or chronic valve disease should also be ruled out.</t>
  </si>
  <si>
    <t>Cranial abdominal neoplasia with secondary abdominal hemorrhage and pulmonary metastasis is the most likely diagnosis. Prognosis is poor._x000D_
Supportive care for the abdominal hemorrhage is recommended.</t>
  </si>
  <si>
    <t xml:space="preserve">
1.PULMONARY NODULAR PATTERN; MINIMAL BRONCHOINTERSTITIAL PULMONARY PATTERN._x000D_
2.The evaluation has come up positive for a pulmonary nodular pattern._x000D_
3.Based on these AI airway/pulmonary findings, the probability of this patient having clinically detectable respiratory signs is MEDIUM (50%)_x000D_
4.Are respiratory signs present. If NO._x000D_
5.Are respiratory signs present. If YES._x000D_
6.Are respiratory signs present? If YES._x000D_
7.Are respiratory signs present? If NO._x000D_
8.MINIMAL TO MILD BRONCHOINTERSTITIAL PULMONRAY PATTERN; MILD PERIHILAR PATTERN._x000D_
9.Based on the AI airway/pulmonary findings, the probability of this patient having clinically detectable respiratory signs is LOW (25%)_x000D_
10.Mild cardiomegaly has been detected but Heart Failure is NOT suspected._x000D_
11.There is no evidence of DYNAMIC AIRWAY COLLAPSE or BRONCHIECTASIS.</t>
  </si>
  <si>
    <t>Study:_x000D_
Thoracic radiography: five images dated July 3, 2024_x000D_
_x000D_
Findings:_x000D_
The cardiac silhouette and pulmonary vasculature are normal in size. The pulmonary parenchyma is unremarkable. The pleural space is normal. There is no intrathoracic lymphadenopathy. The trachea is normal in diameter and course. The included abdomen is unremarkable. There is narrowing of the T4-T5 through T9-T 10 and L1-L2 intervertebral disc spaces. There is mild to moderate multifocal thoracolumbar spondylosis deformans. There is severe bilateral glenohumeral periarticular new bone formation.</t>
  </si>
  <si>
    <t>1. Normal thorax. A cause of coughing is not evident. Consider laryngeal paralysis. Lack of a definitive bronchial pulmonary pattern does not exclude the possibility of allergic/inflammatory, infectious, irritant or parasitic bronchitis. Sedated laryngeal exam, airway sampling plus/minus heartworm testing and and Baermann fecal flotation can be considered to further evaluate the reported coughing._x000D_
2. Multifocal intervertebral disease._x000D_
3. Severe bilateral shoulder osteoarthrosis.</t>
  </si>
  <si>
    <t>Nine orthogonal survey radiographs of the thorax and abdomen dated 3rd July 2024 are available for review. There are no previous radiographs available for comparison. _x000D_
_x000D_
Thorax: _x000D_
Airway findings: The cervical and thoracic trachea have a normal size, outline and position. The carina, tracheal bifurcation and mainstem bronchi are normal. Throughout the lung parenchyma there is a mild bronchial pattern. There is mild mineralisation of the mainstem bronchi._x000D_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mild increased ventral pleural fat._x000D_
_x000D_
Abdomen: There is a moderate amount of gas in the stomach with a normal axis. There is some soft tissue opaque material in the region of the pylorus. The small intestines are variably filled with fluid, soft tissue opaque material and gas and are within normal limits for shape and size. The descending colon contains gradually more formed faeces. The urinary bladder is normal. The spleen is normal. The hepatic silhouette is minimally enlarged with smooth borders. The kidneys are partially obscured by gastrointestinal contents, but the visible aspect are normal._x000D_
_x000D_
Musculoskeletal findings: There is extensive near bridging or bridging spondylosis deformans extending from T11 to L7. The vertebral and plates are smooth, and the intervertebral disc spaces are normal. No mineralised material is seen within or dorsal to the intervertebral disc spaces. Some lateralised spondylosis is visible, extending dorsal to the vertebral bodies.</t>
  </si>
  <si>
    <t>1. Extensive spondylosis deformans. There is no evidence for intervertebral disc disease or discospondylitis._x000D_
2.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origins._x000D_
3. The bronchial pattern is well within limits for normal ageing in absence of any respiratory signs.</t>
  </si>
  <si>
    <t>Correlate with clinical signs. If clear back stiffness or pain, or pelvic limb lameness, consider multimodal analgesia after a normal blood work. Consider pelvic extended vd radiographs.</t>
  </si>
  <si>
    <t xml:space="preserve">
1.MILD BRONCHOINTERSTITIAL PULMONARY PATTERN; MILD DYNAMIC AIRWAY DISEASE; ATELECTASIS or less likely, pneumonia._x000D_
2.Based on these AI airway/pulmonary findings, the probability of this patient having clinically detectable respiratory signs is MEDIUM (50%)_x000D_
3.Are respiratory signs present? If YES._x000D_
4.Are respiratory signs present? If NO._x000D_
5.The evaluation has come up positive for a pulmonary nodular pattern._x000D_
6.Mild cardiomegaly has been detected but Heart Failure is NOT suspected.</t>
  </si>
  <si>
    <t xml:space="preserve">Patient Name : Alfie Mucha, Date of study: Jul 3, 2024
3 images are provided for review
Canine Thorax (3 Images) - 2 Lateral, 1 Vd
Prior images dated September 20, 2022 and prior are available.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mild gas.
Pleural space: The pleural space is normal.
Musculoskeletal: The included musculoskeletal structures are normal.
</t>
  </si>
  <si>
    <t>1. Minimal diffuse bronchial pulmonary pattern such as from fibrosis from prior disease, age-related changes, or less likely infectious/immune-mediated lower airway disease or other.
2. There is no obvious cardiomegaly on this examination.
3. No pulmonary soft tissue nodules or intra-thoracic lymphadenomegaly.</t>
  </si>
  <si>
    <t>This examination does not rule out occult dynamic airway disease.  Consider computed tomography of the head given reported clinical signs.  If a murmur is identified, consider echocardiography for further evaluation of evolving acquired disease, such as myxomatous mitral valvular disease. Empirical therapy and supportive care in the interim as needed. Monitoring as directed or sooner if clinical signs acutely change, fail to improve or worsen.</t>
  </si>
  <si>
    <t>Three radiographs of the thorax/abdomen are provided. The cardiac silhouette and pulmonary vessels are normal size and shape. Small area of increased opacity overlying the mid caudal heart on the right lateral projection is not definitively seen on the other views. This increased opacity is dorsal to a superimposed skin fold. There is no pleural effusion or esophageal dilation. Normal tracheal diameter. In the abdomen there is small volume gas in the stomach. Small bowel are minimally filled. There is small volume gas in the cecum, and moderate volume formed feces in the colon. No radiopaque foreign material. Normal-sized liver, spleen, kidneys. The urinary bladder is minimally filled and soft tissue opaque.</t>
  </si>
  <si>
    <t>1. Suspect mild aspiration pneumonia. Artifact caused by superimposed skin fold is not ruled out._x000D_
2. Normal abdomen. A reason for her vomiting is not identified. Gastroenteritis/pancreatitis is most likely. There is no evidence of an obstructive process.</t>
  </si>
  <si>
    <t>A CBC, blood chemistry profile, testing for pancreatitis, and supportive care are recommended. If clinical signs do not rapidly improve, abdominal ultrasound would be recommended. If the patient is febrile, has elevated white blood cell count, or coughing, antibiotics would be recommended.</t>
  </si>
  <si>
    <t>A lateral view of the neck and opposite lateral and VD views of the thorax and abdomen are provided for interpretation and comparison to the previous study dated 6-27-24._x000D_
_x000D_
No abnormalities are seen involving the neck._x000D_
_x000D_
The pneumothorax seen in the previous study has progressed in the recheck interim. Pleural margins in the ventral thorax still appear loculated and irregular, and there are several areas of atelectasis. The unusual soft tissue shadow seen in the right cranial thorax in the previous study is less conspicuous today. It is not visible in the VD view, but subtle opacity is still present in this area in the lateral views. No pleural effusion is seen._x000D_
_x000D_
Serosal detail in the abdomen is slightly reduced, similar to the previous study. No organomegaly or mass effect is seen in the abdomen.</t>
  </si>
  <si>
    <t>The pneumothorax has progressed in the recheck interim. There is still no visible underlying cause. No pleural effusion has developed._x000D_
_x000D_
Slightly reduced detail in the cranial abdomen is unchanged._x000D_
_x000D_
The suspicion of a possible mass in the right cranial thorax is less concerning in the current study than it was in the previous.</t>
  </si>
  <si>
    <t>The cause of pneumothorax cannot be determined from the radiographs. A radiolucent foreign body is still a primary differential. However, no changes consistent with pyothorax/pleuritis or progressive peritonitis are evident. Concerning the patient has been on antibiotics in the recheck interim, the possibility of a foreign body causing the pneumothorax and slightly reduced abdominal detail still exists._x000D_
Cross sectional imaging such as CT or surgical exploration of the thorax should be considered.</t>
  </si>
  <si>
    <t xml:space="preserve">
1.Are respiratory signs present? If YES._x000D_
2.MODERATE INTERSTITIAL TO ALVEOLAR PATTERN; PULMONARY NODULES or NODULAR PATTERN; MILD BRONCHITIS_x000D_
3.MODERATE INTERSITIAL TO ALVEOLAR PATTERN; MILD BRONCHITIS; MINIMAL PERIHILAR INFILTRATE._x000D_
4.Based on the AI airway/pulmonary findings, the probability of this patient having clinically detectable respiratory signs is MEDIUM (50%). A few (&lt;5) soft tissue pulmonary nodules may be present._x000D_
5.Probability these AI pulmonary findings will accompany clinically detectable respiratory signs: MEDIUM to HIGH (50-75%%)_x000D_
6.Chronic bronchointerstitial lung disease (bacterial vs allergic vs parasitic lung disease, including heartworm pathosis) with concurrent atelectasis, pneumonia or pulmonary hemorrhage is most likely._x000D_
7.A few (&lt;5) soft tissue pulmonary nodules, cutaneous nodules or nipples overlying the thorax have also been detected._x000D_
8.AI linked bacterial pneumonia treatment in dogs: https://platform.v2.vetology.net/doc/pneumonia-in-dogs-and-cats_x000D_
9.Are respiratory signs present? If NO._x000D_
10.The cardiac silhouette size is normal._x000D_
11.Pleural fissure lines or small volume pleural effusion has been detected. In a mildly overweight animal, excessive pericardial fat can artifactually mimic the result of minimal pleural effusion.</t>
  </si>
  <si>
    <t>Four orthogonal survey radiographs of the thorax and abdomen dated 3rd July 2024 are available for review. There are no previous radiographs available for comparison. _x000D_
_x000D_
Thorax: _x000D_
Airway findings: The thorax is hypoinflated. The cervical and thoracic trachea have a normal size, outline and position. The carina, tracheal bifurcation and mainstem bronchi are normal. There is a mild diffuse bronchial pattern._x000D_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stomach is severely gas dilated predominantly in the fundic region. A left lateral image is not available to assess the position of the pylorus. There is no visible segmentation of the stomach, or rotation. The cranial duodenum is mildly cranially and rostrally displaced, indicating partial pyloric displacement. The small intestines are gas dilated, with a turgid appearance, some loops contain fluid. The descending colon contains poorly formed faeces. The urinary bladder is small. There is mild reduction of serosal detail. The spleen is caudally displaced. The kidneys are partially obscured by gastrointestinal contents, but the visible aspect are normal. The hepatic silhouette is normal._x000D_
_x000D_
Musculoskeletal findings: No significant abnormalities are detected.</t>
  </si>
  <si>
    <t>1. The findings are highly suggestive of a partial gastric torsion (180-270 degree) even though compartmentalisation is not visible. The gas dilation of the small intestines is likely due to secondary physiologic ileus.</t>
  </si>
  <si>
    <t>Decompression of the stomach via oesophageal intubation is indicated. If the compression is not possible, an emergency explorative laparotomy after emergency stabilisation is indicated.</t>
  </si>
  <si>
    <t xml:space="preserve">
1.A severe alveolar pattern has been detected._x000D_
2.The cardiac silhouette size is normal._x000D_
3.There is no evidence of PERIHILAR INFILTRATE or DYNAMIC AIRWAY COLLAPSE or BRONCHIECTASIS.</t>
  </si>
  <si>
    <t>Six radiographs of the thorax/abdomen and pelvic limbs are provided. The cardiac silhouette and pulmonary vessels are normal size and shape. There is no pleural fluid or gas. The diaphragm is intact. No pulmonary parenchymal abnormalities. No rib fractures. Normal thoracic spine. The viewable cervical spine and proximal thoracic limbs are normal. In the abdomen serosal detail is adequate for the young age of this patient. There is large volume soft tissue opaque ingesta in the stomach. Small bowel are mildly filled. The distal descending colon contains a large amount of formed feces. The distal fecal column occupies the majority of the pelvic canal. There are a few small mineral opaque fragments in the colon, likely incidental. No organomegaly. Lumbar vertebral alignment is normal. No narrowed intervertebral disc spaces or pelvic fractures. The coxofemoral joints are congruent. The patellar location is normal. Physes are age-appropriate. There is no soft tissue swelling. Soft tissue opacity overlying the cranial aspect of both stifle joints is normal for the young age of this patient.</t>
  </si>
  <si>
    <t>Possible mild constipation. Otherwise normal thorax, abdomen, pelvic limbs.</t>
  </si>
  <si>
    <t>If the patient shows tenesmus or discomfort with defecation, enema administration would be recommended.</t>
  </si>
  <si>
    <t xml:space="preserve">
1.A moderate alveolar pattern has been detected._x000D_
2.The cardiac silhouette size is normal._x000D_
3.There is no evidence of PERIHILAR INFILTRATE or PULMONARY NODULES.</t>
  </si>
  <si>
    <t>Study:_x000D_
Thoracic radiography: four images dated July 3, 2024_x000D_
_x000D_
Findings:_x000D_
There is moderate left ventricular and left atrial enlargement. The pulmonary vasculature is normal in size. The pulmonary parenchyma is unremarkable. The pleural space is normal. There is no intrathoracic lymphadenopathy. The trachea is normal in diameter. There is narrowing of the caudal lobar bronchi on the left lateral view timestamped 5:32 PM. The included abdomen is unremarkable. The T 13 vertebra is transitional with bilateral hypoplastic ribs.</t>
  </si>
  <si>
    <t>1. Moderate left-sided cardiomegaly, indicative of mitral valve disease, without evidence of decompensation. Echocardiography should be considered for further evaluation._x000D_
2. Bronchomalacia and dynamic bronchial compression/collapse. Normal diameter of the trachea does not exclude the possibility of concurrent tracheal collapse. Fluoroscopy can be considered for further evaluation.</t>
  </si>
  <si>
    <t xml:space="preserve">
1.Severe cardiomegaly has been detected but Heart Failure is NOT suspected._x000D_
2.MODERATE ALVEOLAR PATTERN; CONCURRENT MILD BRONCHOINTERSTITIAL PATTERN; MODERATE DYNAMIC AIRWAY DISEASE._x000D_
3.Based on the AI airway/pulmonary findings, the probability of this patient having clinically detectable respiratory signs is MEDIUM to HIGH (50-75%)._x000D_
4.Are respiratory signs present? If YES._x000D_
5.Are respiratory signs present? If NO.</t>
  </si>
  <si>
    <t xml:space="preserve">Patient Name : Nala Shineman, Date of study: Jul 3, 2024
3 images are provided for review
Canine Thorax (3 Images) - 2 Lateral, 1 Vd
There are no previous radiographs for comparison.
Pulmonary parenchyma: A mild diffuse bronchial pattern is present.  Few small ovoid soft tissue opacities are superimposed over the lungs, best identified over the ventral aspect of the 4th rib in the left lateral image.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soft tissues of the cranioventral abdominal doty wall are undulant.  The remaining included musculoskeletal structures are normal.
</t>
  </si>
  <si>
    <t>1. Presumed end-on vascular structures or less likely pulmonary nodule such as from evolving neoplasia or osseous metaplasia.
2. Mild diffuse bronchial pulmonary pattern.
- Differential diagnoses include fibrosis from prior disease, age-related changes, infectious/immune-mediated lower airway disease, os unlikely other.
3. No obvious intra-thoracic lymphadenomegaly.
4. Cranioventral abdominal body wall changes such as from reported dermal neoplasia (hemangiosarcoma reported).</t>
  </si>
  <si>
    <t>Consider computed tomography of the thorax and abdomen for a more sensitive evaluation of the lungs, and pre-surgical planning of cutaneous neoplasia incisional/excisional biopsy. Alternatively, monitoring with serial thoracic radiographs for progression of pulmonary changes. Abdominal imaging to screen for occult systemic disease with computed tomography or radiographs given patient size, if not recently performed.  Oncologist consultation depending on results.  Empirical therapy and supportive care in the interim as needed.  Monitoring as directed or sooner if clinical signs acutely change, fail to improve or worsen.</t>
  </si>
  <si>
    <t>A VD pelvis view, lateral views of both hind limbs, and a lateral thoracoabdominal view are provided for interpretation._x000D_
_x000D_
There is moderate narrowing of the T12-T13 intervertebral disc space._x000D_
_x000D_
There is mild chronic remodeling involving the right hip joint. The left hip is within normal limits._x000D_
A metal clip is present at the lateral aspect of both stifle joints consistent with the history of previous surgery. There is mild periarticular remodeling involving the left stifle. There is mild swelling of the stifle joint capsule. The left tarsus is unremarkable._x000D_
The right stifle has minimal remodeling changes. No joint effusion is seen. The right tarsus is unremarkable._x000D_
_x000D_
The cardiopulmonary structures are within normal limits. No abdominal organ abnormalities are identified.</t>
  </si>
  <si>
    <t>There is mild osteoarthritis involving the right hip joint._x000D_
_x000D_
Mild chronic degenerative changes are present involving the left stifle, not unexpected given the previous history of CCL rupture. No complications associated with the surgery are seen. There is mild swelling or joint capsule. More recent intra-articular injury such as a meniscal tear should be ruled out._x000D_
_x000D_
There is evidence of disc degeneration in the caudal thoracic spine. Relevance of this to the current clinical signs may be limited._x000D_
_x000D_
No thoracic or abdominal abnormalities are identified.</t>
  </si>
  <si>
    <t>Depending on the severity of lameness, surgical exploration of the left stifle may be indicated.</t>
  </si>
  <si>
    <t>Study:_x000D_
Thoracic radiography: three images dated July 3, 2023_x000D_
_x000D_
Findings:_x000D_
The cardiac silhouette is normal in size and shape. The pulmonary vasculature is normal in size. There is a severe alveolar pattern in the caudal segment of the left cranial lung lobe. Mild patchy interstitial pattern in the ventral aspect of the cranial segment of the left cranial lung lobe will. The pleural space is normal. There is no intrathoracic lymphadenopathy. The trachea is normal diameter. The included abdomen is normal. No skeletal abnormalities are present.</t>
  </si>
  <si>
    <t>The alveolar pattern in the caudal segment of the left cranial lung lobe and mild interstitial pattern in the cranial segment of the left cranial lung lobe likely indicate pneumonia.</t>
  </si>
  <si>
    <t>Recommend empiric antibiotic therapy with repeat radiography in 10 to 14 days to monitor for response to treatment.</t>
  </si>
  <si>
    <t>Three radiographs of the thorax, and four views of the abdomen are provided. The cardiac silhouette and pulmonary vessels are normal size and shape. There are mild age-related changes in the lungs. No soft tissue pulmonary nodules. Round 0.8 cm mineral density overlying the ventral liver on the lateral views is likely superimposed nipple. This is also likely responsible for the around increased opacity in the lateral aspect of the left 8th intercostal space on the VD view. No pleural effusion. Normal cranial mediastinal width and tracheal diameter._x000D_
_x000D_
In the abdomen there is a small volume mid peritoneal effusion. There is a poorly delineated curved 7.2 x 5.2 cm soft tissue opacity in the mid ventral abdomen on both of the lateral views. There is a loop of small bowel containing gas and stippled soft tissue density overlying this contour. This rounded structure is not seen on the VD projection. The stomach is minimally filled. Small bowel are mild to moderately filled with gas and scant fluid. Small volume formed feces in the colon. Normal-sized liver, spleen, left kidney. The right kidney is obscured. There are two linear wire-like objects measuring 1.7 cm in the mid peritoneal space consistent with incidental chronic migrated gastrointestinal foreign material. The urinary bladder is minimally filled. The prostate is moderately enlarged, consistent with the reproductive status of this patient.</t>
  </si>
  <si>
    <t>1. Mid abdominal mass and mild peritoneal effusion. An intestinal mural mass is most likely. A splenic mass is next on the differential list. The stippled soft tissue density overlying the mass contour is most likely incidental. Foreign material causing an obstructive process is given much lesser consideration._x000D_
2. Normal thorax.</t>
  </si>
  <si>
    <t>Plan for ultrasound is appropriate.</t>
  </si>
  <si>
    <t>Three radiographs of the rostral mandible and a three view study of the thorax are provided for interpretation._x000D_
_x000D_
There is a region of lucency involving the rostral mandible that is fairly central, involving both sides of the mandibular symphysis approximately 1 cm in diameter. This is associated with mild expansile appearing periosteal response. There is mild associated soft tissue swelling._x000D_
_x000D_
The cardiovascular structures are within normal limits. No pulmonary nodules or parenchymal infiltrates are identified. No destructive or productive bone lesions are seen.
(amended on 07/03/2024 19:08)
Note: DICOM tags indicate this study was made 5-23-24, but per RDVM staff the date stamp is incorrect and the radiographs were actually made today, 7-3-24.</t>
  </si>
  <si>
    <t>A small destructive lesion is identified involving the rostral mandible on midline. Soft tissue neoplasia with secondary bone involvement is a primary differential. An infectious lesion with osteomyelitis should also be ruled out._x000D_
_x000D_
No thoracic abnormalities are identified.</t>
  </si>
  <si>
    <t>Histologic evaluation of the reported oral mass is recommended.</t>
  </si>
  <si>
    <t>Patient Name : Bubba Tripaldi, Date of study: Jul 3, 2024
2 images are provided for review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has a slightly reniform shape in the lateral image.  The cardiac silhouette is subjectively widened and rounded in the ventrodorsal image.  
Mediastinum: The cranial mediastinum is normal.
Trachea: The trachea is normal.
Esophagus: The esophagus contains mild gas in the lateral image.
Pleural space: The pleural space is normal.
Liver: The liver is is enlarged and mass-like with a rounded or lobular caudoventral margin that extends past the level of the 13th ribs.  The gastric axis is caudally displaced.  The right and mid-liver are enlarged and mass-like in the ventrodorsal image, with severe leftward stomach displacement.  
Spleen: The spleen is normal in size with smooth margins and homogeneous soft tissue.
Kidneys: The right kidney is mildly small with smooth margins.  The left kidney is subjectively normal.
Retroperitoneum: Retroperitoneal detail is adequate.
Urogenital: The urinary bladder is normal in size, homogeneous soft tissue, and smoothly marginated.
Peritoneum: Peritoneal detail is adequate.
Gastrointestinal tract: The stomach contains a moderate volume of gas.  The stomach is normal in size.
The small intestine contains a moderate volume of gas with a subjectively uniform population for size. A small intestinal segment may contains mild mineral in the right mid-ventral abdomen.
The colon contains moderate gas or is empty.  The colon is normal in size.  
Musculoskeletal: The patient is thin with concave soft tissue between spinous processes.  Multifocal thoracolumbar spondylosis deformans is present.  Moderate bilateral coxofemoral joint osteoarthrosis is present. The remaining included musculoskeletal structures are normal.
(amended on 07/04/2024 08:25)
This examination is compared to prior dated January 13, 2024 and prior.</t>
  </si>
  <si>
    <t>1. Hepatomegaly and suspected right-sided hepatic mass.
- Differential diagnoses include neoplasia such as a primary biliary cystadenoma/carcinoma or hepatocellular carcinoma versus other, or unlikely nodular hyperplasia or other.
2. Equivocal generalized cardiomegaly versus artifact from phase of the cardiopulmonary cycle or patient positioning.
- If present, consider thyrotoxic or hypertrophic cardiomyopathy or unlikely other.
- There is no current evidence of left-sided congestive heart failure.
3. Minimal-mild diffuse bronchial pulmonary pattern due to infectious/immune-mediated lower airway disease (such as from mycoplasma spp., bordetella spp., parasitism such as lung worms, feline asthma, or inhaled allergen/irritant), fibrosis from prior disease, age-related changes, or less likely other.
4. Mild right chronic renal disease.
5. Moderate bilateral coxofemoral joint osteoarthrosis.
6. Thin body condition.
(amended on 07/04/2024 08:25)
The hepatic changes are progressive compared to prior images.</t>
  </si>
  <si>
    <t>Routine blood work, thyroid function testing, urinalysis and SDMA for further evaluation.  Abdominal ultrasonography, coagulation testing and possibly hepatic tissue sampling depending on results. ONcologist consultation depending on results.  Echocardiography, eCG and blood pressure for further evaluation of the heart.  Empirical therapy and supportive care in the interim as needed.  Monitoring as directed or sooner if clinical signs acutely change, fail to improve or worsen.</t>
  </si>
  <si>
    <t xml:space="preserve">Patient Name : Mr Bubba Cash Ashby, Date of study: Jul 3, 2024
3 images are provided for review
Canine Thorax (3 Images) - 2 Lateral, 1 Vd
There are no previous radiographs for comparison.
Pulmonary parenchyma: In the right lateral image, a cranial lobar bronchus fails to taper as expected in the periphery of the lungs and ill-defined increased soft tissue is suspected in the cranial lung lobes.  In the left lateral image, a cranial lobar bronchus is enlarged and fails to taper in the periphery of the lungs.  A mild diffuse bronchial pattern is present.  Ill-defined increased interstitial soft tissue is suspected in the left cranial lung in the ventrodorsal image, versus artifact.  
Pulmonary vasculature: The pulmonary vasculature is subjectively normal in size and tapers in the periphery of the lungs.
Cardiac silhouette: The cardiac silhouette has a flat caudodorsal margin.  The mainstem bronchi are suspected to be laterally displaced in the ventrodorsal image.  
Mediastinum: The cranial mediastinum is normal.
Trachea: The trachea is normal.
Esophagus: The esophagus is not well-identified.
Pleural space: The pleural space is normal.
Musculoskeletal: Multifocal thoracolumbar spondylosis deformans is present.  The remaining included musculoskeletal structures are normal.
</t>
  </si>
  <si>
    <t xml:space="preserve">1. Suspicious for cranial lobar columnar bronchiectasis  and dynamic airway disease.
- Ill-defined cranial lung lobe interstitial pattern due to atelectasis/dynamic airway disease and/or evolving pneumonia or unlikely other.
2. Mild diffuse bronchial pulmonary pattern due to infectious/immune-mediated lower airway disease, or less likely artifact from positioning/technique.
3. Equivocal left-sided cardiomegaly versus artifact from phase of the cardiopulmonary cycle or technique and patient positioning.
- this is consistent with reported heart murmur, most likely due to evolving myxomatous mitral valvular disease.
- There is no evidence of left-sided congestive heart failure.  </t>
  </si>
  <si>
    <t>Consider tracheoscopy/bronchoscopy, respiratory PCR panel, airway sampling, and fecal analysis/deworming for further evaluation.  Echocardiography, eCG and blood pressure if not recently performed.  Empirical therapy and supportive care in the interim for cough as needed.  Monitoring as directed or sooner if clinical signs acutely change, fail to improve or worsen.</t>
  </si>
  <si>
    <t xml:space="preserve">
1.MODERATE DYNAMIC AIRWAY DISEASE; MILD BRONCHITIS; MINIMAL INTERSTITIAL PATTERN WITH ATELECTASIS or less likely, PNEUMONIA._x000D_
2.Based on the AI airway/pulmonary findings, the probability of this patient having clinically detectable respiratory signs is MEDIUM to HIGH (50-75%)._x000D_
3.Are respiratory signs present? If YES._x000D_
4.AI linked collapsing airway disease treatment in dogs: https://platform.v2.vetology.net/doc/canine-tracheal-collapse-treatment_x000D_
5.Moderate cardiomegaly has been detected but Heart Failure is NOT suspected._x000D_
6.Are respiratory signs present? If NO.</t>
  </si>
  <si>
    <t xml:space="preserve">Patient Name : Oni Murphy, Date of study: Jul 3, 2024
3 images are provided for review
Canine Thorax (3 Images) - 2 Lateral, 1 Vd
There are no previous radiographs for comparison.
Pulmonary parenchyma: A mild diffuse bronchial pattern is present.
Pulmonary vasculature: The pulmonary vasculature is subjectively normal in size and tapers in the periphery of the lungs.
Cardiac silhouette: Ill-defined increased soft tissue is suspected at the craniodorsal margin of the cardiac silhouette in the lateral image.  Slight rounded soft tissue is suspected in the 12 o'clock position in the ventrodorsal image. 
 The caudal trachea has a ventral declination caudally towards the base of the cardiac silhouette.  No obvious left atrial enlargement is identified.
Mediastinum: The cranial mediastinum is normal.
Trachea: The trachea is normal.
Esophagus: The esophagus is not well-identified.
Pleural space: The pleural space is normal.
Musculoskeletal: The included musculoskeletal structures are normal.
</t>
  </si>
  <si>
    <t xml:space="preserve">1. Suspected aortic enlargement such as from sub-arotic stenosis or other, versus artifact/superimposed normal structures.
- No obvious left atrial/ventricular enlargement in this examiantion.
2. Mild diffuse bronchial pulmonary pattern such as from infectious/immune-mediated lower airway disease (mycoplasma spp., bordetella spp., parasitism, or other), inhaled allergen/irritant, fibrosis from prior disease, age-related changes, or less likely other.
</t>
  </si>
  <si>
    <t>Confirm diagnoses of underlying cardiac disease with historic records, and/or consider repeat echocardiography, blood pressure and ECG if not recently performed.  No obvious evidence of left-sided congestive heart failure in this examination.  Consider respiratory PCR panel, airway sampling, and fecal analysis/deworming for further evaluation.  Empirical therapy and supportive care in the interim as needed.  Monitoring as directed or sooner if clinical signs acutely change, fail to improve or worsen.</t>
  </si>
  <si>
    <t>Orthogonal radiographs of the thorax, and four views of the abdomen/pelvis are provided. Images dated 9/14/23 were reviewed. The cardiac silhouette and pulmonary vessels are normal size and shape. Mild unstructured interstitial pattern, crisp pleural fissure lines, and pulmonary osteomas is normal for the age of this patient. There is no pleural effusion or soft tissue pulmonary nodules._x000D_
_x000D_
In the abdomen the liver is equivocally prominent as before. Hepatic margins are smooth, and there are punctate mineral densities within the liver consistent with incidental choledocholithiasis. Normal-sized spleen and kidneys. The gastrointestinal tract is mildly filled. No radiopaque urolithiasis. The T13-L1 intervertebral disc space is mildly narrowed on the edge of the 2nd lateral view. No other spinal abnormalities. The right femoral head has a mottled appearance on the VD projection, not seen on the previous study. There is mild degenerative change in both coxofemoral joints. No definitive stifle joint abnormalities, although stifle joint evaluation is limited by superimposed tissue.</t>
  </si>
  <si>
    <t>1. The appearance of the right femoral head is concerning for neoplasia. This may be artifact caused by superimposed acetabular remodeling. There is bilateral coxofemoral osteoarthritis, likely contributing to discomfort. _x000D_
2. The appearance of T13-L1 is suggestive of intervertebral disc disease. This may be contributing to the clinical signs._x000D_
3. Equivocal prominent liver as before, consider normal variant, hepatopathy, or least likely neoplasia. No other intra-abdominal abnormalities._x000D_
4. Normal thorax.</t>
  </si>
  <si>
    <t>With the severity of clinical signs, recommend deciding between proceeding with advanced spinal/pelvic limb imaging (CT/MRI), versus humane euthanasia.</t>
  </si>
  <si>
    <t xml:space="preserve">
1.Are respiratory signs present. If YES._x000D_
2.In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3.PULMONARY NODULAR PATTERN; MINIMAL BRONCHOINTERSTITIAL PULMONARY PATTERN._x000D_
4.The evaluation has come up positive for a pulmonary nodular pattern._x000D_
5.Based on these AI airway/pulmonary findings, the probability of this patient having clinically detectable respiratory signs is MEDIUM (50%)_x000D_
6.Are respiratory signs present. If NO._x000D_
7.MILD BRONCHOINTERSTITIAL PULMONARY PATTERN; MINIMAL to MILD PERIHILAR PATTERN._x000D_
8.Based on the AI airway/pulmonary findings, the probability of this patient having clinically detectable respiratory signs is LOW (25%)_x000D_
9.The cardiac silhouette size is normal._x000D_
10.In the PRESENCE of respiratory signs, low grade active pneumonitis (allergic, bacterial, parasitic (including heartworm disease), inhaled allergen or toxin) or upper airway disease causing pulmonary hypoinflation and/or recurrent microaspiration may be more likely._x000D_
11.There is no evidence of DYNAMIC AIRWAY COLLAPSE or BRONCHIECTASIS.</t>
  </si>
  <si>
    <t xml:space="preserve">Patient Name : Snowy Schneider, Date of study: Jul 3, 2024
3 images are provided for review
Canine Thorax (3 Images) - 1 Vd, 2 Lateral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has a mildly flattened caudodorsal margin.  
Mediastinum: The cranial mediastinum is normal.
Trachea: The trachea is normal.
Esophagus: The esophagus contains mild gas.
Pleural space: The pleural space is normal.
Musculoskeletal: The included musculoskeletal structures are normal.
</t>
  </si>
  <si>
    <t>1. Mild diffuse bronchial pulmonary pattern.
- Differential diagnoses include infectious/immune-mediated lower airway disease such as from mycoplasma spp., bordetella spp., parasitism, or inhaled allergen/irritant or unlikely other.
2. Mild left-atrial enlargement versus artifact from the phase of the cardiopulmonary cycle and patient positioning.
- If present, differential diagnoses include myxomatous mitral valvular disease versus evolving dilated cardiomyopathy or congenital anomaly given patient young age.
- There is no evidence of cardiogenic pulmonary edema.</t>
  </si>
  <si>
    <t>Consider respiratory PCR panel, airway sampling, and fecal analysis/deworming for further evaluation.  Echocardiography, ECG and blood pressure may be contributory.  Consider routine blood work and urinalysis to screen for occult systemic disease if not recently performed.  Monitoring as directed or sooner if clinical signs acutely change, fail to improve or worsen.</t>
  </si>
  <si>
    <t>Opposite lateral and VD views of the thorax and abdomen are provided for interpretation. This study is compared to the previous radiograph dated 3-1-24._x000D_
_x000D_
There is moderate left sided heart enlargement. The appearance is similar to the previous radiographs. There is a mild bronchial pattern which is slightly more prominent than the appearance in the previous study. No alveolar infiltrates or pleural abnormalities are identified. There is minimal narrowing of the caudal cervical trachea. This appearance is significantly less prominent than what was seen in previous radiographs. No laryngeal abnormalities are identified. There is a small opacity in the ventral neck region that appears to be a small dermal nodule._x000D_
_x000D_
The liver is mildly enlarged. This has progressed mildly relative to the previous radiographs. The spleen is within normal size limits overall, but the spleen margins appear slightly lobular. The other abdominal organs are within normal limits._x000D_
_x000D_
There is a soft tissue mass at the left side of the prepuce. No inguinal lymphadenopathy is seen.</t>
  </si>
  <si>
    <t>There is moderate left heart enlargement which is fairly similar to the previous radiographs. No evidence of heart failure is identified._x000D_
There is a mild bronchial pattern. This is slight more prominent than what was seen previously, but still within the limits of what might be seen as age related change considering the advanced age of the patient. Low-grade bronchitis cannot be excluded._x000D_
_x000D_
No evidence of tracheal collapse is seen in the current radiographs, but considering this was seen previously collapsing trachea is still a likely explanation for the coughing._x000D_
_x000D_
Liver size has increased slightly relative to the previous radiographs. The liver is mildly enlarged. There is subtle alteration of the contour the spleen. Clinical significance of these mild changes is unknown. However, follow up imaging such as ultrasound should be considered._x000D_
There is a large mass in the area of the prepuce that would be compatible most compatible with neoplasia. Granuloma or abscess would be less likely differentials.</t>
  </si>
  <si>
    <t>Symptomatic therapy for the cough is recommended._x000D_
_x000D_
Ultrasound of the abdomen for more definitive evaluation of the liver and spleen should be considered.</t>
  </si>
  <si>
    <t xml:space="preserve">
1.Severe cardiomegaly has been detected but Heart Failure is NOT suspected._x000D_
2.There is no evidence of ALVEOLAR PATTERN._x000D_
3.MILD BRONCHIAL PATTERN; MINIMAL DYNAMIC AIRWAY DISEASE._x000D_
4.MILD BRONCHIAL PATTERN; MILD PERIHILAR PATTERN._x000D_
5.Based on these AI airway/pulmonary findings, the probability of this patient having clinically detectable respiratory signs is LOW (25%)_x000D_
6.Based on these AI airway/pulmonary findings, the probability of this patient having clinically detectable respiratorysigns is LOW (25%)_x000D_
7.Are respiratory signs present? If YES._x000D_
8.Are respiratory signs present? If YES._x000D_
9.Are respiratory signs present? If NO._x000D_
10.Are respiratory signs present? If NO.</t>
  </si>
  <si>
    <t xml:space="preserve">Patient Name : chance koeler, Date of study: Jul 3, 2024
3 images are provided for review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In the lateral images, ill-defined increased soft tissue is suspected over the cranial mediastinum.  This is best identified as convex soft tissue dorsal to the 2nd sternebra.  This may correspond to slightly left-sided increased mediastinal soft tissue in the ventrodorsal image.  
Trachea: The trachea is normal.
Esophagus: The esophagus is contains minimal gas or is empty.
Pleural space: The pleural space is normal.
Musculoskeletal: The included musculoskeletal structures are normal.
</t>
  </si>
  <si>
    <t>1. Suspected cranial mediastinal increased soft tissue versus artifact from superimposed normal structures.
- Differential diagnoses include lymphadenomegaly such as from reactive hyperplasia, multicentric/metastatic neoplasia versus primary neoplasia such as thymoma or other.
2. Mild diffuse bronchial pulmonary pattern due to fibrosis from prior disease, age-related changes, or less likely infectious/immune-mediated lower airway disease or unlikely other.</t>
  </si>
  <si>
    <t>Consider computed tomography of the thorax for further evaluation of the cranial mediastinal soft tissue.  Abdominal imaging with radiographs versus computed tomography to screen for occult systemic disease.  If cranial mediastinal lymph node or nodule/mass is identified, consider coagulation testing and tissue sampling. ONcologist consultation depending on results.  Empirical therapy and supportive care in the interim as needed.  Monitoring as directed, or sooner if clinical signs acutely change, fail to improve or worsen.</t>
  </si>
  <si>
    <t xml:space="preserve">
1.The evaluation has come up positive for a pulmonary nodular pattern._x000D_
2.The cardiac silhouette size is normal._x000D_
3.There is no evidence of PERIHILAR INFILTRATE, DYNAMIC AIRWAY COLLAPSE or BRONCHIECTASIS or PLEURAL EFFUSION._x000D_
4.A minimal interstitial pattern has been detected.</t>
  </si>
  <si>
    <t>Study:_x000D_
Thoracic/cervical radiography: three images dated July 3, 2024_x000D_
_x000D_
Findings:_x000D_
The cardiac silhouette and pulmonary vasculature are normal in size. The pulmonary parenchyma is unremarkable. The pleural space is normal. There is no intrathoracic lymphadenopathy. The larynx and pharynx are normal. The trachea is normal in diameter and course. There is no esophageal dilation. The stomach contains unstructured heterogeneous soft tissue material presumed to be ingesta. The included abdomen is otherwise unremarkable. No skeletal abnormalities present. There are no fractures or luxations. There is moderate soft tissue swelling and subcutaneous emphysema along the dorsal cervical region.</t>
  </si>
  <si>
    <t>1. Cervical soft tissue swelling and subcutaneous emphysema from the reported dog bite wounds. Recommend empiric one management._x000D_
2. Normal thorax. There is no radiographic of thoracic trauma.</t>
  </si>
  <si>
    <t>Study:_x000D_
Thoracic and cervical radiography: six images dated July 3, 2024_x000D_
_x000D_
Findings:_x000D_
The cardiac silhouette is normal in size and shape. There is mild bilateral pleural effusion. There is associated atelectasis/increased opacity of the pulmonary parenchyma. There is no apparent intrathoracic lymphadenopathy. The patient has a redundant dorsal tracheal membrane. The larynx is unremarkable. The included abdomen is normal. There is in situ mineralization of the T7-T8 and T 10-T 11 intervertebral discs. There is mild T 10-T 11 and T 11-T 12 spondylosis deformans.</t>
  </si>
  <si>
    <t>1. Mild bilateral nonspecific pleural effusion. A cause is not radiographically evident. Recommend thoracocentesis with fluid analysis plus/minus computed tomography of the thorax for further evaluation._x000D_
2. Redundant dorsal tracheal membrane. Normal diameter of the trachea does not exclude the possibly of concomitant tracheal collapse._x000D_
3. T7-T8 and T 10-T 11 in situ degenerative disc disease.</t>
  </si>
  <si>
    <t xml:space="preserve">
1.Mild cardiomegaly has been detected but Heart Failure is NOT suspected._x000D_
2.The evaluation has come up positive for a pulmonary nodular pattern._x000D_
3.A severe alveolar pattern and mild perihilar pattern have been detected._x000D_
4.SEVERE ALVEOLAR INFILTRATE; MILD DYNAMIC AIRWAY DISEASE._x000D_
5.Based on these AI airway/pulmonary findings, the probability of this patient having clinically detectable respiratory signs is VERY HIGH (&gt;75%)_x000D_
6.Are respiratory signs present? If YES._x000D_
7.AI link to bacterial pneumonia treatment in dogs: https://platform.v2.vetology.net/doc/pneumonia-in-dogs-and-cats_x000D_
8.Are respiratory signs present? If NO._x000D_
9.Pleural fissure lines or moderate to severe pleural effusion has been detected. An overlying skin fold or in an obese animal, excessive pericardial fat could artifactually mimic the result of severe pleural effusion.</t>
  </si>
  <si>
    <t>Three radiographs of the thorax, and three views of the abdomen are provided. There is prominence of the left atrium. Cardiac to thoracic ratio and pulmonary vessel size is normal. The lungs are clear. No soft tissue pulmonary nodules, pleural effusion, or enlarged intrathoracic lymph nodes._x000D_
_x000D_
In the abdomen the liver is mildly enlarged with rounded margins. Normal-sized spleen and kidneys. The gastrointestinal tract is mildly filled. No radiopaque cystic calculi. The right patella is mildly medially displaced.</t>
  </si>
  <si>
    <t>1. Prominent left atrium consistent with acquired mitral valve disease. There is no pulmonary venous congestion or heart failure. This is of doubtful clinical significance today. Otherwise normal thorax._x000D_
2. Mild hepatomegaly, a nonspecific finding that may be steroid or other hepatopathy, acute inflammation, or neoplasia. There is no other supportive evidence of neoplasia on this study. No other abdominal abnormalities.</t>
  </si>
  <si>
    <t>Abdominal ultrasound should be considered.</t>
  </si>
  <si>
    <t xml:space="preserve">Patient Name : hazel bains, Date of study: Jul 3, 2024
6 images are provided for review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Ill-defined increased soft tissue may superimpose over the larynx region in one right lateral image.  Obliquity of the head is presumed to result in the appearance of the hyoid apparatus.  The soft tissues of the caudal head and laryngeal/pharyngeal regions are otherwise subjectively normal.  Unilateral mild elbow osteoarthrosis.  The remaining included musculoskeletal structures are normal.
</t>
  </si>
  <si>
    <t>1. Minimal-mild diffuse bronchial pulmonary pattern such as from infectious/immune-mediated lower airway disease (mycoplasma spp., bordetella spp., parasitism, or other), inhaled allergen/irritant, fibrosis from prior disease, age-related changes, or less likely other.
2. Ill-defined soft tissue overlying the larynx region may be due to superimposed normal structures and obliquity versus regional inflammation such as from occult trauma versus other, or less likely evolving sialocele or neoplasm.</t>
  </si>
  <si>
    <t>Consider sedated laryngeal examination and/or tracheoscopy and computed tomography of the head/neck for further evaluation of this region.  Routine blood work if not recently performed to screen for occult systemic disease.  Empirical therapy and supportive care in the interim as needed.  Monitoring as directed or sooner if clinical signs acutely change, fail to improve or worsen.</t>
  </si>
  <si>
    <t>Study:_x000D_
Thoracic radiography: four images dated July 3, 2024_x000D_
_x000D_
Findings:_x000D_
The cardiac silhouette and pulmonary vasculature are normal in size. The pulmonary parenchyma is unremarkable. The pleural space is normal. There is no intrathoracic lymphadenopathy. The larynx and pharynx are normal. The trachea is normal in diameter and course. The included abdomen is normal. The osseous structures are unremarkable/age appropriate.</t>
  </si>
  <si>
    <t>Normal thorax. There is no radiographic evidence of cardiopulmonary disease. A cause of wheezing is not evident. Infectious respiratory disease PCR testing, airway sampling plus/minus heartworm testing and Baermann fecal flotation can be considered to further evaluate for possible lower airway disease.</t>
  </si>
  <si>
    <t>3 images of the thorax are provided for review.  There is straightening of the caudal cardiac waist in the region of the left atrium.  Moderate bronchial markings are present in all lung lobes.  No perihilar pulmonary infiltrates are seen.  The pulmonary vasculature is normal in size.  The mediastinal and pleural structures are normal.  Cranial abdominal detail is adequate.</t>
  </si>
  <si>
    <t>Moderate bronchial pulmonary pattern=ZZ90= consider bronchitis, response to inhaled irritants, response to circulating parasites, eosinophilic bronchopneumopathy.  Airway sampling may be helpful in further evaluation.  Mild left atrial enlargement without current evidence of cardiogenic pulmonary edema.  Echocardiography may be helpful in further evaluation.</t>
  </si>
  <si>
    <t>Three radiographs of the thorax are provided. There is mild generalized cardiac silhouette enlargement. Pulmonary vessels are normal size. There is a mild bronchial pattern throughout the lungs. Complete collapse of the caudal cervical and entire thoracic trachea and mainstem bronchi on both of the lateral views. No pleural effusion. The laryngeal region is unremarkable. Normal cranial abdomen.</t>
  </si>
  <si>
    <t>1. Severe tracheal and mainstem bronchial collapse, the cause for coughing._x000D_
2. Mild generalized cardiomegaly consistent with acquired mitral and tricuspid valve disease. There is no evidence of heart failure, however the cardiomegaly is likely contributing to mainstem bronchial collapse.</t>
  </si>
  <si>
    <t>Current treatment is appropriate. An echocardiogram could be considered to help guide treatment, if one has not been performed recently.</t>
  </si>
  <si>
    <t xml:space="preserve">
1.Are respiratory signs present? If YES._x000D_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4.Are respiratory signs present? If NO._x000D_
5.SEVERE INTERSTITIAL TO ALVEOLAR INFILTRATE; CONCURRENT MODERATE BRONCHIAL PATTERN and MILD DYNAMIC AIRWAY DISEASE._x000D_
6.Based on these AI airway/pulmonary findings, the probability of this patient having clinically detectable respiratory signs is HIGH (75%)</t>
  </si>
  <si>
    <t xml:space="preserve">Patient Name : Ralph Charlton, Date of study: Jul 3, 2024
3 images are provided for review
There are no previous radiographs for comparison.  Electronic calipers partially limits evaluation on the submitted image.
Pulmonary parenchyma: A minimal to mild diffuse bronchial pattern is present.  The lungs are hypoinflated.  
Pulmonary vasculature: The pulmonary vasculature is subjectively normal in size and tapers in the periphery of the lungs.
Cardiac silhouette: The cardiac silhouette is moderately tall and occupies greater than 2/3 the height of the thorax.  The caudodorsal margin of the cardiac silhouette is flatted.  Rounded increased soft tissue is present in the region of the left atrium.  The cardiac silhouette is wide and occupies the width of 3.5-4 intercostal spaces.  
Mediastinum: The cranial mediastinum is normal.
Trachea: A soft tissue band partially superimposes over the dorsal aspect of the caudal cervical trachea.  
Esophagus: The esophagus is not well-identified.
Pleural space: The pleural space is normal.
Liver: The liver is enlarged with a rounded caudoventral margin extending past the level of the 13th ribs.  The right liver is rounded, enlarged and mass-like in the ventrodorsal image.  The gastric axis is mildly caudally displaced.  
Spleen: The spleen is normal in size with smooth margins and homogeneous soft tissue.
Kidneys: The left kidney is at the lower limit of normal for size.  The right kidney is obscured without obvious enlargement or mineral.  
Retroperitoneum: Retroperitoneal detail is adequate.
Urogenital: The urinary bladder is normal in size, homogeneous soft tissue, and smoothly marginated.
Peritoneum: Peritoneal detail is adequate.
Gastrointestinal tract: The stomach contains a moderate volume of heterogeneous soft tissue material and gas.  A well-defined, moderately sized, rectangular mineral body is in the stomach, and is in the body of the stomach in the ventrodorsal image, and pylorus in the lateral images.  The stomach is within normal limits for size.  
The small intestine contains mild to moderate gas and mild fluid or is empty with a subjectively uniform population for size. 
The colon contains moderate heterogeneous soft tissue material and gas.
Musculoskeletal: The patient is obese.  The remaining included musculoskeletal structures are normal.
</t>
  </si>
  <si>
    <t xml:space="preserve">1. Moderate left-sided cardiomegaly and suspected right-sided cardiomegaly.
- Differential diagnoses include myxomatous mitral valvular disease with/without tricuspid valvular disease or cor pulmonale/pulmonary hypertension, or unlikely other.  
2. Minimal to mild diffuse bronchial pulmonary pattern such as from fibrosis from prior disease, age-related changes, infectious/immune-mediated lower airway disease, inhaled allergen/irritant, or less likely other. 
3. Hepatomegaly and suspected right-sided hepatic mass due to evolving neoplasia (malignant versus benign) or nodular hyperplasia, versus vacuolar change, nodular hyperplasia, hepatitis/cholangiohepatitis,or unlikely other.
4. Gastric mineral foreign material with partially/intermittent outflow tract obstruction and presumed gastritis/delayed gastric emptying.
5. Small intestinal appearance due to passage of ingesta versus enteritis, or unlikely other.
6. Dorsal redundant tracheal membrane with/without dynamic airway disease versus superimposed normal structures 
 </t>
  </si>
  <si>
    <t>Echocardiography, eCG, blood pressure, urinalysis and routine blood work for further evaluation if not recently performed.  Consider abdominal ultrasonography for further evaluation of the liver and gastrointestinal tract.  Consider tissue sampling if a hepatic mass is confirmed.  Consider gastroscopy versus monitoring gastric materials passage with serial radiographs.  Empirical therapy and supportive care in the interim as needed.  Monitoring as directed, or sooner if clinical signs acutely change, fail to improve or worsen.</t>
  </si>
  <si>
    <t xml:space="preserve">
1.There is no evidence of PULMONARY NODULES or PLEURAL EFFUSION._x000D_
2.Severe cardiomegaly has been detected but Heart Failure is NOT suspected._x000D_
3.A mild bronchointerstitial pulmonary pattern and minimal perihilar infiltrate have been detected.</t>
  </si>
  <si>
    <t>THORAX and CERVICAL (5 radiographs for review). No previous for comparison._x000D_
_x000D_
- Moderate diffuse bronchial pulmonary pattern._x000D_
- Mild left-sided cardiomegaly._x000D_
- The pulmonary vasculature is normal._x000D_
- The remaining included intrathoracic structures are normal._x000D_
- Mild incidental age-related mineralization of the laryngeal cartilages._x000D_
- Mild narrowing of the C5-6 intervertebral disc with spondylosis deformans._x000D_
- Caudal skull and remaining cervical region normal._x000D_
- Cranial abdomen and remaining musculoskeletal structures normal.</t>
  </si>
  <si>
    <t>1. Radiographically, it appears most likely that the patient=ZZ91=s coughing is related to chronic lower airway disease e.g. bronchitis which may have allergic, inhaled irritant or infectious underlying causes.  Treatment for chronic lower airway disease may be considered and further characterization of the changes could be achieved with CT, internal medicine consultation and/or lower airway sampling._x000D_
_x000D_
2. Given the patient=ZZ91=s signalment, tracheal collapse is not excluded however not distinctly noted in this examination._x000D_
_x000D_
3. Mild left-sided cardiomegaly, without pulmonary vasculature congestion or congestive heart failure. Most likely compatible with degeneration of the mitral valve. Consider careful cardiac auscultation and echocardiography/ECG for further assessment._x000D_
_x000D_
4. Possible C5-6 intervertebral disc disease</t>
  </si>
  <si>
    <t xml:space="preserve">
1.MILD BRONCHIAL PATTERN; MILD DYNAMIC AIRWAY DISEASE._x000D_
2.Based on these AI airway/pulmonary findings, the probability of this patient having clinically detectable respiratory signs is LOW to MEDIUM (25-50%)_x000D_
3.Mild cardiomegaly has been detected but Heart Failure is NOT suspected._x000D_
4.Are respiratory signs present? If YES._x000D_
5.Are respiratory signs present? If NO._x000D_
6.There is no evidence of ALVEOLAR PATTERN, PERIHILAR INFILTRATE or PLEURAL EFFUSION.</t>
  </si>
  <si>
    <t>Three radiographs of the thorax and three views of the abdomen are provided. The cardiac silhouette and pulmonary vessels are normal size and shape. There are no abnormalities in the pulmonary parenchyma. Scant gas in the esophagus is transient and incidental. Normal tracheal diameter._x000D_
_x000D_
In the abdomen there is mild reduced cranial abdominal detail. Small volume gas in the stomach. Undulating soft tissue density overlying the stomach on the right lateral view may represent normal rugal folds. Small bowel are minimally distended. The cecum is gas filled. Small volume gas and semi-formed feces in the colon. Normal-sized liver, spleen, kidneys. Mild degenerative change in the left coxofemoral joint.</t>
  </si>
  <si>
    <t>Reduced cranial abdominal detail may be due to scant effusion versus inflammation. Gastroenteritis/pancreatitis is suspected. There is no definitive evidence of an obstructive process. The appearance of the stomach is most likely normal rugal folds. Small radiolucent gastric foreign material is not definitively ruled out. The thorax is normal.</t>
  </si>
  <si>
    <t>A CBC, blood chemistry profile, and supportive care are recommended. Depending on lab work results and if the patient does not rapidly improve, abdominal ultrasound would be recommended.</t>
  </si>
  <si>
    <t>Three orthogonal thoracic radiographs dated 3rd July 2024 are available for review. There are no previous radiographs available for comparison. _x000D_
_x000D_
Airway findings: The trachea is mildly narrowed at the thoracic inlet. The intrathoracic trachea is normal. There is a mild homogenous interstitial opacification of the lung parenchyma consistent with body habitus. The thorax is hypoinflated._x000D_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increased ventral pleural, mediastinal and pericardial fat._x000D_
_x000D_
Musculoskeletal findings: The patient is morbidly obese._x000D_
_x000D_
Included abdomen: There is smoothly marginated hepatomegaly.</t>
  </si>
  <si>
    <t>1. The interstitial opacification is most likely due to hypoinflation and body habitus. The narrowed trachea is likely due to extraluminal compression, causing redundant trachealis membrane or mild collapse._x000D_
2.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t>
  </si>
  <si>
    <t>Consider evaluation for airway collapse (fluoroscopy vs. right lateral inspiratory and expiratory radiographs vs. CT with virtual bronchoscopy). Obesity predisposes for airway collapse, and reduction of thoracic volume (pickwickian syndrome), reducing pulmonary clearance, therefore weight management is indicated.</t>
  </si>
  <si>
    <t xml:space="preserve">
1.Are respiratory signs present? If YES._x000D_
2.Are respiratory signs present? If NO._x000D_
3.MILD BRONCHIAL PATTERN; MILD DYNAMIC AIRWAY DISEASE._x000D_
4.Based on these AI airway/pulmonary findings, the probability of this patient having clinically detectable respiratory signs is LOW to MEDIUM (25-50%)_x000D_
5.The cardiac silhouette size is normal._x000D_
6.There is no evidence of ALVEOLAR PATTERN or PERIHILAR INFILTRATE.</t>
  </si>
  <si>
    <t>Five radiographs are provided, including images of the thorax, abdomen, thoracic limbs. The cardiac silhouette and pulmonary vessels are normal size and shape. The lungs are clear. There is no pleural effusion. Adequate tracheal diameter. No scapular abnormalities. The glenohumeral and cubital joints are congruent. Mild enthesophyte formation on the humeral epicondyles bilaterally. There is no fracture or subluxation. There is mild enthesophyte formation along the cranial margin of the distal right radial epiphysis, with mild soft tissue thickening dorsal to the radiocarpal joint. Similar changes are not present in the left limb. Carpal bone alignment is normal. No metacarpal or phalangeal osseous or soft tissue abnormalities. The patient=ZZ91=s nails are quite long. In the abdomen there is no effusion or organomegaly. Formed feces fills the distal colon. No radiopaque urolithiasis.</t>
  </si>
  <si>
    <t>1. Bilateral mild cubital osteoarthritis, and mild right radiocarpal osteoarthritis. This, coupled with soft tissue sprain/strain is the most likely cause for acute lameness. A lateralized intervertebral disc lesion is next on the differential list._x000D_
2. Normal thorax and abdomen.</t>
  </si>
  <si>
    <t>Recommend a nail trim and supportive care with anti-inflammatories.</t>
  </si>
  <si>
    <t xml:space="preserve">
1.MODERATE INTERSTITIAL TO ALVEOLAR PATTERN; MILD BRONCHITIS._x000D_
2.Based on these AI airway/pulmonary findings, the probability of this patient having clinically detectable respiratory signs is MEDIUM (50%)_x000D_
3.Are respiratory signs present? If YES._x000D_
4.Are respiratory signs present? If NO._x000D_
5.There is no evidence of PULMONARY NODULES._x000D_
6.Moderate dynamic airway disease has been detected._x000D_
7.Mild cardiomegaly has been detected but Heart Failure is NOT suspected.</t>
  </si>
  <si>
    <t>Three radiographs of the thorax, and a lateral view of the thoracolumbar spine are provided. The cardiac silhouette is normal size and shape on the lateral views. The heart appears elongated on the VD projection, likely due to thoracic conformation. There are mild bronchial markings consistent with age. No soft tissue pulmonary nodules or pleural effusion. In the abdomen serosal detail is adequate. The liver and spleen are normal size. The kidneys are obscured. Moderate volume soft tissue opaque ingesta in the stomach. Small and large bowel are mildly filled. Linear wire-like 2.2 cm metal opacity in the cranial left peritoneal space consistent with incidental chronic migrated gastric foreign material. Narrowed T12-13 intervertebral disc space. Mineralized intervertebral disc material in the L6-7 intervertebral disc space, extending dorsally to overlie the foramen. Vertebral alignment is normal.</t>
  </si>
  <si>
    <t>1. The appearance of T12-13 and L6-7 are both suggestive of intervertebral disc protrusion/extrusion. Such a lesion at these or another site is the most likely cause for the neurologic deficits._x000D_
2. Normal thorax. A reason for intermittent respiratory signs is not identified. There is no evidence of cardiovascular disease on this study. A small valvular regurgitant jet can result in a relatively loud murmur._x000D_
3. Normal abdomen.</t>
  </si>
  <si>
    <t>A CBC and blood chemistry profile should be considered to rule out a metabolic abnormality.</t>
  </si>
  <si>
    <t>THORAX (4 total radiographs for review). _x000D_
_x000D_
- Excessive body habitus._x000D_
- Mass-like increase in soft tissue opacity in the cranial mediastinum, dorsal to the caudal portion of the thoracic trachea, causing its ventral and rightward displacement._x000D_
- Moderate generalized broncho-interstitial pulmonary pattern._x000D_
- The cardiac silhouette and pulmonary vasculature are normal._x000D_
- The liver is moderately enlarged, extending caudal to the costal arch with rounded margins._x000D_
- At least one tiny mineral opacity is superimposed over the region of the kidneys._x000D_
- Mild bilateral glenohumeral osteoarthritis.</t>
  </si>
  <si>
    <t>1. Suspected cranial mediastinal mass. DDx neoplasia (e.g. chemodectoma, severe cranial mediastinal lymphadenopathy), less likely cranial mediastinal cyst or abscess._x000D_
_x000D_
2. Moderate diffuse broncho-interstitial pulmonary pattern.  May be a combination of chronic lower airway disease, bronchitis and/or bronchopneumonia._x000D_
_x000D_
3.Mild hepatomegaly. Most likely vacuolar (metabolic) hepatopathy. Hepatic congestion, hepatitis or neoplasia are less likely, but possible._x000D_
_x000D_
4. Suspect nephrolithiasis (limited assessment).._x000D_
_x000D_
5. Excessive body habitus._x000D_
_x000D_
6. Mild bilateral glenohumeral arthritis.</t>
  </si>
  <si>
    <t>I would recommend considering a thoracic/whole-body CT in this patient for further characterization of the region of the cranial mediastinum, as well as the pulmonary parenchyma.</t>
  </si>
  <si>
    <t xml:space="preserve">
1.Moderate cardiomegaly has been detected but Heart Failure is NOT suspected._x000D_
2.MODERATE BRONCHOINTERSTITIAL PULMONARY PATTERN; MODERATE ALVEOLAR INFILTRATE or ATELECTASIA; PLEURAL FISSURE LINES or PLEURAL EFFUSION; MODERATE DYNAMIC AIRWAY DISEASE._x000D_
3.Based on these AI airway/pulmonary findings, the probability of this patient having clinically detectable respiratory signs is HIGH (75%)_x000D_
4.Pleural fissure lines or moderate to severe pleural effusion has been detected._x000D_
5.Are respiratory signs present? If YES._x000D_
6.Are respiratory signs present? If NO.</t>
  </si>
  <si>
    <t xml:space="preserve">Patient Name : Finn Jones, Date of study: Jul 3, 2024
6 images are provided for review
Canine Abdomen (3 Images) - 3 Lateral
Canine Thorax (3 Images) - 2 Lateral, 1 Vd
There are no previous radiographs for comparison.
Bones/Joints:  T12-13 is narrowed.  T13 is transitional with a thickened right rib.  The L7 vertebra is transitional and partially sacralized with shortened transverse processed. 
There is no evidence of mineral over the intervertebral foramina.  Minimal right coxofemoral joint osteoarthrosis is suspected.
There is no evidence of medullary sclerosis, osteolysis, endosteal scalloping, or periosteal proliferation.
Soft tissues:  The included soft tissues are normal.
</t>
  </si>
  <si>
    <t>1. T12-13 intervertebral disc disease is suspected.
2. Transitional T13 vertebra with thickened right rib.
3. Sacralized L7.
4. Minimal right coxofemoral joint osteoarthrosis.</t>
  </si>
  <si>
    <t xml:space="preserve">Consider neurologist consultation and MRI for further evaluation.  Routine blood work and thoracic/abdominal imaging if not recently performed to screen for occult systemic disease.  Empirical therapy and supportive care in the interim as needed.  </t>
  </si>
  <si>
    <t>Study:_x000D_
Thoracic radiography: five images dated July 2, 2024_x000D_
_x000D_
Findings:_x000D_
The cardiac silhouette and pulmonary vasculature are normal in size. There is a mild generalized bronchial pulmonary pattern. The pleural space is normal. There is no intrathoracic lymphadenopathy. The trachea is normal in diameter and course. There is no esophageal dilation. The stomach contains heterogeneous soft tissue material presumed to be ingesta. There is no evidence of a sliding hiatal hernia. The osseous structures are unremarkable.</t>
  </si>
  <si>
    <t>1. The mild generalized bronchial pulmonary pattern may indicate allergic, inflammatory, infectious, parasitic or irritant bronchitis. Airway sampling plus/minus heartworm testing and Baermann fecal flotation can be considered for further evaluation._x000D_
2. Normal diameter of the trachea does not exclude the possibility of dynamic airway disease. Fluoroscopy can be considered to further evaluate for possible tracheal collapse given the reported goose honking nature of the respiratory event.</t>
  </si>
  <si>
    <t>Three radiographs of the thorax and three views of the abdomen are provided. The cardiac silhouette and pulmonary vessels are normal size and shape. The lungs are clear. There is no pleural effusion. Normal tracheal diameter._x000D_
_x000D_
In the abdomen there is moderate to large volume soft tissue opaque ingesta in the stomach. Small bowel are minimally filled. Formed feces fills the distal colon. No effusion. Normal-sized liver and spleen. The kidneys are incompletely visible. Punctate metal opaque focus in a loop of bowel is of doubtful clinical significance today. The uterus is not identified. Osseous structures are unremarkable.</t>
  </si>
  <si>
    <t>Normal thorax and postprandial abdomen. There is no evidence of neoplasia on this study.</t>
  </si>
  <si>
    <t>Three radiographs of the thorax/abdomen, and a VD view of the abdomen/proximal pelvic limbs are provided. The cardiac silhouette is normal size and shape. There is a mild bronchial pattern throughout the lungs consistent with age. No soft tissue pulmonary nodules or pleural effusion. Possible redundant dorsal trachealis membrane in the cervical region, and narrowed caudal cervical intervertebral disc spaces, of uncertain significance today. In the abdomen there is small volume amorphous soft tissue opaque ingesta in the stomach. Small bowel are mildly fluid filled. There is gas in the cecum and colon. No radiopaque foreign material or urolithiasis. Normal-sized liver, spleen, left kidney. The right kidney is obscured. No definitive spinal abnormalities. Both coxofemoral joints are wedged in shape, with mild thickened femoral necks. Both patellas are medially positioned.</t>
  </si>
  <si>
    <t>Normal thorax and abdomen. Bilateral medial patellar luxation and bilateral mild coxofemoral osteoarthritis.</t>
  </si>
  <si>
    <t>Three radiographs of the thorax/abdomen are provided. Images dated 5/28/24 are available for comparison. The cardiac silhouette is upper normal size today. There is increased opacity with suspect air bronchograms in the right middle lung lobe. Scant pleural effusion. Mild narrowed cervical trachea. The mainstem bronchi are compressed on the left lateral view. In the abdomen serosal detail is poor. The liver is mildly enlarged as before. Hepatic margins are smooth. There is small volume fluid and gas in the stomach. Small intestines are diffusely moderately fluid filled. The colon is minimally filled. No radiopaque foreign material. The left kidney and spleen are normal size. The right kidney is obscured. No radiopaque urolithiasis. Narrowed T11-12, T12-13, L1-2 intervertebral disc spaces, with spondylosis deformans. This was present on the previous study and is of doubtful clinical significance today.</t>
  </si>
  <si>
    <t>1. Mild peritoneal effusion, of uncertain etiology. This may be due to pancreatitis or renal failure._x000D_
2. Persistent mild hepatomegaly, likely diabetic hepatopathy._x000D_
3. Small intestinal functional ileus, a nonspecific finding that may be due to enteritis, metabolic abnormality, or stress/discomfort._x000D_
4. Probable aspiration pneumonia in the right middle lung lobe, and scant pleural effusion. Atelectasis due to recumbency could also cause the lung appearance but does not explain the pleural fluid. _x000D_
5. Tracheal and mainstem bronchial collapse as before._x000D_
6. No cardiovascular abnormalities are appreciated today.</t>
  </si>
  <si>
    <t>Abdominal ultrasound is recommended. If the patient is coughing, febrile, has elevated white blood cell count or abnormal lung auscultation, antibiotics would be recommended.</t>
  </si>
  <si>
    <t xml:space="preserve">
1.SEVERE INTERSTITIAL TO ALVEOLAR PATTERN; PULMONARY NODULES OR MASS LESION; PLEURAL FLUID or PLEURAL THICKENING; MILD BRONCHIAL PATTERN; MINIMAL DYNAMIC AIRWAY DISEASE._x000D_
2.Based on these AI airway/pulmonary findings, the probability of this patient having clinically detectable respiratorysigns is VERY HIGH (&gt;75%)_x000D_
3.The evaluation has come up positive for a pulmonary nodular pattern and pleural fissure lines or pleural effusion._x000D_
4.Mild cardiomegaly has been detected but Heart Failure is NOT suspected._x000D_
5.Are respiratory signs present? If YES._x000D_
6.Are respiratory signs present? If NO.</t>
  </si>
  <si>
    <t>Three radiographs of the thorax are provided. Images dated 6/26/24 are available for comparison. There is mild left-sided cardiomegaly, reduced in size compared to the previous study. Cranial pulmonary arteries and veins are normal size. There is poor visibility of the perihilar vessels on the VD projection, however this view is partially expiratory. No perihilar pulmonary parenchymal abnormalities on the lateral views. There is no pleural effusion. Possible redundant dorsal trachealis membrane on the right lateral view. Normal cranial abdomen.</t>
  </si>
  <si>
    <t>The heart is smaller than before. There is mild left-sided cardiomegaly consistent with acquired mitral valve disease. There is no pulmonary venous congestion. Hazy perihilar region only on the ventral dorsal projection is likely due to dorsal recumbency and partial expiration, as there is no convincing evidence of heart failure on the lateral views.</t>
  </si>
  <si>
    <t>Recommend a dorsoventral projection on follow-up studies for this patient. This should allow for maximum dorsal lung aeration to help rule in/out pulmonary edema.</t>
  </si>
  <si>
    <t xml:space="preserve">
1.Moderate cardiomegaly has been detected but Heart Failure is NOT suspected._x000D_
2.MILD TO MODERATE BRONCHOINTERSTITIAL PULMONARY PATTERN; ATELECTASIS or ALVEOLAR INFILTRATE._x000D_
3.MILD INTERSTITIAL to ALVEOLAR INFILTRATE; MINIMAL PERIHILAR INFILTRATE._x000D_
4.Based on these AI airway/pulmonary findings, the probability of this patient having clinically detectable respiratory signs is LOW to MEDIUM (25-50%)_x000D_
5.Based on these AI airway/pulmonary findings, the probability of this patient having clinically detectable respiratory signs is LOW to MEDIUM (25%-50%)_x000D_
6.Are respiratory signs present? If YES._x000D_
7.Are respiratory signs present? If YES._x000D_
8.Are respiratory signs present? If NO._x000D_
9.Are respiratory signs present? If NO.</t>
  </si>
  <si>
    <t>THORAX (3 total radiographs for review). _x000D_
_x000D_
- The cardiac silhouette and pulmonary vasculature are normal._x000D_
- The pulmonary parenchyma is normal_x000D_
- The trachea, esophagus and remainder of the mediastinum are normal._x000D_
- The pleural space and remaining intrathoracic structures are normal._x000D_
- Peritoneal serosal detail is normal._x000D_
- The stomach contains mild gas and gas-stippled soft-tissue opaque material_x000D_
- The small intestine contains mild multifocal gas and soft-tissue opaque material_x000D_
- The colon contains gas, soft-tissue/fluid and moderate formed fecal material._x000D_
- The liver, spleen, region of the kidneys and urinary bladder are normal._x000D_
- There are multiple mid and caudal thoracic wedge and butterfly shaped vertebral segments with associated spondylosis deformans.  The eighth and ninth thoracic spinous processes are fused.</t>
  </si>
  <si>
    <t>1. Normal thorax. A discrete cause for the reported coughing is not clearly identified. Radiographic sensitivity for subtle lower airway/airspace disease can be limited.  If the patient worsens or does not improve with medical management, you may consider repeat thoracic radiographs and/or thoracic CT for further assessment._x000D_
_x000D_
2. Unremarkable post prandial abdomen._x000D_
_x000D_
3. Multiple mid- and caudal thoracic hemivertebral segments and dorsal spinous process fusion, as expected for the patient breed.</t>
  </si>
  <si>
    <t xml:space="preserve">
1.MILD BRONCHOINTERSTITIAL PULMONARY PATTERN; MILD DYNAMIC AIRWAY DISEASE; ATELECTASIS or less likely, pneumonia;  MINIMAL PERIHILAR INFILTRATE._x000D_
2.Based on the AI airway/pulmonary findings, the probability of this patient having clinically detectable respiratory signs is MEDIUM (50%)_x000D_
3.Are respiratory signs present? If YES._x000D_
4.Are respiratory signs present? If NO._x000D_
5.The cardiac silhouette size is normal.</t>
  </si>
  <si>
    <t>Three orthogonal thoracic radiographs dated 3rd July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20% of the dorsoventral diameter of the trachea. The intrathoracic trachea is normal. Throughout the lung parenchyma there is a mild to moderate bronchointerstitial opacification._x000D_
_x000D_
Cardiovascular findings: The cardiac silhouette is normal in shape, size and margination. The cranial and caudal pulmonary vasculature is poorly visible, but the visible aspect are normal. The caudal vena cava is normal. The aorta and mainstem pulmonary artery have a normal outline in the vd/dv l image._x000D_
_x000D_
Mediastinum and pleural space: There is mild ventral pleural fat._x000D_
_x000D_
Musculoskeletal findings: There is thoracic intervertebral disc narrowing with ventral spondylosis deformans._x000D_
_x000D_
Included abdomen: No significant abnormalities are detected.</t>
  </si>
  <si>
    <t>1. The dorsal attenuation of the trachea is consistent with redundant trachealis membrane or overlying musculature._x000D_
2. Diffuse bronchointerstitial pattern: Part of the findings are likely due to normal ageing/fibrosis from previous disease. However diffuse infectious-inflammatory lower airway disease is suspected such as chronic bacterial /viral bronchitis +/- parasitic bronchitis. Fungal pneumonia should definitely be considered. Less likely are hyperardenocorticism, neoplasia (such a lymphoma) or idiopathic pulmonary fibrosis.</t>
  </si>
  <si>
    <t>Correlate with palpation testing for upper respiratory disease. Respiratory workup including CBC, serum chemistry, urinalysis, Baermann faecal testing, 4DX, fungal testing, +/- respiratory panel as indicated may be considered.  Alternatively, diagnostic /empirical therapy for lower airway disease, empirical deworming, and removal of allergens and environmental irritants (i.e. smoke, dust, perfumes, etc.) can be considered.</t>
  </si>
  <si>
    <t xml:space="preserve">
1.MODERATE BRONCHIAL PATTERN, MILD DYNAMIC AIRWAY DISEASE, MILD, DIFFUSE INTERSTITIAL PATTERN WITH A SLIGHTLY MORE PRONOUNCED PERIHILAR INFILTRATE._x000D_
2.Based on these AI airway/pulmonary findings, the probability of this patient having clinically detectable respiratorysigns is MEDIUM (50%)_x000D_
3.Are respiratory signs present? If YES._x000D_
4.AI linked bronchitis disease treatment in dogs and cats: https://platform.v2.vetology.net/doc/bacterial-bronchitis-in-dogs-and-cats_x000D_
5.Mild cardiomegaly has been detected but Heart Failure is NOT suspected._x000D_
6.Are respiratory signs present? If NO.</t>
  </si>
  <si>
    <t>4 images of the thorax are provided for review.  The cardiovascular structures are normal.  There is a moderate bronchial pattern in all lung lobes.  Alveolar opacity is present in the right cranial and cranial subsegment of the left cranial lung lobe the trachea is mildly narrowed in the cervical region.  The mediastinal and pleural structures are normal.  Cranial abdominal detail is adequate.</t>
  </si>
  <si>
    <t>Moderate bronchial pulmonary pattern=ZZ90= consider bronchitis, response to inhaled irritants, response to circulating parasites, eosinophilic bronchopneumopathy.  Alveolar pulmonary pattern concerning for concurrent pneumonia.  Hemorrhage or neoplasia cannot be excluded.  Mild cervical tracheal narrowing consistent with previously suspected tracheal collapse.</t>
  </si>
  <si>
    <t>Study:_x000D_
Thoracic radiography: four images dated July 2, 2024_x000D_
_x000D_
Findings:_x000D_
There is moderate left ventricular and left atrial enlargement. The pulmonary vasculature is normal in size. The pulmonary parenchyma is unremarkable. The pleural space is normal. There is no intrathoracic lymphadenopathy. There is a broad-based soft tissue opaque band superimposed the dorsal aspect of the cervical trachea lumen representing other redundant dorsal tracheal membrane or superimposition of the esophagus. The trachea is normal in diameter. The included abdomen is unremarkable with no apparent hepatomegaly. There is narrowing of the T 12-T 13 through L2-L3 intervertebral disc spaces with variable mild to severe spondylosis deformans. There is moderate C2-C3 spondylosis deformans.</t>
  </si>
  <si>
    <t>1. Moderate left-sided cardiomegaly, indicative of mitral valve disease, without evidence of decompensation. Echocardiography and ECG should be considered for further evaluation._x000D_
2. T 12-T 13 through L2-L3 intervertebral disease._x000D_
3. Normal appearance of liver does not exclude a hepatopathy. Abdominal sonography can be considered for further evaluation of the reported elevated liver enzyme values.</t>
  </si>
  <si>
    <t xml:space="preserve">
1.Are respiratory signs present? If YES._x000D_
2.Are respiratory signs present? If NO._x000D_
3.Are respiratory signs present? If NO._x000D_
4.Moderate cardiomegaly has been detected but Heart Failure is NOT suspected._x000D_
5.MILD BRONCHOINTERSTITIAL PULMONARY PATTERN; MILD DYNAMIC AIRWAY DISEASE; ATELECTASIS or less likely, pneumonia._x000D_
6.MILD BRONCHOINTERSTITIAL PULMONARY PATTERN; MILD DYNAMIC AIRWAY DISEASE; MILD PERIHILAR INFILTRATE._x000D_
7.Based on these AI airway/pulmonary findings, the probability of this patient having clinically detectable respiratory signs is MEDIUM (50%)_x000D_
8.Are respiratory signs present? If YES.</t>
  </si>
  <si>
    <t xml:space="preserve">Patient Name : Covie Coombs, Date of study: Jul 2, 2024
4 images are provided for review
There are no previous radiographs for comparison.
Liver: The liver is small with cranial displacement of the gastric axis.  The liver is excluded in the ventrodorsal image.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No obvious peritoneal gas.
Gastrointestinal tract: The stomach contains a minimal fluid or is empty.
The small intestine contains mild fluid or is empty with a subjectively uniform population for size. 
The colon contains minimal soft tissue material and gas.
Musculoskeletal: Best identified in the right lateral image, a lucent linear defect is suspected in the mid- to caudal ventral abdominal body wall.  This defect communicates with a region of heterogeneous fat and soft tissue opacity that protrudes from the ventral abdominal body wall, and deforms the cutaneous surface.  Tubular soft tissue structuresa re in this region, best identified in the left lateral image.  Fluid striations are suspected around these herniated intestinal segments.  In the ventrodorsal image, gas is present in the soft tissues of the right caudolateral abdominal body wall, gluteal and thigh regions.   Gas is suspected over the left proximal and medial thigh in the ventrodorsal image. The remaining included musculoskeletal structures are normal.
</t>
  </si>
  <si>
    <t>1. Mid-/caudal-ventral abdominal body wall hernia with herniated small intestinal segments and suspected small volume peritoneal effusion.
- Peritoneal effusion may indicate evolving incarceration of herniated intestine, versus hemorrhage, steatitis or other.
- There is no current evidence of small intestinal mechanical ileus.
2. Right body wall, gluteal, thigh and left thigh emphysema is consistent with reported recent trauma (dog bite injury).
3. Microhepatia versus individual variation of normal.
- If present, consider portosystemic shunt versus other.</t>
  </si>
  <si>
    <t>Consider abdominal body wall hernia repair with reduction and peritoneal lavage.  Wound care and debridement/lavage of the soft tissue injuries as needed.  Empirical therapy and supportive care in the interim as needed.  Monitoring as directed or sooner if clinical signs acutely change, fail to improve or worsen.</t>
  </si>
  <si>
    <t>Patient Name : Moe holohan, Date of study: Jul 2, 2024
3 images are provided for review
There are no previous radiographs for comparison.
Pulmonary parenchyma: A mild diffuse bronchial pattern is present.  Few small ovoid, well-defined mineral foci are over the ventral lungs in the lateral images. 
Pulmonary vasculature: The pulmonary vasculature is subjectively normal in size and tapers in the periphery of the lungs.
Cardiac silhouette: The cardiac silhouette is suspiciously rounded in the region of the right atrium in the right lateral and ventrodorsal images.  No obvious increased height of the cardiac silhouette, or increased soft tissue in the region of the left atrium.   
Mediastinum: The cranial mediastinum is normal.
Trachea: The trachea is normal.
Esophagus: The esophagus is not well-identified.
Pleural space: The pleural space is normal.
Musculoskeletal: The included musculoskeletal structures are normal.</t>
  </si>
  <si>
    <t xml:space="preserve">1. Suspicious for right atrial enlargement especially given reported murmur versus artifact from positioning and phase of the cardiopulmonary cycle.
- Consider evolving dilated cardiomyopathy versus tricuspid valvular disease, or pulmonary hypertension/cor pulmonale, or unlikely other.
- There is no evidence of left-sided congestive heart failure.  
2. Mild diffuse bronchial pulmonary pattern.
- Differential diagnoses include fibrosis from prior disease, age-related changes, infectious/immune-mediated lower airway disease or inhaled allergen/irritant, or unlikely other.
3. Few small mineral foci over the ventral lungs are most likely incidental pulmonary osteomas.
</t>
  </si>
  <si>
    <t>Consider echocardiography, eCG and blood pressure.  Routine blood work and urinalysis if not recently performed. Consider computed tomography of the head and thorax for a more sensitive evaluation of pulmonary metastatic disease, and pre-surgical planning.  Empirical therapy and supportive care in the interim as needed.  Monitoring as directed or sooner if clinical signs acutely change, fail to improve or worsen.</t>
  </si>
  <si>
    <t xml:space="preserve">
1.A mild, diffuse mixed bronchointerstitial pattern with potential small regions of alveolar infiltrate has been detected._x000D_
2.The cardiac silhouette size is normal._x000D_
3.There is no evidence of PERIHILAR INFILTRATE or DYNAMIC AIRWAY COLLAPSE or BRONCHIECTASIS._x000D_
4.Pleural fissure lines or small volume pleural effusion has been detected. In a mildly overweight animal, excessive pericardial fat can artifactually mimic the result of minimal pleural effusion.</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</si>
  <si>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Bilateral moderate to severe periarticular osteophytosis in both elbows.</t>
  </si>
  <si>
    <t>Seven orthogonal survey radiographs of the thorax and abdomen dated 2nd June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stomach contains some gas and has a normal axis. There is appropriate gas in the pylorus on the left lateral image. There is mild gas and fluid distension of the duodenum in the lateral image. The small intestines are mainly empty, with some gas and fluid. No segmental dilation is noted. The colon contains poorly formed faeces. The hepatic silhouette is normal in size with smooth borders. The spleen is normal in shape, size and position. The kidneys are partially obscured by gastrointestinal contents, but the visible aspect are normal. The urinary bladder is normal. The serosal detail is normal.</t>
  </si>
  <si>
    <t>The overall impression is one of mild gastroenteritis/colitis.  This may be due to dietary indiscretion, or infectious-inflammatory causes. There is no evidence of a mineral opaque foreign body, or complete mechanical obstruction.  A partial obstruction by non-mineral opaque foreign material cannot be excluded.   Pancreatitis is possible.</t>
  </si>
  <si>
    <t>Orthogonal views of the thorax are provided:_x000D_
_x000D_
Thorax:_x000D_
_x000D_
Elongated and thickened soft palate consistent with BOAS._x000D_
Endotracheal tube in place with secondary esophageal gas distension._x000D_
Cardiac silhouette has a normal shape and size._x000D_
Pulmonary vessels are within normal limits of size and shape._x000D_
Pulmonary parenchyma is within normal limits (positional lung atelectasis in the left cranial lung lobe). No evidence of pulmonary nodules/masses._x000D_
Pleural space, mediastinum, diaphragm and thoracic wall within normal limits._x000D_
_x000D_
C6-C7 IVDS is narrow.</t>
  </si>
  <si>
    <t>Consider BOAS exam under sedation including laryngeal exam, evaluating the benefit of a CT of the head/nasal cavity/larynx.</t>
  </si>
  <si>
    <t xml:space="preserve">
1.SEVERE INTERSTITIAL TO ALVEOLAR PATTERN; PULMONARY NODULES OR MASS LESION; PLEURAL FLUID or PLEURAL THICKENING; MILD BRONCHIAL PATTERN; MINIMAL DYNAMIC AIRWAY DISEASE._x000D_
2.Based on these AI airway/pulmonary findings, the probability of this patient having clinically detectable respiratorysigns is VERY HIGH (&gt;75%)_x000D_
3.The evaluation has come up positive for a pulmonary nodular pattern and pleural fissure lines or pleural effusion._x000D_
4.Are respiratory signs present? If YES._x000D_
5.Are respiratory signs present? If NO._x000D_
6.Mild cardiomegaly has been detected but Heart Failure is NOT suspected.</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</si>
  <si>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and spleen are smoothly margined and normal in size.  The stomach contains a moderate amount of ingesta.  The small intestines are normal in size.  Gas and feces are present in the colon.  The urinary bladder is small.  The remaining abdominal organs are normal.</t>
  </si>
  <si>
    <t>Study:_x000D_
Thoracic radiography: three images dated July 2, 2024_x000D_
_x000D_
Findings:_x000D_
The VD view is mislabeled. The cardiac silhouette (VHS approximately 10) and pulmonary vasculature are normal in size. There is incidental age-related bronchial wall mineralization. The pulmonary parenchyma is otherwise unremarkable. The pleural space is normal. There is no intrathoracic lymphadenopathy. The trachea is normal in diameter and course. The liver is small with associated cranial rotation of the gastric axis. There is narrowing of the T 12-T 13 through L2-L3 with sclerotic endplates and mild to moderate spondylosis deformans. The L3-L4 and L4-L5 intervertebral disc spaces also appear narrowed=ZZ90= however, this finding may be overestimated by beam distortion._x000D_
_x000D_
A human digit is present in the primary beam on the left lateral view.</t>
  </si>
  <si>
    <t>1. Unremarkable thorax. There is no radiographic evidence of cardiopulmonary disease. Consider echocardiography and ECG for further evaluation of the reported bradycardia._x000D_
2. Microhepatia. Rule out normal variant, vascular anomaly or chronic hepatitis/cirrhosis. Correlate with any liver enzyme abnormalities. Abdominal sonography and bile acid testing can be considered for further evaluation if clinically relevant._x000D_
3. Multifocal thoracolumbar intervertebral disc sees.</t>
  </si>
  <si>
    <t xml:space="preserve">
1.Moderate cardiomegaly has been detected but Heart Failure is NOT suspected._x000D_
2.MODERATE ALVEOLAR PATTERN; CONCURRENT MILD BRONCHOINTERSTITIAL PATTERN; MILD DYNAMIC AIRWAY DISEASE._x000D_
3.Based on the AI airway/pulmonary findings, the probability of this patient having clinically detectable respiratory signs is MEDIUM to HIGH (50-75%)._x000D_
4.Are respiratory signs present? If YES._x000D_
5.Are respiratory signs present? If NO.</t>
  </si>
  <si>
    <t>Orthogonal views of the thorax are provided:_x000D_
_x000D_
Thorax:_x000D_
_x000D_
Metallic hemoclips in the neck consistent with the history of surgery._x000D_
Cardiac silhouette shows a mild enlargement of the left atrium dorsally displacing the carina._x000D_
Pulmonary vessels are within normal limits of size and shape._x000D_
Pulmonary parenchyma is within normal limits (mild mediastinal shift to the left hemithorax and lung atelectasis likely positional). No evidence of pneumonia nor signs of pulmonary nodules/masses._x000D_
Pleural space, mediastinum, diaphragm and thoracic wall within normal limits._x000D_
_x000D_
Liver extends beyond the costal arch with sharp margins.</t>
  </si>
  <si>
    <t>1) Left atrial enlargement secondary to chronic mitral endocardiosis without signs of CHF._x000D_
2) No evidence of pneumonia._x000D_
3) Hepatomegaly: Metabolic vs Vacuolar infiltration vs Hepatic nodular hyperplasia vs Inflammatory vs Toxic vs Neoplastic or a combination of these differentials.</t>
  </si>
  <si>
    <t>Evaluate the need/benefit of a cardiology consultation with ECG and echocardiogram and abdominal US to further evaluate the liver.</t>
  </si>
  <si>
    <t xml:space="preserve">
1.Are respiratory signs present? If NO._x000D_
2.MILD to MODERATE BRONCHOINTERSTITIAL PATTERN; MILD DYNAMIC AIRWAY DISEASE._x000D_
3.Based on these AI airway/pulmonary findings, the probability of this patient having clinically detectable respiratory signs is MEDIUM (50%)_x000D_
4.Are respiratory signs present? If YES._x000D_
5.Mild cardiomegaly has been detected but Heart Failure is NOT suspected.</t>
  </si>
  <si>
    <t>Thorax: Today=ZZ91=s study is compared to a study dated 4/9/2024.  There is moderate to severe left-sided cardiomegaly which is increased in severity compared to previous study.  There is no evidence of cardiogenic pulmonary edema.  The pulmonary vasculature is unremarkable.  There is no evidence of pleural effusion or lymphadenopathy.  There are no abnormalities involving the visible portions of the abdomen.</t>
  </si>
  <si>
    <t>Moderate to severe left-sided cardiomegaly which has increased in severity compared to the previous study.</t>
  </si>
  <si>
    <t xml:space="preserve">
1.Are respiratory signs present? If YES._x000D_
2.Based on these AI airway/pulmonary findings, the probability of this patient having clinically detectable respiratory signs is LOW to MEDIUM (25-50%)_x000D_
3.MINIMAL to MILD BRONCHOINTERSTITIAL PULMONARY PATTERN; MILD DYNAMIC AIRWAY DISEASE; MILD PERIHILAR INFILTRATE._x000D_
4.Severe cardiomegaly has been detected but Heart Failure is NOT suspected._x000D_
5.Are respiratory signs present? If NO.</t>
  </si>
  <si>
    <t>Orthogonal views of the thorax are provided:_x000D_
_x000D_
Thorax:_x000D_
_x000D_
No tracheal abnormalities noticed._x000D_
Cardiac silhouette shows a mild enlargement of the left atrium dorsally displacing the carina._x000D_
Pulmonary vessels are within normal limits of size and shape._x000D_
Pulmonary parenchyma is within normal limits. No evidence of pneumonia nor signs of pulmonary nodules/masses._x000D_
Pleural space, mediastinum, diaphragm and thoracic wall within normal limits._x000D_
_x000D_
Liver extends beyond the costal arch with sharp margins. Intrahepatic biliary tree tiny choleliths.</t>
  </si>
  <si>
    <t>1) Left atrial enlargement secondary to chronic mitral endocardiosis without signs of CHF._x000D_
2) Unremarkable lungs do not exclude a bronchitis of allergic vs inflammatory/infectious or parasitic origin._x000D_
3) Hepatomegaly: Metabolic vs Vacuolar infiltration vs Hepatic nodular hyperplasia vs Inflammatory vs Toxic vs Neoplastic or a combination of these differentials._x000D_
4) Intrahepatic biliary tree tiny choleliths.</t>
  </si>
  <si>
    <t>Consider a cardiology consultation with ECG and echocardiogram followed by empirical treatment for chronic bronchitis evaluating response to treatment._x000D_
Consider abdominal US to further evaluate the liver and biliary tree.</t>
  </si>
  <si>
    <t>Study:_x000D_
Thoracic radiography: right lateral and orthogonal views (two images) dated July 1, 2024_x000D_
_x000D_
Findings:_x000D_
The cardiac silhouette is normal in size and shape (VHS approximately 10). The pulmonary vasculature is normal in size. The pulmonary parenchyma is unremarkable. The pleural space is normal. There is no intrathoracic lymphadenopathy. The trachea is normal in diameter and course. There is a broad-based soft tissue pigment superimposed with the dorsal aspect of the cervical trachea lumen representing other redundant dorsal tracheal membrane or superimposition of the esophagus. The included abdomen is unremarkable. No skeletal abnormalities are present.</t>
  </si>
  <si>
    <t xml:space="preserve">
1.MILD BRONCHOINTERSTITIAL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5.The cardiac silhouette size is normal._x000D_
6.There is no evidence of PERIHILAR INFILTRATE or PLEURAL EFFUSION.</t>
  </si>
  <si>
    <t>Orthogonal views of the thorax and abdomen including the pelvis and oblique views of both front limbs are provided for interpretation. There are six images total._x000D_
_x000D_
The cardiopulmonary structures are within normal limits. No abnormalities identified involving the spine, sternum, or ribs. No soft tissue swelling or mass effect is seen. The abdominal organs are all within normal size and shape limits. Serosal detail in the abdomen and retroperitoneal area is normal. The pelvis and hips are within normal limits. No abnormalities are seen involving either front limb.</t>
  </si>
  <si>
    <t>No musculoskeletal abnormalities identified that would explain the suspected pain._x000D_
_x000D_
The thorax and abdomen are unremarkable.</t>
  </si>
  <si>
    <t>No anatomic abnormalities it would explain the clinical signs are identified in the radiographs. Conservative management is recommended, with symptomatic therapy for nonspecific pain as needed.</t>
  </si>
  <si>
    <t>8 images of the thorax, abdomen, and skull are provided for review.  The cardiovascular structures are normal.  Numerous, small, soft tissue nodules are present throughout the pulmonary parenchyma.  The mediastinal and pleural structures are normal.  Abdominal serosal detail is adequate in all quadrants.  The stomach contains a small amount of gas.  The small intestines are normal in size.  Gas is present in the colon.  The urinary bladder is small.  The remaining abdominal organs are normal.  The nasal cavity is air filled with normal turbinates.  No fractures or aggressive osseous lesions are seen.  The laryngeal and pharyngeal structures are normal.</t>
  </si>
  <si>
    <t>Radiographically normal abdomen and skull.  Miliary nodular pulmonary pattern consistent with metastatic neoplasia.</t>
  </si>
  <si>
    <t>Study:_x000D_
Thoracic radiography: right and left lateral projections (three images) dated July 2, 2024_x000D_
_x000D_
Findings:_x000D_
Evaluation is limited by the lack of an orthogonal view. The cardiac silhouette and pulmonary vasculature are normal in size. There is a mild caudodorsal bronchial pulmonary pattern. The pleural space is normal. There is no intrathoracic lymphadenopathy. The trachea is normal in diameter and course. The stomach contains heterogeneous soft tissue material presumed to be ingesta. The osseous structures are unremarkable.</t>
  </si>
  <si>
    <t>The mild generalized bronchial pulmonary pattern may indicate allergic, inflammatory, infectious, parasitic or irritant bronchitis. In addition to the pending heartworm and infectious respiratory disease PCR, airway sampling plus/minus Baermann fecal flotation can be considered for further evaluation.</t>
  </si>
  <si>
    <t>Orthogonal views of the thorax and abdomen are provided:_x000D_
_x000D_
Thorax:_x000D_
_x000D_
The mandibular and superficial cervical lymph nodes are moderately enlarged._x000D_
Similarly, the sternal, cranial mediastinal and tracheobronchial lymph nodes are moderately enlarged._x000D_
Cardiac silhouette has a normal shape and size._x000D_
Pulmonary vessels are within normal limits of size and shape._x000D_
Pulmonary parenchyma shows a moderate interstitial lung pattern._x000D_
Pleural space, diaphragm and thoracic wall within normal limits._x000D_
_x000D_
Abdomen:_x000D_
_x000D_
The stomach is empty_x000D_
Small intestines are mildly gas and fluid filled, not overtly distended. No signs of mechanical ileus._x000D_
Serosal detail is preserved._x000D_
Liver extends beyond the costal arch with sharp margins._x000D_
Spleen is enlarged with rounded margins._x000D_
Kidneys and urinary bladder WNL._x000D_
Sublumbar and inguinal lymph nodes are moderately enlarged._x000D_
_x000D_
Bilateral hip dysplasia with mild periarticular osteophytosis and bilateral muscle atrophy.</t>
  </si>
  <si>
    <t>1) Peripheral, thoracic and abdominal lymphadenopathy along with moderate  interstitial lung pattern and hepatic/splenomegaly are consistent with a multicentric disease scubas round cell neoplasia, most likely lymphoma (other round cell neoplasms less likely).</t>
  </si>
  <si>
    <t>Abdominal US with guided FNAs of the all the reported and reachable lymph nodes, liver and spleen along with oncologist consultation.</t>
  </si>
  <si>
    <t xml:space="preserve">
1.A moderate to severe interstitial to alveolar infiltrate with a mild perihilar infiltrate has been identified._x000D_
2.A mild perihilar infiltrate has been identified._x000D_
3.The evaluation has come up positive for a pulmonary nodular pattern._x000D_
4.Mild cardiomegaly has been detected but Heart Failure is NOT suspected.</t>
  </si>
  <si>
    <t>Study:_x000D_
Thoracic radiography: three images dated July 2, 2024_x000D_
_x000D_
Findings:_x000D_
The cardiac silhouette and pulmonary vasculature are normal in size. There is a mild diffuse bronchointerstitial pulmonary pattern. The pleural space is normal. There is no intrathoracic lymphadenopathy. The trachea is normal in diameter and course. The stomach contains heterogeneous soft tissue material presumed to be ingesta. The liver extends mildly beyond the costal arch with smooth margins. There is narrowing of the T 11-T 12 through L1-L2 intervertebral disc spaces. There is variable mild to severe multifocal spondylosis deformans present.</t>
  </si>
  <si>
    <t>1. The diffuse bronchointerstitial pulmonary pattern is a nonspecific finding. In the absence of any respiratory signs come of this finding would be considered a benign age-related change. Allergic, inflammatory, infectious, inhaled irritant or parasitic bronchitis are considered given the reported coughing. Airway sampling plus/minus heartworm testing and Baermann fecal flotation can be considered to further evaluate for lower airway disease. Normal diameter of the trachea does not exclude the possibility of dynamic airway disease/tracheal collapse as a possible cause of the reported coughing._x000D_
2. The generalized hepatomegaly is nonspecific. Rule out metabolic/vacuolar hepatopathy, hyperplasia, hepatitis or infiltrative neoplasia. Correlate with any liver enzyme abnormalities. Sonography can be considered for further evaluation if clinically relevant._x000D_
3. T 11-T 12 through L1-L2 intervertebral disc disease.</t>
  </si>
  <si>
    <t xml:space="preserve">
1.Are respiratory signs present? If YES._x000D_
2.Are respiratory signs present? If NO._x000D_
3.Minimal cardiomegaly has been detected but Heart Failure is NOT suspected._x000D_
4.MILD BRONCHOINTERSTITIAL PULMONARY PATTERN WITH ATELECTASIS or LESS LIKELY, PNEUMONIA, MILD PERIHILAR INFILTRATE._x000D_
5.Probability these AI pulmonary findings will accompany clinically detectable respiratory signs: MILD TO MODERATE (25-50%)</t>
  </si>
  <si>
    <t>Study:_x000D_
Thoracic radiography: four images dated July 2, 2024_x000D_
_x000D_
Findings:_x000D_
The cardiac silhouette is normal in size. There is moderate to severe enlargement of the main pulmonary artery. The lobar arteries are severely enlarged and tortuous. There is a moderate generalized bronchial pulmonary pattern. The pleural space is normal. There is no intrathoracic lymphadenopathy. The trachea is normal in diameter. The liver is moderately enlarged with smooth margins. There is mild T9-T 10 spondylosis deformans.</t>
  </si>
  <si>
    <t>1. Moderate to severe main pulmonary and severe lobar arterial enlargement secondary to the reported heartworm disease. The moderate generalized bronchial pulmonary pattern likely indicates heartworm associated bronchitis. The radiographic changes are suggestive of class III heartworm disease. Echocardiography can be considered for further evaluation._x000D_
2. The generalized hepatomegaly is nonspecific. Rule out metabolic/vacuolar hepatopathy, hyperplasia, hepatitis, congestion or infiltrative neoplasia. Sonography can be considered for further evaluation.</t>
  </si>
  <si>
    <t xml:space="preserve">
1.Pleural fissure lines or moderate to severe pleural effusion has been detected. An overlying skin fold or in an obese animal, excessive pericardial fat could artifactually mimic the result of severe pleural effusion._x000D_
2.Moderate cardiomegaly has been detected but Heart Failure is NOT suspected._x000D_
3.A moderate to severe interstitial to alveolar pattern with concurrent dynamic airway disease has been identified._x000D_
4.Dynamic airway disease has been detected_x000D_
5.The evaluation has a strong suspicion of pulmonary nodules or mass lesion being present.</t>
  </si>
  <si>
    <t>Two survey radiographs of the abdomen, followed by an upper GI series spanning 7 hours is provided. Images dated 6/27/24 are available for comparison. Peritoneal and retroperitoneal detail is adequate. There is small volume gas and suspect scant amorphous soft tissue density in the stomach. Small and large bowel are minimally distended. Small round soft tissue density ventral to L5 on the lateral view is end-on-on loop of small bowel. No radiopaque foreign material or organomegaly. The caudal thorax is normal._x000D_
_x000D_
On the initial postcontrast images, there is scant barium in the esophagus, incidental. Moderate volume barium in the stomach and extending into proximal small bowel. At 20 minutes, barium has progressed throughout the majority of the small bowel, with mild reduced volume gastric barium. At one hour, there is progressive reduction of the volume of barium within the stomach. At three hours, there is scant barium remaining in the stomach. There is a poorly delineated ovoid 2.3 x 1.5 cm area of stippled contrast within the pylorus on both of these views. This mineral opaque contour is not seen on any of the other images. The majority of the barium is now located in the distal small bowel, proximal colon, with a small amount of barium in the rectum. At seven hours, there is no barium remaining in the stomach or small bowel. There is scant gas within the stomach, along with a faint gas-stippled ovoid 1.1 x 1.6 cm area in the region of the pylorus on both the VD and lateral view. Barium is concentrated cecum and colon. No intestinal filling defects on this study.</t>
  </si>
  <si>
    <t>Highly suspect small gastric foreign object. This was most convincing on the three-hour images, and would have been definitive if the ovoid mineral contour remained on the seven hour images. It is possible that a foreign object is minimally absorbent, allowing for minimal barium retention on the last set of images. No other gastrointestinal abnormalities.</t>
  </si>
  <si>
    <t>With the chronicity of clinical signs, and particularly if vomiting has persisted, gastroscopy should be considered.</t>
  </si>
  <si>
    <t>Study:_x000D_
Spinal radiography (including the thorax and abdomen): orthogonal views (two images) dated July 2, 2024_x000D_
_x000D_
Findings:_x000D_
On the lateral projection, there is narrowing of the T 11-T 12 and T 12-T 13 intervertebral disc spaces. The lumbar spine is unremarkable. There is no evidence of discospondylitis. The cardiac silhouette and pulmonary vasculature are normal in size. The pulmonary parenchyma is unremarkable. The pleural space is normal. There is no intrathoracic lymphadenopathy. The trachea is normal in diameter and course. The stomach contains a small volume of gas with the pylorus appropriately gas-filled on the left lateral image. The small intestines are normal in size, course and content. The colon contains formed fecal material. The liver and spleen are normal in size and margin. The kidneys are normal in size and contour. The urinary bladder is moderately distended._x000D_
_x000D_
A human digit is present in the primary beam on the VD view.</t>
  </si>
  <si>
    <t>1. Suspect T 11-T 12 and T 12-T 13 intervertebral disc disease._x000D_
2. Moderate urinary bladder distention. Rule out conscious retention versus upper motor neuron disease.</t>
  </si>
  <si>
    <t>Neurology consultation and MRI should be considered for further evaluation.</t>
  </si>
  <si>
    <t>Study:_x000D_
Spinal, pelvic and pelvic limb radiography: seven images dated July 2, 2024_x000D_
_x000D_
Findings:_x000D_
The L1-L2 intervertebral disc space appears mildly narrowed in comparison to the adjacent to spaces on the lateral projection timestamped 1:17 PM. The coxofemoral joints are unremarkable with good coverage of the femoral head by the acetabulum bilaterally. The right patella is superimposed with the medial femoral condyle on the VD view timestamped 1:01 PM. The left patella is in the correct anatomic location. There is increased soft tissue opacity within the cranial and caudal aspect of the right stifle joint space. The degree of soft tissue opacity within the left stifle joint spaces within normal limits. No degenerative change is present in either stifle. The bones of the tarsus and included portion of the pes are unremarkable bilaterally. The pelvic limb musculature is bilaterally symmetric. The included thorax and abdomen are unremarkable._x000D_
_x000D_
Human digits are present in the primary beam on the lateral projection of the left pelvic limb.</t>
  </si>
  <si>
    <t>1. Suspect L1-L2 intervertebral disc disease. Neurology consultation and MRI can be considered for further evaluation if the reported spinal pain persists or worsens in spite of activity or section pain management._x000D_
2. Right medial luxating patella. Surgical correction can be considered._x000D_
3. The right stifle joint effusion/capsular thickening may indicate concurrent integration and/or meniscal injury. Correlate with any joint instability/cranial drawer.</t>
  </si>
  <si>
    <t xml:space="preserve">Patient Name : Molly Jones, Date of study: Jul 2, 2024
3 images are provided for review
There are no previous radiographs for comparison.  The abdomen is excluded from the ventrodorsal image.  Ungloved human digits primary beam.  
Liver: The liver is slightly small with cranial displacement of the gastric axis.  
Spleen: The spleen is normal in size with smooth margins and homogeneous soft tissue.
Kidneys: The kidneys are normal in size and shape without obvious mineral.
Retroperitoneum: Retroperitoneal detail is adequate.
Urogenital: The urinary bladder is not well-identified, without obvious enlargement or mineral.
Peritoneum: Peritoneal detail is adequate.
Gastrointestinal tract: The stomach contains a moderate to large volume of gas.   Gas is in the pylorus in the left lateral image.  The stomach is within normal limits for size.  
The small intestine contains mild gas and fluid or is empty with a subjectively uniform population for size. 
The colon contains moderate well-defined soft tissue material and gas.
Musculoskeletal: Multiple prominent nipples, consistent with intact status of this patient.  The remaining included musculoskeletal structures are normal.  Reported caudal abdominal masses are not definitively identified.
</t>
  </si>
  <si>
    <t xml:space="preserve">1. Mild microhepatia.
- If present, consider occult portosystemic shunt or microvascular dysplasia or unlikely other.
2. Presumed normal gastrointestinal tract given lack of reported clinical signs.  </t>
  </si>
  <si>
    <t>Consider  routine blood work and bile acid testing. Consider computed tomography of the abdomen for further evaluation of reported caudal abdominal masses for pre-surgical planning of incisional/excisional biopsy.  Oncologist consultation depending on results. Empirical therapy and supportive care in the interim as needed.  Monitoring as directed, or sooner if clinical signs acutely change, fail to improve or worsen.</t>
  </si>
  <si>
    <t xml:space="preserve">
1.A minimal interstitial pattern has been detected._x000D_
2.The cardiac silhouette size is normal._x000D_
3.There is no evidence of BRONCHITIS, DYNAMIC AIRWAY COLLAPSE or BRONCHIECTASIS, PULMONARY NODULES or PLEURAL EFFUSION.</t>
  </si>
  <si>
    <t>Study:_x000D_
Thoracic/abdominal and pelvic radiography: six images dated July 2,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 region of the prostate is not included on the lateral projections. The osseous structures are unremarkable. There is good coverage of the femoral head by the acetabulum bilaterally. The pelvic limb musculature is bilaterally symmetric.</t>
  </si>
  <si>
    <t>1. Normal thorax. There is no radiographic evidence of heart disease. Consider echocardiography for further evaluation of the reported heart murmur._x000D_
2. Unremarkable abdomen._x000D_
3. Unremarkable coxofemoral joints.</t>
  </si>
  <si>
    <t xml:space="preserve">Patient Name : Bella Bustard, Date of study: Jul 2, 2024
7 images are provided for review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Small broad-based ventral extra-thoracic fat to soft tissue nodules is suspected.  T9-10 spondylosis deformans is present.  The remaining included musculoskeletal structures are normal.
</t>
  </si>
  <si>
    <t>1. Minimal-mild diffuse bronchial pulmonary pattern such as from infectious/immune-mediated lower airway disease (mycoplasma spp., bordetella spp., parasitism, or other), inhaled allergen/irritant, fibrosis from prior disease, age-related changes, or less likely other.
2. Suspected extra-thoracic lipoma versus evolving neoplasia or other.</t>
  </si>
  <si>
    <t>Etiology of reported cough is not definitively identified. Consider airway sampling and respiratory PCR panel for further evaluation.  Empirical therapy and supportive care in the interim as needed.  Monitoring as directed or sooner if clinical signs acutely change, fail to improve or worsen.</t>
  </si>
  <si>
    <t xml:space="preserve">
1.A mild bronchointerstitial pulmonary pattern and minimal perihilar infiltrate have been detected._x000D_
2.The cardiac silhouette size is normal._x000D_
3.There is no evidence of DYNAMIC AIRWAY COLLAPSE or BRONCHIECTASIS or PLEURAL EFFUSION.</t>
  </si>
  <si>
    <t>Orthogonal views of the thorax are provided:_x000D_
_x000D_
Thorax:_x000D_
_x000D_
In the LR view there is an irregular opacity superimposed with the esophagus and the 3rd ribs, not seen in the rest of the views and likely represents an esophageal particle similar to the ones in the stomach._x000D_
Cardiac silhouette has a normal shape and size._x000D_
Pulmonary vessels are within normal limits of size and shape._x000D_
Pulmonary parenchyma is within normal limits. No evidence of pneumonia nor signs of cariogenic pulmonary edema._x000D_
Pleural space, mediastinum, diaphragm and thoracic wall within normal limits._x000D_
_x000D_
Mineral foreign material in the stomach.</t>
  </si>
  <si>
    <t>1) Unremarkable thorax without signs of cardiomegaly (this does not exclude a cardiac disease as the mentioned DCM)._x000D_
2) Unremarkable lungs do not exclude a pharyngitis/pharyngeal or retropharyngeal FB/tonsilitis vs bronchitis of inflammatory/infectious or parasitic origin.</t>
  </si>
  <si>
    <t>Given the lack of cardiomegaly but audible murmur, consider a cardiology consultation with ECG and echocardiogram with an empirical treatment for pharyngitis/tonsilitis/bronchitis (after a negative oral and pharyngeal/laryngeal exam under sedation) evaluating response to treatment.</t>
  </si>
  <si>
    <t>Three radiographs of the thorax/abdomen are provided. The cardiac silhouette and pulmonary vessels are normal size and shape. There are no abnormalities in the pulmonary parenchyma or pleural space. Soft tissue thickening with punctate gas lucencies dorsal to the thoracic spine consistent with recent subcutaneous fluid administration. In the abdomen serosal detail is adequate. There is moderate volume soft tissue opaque ingesta in the stomach. Small bowel are mildly filled with fluid and gas. Small volume semi-formed feces in the colon. No radiopaque gastrointestinal foreign material or cystic calculi. Spondylosis deformans at L3-4 is of doubtful clinical significance today. One of the patellas is likely medially displaced.</t>
  </si>
  <si>
    <t>Normal thorax and postprandial abdomen. Gastric contents is presumably normal ingesta, with images obtained following recent meal. If the images were obtained following at least 12 hours anorexia, foreign material would be more likely.</t>
  </si>
  <si>
    <t>A CBC, blood chemistry profile, and fasted abdominal ultrasound is recommended. Glucose supplementation may be necessary for a fasting study.</t>
  </si>
  <si>
    <t>Ten radiographs of the thorax and thoracic limbs are provided. An endotracheal tube is present consistent with general anesthesia. The cardiac silhouette and pulmonary vessels are normal size and shape. Mild unstructured interstitial pattern and a few pulmonary osteomas is consistent with age and size of this patient. There are no soft tissue pulmonary nodules or pleural effusion. No cervicothoracic spinal abnormalities. Normal scapulae. There is mild enthesophyte formation on the caudal aspect of the right humeral head. Both shoulder joints are congruent. On the isolated right lateral shoulder view, there is faint curved mineral density overlying the right bicipital groove. Small osseous fragment cranial to the right supraglenoid tubercle is clavicular remnant. There is enthesophyte formation on the right ulnar anconeal process on the lateral view. Small formation on the medial coronoid process of the right ulna on the craniocaudal view. There is no osseous lysis. Carpal bones are in appropriate alignment. There is moderate soft tissue swelling in the proximal aspect of the right 3rd digit. No radiopaque foreign material, fracture, subluxation, or emphysema.</t>
  </si>
  <si>
    <t>1. Right thoracic limb 3rd digit soft tissue swelling. Cellulitis/edema secondary to small puncture wound is most likely, and the suspected cause for recent lameness. There is no evidence of fracture or subluxation._x000D_
2. Mild right cubital osteoarthritis suggestive of medial coronoid process disease, and mild right shoulder changes suggestive of bicipital tendinopathy. This could be contributing to discomfort._x000D_
3. Normal thorax.</t>
  </si>
  <si>
    <t>Recommend close inspection for evidence of a puncture wound, and supportive care with anti-inflammatories.</t>
  </si>
  <si>
    <t xml:space="preserve">
1.MILD BRONCHIAL PATTERN; MILD PERIHILAR PATTERN._x000D_
2.MILD BROCHIAL/BRONCHOINTERSTITIAL PULMONARY PATTERN._x000D_
3.Pleural fissure lines or small volume pleural effusion has been detected. In a mildly overweight animal, excessive pericardial fat can artifactually mimic the result of minimal pleural effusion._x000D_
4.Based on these AI airway/pulmonary findings, the probability of this patient having clinically detectable respiratory signs is LOW (25%)_x000D_
5.Based on these AI airway/pulmonary findings, the probability of this patient having clinically detectable respiratorysigns is LOW (25%)_x000D_
6.Are respiratory signs present? If YES._x000D_
7.Are respiratory signs present? If YES._x000D_
8.Are respiratory signs present? If NO._x000D_
9.Are respiratory signs present? If NO._x000D_
10.The cardiac silhouette size is normal._x000D_
11.There is no evidence of DYNAMIC AIRWAY COLLAPSE or BRONCHIECTASIS.</t>
  </si>
  <si>
    <t>Orthogonal views of the thorax are provided:_x000D_
_x000D_
Thorax:_x000D_
_x000D_
Cardiac silhouette has a normal shape and size._x000D_
Pulmonary vessels are within normal limits of size and shape._x000D_
Pulmonary parenchyma shows an alveolar pulmonary pattern with air bronchograms ventrally located on both cranial lung lobes with an interstitial lung pattern in the rest of the lung lobes. _x000D_
Pleural space, mediastinum, diaphragm and thoracic wall within normal limits.</t>
  </si>
  <si>
    <t>1) Alveolar  pulmonary pattern with air bronchograms ventrally located on both cranial lung lobes with an interstitial lung pattern in the rest of the lung lobes consistent with infectious bronchopneumonia (can not exclude concomitant parasitic pneumonia).</t>
  </si>
  <si>
    <t>Consider continuation with empirical treatment for infectious bronchopneumonia with follow up radiographs every 48/72 hours to evaluate response to treatment.</t>
  </si>
  <si>
    <t xml:space="preserve">
1.A severe alveolar pattern has been detected._x000D_
2.The cardiac silhouette size is normal._x000D_
3.There is no evidence of PERIHILAR INFILTRATE, DYNAMIC AIRWAY COLLAPSE or BRONCHIECTASIS or PULMONARY NODULES.</t>
  </si>
  <si>
    <t>Study:_x000D_
Thoracic, abdominal and cervical radiography: six images dated July 2, 2024_x000D_
_x000D_
Findings:_x000D_
The cardiac silhouette and pulmonary vasculature are normal in size. The pulmonary parenchyma is unremarkable. The pleural space is normal. There is no intrathoracic lymphadenopathy. The larynx and pharynx are normal. The trachea is normal in diameter and course. There is no esophageal dilation.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 osseous structures are unremarkable.</t>
  </si>
  <si>
    <t>1. Normal thorax and unremarkable cervical region. There is no radiographic evidence of cardiopulmonary disease. Consider infectious respiratory disease PCR testing, computed tomography the head/nasal passages and rhinoscopy for further evaluation of the upper respiratory signs._x000D_
2. Normal abdomen. There is no radiographic evidence of gastrointestinal foreign material or small intestinal mechanical obstruction.</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</si>
  <si>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small amount of ingesta.  The small intestines are normal in size.  Gas and feces are present in the colon.  The urinary bladder is small.  Tubular soft tissue structures are present in the mid ventral abdomen bilaterally.  The remaining abdominal organs are normal.</t>
  </si>
  <si>
    <t>Enlarged uterus. Consider pyometra, mucometra, hydrometra, early pregnancy, pseudo pregnancy if the patient is not been bred, consider abdominal exploratory for ovariohysterectomy.  Radiographically normal thorax for patient of this age.</t>
  </si>
  <si>
    <t>Study:_x000D_
Thoracic and skull/cervical radiography: six images dated July 2, 2024_x000D_
_x000D_
Findings:_x000D_
The cardiac silhouette and pulmonary vasculature are normal in size. There is a mild generalized bronchial pulmonary pattern. The pleural space is normal. There is no intrathoracic lymphadenopathy. The patient has a redundant dorsal tracheal membrane. The larynx and pharynx are unremarkable. The trachea is normal in diameter and course. The stomach contains unstructured heterogeneous soft tissue material presumed to be ingesta. The osseous structures included in the thoracic images are unremarkable. The nasal passages and frontal sinuses appear clear. The tympanic are appropriately gas filled and normal in thickness. The dentition is unremarkable.</t>
  </si>
  <si>
    <t>1. The skull and cervical region are unremarkable. A cause of the reported sneezing/reverse sneezing is not evident. Infectious respiratory disease PCR testing, computed tomography of the head session Hazel passages and rhinoscopy can be considered for further evaluation._x000D_
2. The mild generalized bronchial pulmonary pattern may indicate allergic, inflammatory, infectious, parasitic or irritant bronchitis. Airway sampling, heartworm testing and Baermann fecal flotation can be considered for further evaluation._x000D_
2. Redundant dorsal tracheal membrane. Normal diameter of the trachea does not exclude the possibility of concomitant tracheal collapse.</t>
  </si>
  <si>
    <t>5 images of the thorax and cervical spine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Cranial abdominal detail is adequate. There is consistent narrowing of the intervertebral disc space at C5-6. There is spondylosis deformans of the cervical spine. No fractures or aggressive osseous lesions are seen.</t>
  </si>
  <si>
    <t>Radiographically normal thorax for a patient of this age. Narrowed intervertebral disc space suggestive of herniation.</t>
  </si>
  <si>
    <t>2 views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t>
  </si>
  <si>
    <t>Four orthogonal thoracic radiographs dated 2nd July 2024 are available for review. There are no previous radiographs available for comparison. _x000D_
_x000D_
Thorax: _x000D_
Airway findings: No nodules, masses, or lymphadenomegaly is visible. The trachea has a normal position, shape and size. The pulmonary parenchyma is normal. A homogenous increased interstitial opacification is present consistent with body habitus._x000D_
_x000D_
Cardiovascular findings: The cardiac silhouette, and pulmonary vasculature is within normal limits._x000D_
_x000D_
Mediastinum and pleura: There is no evidence of pleural effusion. There is increased ventral pleural and pericardial fat._x000D_
_x000D_
Included abdomen: No significant abnormalities are detected. _x000D_
_x000D_
Musculoskeletal system: The patient is obese.</t>
  </si>
  <si>
    <t>1. Negative metastasis check, normal thorax. The body habitus interferes with assessment.</t>
  </si>
  <si>
    <t xml:space="preserve">
1.PULMONARY NODULES or NODULAR PATTERN; MODERATE INTERSTITIAL TO ALVEOLAR PATTERN; MILD BRONCHITIS._x000D_
2.Based on the AI airway/pulmonary findings, the probability of this patient having soft tissue pulmonary nodules and clinically detectable respiratory signs is VERY HIGH (&gt;75%)_x000D_
3.A severe alveolar pattern has been detected._x000D_
4.Pleural fissure lines or moderate to severe pleural effusion has been detected. An overlying skin fold or in an obese animal, excessive pericardial fat could artifactually mimic the result of severe pleural effusion._x000D_
5.Moderate cardiomegaly has been detected but Heart Failure is NOT suspected._x000D_
6.The evaluation result has a strong suspicion of soft tissue pulmonary nodules being present.</t>
  </si>
  <si>
    <t xml:space="preserve">Patient Name : Lucky DiFranco, Date of study: Jul 2, 2024
3 images are provided for review
Canine Thorax (3 Images) - 2 Lateral, 1 Vd
There are no previous radiographs for comparison.
Pulmonary parenchyma: A minimal to mild interstitial pattern is present that is most severe in the right cranial and caudal lung lobes, and left caudal lung lobe in the ventrodorsal image.
Pulmonary vasculature: The pulmonary vasculature is partially obscured in the right and left caudal lung lobes.  There is a suspicion of right cranial and caudal lobar venous enlargement in the left lateral and ventrodorsal images.
Cardiac silhouette: The cardiac silhouette is severely enlarged and tall, occupying greater than 2/3 the height of the thorax. The trachea is dorsally displaced. The caudodorsal margin of the cardiac silhouette is flattened. Rounded increased soft tissue is present in the region of the left atrium in the ventrodorsal image. A soft tissue bulge is at the 2-3 o'clock position of the cardiac silhouette (left auricular appendage). The cardiac silhouette is slightly convex in the region of the right atrium.
Mediastinum: The cranial mediastinum is normal.
Trachea: A soft tissue band partially superimposes over the dorsal aspect of the trachea.  
Esophagus: The esophagus is not well-identified.
Pleural space: The pleural fissure lines are between the right cranial/middle and right middle/caudal lung lobes in the ventrodorsal image.  
Musculoskeletal: The included musculoskeletal structures are normal.
</t>
  </si>
  <si>
    <t>1. Severe left- and mild-right-sided cardiomegaly.
- Differential diagnoses include myxomatous mitral valvular disease with/without tricuspid valvular disease, pulmonary hypertension/cor pulmonale, or unlikely other.
2.Interstitial pulmonary pattern most severe in the caudal lungs with suspected pulmonary venous enlargement is most likely due to left-sided congestive heart failure.
- Non-cardiogenic edema from possible seizure activity is also possible, but considered less likely.   
3. Mild pleural fluid such as from left-sided congestive heart failure versus tangential beam artifact, pleural thickening/folding, or unlikely other.
(amended on 07/02/2024 10:46)
4. Dorsal redundant tracheal membrane versus superimposed normal structures, with/without underlying dynamic airway disease.</t>
  </si>
  <si>
    <t>Diuretic and oxygen therapy, with monitoring for progression/resolution of the pulmonary pattern with serial thoracic radiographs.  Consider Holter monitoring to rule-out syncopal events versus reported seizure activity.  If this is truly seizure activity, neurologist consultation and MRI once stable.  Echocardiography, ECG and blood pressure for further evaluation as well as routine blood work and urinalysis once stable.   Monitoring as directed or sooner if clinical signs acutely change, fail to improve or worsen.
(amended on 07/02/2024 10:46)
Consider bronchoscopy/tracheoscopy and airway sampling for further evaluation if clinically indicated for dynamic airway disease.</t>
  </si>
  <si>
    <t>Cervicothoracic spinal radiographs parentheses 4 images) dated July 2, 2024._x000D_
_x000D_
_x000D_
Disc space narrowing is suspected at C7-T1 with increased bone opacity at the disc space and associated endplates. Mild disc space narrowing is present from T5 through T7. The remainder of the cervicothoracic vertebral column is unremarkable. The shoulders are normal. The cardiovascular structures, pulmonary parenchyma, trachea, pleural space, mediastinum, and diaphragm are unremarkable.</t>
  </si>
  <si>
    <t>C7-T1 and T5-T7 intervertebral disc disease. Note that non-disc related causes of neck pain cannot be completely ruled out.</t>
  </si>
  <si>
    <t>Assess for neurologic deficits=ZZ90= neurology consultation and advanced spinal imaging if present._x000D_
Empirical treatment for presumed intervertebral disc disease includes initial strict rest, analgesic therapy, anti-inflammatory therapy, and muscle relaxants.</t>
  </si>
  <si>
    <t xml:space="preserve">
1.Pleural fissure lines or small volume pleural effusion has been detected. In a mildly to moderately overweight animal, excessive pericardial fat can artifactually mimic the result of mild pleural effusion._x000D_
2.MODERATE INTERSTITIAL TO ALVEOLAR INFILTRATE; MILD PERIHILAR INFILTRATE; MINIMAL BRONCHIAL PATTERN._x000D_
3.Based on these AI airway/pulmonary findings,  the probability of this patient having clinically detectable respiratory signs is HIGH (75%)_x000D_
4.Are respiratory signs present?  If YES._x000D_
5.Are respiratory signs present? If NO._x000D_
6.The cardiac silhouette size is normal.</t>
  </si>
  <si>
    <t xml:space="preserve">Patient Name : Teddy Goick, Date of study: Jul 2, 2024
3 images are provided for review
Canine Thorax (3 Images) - 2 Lateral, 1 Vd
There are no previous radiographs for comparison.
Pulmonary parenchyma: A well-defined, round soft tissue nodule is over the cranial lung lobes in both lateral images and is subjectively better identified in the right lateral image.  This nodule is suspected in the periphery of the left cranial lung over the 3rd intercostal space in the ventrodorsal image.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soft tissue band superimposes over at least 50% of the tracheal lumen in the lateral images.  
Esophagus: The esophagus is not well-identified.
Pleural space: The pleural space is normal.
Musculoskeletal: The soft tissues of the mid to caudoventral thoracic body wall are enlarged.  Ventral to the 8th sternebrae is an ill-defined, ovoid soft tissue mass.  Il-defined and well-defined mineral is in this mass in the lateral images.  Ill-defined mineral and lobular soft tissue is suspected dorsal to this mass, in the caudoventral aspect of the pleural space.  The remaining included musculoskeletal structures are normal.
</t>
  </si>
  <si>
    <t>1. Left cranial lung lobe soft tissue nodule is most likely due to metastatic neoplasia or unlikely other.
2. Caudoventral extra-thoracic soft tissue mass with internal mineralization is consistent with reported suspected neoplasm such as a soft tissue sarcoma or unlikely mammary carcinoma or other.
3. Suspected caudoventral intra-thoracic soft tissue mass and mineral, likely associated with subjacent extra-thoracic mass.
- If present, extension of the suspected extra-thoracic neoplasm into the thorax is most likely.
4.  Minimal-mild diffuse bronchial pattern due to fibrosis from prior disease, age-related changes, or unlikely other.
5. Redundant tracheal membrane with/without dynamic airway disease.</t>
  </si>
  <si>
    <t>Consider computed tomography of the thorax for further evaluation of the cranial lung lobe nodule and sternal/caudoventral intra-thoracic mass(es).  Excisional/incisional biopsy if prior tissue sampling was inconclusive.  Oncologist consultation depending on results. Routine blood work and abdominal imaging if not recently performed to screen for occult systemic disease.  Empirical therapy and supportive care in the interim as needed.  Monitoring as directed or sooner if clinical signs acutely change, fail to improve or worsen.</t>
  </si>
  <si>
    <t>A single DV view of the thorax is provided for review.  The cardiovascular structures are normal.  The patient is underinflated on the provided views, causing a diffuse increase in opacity in all lung lobes.  Alveolar opacity is present in the right cranial lung lobe.  The mediastinal and pleural structures are normal.  Cranial abdominal detail is adequate.</t>
  </si>
  <si>
    <t>Airway sampling may be helpful in further evaluation.  Orthogonal views may be helpful in the patient is sufficiently stabilized.</t>
  </si>
  <si>
    <t xml:space="preserve">
1.The evaluation result has a strong suspicion of soft tissue pulmonary nodules being present._x000D_
2.Mild cardiomegaly has been detected but Heart Failure is NOT suspected._x000D_
3.PULMONARY NODULES or NODULAR PATTERN; MODERATE INTERSTITIAL TO ALVEOLAR PATTERN; MILD BRONCHITIS._x000D_
4.Based on the AI airway/pulmonary findings, the probability of this patient having soft tissue pulmonary nodules and clinically detectable respiratory signs is MEDIUM (&gt;50%)_x000D_
5.Concurrent bronchointerstitial lung disease (bacterial vs allergic vs parasitic lung disease, including heartworm patholsis), atelectasis, pneumonia or pulmonary hemorrhage may be present.</t>
  </si>
  <si>
    <t>Five orthogonal survey radiographs of the thorax and abdomen dated 2nd July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stomach is mainly empty, with a little gas. There is appropriate gas in the pyloric region on the left lateral image. The small intestines are diffusely mildly distended with a mix of gas and fluid. The caecum is moderately to severely gas dilated. The transverse and descending colon contains poorly formed faeces and gas. The urinary bladder is small. The hepatic silhouette is normal in size with smooth borders. The spleen is normal in shape, size and position. The kidneys are partially obscured by gastrointestinal contents, but the visible aspect are normal. The serosal detail is normal._x000D_
_x000D_
Musculoskeletal findings: No significant abnormalities are detected.</t>
  </si>
  <si>
    <t>1. The findings are suggestive of an enteritis/enterocolitis. This is likely infectious-inflammatory, or secondary to dietary indiscretion. There is no evidence for a foreign body, or segmental obstruction. Considering chronicity of the findings, other organ or systemic diseases such as hepatitis, cholangiohepatitis, pancreatitis should be considered.</t>
  </si>
  <si>
    <t>Consider an abdominal ultrasound. If diarrhoea develops,  supportive management including rehydration, gastroprotectants,  full blood work, faecal analysis may be considered.</t>
  </si>
  <si>
    <t>3 views of the thorax are provided for review.  The trachea is dorsally deviated, indicating left ventricular enlargement.  A bulge is present in the region of the left atrium.  Moderate bronchial markings are present in all lung lobes.  No perihilar pulmonary infiltrates are seen.  The pulmonary vasculature is normal in size.  The mediastinal and pleural structures are normal.  Cranial abdominal detail is adequate.</t>
  </si>
  <si>
    <t>Moderate bronchial pulmonary pattern=ZZ90= consider bronchitis, response to inhaled irritants, response to circulating parasites, eosinophilic bronchopneumopathy.  Airway sampling may be helpful in further evaluation.  Left-sided cardiomegaly without current evidence of cardiogenic pulmonary edema.  Echocardiography may be helpful in further staging.</t>
  </si>
  <si>
    <t xml:space="preserve">
1.MILD BRONCHOINTERSTITIAL PULMONARY PATTERN; MINIMAL to MILD PERIHILAR PATTERN._x000D_
2.MILD BRONCHOINTERSTITIAL PULMONARY PATTERN; MINIMAL DYNAMIC AIRWAY DISEASE._x000D_
3.Based on these AI airway/pulmonary findings, the probability of this patient having clinically detectable respiratory signs is LOW to MEDIUM (25-50%)_x000D_
4.Based on the AI airway/pulmonary findings, the probability of this patient having clinically detectable respiratory signs is LOW (25%)_x000D_
5.In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6.Are respiratory signs present? If YES._x000D_
7.Are respiratory signs present? If NO._x000D_
8.Severe cardiomegaly has been detected but Heart Failure is NOT suspected._x000D_
9.In the PRESENCE of respiratory signs, low grade active pneumonitis (allergic, bacterial, parasitic (including heartworm disease), inhaled allergen or toxin) or upper airway disease causing pulmonary hypoinflation and/or recurrent microaspiration may be more likely.</t>
  </si>
  <si>
    <t>7 images of the thorax and abdomen are provided for review. The cardiovascular structures are normal. There is a diffuse interstitial pattern that is considered appropriate for the age of the patient. No pulmonary nodules or enlarged intrathoracic lymph nodes are seen. The pleural and mediastinal structures are normal. Abdominal serosal detail is adequate. The stomach contains a small amount of soft tissue material. The small intestines are normal in size. Gas is present in the colon and cecum. The remaining abdominal organs are normal.</t>
  </si>
  <si>
    <t>Gastric contents in a fasted patient are concerning for foreign material. Severe ileus cannot be excluded but is considered less likely with lack of distension.</t>
  </si>
  <si>
    <t>Consider abdominal ultrasound for further evaluation of the gastrointestinal tract and pancreas. Further fasting and rehydration could be considered with recheck radiographs to determine if gastric contents persist.</t>
  </si>
  <si>
    <t xml:space="preserve">
1.PULMONARY NODULAR PATTERN; MINIMAL BRONCHOINTERSTITIAL PULMONARY PATTERN._x000D_
2.The evaluation has come up positive for a pulmonary nodular pattern._x000D_
3.Based on these AI airway/pulmonary findings, the probability of this patient having clinically detectable respiratory signs is MEDIUM (50%)_x000D_
4.Are respiratory signs present. If YES._x000D_
5.Are respiratory signs present. If NO._x000D_
6.The cardiac silhouette size is normal._x000D_
7.There is no evidence of DYNAMIC AIRWAY COLLAPSE or BRONCHIECTASIS.</t>
  </si>
  <si>
    <t xml:space="preserve">Patient Name : Birdie Hammond, Date of study: Jul 2, 2024
5 images are provided for review
This examination is compared to prior dated June 17, 2024.
Pulmonary parenchyma: A minimal to mild alveolar pattern is in the ventral periphery of the right middle lung lobe, best identified in the left lateral image.  A mild alveolar pattern is suspected in the ventral periphery of the right cranial lung lobe in the left lateral image, with faint air-bronchograms identified.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dorsal extremity of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gas.  Gas is in the pylorus in the left lateral image.  The stomach is within normal limits for size.
The small intestine contains mild gas and fluid or is empty with a subjectively uniform population for size. 
The colon contains minimal to mild heterogeneous soft tissue material and gas.
Musculoskeletal: The included musculoskeletal structures are normal.
</t>
  </si>
  <si>
    <t xml:space="preserve">1. Minimal-mild right middle and cranial lung lobe alveolar patterns such as from bronchopneumonia/aspiration pneumonia, or unlikely hemorrhage or other.
-This is progressive from prior.
2. Similar minimal-mild diffuse bronchial pattern due to infectious/immune-mediated lower airway disease (such as from mycoplasma spp., bordetella spp., parasitism such as lung worms, or inhaled allergen/irritant), or unlikely other.
3. No evidence of small intestinal mechanical ileus.  
4. Non-specific small intestinal and colon appearance due to variation of normal versus enteritis/colitis or unlikely other.
- Differential diagnoses for enteritis/colitis include dietary indiscretion, toxin ingestion, parasitism/primary infectious disease, inflammatory bowel disease occult systemic disease or unlikely other.  </t>
  </si>
  <si>
    <t>Therapy for suspected pneumonia with repeat radiographs if signs fail to improve or worsen.  Therapy for 1-2 weeks past radiographic resolution of presumed pneumonia.  Consider respiratory PCR panel, airway sampling, and fecal analysis/deworming for further evaluation.  Abdominal ultrasonography for further evaluation, especially if signs fail to improve or worsen with empirical therapy/supportive care. Monitoring as directed or sooner if clinical signs acutely change, fail to improve or worsen.</t>
  </si>
  <si>
    <t xml:space="preserve">
1.Moderate bronchointerstitial pulmonary pattern detected._x000D_
2.The evaluation has a strong suspicion of pulmonary nodules or mass lesion being present._x000D_
3.A severe interstitial to alveolar pattern has been detected._x000D_
4.Moderate bronchial and severe alveolar pattern._x000D_
5.Pleural fissure lines or moderate to severe pleural effusion has been detected. An overlying skin fold or in an obese animal, excessive pericardial fat could artifactually mimic the result of severe pleural effusion._x000D_
6.The cardiac silhouette size is normal._x000D_
7.A mild perihilar infiltrate has been detected.</t>
  </si>
  <si>
    <t>Orthogonal views of the thorax, abdomen, and right front extremity and a lateral view that includes the entire right forelimb are provided. There are six images total._x000D_
_x000D_
Musculoskeletal: No abnormality is identified involving the shoulder joint. The elbow and carpus are also unremarkable. No joint effusion or soft tissue swelling is seen. No destructive or productive bone lesions identified._x000D_
_x000D_
Thorax: A discrete 1.4 cm soft-tissue nodular shadow is identified superimposed over the cranial margin of the diaphragm just ventral to the caudal vena cava in the lateral view, believed to be within the lung. This cannot be corroborated in the VD view. The other lung fields are within normal limits. No cardiovascular abnormalities identified._x000D_
_x000D_
Abdomen: The margins of the spleen are rounded and slightly irregular. Overall spleen size appears to be normal. The other abdominal organs are within normal limits.</t>
  </si>
  <si>
    <t>1) No orthopedic abnormalities that would explain the lameness  are identified. Soft-tissue injury or inflammation including tendinitis could still be present._x000D_
_x000D_
2) A pulmonary nodule is suspected in the caudal lung. This appears to be a solitary lesion, and it cannot be corroborated in the VD view but is still suspected to be present in the lung, possibly close to midline. This could represent a residual granuloma from the previous lungworm infection, and early primary lung tumor or metastatic nodule, or possibly an artifactual shadow._x000D_
_x000D_
3) The spleen does not appear significantly enlarged, but the shape and margination is unusual. Possible etiologies would include scarring from a previous inflammatory or traumatic episode, hyperplasia, or early neoplastic changes.</t>
  </si>
  <si>
    <t>Recheck radiographs with opposite lateral and VD views of the thorax and abdomen is recommended in 6 to 8 weeks._x000D_
_x000D_
Symptomatic therapy for the lameness is recommended.</t>
  </si>
  <si>
    <t xml:space="preserve">
1.Moderate cardiomegaly has been detected but Heart Failure is NOT suspected._x000D_
2.There is no evidence of PULMONARY NODULES or PLEURAL EFFUSION._x000D_
3.MINIMAL to MILD BRONCHOINTERSTITIAL PULMONARY PATTERN; MILD DYNAMIC AIRWAY DISEASE; MILD PERIHILAR INFILTRATE._x000D_
4.Based on these AI airway/pulmonary findings, the probability of this patient having clinically detectable respiratory signs is LOW to MEDIUM (25-50%)_x000D_
5.Are respiratory signs present? If YES._x000D_
6.Are respiratory signs present? If NO.</t>
  </si>
  <si>
    <t>Five radiographs of the thorax and abdomen are provided. The studies compared to the previous dated 2-16-24._x000D_
_x000D_
There is severe dynamic narrowing of the trachea and lobar bronchi. Many of the lobar bronchi have a dilated appearance consistent with bronchiectasis. Moderate interstitial to alveolar infiltrates are present in the caudal lung fields, more prominent on the left side. Mild interstitial opacity is also present in the cranial subsegment of both cranial lobes. There is mild generalized cardiomegaly, that was not present in the previous radiographs._x000D_
_x000D_
There is moderate to severe hepatomegaly. The liver enlargement has also progressed relative to the previous study. There is a mineral dense foreign body in the stomach, approximately 2.5 cm in length in 1 cm and thickness, likely with irregular shape. The appearance is compatible with a rock, but different from the rocks seen in the stomach in the previous radiographs. There are a few loops of mildly gas dilated small intestine. Serosal detail in the abdomen is mildly reduced._x000D_
_x000D_
There is severe narrowing of the C5-C6 intervertebral disc space, and moderate narrowing at T13-L1.</t>
  </si>
  <si>
    <t>Interstitial to alveolar pulmonary infiltrates are present, most prominent in the caudal lobes. The appearance would be compatible with congestive heart failure or pneumonia. There is generalized heart enlargement that was not present in the previous radiographs a few months ago. Heart failure is a consideration but pneumonia is felt more likely._x000D_
There is also progressive hepatomegaly and a mild reduction in abdominal detail. Neoplasia such as lymphoma should also be ruled out as a cause of the pulmonary infiltrates and hepatomegaly._x000D_
_x000D_
There is a foreign body in the stomach, but this may not be responsible for the current clinical signs. There are a few mildly dilated small bowel loops, but the appearance is not suggestive of obstruction at this time in the foreign body is suspected to be in the stomach._x000D_
_x000D_
Other causes for the hepatomegaly such as infectious disease or endocrine disease should also be ruled out.</t>
  </si>
  <si>
    <t>Ultrasound the abdomen to evaluate for evidence of potential neoplasia such as lymphoma and FNA of the liver for cytologic evaluation is recommended._x000D_
_x000D_
The cause of the pulmonary infiltrates is not definitively known at this time, empiric antibiotic therapy for possible pneumonia is recommended._x000D_
_x000D_
Echocardiography is recommended to further assess the severity of the heart disease and likelihood of heart failure as a cause of the pulmonary changes._x000D_
_x000D_
There is pulmonary evidence of chronic bronchitis as well as chondromalacia and dynamic airway collapse. Long-term symptomatic therapy for the cough is likely indicated after resolution of the current active appearing pulmonary infiltrates_x000D_
_x000D_
Disc degeneration is present in the caudal cervical spine and thoracolumbar junction. Symptomatic therapy is recommended as needed.</t>
  </si>
  <si>
    <t xml:space="preserve">
1.Severe cardiomegaly has been detected but Heart Failure is NOT suspected._x000D_
2.MODERATE BRONCHOINTERSTITIAL PULMONARY PATTERN; MODERATE ALVEOLAR INFILTRATE or ATELECTASIA; PLEURAL FISSURE LINES or PLEURAL EFFUSION; MODERATE DYNAMIC AIRWAY DISEASE._x000D_
3.Based on these AI airway/pulmonary findings, the probability of this patient having clinically detectable respiratory signs is HIGH (75%)_x000D_
4.Are respiratory signs present? If NO._x000D_
5.Pleural fissure lines or moderate to severe pleural effusion has been detected._x000D_
6.Are respiratory signs present? If YES.</t>
  </si>
  <si>
    <t>Three radiographs of the thorax/abdomen are provided. Images dated 4/1/22 are available for comparison. The cardiac silhouette is normal size and shape on the lateral views. Fat deposition encircles the heart and extends into the cranial mediastinum on the VD projection. Pulmonary vessels are normal size. There is a small area of increased opacity overlying the cranial heart on the right lateral view. This is not definitively seen on the VD projection, and is at the same level as a skinfold. There is no pleural effusion. Small volume gas in the esophagus is transient and incidental. Normal tracheal diameter. In the abdomen serosal detail is adequate. The prostate is mildly enlarged, consistent with the reproductive status of this patient. Normal-sized kidneys, liver, spleen. The gastrointestinal tract is mildly filled. Punctate mineral density overlying the urinary bladder on the left lateral view is not persistent and is likely superimposed intestinal contents.</t>
  </si>
  <si>
    <t>1. Increased opacity overlying the cranial heart on the right lateral view is concerning for focal aspiration pneumonia. Summating skinfold could also cause this appearance. No other abnormalities are identified to explain the cough._x000D_
2. Normal abdomen.</t>
  </si>
  <si>
    <t>If the patient is febrile or has elevated white blood cell count, antibiotics would be recommended. Otherwise, this patient may benefit from symptomatic treatment for the cough.</t>
  </si>
  <si>
    <t xml:space="preserve">
1.MODERATE BRONCHOINTERSTITIAL PULMONARY PATTERN; MILD PERIHILAR INFILTRATE; MILD DYNAMIC AIRWAY DISEASE; ATELECTASIS or less likely, pneumonia._x000D_
2.Based on the AI airway/pulmonary findings, the probability of this patient having clinically detectable respiratory signs is MEDIUM to HIGH (50%-75%)_x000D_
3.Are respiratory signs present? If YES._x000D_
4.Mild cardiomegaly has been detected but Heart Failure is NOT suspected._x000D_
5.Are respiratory signs present? If NO.</t>
  </si>
  <si>
    <t>Three orthogonal thoracic radiographs dated 2nd July 2024 are available for review. There are no previous radiographs available for comparison. _x000D_
_x000D_
Airway findings: The thorax is well inflated in the images. The trachea has a normal position, shape and size. The carina and tracheal bifurcation are normal. There is a mild caudal dorsal bronchointerstitial pattern.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</si>
  <si>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1.Caudal bronchointerstitial pattern: Consideration should be given bacterial /viral bronchitis +/- parasitic bronchitis. Less likely are heart worm, hyperardenocorticism, neoplasia (such a lymphoma) or idiopathic pulmonary fibrosis. Considering the young age, a mixed tracheobronchitis (kennel cough) should be prioritised.</t>
  </si>
  <si>
    <t>Respiratory workup including CBC, serum chemistry, urinalysis, Baermann faecal testing, 4DX, +/- respiratory panel as indicated is advised.  Alternatively, empirical therapy for lower airway disease, empirical deworming, can be considered. If the patient=ZZ91=s signs continue despite supportive care, bronchoscopy/BAL vs. endotracheal wash +/- consultation with an Internist should be considered. Evaluate for upper airway disease as clinically indicated.</t>
  </si>
  <si>
    <t>Three radiographs of the thorax/abdomen are provided. Images dated 7/20/22 are available for comparison. The cardiac silhouette and pulmonary vessels are normal size and shape. There are mild age-related changes in the lungs. No pleural effusion or pulmonary nodules. Normal cranial mediastinal width and tracheal diameter. In the abdomen there is small volume fluid and gas in the stomach. The cranial right quadrant has a hazy appearance on the VD projection. Round soft tissue contour in the cranioventral abdomen on the lateral views is likely fluid in the pylorus. There is slight hazy soft tissue density ventral to the pylorus on both lateral views. Small bowel are mildly filled with fluid and scant gas. There is gas and small volume formed feces in the cecum and colon. Two linear metal opaque 2.2 cm wire objects in the ventral peritoneal space as before, incidental. No radiopaque urolithiasis. Normal-sized liver, kidneys, spleen. The lateral margins of the left kidney are smoothly irregular suggestive of previous infarcts, of doubtful significance today.</t>
  </si>
  <si>
    <t>Hazy cranial right quadrant and adjacent to the pylorus suggestive of gastritis/pancreatitis. No other definitive abdominal abnormalities. The thorax is normal.</t>
  </si>
  <si>
    <t>A CBC, blood chemistry profile, and abdominal ultrasound are recommended.</t>
  </si>
  <si>
    <t>Three radiographs of the thorax, and a right lateral view of the abdomen are provided. Images dated June 29, 2024 were reviewed for comparison. There is improved aeration in the mid ventral right lungs, with a small area of moderate interstitial pattern remaining, seen ventral to the tracheal bifurcation on the left lateral projection, and in the lateral aspect of the right 5th intercostal space on the VD projection. Otherwise the lungs are clear. Cardiovascular structures are normal size. Normal tracheal diameter._x000D_
_x000D_
In the abdomen the stomach contains a moderate amount of soft tissue opacity that is stippled with gas. Small intestines are diffusely mildly filled with fluid and scant gas. Moderate volume semi-formed feces in the colon. There is a single punctate mineral opaque focus in the distal colon. No other foreign material is appreciated. There is no effusion. Normal-sized liver, spleen, right kidney. The left kidney is not included on the VD projection.</t>
  </si>
  <si>
    <t>1. Pneumonia is significantly improved but not resolved. There is mild residual pneumonia in the right middle lobe._x000D_
2. Normal postprandial abdomen. Gastric contents appears to be normal ingesta. Small radiolucent foreign material also within the stomach is not definitively ruled out but given much lesser consideration in the absence of persistent vomiting.</t>
  </si>
  <si>
    <t>Recommend continue supportive care as needed. If the patient does not continue to improve, strictly fasted abdominal ultrasound would be recommended. If not available, a positive contrast gastrogram is another option.</t>
  </si>
  <si>
    <t>Patient Name: Mako Knight, Date of study: Jul 2, 2024
Thorax: 3 images are provided for review (2 lateral, 1 VD). 
Previous images dated [06/24/2024] are available for comparison.
Findings:
Cardiac silhouette: The cardiac silhouette is normal in size and shape, unchanged.
Pulmonary vessels: The pulmonary arteries and veins are normal in size and are symmetrical.
Pulmonary parenchyma: The pulmonary parenchyma remains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There is no evidence of megaesophagus.
Cranial abdomen: The stomach is filled with heterogeneous ingesta admixed with gas. There is adequate serosal detail.
Musculoskeletal: The included skeletal and superficial soft tissue structures of the study are within normal limits.</t>
  </si>
  <si>
    <t xml:space="preserve">1. Normal thorax, with no evidence of pneumonia.
2. Normal esophagus with no evidence of enlargement. Esophageal dysmotility cannot be excluded. </t>
  </si>
  <si>
    <t>If esophageal dysmotility is suspected, an esophageal swallow study could be considered.</t>
  </si>
  <si>
    <t>Three radiographs of the thorax, and three views of the abdomen are provided. The cardiac silhouette is normal size and shape. Pulmonary vessels are normal size. There are no abnormalities in the pulmonary parenchyma. Normal tracheal diameter. No esophageal dilation. In the abdomen there is large volume soft tissue opaque ingesta in the stomach. Small intestines are moderately gas-filled. Formed feces filled the distal colon. There is a curved 3.3 cm soft tissue opacity immediately cranial to the urinary bladder on both of the lateral views. Normal size splenic head, left kidney, liver. The right kidney is obscured. The urinary bladder is mildly filled and soft tissue opaque. No osseous abnormalities.</t>
  </si>
  <si>
    <t>1. Soft tissue density in the caudoventral abdomen may represent incidental appearance of a normal splenic tail, although is more rounded than expected. Fluid-filled uterine horns (pyometra, mucometra, hydrometra) is not definitively ruled out. No other abdominal abnormalities.
2. Normal thorax.</t>
  </si>
  <si>
    <t>Abdominal ultrasound should be considered to evaluate the spleen and uterus. There is no contraindication for general anesthesia based on this study.</t>
  </si>
  <si>
    <t>Three orthogonal thoracic radiographs dated 2nd July 2024 are available for review. There are no previous radiographs available for comparison. _x000D_
_x000D_
Airway findings: The cervical and thoracic trachea have a normal size, outline and position. The carina, tracheal bifurcation and mainstem bronchi are normal. A poorly marginated soft tissue mass is visible in the caudal dorsal right lung fields. Air bronchointerstitial opacification is present in the remainder of the lung parenchyma._x000D_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Thin pleural fissure lines are present._x000D_
_x000D_
Musculoskeletal findings: No significant abnormalities are detected._x000D_
_x000D_
Included abdomen: No significant abnormalities are detected.</t>
  </si>
  <si>
    <t>1. Solitary pulmonary mass: This may be a single metastasis, single bronchial adenocarcinoma, less likely abscess or cyst.</t>
  </si>
  <si>
    <t>Complete bloodwork, thoracic CT or ultrasound with aspirates if the lesion is peripheral enough and abdominal ultrasound are recommended for further staging.</t>
  </si>
  <si>
    <t>Opposite lateral and ventrodorsal thoracic radiographs (3 images) dated July 2, 2024.
The cardiac silhouette, pulmonary vasculature, and great vessels are within normal limits. A large rounded well defined soft-tissue opaque mass measuring 3.2 x 2.8 x 3.1 cm resides in the left caudal lung lobe. No pulmonary nodules or additional masses are identified. The pleural space and diaphragm are normal. No mediastinal abnormalities are appreciated. The trachea is normal in diameter and course with gas filling its lumen. No intrathoracic lymphadenopathy is evident.
The liver, minimally gas-filled stomach, included bowel segments, and cranial peritoneal detail are normal.
No aggressive or clinically significant osseous pathology is identified.</t>
  </si>
  <si>
    <t>Large solitary pulmonary mass in the left caudal lung lobe. Rule out primary pulmonary neoplasia (pulmonary carcinoma) vs. less likely a granuloma, abscess, or metastatic neoplasia.
The remainder of the thorax is unremarkable.</t>
  </si>
  <si>
    <t>Sedated intercostal US-guided FNA of the mass may be possibly for cytologic diagnosis.
Consider thoracic CT and lung lobectomy.</t>
  </si>
  <si>
    <t xml:space="preserve">
1.Pleural fissure lines or small volume pleural effusion has been detected. In a mildly overweight animal, excessive pericardial fat can artifactually mimic the result of minimal pleural effusion._x000D_
2.A mild interstitial to alveolar infiltrate has been detected._x000D_
3.The cardiac silhouette size is normal._x000D_
4.There is no evidence of PERIHILAR INFILTRATE, DYNAMIC AIRWAY COLLAPSE or BRONCHIECTASIS or PULMONARY NODULES.</t>
  </si>
  <si>
    <t>Study:_x000D_
Thoracic and abdominal radiography: seven images dated July 2, 2024_x000D_
_x000D_
Findings:_x000D_
The cardiac silhouette and pulmonary vasculature are normal in size. There is a mild to moderate generalized bronchial palmar a pattern. No alveolar disease is present. The pleural space is normal. There is no intrathoracic lymphadenopathy. The larynx is unremarkable. The trachea is normal in diameter and course. There is no esophageal dilation. The stomach contains heterogeneous/granular soft tissue material presumed to be ingesta. Similar material is present in some small intestinal segments. The small intestines are normal in size and course. The colon contains formed fecal material. The liver extends moderately beyond the costal arch with smooth and sharp margins. The spleen is normal in size and margin. The renal silhouettes are normal in size and contour. The urinary bladder is normal in size and opacity. The osseous structures are unremarkable. The patient is of overweight body condition.</t>
  </si>
  <si>
    <t>1. The mild generalized bronchial pulmonary pattern may indicate allergic, inflammatory, infectious, parasitic or irritant bronchitis. In addition to the pending heartworm test, airway sampling plus/minus Baermann fecal flotation can be considered for further evaluation. There is no evidence of aspiration pneumonia._x000D_
2. The generalized hepatomegaly is nonspecific. Rule out metabolic/vacuolar hepatopathy, hyperplasia, hepatitis or infiltrative neoplasia. Sonography can be considered for further evaluation. The abdomen is otherwise unremarkable.</t>
  </si>
  <si>
    <t>A cause of the reported vomiting versus regurgitation is not evident. There is no evidence of small intestinal mechanical obstruction or an esophageal motility disorder. Consider abdominal sonography plus/minus an esophagogram for further evaluation if clinical signs persist or worsen in spite of medical management.</t>
  </si>
  <si>
    <t xml:space="preserve">
1.Severe cardiomegaly has been detected but Heart Failure is NOT suspected._x000D_
2.SEVERE INTERSTITIAL TO ALVEOLAR PATTERN; SEVERE BRONCHIAL PATTERN; SEVERE DYNAMIC AIRWAY DISEASE._x000D_
3.Based on these AI airway/pulmonary findings, the probability of this patient having clinically detectable respiratory signs is VERY HIGH (&gt;75%)_x000D_
4.Are respiratory signs present? If YES._x000D_
5.Are respiratory signs present? If NO._x000D_
6.A moderate perihilar infitlrate has been detected.</t>
  </si>
  <si>
    <t>Three radiographs of the thorax, and two lateral views of the neck are provided. The cardiac silhouette and pulmonary vessels are normal size and shape. A mild unstructured interstitial pattern and several pulmonary osteomas is normal for the age of this patient. There is no pleural effusion. Adequate tracheal diameter. No laryngeal or esophageal abnormalities. Round soft tissue contour in the cranioventral abdomen is fluid within the pylorus.</t>
  </si>
  <si>
    <t>Normal thorax and neck. A reason for the clinical signs is not identified on this study. Inhaled irritant/allergens or infectious airway disease should be considered. Although no tracheal abnormalities are appreciated on this study, dynamic collapse is not definitively ruled out, as it may not be imaged on a static radiographic study.</t>
  </si>
  <si>
    <t>Opposite lateral and ventrodorsal thoracic and abdominal radiographs (10 images) dated July 1, 2024. Thoracic radiographs from April 5, 2024 are available for comparison._x000D_
_x000D_
_x000D_
_x000D_
There is similar diffuse esophageal dilation with gas. A new ventral alveolar infiltrate with air bronchograms is affecting the right middle and cranial lung lobes. The remainder of the pulmonary parenchyma is unremarkable. The trachea is deviated ventrally by the dilated esophagus. The pleural space, mediastinum, and diaphragm are normal. The cardiac silhouette, pulmonary vasculature, and great vessels are within normal limits._x000D_
_x000D_
The liver has an elongated and rounded lobe margin. On the right lateral view, there is a round soft-tissue opacity measuring approximately 4.3 cm partially superimposed with the splenic tail. The splenic head is only partially visible on the VD view with no obvious abnormalities appreciated. The stomach contains gas. The duodenum is moderately distended with gas on the VD projection, and the gastroduodenal angle is widened on this view. The remaining small intestine has a mild variation in diameter with most segments distended with gas. The cecum and most of the colon is distended with gas. The distal half of the descending colon contains a moderate amount of formed stool. Both kidneys are normal in size and shape, and faint areas of mineralization are suspected in one or both kidneys. The urinary bladder is mildly distended with homogeneous fluid opacity. Retroperitoneal and peritoneal detail are normal. No regional lymphadenopathy is evident._x000D_
_x000D_
Both shoulders have moderate periarticular bony remodeling affecting them. Both hips are severely incongruent with advanced periarticular bony remodeling, subchondral sclerosis, and small free osseous bodies. There is lumbosacral spondylosis deformans without disc space narrowing. No aggressive osseous lesions are identified.</t>
  </si>
  <si>
    <t>1. New aspiration pneumonia, characterized by a ventral alveolar infiltrates in the right cranial and middle lung lobes._x000D_
2. Static esophageal dilation is consistent with megaesophagus. Rule out idiopathic vs. GOLPP vs. paraneoplastic vs. less likely Addison=ZZ91=s and other causes._x000D_
3. Elongated and pedunculated hepatic lobe margin is suggestive of a benign metabolic/vacuolar hepatopathy vs. less likely infiltrative round cell neoplasia vs. least likely a pedunculated hepatic mass._x000D_
4. Suspected splenic mass based on the right lateral view vs. less likely incidental splenic folding._x000D_
5. The gas buildup throughout the stomach and can represent gastroenteritis vs. aerophagia vs. incidental from sedation (if applicable). Gastroduodenal widening could represent pancreatitis vs. incidental positioning._x000D_
6. Advanced bilateral hip dysplasia with osteoarthritis and moderate bilateral shoulder osteoarthritis.</t>
  </si>
  <si>
    <t>Treatment for pneumonia and recheck thoracic radiographs at day 12 of treatment to assess pulmonary clearance._x000D_
Bailey chair feedings, metoclopramide, sucralfate slurry, and low fat diet._x000D_
Abdominal ultrasound to further examine the suspected splenic mass, as well as the liver.</t>
  </si>
  <si>
    <t xml:space="preserve">
1.A mild bronchointerstitial pulmonary pattern and minimal dynamic airway disease have been detected._x000D_
2.The evaluation has come up positive for a pulmonary nodular pattern._x000D_
3.Minimal dynamic airway disease has been detected._x000D_
4.The cardiac silhouette size is normal.</t>
  </si>
  <si>
    <t>Study:_x000D_
Thoracic radiography: three images dated July 1,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liver extends beyond the costal arch with smooth margins. There is mild to moderate multifocal thoracolumbar spondylosis deformans. The patient is of overweight body condition.</t>
  </si>
  <si>
    <t>1. Unremarkable thorax. There is no radiographic evidence of pulmonary metastatic disease._x000D_
2. The generalized hepatomegaly is nonspecific. Rule out metabolic/vacuolar hepatopathy, hyperplasia, hepatitis or infiltrative neoplasia. Correlate with any liver enzyme abnormalities. Sonography can be considered for further evaluation if clinically relevant.</t>
  </si>
  <si>
    <t>Thorax: There is no evidence of pulmonary metastatic disease.  The pulmonary parenchyma, cardiac silhouette, and pulmonary vasculature are unremarkable.  There is no evidence of pleural effusion or lymphadenopathy.  There is a large subcutaneous mass with a fat opacity along the right lateral thorax.  Abdomen: There is mild amount of heterogeneous soft tissue opacity within the gastric lumen without evidence of obstruction.  The duodenum and segments of jejunum have small mineral debris within their lumens.  There is no evidence of a small intestinal obstructive process.  The liver is diffusely enlarged with rounding of its caudal ventral margins.  The remainder of the abdominal viscera is unremarkable.</t>
  </si>
  <si>
    <t>Subcutaneous lipoma along the right lateral thoracic wall._x000D_
_x000D_
Diffuse hepatomegaly.  Primary differential considerations include a hepatopathy or possible hepatitis._x000D_
_x000D_
The material within the gastric lumen most likely represents normal ingesta however foreign material cannot be ruled out._x000D_
_x000D_
Minimal debris within the small intestines without evidence of obstruction.</t>
  </si>
  <si>
    <t xml:space="preserve">
1.MILD TO MODERATE BRONCHOINTERSTITIAL PULMONARY PATTERN; ATELECTASIS or ALVEOLAR INFILTRATE._x000D_
2.Based on these AI airway/pulmonary findings, the probability of this patient having clinically detectable respiratory signs is LOW to MEDIUM (25-50%)_x000D_
3.Are respiratory signs present? If YES._x000D_
4.Are respiratory signs present? If NO._x000D_
5.Mild cardiomegaly has been detected but Heart Failure is NOT suspected._x000D_
6.There is no evidence of DYNAMIC AIRWAY COLLAPSE or BRONCHIECTASIS or PULMONARY NODULES.</t>
  </si>
  <si>
    <t>Orthogonal views of the thorax and stifles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Stifles:_x000D_
_x000D_
There is bilateral increased intra-articular triangular soft tissue opacity that craniodistally displaces the infrapatellar fat pad._x000D_
Mild osteophytosis is seen in the apex of the patella and tibial condyles._x000D_
Associated there is bilateral muscle atrophy.</t>
  </si>
  <si>
    <t>1) Unremarkable thorax without signs of pulmonary metastases nor signs of thoracic lymphadenopathy._x000D_
2) Rule out bilateral cranial cruciate ligament tear vs polyarthritis, associated with mild osteophytosis. Correlate with an orthopedic exam.</t>
  </si>
  <si>
    <t>Consider an orthopedic exam under sedation to corroborate this suspicion with arthorcentesis.</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</si>
  <si>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 evaluation has come up positive for a pulmonary nodular pattern._x000D_
6.The cardiac silhouette size is normal.</t>
  </si>
  <si>
    <t xml:space="preserve">Patient Name : Rosso Cain, Date of study: Jul 1, 2024
6 images are provided for review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minimal gas or is not well-identified.
Pleural space: The pleural space is normal.
Musculoskeletal: The soft tissues of the cranioventral neck and caudoventral head and enlarged.  possible mineral over the common pharynx in one lateral image is not corroborated in the alternate lateral image.  The remaining musculoskeletal structures are normal.
</t>
  </si>
  <si>
    <t>1. Minimal-mild diffuse bronchial pulmonary pattern such as from infectious/immune-mediated lower airway disease (mycoplasma spp., bordetella spp., parasitism, or other), inhaled allergen/irritant, fibrosis from prior disease, age-related changes, or less likely other.
2. Superimposed normal structures or less likely  pharyngeal mineral material such as from foreign material.
3. Swelling of the ventral neck soft tissues due to cellulitis/evolving abscessation from occult trauma, extension of pharyngeal injury such as from trauma (chewing on stick, etc.), or less likely evolving sialocele or other.</t>
  </si>
  <si>
    <t>Consider routine blood work and cross-sectional imaging of the head/neck for further evaluation.  Sedated laryngeal examination may also be contributory.  Empirical therapy and supportive care in the interim as needed.  Monitoring as directed or sooner if clinical signs acutely change, fail to improve or worsen.</t>
  </si>
  <si>
    <t xml:space="preserve">
1.A minimal interstitial pattern has been detected._x000D_
2.The cardiac silhouette size is normal._x000D_
3.There is no evidence of PERIHILAR INFILTRATE, DYNAMIC AIRWAY COLLAPSE or BRONCHIECTASIS or PULMONARY NODULES.</t>
  </si>
  <si>
    <t>Study:_x000D_
Thoracic radiography: three images dated July 1,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stomach contains unstructured heterogeneous soft tissue material presumed to be ingesta. The osseous structures are unremarkable.</t>
  </si>
  <si>
    <t>BRAF antigen testing can be considered for further evaluation of the reported bladder wall mass.</t>
  </si>
  <si>
    <t>Orthogonal views of the thorax and spine are provided. There are eight images total._x000D_
_x000D_
Mild left sided heart enlargement is identified. The pulmonary vessels and parenchyma are within normal limits._x000D_
The liver is smaller than expected for patient size._x000D_
_x000D_
The C3-C4 disc space appears moderately narrowed in the lateral view and the C4-C5 disc space appears moderately narrowed in the VD view, but neither can be definitively corroborated in the orthogonal view._x000D_
There is variable disc space narrowing involving multiple locations in the thoracic spine. No significant abnormalities are seen involving the lumbar spine, although the lumbosacral region is not included in the lateral views._x000D_
The pelvis and hips are within normal limits.</t>
  </si>
  <si>
    <t>1) There is mild left sided cardiomegaly. Chronic mitral valve regurgitation would be the most likely explanation. No pulmonary disease or evidence of heart failure is identified._x000D_
_x000D_
2) There is suspicion of disc space narrowing in the mid cervical spine, but this cannot be definitively determined from this study. Disc disease would be a potential explanation for the suspected pain. Other soft tissue pathology not apparent in the radiographs should still be ruled out. No evidence of discospondylitis is identified._x000D_
The narrowed disc spaces in the thoracic spine is unlikely to be significant.</t>
  </si>
  <si>
    <t>The radiographic appearance of the spine is inconclusive._x000D_
Dedicated cervical spinal radiographs under anesthesia with positioning age could be considered for more definitive evaluation of disc spaces._x000D_
Cross sectional imaging such as MRI would be ideal, and should be considered depending on the severity of clinical signs and response to empiric medical management for possible disc disease.</t>
  </si>
  <si>
    <t>Thorax: The pulmonary parenchyma, cardiac silhouette, and pulmonary vasculature are unremarkable.  There is no evidence of pleural effusion or lymphadenopathy.  There is thoracic lumbar vertebral spondylosis deformans._x000D_
_x000D_
Abdomen: There is mild diffuse hepatomegaly.  The remainder of the abdominal viscera is unremarkable.  There are regions of spondylosis deformities involving the caudal portions of the thoracic vertebral column and cranial portions of the lumbar vertebral column as well as the lumbosacral junction.</t>
  </si>
  <si>
    <t>Unremarkable thorax._x000D_
_x000D_
Diffuse hepatomegaly._x000D_
_x000D_
Multiple regions of spondylosis deformans.</t>
  </si>
  <si>
    <t>Orthogonal views of the thorax and abdomen are provided:_x000D_
_x000D_
Thorax:_x000D_
_x000D_
Cardiac silhouette shows a mild enlargement of the left atrium dorsally displacing the carina._x000D_
Pulmonary vessels are within normal limits of size and shape._x000D_
Pulmonary parenchyma is within normal limits. 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and urinary bladder WNL._x000D_
Ventral and lefts died SC lipomas.</t>
  </si>
  <si>
    <t>1) Left atrial enlargement secondary to chronic mitral endocardiosis vs cardiomyopathy, without signs of CHF._x000D_
2) Unremarkable abdomen.</t>
  </si>
  <si>
    <t>Consider a cardiology consultation with ECG and echocardiogram and abdominal US to further evaluate the GI signs and potential anemia.</t>
  </si>
  <si>
    <t xml:space="preserve">
1.MILD BRONCHOINTERSTITIAL PULMONARY PATTERN; MILD DYNAMIC AIRWAY DISEASE; MINIMAL PERIHILAR INFILTRATE._x000D_
2.Based on these AI airway/pulmonary findings, the probability of this patient having clinically detectable respiratory signs is MEDIUM (50%)_x000D_
3.Are respiratory signs present? If YES._x000D_
4.Are respiratory signs present? If NO._x000D_
5.Moderate cardiomegaly has been detected but Heart Failure is NOT suspected._x000D_
6.There is no evidence of PULMONARY NODULES or PLEURAL EFFUSION.</t>
  </si>
  <si>
    <t>A two view thoracoabdominal study is provided for interpretation._x000D_
_x000D_
No pulmonary infiltrates or bronchial thickening are identified. The appearance of the trachea and larynx is unremarkable. The cardiovascular structures are within normal limits._x000D_
_x000D_
The liver is markedly enlarged, with rounding of the margins. The other abdominal organs are within normal size and shape limits. Abdominal serosal detail is normal.</t>
  </si>
  <si>
    <t>No thoracic or tracheal abnormalities are identified to explain the cough._x000D_
Allergic lung disease would be most likely. Low-grade idiopathic chronic bronchitis or viral tracheobronchitis could also still be present without more significant radiographic changes._x000D_
_x000D_
There is marked hepatomegaly. Diffuse liver disease including metabolic or endocrine associated hepatopathies vs. less likely hepatitis or neoplasia should be ruled out.</t>
  </si>
  <si>
    <t>CBC and serum chemistry is recommended._x000D_
_x000D_
Symptomatic therapy for the cough is recommended._x000D_
_x000D_
If the cough persists long-term, bronchoscopy could be considered for definitive diagnosis.</t>
  </si>
  <si>
    <t xml:space="preserve">
1.A moderate bronchial pattern has been detected._x000D_
2.The cardiac silhouette size is normal._x000D_
3.There is no evidence of ALVEOLAR PATTERN, PERIHILAR INFILTRATE, DYNAMIC AIRWAY COLLAPSE or BRONCHIECTASIS or PLEURAL EFFUSION.</t>
  </si>
  <si>
    <t>Study:_x000D_
Thoracic radiography: three images dated July 1, 2024_x000D_
_x000D_
Findings:_x000D_
The cardiac silhouette and pulmonary vasculature are normal in size. The pulmonary parenchyma is unremarkable. The pleural space is normal. There is no intrathoracic lymphadenopathy. The trachea is normal in diameter and course. The liver extends mildly beyond the costal arch with smooth margins. There multiple indistinct punctate mineral foci in the right kidney. The osseous structures are unremarkable. The patient is of overweight body condition.</t>
  </si>
  <si>
    <t>1. Normal thorax. There is no radiographic evidence of cardiopulmonary disease.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airway sampling plus/minus heartworm testing and Baermann fecal flotation can be considered to further evaluate the reported coughing._x000D_
2. The generalized hepatomegaly is nonspecific. Rule out metabolic/vacuolar hepatopathy, hyperplasia, hepatitis or infiltrative neoplasia. Sonography can be considered for further evaluation._x000D_
3. Right nephrolithiasis versus nephrocalcinosis.</t>
  </si>
  <si>
    <t>Thorax: Today=ZZ91=s study is compared to a study dated 2/27/2024 there is moderate left and mild right-sided cardiomegaly.  This has increased in severity compared to the previous study.  There is an interstitial to alveolar pattern involving the right caudal lung lobe (ventrodorsal view).  The pulmonary vasculature is unremarkable.  There is no evidence of lymphadenopathy.  The remainder of the thorax is unremarkable..</t>
  </si>
  <si>
    <t>Moderate left and right-sided cardiomegaly which has increased in severity compared to previous.  The interstitial to alveolar pattern involving the right caudal lung lobe is consistent with cardiogenic pulmonary edema.</t>
  </si>
  <si>
    <t>Recommend consultation with veterinary cardiologist.</t>
  </si>
  <si>
    <t xml:space="preserve">
1.Are respiratory signs present? If YES._x000D_
2.Are respiratory signs present? If NO._x000D_
3.The evaluation has a strong suspicion of pulmonary nodules or mass lesion being present._x000D_
4.SEVERE INTERSTITIAL TO ALVEOLAR PATTERN; MODERATE BRONCHIAL PATTERN; SEVERE DYNAMIC AIRWAY DISEASE._x000D_
5.Based on these AI airway/pulmonary findings, the probability of this patient having clinically detectable respiratory signs is VERY HIGH (&gt;75%)_x000D_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</si>
  <si>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Study:_x000D_
Spinal radiography: six images dated July 1, 2024_x000D_
_x000D_
Findings:_x000D_
The dens is intact and well defined. The atlantoaxial joint space is normal. There is no cervical or thoracic intervertebral disc space narrowing. The L3-L4 through L5-L6 intervertebral displaces mildly narrowed. There is a small mineral opacity superimposed with the L6-L7 intervertebral foramen. The coxofemoral joints are normal with good coverage of the femoral head by the acetabulum bilaterally. The included thorax is normal. The included abdomen is unremarkable.</t>
  </si>
  <si>
    <t>1. L3-L4 through L5-L6 intervertebral disc disease is suspected._x000D_
2. The mineral opacity superimposed with the L6-L7 intervertebral foramen may indicate herniated mineralized disc material or lateralized spondylosis deformans.</t>
  </si>
  <si>
    <t>Consider neurology consultation and MRI if clinical signs persist or worsen in spite of activity restriction and pain management.</t>
  </si>
  <si>
    <t>8 images of the thorax, abdomen, and skull are provided for review.  The cardiovascular structures are normal.  Alveolar opacity is present in the right middle and left cranial lung lobes.  The mediastinal and pleural structures are normal.  Abdominal serosal detail is adequate in all quadrants.  The stomach contains a moderate amount of gas and the rugal folds are prominent.  The small intestines are normal in size.  Gas and feces are present in the colon.  The urinary bladder is small.  The remaining abdominal organs are normal.  Multiple teeth are absent.  The rostral portion of the mandible is lytic and directed laterally (a marker is not visible on the open-mouth DV view to determine laterality).</t>
  </si>
  <si>
    <t>Prominent rugal folds suggestive of gastritis.  This does not rule out underlying pancreatitis or infiltrative neoplasia.  Abdominal ultrasound could be considered in further evaluation.  Alveolar pulmonary pattern concerning for aspiration type pneumonia.  Airway sampling may be helpful in further evaluation.  Rostral mandibular fracture.  Lucency suggesting underlying aggressive lesion such as neoplasia or osteomyelitis.  Biopsy may be necessary for definitive diagnosis.</t>
  </si>
  <si>
    <t>Patient Name : Diogi Savant, Date of study: Jul 1, 2024
3 images are provided for review
There are no previous radiographs for comparison.
Thorax:
Airway/pulmonary parenchyma: The lungs are hypoinflated and there is a mild bronchointerstitial pattern in the caudodorsal thorax. On the VD projection, the left cranial lung lobe bronchus is caudally displaced and narrowed by caudal extension of the mass to the heart base. 
Cardiovascular: The cardiac silhouette silhouettes with the cranial mediastinal mass however mild right sided cardiomegaly and CVC distention are present on the lateral projection. On the VD projection, the caudal pulmonary arteries are enlarged, particularly on the left. 
Mediastinum: A soft tissue mass fills the cranial mediastinum resulting in severe dorsal displacement of the intrathoracic trachea on the lateral projection. On the VD projection, the trachea is deviated to the right by the mass. 
Pleural space: Fluid is present between the right cranial and right middle lung lobes on the VD projection. 
Cranial abdomen: The liver margin is lobular and a round soft tissue mass like structure is noted in the pyloric region on both the left and right lateral projections. No gas is noted within this structure on the left lateral projection making a soft tissue mass more likely than the pylorus. Mid-abdominal detail is mildly decreased. 
Msk: No aggressive osseous lesions are noted affecting the thoracic spine or ribs.</t>
  </si>
  <si>
    <t xml:space="preserve">1) Cranial mediastinal mass. DDx: thymoma vs. thymic lymphoma vs. ectopic thyroid tissue vs. less suspected, cranial mediastinal lymphadenopathy. Lung lobe bronchial displacement and compression by the heart base mass is likely the cause or contributing to the cough. Scant pleural fluid. 
2) Right sided cardiomegaly and CVC distention. Rule out compression of the right heart by the mass causing a partial outflow obstruction. 
3) Enlarged caudal pulmonary arteries, particularly on the left side. Rule out concurrent pulmonary hypertension or overcirculation due to compression of the cranial pulmonary vasculature by the mass. 
4) Decreased mid-abdominal detail with a round soft tissue structure in the pyloric region. DDx: pedunculated hepatic mass vs. less suspected, lymph node enlargement or splenomegaly or pylorus without gas. </t>
  </si>
  <si>
    <t>Cranial thoracic ultrasound with FNAs or biopsies. Ultrasound evaluation of the abdomen can also be performed for staging if the owner is considering treatment. Thoracic CT with contrast and inclusion of the abdomen on the CT if owner is considering surgery. 
Cardiac evaluation is also recommended prior to anesthesia.</t>
  </si>
  <si>
    <t xml:space="preserve">
1.MODERATE BRONCHIAL PATTERN; MODERATE DYNAMIC AIRWAY DISEASE._x000D_
2.Based on these AI airway/pulmonary findings, the probability of this patient having clinically detectable respiratory signs is HIGH (75%)_x000D_
3.Are respiratory signs present? If YES._x000D_
4.Are respiratory signs present? If NO._x000D_
5.The evaluation has a strong suspicion of pulmonary nodules or mass lesion being present._x000D_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</si>
  <si>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Study:_x000D_
Thoracic radiography: four images dated July 1, 2024_x000D_
_x000D_
Findings:_x000D_
The vertebral heart is mildly elevated (approximately 11)=ZZ90= however, the cardiac silhouette retains a normal shape with no specific chamber enlargement present. The pulmonary vasculature is normal in size. There is a mild generalized bronchointerstitial pulmonary pattern, considered a benign age-related change. No pulmonary nodules or masses are present. The pleural space is normal. There is no intrathoracic lymphadenopathy. The trachea is normal in diameter. On both lateral projections, there is a incompletely imaged round soft tissue opaque mass in the mid-ventral abdomen (at least 7.6 cm). There is severe left elbow periarticular bone formation/degenerative change and mild to moderate right elbow periarticular new bone formation/degenerative change. These findings are similar to the March 14, 2020 study.</t>
  </si>
  <si>
    <t>1. Mid abdominal mass. A splenic mass is prioritized. Recommend abdominal sonography for further evaluation._x000D_
2. There is no evidence of pulmonary metastatic disease._x000D_
3. There is mild cardiomegaly based on the vertebral heart score. Consider dilated cardiomyopathy given the patient=ZZ91=s history of a grain free diet versus degenerative valve disease. Echocardiography can be considered for further evaluation._x000D_
4. Bilateral elbow osteoarthrosis, similar in severity to the prior 2020 examination.</t>
  </si>
  <si>
    <t>Six orthogonal survey radiographs of the thorax and abdomen dated 1st July 2024 are available for review. There are no previous radiographs available for comparison. _x000D_
_x000D_
Thorax: _x000D_
Airway findings: A smoothly marginated soft tissue opacity is variably present overlying the dorsal aspect of the trachea at the thoracic inlet. This opacity reduces approximately 20% of the dorsoventral diameter of the trachea. The intrathoracic trachea is normal. The thorax is hypoinflated. There is a mild bronchointerstitial opacification._x000D_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Some thin pleural fissure lines are present. _x000D_
_x000D_
Abdomen: The buttock silhouette to smoothly enlarged. The tail of the spleen is prominent. The stomach is mainly empty, containing some gas. There is appropriate gas in the pylorus on the left lateral image. The small intestines are mainly empty. The descending colon contains some gas and poorly formed faeces. The urinary bladder is filled. The kidneys are partially obscured by gastrointestinal contents, but the visible aspect are normal. The serosal detail is normal._x000D_
_x000D_
Musculoskeletal findings: The patient is obese.</t>
  </si>
  <si>
    <t>1. The dorsal attenuation of the trachea is consistent with redundant trachealis membrane or overlying musculature. _x000D_
2. Caudal dorsal mild bronchointerstitial pattern: Primary consideration should be given to normal ageing/fibrosis from previous disease and hypoinflation. Allergic bronchitis, chronic bacterial /viral bronchitis +/- parasitic bronchitis should also be considered. Less likely are hyperardenocorticism, neoplasia (such a lymphoma) or idiopathic pulmonary fibrosis.  _x000D_
3 Left atrial dilation. This is most likely due to mixoid degeneration of the mitral valve. There is no evidence for cardiac insufficiency. _x000D_
4.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origins._x000D_
5. Mild splenomegaly: differential diagnoses include passive congestion from sedation (if administered), splenitis, extramedullary hematopoiesis, lymphoid hyperplasia, or neoplasia.</t>
  </si>
  <si>
    <t>Correlate with palpation testing for upper respiratory disease. Consider evaluation for airway collapse (fluoroscopy vs. right lateral inspiratory and expiratory radiographs vs. CT with virtual bronchoscopy). _x000D_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 _x000D_
Radiography is insensitive for early cardiac insufficiency, therefore ECG, blood pressure measurements, and echocardiography may be considered for further evaluation, or baseline measurements._x000D_
Consider abdominal ultrasonographic examination, with a view to FNA of abnormal organs, after complete blood work, and a normal coagulation panel.</t>
  </si>
  <si>
    <t xml:space="preserve">
1.MODERATE INTERSTITIAL TO ALVEOLAR INFILTRATE; CONCURRENT MODERATE BRONCHIAL PATTERN; MILD PERIHILAR INFILTRATE._x000D_
2.Based on the AI airway/pulmonary findings, the probability of this patient having clinically detectable respiratorysigns is HIGH (75%)_x000D_
3.AI linked bacterial pneumonia treatment in dogs: https://platform.v2.vetology.net/doc/pneumonia-in-dogs-and-cats_x000D_
4.Are respiratory signs present? If YES._x000D_
5.Pleural fissure lines or small volume pleural effusion has been detected. In a mildly overweight animal, excessive pericardial fat can artifactually mimic the result of minimal pleural effusion._x000D_
6.Moderate cardiomegaly has been detected but Heart Failure is NOT suspected._x000D_
7.Are respiratory signs present? If NO.</t>
  </si>
  <si>
    <t>Four radiographs of the thorax, and orthogonal views of the neck are provided. The cardiac silhouette and pulmonary vessels are normal size and shape. The appearance of straightened caudal heart waist on the left lateral view is due to superimposed rib contour. On the left lateral view, the caudoventral lung margins are poorly delineated, with suspect ventral severe interstitial pattern in this area. No other pulmonary parenchymal abnormalities. There is no pleural effusion. Normal cranial mediastinal width. Redundant dorsal trachealis membrane causes moderate narrowed caudal cervical trachea. No esophageal dilation. Incidental faint laryngeal mineralization. No abnormalities in the caudal oral cavity or common pharyngeal region. The nasopharynx is normally air-filled.</t>
  </si>
  <si>
    <t>Suspect mild aspiration pneumonia in the caudoventral right lungs. Otherwise normal thorax and cervical tissues. Infectious airway disease is not definitively ruled out.</t>
  </si>
  <si>
    <t>Consider antibiotics, particularly if the patient is febrile or has elevated white blood cell count.</t>
  </si>
  <si>
    <t>A two view thoracoabdominal study is provided for interpretation._x000D_
_x000D_
Rugal folds in the stomach are slightly prominent. No foreign bodies are identified in the GI tract. No dilation of the stomach or intestine is seen. Serosal detail in the abdomen is normal. The other organs are within normal size and shape limits._x000D_
The cardiovascular structures are within normal limits. No pulmonary or pleural abnormalities are seen. No esophageal abnormalities are identified.</t>
  </si>
  <si>
    <t>No foreign bodies or obstructive pattern are identified. Gastroenteritis is most likely. Pancreatitis should also be ruled out._x000D_
No thoracic abnormalities are identified.</t>
  </si>
  <si>
    <t>Symptomatic therapy and supportive care is recommended._x000D_
Infectious causes of enteritis and parasitism should be ruled out.</t>
  </si>
  <si>
    <t>Three radiographs of the thorax, and three views of the abdomen are provided. The cardiac silhouette is normal size and shape with no chamber enlargement. A mild bronchial pattern is present throughout the lungs. There are no soft tissue pulmonary nodules or pleural effusion. Normal tracheal diameter. Small volume fat deposition in the cranial mediastinum._x000D_
_x000D_
In the abdomen there is no effusion. Smoothly marginated lobulated 10.3 cm soft tissue opaque mass and curved 3.5 cm soft tissue opaque mass are noted associated with the splenic tail. Normal liver. The kidneys are obscured. There is abundant peritoneal fat in the cranioventral abdomen. The gastrointestinal tract is minimally filled. No radiopaque cystic calculi. Degenerative change in the right coxofemoral joint.</t>
  </si>
  <si>
    <t>1. Splenic masses. Neoplasia such as hemangiosarcoma is most likely. Hematoma or hemangioma are next on the differential list. No other abdominal abnormalities._x000D_
2. Mild bronchial pattern may be normal age-related change. The reason for acute cough is not identified. Inhaled irritant/allergens or infectious airway disease should be considered. There is no evidence of nodular pulmonary metastatic disease.</t>
  </si>
  <si>
    <t>Ultrasound evaluation of the abdomen should be considered to rule out additional lesions which may preclude surgical intervention.</t>
  </si>
  <si>
    <t xml:space="preserve">
1.Are respiratory signs present? If NO._x000D_
2.MODERATE INTERSTITIAL TO ALVEOLAR PATTERN; MILD BRONCHITIS._x000D_
3.Based on these AI airway/pulmonary findings, the probability of this patient having clinically detectable respiratory signs is MEDIUM (50%)_x000D_
4.Are respiratory signs present? If YES._x000D_
5.The cardiac silhouette size is normal._x000D_
6.There is no evidence of DYNAMIC AIRWAY COLLAPSE or BRONCHIECTASIS.</t>
  </si>
  <si>
    <t>Orthogonal views of the thorax are provided:_x000D_
_x000D_
Thorax:_x000D_
_x000D_
Questionable narrowing of the trachea at the caudal cervical region._x000D_
Cardiac silhouette has a normal shape and size._x000D_
Pulmonary vessels are within normal limits of size and shape._x000D_
Pulmonary parenchyma is within normal limits. No evidence of aspiration pneumonia nor signs of pulmonary nodules/masses._x000D_
Pleural space, mediastinum, diaphragm and thoracic wall within normal limits._x000D_
_x000D_
Liver extends beyond the costal arch with sharp margins.</t>
  </si>
  <si>
    <t>1) Rule out dynamic cervical tracheal collapse. Unremarkable thorax without signs of cardiomegaly (this does not exclude a cardiac disease), pulmonary metastases nor signs of thoracic lymphadenopathy. _x000D_
2) Hepatomegaly: Metabolic vs Vacuolar infiltration vs Hepatic nodular hyperplasia vs Inflammatory vs Toxic vs Neoplastic or a combination of these differentials.</t>
  </si>
  <si>
    <t>Given the lack of cardiomegaly but audible murmur, consider a cardiology consultation with ECG and echocardiogram followed by an abdominal US to further evaluate the hepatic parenchyma prior to a fluoroscopy (followed by tracheobronchoscopy, BAL and culture/cytology) to rule in extrathoracic tracheal collapse and to rule in/out intrathoracic vs bronchial component, evaluating treatment options. Take advantage of the bronchoscopy to further evaluate the larynx given 30% of patients with tracheal collapse display different degrees of laryngeal paralysis.</t>
  </si>
  <si>
    <t>Study:_x000D_
Thoracic and abdominal radiography: seven images dated July 1, 2024_x000D_
_x000D_
Findings:_x000D_
The cardiac silhouette and pulmonary vasculature are normal in size. The pulmonary parenchyma is unremarkable. The pleural space is normal. There is no intrathoracic lymphadenopathy. The larynx is unremarkable. The trachea is normal in diameter and course. There is a large volume of free peritoneal gas secondary to the recent laparotomy/C-section. The stomach contains a small volume of gas. The small intestines are normal in size, course and content. The colon contains gas with a normal diameter. The liver and spleen are normal in size and margin. The renal silhouettes are normal in size and contour. The urinary bladder is unremarkable. There is moderate dilation of the uterus. The mammary glands are enlarged. There is a mild amount of ventral abdominal subcutaneous emphysema from the recent laparotomy. The patient has multiple, breed associated congenitally anomalous thoracic vertebrae. The dens is intact and well defined. The atlantoaxial joint space is normal. There is no cervical intervertebral disc space or foraminal narrowing.</t>
  </si>
  <si>
    <t>1. Multifocal anomalous thoracic hemivertebrae, typical for patient signalment. A cause of the reported neurologic deficits is not evident. Recommend neurology consultation and MRI for further evaluation._x000D_
2. Normal thorax. A cause of the respiratory signs is not evident. There is no evidence of cardiopulmonary disease. Consider brachycephalic airway syndrome._x000D_
3. The uterine dilation is within normal limits given the history of recent pregnancy/C-section. Postoperative pneumoperitoneum. The remainder the abdomen is unremarkable.</t>
  </si>
  <si>
    <t xml:space="preserve">
1.A minimal perihilar infiltrate has been detected._x000D_
2.A minimal interstitial pattern has been detected._x000D_
3.The cardiac silhouette size is normal._x000D_
4.There is no evidence of BRONCHITIS, DYNAMIC AIRWAY COLLAPSE or BRONCHIECTASIS, PULMONARY NODULES or PLEURAL EFFUSION.</t>
  </si>
  <si>
    <t>Seven orthogonal survey radiographs of the thorax and abdomen dated 1st July 2024 are available for review. These are compared with previous radiographs dated 28th March 2024_x000D_
_x000D_
Thorax:_x000D_
Airway findings: The trachea is elevated within the thorax. There is narrowing of the mainstem bronchi. There is widening of the tracheal bifurcation. Throughout the lung parenchyma there is a minimal bronchointerstitial opacification, most prominent in the perihilar region.  No nodules or masses are seen._x000D_
_x000D_
Cardiovascular findings: There is a large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80% of the width of the thoracic volume. The cranial and caudal pulmonary vasculature are within upper normal limits. The caudal vena cava is normal._x000D_
_x000D_
Mediastinum and pleural space: There is mild ventral soft tissue attenuation consistent with mild pleural effusion._x000D_
_x000D_
Musculoskeletal findings: No significant abnormalities are detected._x000D_
_x000D_
Abdomen: There is gas in the stomach with a normal axis. The duodenum is mild to moderately gas and fluid dilated. The small intestines are filled with a small amount of gas, fluid and soft tissue opaque material. The descending colon contains gas. The hepatic silhouette is normal in size with smooth borders. The spleen is normal in shape, size and position. The kidneys are partially obscured by gastrointestinal contents, but the visible aspect are normal. The urinary bladder is normal. The serosal detail is normal.</t>
  </si>
  <si>
    <t>1.Mainly left sided cardiomegaly with left atrial dilation: This is most likely due to mitral valve insufficiency. The size is comparable with previous radiographs. The minimal bronchointerstitial opacification was less prominent previously, therefore very early cardiogenic pulmonary oedema may be present._x000D_
2. The duodenal distension is suspicious of pancreatitis/duodenitis. The gas dilation of the colon supports the clinical differential of a colitis. No radiopaque foreign material, or segmental distension is seen.</t>
  </si>
  <si>
    <t>The evidence for cardiac insufficiency is equivocal. ECG, blood pressure measurements and echocardiography are advised. Alternatively, diagnostic treatment with diuretics and repeat radiographs may be considered._x000D_
Supportive management including rehydration, gastroprotectants,  full blood work, faecal analysis if clinically indicated is advised, if not already performed.</t>
  </si>
  <si>
    <t xml:space="preserve">
1.MODERATE ALVEOLAR PATTERN; CONCURRENT MILD to MODERATE BRONCHOINTERSTITIAL PATTERN; MILD DYNAMIC AIRWAY DISEASE._x000D_
2.Based on the AI airway/pulmonary findings, the probability of this patient having clinically detectable respiratory signs is MEDIUM to HIGH (50-75%)._x000D_
3.Are respiratory signs present? If YES._x000D_
4.Are respiratory signs present? If NO._x000D_
5.Pleural fissure lines or moderate pleural effusion has been detected. An overlying skin fold or in a moderately overweight animal, excessive pericardial fat could artifactually mimic the result of moderate pleural effusion._x000D_
6.Severe cardiomegaly has been detected but Heart Failure is NOT suspected.</t>
  </si>
  <si>
    <t>A three view study of the thorax that includes the cranial abdomen is provided for interpretation._x000D_
_x000D_
The heart is within normal size and shape limits. No pulmonary infiltrates or bronchial thickening are identified. The trachea is unremarkable. No pleural abnormalities are seen. The cranial abdominal organs are within normal limits.</t>
  </si>
  <si>
    <t>No significant cardiopulmonary abnormalities are identified. The thorax is unremarkable.</t>
  </si>
  <si>
    <t>The cause of cough is not apparent in the radiographs. Considering the chronic history and lack of significant radiographic changes, allergic lung disease or low-grade idiopathic chronic bronchitis is most likely. _x000D_
Symptomatic therapy is recommended.</t>
  </si>
  <si>
    <t>Study:_x000D_
Thoraci/abdominal c radiography: three images dated July 1, 2024_x000D_
_x000D_
Findings:_x000D_
The cardiac silhouette and pulmonary vasculature are normal in size. The pulmonary parenchyma is unremarkable. The pleural space is normal. There is no intrathoracic lymphadenopathy. The patient has redundant dorsal tracheal membrane. The trachea is normal in diameter and course. The abdominal serosal detail is adequate.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The osseous structures are unremarkable. There is no intervertebral disc space or foraminal narrowing.</t>
  </si>
  <si>
    <t>1. A cause of the right axillary pain is not evident. Computed tomography can be considered for further evaluation if the clinical signs persist or worsen in spite of pain management._x000D_
2. Redundant dorsal tracheal membrane. Normal diameter of the trachea does not exclude the possibility of concomitant tracheal collapse._x000D_
3. Normal thorax. There is no radiographic evidence of cardiopulmonary disease._x000D_
4. Unremarkable abdomen.</t>
  </si>
  <si>
    <t>Orthogonal views of the thorax are provided:_x000D_
_x000D_
Thorax:_x000D_
_x000D_
There is moderate left atrium enlargement that dorsally displaces the carina, producing an overall severe cardiomegaly._x000D_
The pulmonary veins are normal sized. However, there is a peri-hilar and bilateral cauododorsal alveolo-interstitial pulmonary pattern worse in the left caudal lung lobe._x000D_
Normal mediastinum, diaphragm and thoracic wall._x000D_
_x000D_
Liver extends beyond the costal arch with sharp margins.</t>
  </si>
  <si>
    <t>1) Cardiomegaly (left sided) with peri-hilar and bilateral cauododorsal alveolo-interstitial pulmonary pattern worse in the left caudal lung lobe. Findings consistent with left sided congestive heart failure secondary to chronic mitral endocardiosis. Rule out tricuspid endocardiosis with post-capillary pulmonary hypertension._x000D_
2) Hepatomegaly: Early right sided congestive heart failure vs Metabolic vs Vacuolar infiltration vs Hepatic nodular hyperplasia vs Inflammatory vs Toxic vs Neoplastic or a combination of these differentials.</t>
  </si>
  <si>
    <t>Orthogonal views that include the neck, thorax, and abdomen are provided. There are five images total._x000D_
_x000D_
There is severe narrowing of intervertebral disc spaces in the caudal cervical spine from C5 to C7. C4-C5 is moderately narrowed. No spinal subluxation or destructive bone lesions are seen. Soft tissues of the neck are unremarkable. Moderate narrowing is also seen involving the spaces in the cranial lumbar spine from L1 to L3._x000D_
_x000D_
There is a region of stiff of mineral density in the right liver, presumed to represent mineral dense sediment in the gallbladder and biliary tree. Both kidneys are suspected to be small, with a few small calculi. The other abdominal organs are within normal limits._x000D_
No thoracic abnormalities are identified.</t>
  </si>
  <si>
    <t>There is disc space narrowing the caudal cervical spine that is likely the result of chronic disc degeneration. Secondary disc extrusion/protrusion with spinal cord or nerve root impingement would be a likely explanation for the clinical signs._x000D_
_x000D_
The kidneys are suspected to be small, typically the result of chronic degenerative kidney disease._x000D_
There is abnormal mineral dense content in the biliary tree._x000D_
These findings are not likely relevant to the current clinical signs.</t>
  </si>
  <si>
    <t>Medical management for probable disc disease is recommended._x000D_
_x000D_
More advanced imaging such as MRI, CT, or myelography would likely be necessary for more definitive evaluation._x000D_
_x000D_
CBC and serum chemistry is recommended due to the liver and kidney changes.</t>
  </si>
  <si>
    <t>Three orthogonal radiographs of the abdomen dated 1st July 2024 are available for review. There are no previous radiographs available for comparison. _x000D_
_x000D_
Intra-abdominal findings: The hepatic silhouette is normal. The kidneys are partially obscured by gastrointestinal contents, but the visible aspect are normal. The spleen is normal. The stomach is mainly empty, where there subjectively thickened wall and prominent rugal folds. There is appropriate gas in the pylorus on the left lateral image. To small intestines are mildly cranially displaced, and mildly distended with gas and fluid. The transverse colon is undulating, with gas. Within the transverse colon there is a focal distension with poorly formed faeces. The descending colon is mildly dilated with semiformed faeces. The urinary bladder is distended. No intestinal loops are seen superimposed on the urinary bladder or descending colon._x000D_
_x000D_
Extra-abdominal findings: No significant abnormalities are detected._x000D_
_x000D_
Included thorax: No significant abnormalities are detected.</t>
  </si>
  <si>
    <t>1. The overall impression is one of mild gastroenteritis.  This may be due to dietary indiscretion, or infectious-inflammatory causes. There is no evidence of a mineral opaque foreign body, or complete mechanical obstruction. The localised distension of the transverse colon is most likely incidental positional faecal material. Pancreatitis cannot be excluded. There is no evidence for pyometra, however assessment is mildly limited due to distended colon.</t>
  </si>
  <si>
    <t>Orthogonal views of the thoracolumbar spine and a right lateral thorax view are provided for interpretation._x000D_
_x000D_
No significant disc space narrowing or spinal subluxation is seen. No destructive or productive bone lesions are identified. Paravertebral soft tissues are unremarkable._x000D_
_x000D_
There is mild generalized heart enlargement. The shape of the heart is most suspicious for left-sided chamber enlargement. VHS is borderline at 10.7.</t>
  </si>
  <si>
    <t>No spinal abnormalities are identified. Soft tissue pathology causing back pain could still be present and not visible in the radiographs._x000D_
_x000D_
There is mild generalized heart enlargement. No pulmonary abnormalities are identified.</t>
  </si>
  <si>
    <t>Symptomatic therapy for the suspected pain is recommended.</t>
  </si>
  <si>
    <t xml:space="preserve">
1.MILD BRONCHOINTERSTITIAL PULMONARY PATTERN._x000D_
2.Based on these AI airway/pulmonary findings, the probability of this patient having clinically detectable respiratory signs are LOW (25%)_x000D_
3.Are respiratory signs present? If YES._x000D_
4.Are respiratory signs present? If NO._x000D_
5.There is no evidence of PERIHILAR INFILTRATE, DYNAMIC AIRWAY COLLAPSE or BRONCHIECTASIS, PULMONARY NODULES or PLEURAL EFFUSION._x000D_
6.Severe cardiomegaly has been detected but Heart Failure is NOT suspected.</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</si>
  <si>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WNL._x000D_
A tubular soft tissue opacity is seen ventral to the descending colon superimposed with the dorsal aspect of the bladder most consistent with an enlarged uterine body.</t>
  </si>
  <si>
    <t>1) Unremarkable thorax without signs of pulmonary metastases nor signs of thoracic lymphadenopathy._x000D_
1) Enlarged uterus most compatible with pyometra. Other less likely differentials would include mucometra/hemometra vs early gestation.</t>
  </si>
  <si>
    <t>Consider abdominal US to further evaluate the uterus along with urinary tract with renal function test, urinalysis, UPC and urine culture.</t>
  </si>
  <si>
    <t xml:space="preserve">
1.Minimal cardiomegaly has been detected but Heart Failure is NOT suspected._x000D_
2.There is no evidence of INTERSTITIAL or ALVEOLAR PATTERN, BRONCHITIS, PERIHILAR INFILTRATE, DYNAMIC AIRWAY COLLAPSE or BRONCHIECTASIS or PLEURAL EFFUSION.</t>
  </si>
  <si>
    <t xml:space="preserve">Patient Name : Chica Castro, Date of study: Jul 1, 2024
4 images are provided for review
There are no previous radiographs for comparison.
Pulmonary parenchyma: A minimal to mild diffuse bronchial pattern is present.  A minimal to mild diffuse interstitial pattern is present, most severe in the hypoinflated images.  IN the right lateral image with the lungs hypoinflated, the lobar airways are ill-defined, compared to the left lateral image that is better inflated.
Pulmonary vasculature: The pulmonary vasculature is subjectively normal in size and tapers in the periphery of the lungs.
Cardiac silhouette: The cardiac silhouette is normal in size and shape.
Mediastinum: The cranial mediastinum is normal.
Trachea: A soft tissue band superimposes over at least 50% of the dorsal aspect of the cervical and thoracic trachea.
Esophagus: The esophagus is not well-identified.
Pleural space: The pleural space is normal.
Musculoskeletal: Minimal spondylosis deformans at T5-6 and t6-7.  The remaining included musculoskeletal structures are normal.
</t>
  </si>
  <si>
    <t>1. Minimal-mild diffuse bronchial and interstitial pulmonary patterns
-  Differential diagnoses include infectious/immune-mediated lower airway disease such as from mycoplasma spp., bordetella spp., parasitism (lung worms), or inhaled allergen/irritant, and unlikely other.
- Interstitial component is most likely exacerbated by hypoinflation.
2. Suspected left lobar bronchial narrowing/collapse or less likely artifact and underlying dynamic airway disease/bronchomalacia.  
3. Dorsal redundant tracheal membrane or unlikely superimposed normal structures.</t>
  </si>
  <si>
    <t>Consider airway sampling, respiratory PCR panel, and fecal analysis for further evaluation. Tracheoscopy/bronchoscopy and fluoroscopy may be contributory.   Empirical therapy and supportive care in the interim as needed.  Monitoring as directed or sooner if clinical signs acutely change, fail to improve or worsen.</t>
  </si>
  <si>
    <t>Three radiographs of the thorax/abdomen, and two views of the thoracic limbs are provided. There is a note that the craniocaudal thoracic limb view has the laterality markers reversed. In the thorax the right heart appears prominent on the VD projection, although may be exaggerated by mild rotation. The right caudal pulmonary artery is prominent at the intersection with the 9th rib. Ventrally positioned pulmonary vessel on the right lateral view is due to rotation. A mild mixed bronchointerstitial pattern is present throughout the lungs. No pleural effusion. Heart heart redundant dorsal trachealis membrane causes moderate narrowed cervical trachea on the right lateral view. In the abdomen there is no peritoneal or retroperitoneal effusion. Formed feces fills the distal colon. The stomach and small bowel are minimally filled. No radiopaque urolithiasis. Normal thoracolumbar spine. No scapular abnormalities. The left glenohumeral and cubital joints are congruent. Carpal bones are in appropriate alignment. No metacarpal or phalangeal osseous or soft tissue abnormalities. There is no radiopaque foreign material or emphysema.</t>
  </si>
  <si>
    <t>1. No thoracic limb abnormalities are identified on this study. Soft tissue sprain/strain is most likely._x000D_
2. Equivocal prominent right heart and right caudal pulmonary artery, concerning for heartworm disease or pulmonary hypertension. In the absence of associated blood work abnormalities, murmur, or respiratory signs, significance is doubtful. Otherwise normal thorax._x000D_
3. Normal abdomen. An intervertebral disc lesion is not definitively ruled out.</t>
  </si>
  <si>
    <t>Recommend palpate for spinal discomfort, CBC and blood chemistry profile. This patient may benefit from anti-inflammatories and strict rest.</t>
  </si>
  <si>
    <t xml:space="preserve">
1.MODERATE INTERSTITIAL TO ALVEOLAR INFILTRATE; CONCURRENT MODERATE BRONCHIAL PATTERN; MILD PERIHILAR INFILTRATE._x000D_
2.MODERATE BRONCHOINTERSTITIAL PULMONARY PATTERN; ALVEOLAR INFILTRATE or ATELECTASIS; DYNAMIC AIRWAY DISEASE._x000D_
3.Based on the AI airway/pulmonary findings, the probability of this patient having clinically detectable respiratorysigns is MEDIUM to HIGH (50-75%)_x000D_
4.Based on these AI airway/pulmonary findings, the probability of this patient having clinically detectable respiratory signs is HIGH (75%)_x000D_
5.Are respiratory signs present? If YES._x000D_
6.Are respiratory signs present? If YES._x000D_
7.Are respiratory signs present? If NO._x000D_
8.AI linked bacterial pneumonia treatment in dogs: https://platform.v2.vetology.net/doc/pneumonia-in-dogs-and-cats_x000D_
9.Pleural fissure lines or moderate to severe pleural effusion has been detected. An overlying skin fold or in an obese animal, excessive pericardial fat could artifactually mimic the result of severe pleural effusion._x000D_
10.Moderate cardiomegaly has been detected but Heart Failure is NOT suspected._x000D_
11.Are respiratory signs present? If NO.</t>
  </si>
  <si>
    <t>Opposite lateral and VD views of the thorax and pelvis, and lateral views of the spine and hind limbs are provided. There are 12 images total._x000D_
_x000D_
No disc space narrowing or spinal subluxation is identified. No disc mineralization or destructive endplate lesions are seen. Soft tissues around the spine are unremarkable._x000D_
_x000D_
The pelvis and both hip joints are within normal limits. No abnormalities are seen involving the stifles or the tarsal joints._x000D_
_x000D_
The cardiovascular structures are within normal limits. No pulmonary infiltrates or pleural effusion is seen._x000D_
_x000D_
The stomach is gas filled and slightly malpositioned. The rest of the visible abdominal structures are unremarkable.
(amended on 07/05/2024 18:36)
There is a mildly defined round mineral opacity measuring 1.7 cm in the lateral view dorsal to the lumbosacral joint. The appearance is consistent with enlargement/prominence involving the articular facets of the lumbosacral joint.</t>
  </si>
  <si>
    <t>No spinal abnormalities are identified. The pelvis and hind limbs also appear normal._x000D_
No thoracic abnormalities are identified.
(amended on 07/05/2024 18:36)
Clinical significance of the prominent opacity at the dorsal aspect of the lumbosacral joint with regard to the clinical signs is unknown. This is potentially a benign variant with a prominent appearance, but bony proliferation secondary to chronic degenerative change or inflammation involving the facet joints cannot be ruled out, and could be associated with nerve root compression. Neoplasia causing this appearance is considered unlikely but cannot be entirely excluded.</t>
  </si>
  <si>
    <t>No orthopedic abnormalities that would explain the clinical signs are identified._x000D_
Symptomatic therapy for possible orthopedic pain is suggested._x000D_
_x000D_
Depending on the severity of clinical signs, more advanced imaging such as MRI could be considered.
(amended on 07/05/2024 18:36)
CT could also be helpful to assess the potential bony changes in the lumbosacral region. If this is not an option, recheck radiographs of the area are recommended in one to two months.</t>
  </si>
  <si>
    <t xml:space="preserve">
1.MODERATE INTERSTITIAL TO ALVEOLAR INFILTRATE; MILD BRONCHIAL PATTERN; MILD PERIHILAR INFILTRATE._x000D_
2.Based on these AI airway/pulmonary findings,  the probability of this patient having clinically detectable respiratory signs is HIGH (75%)_x000D_
3.Are respiratory signs present? If YES._x000D_
4.Are respiratory signs present? If NO._x000D_
5.The cardiac silhouette size is normal._x000D_
6.Pleural fissure lines or small volume pleural effusion has been detected. In a mildly overweight animal, excessive pericardial fat can artifactually mimic the result of minimal pleural effusion.</t>
  </si>
  <si>
    <t>Three orthogonal thoracic radiographs dated 1st July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There is mild bilateral shoulder osteoarthritis.</t>
  </si>
  <si>
    <t>The murmur reported is most likely a physiologic murmur, or a compensated valvular disease such as myxoid degeneration of the mitral valve.</t>
  </si>
  <si>
    <t>Thorax: There is a diffuse severe nodular interstitial pattern seen throughout all lung lobes.  The cardiac silhouette and pulmonary vasculature are unremarkable.  There is no evidence of pleural effusion or lymphadenopathy.  There is osteoarthrosis involving one of the elbows._x000D_
_x000D_
Abdomen: There is mild diffuse hepatomegaly.  The caudal ventral margins of the liver are slightly undulating.  The right kidney is small.  The spleen and gastrointestinal tract are unremarkable.  There is no evidence of peritoneal effusion.  There are regions of lumbar vertebral articular facet osteoarthrosis._x000D_
_x000D_
Pelvis: There is mild bilateral femoral neck osseous remodeling.</t>
  </si>
  <si>
    <t>The diffuse nodular interstitial pattern is concerning for possible pulmonary metastatic disease.  Alternatively an infectious or lower airway inflammatory process cannot be ruled out._x000D_
_x000D_
Diffuse hepatomegaly._x000D_
_x000D_
Small right kidney._x000D_
_x000D_
Lumbar vertebral articular facet osteoarthrosis._x000D_
_x000D_
Mild bilateral femoral neck osseous remodeling.</t>
  </si>
  <si>
    <t>Recommend abdominal ultrasound for further evaluation.</t>
  </si>
  <si>
    <t xml:space="preserve">
1.A severe alveolar pattern has been detected._x000D_
2.A severe interstitial to alveolar pattern has been detected._x000D_
3.A mild perihilar infiltrate and minimal bronchial pattern have been detected_x000D_
4.Pleural fissure lines or moderate to severe pleural effusion has been detected. An overlying skin fold or in an obese animal, excessive pericardial fat could artifactually mimic the result of severe pleural effusion._x000D_
5.Mild dynamic airway disease has been detected._x000D_
6.A minimal bronchial pattern and concurrent mild dynamic airway disease have been identified._x000D_
7.The evaluation has a strong suspicion of pulmonary nodules or mass lesion being present._x000D_
8.Mild dynamic airway disease has been identified._x000D_
9.A concurrent minimal bronchial pattern has been detected._x000D_
10.A mild perihilar infiltrate and concurrent, mild dynamic airway disease have been detected._x000D_
11.The cardiac silhouette size is normal.</t>
  </si>
  <si>
    <t>Three radiographs of the thorax are provided. Images dated 12/13/23 were reviewed. There is mild to moderate generalized cardiac silhouette enlargement, similar to the previous study. The mainstem bronchi are narrowed. Pulmonary vessels are normal size. No abnormalities in the pulmonary parenchyma or pleural space. Moderate to severe narrowed caudal cervical trachea. Normal cranial abdomen.</t>
  </si>
  <si>
    <t>Mild to moderate generalized cardiomegaly consistent with acquired mitral and tricuspid valve disease. There is no pulmonary venous congestion or pulmonary edema, however there is mainstem bronchial compression and evidence of cervical tracheal collapse.</t>
  </si>
  <si>
    <t>With the progressive cough, an echocardiogram is recommended.</t>
  </si>
  <si>
    <t xml:space="preserve">
1.Are respiratory signs present? If YES._x000D_
2.Are respiratory signs present? If NO._x000D_
3.Are respiratory signs present? If NO._x000D_
4.Pleural fissure lines or small volume pleural effusion has been detected. In a mildly overweight animal, excessive pericardial fat can artifactually mimic the result of minimal pleural effusion._x000D_
5.Severe cardiomegaly has been detected but Heart Failure is NOT suspected._x000D_
6.MILD to MODERATE BRONCHOINTERSTITIAL PULMONARY PATTERN; MODERATE DYNAMIC AIRWAY COLLAPSE and/or BRONCHIECTASIS._x000D_
7.MILD TO MODERATE BRONCHOINTERSTITIAL PULMONARY PATTERN; ATELECTASIS or ALVEOLAR INFILTRATE._x000D_
8.Based on these AI airway/pulmonary findings, the probability of this patient having clinically detectable respiratory signs is LOW to MEDIUM (25-50%)_x000D_
9.Based on these AI airway/pulmonary findings, the probability of this patient having clinically detectable respiratory signs is MEDIUM (50%)_x000D_
10.Are respiratory signs present? If YES._x000D_
11.A mild perihilar infiltrate has been detected.</t>
  </si>
  <si>
    <t>Opposite lateral and VD views of the abdomen and a right lateral thorax view are provided for interpretation. There are five images total._x000D_
_x000D_
There is a collection of small mineral dense fragmented structures consistent with tiny rocks in the stomach, along with a small quantity of amorphous soft tissue dense ingesta. A minimal quantity of granular mineral density and a few small similar tiny mineral dense fragmented structures are also seen in the intestinal tract. No dilation or plication of the intestine is seen. The colonic mucosa has a corrugated appearance. The other abdominal organs are within normal limits. Serosal detail is normal._x000D_
_x000D_
The heart and vena cava are at the small end of acceptable size range. Pulmonary vessels and parenchyma are unremarkable.</t>
  </si>
  <si>
    <t>There is foreign material in the GI tract, consisting primarily of what appears to be tiny rocks/gravel in the stomach._x000D_
No obstructive pattern is seen. The appearance of the colon is compatible with colitis._x000D_
_x000D_
Gastroenteritis and colitis secondary to dietary indiscretion is likely responsible for the clinical signs._x000D_
_x000D_
The smaller than expected appearance of the heart and caudal vena cava suspected to be the result of hypovolemia/dehydration.</t>
  </si>
  <si>
    <t>Supportive care and symptomatic therapy for gastroenteritis is recommended._x000D_
_x000D_
Recheck radiographs are recommended in two days to verify movement of the foreign material through the GI tract.</t>
  </si>
  <si>
    <t>3 images of the thoracic limbs are provided for review.  The joint surfaces are smooth and regular.  No fractures, luxations, or aggressive osseous lesions are seen.  The soft tissue structures are normal.</t>
  </si>
  <si>
    <t>Radiographically normal thoracic limbs on the views provided.  Lack of specific changes does not rule out fragmented medial coronoid process or elbow osteochondrosis.</t>
  </si>
  <si>
    <t xml:space="preserve">
1.Are respiratory signs present? If NO._x000D_
2.Pleural fissure lines or small volume pleural effusion has been detected. In a mildly overweight animal, excessive pericardial fat can artifactually mimic the result of minimal pleural effusion._x000D_
3.The cardiac silhouette size is normal._x000D_
4.There is no evidence of DYNAMIC AIRWAY COLLAPSE or BRONCHIECTASIS or PULMONARY NODULES._x000D_
5.MODERATE INTERSTITIAL TO ALVEOLAR PATTERN; MILD BRONCHITIS._x000D_
6.Based on the AI airway/pulmonary findings, the probability of this patient having clinically detectable respiratory signs is MEDIUM to HIGH (50-75%)_x000D_
7.Are respiratory signs present? If YES.</t>
  </si>
  <si>
    <t>Study:_x000D_
Thoracic radiography: three images dated July 1, 2024_x000D_
_x000D_
Findings:_x000D_
There is moderate left ventricular and left atrial enlargement. The pulmonary vasculature is normal in size. There is incidental platelike atelectasis in the craniodorsal lung field on both lateral views. The pulmonary parenchyma is otherwise unremarkable. The pleural space is normal. There is no intrathoracic lymphadenopathy. The trachea is normal in diameter. There is no lobar bronchi narrowing. The liver extends moderately beyond the costal arch with smooth margins. The osseous structures are unremarkable.</t>
  </si>
  <si>
    <t>1. Moderate left-sided cardiomegaly, indicative of mitral valve disease, without evidence of decompensation. Echocardiography should be considered for further evaluation._x000D_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airway sampling plus/minus heartworm testing and Baermann fecal flotation can be considered to further evaluate the reported coughing._x000D_
3. The generalized hepatomegaly is nonspecific. Rule out metabolic/vacuolar hepatopathy, hyperplasia, hepatitis or infiltrative neoplasia. Correlate with any liver enzyme abnormalities. Sonography can be considered for further evaluation if clinically relevant.</t>
  </si>
  <si>
    <t xml:space="preserve">
1.A moderate perihilar infitlrate has been detected._x000D_
2.There is no evidence of PLEURAL EFFUSION._x000D_
3.A minimal bronchial pattern has been detected._x000D_
4.A moderate interstitial pattern has been detected._x000D_
5.Moderate dynamic airway disease has been detected._x000D_
6.Severe cardiomegaly has been detected but Heart Failure is NOT suspected.</t>
  </si>
  <si>
    <t>8 images of the thorax and left crus are provided for review.  The cardiovascular structures are normal.  The lung lobes are retracted from the thoracic wall and gas is present in the pleural space.  This is improved following thoracocentesis.  There is a marked bronchial pattern in all lung lobes.  Multiple small lucent structures are seen within the pulmonary parenchyma.  Additionally, the larger bronchi are dilated with lack of normal tapering.  The mediastinal structures are normal.  Cranial abdominal detail is adequate.  Multiple soft tissue masses are seen in the subcutaneous tissues along the left crus and metatarsals.  The joint surfaces are smooth and regular.  No fractures or aggressive osseous lesions are seen.</t>
  </si>
  <si>
    <t>Severe bronchial pulmonary pattern=ZZ90= consider bronchitis, response to inhaled irritants, response to circulating parasites, eosinophilic bronchopneumopathy.  Dilation of the bronchi with multiple small bullae.  Airway sampling and CT may be helpful in further evaluation.  Subcutaneous masses along the left pelvic limb.</t>
  </si>
  <si>
    <t xml:space="preserve">
1.PLEURAL EFFUSION or less likely, OVERLYING SKIN FOLDS MIMICKING PLEURAL FLUID; PULMONARY NODULAR PATTERN likely due to END ON PULMONARY VESSELS, PROMINENT COSTOCHONDRAL JUNCTIONS or OVERLYING CUTANEOUS NODULES; MILD BRONCHIAL PATTERN._x000D_
2.Based on these AI airway/pulmonary findings, the probability of this patient having clinically detectable respiratory signs is HIGH (75%)_x000D_
3.A moderate interstitial to alveolar infiltrate, mild bronchial pattern and concurrent mild perihilar infiltrate have been detected._x000D_
4.Probability these AI pulmonary findings will accompany clinically detectable respiratory signs: MEDIUM (50%)_x000D_
5.Pleural fissure lines or moderate to severe pleural effusion has been detected._x000D_
6.The evaluation has a strong suspicion of pulmonary nodules or mass lesion being present._x000D_
7.A mild bronchial pattern has also been detected._x000D_
8.Are respiratory signs present? If YES._x000D_
9.Minimal cardiomegaly has been detected but Heart Failure is NOT suspected._x000D_
10.Are respiratory signs present? If NO.</t>
  </si>
  <si>
    <t>Moderate bronchial pulmonary pattern=ZZ90= consider viral or Bordetella type pneumonitis most likely in a patient this young age but cannot rule out early bronchopneumonia, bronchitis, response to inhaled irritants, response to circulating parasites, eosinophilic bronchopneumopathy.</t>
  </si>
  <si>
    <t>Study:_x000D_
Thoracic radiography: three images dated July 1, 2024_x000D_
_x000D_
Findings:_x000D_
The cardiac silhouette is normal in size and shape. The pulmonary vasculature is normal in size. There is incidental age-related bronchial wall mineralization. There is a mild generalized bronchointerstitial pulmonary pattern. The pleural space is normal. There is no intrathoracic lymphadenopathy. The larynx is normal. The trachea is normal in diameter. The stomach contains unstructured heterogeneous soft tissue material presumed to be ingesta. There multiple thin linear metallic opacities in the mesentery of the right cranial abdomen. There is narrowing of the L1-L2 intervertebral disc space with severe spondylosis deformans.</t>
  </si>
  <si>
    <t>1. The mild diffuse bronchointerstitial pulmonary pattern is a nonspecific finding. In the absence of any respiratory signs come of this finding would be considered a benign age-related change, further supported by the concurrent age-related bronchial wall mineralization. Allergic, inflammatory, infectious, inhaled irritant or parasitic bronchitis cannot be completely excluded given the patient=ZZ91=s history of coughing._x000D_
2. There is no radiographic evidence of heart disease._x000D_
3. Normal diameter of the trachea does not exclude the possibility of dynamic airway disease._x000D_
4. Peritoneal wire foreign bodies. These are a relatively common incidental finding._x000D_
5. L1-L2 intervertebral disc disease.</t>
  </si>
  <si>
    <t xml:space="preserve">
1.MODERATE INTERSTITIAL TO ALVEOLAR PATTERN; MODERATE BRONCHITIS._x000D_
2.Based on the AI airway/pulmonary findings, the probability of this patient having clinically detectable respiratory signs is MEDIUM to HIGH (50-75%)_x000D_
3.Are respiratory signs present? If YES._x000D_
4.Are respiratory signs present? If NO._x000D_
5.A minimal perihilar infiltrate has been detected._x000D_
6.Pleural fissure lines or moderate pleural effusion has been detected. An overlying skin fold or in a moderately overweight animal, excessive pericardial fat could artifactually mimic the result of moderate pleural effusion._x000D_
7.Mild cardiomegaly has been detected but Heart Failure is NOT suspected.</t>
  </si>
  <si>
    <t>Orthogonal views of the thorax and abdomen are provided:_x000D_
_x000D_
Thorax:_x000D_
_x000D_
Cardiac silhouette has a normal shape and size._x000D_
Pulmonary vessels are within normal limits of size and shape._x000D_
Pulmonary parenchyma shows a generalized broncho-alveolar to interstitial pattern. _x000D_
There is questionable peri-hilar lymphadenopathy._x000D_
Pleural space, mediastinum, diaphragm and thoracic wall within normal limits._x000D_
_x000D_
Abdomen:_x000D_
_x000D_
The stomach is empty._x000D_
Small intestines are mildly gas and fluid filled, not overtly distended. _x000D_
Serosal detail is preserved._x000D_
Liver and spleen are within normal limits of size and smoothly marginated._x000D_
Kidneys and urinary bladder WNL._x000D_
A tubular soft tissue opacity is seen ventral to the descending colon and superimposed with the dorsal aspect of the bladder most consistent with an enlarged uterine body. Both uterine horns are abnoramally enlarged in the caudal abdomen superimposed and partially cranially displacing the small intestines.</t>
  </si>
  <si>
    <t>1) Generalized broncho-alveolar to interstitial pattern is compatible with infectious (bacterial with viral or fungal/pyogranulomatous) or parasitic (verminous or protozoal) bronchopneumonia._x000D_
2) Questionable peri-hilar lymphadenopathy. Reactive vs Neopalstic is unlikely._x000D_
3) Enlarged uterus compatible with early gestation vs can not exclude a pyometra or mucometra.</t>
  </si>
  <si>
    <t>Consider a CT of the thorax with bronchoscopy with BAL, cytology, culture and deworming as well as an abdominal US to further evaluate the uterus along with urinary tract with renal function test, urinalysis, UPC and urine culture.</t>
  </si>
  <si>
    <t xml:space="preserve">
1.PLEURAL EFFUSION or less likely, OVERLYING SKIN FOLDS MIMICKING PLEURAL FLUID; PULMONARY NODULAR PATTERN likely due to END ON PULMONARY VESSELS, PROMINENT COSTOCHONDRAL JUNCTIONS or OVERLYING CUTANEOUS NODULES; MILD BRONCHIAL PATTERN._x000D_
2.Based on these AI airway/pulmonary findings, the probability of this patient having clinically detectable respiratory signs is HIGH (75%)_x000D_
3.Pleural fissure lines or moderate to severe pleural effusion has been detected._x000D_
4.The evaluation has a strong suspicion of pulmonary nodules or mass lesion being present._x000D_
5.A mild bronchial pattern has also been detected._x000D_
6.Minimal cardiomegaly has been detected but Heart Failure is NOT suspected._x000D_
7.A severe perihilar infiltrate has been detected.</t>
  </si>
  <si>
    <t>Six radiographs of the thorax are provided. Images dated 3/15/24 are available for comparison. The cardiac silhouette is normal size and shape. There are mild age-related changes in the lungs as before. There is no persistent esophageal dilation today. Small volume fluid in the caudal esophagus is transient and incidental. Normal tracheal diameter and position. There is a small amount of fat separating the heart from the sternum on the lateral views. Degenerative change in at least one of the elbows.</t>
  </si>
  <si>
    <t>The thorax is normal today. There is no evidence of megaesophagus on this study.</t>
  </si>
  <si>
    <t xml:space="preserve">
1.MILD TO MODERATE BRONCHOINTERSTITIAL PULMONARY PATTERN; ATELECTASIS or ALVEOLAR INFILTRATE._x000D_
2.Based on these AI airway/pulmonary findings, the probability of this patient having clinically detectable respiratory signs is LOW to MEDIUM (25-50%)_x000D_
3.Are respiratory signs present? If YES._x000D_
4.Are respiratory signs present? If NO._x000D_
5.The cardiac silhouette size is normal._x000D_
6.There is no evidence of DYNAMIC AIRWAY COLLAPSE or BRONCHIECTASIS or PULMONARY NODULES.</t>
  </si>
  <si>
    <t>Study:_x000D_
Thoracic/abdominal radiography: four images dated July 1,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gas with the pylorus appropriately gas-filled on the left lateral image the small intestines are normal in size, course and content. The colon contains a small volume of gas with a normal diameter. The liver and spleen are normal in size and margin. The kidneys are normal in size and contour. The urinary bladder is not visualized and is likely small/empty. There is no prostatomegaly. The osseous structures are unremarkable.</t>
  </si>
  <si>
    <t>1. Unremarkable thorax. There is no radiographic evidence of heart disease. Consider echocardiography for further evaluation of the reported heart murmur._x000D_
2. Unremarkable abdomen. A cause of the reported intermittent vomiting and weight loss is not evident. Consider abdominal sonography and a G.I. panel for further evaluation.</t>
  </si>
  <si>
    <t>Study:_x000D_
Thoracic and abdominal radiography: six images dated July 1, 2024_x000D_
_x000D_
Findings:_x000D_
The cardiac silhouette and pulmonary vasculature are normal in size. There is a severe diffuse micronodular/miliary interstitial pulmonary pattern. The pleural space is normal. There is no intrathoracic lymphadenopathy. The trachea is normal in diameter and course. There is a lobulated soft tissue opaque mass in the mid-abdomen, dorsal to the tail the spleen. There is mild regional peritoneal effusion. The stomach contains gas with the pylorus appropriately gas-filled on the left lateral image. The small intestines are normal in size, course and content. The colon contains formed fecal material. The liver is normal in size and margin. The renal silhouettes are normal in size and contour. The urinary bladder is normal in size and opacity. There is no uterine dilation. There is severe lumbosacral spondylosis deformans.</t>
  </si>
  <si>
    <t>1. Mid abdominal mass, likely splenic in origin. Rule out malignant neoplasia (given conclusion #2). Hyperplasia or hematoma cannot be completely excluded._x000D_
2. Pulmonary metastatic disease._x000D_
3. Mild nonspecific peritoneal effusion. A hemoabdomen should be considered given the suspicion for a splenic mass.</t>
  </si>
  <si>
    <t>Recommend repeat abdominal sonography and abdominocentesis for further evaluation.</t>
  </si>
  <si>
    <t xml:space="preserve">
1.Are respiratory signs present? If YES._x000D_
2.SEVERE INTERSTITIAL TO ALVEOLAR PATTERN; PULMONARY NODULES OR MASS LESION; PLEURAL FLUID or PLEURAL THICKENING; MODERATE BRONCHIAL PATTERN; DYNAMIC AIRWAY DISEASE._x000D_
3.Based on these AI airway/pulmonary findings, the probability of this patient having clinically detectable respiratorysigns is VERY HIGH (&gt;75%)_x000D_
4.This evaluation has detected pulmonary nodules or a mass lesion and pleural fissure lines or effusion._x000D_
5.Given this combination of above thoracic findings, a radiologist over read may be beneficial._x000D_
6.A moderate perihilar infitlrate has been detected._x000D_
7.Severe cardiomegaly has been detected but Heart Failure is NOT suspected._x000D_
8.Are respiratory signs present? If NO._x000D_
9.Pleural fissure lines or moderate to severe pleural effusion has been detected. An overlying skin fold or in an obeseanimal, excessive pericardial fat could artifactually mimic the result of severe pleural effusion.</t>
  </si>
  <si>
    <t>Three radiographs of the thorax/abdomen are provided. There is equivocal prominence of the left atrium, seen as increased distance between the caudal heart waist and tracheal bifurcation on the lateral views. No left atrial enlargement is appreciated on the VD projection. Cardiac to thoracic ratio and pulmonary vessel size is normal. There is narrowed tracheal bifurcation on the left lateral view. Redundant dorsal trachealis membrane causes moderate narrowed cervical trachea on the right lateral projection. There are no abnormalities in the pulmonary parenchyma. No pleural effusion. Fat deposition in the cranial mediastinum. No laryngeal abnormalities. In the abdomen the liver is mildly enlarged with smooth margins. Normal-sized spleen and kidneys. The gastrointestinal tract is moderately filled. No radiopaque urolithiasis. Narrowed T12-13, L1-2, L3-4, L4-5 intervertebral disc spaces.</t>
  </si>
  <si>
    <t>1. Dynamic cervical tracheal collapse, the most likely cause for coughing. Probable dynamic mainstem bronchial collapse could be contributing._x000D_
2. Equivocal prominent left atrium suggestive of acquired mitral valve disease. This is of doubtful clinical significance today, and is not responsible for the cough._x000D_
3. Mild hepatomegaly, a nonspecific finding that may be steroid or other hepatopathy, acute inflammation, or least likely neoplasia. The should be correlated with history and blood work. No other abdominal abnormalities._x000D_
4. Several narrowed intervertebral discs spaces in the caudal thoracic and lumbar spine. Intervertebral disc disease could be responsible for discomfort.</t>
  </si>
  <si>
    <t>Recommend routine blood work, weight management, utilization of a body harness in place of a neck lead, and symptomatic treatment for the cough.</t>
  </si>
  <si>
    <t xml:space="preserve">
1.A minimal perihilar infiltrate has been detected._x000D_
2.Minimal cardiomegaly has been detected but Heart Failure is NOT suspected._x000D_
3.MODERATE BRONCHINTERSTITIAL PATTERN; MILD DYNAMIC AIRWAY DISEASE; ATELECTASIS or less likely, PNEUMONIA._x000D_
4.Based on these AI airway/pulmonary findings, the probability of this patient having clinically detectable respiratory signs is MEDIUM (50%)_x000D_
5.Are respiratory signs present? If YES._x000D_
6.Are respiratory signs present? If NO.</t>
  </si>
  <si>
    <t>5 images of the thorax are provided for review.  The cardiovascular structures are normal.  The lung lobes are retracted from the thoracic wall and gas is present in the space.  Alveolar opacity is present in the right cranial and left caudal lung lobes.  The mediastinal structures are normal.  Cranial abdominal detail is adequate.</t>
  </si>
  <si>
    <t>Pneumothorax.  Alveolar pulmonary pattern concerning for contusions.</t>
  </si>
  <si>
    <t>Consider repeat radiographs following bilateral thoracocentesis to allow for aeration of the lung lobes.</t>
  </si>
  <si>
    <t>Four radiographs of the abdomen are provided. The thorax is included on two of the lateral views. The cardiac silhouette and pulmonary vessels are normal size. There are no abnormalities in the pulmonary parenchyma. No pleural effusion. Adequate tracheal diameter. Small volume fluid in the caudal esophagus is likely incidental. In the abdomen serosal detail is poor. The patient is thin. Moderate volume gas in the stomach. The intestines are poorly delineated but appear to be diffusely mild to moderately fluid filled. No formed feces is appreciated. No radiopaque foreign material. Gastric axis position is normal. No radiopaque urolithiasis. The spleen and kidneys are obscured. Moderate degenerative change in the coxofemoral joints. Punctate mineral density overlying the L1-2 intervertebral foramen is of doubtful clinical significance today.</t>
  </si>
  <si>
    <t>1. Poor abdominal detail may be due to effusion and/or lack of intra-abdominal fat._x000D_
2. Probable small intestinal functional ileus, a nonspecific finding that may be due to stress, metabolic abnormality, primary gastrointestinal disorder._x000D_
3. Normal thorax.</t>
  </si>
  <si>
    <t xml:space="preserve">
1.A moderate bronchointerstitial pattern with alveolar infiltrates has been detected._x000D_
2.A moderate interstitial to alveolar infiltrate, mild bronchial pattern and concurrent mild perihilar infiltrate have been detected._x000D_
3.Probability these AI pulmonary findings will accompany clinically detectable respiratory signs: MEDIUM (50%)_x000D_
4.Are respiratory signs present? If YES._x000D_
5.Are respiratory signs present? If NO._x000D_
6.The cardiac silhouette size is normal.</t>
  </si>
  <si>
    <t>Three orthogonal thoracic radiographs dated 1st July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30% of the dorsoventral diameter of the trachea. The intrathoracic trachea is normal. The lungs are well inflated.  The carina and tracheal bifurcation are normal. The pulmonary parenchyma is normal.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</si>
  <si>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The dorsal attenuation of the trachea is consistent with redundant trachealis membrane or overlying musculature. The extent of attenuation is unlikely to be causing significant clinical signs. An upper respiratory differential such as a rhinitis is the most likely cause.</t>
  </si>
  <si>
    <t>Continue empiric management of further workup for upper respiratory disease.</t>
  </si>
  <si>
    <t>Study:_x000D_
Thoracic/abdominal radiography: four images dated June 25, 2024_x000D_
_x000D_
Findings:_x000D_
There is straightening of the caudal cardiac waist on the lateral projections. The pulmonary vasculature is normal in size. The pulmonary parenchyma is unremarkable. The pleural space is normal. There is no intrathoracic lymphadenopathy. The trachea is normal in diameter and course. The stomach contains unstructured heterogeneous/granular soft tissue material presumed to be ingesta. Some small intestinal segments contain granular soft tissue material also presumed to be ingesta. The small intestines are normal in size and course. The liver and spleen are normal in size and margin. The kidneys are normal in size and contour. The urinary bladder is normal in size and opacity. There is no prostatomegaly. There is in situ mineralization of the T 11-T 12 and T 13-L1 intervertebral discs. There is narrowing of the L3-L4 intervertebral disc space with mild spondylosis deformans._x000D_
_x000D_
Human digits are present in the primary beam on the right lateral views.</t>
  </si>
  <si>
    <t>1. Straightening of the caudal cardiac waist can be an indicator of mild specific left atrial enlargement/mitral valve disease. There is no evidence of cardiac decompensation. Echocardiography can be considered for further evaluation._x000D_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Sedated laryngeal exam, fluoroscopy, airway sampling plus/minus heartworm testing and Baermann fecal flotation can be considered to further evaluate the reported coughing._x000D_
3. Postprandial gastrointestinal tract=ZZ90= otherwise, unremarkable abdomen._x000D_
4. L3-L4 intervertebral disc disease. There is also T 11-T 12 and T 13-L1 in situ degenerative disc disease.</t>
  </si>
  <si>
    <t xml:space="preserve">
1.MILD to MODERATE BRONCHINTERSTITIAL PATTERN with ATELECTASIS or less likely, PNEUMONIA; MILD DYNAMIC AIRWAY DISEASE._x000D_
2.Based on these AI airway/pulmonary findings, the probability of this patient having clinically detectable respiratory signs is MEDIUM to HIGH (50-75%)_x000D_
3.Are respiratory signs present? If YES._x000D_
4.Are respiratory signs present? If NO._x000D_
5.Severe cardiomegaly has been detected but Heart Failure is NOT suspected.</t>
  </si>
  <si>
    <t>Orthogonal radiographs of the thorax are provided. The neck is included on the lateral view. The cardiac silhouette and pulmonary vessels are normal size and shape. There are no abnormalities in the pulmonary parenchyma or pleural space. Adequate tracheal diameter. No esophageal dilation. No laryngeal abnormalities are appreciated. Mild soft tissue thickening ventral to the caudal mandibles may be due to rotation. Normal cranial abdomen.</t>
  </si>
  <si>
    <t>Normal thorax. A reason for coughing is not identified. Inhaled irritants/allergens should be considered. No tracheal abnormalities are appreciated on this study, however dynamic collapse remains possible, as it may not be imaged on a static radiographic study.</t>
  </si>
  <si>
    <t>3 views of the thorax are provided for review.  The cardiovascular structures are normal.  There is a marked bronchial pattern in all lung lobes.  Additionally, peribronchial interstitial infiltrates are seen throughout the pulmonary parenchyma.  The mediastinal and pleural structures are normal.  Cranial abdominal detail is adequate.</t>
  </si>
  <si>
    <t>Severe mixed interstitial and bronchial pulmonary pattern=ZZ90= consider medical or atypical bacterial infection, bronchitis, response to inhaled irritants, response to circulating parasites, eosinophilic bronchopneumopathy, pulmonary fibrosis.  Neoplasia cannot be completely excluded.</t>
  </si>
  <si>
    <t>WHOLE-BODY (3 total radiographs for review). _x000D_
_x000D_
- Peritoneal serosal detail is normal._x000D_
- The stomach is moderately to markedly distended with gas, fluid and a mixture of homogenous and gas stippled soft tissue opaque material._x000D_
- The small intestine contains mild multifocal gas and soft-tissue opaque material.  There is the impression of a few small intestinal segments that have mildly mineralized walls._x000D_
- The colon has a corrugated appearance and contains gas, soft-tissue/fluid and minimal formed fecal material._x000D_
- There is mineralized material in the region of the gallbladder._x000D_
- The liver, spleen, kidneys and urinary bladder are normal._x000D_
- The cardiac silhouette and pulmonary vasculature are normal._x000D_
- The pulmonary parenchyma is normal_x000D_
- The trachea, esophagus and remainder of the mediastinum are normal._x000D_
- The pleural space and remaining intrathoracic structures are normal._x000D_
- Questionable narrowing of the T12-13 intervertebral disc space._x000D_
- Mild multifocal spondylosis deformans.</t>
  </si>
  <si>
    <t>1.  Moderate to marked gastric distention with mixed material (e.g. food and/or foreign material).  There is no obvious pyloric outflow tract obstruction clearly identified, however radiographic sensitivity can be limited and you may consider abdominal ultrasound with evaluation of the pyloroduodenal junction._x000D_
_x000D_
2. The appearance of the stomach, small intestine and colon can otherwise also be compatible with a non-specific generalized functional ileus (e.g. gastroenterocolitis). There is no evidence of small intestinal foreign material or mechanical obstruction._x000D_
_x000D_
3. Mineralized gall bladder sludge_x000D_
_x000D_
4.  Normal thorax._x000D_
_x000D_
5.  Possible thoracolumbar (T12-13) intervertebral disc disease.</t>
  </si>
  <si>
    <t>Orthogonal views of the thorax are provided:_x000D_
_x000D_
Thorax:_x000D_
_x000D_
The esophagus is moderately gas distended._x000D_
Cardiac silhouette has a normal shape and size._x000D_
Pulmonary vessels are within normal limits of size and shape._x000D_
Pulmonary parenchyma is within normal limits. No evidence of aspiration pneumonia nor signs of pulmonary nodules/masses._x000D_
Pleural space, mediastinum, diaphragm are within normal limits._x000D_
Large left thoracic wall SC lipoma.</t>
  </si>
  <si>
    <t>1) Generalized megaesophagus. Causes for this include idiopathic megaesophagus, myasthenia gravis, esophagitis, hypothyroidism, polymyopathy, polyneuropathy.</t>
  </si>
  <si>
    <t>Work up for megaesophagus with laryngeal exam, ruling out hypothyroidism and full neuro exam amongst others.</t>
  </si>
  <si>
    <t xml:space="preserve">
1.MILD BRONCHOINTERSTITIAL PULMONARY PATTERN._x000D_
2.Based on these AI airway/pulmonary findings, the probability of this patient having clinically detectable respiratory signs are LOW (25%)_x000D_
3.Are respiratory signs present? If YES._x000D_
4.Are respiratory signs present? If NO._x000D_
5.The cardiac silhouette size is normal._x000D_
6.There is no evidence of PLEURAL EFFUSION.</t>
  </si>
  <si>
    <t>4 images of the thorax are presented for review.  2 images of the abdomen and the study are not requested to be reviewed.  The cardiovascular structures are normal.  There is a diffuse interstitial pulmonary pattern that is considered appropriate for the age of the patient.  A rounded soft tissue mass is seen in the caudodorsal thorax on midline.  No pulmonary nodules or enlarged intrathoracic lymph nodes are seen.  The pleural and mediastinal structures are normal.  Cranial abdominal detail is adequate.  Rounded mineral structures are seen in the right ventral liver in the area of the gallbladder.</t>
  </si>
  <si>
    <t>Caudodorsal thoracic mass.  Pulmonary origin neoplasia is considered most likely.  An esophagram could be considered to completely rule out hiatal hernia, although the mass is more ventral than typically seen with hiatal hernia.  CT could be considered in surgical planning.  Cholelithiasis.  Abdominal ultrasound could be considered.</t>
  </si>
  <si>
    <t xml:space="preserve">
1.A mild perihilar infiltrate and more diffuse, minimal interstitial pulmonary pattern have been detected._x000D_
2.Mild cardiomegaly has been detected but Heart Failure is NOT suspected._x000D_
3.There is no evidence of DYNAMIC AIRWAY COLLAPSE or BRONCHIECTASIS.</t>
  </si>
  <si>
    <t>3 views of the thorax are provided for review.  The cardiovascular structures are normal.  The =ZZ92=reverse D=ZZ92= appearance on the VD view is secondary to obliquity.  There is a moderate bronchial pattern in all lung lobes.  No pulmonary nodules or enlarged intrathoracic the mediastinal and pleural structures are normal.  Cranial abdominal detail is adequate.  Linear mineral is seen within the liver.</t>
  </si>
  <si>
    <t>Moderate bronchial pulmonary pattern=ZZ90= consider bronchitis, response to inhaled irritants, response to circulating parasites, eosinophilic bronchopneumopathy.  Biliary tree mineralization, likely incidental.</t>
  </si>
  <si>
    <t xml:space="preserve">
1.A moderate bronchial pattern has been detected._x000D_
2.The cardiac silhouette size is normal._x000D_
3.There is no evidence of ALVEOLAR PATTERN, PERIHILAR INFILTRATE or DYNAMIC AIRWAY COLLAPSE or BRONCHIECTASIS.</t>
  </si>
  <si>
    <t>Study:_x000D_
Abdominal radiography: three images dated June 29, 2024_x000D_
_x000D_
Findings:_x000D_
The serosal detail is normal. The stomach contains a small volume of gas with the pylorus appropriately gas-filled on the left lateral image. The small intestines are normal in size, course and content. The colon contains formed fecal material. The liver and spleen are normal in size and margin. The kidneys are normal in size and contour. The urinary bladder is normal in size and opacity. The included thorax is normal. The osseous structures are unremarkable. There is no intervertebral disc space or foraminal narrowing.</t>
  </si>
  <si>
    <t>Unremarkable abdomen. There is no radiographic evidence of gastrointestinal foreign material or small intestinal mechanical obstruction.</t>
  </si>
  <si>
    <t>Abdominal sonography and cPLI testing can be considered to further evaluate for intra-abdominal cause is of the clinical signs.</t>
  </si>
  <si>
    <t xml:space="preserve">
1.Mild cardiomegaly has been detected but Heart Failure is NOT suspected._x000D_
2.SEVERE ALVEOLAR INFILTRATE; MILD DYNAMIC AIRWAY DISEASE._x000D_
3.Based on these AI airway/pulmonary findings, the probability of this patient having clinically detectable respiratory signs is VERY HIGH (&gt;75%)_x000D_
4.Are respiratory signs present? If YES._x000D_
5.AI link to bacterial pneumonia treatment in dogs: https://platform.v2.vetology.net/doc/pneumonia-in-dogs-and-cats_x000D_
6.Are respiratory signs present? If NO._x000D_
7.A moderate perihilar infitlrate has been detected._x000D_
8.Pleural fissure lines or moderate to severe pleural effusion has been detected. An overlying skin fold or in an obese animal, excessive pericardial fat could artifactually mimic the result of severe pleural effusion.</t>
  </si>
  <si>
    <t xml:space="preserve">
1.Severe cardiomegaly has been detected but Heart Failure is NOT suspected._x000D_
2.Are respiratory signs present? If YES._x000D_
3.Are respiratory signs present? If NO._x000D_
4.AI linked bacterial pneumonia treatment in dogs: https://platform.v2.vetology.net/doc/pneumonia-in-dogs-and-cats_x000D_
5.Are respiratory signs present? If NO._x000D_
6.MODERATE BRONCHOINTERSTITIAL PULMONARY PATTERN; MODERATE DYNAMIC AIRWAY DISEASE; MODERATE ALVEOLAR INFILTRATE or ATELECTASIS._x000D_
7.MODERATE INTERSTITIAL TO ALVEOLAR INFILTRATE; CONCURRENT MODERATE BRONCHIAL PATTERN; MILD PERIHILAR INFILTRATE._x000D_
8.Based on the AI airway/pulmonary findings, the probability of this patient having clinically detectable respiratorysigns is MEDIUM to HIGH (50-75%)_x000D_
9.Based on these AI airway/pulmonary findings, the probability of this patient having clinically detectable respiratory signs is HIGH (75%)_x000D_
10.Are respiratory signs present? If YES.</t>
  </si>
  <si>
    <t>3 views of the thorax are presented for review.  The cardiovascular structures are normal.  A rounded soft tissue mass is seen at the heart base.  This appears to be located to the left of midline on the VD view, although obliquity may accentuate this finding.  There is a diffuse interstitial pulmonary pattern that is considered appropriate for the age of the patient.  No pulmonary nodules are seen.  The pleural structures are normal.  Cranial abdominal detail is adequate.</t>
  </si>
  <si>
    <t>Cranial thoracic mass, most likely heart base origin neoplasia.  Lymph node or other cranial mediastinal origin cannot be excluded.  Lung lobe origin is less likely based on the appearance on the VD view.</t>
  </si>
  <si>
    <t>A straight VD or DV view may be helpful in further localization.  Ultrasonography via cardiac window could be considered.  CT could also be considered.</t>
  </si>
  <si>
    <t>Study:_x000D_
Thoracic radiography: right lateral and orthogonal views (two images) dated June 29, 2024_x000D_
_x000D_
Findings:_x000D_
There is moderate to severe left ventricular and left atrial enlargement. The pulmonary vasculature is normal in size. The lungs are hypoinflated on the right lateral view leading to the increased opacity of the pulmonary parenchyma on this image relative to the orthogonal view. The pulmonary parenchyma is otherwise unremarkable.. The pleural space is normal. There is no intrathoracic lymphadenopathy. The patient has a redundant dorsal tracheal membrane. The trachea is normal in diameter. The liver extends beyond the costal arch with smooth margins. The osseous structures are unremarkable. The patient is of overweight body condition.</t>
  </si>
  <si>
    <t>1. Moderate to left-sided cardiomegaly, indicative of mitral valve disease, without evidence of decompensation. Echocardiography should be considered for further evaluation._x000D_
2. Redundant dorsal tracheal membrane. Normal diameter of the trachea does not exclude the possibility of concomitant tracheal collapse. Consider fluoroscopy for further evaluate for possible dynamic airway disease as a cause of coughing is not otherwise evident._x000D_
3. The generalized hepatomegaly is nonspecific. Rule out metabolic/vacuolar hepatopathy, hyperplasia, hepatitis or infiltrative neoplasia. Sonography can be considered for further evaluation.</t>
  </si>
  <si>
    <t xml:space="preserve">
1.A moderate bronchial pattern and concurrent mild interstitial pattern with potential regions of alveolar infiltrate have been detected._x000D_
2.MILD INTERSTITIAL to ALVEOLAR INFILTRATE; MILD PERIHILAR INFILTRATE._x000D_
3.MODERATE BRONCHIAL PATTERN; MODERATE DYNAMIC AIRWAY DISEASE._x000D_
4.Based on these AI airway/pulmonary findings, the probability of this patient having clinically detectable respiratory signs is MEDIUM (50%)_x000D_
5.Based on these AI airway/pulmonary findings, the probability of this patient having clinically detectable respiratory signs is HIGH (75%)_x000D_
6.Are respiratory signs present? If YES._x000D_
7.Are respiratory signs present? If YES._x000D_
8.Are respiratory signs present? If NO._x000D_
9.Are respiratory signs present? If NO._x000D_
10.Severe cardiomegaly has been detected but Heart Failure is NOT suspected.</t>
  </si>
  <si>
    <t>Three orthogonal radiographs of the abdomen dated 29th June 2024 are available for review. There are no previous radiographs available for comparison. _x000D_
_x000D_
Intra-abdominal findings: There is a moderate amount of granular food material within the stomach, with a normal axis. The descending duodenum is mildly filled. The small intestines contain fluid, gas and soft tissue opaque material and are within normal limits for shape and size. The descending colon is mildly distended with poorly formed faeces. The urinary bladder is small. The hepatic silhouette is normal in size with smooth borders. The spleen is normal in shape, size and position. The kidneys are partially obscured by gastrointestinal contents, but the visible aspect are normal._x000D_
Extra-abdominal findings: No significant abnormalities are detected. The lumbar vertebral column is normal._x000D_
_x000D_
Included thorax: No significant abnormalities are detected.</t>
  </si>
  <si>
    <t>1. Relatively unremarkable post-prandial abdomen. The mild filling of the duodenum relative to the small intestines may support a differential of pancreatitis.</t>
  </si>
  <si>
    <t>Full bloodwork, CPL testing, and abdominal ultrasound may be considered.</t>
  </si>
  <si>
    <t>Study:_x000D_
Thoracic radiography: three images dated June 28, 2024_x000D_
_x000D_
Findings:_x000D_
There is a diffuse interstitial pulmonary pattern, most severe in the perihilar and caudal dorsal lung fields. The severity of the pulmonary infiltrates limits evaluation for left atrial enlargement. The cardiac silhouette is not overtly enlarged. The pulmonic vasculature is normal in size. The pleural space is normal. There is no apparent intrathoracic lymphadenopathy. The trachea is normal in diameter. The liver extends beyond the costal arch with smooth and sharp margins. There is mild L2-L3 spondylosis deformans.</t>
  </si>
  <si>
    <t>1. While there is no overt cardiomegaly, the unstructured interstitial pulmonary infiltrates could represent cardiogenic pulmonary edema secondary to chordae tendineae rupture. Noncardiogenic pulmonary edema is also possible. Pneumonia is less likely. Consider echocardiography and diuretic therapy with repeat radiography to monitor for response to treatment._x000D_
2. The generalized hepatomegaly is nonspecific. Rule out metabolic/vacuolar hepatopathy, hyperplasia, hepatitis or infiltrative neoplasia. Sonography can be considered for further evaluation.</t>
  </si>
  <si>
    <t xml:space="preserve">
1.The evaluation has detected soft tissue pulmonary nodules and pleural fluid._x000D_
2.Severe cardiomegaly has been detected but Heart Failure is NOT suspected._x000D_
3.PULMONARY NODULES or NODULAR PATTERN; PLEURAL EFFUSION or PLEURAL FISSURE LINES; SEVERE INTERSTITIAL TO ALVEOLAR PATTERN; MODERATE BRONCHIAL PATTERN; DYNAMIC AIRWAY DISEASE._x000D_
4.Based on the AI airway/pulmonary findings, the probability of this patient having clinically detectable respiratory signs is VERY HIGH (&gt;75%)_x000D_
5.In older dogs, a pulmonary mass or pulmonary nodules, pulmonary hemorrhage, pleural effusion or PTE are primary considerations._x000D_
6.In the ABSENCE of respiratory signs, lung lobe collapse or severe atelectasis secondary to anesthesia or deep sedation could artifactually create this appearance._x000D_
7.If this AI evaluation is inconsistent with your assessment or the clinical picture, a Vetology AI overread may be beneficial.</t>
  </si>
  <si>
    <t>Three radiographs of the proximal thoracic limbs are provided. Both humeri are medially displaced. The right humeral head appears reduced in opacity on the VD projection likely due to difference in superimposed tissue versus the appearance of the left humerus. The right scapular glenoid is markedly flattened. The left scapular glenoid is smoothly rounded. Narrowed caudal cervical trachea on the edge of the left lateral view may be due to neck position. There is mild left atrial and ventricular enlargement. Pulmonary vessels are normal size. No abnormalities in the pulmonary parenchyma. Narrowed C5-6, C6-7 intervertebral disc spaces.</t>
  </si>
  <si>
    <t>1. Bilateral medial shoulder luxation, worse on the right where there is evidence of chronicity. This, coupled with recent soft tissue sprain/strain is most likely responsible for the discomfort._x000D_
2. Narrowed C5-6, C6-7 intervertebral disc spaces may be incidental, however intervertebral disc disease could also be contributing to discomfort._x000D_
3. Mild left-sided cardiomegaly consistent with acquired mitral valve disease. There is no evidence of heart failure today.</t>
  </si>
  <si>
    <t>Recommend supportive care with anti-inflammatories. Follow-up echocardiogram should be considered.</t>
  </si>
  <si>
    <t xml:space="preserve">
1.SEVERE INTERSTITIAL TO ALVEOLAR PATTERN; MODERATE BRONCHIAL PATTERN; MILD DYNAMIC AIRWAY DISEASE._x000D_
2.Based on these AI airway/pulmonary findings, the probability of this patient having clinically detectable repsiratory signs is VERY HIGH (&gt;75%)_x000D_
3.Are respiratory signs present? If YES._x000D_
4.AI linked canine pnuemonia treatment: https://platform.v2.vetology.net/doc/pneumonia-in-dogs-and-cats_x000D_
5.Are respiratory signs present? If NO._x000D_
6.Pleural fissure lines or moderate pleural effusion has been detected. An overlying skin fold or in a moderately overweight animal, excessive pericardial fat could artifactually mimic the result of moderate pleural effusion._x000D_
7.Severe cardiomegaly has been detected but Heart Failure is NOT suspected.</t>
  </si>
  <si>
    <t>Opposite lateral and VD views of the thorax and abdomen are provided for interpretation. There are seven images total._x000D_
_x000D_
Rugal folds in the stomach are slightly prominent. The stomach is not dilated or malpositioned. The spleen is prominent but still felt to be within normal limits. The liver is at the upper end of normal range. Small intestinal gas is slightly increased. No dilation or plication the intestine is seen. No foreign bodies are identified._x000D_
_x000D_
The cardiovascular structures are within normal limits. No pulmonary infiltrates are identified. No esophageal abnormalities are seen.</t>
  </si>
  <si>
    <t>The GI changes are mild but would be compatible with gastroenteritis. No foreign bodies or obstructive pattern are identified. The rest of the abdomen is within normal limits._x000D_
No thoracic abnormalities are identified.</t>
  </si>
  <si>
    <t>Supportive care as needed and symptomatic therapy for gastroenteritis/pancreatitis is recommended.</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</si>
  <si>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beyond the costal arch.  The stomach contains a moderate amount of ingesta.  The small intestines are normal in size.  Gas and feces are present in the colon.  The urinary bladder is small.  The remaining abdominal organs are normal.  Spinal alignment is normal with no consistently narrowed intervertebral disc spaces.  The coxofemoral joints are congruent.  No fractures or aggressive osseous lesions are seen.</t>
  </si>
  <si>
    <t>Hepatomegaly=ZZ90= this is a nonspecific finding that may be seen with congestion, vacuolar hepatopathy, inflammation, neoplasia, etc.  Abdominal ultrasound may be helpful in further evaluation if biochemically indicated.  Radiographically normal thoracolumbar spine.  This does not rule out intervertebral disc herniation or other causes of spinal cord compression.  CT or MRI could be considered in further evaluation.  Radiographically normal thorax for patient of this age.</t>
  </si>
  <si>
    <t>Study:_x000D_
Thoracic radiography: three images dated June 29, 2024_x000D_
_x000D_
Findings:_x000D_
There is severe left ventricular and left atrial enlargement. The cranial lobar veins are mildly distended in comparison to the corresponding arteries. There is a mild to moderate bilateral perihilar/caudal dorsal unstructured interstitial pulmonary pattern. There is a thin pleural fissure lines seen in the right hemithorax, partially superimposed with the sixth rib on the VD view. There is no intrathoracic lymphadenopathy. The trachea is normal in diameter. The liver extends beyond the costal arch with smooth margins. The stomach contains heterogeneous soft tissue material presumed to be ingesta. The osseous structures are unremarkable.</t>
  </si>
  <si>
    <t>1. Severe left-sided cardiomegaly, indicative of mitral valve disease, with decompensated congestive heart failure/cardiogenic pulmonary edema. Recommend echocardiography for further evaluation. Diuretic therapy with repeat radiography to monitor for response to treatment is recommended in the interim._x000D_
2. The thin pleural fissure line is seen on the VD view may indicate trace pleural effusion, incidental tangential visualization or pleural thickening._x000D_
3. The generalized hepatomegaly is nonspecific. Rule out metabolic/vacuolar hepatopathy, hyperplasia, hepatitis, congestion or infiltrative neoplasia. Sonography can be considered for further evaluation.</t>
  </si>
  <si>
    <t xml:space="preserve">
1.MODERATE BRONCHOINTERSTITIAL PULMONARY PATTERN; MODERATE ALVEOLAR INFILTRATE or ATELECTASIS; MODERATE DYNAMIC AIRWAY DISEASE._x000D_
2.Based on these AI airway/pulmonary findings, the probability of this patient having clinically detectable respiratory signs is HIGH (75%)_x000D_
3.Are respiratory signs present? If YES._x000D_
4.Are respiratory signs present? If NO._x000D_
5.Severe cardiomegaly has been detected but Heart Failure is NOT suspected._x000D_
6.There is no evidence of PLEURAL EFFUSION.</t>
  </si>
  <si>
    <t>Fifteen survey radiographs of the cervical, thoracic and lumbar vertebral column, as well as pelvis and pelvic limbs dated 29th June 2024 are available for review. There are no previous radiographs available for comparison. _x000D_
_x000D_
Thorax: _x000D_
Airway findings: The thoracic trachea is mildly elevated. There is a mild mainly caudal dorsal bronchointerstitial opacification. No nodules or masses are seen._x000D_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within upper normal limits._x000D_
_x000D_
Mediastinum and pleural space: There is mild ventral pleural fat._x000D_
_x000D_
Musculoskeletal findings: A lateral image of the cervical vertebral column is not available. No abnormalities are noted in the ventral dorsal image. Within the mid thoracic vertebral column there are multiple sites of intervertebral disc narrowing with smooth vertebral and plates and smooth ventral spondylosis. There is mild spondylosis at T12-T13. There is moderate spondylosis at L1 and L2 and L3-4. The remainder of the lumbar vertebral column is normal._x000D_
_x000D_
Pelvis: The included lumbar vertebral column is normal. The iliosacral joints are symmetric. There is good coverage of the femoral heads by the acetabuli.  No degenerative modelling is noted at the acetabular rim and femoral heads and there is good articular congruency. The limbs are externally rotated and abducted._x000D_
_x000D_
_x000D_
Pelvic limbs: There is mild soft tissue attenuation of the left and right stifle joint space, causing infrapatellar fat pad compression. There is no degenerative modelling. The caudal thigh musculature is bilaterally poor. _x000D_
_x000D_
Soft tissues: The patient is morbidly obese.</t>
  </si>
  <si>
    <t>1. Left atrial dilation with mild left-sided cardiomegaly. This is most likely due to mixoid degeneration of the mitral valve. There is no evidence for cardiac insufficiency. Early DCM cannot be excluded._x000D_
2. In absence of respiratory signs, the bronchointerstitial pattern is most likely due to normal ageing, body habitus and hypoinflation._x000D_
3. No significant musculoskeletal abnormalities. Mild stifle joint synovitis which may be due to partial cranial cruciate ligament tearing, or other intra-articular soft tissue pathology. Very poor musculature may be due to inactivity</t>
  </si>
  <si>
    <t>Radiography is insensitive for early cardiac insufficiency, therefore ECG, blood pressure measurements, and echocardiography may be considered for further evaluation, or baseline measurements._x000D_
Lifelong management including keeping the patient at an appropriate weight and feeding a healthy diet +/- joint supplementation is recommended.Labwork should be checked consistently when undergoing medical management. Physical therapy and low impact exercise (i.e. water treadmill or other) can be employed to strengthen and build muscle.</t>
  </si>
  <si>
    <t xml:space="preserve">
1.A minimal perihilar infiltrate has been detected._x000D_
2.A mild interstitial pattern has been detected._x000D_
3.The cardiac silhouette size is normal._x000D_
4.There is no evidence of ALVEOLAR PATTERN or DYNAMIC AIRWAY COLLAPSE or BRONCHIECTASIS.</t>
  </si>
  <si>
    <t>2 images of the thorax and abdomen are presented for review.  The cardiovascular structures are normal on the views provided, although complete evaluation of the lateral view is difficult due to obliquity.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small.  The remaining abdominal organs are normal.  There is hypoplasia of the left 13th rib with lumbarization of the right 13th rib.  There is mild consistent narrowing of the intervertebral disc spaces at C5-6 and T11-13.  No fractures or aggressive osseous lesions are seen.</t>
  </si>
  <si>
    <t>Prominent rugal folds suggestive of gastritis.  This does not rule out underlying pancreatitis or infiltrative neoplasia.  Abdominal ultrasound could be considered in further evaluation if clinically indicated.  Radiographically normal thorax for patient of this age.  Narrowed intervertebral disc spaces suggestive of intervertebral disc herniations.  This does not rule out intervertebral disc herniation at another site or other causes of spinal cord compression.  CT or MRI could be considered in further evaluation.</t>
  </si>
  <si>
    <t xml:space="preserve">
1.MINIMAL BRONCHIAL PATTERN; MINIMAL DYNAMIC AIRWAY DISEASE._x000D_
2.Based on these AI airway/pulmonary findings, the probability of this patient having clinically detectable respiratory signs is LOW (25%)_x000D_
3.Mild cardiomegaly has been detected but Heart Failure is NOT suspected._x000D_
4.There is no evidence of ALVEOLAR PATTERN, PERIHILAR INFILTRATE, PULMONARY NODULES or PLEURAL EFFUSION._x000D_
5.Are respiratory signs present? If YES._x000D_
6.Are respiratory signs present? If NO.</t>
  </si>
  <si>
    <t>Five radiographs of the thorax and abdomen are provided. The cardiac silhouette and pulmonary vessels are normal size and shape. There are no abnormalities in the pulmonary parenchyma. No pleural effusion. Moderate narrowed cervical trachea on the left lateral view. Several small soft tissue opaque cutaneous nodules along the dorsum, of uncertain significance._x000D_
_x000D_
In the abdomen there is no effusion. The liver and spleen are normal size. The kidneys are incompletely visible. The gastrointestinal tract is minimally filled. The urinary bladder is not definitively seen. Several narrowed lumbar intervertebral disc spaces, of doubtful clinical significance today.</t>
  </si>
  <si>
    <t>1. Probable dynamic cervical tracheal collapse. No intrathoracic abnormalities._x000D_
2. Normal abdomen.</t>
  </si>
  <si>
    <t>There is no contraindication for general anesthesia based on this study, however if it is planned for immediately following these images, consider extubation with partial inflation of the endotracheal tube cuff given current gastric contents.</t>
  </si>
  <si>
    <t>For a pelvic extended vd and a single lateral image of the right hind limb dated 29th June 2024 are available for review. There are no previous radiographs available for comparison. _x000D_
_x000D_
Pelvis: The included lumbar vertebral column is normal. The iliosacral joints are symmetric. There is good coverage of the femoral heads by the acetabuli.  No degenerative modelling is noted at the acetabular rim and femoral heads and there is good articular congruency. The patella are in an anatomical position._x000D_
_x000D_
Joints and long bones: At the distal right femur there is extensive dorsal smooth periosteal new bone formation, with a spherical new bone formation, There is diffuse thinning of the distal femoral cortex. The zone of transition within the medulla is indistinct._x000D_
_x000D_
Soft tissues: There is surrounding soft tissue thickening. There is near complete loss of caudal thigh musculature on the right side.</t>
  </si>
  <si>
    <t>1. Monostotic aggressive mixed lytic and proliferative bone lesion of the right femur.  No evidence of pathologic fracture on views provided. Extended transitional zone, cortical destruction, and active periosteal reaction most concerning for primary bone neoplasia (osteosarcoma).</t>
  </si>
  <si>
    <t>Fine needle aspirate of the lesion or surrounding soft-tissues vs. bone biopsy are recommended for definitive diagnosis. 3 view thoracic radiographs are indicated to evaluate for metastasis given aggressive appearance and age. Consultation with oncology based on results.</t>
  </si>
  <si>
    <t>Study:_x000D_
Thoracic and abdominal radiography: five images dated June 29,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a small volume of gas.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</si>
  <si>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1. Normal thorax. A cause of coughing is not evident. Lack of a definitive bronchial pulmonary pattern does not exclude the possibility of allergic/inflammatory, infectious, irritant or parasitic bronchitis. Consider airway sampling plus/minus heartworm testing and Baermann fecal flotation to further evaluate for lower airway disease._x000D_
2. Unremarkable abdomen. A cause of the reported vomiting is not evident. There is no radiographic evidence of gastrointestinal foreign material or small intestinal mechanical obstruction. Abdominal sonography can be considered for further evaluation if clinical signs persist or worsen in spite of medical management.</t>
  </si>
  <si>
    <t>Study:_x000D_
Thoracic/abdominal radiography: five images dated June 27, 2024_x000D_
_x000D_
Findings:_x000D_
The cardiac silhouette and pulmonary vasculature are normal in size. There is a mild generalized bronchial pulmonary pattern. The pleural space is normal. There is no intrathoracic lymphadenopathy. The patient has a redundant dorsal tracheal membrane. The trachea lumen appears mildly narrowed at the thoracic inlet on all lateral projections. The stomach contains a small volume of gas. The small intestines are normal in size, course and content. The colon contains gas and formed fecal material. The liver extends mildly beyond the costal arch with smooth and sharp margins. The spleen is normal in size and margin. The renal silhouettes are normal in size and contour. The urinary bladder is normal in size and opacity. There is no prostatomegaly. There is mild bilateral elbow periarticular bone formation. There is narrowing of the C5-C6, C6-C7, L2-L3 and L4-L5 intervertebral disc spaces. There is associated sclerotic endplates and  spondylosis deformans at C5-C6, C6-C7 and L4-L5. On the left lateral views, the left patella is superimposed with the femoral condyles. There is mild periarticular bone formation present at the proximal aspect of the femoral trochlear groove.</t>
  </si>
  <si>
    <t>1. The mild generalized bronchial pulmonary pattern may indicate allergic, inflammatory, infectious, parasitic or irritant bronchitis. Airway sampling, heartworm testing and Baermann fecal flotation can be considered for further evaluation._x000D_
2. Suspect chondromalacia and dynamic airway disease/tracheal collapse. Fluoroscopy can be considered for further evaluation._x000D_
3. The generalized hepatomegaly is nonspecific. Rule out metabolic/vacuolar hepatopathy, hyperplasia, hepatitis or infiltrative neoplasia. Sonography can be considered for further evaluation._x000D_
4. Mild bilateral elbow osteoarthrosis._x000D_
5. C5-C6, C6-C7, L2-L3 and L4-L5 intervertebral disease._x000D_
6. Left (presumably medial) luxating patella and mild stifle osteoarthrosis.</t>
  </si>
  <si>
    <t xml:space="preserve">
1.Moderate cardiomegaly has been detected but Heart Failure is NOT suspected._x000D_
2.Are respiratory signs present? If YES._x000D_
3.Are respiratory signs present? If NO._x000D_
4.AI linked bacterial pneumonia treatment in dogs: https://platform.v2.vetology.net/doc/pneumonia-in-dogs-and-cats_x000D_
5.Are respiratory signs present? If NO._x000D_
6.MODERATE BRONCHOINTERSTITIAL PULMONARY PATTERN; MODERATE DYNAMIC AIRWAY DISEASE; MODERATE ALVEOLAR INFILTRATE or ATELECTASIS._x000D_
7.MODERATE INTERSTITIAL TO ALVEOLAR INFILTRATE; CONCURRENT MODERATE BRONCHIAL PATTERN; MILD PERIHILAR INFILTRATE._x000D_
8.Based on the AI airway/pulmonary findings, the probability of this patient having clinically detectable respiratorysigns is MEDIUM to HIGH (50-75%)_x000D_
9.Based on these AI airway/pulmonary findings, the probability of this patient having clinically detectable respiratory signs is HIGH (75%)_x000D_
10.Are respiratory signs present? If YES._x000D_
11.Pleural fissure lines or moderate pleural effusion has been detected. An overlying skin fold or in a moderately overweight animal, excessive pericardial fat could artifactually mimic the result of moderate pleural effusion.</t>
  </si>
  <si>
    <t>Four radiographs of the thorax and abdomen are provided. The cardiac silhouette and pulmonary vessels are normal size and shape. There are no abnormalities in the pulmonary parenchyma. No pleural effusion/gas, or intrathoracic lymphadenomegaly. The diaphragm is intact. No rib fractures. Normal proximal thoracic limbs. Mild thickened and slight wispy appearance of the right lateral cervical tissues on the VD projection. Normal tracheal diameter and position. No cervical spinal abnormalities. Metal opaque 0.8 cm pallet in the dorsal extrathoracic tissues is of doubtful clinical significance today. In the abdomen there is no effusion or organomegaly. The urinary bladder is moderately filled and well delineated. Moderate volume formed feces in the distal colon. The stomach and small bowel are minimally filled. No radiopaque foreign material. Normal lumbar spine.</t>
  </si>
  <si>
    <t>Wispy appearance of the lateral right cervical tissues is likely due to the reported puncture wounds. No other evidence of trauma on this study. The thorax and abdomen are normal.</t>
  </si>
  <si>
    <t>Recommend supportive care and wound management.</t>
  </si>
  <si>
    <t xml:space="preserve">
1.There is no evidence of BRONCHITIS._x000D_
2.Are respiratory signs present? If NO._x000D_
3.Are respiratory signs present? If YES._x000D_
4.In the ABSENCE of respiratory signs, atelectasis secondary to heavy sedation or anesthesia or a false positive due to a combination of age-related changes, obesity, pulmonary hypoinflation/partial atelectasis and/or overlying soft tissues such as forelimb musculature overlying the cranial thorax would be most likely._x000D_
5.MODERATE INTERSTITIAL TO ALVEOLAR PATTERN with PNEUMONIA or ATELECTASIS; MINIMAL DYNAMIC AIRWAY DISEASE._x000D_
6.MODERATE INTERSTITIAL TO ALVEOLAR PATTERN; MILD PERIHILAR INFILTRATE._x000D_
7.In the PRESENCE of respiratory signs, moderate pneumonitis (aspiration or bacterial  (including Bordatella, Mycoplasma and Wolbachia), allergic, viral, fungal or parasitic (including heartworm pathosis)) would be most likely._x000D_
8.Based on these AI airway/pulmonary findings, the probability this patient will have clinically detectable respiratory signs is LOW to MEDIUM (25-50%)_x000D_
9.Pleural fissure lines or small volume pleural effusion has been detected. In a mildly overweight animal, excessive pericardial fat can artifactually mimic the result of minimal pleural effusion._x000D_
10.Minimal cardiomegaly has been detected but Heart Failure is NOT suspected.</t>
  </si>
  <si>
    <t>Three radiographs of the thorax and four views of the abdomen are provided. There is mild left-sided cardiomegaly. The cranial lobar vein is prominent on the left lateral view. There is a moderate interstitial pattern in the right perihilar region on the VD projection, not appreciated on the lateral views. No pleural effusion. Moderate narrowed cervical trachea._x000D_
_x000D_
In the abdomen serosal detail is adequate. There is small volume gas in the stomach. Small intestines are diffusely moderate to severely dilated with fluid and scant gas. Gas and small volume formed feces in the colon. No radiopaque foreign material. Normal size liver, spleen, kidneys. No radiopaque cystic calculi. Osseous structures are unremarkable.</t>
  </si>
  <si>
    <t>1. Mild left-sided cardiomegaly consistent with acquired mitral valve disease. There is pulmonary venous congestion. Hazy right perihilar region only on the VD projection is likely due to dorsal recumbency. No convincing evidence of heart failure at this time._x000D_
2. Cervical tracheal collapse._x000D_
3. Small intestinal functional ileus, a nonspecific finding that may be due to enteritis, metabolic abnormality, or other primary gastrointestinal disorder. No other abdominal abnormalities.</t>
  </si>
  <si>
    <t>Abdominal ultrasound is recommended. Follow-up echocardiogram should be considered, although is given secondary priority to abdominal imaging.</t>
  </si>
  <si>
    <t xml:space="preserve">
1.MILD to MODERATE BRONCHOINTERSTITIAL PATTERN; MILD DYNAMIC AIRWAY DISEASE._x000D_
2.Based on these AI airway/pulmonary findings, the probability of this patient having clinically detectable respiratory signs is MEDIUM (50%)_x000D_
3.Are respiratory signs present? If YES._x000D_
4.Are respiratory signs present? If NO._x000D_
5.Moderate cardiomegaly has been detected but Heart Failure is NOT suspected.</t>
  </si>
  <si>
    <t>10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There is spondylosis deformans of the thoracolumbar spine.  There is mild consistent narrowing of the intervertebral disc spaces at T13-L1 and L3-6.</t>
  </si>
  <si>
    <t>Radiographically normal abdomen.  Radiographically normal thorax for patient of this age.  Spinal changes suggest multiple sites of intervertebral disc herniations, likely chronic.  Less chronic change is seen at T13-L1.</t>
  </si>
  <si>
    <t>CT or MRI could be considered.</t>
  </si>
  <si>
    <t xml:space="preserve">
1.The evaluation has come up positive for a pulmonary nodular pattern._x000D_
2.The cardiac silhouette size is normal._x000D_
3.There is no evidence of ALVEOLAR PATTERN, PERIHILAR INFILTRATE or DYNAMIC AIRWAY COLLAPSE or BRONCHIECTASIS._x000D_
4.A mild bronchial pattern has been detected.</t>
  </si>
  <si>
    <t>Abdomen: There is moderate generalized cardiomegaly.  There is an interstitial/alveolar pattern associated with the perihilar region.  A mild bronchial pattern is noted.  There is no evidence of pleural effusion or lymphadenopathy._x000D_
_x000D_
Abdomen: There are no abnormalities identified.</t>
  </si>
  <si>
    <t>Generalized cardiomegaly with suspected decompensation/failure._x000D_
_x000D_
Mild bronchial pattern which may be age-related or bronchitis.</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</si>
  <si>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3.Based on these AI airway/pulmonary findings, the probability of this patient having clinically detectable respiratory signs is VERY HIGH (&gt;75%)_x000D_
4.Are respiratory signs present? If YES._x000D_
5.Are respiratory signs present? If NO._x000D_
6.SEVERE INTERSTITIAL TO ALVEOLAR PATTERN; SEVERE BRONCHIAL PATTERN; SEVERE DYNAMIC AIRWAY DISEASE.</t>
  </si>
  <si>
    <t>2 views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There is spondylosis deformans of the thoracolumbar spine.</t>
  </si>
  <si>
    <t>Seven orthogonal survey radiographs of the thorax and abdomen dated 28th June 2024 are available for review. There are no previous radiographs available for comparison. These images are submitted for an abdominal read._x000D_
_x000D_
Abdomen: Multiple severely fluid distended intestinal loops are visible in the caudal dorsal abdomen, extending from the dorsal aspect of the urinary bladder cranially. The stomach is empty. The small intestines are within normal limits for shape, size and contents. The descending colon contains a mild amount of faeces. The hepatic silhouette is mildly enlarged with rounded borders. There are prominent nipple shadows. The kidneys are partially obscured by gastrointestinal contents, but the visible aspect are normal. The spleen is normal. The serosal detail is normal. The urinary bladder is filled. Within the centre of the urinary bladder there is a conglomerate of mineral opacities. One larger mineral smoothly marginated calculus is present also._x000D_
_x000D_
Musculoskeletal findings: The patient is obese._x000D_
_x000D_
Included thorax: There is a mild homogenous interstitial opacification due to body habitus. No significant abnormalities are detected.</t>
  </si>
  <si>
    <t>1. Differentials include pyometra, less likely hydrometra or mucometra. An early pregnancy is considered unlikely. _x000D_
2. Cystolithiasis with or without cystitis._x000D_
3. The hepatomegaly is most likely due to vacuolar hepatopathy, or underlying endocrine disease.</t>
  </si>
  <si>
    <t>Confirm findings with ultrasonographic examination. Exclude possible mating and pregnancy. If confirmed, ovaryohysterectomy and cystotomy is advised after appropriate preanaesthetic workup.</t>
  </si>
  <si>
    <t xml:space="preserve">
1.MILD BRONCHOINTERSTITIAL PULMONARY PATTERN; MINIMAL to MILD PERIHILAR PATTERN._x000D_
2.Based on the AI airway/pulmonary findings, the probability of this patient having clinically detectable respiratory signs is LOW (25%)_x000D_
3.In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4.In the PRESENCE of respiratory signs, low grade active pneumonitis (allergic, bacterial, parasitic (including heartworm disease), inhaled allergen or toxin) or upper airway disease causing pulmonary hypoinflation and/or recurrent microaspiration may be more likely._x000D_
5.The cardiac silhouette size is normal._x000D_
6.There is no evidence of PLEURAL EFFUSION.</t>
  </si>
  <si>
    <t>1) Left atrial enlargement secondary to chronic mitral endocardiosis without signs of CHF._x000D_
2) Unremarkable lungs do not exclude a bronchitis of allergic vs inflammatory/infectious or parasitic origin.</t>
  </si>
  <si>
    <t xml:space="preserve">
1.MILD BRONCHIAL PATTERN; MINIMAL DYNAMIC AIRWAY DISEASE._x000D_
2.Based on these AI airway/pulmonary findings, the probability of this patient having clinically detectable respiratory signs is LOW (25%)_x000D_
3.Are respiratory signs present? If YES._x000D_
4.Are respiratory signs present? If NO._x000D_
5.There is no evidence of ALVEOLAR PATTERN, PERIHILAR INFILTRATE, PULMONARY NODULES or PLEURAL EFFUSION._x000D_
6.Moderate cardiomegaly has been detected but Heart Failure is NOT suspected.</t>
  </si>
  <si>
    <t>5 images of the entire body and pelvis/pelvic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beyond the costal arch.  The stomach contains a moderate amount of ingesta.  The small intestines are normal in size.  Gas and feces are present in the colon.  The urinary bladder is small.  The kidneys are small with a mineral structure in the right renal pelvis.  The remaining abdominal organs are normal.  The coxofemoral joints are congruent.  No fractures or aggressive osseous lesions are seen.  The joint surfaces are smooth and regular.  Mild soft tissue is seen in the right stifle joint when compared with the left, with both similar degrees of obliquity on the lateral views.</t>
  </si>
  <si>
    <t>Hepatomegaly is likely related to previously diagnosed hyperadrenocorticism.  Chronic renal changes with right nephrolith.  Radiographically normal thorax for patient of this age.  Mild right stifle effusion suggestive of soft tissue injury such as to the cranial cruciate ligament or meniscus</t>
  </si>
  <si>
    <t xml:space="preserve">
1.A minimal to mild perihilar infiltrate has been detected._x000D_
2.There is no evidence of ALVEOLAR PATTERN, PULMONARY NODULES or PLEURAL EFFUSION._x000D_
3.Minimal cardiomegaly has been detected but Heart Failure is NOT suspected._x000D_
4.A mild bronchial pattern and concurrent mild dynamic airway disease have been detected.</t>
  </si>
  <si>
    <t>Abdomen: There is a linear metallic structure superimposed over the liver as well as one superimposed over the cranial abdomen caudal to the stomach.  The remainder of the liver and spleen are unremarkable.  There are no abnormalities involving the visible portions of the urinary tract.  Serosal detail is normal.  There are metallic projectiles (BBs) superimposed over the soft tissues  one of the pelvic limbs (right lateral view)._x000D_
_x000D_
Thorax (lateral view).</t>
  </si>
  <si>
    <t>Metallic linear foreign bodies of unknown origin or location.  These may be migrating.  It is uncertain if these are chronic or acute._x000D_
_x000D_
Metallic BBs within the soft tissues of the pelvic limbs.</t>
  </si>
  <si>
    <t xml:space="preserve">
1.A moderate bronchointerstitial pulmonary pattern detected._x000D_
2.The cardiac silhouette size is normal._x000D_
3.There is no evidence of PERIHILAR INFILTRATE, DYNAMIC AIRWAY COLLAPSE or BRONCHIECTASIS, PULMONARY NODULES or PLEURAL EFFUSION.</t>
  </si>
  <si>
    <t>5 images of the thorax are provided for review.  The cardiovascular structures are normal.  There is a moderate bronchial pattern in all lung lobes.  The mediastinal and pleural structures are normal.  Cranial abdominal detail is adequate.</t>
  </si>
  <si>
    <t>Thorax: There is moderate left-sided cardiomegaly.  There is an interstitial to alveolar pattern involving the perihilar region.  There is no evidence of pleural effusion or lymphadenopathy.  The remainder of the thorax is unremarkable.  On the visible portions of the abdomen there is mild diffuse hepatomegaly.  The remainder of the visible portions of the abdominal viscera are unremarkable.</t>
  </si>
  <si>
    <t>Left-sided cardiomegaly with evidence of decompensation/failure._x000D_
_x000D_
Mild diffuse hepatomegaly.</t>
  </si>
  <si>
    <t xml:space="preserve">
1.MILD BRONCHOINTERSTITIAL PULMONARY PATTERN; MILD PERIHILAR INFILTRATE; MILD DYNAMIC AIRWAY DISEASE; ATELECTASIS or less likely, pneumonia._x000D_
2.Based on the AI airway/pulmonary findings, the probability of this patient having clinically detectable respiratory signs is MEDIUM (50%)_x000D_
3.Severe cardiomegaly has been detected but Heart Failure is NOT suspected._x000D_
4.Are respiratory signs present? If YES._x000D_
5.Are respiratory signs present? If NO.</t>
  </si>
  <si>
    <t xml:space="preserve">Patient Name : Abby Mullin, Date of study: Jun 28, 2024
7 images are provided for review
This examination complements prior dated June 14, 2024.
Pulmonary parenchyma: A minimal to mild diffuse bronchial pattern is present.  Multiple small mineral foci are in the cranioventral lungs in the lateral image.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ventral extremity of the spleen is slightly rounded and enlarged in the right lateral image.
Kidneys: The kidneys are normal in size and shape without obvious mineral.
Retroperitoneum: Retroperitoneal detail is adequate.
Urogenital: The urinary bladder is normal in size, homogeneous soft tissue, and smoothly marginated.
Peritoneum: Only in the left lateral image, an ovoid soft tissue structure superimposes over the caudoventral margin of the liver.
Gastrointestinal tract: The stomach contains mild fluid or is empty.  The stomach is normal in size.
The small intestine contains mild gas, fluid or is empty with a subjectively uniform population for size. 
The colon contains moderate well-defined soft tissue material and gas. The colon wall is mildly spastic.  
Musculoskeletal: Mild bilateral coxofemoral joint osteoarthrosis is present.  Bilateral elbow and shoulder osteoarthrosis is present.  T12-13 and L7-S1 spondylosis deformans is present.  The remaining included musculoskeletal structures are normal.  The soft tissues of the left lateral thoracic body wall caudal and lateral to the scapula are subjectively enlarged and slightly heterogeneous.  
</t>
  </si>
  <si>
    <t>1.  Left lateral extra-thoracic enlarged soft tissues with mild heterogeneity such as from cellulitis/myositis/fasciitis such as from migrating foreign material, occult injury,  or evolving neoplasia (soft tissue sarcoma or less likely other) 
2.. Minimal-mild diffuse bronchial pulmonary pattern such as from fibrosis from prior disease, age-related changes, or unlikely infectious/immune-mediated lower airway disease or other.
3. Multiple small mineral foci in the cranioventral lungs such as from pulmonary osseous metaplasia/benign osteomas, granuloma from prior disease, or unlikely other.
4. Mild splenomegaly versus artifact from positioning/technique.
- If present, differential diagnoses include extramedullary hematopoiesis, lymphoid hyperplasia, or evolving neoplasia.
5. Mild bilateral coxofemoral joint osteoarthrosis 
6. Similar bilateral elbow osteoarthrosis.
7. Similar bilateral shoulder osteoarthrosis.
8. T12-13 and L7-S1 spondylosis deformans.</t>
  </si>
  <si>
    <t>Etiology of reported anemia is not definitively identified and may be due to chronic disease versus other.  Computed tomography of the thoracic limbs/thorax and abdomen for further evaluation.  If an occult mass is identified, consider tissue sampling. If splenomegaly is confirmed, consider coagulation testing and tissue sampling.  Oncologist consultation depending on results.    Empirical therapy and supportive care in the interim as needed.  Monitoring as directed or sooner if clinical signs acutely change, fail to improve or worsen.</t>
  </si>
  <si>
    <t>WHOLE-BODY (3 radiographs for review). No previous for comparison._x000D_
_x000D_
- Marked left-sided cardiomegaly, characterized by dorsa displacement of the caudal aspect of the thoracic trachea. Overt rounding in the region of the left atrium and auricle._x000D_
- Pulmonary vasculature is within normal._x000D_
- Unstructured interstitial pattern in the right lung lobes as compared to the left._x000D_
- Mild dynamic change in diameter of the trachea at the thoracic inlet._x000D_
- Moderate hepatomegaly._x000D_
- Granular mineral opaque material in the region of the gallbladder._x000D_
- Gastrointestinal tract, spleen, kidneys normal._x000D_
- Bilateral stifle osteoarthritis, seemingly worse on the left.</t>
  </si>
  <si>
    <t>1. Marked left-sided cardiomegaly with overt left atrial and left auricular enlargement. Although there is no distinct pulmonary vasculature distention, there is an asymmetric right-sided unstructured interstitial pattern that given the reported history does raise concern for left sided congestive heart failure, although it could be pulmonary atelectasis/hypoinflation. If safe, you may consider diuretic administration and recheck thoracic radiographs to further evaluate for persistence vs. resolution of the pulmonary opacification. Ultimately, echocardiogram/ECG and cardiologist consultation are recommended._x000D_
_x000D_
2. Moderate, likely benign vacuolar hepatopathy._x000D_
_x000D_
3. Cholecystolithiasis._x000D_
_x000D_
4. Left stifle osteoarthritis.</t>
  </si>
  <si>
    <t xml:space="preserve">
1.A moderate perihilar infitlrate has been detected._x000D_
2.Pleural fissure lines or moderate pleural effusion has been detected. An overlying skin fold or in a moderately overweight animal, excessive pericardial fat could artifactually mimic the result of moderate pleural effusion._x000D_
3.Severe cardiomegaly has been detected but Heart Failure is NOT suspected._x000D_
4.SEVERE INTERSTITIAL TO ALVEOLAR PATTERN; SEVERE DYNAMIC AIRWAY DISEASE; MILD BRONCHIAL PATTERN._x000D_
5.Based on these AI airway/pulmonary findings, the probability of this patient having clinically detectable respiratory signs is VERY HIGH (&gt;75%)_x000D_
6.Are respiratory signs present? If YES._x000D_
7.Are respiratory signs present? If NO.</t>
  </si>
  <si>
    <t xml:space="preserve">Patient Name: Royce Sekhon, Date of study: Jun 24, 2024
6 images are provided for review
Previous images dated [06/18/2024 Case#2690423] are available for comparison. Abdomen evaluation has been requested. 
Abdomen:
Liver: The liver is moderately enlarged causing caudal displacement of the stomach. The liver margins are mildly irregular diffusely. On the lateral projections, what appears to be a soft tissue mass resides in the mid-abdomen which may represent a pedunculated liver mass or splenic mass. On the VD projection, this mass is positioned caudal to the stomach and cranial to the spleen, but the mass is less opaque than soft tissue on the VD projection and the margins of all adjacent soft tissue structures (liver, spleen, stomach and small bowel) are visible making a fat opacity mass more likely. Overlying the left caudal liver tip is a rounded region concerning for a nodule. 
Spleen: On the VD projection, the recognizable portion of the spleen, positioned caudally, is enlarged and has a lobular margin. 
Kidneys and urinary bladder: The left kidney is caudally displaced by the left mid-abdominal mass. The right kidney is not visible on the VD projections. On the lateral projections, a soft tissue structure that may represent the right kidney or splenic head is noted ventral to T12-L1. The urinary bladder is mildly to moderately distended. No radiopaque calculi are noted. The prostate is enlarged and has stippled mineral opacity overlying the prostate on the lateral projection.
GI: An oval radiopaque structure is present within the gastric lumen. The small bowel is diffusely gas filled, displaced into the right mid-abdomen and has a somewhat rigid appearance. The colon is empty. 
Abdominal detail: An increase in soft tissue opacity with focal mineral opacity overlies the sublumbar region.
Caudal thorax: The right heart is enlarged. The CVC is distended. The pulmonary artery to the cranial thorax appears decreased for size. On the lateral projection is a rounded soft tissue mass in the caudodorsal thorax. No gas is noted within this structure. On the VD projection, this soft tissue structure appears to be positioned in the region of the esophageal hiatus. Gas dilation of the caudal thoracic esophagus is also present along with a right caudal lung lobe alveolar infiltrate. 
Msk: An irregular mineral opacity is ventral to or associated with the ventral margin of the sacrum on all lateral projections. A periosteal reaction and endosteal thinning are present along the caudal aspect of at least one femoral diaphysis on the lateral projection.
A lytic lesion affects the L3 dorsal spinous process on the lateral projections. </t>
  </si>
  <si>
    <t xml:space="preserve">1) Given the history of a hepatocellular carcinoma, hepatomegaly with suspected pedunculated masses extending from the caudal aspect of the liver is the primary consideration. Splenic origin for the left cranial abdominal mass is a secondary consideration. Tertiary consideration is disseminated lymphoma affecting the caudal mediastinum, liver and spleen +/- abdominal lymphadenopathy. 
2) Caudodorsal thoracic soft tissue mass that arises along midline. DDx: herniation of a liver mass or liver lobe through the esophageal hiatus vs. caudal mediastinal lymphadenopathy vs. less suspected, hiatal hernia.
3) CVC and right heart enlargement with small cranial pulmonary vasculature. If the cranial abdominal masses are of liver origin, rule out extension into the hepatic veins and potentially tumor thrombi causing PTE is a primary consideration. PTE due to tumor emboli could also explain the right caudal lung lobe alveolar infiltrate given the dorsal location. Alternatively, a splenic origin hemangiosarcoma with right atrial/auricular involvement could explain the right heart changes and decreased pulmonary artery size. A mass within the right atrium could also result in tumor thrombi causing the right caudal alveolar infiltrate.
4) Prostatomegaly with suspected prostatic mineralization. Appearance to the sublumbar region, ventral margin of S1 and femoral diaphysis, rule out prostatic carcinoma with lymph node and osseous metastasis. </t>
  </si>
  <si>
    <t xml:space="preserve">Cardiac and abdominal ultrasounds vs. whole body CT with contrast to determine tumor origin, assess for right atrial involvement vs. mediastinal lymphadenopathy and further assess the prostate and suspected osseous lesions. FNAs or biopsies as needed for cytology/histopathology. Coagulation profile, platelet count and PCV prior to any liver and/or splenic FNAs or biopsies. </t>
  </si>
  <si>
    <t xml:space="preserve">
1.Are respiratory signs present? If YES._x000D_
2.Are respiratory signs present? If NO._x000D_
3.SEVERE INTERSTITIAL TO ALVEOLAR PATTERN; PULMONARY NODULES OR MASS LESION; PLEURAL FLUID or PLEURAL THICKENING; MILD BRONCHIAL PATTERN; MINIMAL DYNAMIC AIRWAY DISEASE._x000D_
4.Based on these AI airway/pulmonary findings, the probability of this patient having clinically detectable respiratorysigns is VERY HIGH (&gt;75%)_x000D_
5.The evaluation has come up positive for a pulmonary nodular pattern and pleural fissure lines or pleural effusion._x000D_
6.Severe cardiomegaly has been detected but Heart Failure is NOT suspected._x000D_
7.A moderate perihilar infitlrate has been detected.</t>
  </si>
  <si>
    <t>Orthogonal views of the thorax are provided:_x000D_
_x000D_
Thorax:_x000D_
_x000D_
There is moderate left atrium enlargement that dorsally displaces the carina, producing an overall severe cardiomegaly._x000D_
The pulmonary veins are normal sized. However, there is questionable peri-hilar ill defined interstitial pulmonary pattern (expiratory radiographs also leading to an increased false interstitial pattern)._x000D_
Normal mediastinum, diaphragm and thoracic wall._x000D_
Ventral SC lipoma.</t>
  </si>
  <si>
    <t>1) Cardiomegaly (left sided) with peri-hilar ill defined interstitial pulmonary pattern. Rule out left sided congestive heart failure secondary to chronic mitral endocardiosis.</t>
  </si>
  <si>
    <t xml:space="preserve">
1.A moderate interstitial to alveolar pattern has been detected._x000D_
2.Moderate to severe bronchointerstitial pulmonary pattern._x000D_
3.MODERATE INTERSTITIAL TO ALVEOLAR PATTERN; MILD PERIHILAR INFILTRATE._x000D_
4.SEVERE DYNAMIC AIRWAY DISEASE; MODERATE BRONCHIAL PATTERN._x000D_
5.A moderate bronchointerstitial pattern with potential areas of alveolar infiltrate, consolidation or pulmonary mass lesion(s) have been identified._x000D_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suspected._x000D_
8.In the PRESENCE of respiratory signs, moderate pneumonitis (aspiration or bacterial  (including Bordatella, Mycoplasma and Wolbachia), allergic, viral, fungal or parasitic (including heartworm pathosis)) would be most likely._x000D_
9.Based on these AI airway/pulmonary findings, the probability of this patient having clinically detectable respiratory signs is HIGH (75%)_x000D_
10.In the ABSENCE of respiratory signs, atelectasis secondary to heavy sedation or anesthesia or a false positive due to a combination of age-related changes, obesity, pulmonary hypoinflation/partial atelectasis and/or overlying soft tissues such as forelimb musculature overlying the cranial thorax would be most likely._x000D_
11.Are respiratory signs present? If YES._x000D_
12.Are respiratory signs present? If NO._x000D_
13.The evaluation has come up positive for a pulmonary nodular pattern.</t>
  </si>
  <si>
    <t>Three radiographs of the thorax and five views of the abdomen are provided. The cardiac silhouette and pulmonary vessels are normal size and shape. A mild unstructured interstitial pattern and a few pulmonary osteomas is normal for the age and size of this patient. There are no soft tissue pulmonary nodules, pleural effusion, or intrathoracic lymphadenomegaly. Normal tracheal diameter._x000D_
_x000D_
In the abdomen serosal detail is adequate. Formed feces fills the distal colon. The stomach and small bowel are mildly filled. Fluid in the pylorus causes the round soft tissue contour in the cranioventral abdomen on the lateral views. There is no radiopaque foreign material or urolithiasis. Normal size liver, spleen, kidneys. No osseous abnormalities.</t>
  </si>
  <si>
    <t>Orthogonal views of the thorax are provided:_x000D_
_x000D_
Thorax:_x000D_
_x000D_
Cardiac silhouette shows a mild enlargement of the left atrium dorsally displacing the carina._x000D_
Pulmonary vessels are within normal limits of size and shape._x000D_
Pulmonary parenchyma shows an alveolar pulmonary pattern with air bronchograms ventrally located in the right middle lung lobe and suspected in the caudal segment of the left cranial lung lobe. No evidence of pulmonary nodules/masses.Pleural space, mediastinum, diaphragm and thoracic wall within normal limits.</t>
  </si>
  <si>
    <t>1) Left atrial enlargement secondary to chronic mitral endocardiosis without signs of CHF. Rule out concomitant tricuspid endocardiosis with pulmonary hypertension._x000D_
2) Alveolar pulmonary pattern with air bronchograms ventrally located in the right middle lung lobe and suspected in the caudal segment of the left cranial lung lobe consistent with aspiration pneumonia.</t>
  </si>
  <si>
    <t>Consider a cardiology consultation with ECG and echocardiogram along with empirical treatment for pneumonia with follow up radiographs every 48/72 hours to evaluate response to treatment. Rule out any predisposing cause for vomition, regurgitation or neurological condition such as laryngeal paralysis.</t>
  </si>
  <si>
    <t xml:space="preserve">
1.Pleural fissure lines or small volume pleural effusion has been detected. In a mildly overweight animal, excessive pericardial fat can artifactually mimic the result of minimal pleural effusion._x000D_
2.Severe cardiomegaly has been detected but Heart Failure is NOT suspected._x000D_
3.Are respiratory signs present? If YES._x000D_
4.SEVERE DYNAMIC AIRWAY DISEASE; MODERATE BRONCHOINTERSTITIAL PULMONARY PATTERN; MODERATE ALVEOLAR INFILTRATE or ATELECTASIS._x000D_
5.MODERATE INTERSTITIAL TO ALVEOLAR INFILTRATE; CONCURRENT MODERATE BRONCHIAL PATTERN; MILD PERIHILAR INFILTRATE._x000D_
6.Based on the AI airway/pulmonary findings, the probability of this patient having clinically detectable respiratorysigns is MEDIUM to HIGH (50-75%)_x000D_
7.Based on these AI airway/pulmonary findings, the probability of this patient having clinically detectable respiratory signs is HIGH (75%)_x000D_
8.Are respiratory signs present? If YES._x000D_
9.Are respiratory signs present? If NO._x000D_
10.AI linked bacterial pneumonia treatment in dogs: https://platform.v2.vetology.net/doc/pneumonia-in-dogs-and-cats_x000D_
11.Are respiratory signs present? If NO.</t>
  </si>
  <si>
    <t>Orthogonal views of the thorax are provided:_x000D_
_x000D_
Thorax:_x000D_
_x000D_
No abnormalities seen in the trachea._x000D_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limits._x000D_
Left axillary mass.</t>
  </si>
  <si>
    <t>1) Unremarkable lungs do not exclude a tonsilitis/tonsilar abscess or retropharyngeal FB vs pharyngitis/pharyngeal bronchitis of inflammatory/infectious or parasitic origin. No signs of pulmonary metastases nor signs of thoracic lymphadenopathy._x000D_
2) Left axillary mass. Neoplasia vs granuloma.</t>
  </si>
  <si>
    <t>Consider CT of the nasal cavity/tonsilar/retropharyngeal region and thorax with bronchoscopy, BAL, culture, cytology followed (in this order) by rhinoscopy and biopsies with culture, with deworming</t>
  </si>
  <si>
    <t>Patient Name: Barker Blahnik, Date of study: Jun 28, 2024
Canine Abdomen (4 Images) - 2 Lateral, 2 VD
There are no previous radiographs for comparison.
Findings:
Gastrointestinal tract: The stomach contains a small volume of gas and is normal in position. The small intestines are diffusely within normal limits of diameter and distribution, with no evidence of foreign material. The colon is normal in size and contains loosely formed feces and gas.
Liver: The liver is normal in size and shape.
Spleen: The spleen is normal in position with smooth margins.
Urinary: The kidneys are normal in size, shape, and margination. The urinary bladder is mildly distended and normal in opacity.
Peritoneal space: There is adequate serosal detail.
Musculoskeletal: There are no repeatable sites of intervertebral disc space narrowing. The vertebral bodies and endplates are intact/normal. The superficial soft tissue structures are normal.</t>
  </si>
  <si>
    <t>1. The gastrointestinal tract is radiographically normal. There is no evidence of a mechanical small intestinal obstruction or mineral/metal opaque foreign body.
-Differentials for painful abdominal palpation include pancreatitis and referred back pain (i.e. intervertebral disc disease).
2. The urinary bladder is mildly distended. Consider stress retention versus urinary obstruction. There is no evidence of mineral opaque urinary calculi.</t>
  </si>
  <si>
    <t>CBC, biochemistry, cPL and urinalysis are recommended if not already performed. An abdominal ultrasound could be considered to further evaluate the pancreas. If back pain is identified, a neurologic exam would be recommended to screen for intervertebral disc disease. Medical management and supportive care are recommended in the interim. Confirmation of urethral patency is suggested (i.e. normal micturition versus urinary catheterization).</t>
  </si>
  <si>
    <t>Orthogonal views of the thorax and abdomen are provided:_x000D_
_x000D_
Thorax:_x000D_
_x000D_
Cardiac silhouette has a normal shape and size._x000D_
Pulmonary vessels are within normal limits of size and shape._x000D_
Pulmonary parenchyma shows an alveolar pulmonary pattern with air bronchograms ventrally located on both cranial lung lobes (left cranial more severely affected). No evidence of pulmonary nodules/masses._x000D_
Pleural space, mediastinum, diaphragm and thoracic wall within normal limits._x000D_
_x000D_
Abdomen:_x000D_
_x000D_
The stomach is filled with food and distended with gas secondary to aerophagia._x000D_
Small intestines are mildly gas and fluid filled, not overtly distended. No signs of mechanical ileus._x000D_
Serosal detail is preserved._x000D_
Liver and spleen are within normal limits of size and smoothly marginated._x000D_
Kidneys and urinary bladder WNL.</t>
  </si>
  <si>
    <t>1) Alveolar pulmonary pattern with air bronchograms ventrally located on both cranial lung lobes (left cranial more severely affected) consistent with aspiration pneumonia._x000D_
2) Unremarkable abdomen.</t>
  </si>
  <si>
    <t xml:space="preserve">
1.A severe alveolar infiltrate or pulmonary mass has been identified._x000D_
2.The cardiac silhouette size is normal._x000D_
3.There is no evidence of PERIHILAR INFILTRATE, DYNAMIC AIRWAY COLLAPSE or BRONCHIECTASIS or PULMONARY NODULES.</t>
  </si>
  <si>
    <t xml:space="preserve">Patient Name : JJ Cambell, Date of study: Jun 28, 2024
4 images are provided for review
Canine Abdomen (2 Images) - 2 Lateral
Canine Thorax (2 Images) - 1 Lateral, 1 Vd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is slightly tall and occupies 2/3 the height of the thorax with dorsal tracheal displacement.  The caudodorsal margin of the cardiac silhouette is slightly flattened.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mild gas and is within normal limits for size.  Gas is in the pylorus in the left lateral image.
The small intestine contains mild fluid or is empty with a subjectively uniform population for size. 
The colon contains moderate admixed soft tissue material and gas.
Bones/Joints:  there is no evidence of thoracolumbar intervertebral disc space narrowing.  A dens is present.  There is no evidence of atlantoaxial subluxation. Bilateral femoral trochlear hypoplasia without current evidence of patella luxation. The coxofemoral joints are normal.  The stifle joints are normal.  
There is no evidence of medullary sclerosis, osteolysis, endosteal scalloping, or periosteal proliferation.
Soft tissues:   The included musculoskeletal structures are normal.
</t>
  </si>
  <si>
    <t xml:space="preserve">1. Mild left-sided cardiomegaly such as from myxomatous mitral valvular disease and insufficiency.
- There is no evidence of left-sided congestive heart failure.
2. Minimal diffuse bronchial pulmonary pattern due to fibrosis from prior disease, age-related changes, or unlikely infectious/immune-mediated lower airway disease, or other.
3. Normal abdomen.
4. Bilateral femoral trochlear hypoplasia without current evidence of patella luxation.  </t>
  </si>
  <si>
    <t>Echocardiography, ECG and blood pressure as well as urinalysis and routine blood work for further evaluation if not recently performed.  Etiology of the reported neurologic/orthopedic clinical signs is not definitively identified, and this examination does not rule out occult intervertebral disc herniation or soft tissue strain/sprain injury.     Empirical therapy and supportive care in the interim as needed.  Monitoring as directed, or sooner if clinical signs acutely change, fail to improve or worsen.</t>
  </si>
  <si>
    <t>3 views of the thorax are presented for review.  The cardiovascular structures are normal.  The trachea is variably narrowed.  There is a diffuse interstitial pulmonary pattern that is considered appropriate for the age of the patient.  No pulmonary nodules or enlarged intrathoracic lymph nodes are seen.  The pleural and mediastinal structures are normal.  Cranial abdominal detail is adequate.  There is spondylosis deformans of the thoracolumbar spine.  Duplication of the dorsal spinous process on T1 indicates spina bifida.</t>
  </si>
  <si>
    <t>Tracheal narrowing consistent with tracheal collapse.</t>
  </si>
  <si>
    <t>Tracheal fluoroscopy or bronchoscopy could be considered in further evaluation.</t>
  </si>
  <si>
    <t xml:space="preserve">
1.Are respiratory signs present? If YES._x000D_
2.A moderate to severe interstitial to alveolar infiltrate with a mild perihilar infiltrate has been identified._x000D_
3.Are respiratory signs present? If NO._x000D_
4.Mild cardiomegaly has been detected but Heart Failure is NOT suspected._x000D_
5.SEVERE PLEURAL EFFUSION; MODERATE TO SEVERE INTERSTITIAL to ALVEOLAR PATTERN; MILD BRONCHIAL PATTERN._x000D_
6.Based on the AI airway/pulmonary findings, the probability of this patient having clinically detectable respiratory signs is VERY HIGH (&gt;75%)_x000D_
7.Severe pleural effusion has been detected.</t>
  </si>
  <si>
    <t>6 views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The abdomen, the stomach contains a moderate amount of gas.  The small bowel is subjectively normal and uniform in diameter and contains a mild amount of gas and fluid.  The colon is also normal in diameter and appears mildly fluid-filled.  The liver and spleen are normal in size, shape, and margination.  The bilateral renal silhouettes are within normal limits.  The urinary bladder is unremarkable.  Serosal detail is normal._x000D_
No osseous abnormalities are seen.</t>
  </si>
  <si>
    <t>The appearance of the GI tract is consistent with functional ileus as with gastroenteritis, including due to parvovirus.  Dietary indiscretion, parasites, or other nonspecific gastroenteritis is also possible.  No evidence of mechanical obstruction of the GI tract is seen._x000D_
Radiographically normal thorax.</t>
  </si>
  <si>
    <t>Correlation with blood work and fecal analysis and a parvo test appears indicated.  Symptomatic/supportive medical management appears appropriate.</t>
  </si>
  <si>
    <t xml:space="preserve">
1.A minimal interstitial pattern has been detected._x000D_
2.The cardiac silhouette size is normal._x000D_
3.There is no evidence of BRONCHITIS, PERIHILAR INFILTRATE, DYNAMIC AIRWAY COLLAPSE or BRONCHIECTASIS or PULMONARY NODULES.</t>
  </si>
  <si>
    <t>THORAX (3 radiographs for review). Compared to 03/29/24._x000D_
_x000D_
- The previously-described left sided cardiomegaly is not seen._x000D_
- There is the impression of mild right-sided cardiomegaly, which is characterized by rounding of the cranial and right cardiac margins._x000D_
- The previously-described redundant dorsal tracheal membrane is not seen._x000D_
- The pulmonary vasculature, parenchyma and pleural space are normal._x000D_
- The gastrointestinal tract confers an appearance of aerophagia._x000D_
- The liver, spleen, kidneys and urinary bladder are normal._x000D_
- Mild narrowing of the T12-13 intervertebral disc with spondylosis deformans._x000D_
- Bilateral glenohumeral periarticular osteophyte formation.</t>
  </si>
  <si>
    <t>1. Overall, an overt cause for the reported dry coughing is not clearly noted._x000D_
_x000D_
2. Mild right sided cardiomegaly can be compatible with the reported pulmonary arterial hypertension (less likely tricuspid valvular disease). No evidence of RS-CHF._x000D_
_x000D_
3. Resolved redundant dorsal tracheal membrane does not necessarily exclude tracheal collapse._x000D_
_x000D_
4. Aerophagia._x000D_
_x000D_
5. T12-13 intervertebral disc disease._x000D_
_x000D_
6. Mild glenohumeral osteoarthrosis.</t>
  </si>
  <si>
    <t xml:space="preserve">
1.Minimal cardiomegaly has been detected but Heart Failure is NOT suspected._x000D_
2.MINIMAL TO MILD BRONCHOINTERSTITIAL PULMONRAY PATTERN; MILD PERIHILAR PATTERN._x000D_
3.Based on the AI airway/pulmonary findings, the probability of this patient having clinically detectable respiratory signs is LOW (25%)_x000D_
4.Are respiratory signs present? If YES._x000D_
5.Are respiratory signs present? If NO._x000D_
6.There is no evidence of DYNAMIC AIRWAY COLLAPSE or BRONCHIECTASIS, PULMONARY NODULES or PLEURAL EFFUSION.</t>
  </si>
  <si>
    <t>5 images of the thorax and cervical region are provided for review. The trachea is dorsally deviated, indicating left ventricular enlargement. A bulge is present in the area of the left atrium. The pulmonary vasculature is normal in size. No pulmonary infiltrates are seen. The pleural and mediastinal structures are normal. The trachea is normal in diameter. The pharyngeal and laryngeal structures are normal. Cranial abdominal detail is adequate.</t>
  </si>
  <si>
    <t>Left sided cardiomegaly without current evidence of cardiogenic pulmonary edema.</t>
  </si>
  <si>
    <t>Echocardiography could be considered in further evaluation.</t>
  </si>
  <si>
    <t xml:space="preserve">
1.Are respiratory signs present? If YES._x000D_
2.Are respiratory signs present? If NO._x000D_
3.MINIMAL TO MILD BRONCHOINTERSTITIAL PULMONRAY PATTERN; MILD PERIHILAR PATTERN._x000D_
4.Based on the AI airway/pulmonary findings, the probability of this patient having clinically detectable respiratory signs is LOW (25%)_x000D_
5.There is no evidence of DYNAMIC AIRWAY COLLAPSE or BRONCHIECTASIS, PULMONARY NODULES or PLEURAL EFFUSION._x000D_
6.Severe cardiomegaly has been detected but Heart Failure is NOT suspected.</t>
  </si>
  <si>
    <t xml:space="preserve">Patient Name : Benny DennyDenny, Date of study: Jun 28, 2024
3 images are provided for review
There are no previous radiographs for comparison.  The cranial tip of the thorax is excluded from the oblique ventrodorsal image.
Pulmonary parenchyma: A minimal diffuse bronchial pattern is present.
Pulmonary vasculature: The pulmonary vasculature is subjectively normal in size and tapers in the periphery of the lungs.
Cardiac silhouette: The cardiac silhouette is has a minimally flat caudodorsal margin in the right lateral image.
Mediastinum: The cranial mediastinum is normal on limited evaluation.
Trachea: The trachea is normal.
Esophagus: The esophagus is not well-identified.
Pleural space: The pleural space is normal.
Musculoskeletal: The included musculoskeletal structures are normal.
</t>
  </si>
  <si>
    <t xml:space="preserve">1. Minimal left- atrial enlargement versus artifact from positioning/technique.
- If present, consider evolving myxomatous mitral valvular disease versus other.
- there is no evidence of left-sided congestive heart failure.
2. Minimal diffuse bronchial pulmonary pattern such as from fibrosis from prior disease, age-related changes, or unlikely infectious/immune-mediated lower airway disease or other.
3. No obvious intra-thoracic lymphadenomegaly or pulmonary nodules.  </t>
  </si>
  <si>
    <t>Consider echocardiography and ECG for further evaluation of the heart murmur.  Abdominal imaging for further evaluation of weight loss such as from evolving mass(es) and neoplasia  will likely be contributory. Empirical therapy and supportive care as needed in the interim.  Monitoring as directed or sooner if clinical signs acutely change, fail to improve or worsen.</t>
  </si>
  <si>
    <t>Three radiographs of the thorax and three views of the abdomen are provided. The cardiac silhouette and proximal pulmonary vessels are normal size. There are a few focally dilated distal aspect of the caudodorsal pulmonary arteries There are numerous incidental pulmonary osteomas in the lungs. Round 0.7 cm increased opacity caudal to the heart and overlying the diaphragm on the right lateral view is seen overlying the caudal lateral left thorax on the VD projection. There is soft tissue opacity with air bronchograms in the cranioventral lungs bilaterally, worse on the left. Scant pleural fluid. Adequate tracheal diameter._x000D_
_x000D_
In the abdomen there is moderate volume cranial peritoneal fluid. No organomegaly is appreciated. The gastrointestinal tract is minimally filled. No radiopaque foreign material or urolithiasis. Osseous structures are unremarkable.</t>
  </si>
  <si>
    <t>1. Moderate peritoneal effusion, concerning for a neoplastic process. Metabolic abnormality or inflammatory process such as gastroenteritis/pancreatitis is next on the differential list. No other abdominal abnormalities._x000D_
2. Bilateral ventral alveolar pattern and scant pleural effusion, consistent with aspiration pneumonia._x000D_
3. Small nodule in the caudal left lung lobe is concerning for metastatic disease, but could be a granuloma. No other evidence of pulmonary metastatic disease.</t>
  </si>
  <si>
    <t>Antibiotics and abdominal ultrasound are recommended.</t>
  </si>
  <si>
    <t>4 images of the thorax are provided for review. The trachea is mildly dorsally deviated, indicating left ventricular enlargement. There is straightening of the caudal cardiac waist in the region of the left atrium. The pulmonary vasculature is normal in size. No pulmonary infiltrates are seen. The pleural and mediastinal structures are normal. Cranial abdominal detail is adequate.</t>
  </si>
  <si>
    <t>Mild left sided cardiomegaly without current evidence of cardiogenic pulmonary edema.</t>
  </si>
  <si>
    <t xml:space="preserve">
1.There is no evidence of BRONCHITIS, PERIHILAR INFILTRATE, DYNAMIC AIRWAY COLLAPSE or BRONCHIECTASIS or PULMONARY NODULES._x000D_
2.A minimal interstitial pattern has been detected._x000D_
3.Mild cardiomegaly has been detected but Heart Failure is NOT suspected.</t>
  </si>
  <si>
    <t>Orthogonal views of the thorax and abdomen are provided:_x000D_
_x000D_
Thorax:_x000D_
_x000D_
Suspected cervical tracheal narrowing._x000D_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t>
  </si>
  <si>
    <t>1) Rule out dynamic cervical tracheal collapse. Otherwise, unremarkable thorax and abdomen.</t>
  </si>
  <si>
    <t>A two view thoracoabdominal study is provided for interpretation._x000D_
_x000D_
Moderate heart enlargement is identified. The cardiac silhouette appears rounded in the VD view. Evaluation of heart shape and dorsal lung fields in the lateral view is limited due to marked rotational obliquity. There is a mild bronchointerstitial pulmonary pattern. Redundant dorsal tracheal membrane is evident, but no narrowing of the tracheal cartilage is seen._x000D_
_x000D_
There are several loops of small intestine that are mildly gas dilated. This is likely the result of aerophagia and is probably transient. The other abdominal organs visible in this study appear normal.</t>
  </si>
  <si>
    <t>Moderate cardiomegaly is identified. No changes indicative of heart failure are seen._x000D_
The bronchial pattern is mild, but would be compatible allergic lung disease, low-grade bronchitis, or mild idiopathic chronic bronchitis._x000D_
_x000D_
The redundant dorsal tracheal membrane is a finding that is commonly incidental, but dynamic tracheal collapse cannot be excluded on the basis of survey radiographs.</t>
  </si>
  <si>
    <t>Concerning the chronic nature of the cough, idiopathic or allergic chronic bronchitis is likely. The radiographic changes are mild._x000D_
_x000D_
There is cardiomegaly, but this is not suspected to be associated with the current clinical signs. Echocardiography should be considered for more definitive evaluation.</t>
  </si>
  <si>
    <t xml:space="preserve">
1.SEVERE DYNAMIC AIRWAY DISEASE; MODERATE BRONCHOINTERSTITIAL PULMONARY PATTERN; MODERATE ALVEOLAR INFILTRATE or ATELECTASIS._x000D_
2.MODERATE INTERSTITIAL TO ALVEOLAR INFILTRATE; CONCURRENT MODERATE BRONCHIAL PATTERN; MILD PERIHILAR INFILTRATE._x000D_
3.Based on these AI airway/pulmonary findings, the probability of this patient having clinically detectable respiratory signs is HIGH (75%)_x000D_
4.Based on the AI airway/pulmonary findings, the probability of this patient having clinically detectable respiratorysigns is HIGH (75%)_x000D_
5.Are respiratory signs present? If YES._x000D_
6.Are respiratory signs present? If YES._x000D_
7.Are respiratory signs present? If NO._x000D_
8.AI linked bacterial pneumonia treatment in dogs: https://platform.v2.vetology.net/doc/pneumonia-in-dogs-and-cats_x000D_
9.Are respiratory signs present? If NO._x000D_
10.The evaluation has come up positive for a pulmonary nodular pattern._x000D_
11.Pleural fissure lines or moderate to severe pleural effusion has been detected. An overlying skin fold or in an obese animal, excessive pericardial fat could artifactually mimic the result of severe pleural effusion._x000D_
12.Severe cardiomegaly has been detected but Heart Failure is NOT suspected.</t>
  </si>
  <si>
    <t>6 images of the thorax and abdomen are provided for review.  The lung lobes are retracted from the thoracic wall and fluid is present in the pleural space.  The cardiac silhouette cannot be fully visualized due to silhouetting but appears grossly normal in size.  The visible pulmonary vasculature is normal in size.  Alveolar opacity is seen in the left cranial lung lobe.  The bronchus appears normal in direction without truncation.  Abdominal serosal detail is reduced in all quadrants.  The liver margins are rounded and extend beyond the costal arch, causing caudal displacement of the gastric axis.  The stomach contains a moderate amount of gas.  The small intestines are normal in size.  Gas and feces are present in the colon.  The urinary bladder is small.  The remaining abdominal organs are normal.</t>
  </si>
  <si>
    <t>Hepatomegaly=ZZ90= this is a nonspecific finding that may be seen with congestion, vacuolar hepatopathy, inflammation, neoplasia, etc. Bicavitary effusion.  Echocardiography and/or abdominal ultrasound may be helpful in further evaluation.  Alveolar opacity in the left cranial lung lobe.  Consider neoplasia, hemorrhage, pneumonia.  No bronchial changes are seen to strongly suggest lung lobe torsion, although this cannot be completely excluded.  Airway sampling, lung ultrasound (including color Doppler evaluation of flow), and/or CT may be helpful.</t>
  </si>
  <si>
    <t xml:space="preserve">
1.PULMONARY NODULES or NODULAR PATTERN; MODERATE INTERSTITIAL TO ALVEOLAR PATTERN; MILD BRONCHITIS._x000D_
2.Based on the AI airway/pulmonary findings, the probability of this patient having soft tissue pulmonary nodules and clinically detectable respiratory signs is VERY HIGH (&gt;75%)_x000D_
3.The evaluation result has a strong suspicion of soft tissue pulmonary nodules being present._x000D_
4.Are respiratory signs present? If YES._x000D_
5.Are respiratory signs present? If NO._x000D_
6.Severe cardiomegaly has been detected but Heart Failure is NOT suspected.</t>
  </si>
  <si>
    <t xml:space="preserve">Patient Name : Luna Savoy, Date of study: Jun 28, 2024
3 images are provided for review
Canine Abdomen (3 Images) - 2 Lateral, 1 Vd
There are no previous radiographs for comparison.  
N.B. Patient signalment is listed as "FS".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No obvious enlarged tubular soft tissue segments in the region of the uterine horns.
Peritoneum: Peritoneal detail is adequate.
Gastrointestinal tract: The stomach contains a mild to moderate volume of gas and some ill-defined soft tissue material.  The stomach is within normal limits for size.  Gastric rugal folds are prominent.  Gas is suspected in the pylorus and descending duodenum.
The small intestine contains mild homogeneous fluid or is empty with a subjectively uniform population for size. 
The colon contains minimal soft tissue material and gas.
Musculoskeletal:  The included musculoskeletal structures are normal.
caudal thorax:  The caudal vena cava is small in both lateral images, consistent with reported dehydration.  
</t>
  </si>
  <si>
    <t xml:space="preserve">1.  Ill-defined soft tissue gastric material may be foreign material with partial/intermittent pyloric outflow tract obstruction, versus normal ingesta.
2. Prominent gastric rugal folds such as from non-specific gastritis versus normal variation.
3. Non-specific small intestinal changes such as from enteritis, or individual variation of normal.
- There is no current evidence of small intestinal mechanical ileus.
4. No obvious uterine horn enlargement is identified. 
5. Consistently small caudal vena cava consistent with reported dehydration/hypovolemia.
</t>
  </si>
  <si>
    <t>Consider abdominal ultrasonography for further evaluation of the gastrointestinal tract or uterus, especially if the patient is truly intact.  Alternatively, therapy for gastroenteritis and monitoring with recheck radiographs in 8-12 hours for passage of gastric material.  If gastric material is persistent, consider gastroscopy for retrieval of possible foreign material contributing to reported clinical signs.   Empirical therapy and supportive care in the interim as needed.  Monitoring as directed, or sooner if clinical signs acutely change, fail to improve or worsen.</t>
  </si>
  <si>
    <t>Survey orthogonal thoracoabdominal views and two lateral thoracoabdominal views made after oral administration of a small quantity of liquid barium 30 minutes apart are provided for interpretation._x000D_
_x000D_
In the survey radiographs, the upper GI tract appears empty and nondistended. No foreign bodies or obstructive pattern are identified. The colon is moderately dilated with gas and a small to moderate quantity of fecal material. The other abdominal organs are within normal size and shape limits. Serosal detail is normal._x000D_
The heart is at the upper end of normal size range, with normal shape. The pulmonary vessels and parenchyma are within normal limits. No esophageal abnormalities are identified._x000D_
_x000D_
After barium administration, the barium appears to have coated and soaked into a tubular appearing structure in the stomach that measures approximately 1.5 x 5.0 cm. The subjective appearance is typical of a trichobezoar or something of similar consistency._x000D_
In the follow up image made 30 minutes later, this shadow is no longer apparent. There is minimal residual barium within the Crips of the gastric mucosa, and the rest of the barium is distributed throughout normal appearing small intestinal loops. No dilation or plication the intestine is seen.</t>
  </si>
  <si>
    <t>There is an unusual appearance to the barium within the stomach in the initial) radiograph, that suggests the presence of formed foreign material such as 1st/hair, textile, or grass. However, 30 minutes later the appearance of the stomach is empty and entirely normal so clinical significance of the appearance in the one image is equivocal._x000D_
The intestinal tract is unremarkable._x000D_
_x000D_
The content seen in the stomach could represent a small quantity residual food in the stomach at the time of the radiographs.</t>
  </si>
  <si>
    <t>The radiographic findings are limited. There is potential for a small quantity of persistent radiolucent gastric foreign material, but there is not enough evidence in this study to warrant surgical or endoscopic intervention at this time. There is no evidence of obstruction._x000D_
Symptomatic therapy is recommended, with follow up imaging such as a double contrast gastrogram after fasting if clinical signs are still present in one week.</t>
  </si>
  <si>
    <t xml:space="preserve">Patient Name : Winston Frey, Date of study: Jun 28, 2024
8 images are provided for review
There are no previous radiographs for comparison.
Liver: The liver is enlarged with a flat or rounded to lobular caudal and caudoventral margin in the lateral images.  The gastric axis is caudally displaced.  A suspected right caudal liver margin is rounded in the ventrodorsal image.  The liver occupies 3-4 intercostal spaces in the ventrodorsal image.
Spleen: In the mid to mid-ventral abdomen, tubular to lobular soft tissue is present, suspected to be the enlarged ventral extremity of the spleen.  This results in caudal and dorsal dispalcement of intestine.  The spleen is possibly rounded or enlarged in the mid-abdomen in the ventrodorsal image.  
Kidneys: The left kidney is normal and the right kidney is obscured without obvious enlargement/mineral.
Retroperitoneum: Retroperitoneal detail is adequate.
Urogenital: The urinary bladder is obscured without obvious enlargement or mineral.  
Peritoneum: A mild to moderate volume of fluid opaque striations are admixed with peritoneal fat which partially obscures serosal margins.
Gastrointestinal tract: The stomach contains a mild heterogeneous soft tissue material and gas.  Gas is suspected in the pylorus in the left lateral image.  The stomach is subjectively normal in size.
The small intestine contains fluid or is empty with a subjectively uniform population for size. 
The colon contains mild well-defined soft tissue material and gas.
Musculoskeletal: A prior right-sided TPLO has been performed.  Moderate bilateral coxofemoral joint osteoarthrosis is present.  Moderate bilateral stifle osteoarthrosis is present.  Multifocal thoracolumbar spondylosis deformans is present. The remaining included musculoskeletal structures are normal.
</t>
  </si>
  <si>
    <t>1. Hepatomegaly and suspected hepatic mass/nodule.
- Differential diagnoses include neoplasia such as a primary carcinoma or metastatic disease, or nodular hyperplasia, vacuolar hepatopathy, or unlikely other or a combination of these.
2. Suspected splenomegaly and possible splenic mass or less likely folding/artifact.
- If present, differential diagnoses include neoplasia (primary versus metastatic/multicentric) or less likely extramedullary hematopoiesis, lymphoid hyperplasia, or other.
3. Mild to moderate peritoneal fluid such as from malignant effusion versus hemorrhage or unlikely other.
4. Moderate bilateral coxofemoral and stifle osteoarthrosis.
5. Prior right-TPLO and moderate right stifle osteoarthrosis.
6. Moderate left stifle osteoarthrosis.</t>
  </si>
  <si>
    <t>Consider abdominal ultrasonography for further evaluation of the liver/spleen and peritoneum with fluid analysis/cytology and possible tissue sampling of hepatic/splenic mass depending on results.   Routine blood work and urinalysis may be contributory.  If hepatomegaly and hepatic mass are confirmed, computed tomography may be contributory for pre-surgical planning of excisional/incisional biopsy and histopathology.  Oncologist consultation depending on results.  Empirical therapy and supportive care in the interim as needed.  Monitoring as directed, or sooner if clinical signs acutely change, fail to improve or worsen.</t>
  </si>
  <si>
    <t>Four radiographs of the thorax and abdomen are provided. The cardiac silhouette is normal size and shape. There are no abnormalities in the pulmonary parenchyma. No pleural effusion. Crisp pleural fissure lines are normal for the age of this patient. The trachea is normal diameter. No thoracic spinal abnormalities. In the abdomen the liver is mildly enlarged with smooth margins. Normal-sized spleen and kidneys. The gastrointestinal tract is moderately filled. No radiopaque cystic calculi. The T10-11 intervertebral disc space is narrowed, an incidental anatomic variant. No other narrowed intervertebral disc spaces or foramina. There is no endplate lysis. The coxofemoral joints are congruent. Patellar location is normal.</t>
  </si>
  <si>
    <t>Normal thorax and abdomen. A reason for discomfort is not identified. Soft tissue sprain/strain is most likely. An intervertebral disc lesion is next on the differential list.</t>
  </si>
  <si>
    <t>If there are no neurologic deficits and pain can be medically managed, this patient may benefit from anti-inflammatories and strict rest. Otherwise, consultation with a neurologist and advanced spinal imaging with CT/MRI would be recommended.</t>
  </si>
  <si>
    <t>5 images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t>
  </si>
  <si>
    <t>No specific recommendations at this time.</t>
  </si>
  <si>
    <t>Three radiographs of the thorax, two views of the thoracic limbs, and two views of the abdomen are provided. The right laterality marker is located on the left side of the patient on the VD thoracic radiograph. The cardiac silhouette and pulmonary vessels are normal size and shape. There are faint bronchial markings consistent with age. The patient is overweight, with moderate volume subcutaneous fat. Normal tracheal diameter and cranial mediastinal width. No cervical spinal abnormalities. Scapular contour and opacity are normal. The shoulder joints and left cubital joint are congruent. There is mild soft tissue swelling in the distal right manus, with no fracture or subluxation. No distal left thoracic limb abnormalities._x000D_
_x000D_
In the abdomen there is formed feces in the distal colon. Gas in the proximal colon and cecum. The stomach and small bowel are minimally filled. Normal-sized spleen, liver, left kidney. The right kidney is obscured. No radiopaque urolithiasis. Wispy thickened mid ventral abdominal body wall and adjacent subcutaneous tissues consistent with recent surgery. Normal lumbar spine. Minimal degenerative change in the coxofemoral joints, incidental.</t>
  </si>
  <si>
    <t>1. Mild soft tissue swelling in the distal right thoracic limb. Soft tissue sprain/strain is suspected. Small puncture wound with cellulitis/edema could also cause this appearance. In the absence of right-sided lameness, significance is uncertain. No left thoracic limb abnormalities._x000D_
2. Normal thorax and abdomen.</t>
  </si>
  <si>
    <t>Recommend continued supportive care with anti-inflammatories.</t>
  </si>
  <si>
    <t>Orthogonal views of the thorax are provided:_x000D_
_x000D_
Thorax:_x000D_
_x000D_
Cardiac silhouette has a normal shape and size. Superimposed with it in the lateral view there is a nodule not seen in the VD view. _x000D_
Pulmonary vessels are within normal limits of size and shape._x000D_
Superimposed with the pulmonary parenchyma at the level of the right 9th intercostal space there is a rounded opacity, again not seen in the lateral view (this is a RL view and a mass could be masked). No evidence of pulmonary nodules/masses._x000D_
Pleural space, mediastinum, diaphragm and thoracic wall within normal limits._x000D_
_x000D_
Suspected mass or nodule caudaolateral to the fundus in the VD view.
(amended on 07/01/2024 08:20)
Questionable dorsolateral left sided SC mass or device superimposed with the skin.</t>
  </si>
  <si>
    <t>1) Nodular lesion superimposed with the cardiac silhouette: rule out skin node vs pulmonary nodule._x000D_
2) Nodular image in the right 9th intercostal space compatible with pulmonary nodule vs skin/SC nodule._x000D_
3) Suspected mass or nodule caudolateral to the fundus in the VD view. Rule out splenic nodule vs peritoneal nodule.</t>
  </si>
  <si>
    <t>Consider a LL view and DV view or ideally a CT of the thorax._x000D_
Consider also an abdominal US to further evaluate the described nodule.</t>
  </si>
  <si>
    <t xml:space="preserve">
1.There is detection of a few small soft tissue opacities overlying the lungs._x000D_
2.A moderate bronchointerstitial pulmonary pattern detected._x000D_
3.Based on these AI airway/pulmonary findings, the probability of this patient having clinically detectable respiratory signs due to lower airway disease is UNLIKELY (&lt;25%) with the exception of acute tracheobronchitis or PTE._x000D_
4.A minimal interstitial pattern has been detected._x000D_
5.A minimal interstitial pulmonary pattern with a concurrent, mild perihilar infiltrate have been detected._x000D_
6.MINIMAL INTERSITIAL PATTERN; OVERLYING CUTANEOUS NODULES or END-ON VESSELS._x000D_
7.The cardiac silhouette size is normal._x000D_
8.There is no evidence of DYNAMIC AIRWAY COLLAPSE or BRONCHIECTASIS.</t>
  </si>
  <si>
    <t>Three radiographs of the thorax are provided. The cardiac silhouette is normal size and shape. There are no abnormalities in the pulmonary parenchyma. No pleural effusion. Incidental chronic fractured right 8th and 9th ribs. Adequate tracheal diameter. The hyoid apparatus is fully extended on the 1st lateral view, less extended on the 2nd lateral projection. This is likely transient/incidental due to positioning material. No hyoid bone fracture or subluxation is appreciated. The cranial abdomen is unremarkable.</t>
  </si>
  <si>
    <t>Normal thorax. A reason for the respiratory signs is not identified. Inhaled irritants/allergens is suspected. Infectious airway disease is given lesser consideration with the chronicity.</t>
  </si>
  <si>
    <t xml:space="preserve">Patient Name : Little Buddy Solper, Date of study: Jun 28, 2024
6 images are provided for review
Canine Abdomen (3 Images) - 2 Lateral, 1 Vd
Canine Thorax (3 Images) - 2 Lateral, 1 Vd
There are no previous radiographs for comparison.
Pulmonary parenchyma: Small, round soft tissue to mineral foci are identified in the right lateral image over the ventral aspect of the 4th ribs and mid-aspect of the 8th ribs.   These nodules are suspiciously larger than local vascular structures.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left kidney is normal.  The right kidney is obscured without obvious enlargement or mineral.
Retroperitoneum: Retroperitoneal detail is adequate.
Urogenital: The urinary bladder is normal in size, homogeneous soft tissue, and smoothly marginated.
Peritoneum: Peritoneal detail is adequate.
Gastrointestinal tract: The stomach contains a mild to moderate gas.  The stomach is normal in size.  Gas is in the pylorus in the left lateral image.  Gastric rugal folds are minimally or mildly prominent.
The small intestine contains mild gas and  fluid or is empty with a subjectively uniform population for size. 
The colon contains moderate heterogeneous soft tissue material and gas.
Musculoskeletal: The included musculoskeletal structures are normal.
</t>
  </si>
  <si>
    <t>1. Possible mineral pulmonary nodules versus granulomas from prior disease or pulmonary osteomas.
- If a primary osseous neoplasm is identified, this may represent early metastatic disease.
2. Minimal to mild diffuse bronchial pattern due to infectious/immune-mediated lower airway disease, fibrosis from prior disease, age-related changes, or unlikely other.
3. Prominent gastric rugal folds such as from non-specific gastritis versus normal variation.
- Differential diagnoses for gastritis include dietary indiscretion, toxin ingestion, diet/antibiotic responsive disease, parasitism/primary infectious disease, pancreatitis, or occult systemic disease.
4. There is no evidence of small intestinal mechanical ileus.</t>
  </si>
  <si>
    <t>Empirical therapy and supportive care in the interim as needed for gastrointestinal clinical signs.  Consider routine blood work, GI panel, fecal analysis/deworming and possibly abdominal ultrasonography for further evaluation.  Monitoring the thorax with repeat radiographs in 3-4 weeks for progression of possible pulmonary nodules versus other.  Thoracic computed tomography may also be beneficial for a more sensitive evaluation of the lungs.  Monitoring  as directed, or sooner if clinical signs acutely change, fail to improve or worsen.</t>
  </si>
  <si>
    <t>WHOLE-BODY (5 total radiographs for review). _x000D_
_x000D_
- Multiple mid and caudal thoracic wedge and butterfly shaped hemi-vertebral segments with rib head crowding, disc space narrowing and local regional spondylosis deformans._x000D_
- Probable transitional lumbosacral vertebral segment and/or sacral hemivertebrae with congenital screw tail vertebral anomaly and local regional spondylosis deformans._x000D_
- Mild diffuse bronchial pattern._x000D_
- Cardiac silhouette and pulmonary vasculature are normal._x000D_
- Trachea, pleural space, mediastinum and remaining included intrathoracic structures normal._x000D_
- Peritoneal serosal detail is normal._x000D_
- The stomach contains mild gas and gas-stippled soft-tissue opaque material_x000D_
- The small intestine contains mild multifocal gas and soft-tissue opaque material_x000D_
- The colon contains gas, soft-tissue/fluid and mild formed fecal material._x000D_
- The liver, spleen, kidneys and urinary bladder are normal.</t>
  </si>
  <si>
    <t>1.  Widespread congenital breed related mid and caudal thoracic hemivertebrae, spondylosis deformans and intervertebral disc degeneration._x000D_
_x000D_
2.  Marked lumbosacral and sacral vertebral malformation with possible transitional lumbosacral vertebral segment and sacral hemivertebrae.  Expected breed related congenital screw tail vertebral anomaly._x000D_
_x000D_
3.  Mild diffuse bronchial pattern. Most likely representing age-related lower airway changes, however a component of chronic bronchitis is possible, especially if there is a history of abnormal respiratory sounds, wheezing and/or coughing._x000D_
_x000D_
4.  Normal abdomen.</t>
  </si>
  <si>
    <t xml:space="preserve">
1.A mild, diffuse mixed bronchointerstitial pattern with potential small regions of alveolar infiltrate has been detected._x000D_
2.The cardiac silhouette size is normal._x000D_
3.There is no evidence of DYNAMIC AIRWAY COLLAPSE or BRONCHIECTASIS.</t>
  </si>
  <si>
    <t>Three radiographs of the thorax, and five views of the abdomen are provided. Images dated 12/1/22 are available for comparison. The cardiac silhouette and pulmonary vessels are normal size and shape. There is a mild unstructured interstitial pattern consistent with the patient=ZZ91=s age. No soft tissue pulmonary nodules or intrathoracic lymphadenomegaly. Small osseous bodies overlying one of the bicipital grooves is likely incidental today._x000D_
_x000D_
In the abdomen the liver is mildly enlarged with smooth margins, similar to the previous study. Normal-sized kidneys and spleen. Serosal detail is adequate. There is small volume fluid and gas in the stomach. Small bowel are mildly fluid filled. Small volume formed feces in the colon. There is no radiopaque gastrointestinal foreign material or urolithiasis. The osseous structures are unremarkable.</t>
  </si>
  <si>
    <t>Prominent liver, similar to the previous study. Steroid or other hepatopathy is most likely. An inflammatory or neoplastic process is very unlikely. Otherwise normal abdomen and thorax.</t>
  </si>
  <si>
    <t>3 views of the thorax are provided for review.  The cardiovascular structures are normal.  There is a mild bronchial pattern in all lung lobes, similar to previous images dated 2/7/2024.  Early alveolar opacity is present in the cranial subsegment of the left cranial lung lobe.  The mediastinal and pleural structures are normal.  No esophageal dilation is seen.  Cranial abdominal detail is adequate.  Hemivertebrae are present in the thoracic spine.</t>
  </si>
  <si>
    <t>Persistent mild bronchial pulmonary pattern=ZZ90= consider bronchitis, response to inhaled irritants, response to circulating parasites, eosinophilic bronchopneumopathy.  Alveolar pulmonary pattern concerning for concurrent pneumonia.</t>
  </si>
  <si>
    <t xml:space="preserve">
1.MINIMAL to MILD DIFFUSE, MIXED BRONCHOINTERSTITIAL PULMONARY PATTERN with ATELECTASIS or less likely, pneumonia._x000D_
2.Probability these AI pulmonary findings will accompany clinically detectable respiratory signs: LOW (25%)_x000D_
3.Are respiratory signs present? If YES._x000D_
4.Are respiratory signs present? If NO._x000D_
5.The cardiac silhouette size is normal._x000D_
6.There is no evidence of DYNAMIC AIRWAY COLLAPSE or BRONCHIECTASIS or PULMONARY NODULES.</t>
  </si>
  <si>
    <t xml:space="preserve">Patient Name : Penny Eddinger, Date of study: Jun 28, 2024
6 images are provided for review
There are no previous radiographs for comparison.
Pulmonary parenchyma: In the lateral images, a mild to moderate diffuse interstitial pattern is present, most severe in the region  of the cranioventral lungs, and the lungs are moderately hypoinflated.  In the ventrodorsal image, the lungs are better inflated than the lateral images, and a mild diffuse interstitial pattern is present.  
Pulmonary vasculature: The right caudal lobar veins is suspiciously enlarged relative to its corresponding artery in the ventrodorsal image.
Cardiac silhouette: The cardiac silhouette is severely enlarged and tall, occupying greater than 2/3 the height of the thorax. The trachea is dorsally displaced. The caudodorsal margin of the cardiac silhouette is flattened. Rounded increased soft tissue is present in the region of the left atrium in the ventrodorsal image.  The cardiac silhouette is widened and occupies the width of 4-4.5 intercostal spaces.
Mediastinum: The cranial mediastinum is widened with smooth, well-defined margins in the ventrodorsal image.
Trachea: The trachea is normal.
Esophagus: The esophagus is not well-identified.
Pleural space: Mild pleural fluid is present, characterized by widening of the pleural fissures between the right cranial/middle, right middle/caudal and subsegments of the left cranial lung lobes.  
Musculoskeletal: The included musculoskeletal structures are normal.
</t>
  </si>
  <si>
    <t xml:space="preserve">1. Severe generalized cardiomegaly such as from dilated cardiomyopathy given patient breed and/or cor pulmonale/pulmonary hypertension and myxomatous mitral/tricuspid valvular disease, or less likely ARVC or other.
2. Mild diffuse interstitial pulmonary pattern, most severe in the cranioventral lungs.
- This is likely exacerbated by hypoinflation and pleural fluid.
- This is suspicious for evolving left-sided congestive heart failure/pulmonary edema given patient history, versus fibrosis from prior disease, age-related changes and artifact/hypoinflation.
3. Mild pleural fluid such as from left- or right-sided congestive heart failure, or unlikely other.
4. Suspicious for enlarged right caudal lobar vein and left-sided congestive heart failure, versus artifact/technique.
5. Widened cranial mediastinum due to breed/lipid deposition or unlikely evolving lymphadenomegaly/mass or mediastinal fluid accumulation or other.  </t>
  </si>
  <si>
    <t xml:space="preserve">Echocardiography, ECG and blood pressure for further evaluation.  Diuretic therapy and oxygen supplementation as needed in the interim.  Monitoring with serial thoracic radiographs after initiating therapy to monitor for resolution of pulmonary pattern.  Routine blood work and urinalysis once stable,  if not recently performed.  Consider abdominal imaging to screen for occult systemic disease given the age of this patient.  Empirical therapy and supportive care as needed.  Monitoring as directed, or sooner if signs acutely change or worsen.  </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</si>
  <si>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3.SEVERE INTERSTITIAL TO ALVEOLAR PATTERN; MODERATE BRONCHIAL PATTERN; SEVERE DYNAMIC AIRWAY DISEASE._x000D_
4.Based on these AI airway/pulmonary findings, the probability of this patient having clinically detectable respiratory signs is VERY HIGH (&gt;75%)_x000D_
5.Are respiratory signs present? If YES._x000D_
6.Are respiratory signs present? If NO._x000D_
7.The evaluation has a strong suspicion of pulmonary nodules or mass lesion being present.</t>
  </si>
  <si>
    <t>Three radiographs of the thorax, and a lateral view of the thorax/abdomen are provided. Images dated April 5, 2023 were reviewed. There is severe generalized cardiac silhouette enlargement. Pulmonary vessels are normal size. The caudal vena cava is prominent. Numerous incidental pulmonary osteomas. No definitive loss of perihilar vessel visibility. There is mainstem bronchial compression as before. Tracheal diameter is adequate. The abdomen is pendulous. The liver is mildly enlarged with rounded margins. There is large volume peritoneal fluid. The gastrointestinal tract is mildly filled. The urinary bladder is not definitively seen but there is no evidence of radiopaque cystic calculi. The kidneys are incompletely visible.</t>
  </si>
  <si>
    <t>1. Severe generalized cardiomegaly consistent with acquired mitral and tricuspid valve disease. There is no evidence of left-sided heart failure, however there is mainstem bronchial compression._x000D_
2. Persistent peritoneal effusion and hepatomegaly, likely due to right-sided cardiac decompensation. Steroid or other hepatopathy contributing to the hepatic enlargement is next on the differential list.</t>
  </si>
  <si>
    <t>Follow-up echocardiogram is recommended if one has not been performed recently.</t>
  </si>
  <si>
    <t xml:space="preserve">
1.SEVERE INTERSTITIAL TO ALVEOLAR PATTERN; SEVERE BRONCHIAL PATTERN; MODERATE DYNAMIC AIRWAY DISEASE._x000D_
2.Based on these AI airway/pulmonary findings, the probability of this patient having clinically detectable respiratory signs is VERY HIGH (&gt;75%)_x000D_
3.Are respiratory signs present? If YES._x000D_
4.Are respiratory signs present? If NO._x000D_
5.The evaluation has a strong suspicion of pulmonary nodules or mass lesion being present._x000D_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suspected._x000D_
8.A moderate perihilar infitlrate has been detected.</t>
  </si>
  <si>
    <t>THORAX and ABDOMEN (6 total radiographs for review). No previous for comparison._x000D_
_x000D_
- Mild diffuse bronchial pattern and a few thickened lower airways._x000D_
- Visible multifocal pleural fissures._x000D_
- There is a soft-tissue opaque band dorsally overlying the trachea at the level of the thoracic inlet._x000D_
- The cardiovascular structures and remainder of the thorax is normal._x000D_
- The stomach contains mild gas and gas-stippled soft-tissue opaque material._x000D_
- The small intestine and colon contain mild multifocal gas and soft-tissue opaque material._x000D_
- The included musculoskeletal structures are normal.</t>
  </si>
  <si>
    <t>1. Mild diffuse bronchial pattern and a few thickened pleural fissures could indicate chronic lower airway disease (e.g. chronic bronchitis). A component of this can be due to normal age-related lower airway change. _x000D_
_x000D_
2. The appearance of the trachea at the level of the cervical region can be compatible with tracheal collapse._x000D_
_x000D_
3. Unremarkable post prandial abdomen with mild aerophagia.</t>
  </si>
  <si>
    <t>Five radiographs of the thorax and five views of the abdomen are provided. The cardiac silhouette is normal size and shape. Pulmonary vessels are normal size. Faint bronchial markings and a few pulmonary osteomas is normal for the age of this patient. Soft tissue density overlying the caudal cervical trachea on the edge of the right lateral view is likely adjacent esophagus, incidental. There is a well-defined smoothly marginated round 3.6 cm soft tissue opacity in the caudal aspect of the right caudal lung lobe. No other similar lesions are identified._x000D_
_x000D_
In the abdomen the prostate is severely enlarged consistent with the reproductive status of this patient. A round 7.5 cm soft tissue opaque mass is present dorsal to the splenic tail on the lateral views. The left kidney is enlarged. Normal-sized right kidney. No radiopaque urolithiasis. The liver is prominent with smooth margins. The gastrointestinal tract is mildly filled. Round 3.9 cm soft tissue density with several small internal mineralizations in the superficial tissues dorsal to L4 is of uncertain significance.</t>
  </si>
  <si>
    <t>1. Splenic tail mass. Neoplasia such as hemangiosarcoma is most likely. Hematoma or hemangioma are next on the differential list._x000D_
2. Left renomegaly, consider pyelonephritis, hydronephrosis, neoplasia._x000D_
3. Solitary pulmonary mass in the right caudal lung lobe, most likely metastatic disease. Primary pulmonary neoplasia is next on the differential list. No other thoracic abnormalities.</t>
  </si>
  <si>
    <t>Abdominal ultrasound could be considered to evaluate the spleen and left kidney. With the pulmonary mass, complete surgical resection is not possible.</t>
  </si>
  <si>
    <t xml:space="preserve">
1.The evaluation has a strong suspicion of pulmonary nodules or mass lesion being present._x000D_
2.A moderate perihilar infitlrate has been detected._x000D_
3.A minimal interstitial pattern has been detected._x000D_
4.The cardiac silhouette size is normal._x000D_
5.There is no evidence of ALVEOLAR PATTERN or DYNAMIC AIRWAY COLLAPSE or BRONCHIECTASIS._x000D_
6.Pleural fissure lines or small volume pleural effusion has been detected. In a mildly to moderately overweight animal, excessive pericardial fat can artifactually mimic the result of mild pleural effusion.</t>
  </si>
  <si>
    <t>Two views of the thorax are provided for review and compared with images dated 5/31/2024.  The cardiovascular structures are normal.  There is a moderate bronchial pattern in all lung lobes.  A nodular soft tissue structure is seen in the right cranial lung lobe, persistent between studies.  The mediastinal and pleural structures are normal.  Cranial abdominal detail is adequate.</t>
  </si>
  <si>
    <t>Moderate bronchial pulmonary pattern=ZZ90= consider bronchitis, response to inhaled irritants, response to circulating parasites, eosinophilic bronchopneumopathy.  Solitary pulmonary nodule.  Consider neoplasia, granuloma, abscess, parasitic cyst.</t>
  </si>
  <si>
    <t>Thoracic CT and airway sampling may be helpful in further evaluation.</t>
  </si>
  <si>
    <t>Nine radiographs are provided, with images of the thorax, thoracic limbs, abdomen, pelvic limbs. The cardiac silhouette and pulmonary vessels are normal size. A mild bronchial pattern is normal for the age of this patient. Fat deposition is seen cranioventral to the heart. No soft tissue pulmonary nodules or pleural effusion. Normal tracheal diameter. The 4th sternal segment is absent, with a few small amorphous mineral densities at its expected location. No rib abnormalities are appreciated. Normal thoracic spine. Narrowed C6-7 intervertebral disc space. There is a large fat opaque lipomatous thickening measuring at least 14.4 cm ventral to the cranial sternum, of doubtful significance. Scapular contour and opacity is normal. Normal shoulder and cubital joints. No thoracic limb lysis or periosteal proliferation. Smoothly marginated round soft tissue opaque 1.6 cm cutaneous nodule in the caudal medial distal left antebrachial tissues, of doubtful significance. There are no adjacent osseous changes. No carpal or metacarpal osseous abnormalities._x000D_
_x000D_
In the abdomen the liver is mildly enlarged with smooth margins. Mild caudal deviation gastric axis. Normal spleen and kidneys. The gastrointestinal tract is mildly filled. No radiopaque cystic calculi. No abnormalities in the lumbar spine. Moderate degenerative change in the coxofemoral joints. Pelvic limb musculature is approximately symmetric, and patella location is normal.</t>
  </si>
  <si>
    <t>1. The appearance of the 4th sternal segment is concerning for a lytic process, such as can be seen with neoplasia or less likely osteomyelitis. This could be a congenital variant. Otherwise normal thorax._x000D_
2. The appearance of C6-7 is suggestive of a protruding/extruded intervertebral disc. This is the only abnormality identified to explain the thoracic limb clinical signs. No thoracic limb abnormalities are present on this study. Soft tissue sprain/strain remains possible._x000D_
3. Mild hepatomegaly, a nonspecific finding that may be steroid or other hepatopathy, acute inflammation, or least likely neoplasia. No other abdominal abnormalities._x000D_
4. Moderate coxofemoral osteoarthrosis. This could be contributing to discomfort.</t>
  </si>
  <si>
    <t>Recommend palpate for spinal discomfort and a neurologic examination. Also recommend CBC, blood chemistry profile, and palpate for evidence of sternal discomfort. If further evaluation of the sternum is desired, ultrasound would be recommended.</t>
  </si>
  <si>
    <t xml:space="preserve">
1.SEVERE ALVEOLAR INFILTRATE; MILD PERIHILAR PATTERN; MORE DIFFUSE MILD BRONCHOINTERSTITIAL PULMONARY PATTERN._x000D_
2.Based on the AI airway/pulmonary findings, the probability of this patient having clinically detectable respiratory signs is VERY HIGH (&gt;75%)_x000D_
3.Are respiratory signs present? If YES._x000D_
4.AI linked canine bacterial pneumonia treatment: https://platform.v2.vetology.net/doc/pneumonia-in-dogs-and-cats_x000D_
5.Are respiratory signs present? If NO._x000D_
6.The cardiac silhouette size is normal._x000D_
7.Pleural fissure lines or moderate to severe pleural effusion has been detected. An overlying skin fold or in an obese animal, excessive pericardial fat could artifactually mimic the result of severe pleural effusion.</t>
  </si>
  <si>
    <t>Three radiographs of the thorax, three views of the abdomen, and orthogonal views of the left stifle are provided. The cardiac silhouette and pulmonary vessels are normal size and shape. There are mild age-related changes in the lungs. There are no soft tissue pulmonary nodules or pleural effusion. Normal cranial mediastinal width. Severe spondylosis deformans in the caudal thoracic spine, incidental._x000D_
_x000D_
In the abdomen there is no effusion. Normal size liver, kidneys, spleen. The ventral splenic tail margins are slightly irregular on the right lateral view. Formed feces fills the colon. Small volume gas in the stomach and small bowel. No radiopaque urolithiasis. Spondylosis deformans is present throughout the lumbar spine, likely incidental. The left coxofemoral joint is congruent. The left patella is in normal position. There is large volume fluid in the cranial and caudal aspect of the left stifle joint. Moderate enthesophyte formation on the femoral trochlear ridges, distal patella, femoral epicondyles, proximal lateral tibia.</t>
  </si>
  <si>
    <t>1. Severe left stifle effusion most consistent with cranial cruciate ligament tear/rupture. This is the cause for lameness._x000D_
2. Smoothly irregular splenic tail margins may be incidental hyperplasia or extramedullary hematopoiesis. Neoplasia is not definitively ruled out. No other abdominal abnormalities._x000D_
3. Normal thorax.</t>
  </si>
  <si>
    <t>Ultrasound evaluation of the spleen should be considered, with fine-needle aspirates of any abnormalities identified for a definitive diagnosis. Surgical stabilization of the left stifle is recommended.</t>
  </si>
  <si>
    <t>5 images of the thorax and abdomen are provided for review.  The cardiovascular structures are normal.  Alveolar opacity is present in the right and left cranial lung lobes.  The mediastinal and pleural structures are normal.  Abdominal serosal detail is adequate in all quadrants.  The stomach contains a small amount of gas and the rugal folds are prominent.  The small intestines are normal in size, but several larger segments appear gathered in the cranial abdomen on the left lateral view.  Gas and feces are present in the colon.  The cecum is gas-filled.  The urinary bladder is small.  The remaining abdominal organs are normal.</t>
  </si>
  <si>
    <t>Prominent rugal folds suggestive of gastritis.  Possible focal area of plication seen on the left lateral view concerning for linear foreign body obstruction.  Abdominal ultrasound could be considered in further evaluation versus repeat radiographs including the VD view.  Alveolar pulmonary pattern concerning for aspiration type pneumonia.  Airway sampling may be helpful in further evaluation.</t>
  </si>
  <si>
    <t xml:space="preserve">
1.MODERATE INTERSITIAL TO ALVEOLAR PATTERN; MILD PERIHILAR INFILTRATE._x000D_
2.Based on these AI airway/pulmonary findings, the probability of this patient having clinically detectable respiratory signs is MEDIUM (50%)._x000D_
3.Are respiratory signs present? If YES._x000D_
4.AI linked bacterial pneumonia treatment in dogs: https://platform.v2.vetology.net/doc/pneumonia-in-dogs-and-cats_x000D_
5.Are respiratory signs present? If NO._x000D_
6.Pleural fissure lines or moderate to severe pleural effusion has been detected. An overlying skin fold or in an obese animal, excessive pericardial fat could artifactually mimic the result of severe pleural effusion._x000D_
7.The cardiac silhouette size is normal.</t>
  </si>
  <si>
    <t xml:space="preserve">Patient Name : Juju Rich-Smith, Date of study: Jun 28, 2024
3 images are provided for review
There are no previous radiographs for comparison.
Pulmonary parenchyma: In the left lung lobes is a moderate alveolar pattern and mild to moderate interstitial pattern.  The alveolar component is most severe in the left cranial lung lobe, with air-bronchograms and lobar margination with the caudal lung lobe.  
Pulmonary vasculature: The visible pulmonary vasculature is subjectively normal in size and tapers in the periphery of the lungs.
Cardiac silhouette: The cardiac silhouette is normal in size and shape.
Mediastinum: Only in the lateral image, subtle increased soft tissue is suspected in the ventral mediastinum.  This is not identified in the ventrodorsal images.
Trachea: The trachea is normal.
Esophagus: The esophagus is not well-identified.
Pleural space: The pleural space is normal.
Musculoskeletal: The included musculoskeletal structures are normal.
</t>
  </si>
  <si>
    <t>1. Moderate left cranial lung lobe alveolar pattern and mild-moderate interstitial pulmonary pattern.
- Differential diagnoses include bronchopneumonia/aspiration pneumonia,  or unlikely non-cardiogenic or cardiogenic pulmonary edema given the distribution of the pattern, hemorrhage, atypical neoplasia or unlikely other.
2. Superimposed normal structures versus evolving mediastinal soft tissue such as from lymph node enlargement/mass or unlikely mediastinal fluid/mediastinitis or other.</t>
  </si>
  <si>
    <t>Therapy for suspected pneumonia with broad-spectrum antibiotics and supportive care in the interim.  Therapy for 1-2 weeks past radiographic resolution.  Routine blood work to screen for occult systemic disease.  If signs fail to improve or worsen in the face of therapy for pneumonia, consider additional differentials more likely and screen for occult cardiac disease or occult systemic disease contributing to pulmonary pattern. Monitoring as directed or sooner if clinical signs acutely change, fail to improve or worsen.</t>
  </si>
  <si>
    <t xml:space="preserve">
1.Mild cardiomegaly has been detected but Heart Failure is NOT suspected._x000D_
2.SEVERE INTERSTITIAL TO ALVEOLAR INFILTRATE, MODERATE DYNAMIC AIRWAY DISEASE, MILD BRONCHIAL PATTERN, MILD PERIHILAR INFILTRATE._x000D_
3.Based on these AI airway/pulmonary findings, the probability this patient will have clinically detectable respiratory signs is NEAR CERTAINTY (&gt;99%)_x000D_
4.Are respiratory signs present? If YES._x000D_
5.Are respiratory signs present? If NO.</t>
  </si>
  <si>
    <t>Orthogonal radiographs of the thorax, and three views of the abdomen are provided. There is mild generalized cardiomegaly. Pulmonary vessels are normal size. Small area of moderate to severe interstitial pattern in the cranioventral lungs. No pleural effusion. Normal tracheal diameter._x000D_
_x000D_
In the abdomen the liver is mildly enlarged. Normal-sized kidneys and spleen. Blunted cranial lateral aspect of the left kidney, likely incidental. There is scant midabdominal effusion. The gastrointestinal tract is minimally filled. Widened gastroduodenal angle on the VD projection. No radiopaque foreign material. The urinary bladder is mildly filled and soft tissue opaque. No osseous abnormalities.</t>
  </si>
  <si>
    <t>1. Scant peritoneal effusion and widened gastroduodenal angle. Gastroenteritis/pancreatitis is suspected. There is no evidence of an obstructive process._x000D_
2. Mild hepatomegaly, likely diabetic hepatopathy. Acute hepatic inflammation or venous congestion could be contributing._x000D_
3. Probable mild aspiration pneumonia._x000D_
4. Mild generalized cardiomegaly suggestive of chronic degenerative mitral and tricuspid valve disease. There is no evidence of pulmonary venous congestion or heart failure.</t>
  </si>
  <si>
    <t>Abdominal ultrasound, and treatment for aspiration pneumonia is recommended. Follow-up echocardiogram could be considered, but is lesser priority than abdominal ultrasound.</t>
  </si>
  <si>
    <t xml:space="preserve">
1.MILD to MODERATE INTERSTITIAL TO ALVEOLAR PATTERN; MINIMAL BRONCHITIS._x000D_
2.Based on these AI airway/pulmonary findings, the probability of this patient having clinically detectable respiratory signs is MEDIUM (50%)_x000D_
3.Are respiratory signs present? If YES._x000D_
4.Are respiratory signs present? If NO._x000D_
5.Severe dynamic airway disease has been detected._x000D_
6.Pleural fissure lines or small volume pleural effusion has been detected. In a mildly overweight animal, excessive pericardial fat can artifactually mimic the result of minimal pleural effusion._x000D_
7.Severe cardiomegaly has been detected but Heart Failure is NOT suspected.</t>
  </si>
  <si>
    <t>Thorax: The intrathoracic esophagus is gas dilated.  There is a mild diffuse bronchointerstitial pattern.  There is mild left-sided cardiomegaly without evidence of decompensation.  There is no evidence of lymphadenopathy or pleural effusion.  The intrathoracic trachea appears narrowed.  On one of the lateral views there is possible collapse of the mainstem bronchi.  On the visible portions of the larynx there is a increase in soft tissue opacity associated with the nasopharyngeal region.  This most likely represents visualization of the epiglottis and is augmented by patient rotational obliquity.</t>
  </si>
  <si>
    <t>Gas dilated esophagus.  Differential considerations include aerophagia, esophagitis, or megaesophagus._x000D_
_x000D_
Diffuse bronchointerstitial pattern which may be age-related or bronchitis._x000D_
_x000D_
Mild left-sided cardiomegaly without evidence of decompensation._x000D_
_x000D_
Narrowing of the intrathoracic trachea.  This may be anatomical variation or possible tracheitis._x000D_
_x000D_
Possible collapse of the mainstem bronchi.</t>
  </si>
  <si>
    <t xml:space="preserve">
1.MILD to MODERATE BRONCHOINTERSTITIAL PATTERN; MILD DYNAMIC AIRWAY DISEASE._x000D_
2.Based on these AI airway/pulmonary findings, the probability of this patient having clinically detectable respiratory signs is MEDIUM (50%)_x000D_
3.Are respiratory signs present? If YES._x000D_
4.AI linked bacterial bronchitis in dogs article: https://platform.v2.vetology.net/doc/bacterial-bronchitis-in-dogs-and-cats_x000D_
5.Severe cardiomegaly has been detected but Heart Failure is NOT suspected._x000D_
6.There is no evidence of PLEURAL EFFUSION._x000D_
7.Are respiratory signs present? If NO.</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</si>
  <si>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fluid._x000D_
Small intestines are mildly gas and fluid filled, not overtly distended. No signs of mechanical ileus._x000D_
Serosal detail is decreased._x000D_
Liver and spleen are within normal limits of size and smoothly marginated._x000D_
Kidneys and urinary bladder WNL.</t>
  </si>
  <si>
    <t>1) Unremarkable thorax without signs of pulmonary metastases nor signs of thoracic lymphadenopathy._x000D_
2) Rule out free fluid: transudate vs exudate.</t>
  </si>
  <si>
    <t>Consider abdominal US to further evaluate the peritoneum, GI tract/pancreas and the urinary tract with renal function, UPC and urinalysis.</t>
  </si>
  <si>
    <t xml:space="preserve">Patient Name : Lady Ojeda, Date of study: Jun 27, 2024
4 images are provided for review
Canine Thorax (4 Images) - 2 Lateral, 2 Vd
There are no previous radiographs for comparison.  Linear positive density artifact over the right brachium in the ventrodorsal images.  
Pulmonary parenchyma: A mild to moderate diffuse bronchial pattern is present.  Presumed end-on vascular structures are in the left cranial lung lobe in the ventrodorsal image.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Thin pleural fissure lines that do not widen in the periphery of the lung are between the right middle/caudal and the left cranial/caudal lung lobes.
Musculoskeletal: Multiple well-defined soft tissue nodules arise from the caudoventral extra-thoracic soft tissues.  Multifocal thoracolumbar spondylosis deformans is present.  The remaining included musculoskeletal structures are normal.
</t>
  </si>
  <si>
    <t xml:space="preserve">1. Mild-moderate diffuse bronchial pulmonary pattern.
- Differential diagnoses include infectious/immune-mediated lower airway disease, atypical metastatic neoplasia (such as from mammary carcinoma or round cell neoplasia or unlikely other) fibrosis from prior disease, age-related changes, a combination of these, or unlikely other.
2. Thin pleural fissure lines due to tangential beam artifact or pleural folding/thickening, or unlikely scant pleural fluid.
3. Caudoventral extra-thoracic soft tissue nodules such as from malignancy (mammary carcinoma versus other), papilloma, or unlikely other.  </t>
  </si>
  <si>
    <t>Consider computed tomography of the thorax/abdomen and possibly thoracic/pelvic limbs for further evaluation of reported peripheral edema, pre-surgical planning of mammary/abdominal mass incisional/excisional biopsy, and a more sensitive evaluation of the thorax for metastatic disease.  Oncologist consultation depending on results of tissue sampling and additional diagnostics.  Empirical therapy and supportive care in the interim as needed.  Monitoring with routine blood work and thoracic imaging as directed, or sooner if clinical signs acutely change, fail to improve or worsen.</t>
  </si>
  <si>
    <t xml:space="preserve">Patient Name : villalobos ozzie, Date of study: Jun 27, 2024
3 images are provided for review
Canine Thorax (3 Images) - 2 Lateral, 1 Vd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is minimally flat at its caudodorsal margin in the right lateral image.  
Mediastinum: The cranial mediastinum is normal.
Trachea: A slight soft tissue band superimposes over the caudal cervical tracheal segment in the right lateral image.
Esophagus: The esophagus is not well-identified.
Pleural space: The pleural space is normal.
Musculoskeletal: The included musculoskeletal structures are normal.
</t>
  </si>
  <si>
    <t>1. Minimal left atrial enlargement or less likely artifact from phase of the cardiopulmonary cycle and patient positioning given reported murmur.
- The primary differential diagnosis is myxomatous mitral valvular disease.
- There is no evidence of left-sided congestive heart failure.  
2. Minimal diffuse bronchial pulmonary pattern such as from fibrosis from prior disease, age-related changes, or unlikely infectious/immune-mediated lower airway disease or other.
3. Slight dorsal redundant tracheal membrane with/without dynamic airway disease versus superimposed normal structures.</t>
  </si>
  <si>
    <t>Consider echocardiography, eCG and blood pressure as well as routine blood work and urinalysis.  Consider respiratory PCR panel, airway sampling, and fecal analysis/deworming for further evaluation. Empirical therapy and supportive care for cough in the interim as needed.   Monitoring as directed or sooner if clinical signs acutely change, fail to improve or worsen.</t>
  </si>
  <si>
    <t xml:space="preserve">Patient Name : Gordo Ferguson, Date of study: Jun 27, 2024
8 images are provided for review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slightly symmetrically widened.  No obvious increased mediastinal soft tissue in the lateral images.
Trachea: The trachea is normal.
Esophagus: The esophagus is not well-identified.
Pleural space: Thin pleural fissures that do not widen in the periphery of the lungs are between the right cranial/middle and right middle/caudal lung lobes.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gas. The stomach is normal in size.  
The small intestine contains mild gas and fluid or is empty with a subjectively uniform population for size. 
The colon contains mild heterogeneous soft tissue material and gas.  The colon is normal in size. 
Bones/Joints:
Caudal vertebral changes consistent with breed (screw tail anomaly).  In situ intervertebral disc mineral is at L4-5, L5-6, and L6-7.
There is no evidence of intervertebral disc space narrowing, or mineral over the intervertebral foramina.  A dens is present.  No evidence of atlanto-axial subluxation.  
A small well-defined round and pin-point mineral body are just distal to the right medial malleolus.  No evidence of coxofemoral joint osteoarthrosis.  No evidence of stifle joint osteoarthrosis.  
There is no evidence of medullary sclerosis, osteolysis, endosteal scalloping, or periosteal proliferation.
Soft tissues:  The included soft tissues are normal.
</t>
  </si>
  <si>
    <t>1. Minimal-mild diffuse bronchial pulmonary pattern such as from fibrosis from prior disease, age-related changes, infectious/immune-mediated lower airway disease, or unlikely other.
- No current evidence of alveolar pattern such as from reported prior bronchopneumonia.  
2. Slight cranial mediastinal widening due to fat deposition, variation of normal or unlikely other.
3. Presumed tangential beam artifact versus pleural thickening/fibrosis or unlikely scant pleural fluid.
4. Small osteophytes/enthesophytes in the region of the right tarsocrural joint medial collateral ligament, verus susperimposed mineral
5. Multifocal lumbar  in situ intervertebral disc mineral.
6. No obvious intervertebral disc space narrowing.</t>
  </si>
  <si>
    <t>This examination does not rule out occult myelopathy such as from evolving intervertebral disc herniation or other given reported clinical signs.  Consider neurologist consultation and MRI.  Routine blood work prior to referral if not recently performed.  Empirical therapy and supportive care as needed in the interim.  Monitoring as directed, or sooner if clinical signs acutely change, fail to improve or worsen.</t>
  </si>
  <si>
    <t xml:space="preserve">
1.Are respiratory signs present? If YES._x000D_
2.Are respiratory signs present? If NO._x000D_
3.The cardiac silhouette size is normal._x000D_
4.MINIMAL to MILD BRONCHOINTERSTITIAL PULMONARY PATTERN; POTENTIAL FOR FOCAL ATELECTASIS._x000D_
5.Based on these AI airway/pulmonary findings, the probability of this patient having clinically detectable respiratory signs is LOW (25%)</t>
  </si>
  <si>
    <t xml:space="preserve">Patient Name : Gucci Velasco, Date of study: Jun 27, 2024
6 images are provided for review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</si>
  <si>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Minimal diffuse bronchial pulmonary pattern such as from infectious/immune-mediated lower airway disease (mycoplasma spp., bordetella spp., parasitism, or other), inhaled allergen/irritant, fibrosis from prior disease, age-related changes, or unlikely other.
</t>
  </si>
  <si>
    <t>Etiology of reported cough is not definitively identified.  Consider respiratory PCR panel, airway sampling, and fecal analysis for further evaluation.  Empirical therapy and supportive care in the interim as needed. Monitoring as directed or sooner if clinical signs acutely change, fail to improve or worsen.</t>
  </si>
  <si>
    <t>Opposite lateral and VD thorax views are provided._x000D_
_x000D_
The heart is within normal size and shape limits. Bronchial markings are slightly more prominent than expected for the age of the patient. No alveolar infiltrates are seen. The trachea has smooth walls and normal uniform diameter.</t>
  </si>
  <si>
    <t>No evidence of pneumonia or cardiac disease is identified._x000D_
_x000D_
The bronchial pattern is mild, but slightly more prominent than expected given the relatively young age of the patient. Allergic lung disease or viral tracheobronchitis would be most likely.</t>
  </si>
  <si>
    <t>Symptomatic therapy for the cough is recommended._x000D_
Antibiotic therapy may be indicated if infectious disease is supported by the pending labwork or other clinical findings.</t>
  </si>
  <si>
    <t xml:space="preserve">Patient Name : Kobe Lopez, Date of study: Jun 27, 2024
8 images are provided for review
There are no previous radiographs for comparison.  
N.B. Patient is listed as "MN" but testicles are identified in the lateral image.  
Liver: The liver is subjectively normal in size.
Spleen: The spleen is normal in size with smooth margins and homogeneous soft tissue.
Kidneys: The kidneys are obscured without obvious renomegaly or mineral.
Retroperitoneum: Retroperitoneal detail is adequate.
Urogenital: The urinary bladder is small and not well-identified and homogeneous soft tissue.  the prostate gland is minimally prominent and homogeneous soft tissue.
Peritoneum: Peritoneal detail is adequate.
Gastrointestinal tract: The stomach contains a moderate to large volume of gas and mild soft tissue material.  Gas is in the pylorus in the left lateral image.  Gastric rugal folds are prominent. 
The small intestine contains a moderate to large volume of fluid and gas throughout.  In the left lateral image, some intestinal segments in the ventral abdomen are smaller compared to segments in the mid and caudodorsal abdomen. A segment in the caudoventral abdomen contains granular mineral material.  In the ventrodorsal image, a segment of intestine in the right mid-abdomen contains soft tissue material, and this is not well-identified in the lateral images.
The colon contains mild to moderate heterogeneous soft tissue material and gas.
Musculoskeletal: The included musculoskeletal structures are normal.
</t>
  </si>
  <si>
    <t xml:space="preserve">1. Suspicious for small intestinal mechanical ileus and dietary indiscretion with segmental granular mineral or less likely enteritis from dietary indiscretion.
2. Prominent gastric rugal folds due to non-specific gastritis versus normal variation.
3. Minimal prostate gland enlargement due to benign prostatic hyperplasia and intact status of this patient.  </t>
  </si>
  <si>
    <t xml:space="preserve">Consider exploratory celiotomy, especially given reported history.  Alternatively, empirical therapy/supportive care and repeat abdominal radiographs.  Abdominal ultrasonography in lieu of repeat radiographs may also be beneficial, especially if signs fail to improve or worsen with medical therapy.  </t>
  </si>
  <si>
    <t xml:space="preserve">
1.The cardiac silhouette size is normal._x000D_
2.There is no evidence of PERIHILAR INFILTRATE, DYNAMIC AIRWAY COLLAPSE or BRONCHIECTASIS, PULMONARY NODULES or PLEURAL EFFUSION._x000D_
3.A mild interstitial has been identified.</t>
  </si>
  <si>
    <t>Orthogonal views of the thorax are provided:_x000D_
_x000D_
Thorax:_x000D_
_x000D_
There is severe left atrium enlargement that dorsally displaces the carina, producing an overall severe cardiomegaly._x000D_
The pulmonary veins are normal sized. However, there is a peri-hilar and ill defined cauododorsal alveolo-interstitial pulmonary pattern in the right caudal lung lobe._x000D_
Normal mediastinum, diaphragm and thoracic wall.</t>
  </si>
  <si>
    <t>1) Cardiomegaly (left sided) with peri-hilar and ill defined cauododorsal alveolo-interstitial pulmonary pattern in the right caudal lung lobe. Findings consistent with left sided congestive heart failure secondary to chronic mitral endocardiosis.
(amended on 06/28/2024 03:25)
Rule out tricuspid endocardiosis with post-capillary pulmonary hypertension.</t>
  </si>
  <si>
    <t>Patient Name : Bartholomew Wilbur, Date of study: Jun 27, 2024
17 images are provided for review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A leftward mediastinal shift is present in one image, and absent in alternate images.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gas. Gastric rugal folds are mildly prominent.  Gas is in the pylorus in the left lateral image.
The small intestine contains mild homogeneous gas and fluid or is empty with a subjectively uniform population for size. 
The colon contains moderate heterogeneous soft tissue material and gas.  The colon is normal in size.  
Musculoskeletal: The included musculoskeletal structures are normal.
(amended on 06/27/2024 16:16)
There is no evidence of intervertebral disc space narrowing or mineral over the intervertebral formina.</t>
  </si>
  <si>
    <t xml:space="preserve">1. Minimal-mild diffuse bronchial pulmonary pattern such as from fibrosis from prior disease, age-related changes, or less likely infectious/immune-mediated lower airway disease (mycoplasma spp., bordetella spp., parasitism, or other), inhaled allergen/irritant, or unlikely other.
2. Prominent gastric rugal folds such as from non-specific gastritis or variation of normal.  
3. Non-specific colon contents due to normal variation/diet or occult enteritis/colitis.  </t>
  </si>
  <si>
    <t>Empirical therapy and supportive care in the interim as needed.  Routine blood work to screen for occult systemic disease may be contributory.  Monitoring as directed, or sooner if clinical signs acutely change, fail to improve or worsen.</t>
  </si>
  <si>
    <t>Three orthogonal thoracic radiographs dated 27th June 2024 are available for review. There are no previous radiographs available for comparison. _x000D_
_x000D_
Airway findings: There is increased soft tissue rostral to the laryngeal opening and caudal to the mandible, reducing the dorsal nasopharynx size. The lumen of the cervical and thoracic trachea is variable between radiographs. The trachea is narrow at the thoracic inlet (thoracic inlet ratio 0.06). The thoracic trachea is dorsally displaced, however both lateral images are obliqued. There is a mild to moderate patchy bronchointerstitial opacification of the lung parenchyma._x000D_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vasculature is poorly visible. The mainstem vessels are poorly visible._x000D_
_x000D_
Mediastinum and pleural space: No significant abnormalities are detected._x000D_
_x000D_
Musculoskeletal findings: The patient is obese._x000D_
_x000D_
Included abdomen: No significant abnormalities are detected.</t>
  </si>
  <si>
    <t>1. The soft tissue in the nasopharynx may be positional artefact. Alternatively caudal soft palate thickening, retropharyngeal neoplasia, submandibular lymphadomegaly, other space occupying lesion should be considered. _x000D_
2. The variable size the trachea is consistent with tracheomalacia, and/or redundant trachealis membrane. The extent of attenuation would be expected to cause coughing. This is more likely than the primary tracheal hypoplasia, even though thoracic inlet ratio is well below normal._x000D_
3. Left atrial dilation. This is most likely due to mixoid degeneration of the mitral valve. There is no evidence for cardiac insufficiency. _x000D_
4. Diffuse patchy bronchointerstitial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Considering the potential upper airway abnormality, microaspiration should also be considered.</t>
  </si>
  <si>
    <t>Radiography is insensitive for early cardiac insufficiency, therefore ECG, blood pressure measurements, and echocardiography may be considered for further evaluation, or baseline measurements._x000D_
An upper airway examination is indicated. Consider evaluation for airway collapse (fluoroscopy vs. right lateral inspiratory and expiratory radiographs vs. CT with virtual bronchoscopy). Alternatively consider medical management. Consider surgical consultation depending on clinical progression. _x000D_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t>
  </si>
  <si>
    <t>Abdomen: On the ventrodorsal view there is a ovoid somewhat pedunculated looking soft tissue opacity superimposed over the caudal right abdomen.  The liver and spleen are unremarkable.  There are no abnormalities involving the visible portions of the urinary tract or gastrointestinal tract.  Serosal detail is normal.  There is moderate spondylosis deformans at the lumbosacral junction.  Spondylosis deformans is also noted at T12-13, L1-2,  L2-3, and L3-4._x000D_
_x000D_
Thorax: There are no abnormalities identified._x000D_
_x000D_
Skull (lateral view: There are no abnormalities identified.  On the visible portions of the cervical vertebral column there appears to be narrowing/collapse of intervertebral disc spaces C2-3 through C5-6.  There is possible endplate lucency associated with C3-4 and C4-5.</t>
  </si>
  <si>
    <t>The soft tissue opacity within the caudal right abdomen most likely represents a summation artifact._x000D_
_x000D_
Suspect numerous regions of intervertebral disc disease involving the cervical vertebral column._x000D_
_x000D_
Possible endplate lysis at C3-4 and C4-5.</t>
  </si>
  <si>
    <t xml:space="preserve">
1.MODERATE BRONCHOINTERSTITIAL PULMONARY PATTERN; MILD PERIHILAR INFILTRATE; MILD DYNAMIC AIRWAY DISEASE; ATELECTASIS or less likely, pneumonia._x000D_
2.Based on the AI airway/pulmonary findings, the probability of this patient having clinically detectable respiratory signs is MEDIUM to HIGH (50%-75%)_x000D_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6.The cardiac silhouette size is normal.</t>
  </si>
  <si>
    <t xml:space="preserve">Patient Name : Zona Blackwell, Date of study: Jun 27, 2024
13 images are provided for review
There are no previous radiographs for comparison. Ungloved human digit primary beam.  
Pulmonary parenchyma: A mild diffuse bronchial pattern is present.  A minimal or mild interstitial pattern is present.  The lungs are mild or moderately hypoinflated in the lateral images.
Pulmonary vasculature: The pulmonary vasculature is subjectively normal in size and tapers in the periphery of the lungs.
Cardiac silhouette: The cardiac silhouette is mildly tall and occupies 2/3 the height of the thorax.  The trachea is slightly dorsally displaced.  
Mediastinum: The cranial mediastinum is minimally symmetrically widened in the ventrodorsal image.  No obvious increased mediastinal soft tissue.
Trachea: The trachea is normal.
Esophagus: The esophagus is not well-identified.
Pleural space: The pleural space is normal.
Bones/Joints: Increased soft tissue fills the right nasal passage in the rostrocaudal image, and extends from the level of the canine teeth into the ethmoid turbinates. The nasal septum is smooth and well-defined.  The turbinates in the right nasal passage are less well-defined as a result.  No obvious periosteal proliferation dorsal or lateral to this site.  On the final, open-mouth image, a well-defined metal tubular structure is partially superimposed over the rostral aspect of the maxilla, with its flat tip just rostral and medial to the suspected cranial margin of the right nasal passage soft tissue.
Soft tissues:  The included soft tissue structures are normal.  </t>
  </si>
  <si>
    <t>1. Right nasal passage soft tissue mass.
- The primary differential diagnosis is neoplasia such as a chondrosarcoma, melanoma, fibrosarcoma or less likely carcinoma, or least likely fungal granuloma or other.  
2. Mild left-sided cardiomegaly such as from myxomatous mitral valvular disease versus artifact from phase of the cardiopulmonary cycle.
3. Mild diffuse bronchial and interstitial pulmonary patterns.
- The interstitial pattern is likely exacerbated by hypoinflation.
- Differential diagnoses include immune-mediated/infectious lower airway disease, or less likely fibrosis from prior disease, age-related changes, or unlikely other.
4. symmetrical widened mediastinum likely due to fat deposition.  
5. No obvious pleural effusion, intrathoracic lymphadenomegaly or pulmonary nodules are identified.</t>
  </si>
  <si>
    <t>Echocardiography. eCG and blood pressure for further evaluation, especially if a murmur is later identified. Consider computed tomography of the head and thorax for further evaluation.   Rhinoscopy and tissue sampling may be necessary for a definitive diagnosis of right nasal neoplasia.  Empirical therapy and supportive care in the interim as needed. Monitoring as directed or sooner if clinical signs acutely change, fail to improve or worsen.</t>
  </si>
  <si>
    <t xml:space="preserve">
1.MILD INTERSTITIAL TO ALVEOLAR INFILTRATE; MILD PERIHILAR INFILTRATE; MINIMAL BRONCHIAL PATTERN._x000D_
2.Based on the AI airway/pulmonary findings, the probability of this patient having clinically detectable respiratory signs is LOW to MEDIUM (25%-50%)_x000D_
3.Are respiratory signs present? If YES._x000D_
4.Are respiratory signs present? If NO._x000D_
5.The cardiac silhouette size is normal.</t>
  </si>
  <si>
    <t>Study:_x000D_
Thoracic and abdominal radiography: seven images dated June 27,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stomach contains a small volume of gas. There is granular soft tissue material throughout the small intestines thought to represent ingesta. The small intestines are normal in size and course. The colon contains a small volume of gas. The liver is normal in size and margin. On the right lateral view, there are two faint round soft tissue opaque bulges from the ventral margin of the tail the spleen. The renal silhouettes are normal in size and contour. The urinary bladder is normal in size and opacity. There is mild L2-L3 and L3-L4 spondylosis deformans.</t>
  </si>
  <si>
    <t>1. Splenic nodule. Rule out extramedullary hematopoiesis, lymphoid hyperplasia neoplasia. Sonography should be considered for further evaluation._x000D_
2. The gastrointestinal tract is unremarkable. A cause of the reported recurrent diarrhea is not evident. Abdominal sonography and a G.I. panel can be considered for further evaluation._x000D_
3. Normal thorax. There is no radiographic evidence of cardiopulmonary disease or intrathoracic neoplasia.</t>
  </si>
  <si>
    <t xml:space="preserve">
1.Are respiratory signs present? If NO._x000D_
2.There is no evidence of DYNAMIC AIRWAY COLLAPSE or BRONCHIECTASIS, PULMONARY NODULES or PLEURAL EFFUSION._x000D_
3.Mild cardiomegaly has been detected but Heart Failure is NOT suspected._x000D_
4.MINIMAL TO MILD BRONCHOINTERSTITIAL PULMONRAY PATTERN; MILD PERIHILAR PATTERN._x000D_
5.Based on the AI airway/pulmonary findings, the probability of this patient having clinically detectable respiratory signs is LOW (25%)_x000D_
6.Are respiratory signs present? If YES.</t>
  </si>
  <si>
    <t xml:space="preserve">Patient Name : Charlie Ramirez, Date of study: Jun 27, 2024
3 images are provided for review
Canine Abdomen (3 Images) - 2 Lateral, 1 Vd
There are no previous radiographs for comparison.
Liver: The liver is small with cranial displacement of the gastric axis.  
Spleen: The spleen is normal in size with smooth margins and homogeneous soft tissue.
Kidneys: The kidneys are normal in size and shape without obvious mineral.
Retroperitoneum: Retroperitoneal detail is adequate.
Urogenital: Tubular soft tissue is present in the mid- and caudal abdomen in all image.  Some of these segments are superimposes over or between the descending colon and urinary bladder.  These segments are in the right and left caudal abdomen in the ventrodorsal image.  The urinary bladder is within normal limits for size, homogeneous soft tissue, and smoothly marginated.
Peritoneum: Peritoneal detail is adequate.
Gastrointestinal tract: The stomach contains mild heterogeneous soft tissue material and gas.  The stomach is within normal limits for size.
The small intestine contains mild homogeneous gas and fluid or is empty with a subjectively uniform population for size. 
The colon contains mild gas and fluid or is empty.  The colon is subjectively normal in size
Musculoskeletal: The included musculoskeletal structures are normal.
</t>
  </si>
  <si>
    <t>1. Presumed bilateral enlarged uterine horns such as from evolving pyometra, mucometra, metritis, or unlikely other.
2. Mild microhepatia versus variation of normal.
- If present, differential diagnoses include occult portosystemic shunting vessel, or unlikely chronic hepatitis/cirrhosis or other.  
3. Non-specific gastrointestinal tract changes such as from enteritis, colitis, or individual variation of normal.</t>
  </si>
  <si>
    <t xml:space="preserve"> If clinical signs are consistent with pyometra, consider celiotomy and ovariohysterectomy.  Thoracic imaging to screen for occult systemic disease prior to celiotomy as well as routine blood work if not recently performed.  Bile acid testing may be contributory.  Empirical therapy and supportive care in the interim as needed.  Monitoring as directed or sooner if clinical signs acutely change, fail to improve or worsen.</t>
  </si>
  <si>
    <t>Patient Name : Coco Chanel Cromer, Date of study: Jun 27, 2024
3 images are provided for review
Canine Thorax (3 Images) - 1 Vd, 2 Lateral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T5-6 and T11-12 spondylosis deformans is present.  The remaining included musculoskeletal structures are normal.</t>
  </si>
  <si>
    <t xml:space="preserve">1. Mild diffuse bronchial pulmonary pattern.
- Differential diagnoses include infectious/immune-mediated lower airway disease such as from mycoplasma spp., bordetella spp., parasitism, or inhaled allergen/irritant, fibrosis from prior disease, age-related changes, or unlikely other.
2. There is no evidence of cardiomegaly on this examination.
</t>
  </si>
  <si>
    <t xml:space="preserve">Consider respiratory PCR panel, airway sampling, and fecal analysis for further evaluation. This examination does not exclude dynamic airway disease. Consider bronchoscopy/tracheoscopy for further evaluation. Empirical therapy and supportive care in the interim as needed. Monitoring as directed, or sooner if signs fail to improve or worsen.  If repeat radiographs are inconclusive, consider computed tomography for a more sensitive evaluation of the thorax, routine blood work, and abdominal imaging to screen for occult systemic disease. </t>
  </si>
  <si>
    <t xml:space="preserve">Patient Name : Zoey Berk, Date of study: Jun 27, 2024
4 images are provided for review
There are no previous radiographs for comparison.
Pulmonary parenchyma: In the right-lateral image, superimposed over one of the 6th ribs and the caudal subsegment of the left cranial lung is round soft tissue nodule that is larger than adjacent vasculature.  This is suspected to be over the left 7th intercostal space in the ventrodorsal image.  In the left lateral image, a suspicious rounded soft tissue opacity superimposes over the dorsal aspect of the of the right cranial lung lobe at the level of T5.  this is not identified in the ventrodorsal image.  A minimal to mild diffuse bronchial pattern is present.
Pulmonary vasculature: The pulmonary vasculature is subjectively normal in size and tapers in the periphery of the lungs.
Cardiac silhouette: The cardiac silhouette is enlarged and occupies 2/3 the height of the thorax in the left lateral image.  the caudodorsal margin of the cardiac silhouette is flattened or rounded.  Rounded increased soft tissue is in the region of the left atrium in the ventrodorsal image.  The cardiac silhouette is slightly convex in the region of the left auricle in the ventrodorsal image.  The trachea is slightly dorsally displaced,
Mediastinum: The cranial mediastinum is normal.
Trachea: The trachea is normal.
Esophagus: The esophagus is not well-identified.
Pleural space: The pleural space is normal.
Liver: The liver is subjectively normal in size.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Two well-defined metal ballistic pellets are in the peritoneum.  No peritoneal gas is identified.  Peritoneal detail is adequate.
Gastrointestinal tract: The stomach contains a mild gas or is empty.  The stomach is within normal limits for size.
The small intestine contains mild gas with a subjectively uniform population for size. 
The colon contains mild well-defined soft tissue material and gas.  The colon is normal in size.
Musculoskeletal: Only in one lateral image, ovoid mineral is dorsal to the larynx and partially superimposed over the wing of the atlas due to obliquity of the neck.  Ovoid mineral is superimposed over the laryn.  Mild generlaized laryngeal mineral is also present.  The L7 vertebrae is partially sacralized on the right.  The remaining included musculoskeletal structures are normal.
</t>
  </si>
  <si>
    <t>1. Suspected left caudal lung lobe soft tissue nodule or unlikely superimposed normal structures.
2. Suspicious for right cranial lung lobe soft tissue nodule versus superimposed normal structures, 
- If present, these are suspicious for metastatic neoplasia from occult primary malignancy or unlikely other.
3. Mild-moderate left-sided cardiomegaly such as from myxomatous mitral valvular disease versus other.
- There is no current evidence of left-sided congestive heart failure.  
4. Minimal to mild diffuse bronchial pattern due to fibrosis from prior disease, age-related changes, infectious/immune-mediated lower airway disease, inhaled allergen/irritant, or unlikely other.
5. Ovoid mineral dorsal and over the larynx due to atypical benign cartilage mineralization versus dystrophic mineral such as of an occult neoplasm, versus superimposed granuloma from prior disease, or unlikely other.
6. Peritoneal metal ballistic pellets.
7. No obvious abdominal mass/mass effect, peritoneal fluid, or peritoneal gas.</t>
  </si>
  <si>
    <t>Consider echocardiography, ECG and blood pressure for further evaluation, especially if a murmur is identified.  Routine blood work if not recently performed.Consider computed tomography of the neck and thorax for a more sensitive evaluation of suspected pulmonary nodules and laryngeal mineral.  Sedated laryngeal examination or laryngoscopy may also be contributory.  Coagulation testing and tissue sampling if a suspicious mass/nodule is identified/confirmed (such as in the larynx), especially if pulmonary nodules are also confirmed.   Oncologist consultation depending on results.  Empirical therapy and supportive care in the interim as needed. Monitoring as directed or sooner if clinical signs acutely change, fail to improve or worsen.</t>
  </si>
  <si>
    <t xml:space="preserve">
1.MILD BRONCHOINTERSTITIAL PULMONARY PATTERN; MILD PERIHILAR INFILTRATE; MILD DYNAMIC AIRWAY DISEASE; ATELECTASIS or less likely, pneumonia._x000D_
2.Based on the AI airway/pulmonary findings, the probability of this patient having clinically detectable respiratory signs is MEDIUM (50%)_x000D_
3.Are respiratory signs present? If NO._x000D_
4.Are respiratory signs present? If YES._x000D_
5.Severe cardiomegaly has been detected but Heart Failure is NOT suspected.</t>
  </si>
  <si>
    <t>Opposite lateral and VD views of the thorax and abdomen are provided for interpretation. There are 10 images total._x000D_
_x000D_
There is marked vertebral endplate destruction and associated sclerosis and spondylosis involving the L2-L3 intervertebral disc space. The disc spaces moderately narrowed. The L5-L6 to space is also moderately narrowed, but the endplates at this location appear normal. Slight narrowing is seen at other locations in the lumbar spine. There is mild chronic remodeling of the articular facets in the mid lumbar spine._x000D_
_x000D_
The abdominal organs are all within normal size and shape limits. No abnormalities are seen involving the GI tract. No mass lesions or loss of detail are identified._x000D_
_x000D_
The cardiovascular structures are within normal limits. No pulmonary infiltrates are seen, but complete evaluation of the lungs is not possible due to overexposure of ventral lung fields in the lateral views. No thoracic lymphadenopathy or pleural effusion is seen.</t>
  </si>
  <si>
    <t>An active appearing discospondylitis lesion is identified in the cranial lumbar spine at L2-L3._x000D_
_x000D_
No other significant anatomic abnormalities are identified.</t>
  </si>
  <si>
    <t>The presence of discospondylitis might account for the clinical presentation. More generalized systemic infectious/inflammatory disease should also be ruled out._x000D_
_x000D_
Cross sectional imaging such as MRI or CT would be ideal to better define the nature and severity of the spinal changes and rule out additional sites of discospondylitis._x000D_
_x000D_
Blood and urine culture is recommended in addition to minimum database lab work._x000D_
_x000D_
Antibiotic therapy is recommended, with recheck radiographs in one month.</t>
  </si>
  <si>
    <t>Six radiographs of the thorax and abdomen are provided. The name on the images attached to this request is =ZZ92=Martinez, Nola=ZZ92=. The cardiac silhouette and pulmonary vessels are normal size and shape. There are no abnormalities in the pulmonary parenchyma or pleural space. Small volume fat deposition separates the heart from the sternum on the lateral view. The lungs are clear. No pleural effusion. Adequate tracheal diameter._x000D_
_x000D_
In the abdomen there is no peritoneal or retroperitoneal effusion. The urinary bladder is mildly filled and soft tissue opaque. There is curved 2.3 cm soft tissue opacity dorsal to the colon at the level of L6 on the 1st lateral view. The splenic tail is rounded on both of the lateral projections. Normal-sized liver and kidneys. Moderate volume formed feces in the distal colon. The stomach and small bowel are minimally filled. No spinal or coxofemoral joint abnormalities. Small osseous bodies cranial to the left femoral greater trochanter are incidental.</t>
  </si>
  <si>
    <t>1. Suspect medial iliac lymphadenomegaly, likely reactive and due to urinary bladder abnormalities such as cystitis. Summating superimposed musculature could also cause this appearance. There is no evidence of radiopaque cystic calculi._x000D_
2. Rounded splenic tail may be incidental splenic position/curvature. A splenic mass lesion is not ruled out._x000D_
3. Normal thorax.</t>
  </si>
  <si>
    <t>Ultrasound evaluation of the urinary tract and spleen is recommended.</t>
  </si>
  <si>
    <t>A three view study of the thorax and a right lateral abdomen view are provided for interpretation._x000D_
_x000D_
No pulmonary nodules or parenchymal infiltrates are identified. No thoracic lymphadenopathy or pleural effusion is seen. The cardiovascular structures are within normal limits._x000D_
In the left lateral view, there is a subtle but unusual area of lucency demarcated by thin line of opacity at the caudal aspect of the T7 vertebra. This is a subtle change that could be artifactual. There is mild spondylosis at T4-T5 and in the caudal thoracic and lumbar spine which is incidental._x000D_
_x000D_
In the lateral abdomen view, there are two mildly defined areas of increased soft tissue opacity in the caudal sublumbar region that are highly suspicious for sublumbar lymph node enlargement. No local bone involvement is seen. The other abdominal organs are within normal limits. Serosal detail is normal.</t>
  </si>
  <si>
    <t>Changes in the lateral abdomen view are concerning for sublumbar lymphadenopathy indicative of normal metastasis of the report anal gland tumor. Follow up imaging is indicated._x000D_
_x000D_
No findings indicative of metastasis are seen involving the lungs. There is an unusual area of lucency and neighboring opacity involving the caudal aspect of T7, seen in the left lateral view only. This could easily be an artifactual finding. A metastatic bone lesion cannot be entirely excluded.</t>
  </si>
  <si>
    <t>Ultrasound the abdomen to address suspected sublumbar lymphadenopathy and obtain samples for cytologic evaluation is recommended._x000D_
_x000D_
CT could also be considered for more definitive metastasis evaluation. If this is not performed, recheck radiographs of the thorax including the mid thoracic spine are recommended in 4 to 6 weeks.</t>
  </si>
  <si>
    <t>Twelve radiographs of the thorax and abdomen are provided. Images dated 12/29/23 are available for comparison. The cardiac silhouette and pulmonary vessels are normal size and shape. There are mild age-related changes in the lungs. No soft tissue pulmonary nodules or interstitial infiltrates. There is no pleural effusion. Normal tracheal diameter and position. Small volume fluid in the caudal esophagus is transient and of no clinical significance._x000D_
_x000D_
In the abdomen the prostate is not enlarged. The urinary bladder is mildly filled and soft tissue opaque. Formed feces fills the distal colon. Small bowel and stomach are mildly filled. Normal-sized liver, spleen, kidneys. The coxofemoral joints are congruent.</t>
  </si>
  <si>
    <t>There is no contraindication for sedation/general anesthesia based on this study.</t>
  </si>
  <si>
    <t xml:space="preserve">
1.A mild interstitial has been identified._x000D_
2.The cardiac silhouette size is normal._x000D_
3.There is no evidence of DYNAMIC AIRWAY COLLAPSE or BRONCHIECTASIS, PULMONARY NODULES or PLEURAL EFFUSION.</t>
  </si>
  <si>
    <t>A two view study of the thorax is provided for interpretation._x000D_
_x000D_
The heart is at the upper end of normal size range, with normal shape. Vertebral Heart Score is mildly increased at 11.9. The pulmonary vessels are unremarkable. There is a mild bronchointerstitial pulmonary pattern. The appearance is equivocal relative to the age of the patient and the hypoinflation in both views. No tracheal abnormalities are identified. No pulmonary edema is seen.</t>
  </si>
  <si>
    <t>Heart size is borderline, at the upper limit of acceptable range to slightly enlarged. No specific chamber dilation is seen._x000D_
_x000D_
No evidence of heart failure is identified._x000D_
_x000D_
The mild bronchointerstitial pattern is within the limits of age related change, but considering the chronic cough this likely represents chronic allergic bronchitis or low-grade idiopathic chronic bronchitis in this patient.</t>
  </si>
  <si>
    <t>Heart failure is not suspected to be contributing to the cough. Symptomatic therapy is recommended._x000D_
_x000D_
Heart size is borderline. Echocardiography should be considered for more definitive evaluation.</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</si>
  <si>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5.There is no evidence of PERIHILAR INFILTRATE, PULMONARY NODULES or PLEURAL EFFUSION._x000D_
6.Minimal cardiomegaly has been detected but Heart Failure is NOT suspected.</t>
  </si>
  <si>
    <t>Five radiographs of the thorax and abdomen are provided. Images dated 8/15/23 are available for comparison. There is new development of mild generalized cardiomegaly. Pulmonary vessels are normal size. Mild bronchial pattern consistent with age. Thin soft tissue density overlying the cranial thorax on the lateral views is incidental platelike atelectasis. There is no pleural effusion. Moderate narrowed cervical trachea on the right lateral view. No cervicothoracic spinal abnormalities._x000D_
_x000D_
In the abdomen the round soft tissue opaque mass in the cranioventral abdomen is again identified, measuring 5.3 cm today. The mass blends with the splenic tail on both lateral views. Equivocal scant adjacent effusion. No gastric axis deviation. Normal size splenic head and kidneys. The gastrointestinal tract is minimally filled. The urinary bladder is not definitively seen. Narrowed T12-13 and L1-2 intervertebral disc spaces as before, of doubtful significance today. The coxofemoral joints are congruent. The left patella is medially displaced.</t>
  </si>
  <si>
    <t>1. Progressive cranioventral abdominal mass, with suspect scant effusion. Neoplasia such as hemangiosarcoma originating from the spleen is most likely. Pedunculated hepatic mass is next on the differential list. Acute hemorrhage and/or thromboembolic insult may be responsible for the clinical signs._x000D_
2. Mild generalized cardiomegaly, a new development that is most consistent with acquired mitral and tricuspid valve disease. There is no evidence of pulmonary venous congestion or heart failure today. No other thoracic abnormalities._x000D_
3. Cervical tracheal collapse._x000D_
4. Medial patellar luxation on the left.</t>
  </si>
  <si>
    <t>Abdominal ultrasound and cranial nerve assessment is recommended.</t>
  </si>
  <si>
    <t xml:space="preserve">
1.Are respiratory signs present? If NO._x000D_
2.Mild cardiomegaly has been detected but Heart Failure is NOT suspected._x000D_
3.MILD BRONCHOINTERSTITIAL PULMONARY PATTERN WITH ATELECTASIS or LESS LIKELY, PNEUMONIA, MILD PERIHILAR INFILTRATE._x000D_
4.MILD BRONCHOINTERSTITIAL PULMONARY PATTERN; MINIMAL DYNAMIC AIRWAY DISEASE; ATELECTASIS or less likely, pneumonia._x000D_
5.Based on these AI airway/pulmonary findings, the probability of this patient having clinically detectable respiratory signs is MEDIUM (50%)_x000D_
6.Probability these AI pulmonary findings will accompany clinically detectable respiratory signs: MILD TO MODERATE (25-50%)_x000D_
7.Are respiratory signs present? If YES._x000D_
8.Are respiratory signs present? If YES._x000D_
9.Are respiratory signs present? If NO.</t>
  </si>
  <si>
    <t>3 views of the thorax are presented for review and compared with the study dated 7/14/2023.  The cardiovascular structures are normal.  There is a diffuse interstitial pulmonary pattern that is considered appropriate for the age of the patient.  No pulmonary nodules or enlarged intrathoracic lymph nodes are seen.  The pleural and mediastinal structures are normal.  The trachea is narrowed in the cervical region, worse on the left lateral view.  Cranial abdominal detail is adequate.</t>
  </si>
  <si>
    <t xml:space="preserve">
1.MINIMAL BRONCHIAL PATTERN; MINIMAL DYNAMIC AIRWAY DISEASE._x000D_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ALVEOLAR PATTERN, PERIHILAR INFILTRATE or PLEURAL EFFUSION.</t>
  </si>
  <si>
    <t>Nine radiographs are provided, with images of the thorax, antebrachia, abdomen, pelvic limbs. The cardiac silhouette and pulmonary vessels are normal size and shape. A mild bronchial pattern is normal for the age of this patient. There is no pleural effusion or soft tissue pulmonary nodules. Normal tracheal diameter. There is mild degenerative change in the elbows, worse on the right._x000D_
_x000D_
In the abdomen there is abundant ventral peritoneal fat, particularly in the caudal abdomen. Subsequent mild dorsal displacement of the small bowel, urinary bladder, colon. This organ displacement is likely exaggerated due to the large extra-abdominal lipoma. There is a broad-based fat opaque mass in the left inguinal region. This lesion is not completely visible on the study, but measures at least 33 cm. The liver, spleen, left kidney are normal size. The right kidney is obscured. There is formed feces in the colon. The stomach and small bowel are minimally filled. The urinary bladder is distended and soft tissue opaque. The coxofemoral joints are congruent. No narrowed intervertebral disc spaces or foramina. The imaged stifle is normal (no laterality marker present). There is degenerative change in both distal tarsi, worse on the left. There is mild thickened mid aspect of the left common calcaneal tendon. There is no osseous lysis or periosteal proliferation.</t>
  </si>
  <si>
    <t>1. A definitive reason for the clinical signs is not identified. An intervertebral disc protrusion/extrusion is most likely._x000D_
2. Large left inguinal lipomatous mass. These are typically incidental, however at this size is likely to be causing some discomfort and mobility difficulties._x000D_
3. Bilateral distal tarsal osteoarthritis, worse on the left. This, coupled with soft tissue sprain/strain could be responsible for left pelvic limb discomfort. There is mild thickened left common calcaneal tendon which may be due to acute soft tissue insult versus previous/chronic injury. This should be correlated with palpation. No stifle abnormalities on this study._x000D_
4. Bilateral mild shoulder osteoarthritis, worse on the right._x000D_
5. Normal abdomen and thorax.</t>
  </si>
  <si>
    <t>Recommend palpate for spinal discomfort and a neurologic examination. Consultation with a neurologist and advanced spinal imaging such as MRI would be recommended if there are neurologic deficits.</t>
  </si>
  <si>
    <t>Opposite lateral and VD views of the thorax and abdomen are provided._x000D_
_x000D_
Moderate pneumothorax is identified, more of the free gas is seen on the right side. Pleural margins in the ventral lung fields have a loculated appearance with irregular contour, also primarily involving the right side and the accessory lung lobe region. The pulmonary parenchyma has a mild bronchointerstitial pattern of equivocal significance, and no pleural effusion is seen._x000D_
There is an elliptical soft tissue shadow in the right cranial ventral thorax that measures approximately 2 x 4 cm. This is not quite in the location of the expected sternal lymph node, and is also not definitively involving the lung._x000D_
The heart is elevated from the sternum by free thoracic gas. The cardiac silhouette is within normal size and shape limits._x000D_
_x000D_
There is a slight reduction in detail in the abdomen. The organs are within normal size and shape limits. No abdominal mass lesions are seen. The small intestine has moderately increased gas content overall, but no dilation or plication is seen._x000D_
_x000D_
There is moderate thoracolumbar spondylosis. The left fourth rib appears thickened in the VD view, but this is not corroborated in the lateral views and may be artifactual. No fractures or destructive bone lesions are identified.</t>
  </si>
  <si>
    <t>Moderate pneumothorax is present. The loculated irregular appearance of the pleural margins in the right ventral thorax suggestive of chronicity. An inflammatory component or pre-existing anatomic lung pathology should also be ruled out as a cause of this appearance._x000D_
_x000D_
There is an unusual small mass shadow in the right cranial thorax, etiology cannot be determined in the appearance is nonspecific. Possible rule outs would include neoplasia as well as granuloma._x000D_
Considering the original presentation with submandibular pain, the current presence of pneumothorax, and the suspicion of slightly reduced abdominal detail a migrating radiolucent foreign body would be a primary differential for this patient.</t>
  </si>
  <si>
    <t>More advanced imaging is indicated. CT is recommended. The thorax is of primary concern but inclusion of the neck and abdomen is suggested.</t>
  </si>
  <si>
    <t xml:space="preserve">
1.MODERATE BRONCHOINTERSTITIAL PULMONARY PATTERN; MILD PERIHILAR INFILTRATE; MILD DYNAMIC AIRWAY DISEASE; ATELECTASIS or less likely, pneumonia._x000D_
2.Based on the AI airway/pulmonary findings, the probability of this patient having clinically detectable respiratory signs is MEDIUM to HIGH (50%-75%)_x000D_
3.Are respiratory signs present? If YES._x000D_
4.Pleural fissure lines or small volume pleural effusion has been detected. In a mildly overweight animal, excessive pericardial fat can artifactually mimic the result of minimal pleural effusion._x000D_
5.Are respiratory signs present? If NO._x000D_
6.The cardiac silhouette size is normal.</t>
  </si>
  <si>
    <t xml:space="preserve">Patient Name : Stache Lara, Date of study: Jun 27, 2024
3 images are provided for review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mildly tall and occupies 2/3 the height of the thorax.  The trachea is slightly dorsally displaced.  The caudodorsal margin of the cardiac silhouette is slightly flat.  This is not well identified in the ventrodorsal image.
Mediastinum: The cranial mediastinum is normal.
Trachea: The trachea is normal.
Esophagus: The esophagus is not well-identified.
Pleural space: The pleural space is normal.
Musculoskeletal: The included musculoskeletal structures are normal.
</t>
  </si>
  <si>
    <t>1. Minimal-mild left-sided cardiomegaly versus artifact from patient positioning/phase of the cardiopulmonary cycle.
- If present, the primary differential diagnosis is myxomatous mitral valvular disease.
- No current evidence of left-sided congestive heart failure.  
2. Mild diffuse bronchial pulmonary pattern due to fibrosis from prior disease, age-related changes, infectious/immune-mediated lower airway disease, or unlikely other.</t>
  </si>
  <si>
    <t>Echocardiography, ECG and blood pressure for further evaluation, especially if a murmur is later identified.  Routine blood work and urinalysis may be contributory if not recently performed.  Consider respiratory PCR panel and/or airway sampling for further evaluation.  Empirical therapy and supportive care in the interim as needed.  Monitoring as directed or sooner if clinical signs acutely change, fail to improve or worsen.</t>
  </si>
  <si>
    <t>3 views of the thorax are provided for review.  The cardiovascular structures are normal.  There is a moderate bronchial pattern in all lung lobes.  No pulmonary nodules or enlarged intrathoracic lymph nodes are seen.  The mediastinal and pleural structures are normal.  Cranial abdominal detail is adequate.  There is spondylosis deformans of the thoracic spine.</t>
  </si>
  <si>
    <t>Moderate bronchial pulmonary pattern=ZZ90= consider bronchitis, response to inhaled irritants, response to circulating parasites, eosinophilic bronchopneumopathy.  Alveolar septal wall metastasis secondary to mammary neoplasia cannot be completely excluded.</t>
  </si>
  <si>
    <t>1) Unremarkable thorax without signs of cardiomegaly, pulmonary metastases nor signs of thoracic lymphadenopathy.</t>
  </si>
  <si>
    <t>Given the lack of cardiomegaly but age of the patient, consider a cardiology consultation with ECG and echocardiogram.</t>
  </si>
  <si>
    <t>A three view study of the thorax is provided for interpretation._x000D_
_x000D_
The heart is at the upper end of normal size range, with normal shape. VHS = 12.1, at the upper end of normal range for the breed. The pulmonary vessels and parenchyma are unremarkable. No pulmonary infiltrates or pleural effusion are seen. The cranial abdomen is unremarkable.</t>
  </si>
  <si>
    <t>Heart size is at the upper end of normal range. No shape changes indicative of chamber dilation is seen. No pulmonary abnormalities are identified.</t>
  </si>
  <si>
    <t>No treatment is indicated._x000D_
Echocardiography could be considered depending on the intensity of the heart murmur and clinical concern.</t>
  </si>
  <si>
    <t>A three view study of the thorax is provided for interpretation._x000D_
_x000D_
There is a moderate bronchial pulmonary pattern involving all lung fields. The lung pattern is more prominent in the caudal lung fields. The bronchial pattern is partially due to bronchial wall mineralization. A small region of more prominent mineralization is seen in the right caudal lobe. No alveolar infiltrates are identified. No thoracic lymphadenopathy or pleural effusion is seen. The trachea has smooth walls and normal uniform diameter._x000D_
The cardiovascular structures are within normal limits. Vertebral Heart Score = 10.6._x000D_
There is a small quantity of granular mineral/metal dense foreign material in the stomach.</t>
  </si>
  <si>
    <t>There is a moderate bronchial pattern consistent with bronchitis. There is mild mineralization of the bronchial walls suggestive of chronicity._x000D_
_x000D_
Primary outs based on appearance would include infectious bronchitis, allergic bronchitis, and parasitic infection such as lungworms or heartworm disease._x000D_
_x000D_
Considering the severe eosinophilia without evidence of parasitism, immune mediated eosinophilic bronchopneumonpathy or allergic lung disease would be most likely.</t>
  </si>
  <si>
    <t>Immunosuppressive therapy may be indicated in this patient if infectious causes can be ruled out._x000D_
Sampling from the lower airways via bronchoscopy or BAL/TTW is recommended for definitive diagnosis.</t>
  </si>
  <si>
    <t>Three radiographs of the thorax/abdomen are provided. The cardiac silhouette is normal size for this particular breed. The left ventricle appears more prominent on the VD view due to thoracic conformation and mild rotation. A mild bronchial pattern is present throughout the lungs. There are no soft tissue pulmonary nodules or pleural effusion. Tracheal diameter is adequate. Curved gas lucency ventral to the trachea at the thoracic inlet on the 1st lateral view is incidental gas within the esophagus. Mild breed-related congenital vertebral malformations in the mid thoracic spine, incidental. In the abdomen the liver is upper normal size with smooth margins. Normal-sized spleen. The kidneys are incompletely visible. There are numerous smoothly marginated round mineral opaque cystic calculi present. These images are JPEG format, limiting size determination of these calculi. The prostate is moderately enlarged with smooth margins. There are several faint punctate mineral densities overlying the cranial prostate, but also appear to extend cranial to the prostate and are likely superimposed superficial debris. The gastrointestinal tract is moderately filled. Narrowed L2-3 intervertebral disc space with spondylosis deformans, as well as spondylosis deformans in the caudal lumbar spine, likely incidental. The reported dorsal lesion is not definitively seen on this study.</t>
  </si>
  <si>
    <t>1. Small cystic calculi._x000D_
2. Prostatomegaly consistent with benign prostatic hyperplasia. No other abdominal abnormalities._x000D_
3. Normal thorax.</t>
  </si>
  <si>
    <t xml:space="preserve">
1.MODERATE INTERSITIAL TO ALVEOLAR PATTERN; MILD PERIHILAR INFILTRATE._x000D_
2.Based on these AI airway/pulmonary findings, the probability of this patient having clinically detectable respiratory signs is MEDIUM (50%)._x000D_
3.Are respiratory signs present? If YES._x000D_
4.AI linked bacterial pneumonia treatment in dogs: https://platform.v2.vetology.net/doc/pneumonia-in-dogs-and-cats_x000D_
5.Are respiratory signs present? If NO._x000D_
6.The cardiac silhouette size is normal._x000D_
7.There is no evidence of PULMONARY NODULES._x000D_
8.Pleural fissure lines or small volume pleural effusion has been detected. In a mildly overweight animal, excessive pericardial fat can artifactually mimic the result of minimal pleural effusion.</t>
  </si>
  <si>
    <t>4 images of the thorax are provided for review.  The cardiovascular structures are normal.  There is a moderate bronchial pattern in all lung lobes.  Alveolar opacity is present in the right cranial and middle lung lobes.  The trachea is variable in diameter.  The mediastinal and pleural structures are normal.  Cranial abdominal detail is adequate.  The liver margin is rounded and extends beyond the costal arch.</t>
  </si>
  <si>
    <t>Tracheal narrowing suggestive of dynamic tracheal collapse.  Moderate bronchial pulmonary pattern=ZZ90= consider bronchitis, response to inhaled irritants, response to circulating parasites, eosinophilic bronchopneumopathy.  Alveolar pulmonary pattern concerning for concurrent pneumonia, hemorrhage, or neoplasia.  Airway sampling may be helpful in further evaluation.  Hepatomegaly=ZZ90= this is a nonspecific finding that may be seen with congestion, vacuolar hepatopathy, inflammation, neoplasia, etc.  Abdominal ultrasound may be helpful in further evaluation if biochemically indicated.</t>
  </si>
  <si>
    <t xml:space="preserve">
1.Are respiratory signs present? If NO._x000D_
2.Moderate dynamic airway disease has been detected._x000D_
3.SEVERE ALVEOLAR PATTERN; PLEURAL EFFUSION or PLEURAL FISSURE LINES; MODERATE DYNAMIC AIRWAY DISEASE; MILD, DIFFUSE BRONCHOINTERSTITIAL PULMONARY PATTERN._x000D_
4.Based on the AI airway/pulmonary findings, the probability of this patient having clinically detectable respiratory signs is VERY HIGH (&gt;75%)_x000D_
5.Are respiratory signs present? If YES._x000D_
6.A moderate bronchointerstitial pattern, regions of alveolar infiltrate, a mild perihilar infiltrate and concurrent dynamic airway disease (see #2) have been detected._x000D_
7.Moderate cardiomegaly has been detected but Heart Failure is NOT suspected.</t>
  </si>
  <si>
    <t>THORAX (2 total radiographs for review)._x000D_
_x000D_
- The cardiac silhouette and pulmonary vasculature are normal._x000D_
- The pulmonary parenchyma is normal_x000D_
- There is a mild undulation of the trachea in the mid-thoracic region._x000D_
- The esophagus and remainder of the mediastinum is/are normal._x000D_
- The pleural space and remaining intrathoracic structures are normal._x000D_
- There is curvilinear mineral material in the region of the gallbladder._x000D_
- The stomach is moderately distended with gas-stippled soft-tissue opaque material._x000D_
- The remaining cranial abdominal structures are normal._x000D_
- Thin/hypoplastic ribs originating from T13 bilaterally.</t>
  </si>
  <si>
    <t>1. A discrete radiographic cause for the reported coughing and wheezing is not clearly identified. The bronchopulmonary structures are within normal limits, however radiographic sensitivity for lower airway disease can be limited._x000D_
_x000D_
2. Mild undulation of the trachea at the level of the thoracic inlet can be compatible with tracheal collapse, although no overt collapse is noted._x000D_
_x000D_
3. Mineral gallbladder sludge/debris._x000D_
_x000D_
4. Recent meal._x000D_
_x000D_
5. Transitional thoracolumbar vertebral segment.</t>
  </si>
  <si>
    <t xml:space="preserve">
1.A moderate bronchointerstitial pattern with a concurrent alveolar infiltrate and perihilar opacity has been detected._x000D_
2.Probability these AI pulmonary findings will accompany clinically detectable respiratory signs: MEDIUM to HIGH (50-75%%)_x000D_
3.Respiratory signs: YES._x000D_
4.Respiratory signs: NO._x000D_
5.If left atrial enlargement is present, that could contribute to the perihilar finding (see cardiac findings below)._x000D_
6.Pleural fissure lines or small volume pleural effusion has been detected. In a mildly overweight animal, excessive pericardial fat can artifactually mimic the result of minimal pleural effusion._x000D_
7.The cardiac silhouette size is normal.</t>
  </si>
  <si>
    <t>Three orthogonal thoracic radiographs dated 27th June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90% of the dorsoventral diameter of the trachea. The intrathoracic trachea is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The patient is overweight._x000D_
_x000D_
Included abdomen: There is mild smoothly marginated hepatomegaly.</t>
  </si>
  <si>
    <t>1. The dorsal attenuation of the trachea is consistent with tracheomalacia, and/or redundant trachealis membrane. The extent of attenuation would be expected to cause coughing and/or upper respiratory obstruction._x000D_
2. The hepatomegaly is most likely due to vacuolar hepatopathy, or underlying endocrine disease.</t>
  </si>
  <si>
    <t>Consider evaluation for airway collapse (fluoroscopy vs. right lateral inspiratory and expiratory radiographs vs. CT with virtual bronchoscopy). Alternatively consider medical management. Consider surgical consultation depending on clinical progression._x000D_
Obesity predisposes for airway collapse, and reduction of thoracic volume (pickwickian syndrome), reducing pulmonary clearance, therefore weight management is advised.</t>
  </si>
  <si>
    <t>Four orthogonal thoracic radiographs dated 27th June 2024 are available for review. There are no previous radiographs available for comparison. _x000D_
_x000D_
Airway findings: The cervical and thoracic trachea have a normal size, outline and position. The carina, tracheal bifurcation and mainstem bronchi are normal. The pulmonary parenchyma is normal._x000D_
_x000D_
Cardiovascular findings: Superimposed on the base of the cardiac silhouette on the ventrodorsal image there is a smoothly marginated soft tissue opacity of approximately 4 cm diameter. This is not visible in any of the lateral images. The overall size and shape of the cardiac silhouette is normal. The pulmonary vasculature and mainstem vessels are normal. The spherical soft tissue opacity is in the region of the pulmonary artery._x000D_
_x000D_
Mediastinum and pleural space: There is mild gas in the cranial oesophagus._x000D_
_x000D_
Musculoskeletal findings: There is mild increased ventral pleural fat._x000D_
_x000D_
Included abdomen: No significant abnormalities are detected.</t>
  </si>
  <si>
    <t>1. Differentials for the spherical opacity include a prominent/enlarged pulmonary artery, or heart base or cranial mediastinal mass. Considering this is not visible on the lateral images, a prominent pulmonary artery should be considered first. This may be positional, enlargement secondary to pulmonary hypertension, heart worm, unlikely PDA. A cranial mediastinal mass or a pulmonary mass may be primary or metastatic, mediastinal lymphadomegaly, other. Otherwise no nodules or masses are seen.</t>
  </si>
  <si>
    <t>Consider echocardiography or thoracic CT. Alternatively consider radiographic monitoring.</t>
  </si>
  <si>
    <t>Study:_x000D_
Thoracic radiography: three images dated June 27, 2024_x000D_
_x000D_
Findings:_x000D_
The cardiac silhouette and pulmonary vasculature are normal in size. The pulmonary parenchyma is unremarkable. The pleural space is normal. There is no intrathoracic lymphadenopathy. There is a broad-based soft tissue opaque band superimposed with the dorsal aspect of the cervical trachea lumen on the left lateral projection likely representing a redundant dorsal tracheal membrane. The cervical trachea lumen is widened on the right lateral projection in comparison to the left lateral view. The included abdomen is unremarkable. No skeletal abnormalities are present. The patient is of obese body condition.</t>
  </si>
  <si>
    <t>1. While there is no trachea lumen narrowing. The relative dilation of the cervical trachea lumen on the right lateral projection in the redundant dorsal tracheal membrane are indicators of chondromalacia. Fluoroscopy can be considered to further evaluate for concomitant dynamic airway disease/tracheal collapse._x000D_
2. Unremarkable thorax. There is no radiographic evidence of cardiopulmonary disease. The lack of a bronchial pulmonary pattern does not exclude the possibility of lower airway disease.</t>
  </si>
  <si>
    <t xml:space="preserve">
1.MINIMAL to MILD BRONCHOINTERSTITIAL PULMONARY PATTERN; MILD DYNAMIC AIRWAY DISEASE; MILD PERIHILAR INFILTRATE._x000D_
2.Based on these AI airway/pulmonary findings, the probability of this patient having clinically detectable respiratory signs is LOW to MEDIUM (25-50%)_x000D_
3.Minimal cardiomegaly has been detected but Heart Failure is NOT suspected._x000D_
4.There is no evidence of PULMONARY NODULES._x000D_
5.Are respiratory signs present? If YES._x000D_
6.Are respiratory signs present? If NO.</t>
  </si>
  <si>
    <t>Ten radiographs are provided, with images of the thorax, abdomen, pelvis, and stifles. Images dated 12/7/23 were reviewed. The cardiac silhouette and pulmonary vessels are normal size. There are mild age-related changes in the lungs. No soft tissue pulmonary nodules or pleural effusion. Degenerative costochondral junctions causes the appearance of small increased opacities overlying the ventral lungs on the lateral views. Normal tracheal diameter and cranial mediastinal width. Mineralization cranial to the left shoulder as before, of doubtful significance today. The patient is overweight, with moderate volume subcutaneous fat._x000D_
_x000D_
In the abdomen there is a round 4.8 cm soft tissue opacity medial to the splenic head on the VD view, seen dorsal to the splenic tail on the right lateral view. Normal-sized liver. The kidneys are obscured. The gastrointestinal tract is mildly filled. No radiopaque cystic calculi. No narrowed intervertebral disc spaces. No endplate lysis. There is moderate degenerative change in the left coxofemoral joint, with mild degenerative change in the right coxofemoral joint. Patella location is normal. Pelvic limb musculature is symmetric. There is moderate volume fluid in the left stifle, and small volume fluid in the right stifle. Punctate mineral density overlies the cranial aspect of the right stifle joint. There is mild stifle degenerative change on the left side.</t>
  </si>
  <si>
    <t>1. Splenic mass lesion, slightly increased in size compared to the previous study. Neoplasia such as hemangiosarcoma is of concern. Lymphoid hyperplasia is given secondary consideration._x000D_
2. Bilateral stifle effusion consistent with cranial cruciate ligament tear/rupture. This is worse on the left._x000D_
3. Bilateral coxofemoral osteoarthritis, worse on the left. This could also be contributing to discomfort._x000D_
4. Normal thorax.</t>
  </si>
  <si>
    <t>Recommend weight management and abdominal ultrasound. If the patient develops significant lameness and palpable stifle instability, surgical stabilization would be recommended.</t>
  </si>
  <si>
    <t>Four lateral survey radiographs of the thorax and abdomen dated 27th June 2024 are available for review. There are no previous radiographs available for comparison. No history is provided._x000D_
_x000D_
Thorax: _x000D_
Airway findings: The cervical and thoracic trachea have a normal size, outline and position. The carina, tracheal bifurcation and mainstem bronchi are normal. The pulmonary parenchyma has a mild bronchial pattern. Several smoothly marginated masses are visible in the cranial aspect of the thorax ventral to the trachea. Position cannot be ascertained due to absence of a ventrodorsal image._x000D_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 masses may be pulmonary or mediastinal._x000D_
_x000D_
Abdomen: The hepatic silhouette is mildly enlarged with smooth borders. The tail of the spleen is severely enlarged with smooth borders. The head cannot be evaluated. The stomach contains a moderate amount of granular food material. The small intestines are distributed evenly and are within normal limits for shape, size and contents. The ascending, transverse and descending colon have a normal position. The serosal detail is mildly decreased. In the caudal dorsal abdomen there is a poorly marginated nodular soft tissue mass. _x000D_
_x000D_
Musculoskeletal findings: No significant abnormalities are detected.</t>
  </si>
  <si>
    <t>1. Cranial pulmonary or mediastinal masses: These are most likely metastatic neoplasia, metastatic lymphadomegaly._x000D_
2. Splenomegaly: In this case, metastatic neoplasia is prioritised, however passive congestion from sedation (if administered), splenitis, extramedullary hematopoiesis, lymphoid hyperplasia is possible._x000D_
3. Medial iliac lymphadenomegaly or colonic lymphadomegaly: This is most likely metastatic, or a primary lymphoma.</t>
  </si>
  <si>
    <t>A thoraco abdominal contrast enhanced CT is advised for further staging, or a complete abdominal ultrasonographic examination with a view to FNA of abnormal organs, after complete blood work, and a normal coagulation panel.</t>
  </si>
  <si>
    <t xml:space="preserve">
1.MODERATE INTERSTITIAL TO ALVEOLAR PATTERN; MODERATE BRONCHITIS._x000D_
2.Based on the AI airway/pulmonary findings, the probability of this patient having clinically detectable respiratory signs is MEDIUM to HIGH (50-75%)_x000D_
3.Are respiratory signs present? If YES._x000D_
4.Are respiratory signs present? If NO._x000D_
5.The evaluation has a strong suspicion of pulmonary nodules or mass lesion being present._x000D_
6.The cardiac silhouette size is normal._x000D_
7.Pleural fissure lines or moderate pleural effusion has been detected. An overlying skin fold or in a moderately overweight animal, excessive pericardial fat could artifactually mimic the result of moderate pleural effusion.</t>
  </si>
  <si>
    <t>Six radiographs of the thorax and abdomen are provided. The patient is overweight with moderate to large volume subcutaneous fat. Transient severe narrowed cervical and cranial thoracic trachea. The cardiac silhouette is normal size and shape. Pulmonary vessels are normal size. No abnormalities in the pulmonary parenchyma. No pleural effusion. In the abdomen there is moderate volume of soft tissue opaque ingesta in the stomach. Small bowel are minimally filled. Formed feces in the distal colon. Normal-sized liver, spleen, kidneys. Round 0.3 cm mineral density overlying the urinary bladder may be superimposed intestinal contents.</t>
  </si>
  <si>
    <t>1. Dynamic severe cervical and thoracic tracheal collapse, the most likely cause for respiratory signs. No other thoracic abnormalities._x000D_
2. Possible small cystic calculus, of a size that should be able to pass the urethra. Otherwise normal abdomen.</t>
  </si>
  <si>
    <t>Recommend symptomatic treatment for the cough. This patient may benefit from utilization of a body harness in place of a neck lead, symptomatic treatment for the cough, and reducing excitement. Strongly recommend weight management.</t>
  </si>
  <si>
    <t xml:space="preserve">
1.MINIMAL to MILD BRONCHOINTERSTITIAL PULMONARY PATTERN; POTENTIAL FOR FOCAL ATELECTASIS._x000D_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PULMONARY NODULES.</t>
  </si>
  <si>
    <t>Three radiographs of the thorax and two lateral views of the abdomen are provided. The cardiac silhouette and pulmonary vessels are normal size. Mild unstructured interstitial pattern and a few pulmonary osteomas is normal for the age of this patient. There is no pleural effusion or intrathoracic lymphadenomegaly. Normal cranial mediastinal width and tracheal diameter._x000D_
_x000D_
In the abdomen there is small volume gas in the stomach and throughout the small bowel. Round soft tissue contour in the cranioventral abdomen on the right lateral view is fluid within the pylorus. Formed feces in the colon. Normal size liver. The spleen and kidneys are obscured. No radiopaque cystic calculi. No medial iliac lymphadenomegaly. There is punctate mineral density overlying the L2-3 intervertebral foramen. No other spinal abnormalities. The visible coxofemoral joints are unremarkable.</t>
  </si>
  <si>
    <t>1. The appearance of L2-3 is suggestive of a protruding/extruded intervertebral disc. Such a lesion at this or another site is the most likely cause for the pelvic limb deficits._x000D_
2. Normal abdomen and thorax.</t>
  </si>
  <si>
    <t xml:space="preserve">
1.A minimal to mild bronchointerstitial pulmonary pattern has been detected._x000D_
2.There is no evidence of PERIHILAR INFILTRATE, DYNAMIC AIRWAY COLLAPSE or BRONCHIECTASIS or PLEURAL EFFUSION._x000D_
3.Minimal cardiomegaly has been detected but Heart Failure is NOT suspected.</t>
  </si>
  <si>
    <t>Orthogonal views of the thorax are provided:_x000D_
_x000D_
Thorax:_x000D_
_x000D_
Cardiac silhouette has a normal shape and size._x000D_
Pulmonary vessels are within normal limits of size and shape._x000D_
Pulmonary parenchyma shows a solitary large irregularly shaped mass consolidating the left cranial lung lobe. The rest of the lung lobes display a generalized bronchial pattern with peribronchial cuffing with questionable pulmonary nodules._x000D_
Pleural space, mediastinum, diaphragm and thoracic wall within normal limits.</t>
  </si>
  <si>
    <t>1) Solitary pulmonary mass in the  lung lobe most consistent with a solitary primary pulmonary neoplasia (carcinoma vs hystiocytic sarcoma) vs other differentials such as solitary pulmonary metastatic nodule, granuloma, abscess or hamartoma are less likely. _x000D_
2) Bronchial pattern compatible with chronic lower airway disease. Peribronchial cuffing and suspected ill defined nodules compatible with lymphangitis carcinomatosis.</t>
  </si>
  <si>
    <t xml:space="preserve">
1.Based on these AI airway/pulmonary findings, the probability of this patient having clinically detectable respiratorysigns is VERY HIGH (&gt;75%)_x000D_
2.The evaluation has a strong suspicion of soft tissue pulmonary nodules or mass lesion being present._x000D_
3.Are respiratory signs present? If YES._x000D_
4.SEVERE INTERSTITIAL TO ALVEOLAR PATTERN; PULMONARY NODULES OR MASS LESION; PLEURAL FLUID or PLEURAL THICKENING; MILD BRONCHIAL PATTERN; MINIMAL DYNAMIC AIRWAY DISEASE._x000D_
5.Are respiratory signs present? If NO._x000D_
6.The cardiac silhouette size is normal._x000D_
7.Are respiratory signs present? If NO._x000D_
8.PULMONARY NODULES or NODULAR PATTERN; MODERATE TO SEVERE INTERSTITIAL TO ALVEOLAR PATTERN; PLEURAL EFFUSION; MILD BRONCHITIS; MILD PERIHILAR INFILTRATE._x000D_
9.Based on the AI airway/pulmonary findings, the probability of this patient having clinically detectable respiratory signs is VERY HIGH (&gt;75%)_x000D_
10.The evaluation has come up positive for a pulmonary nodular pattern and pleural fissure lines or pleural effusion._x000D_
11.Are respiratory signs present? If YES.</t>
  </si>
  <si>
    <t>Three radiographs of the thorax are provided. Images dated 7/12/23 are available for comparison. The heart and pulmonary vessels are normal size and shape. There are mild age-related changes throughout the lungs. No soft tissue pulmonary nodules or pleural effusion. There is small volume fat deposition in the cranioventral pleural space. Small volume fluid in the caudal esophagus is transient and incidental. Moderate narrowed cervical trachea on the left lateral view, of doubtful significance today. Osteoarthritis in both elbows. Normal cranial abdomen.</t>
  </si>
  <si>
    <t xml:space="preserve">
1.A mild bronchointerstitial pulmonary pattern and minimal dynamic airway disease have been detected._x000D_
2.Minimal dynamic airway disease has been detected._x000D_
3.The cardiac silhouette size is normal.</t>
  </si>
  <si>
    <t>Three orthogonal survey radiographs of the thorax and abdomen dated 27th June 2024 are available for review. There are no previous radiographs available for comparison. The thorax is incompletely included and obliqued on most images, limiting interpretation._x000D_
_x000D_
Thorax: _x000D_
Airway findings: The cervical and thoracic trachea have a normal size, outline and position. The carina, tracheal bifurcation and mainstem bronchi are normal. The pulmonary parenchyma is normal.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stomach is empty with some gas. The rugal folds are subjectively prominent. There is appropriate gas in the pyloric region on the left lateral image. The small intestines are variably filled with gas and fluid/soft tissue opaque material. The descending colon is moderately to severely distended with compacted faeces. The urinary bladder is distended. The serosal detail is normal. The hepatic silhouette is normal in size with smooth borders. The spleen is normal in shape, size and position. The kidneys are partially obscured by gastrointestinal contents, but the visible aspect are normal._x000D_
_x000D_
Musculoskeletal findings: No significant abnormalities are detected.</t>
  </si>
  <si>
    <t>1. Moderate constipation. There is no evidence for a space occupying lesion in the pelvis. This may be due to diet/activity. A peripheral neuropathy is considered unlikely._x000D_
2. Distended bladder, likely secondary to the constipation.</t>
  </si>
  <si>
    <t>Empiric management of constipation is advised. supportive dietary management. Depending on recurrence, consider an abdominal ultrasonographic examination.</t>
  </si>
  <si>
    <t>Opposite lateral and VD views of the thorax and abdomen are provided._x000D_
_x000D_
The cardiovascular structures are within normal limits. No pulmonary infiltrates or pleural effusion are identified. No tracheal or esophageal abnormalities are seen. There is no thoracic lymphadenopathy._x000D_
_x000D_
The abdominal organs are all within normal size and shape limits. No mass effect or loss of detail are seen in the abdomen. Rugal folds in the stomach are mildly prominent. No dilation of the stomach or intestine is identified._x000D_
_x000D_
Disc spaces in the thoracolumbar region appears slightly narrowed. The appearance is subtle and equivocal. No destructive or productive bone lesions are identified.</t>
  </si>
  <si>
    <t>No radiographic abnormalities felt to be clinically significant are identified. There are no changes that would explain the fever or clinical signs.</t>
  </si>
  <si>
    <t>CNS pathology or systemic infectious/inflammatory disease should be ruled out._x000D_
Supportive care is recommended.</t>
  </si>
  <si>
    <t>Six orthogonal survey radiographs of the thorax and abdomen dated 27th June 2024 are available for review. There are no previous radiographs available for comparison. _x000D_
_x000D_
Thorax: _x000D_
Airway findings: A smoothly marginated soft tissue opacity is variably present overlying the dorsal aspect of the trachea at the thoracic inlet. This opacity reduces approximately 50% of the dorsoventral diameter of the trachea. The intrathoracic trachea is normal. The pulmonary parenchyma has a minimal bronchointerstitial opacification. The thorax is hypoinflated._x000D_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increased cranial mediastinal fat._x000D_
_x000D_
Abdomen: The hepatic silhouette is normal in size with smooth borders. The spleen is normal in shape, size and position. The kidneys are partially obscured by gastrointestinal contents, but the visible aspect are normal. The stomach contains kibble and has a normal axis. The duodenum is mildly distended in the ventral dorsal image. The small intestines are distributed evenly and are within normal limits for shape, size and contents. The ascending, transverse and descending colon have a normal position. The descending colon and rectum is moderately dilated. The urinary bladder is filled. The serosal detail is normal._x000D_
_x000D_
Musculoskeletal findings: The patient is morbidly obese. There are ventral cutaneous masses, consistent with the mammary mass as reported.</t>
  </si>
  <si>
    <t>1. The dorsal attenuation of the trachea is consistent with tracheomalacia, and/or redundant trachealis membrane. The extent of attenuation would be expected to cause coughing._x000D_
2. Negative metastasis check._x000D_
3. Mild constipation likely due to inactivity. The mildly distended duodenum is likely transient filling. Pancreatitis is possible._x000D_
4. Mammary masses._x000D_
5. The bronchointerstitial opacification is most likely due to hypoinflation and body habitus in absence of any respiratory disease.</t>
  </si>
  <si>
    <t>Consider evaluation for airway collapse (fluoroscopy vs. right lateral inspiratory and expiratory radiographs vs. CT with virtual bronchoscopy). Alternatively consider medical management. Consider surgical consultation depending on clinical progression. _x000D_
Obesity predisposes for airway collapse, and reduction of thoracic volume (pickwickian syndrome), reducing pulmonary clearance, therefore weight management is indicated.</t>
  </si>
  <si>
    <t>Three radiographs of the neck/thorax are provided. There is a poorly delineated approximately 6.6 cm area of severe soft tissue swelling ventral to the caudal mandibles and larynx. Numerous small gas lucencies within this swelling. The hyoid bones are poorly delineated due to superimposed swelling and gas, however there appears to be increased distance between the ceratohyoid and basihyoid bones on the 2nd lateral view. The basihyoid bone also appears further cranially positioned than expected on this projection. No radiopaque foreign material. No skull fractures. Normal tracheal diameter. The cardiac silhouette and pulmonary vessels are normal size. Cranial pulmonary vessels have faint stippled mineralization, likely incidental. No abnormalities in the pulmonary parenchyma. Small round increased opacities cranioventral to the heart are end-on pulmonary vessels. Normal cranial abdomen.</t>
  </si>
  <si>
    <t>Submandibular soft tissue swelling and emphysema consistent with puncture wounds. There may be hemorrhage and/or abscess formation. There is also concern for hyoid fracture/subluxation. No thoracic abnormalities.</t>
  </si>
  <si>
    <t>Recommend palpate during swallowing to confirm the patient is able to swallow. Sedation and visual inspection of the pharyngeal/laryngeal region is recommended. Advanced cross-sectional imaging of the head/neck with computed tomography may be necessary.</t>
  </si>
  <si>
    <t xml:space="preserve">
1.Minimal dynamic airway disease has been detected._x000D_
2.The cardiac silhouette size is normal._x000D_
3.There is no evidence of BRONCHITIS, ALVEOLAR PATTERN, PULMONARY NODULES or PLEURAL EFFUSION.</t>
  </si>
  <si>
    <t>Two orthogonal thoracic radiographs dated 27th June 2024 are available for review. There are no previous radiographs available for comparison. _x000D_
_x000D_
Airway findings: The cervical and thoracic trachea have a normal size, outline and position. The carina, tracheal bifurcation and mainstem bronchi are normal. There is a mild diffuse bronchointerstitial pattern._x000D_
_x000D_
Cardiovascular findings: There is a small smoothly marginated soft tissue opacity contiguous with the caudal dorsal border of the cardiac silhouette. A soft tissue opacity is superimposed on the caudal cardiac silhouette in the dorsoventral image. There is a mild reverse D conformation of the ventrodorsal image. The pulmonary vessels as well as the mainstem vasculature are normal._x000D_
_x000D_
Mediastinum and pleural space: No significant abnormalities are detected._x000D_
_x000D_
Musculoskeletal findings: No significant abnormalities are detected._x000D_
_x000D_
Included abdomen: No significant abnormalities are detected.</t>
  </si>
  <si>
    <t>1. Mild left and right-sided cardiomegaly, likely due to tricuspid and mitral insufficiency, as previously documented. Evidence for cardiac insufficiency is equivocal. The bronchointerstitial opacification may be due to early cardiogenic pulmonary oedema. Alternatively, fibrosis from previous disease, allergic bronchitis, chronic bacterial /viral bronchitis +/- parasitic bronchitis should also be considered. Less likely are hyperardenocorticism, neoplasia (such a lymphoma) or idiopathic pulmonary fibrosis.</t>
  </si>
  <si>
    <t xml:space="preserve">
1.A minimal interstitial pattern has been detected._x000D_
2.Mild cardiomegaly has been detected but Heart Failure is NOT suspected._x000D_
3.There is no evidence of BRONCHITIS, ALVEOLAR PATTERN, PERIHILAR INFILTRATE or PLEURAL EFFUSION.</t>
  </si>
  <si>
    <t>Orthogonal views of the abdomen are provided:_x000D_
_x000D_
Abdomen:_x000D_
_x000D_
The stomach is distended with food and gas._x000D_
Small intestines are fluid filled, not overtly distended. No signs of mechanical ileus._x000D_
Serosal detail is preserved._x000D_
Liver and spleen are within normal limits of size and smoothly marginated._x000D_
Kidneys and urinary bladder WNL._x000D_
_x000D_
Unremarkable thorax and spine.</t>
  </si>
  <si>
    <t>1) Unformed feces in the colon. Rule out HGE vs IBD flare up vs gastroenterocolitis of allergic/inflammatory/idiopathic origin vs pancreatitis.</t>
  </si>
  <si>
    <t>Consider IV fluids and abdominal US to further evaluate causes of the reported GI signs.</t>
  </si>
  <si>
    <t>Three orthogonal thoracic radiographs dated 26th June 2024 are available for review. There are no previous radiographs available for comparison. _x000D_
_x000D_
Thorax:_x000D_
Airway findings: The trachea is elevated within the thorax. Throughout the lung parenchyma there is a moderate bronchointerstitial opacification.  No nodules or masses are seen._x000D_
_x000D_
Cardiovascular findings: The overall cardiac silhouette is enlarged. There is a moderate sized smoothly marginated soft tissue opacity contiguous with the caudal dorsal border of the cardiac silhouette. A smoothly marginated soft tissue opacity is superimposed on the caudal cardiac silhouette in the dorsoventral image.   The cardiac silhouette occupies over 80% of the width of the thoracic volume. There is increased cardiac sternal contact. The cranial and caudal pulmonary vasculature are within normal limits. There is mineralisation of some of the cranial pulmonary vessels.. The caudal vena cava is enlarged._x000D_
_x000D_
Mediastinum and pleural space: No significant abnormalities are detected._x000D_
_x000D_
Musculoskeletal findings: There is extensive lumbosacral spondylosis deformans._x000D_
_x000D_
Included abdomen: No significant abnormalities are detected.</t>
  </si>
  <si>
    <t>1.Generalised cardiomegaly with pulmonary venous distension and cardiogenic pulmonary edema consistent with left sided congestive heart failure. Ddx: myxomatous degeneration of the mitral (+- tricuspid) valves with post-capillary pulmonary hypertension vs systolic dysfunction (DCM). _x000D_
2. The bronchointerstitial opacification is most likely due to cardiogenic pulmonary oedema. Lower airway infectious/inflammatory disease is less likely. Some of the signs for cardiac insufficiency such as normal pulmonary vasculature is likely due to the current medication.</t>
  </si>
  <si>
    <t>Complete bloodwork if not already performed. Management for left sided congestive heart failure including alteration of diuretic therapy with oxygen support as needed. ECG and systemic blood pressure monitoring. Recommend repeat thoracic radiographs after 24-48 hours of therapy, sooner if clinically indicated. Continued monitoring of renal values and urinalysis._x000D_
Once stabilized, an echocardiogram is recommended.</t>
  </si>
  <si>
    <t xml:space="preserve">
1.MODERATE BRONCHOINTERSTITIAL PULMONARY PATTERN; MILD PERIHILAR INFILTRATE; MILD DYNAMIC AIRWAY DISEASE; ATELECTASIS or less likely, pneumonia._x000D_
2.Based on the AI airway/pulmonary findings, the probability of this patient having clinically detectable respiratory signs is MEDIUM to HIGH (50%-75%)_x000D_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6.Mild cardiomegaly has been detected but Heart Failure is NOT suspected.</t>
  </si>
  <si>
    <t xml:space="preserve">Patient Name : Kujo Wann, Date of study: Jun 26, 2024
11 images are provided for review
There are no previous radiographs for comparison.
Bones/Joints:
In the lateral image of the head, there is a linear lucent defect in the dorsal aspect of the skull, in the region of the parietal to occipital bones.  A small ovoid mineral opacity is just dorsal to this defect.  This defect does not extend full thickness into the calvarial vault.  this is suspected to superimpose over the right parietal/temporal bones from lateral to just over midline in the ventrodorsal image.
There is no evidence of intervertebral disc space narrowing, or mineral over the intervertebral foramina.  
There is no evidence of medullary sclerosis, osteolysis, endosteal scalloping, or periosteal proliferation.
Soft tissues:  The soft tissues dorsal to the head are subjectively enlarged.  Suspected gas foci are superimposed over these tissues in the lateral image. the right globe is rostrolaterally displaced and the right orbital soft tissues are enlarged.   The remaining included soft tissues are normal.
</t>
  </si>
  <si>
    <t>1. Suspected right parietal/temporal bone linear fracture extending across mid-line.
2. Right-sided and dorsal soft tissue swelling of the head, and suspicious for emphysema, such as from recent trauma, or unlikely abscess or other.
3. No evidence of intervertebral disc disease or other spinal abnormalities.</t>
  </si>
  <si>
    <t>Consider MRI versus computed tomography and neurologist consultation as soon as possible.  Empirical therapy and supportive care in the interim as needed such as for intra-cranial swelling versus hematoma or other, especially given reported seizure activity.  Monitoring as directed or sooner if clinical signs acutely change, fail to improve or worsen.</t>
  </si>
  <si>
    <t xml:space="preserve">
1.A moderate interstitial to alveolar pattern has been detected._x000D_
2.The cardiac silhouette size is normal._x000D_
3.There is no evidence of BRONCHITIS, PERIHILAR INFILTRATE or DYNAMIC AIRWAY COLLAPSE or BRONCHIECTASIS.</t>
  </si>
  <si>
    <t xml:space="preserve">Patient Name : Cody Newton, Date of study: Jun 26, 2024
3 images are provided for review
Canine Thorax (3 Images) - 2 Lateral, 1 Vd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moderately tall and occupies over 2/3 the height of the thorax.  The trachea is dorsally displaced.  The caudodorsal margin of the cardiac silhouette is flattened.  Rounded increased soft tissue is present in the region of the left atrium in the ventrodorsal image.  
Mediastinum: The cranial mediastinum is normal.
Trachea: The trachea is normal.
Esophagus: The esophagus is not well-identified.
Pleural space: Thin pleural fissure lines that do not widen in the periphery of the lungs are present between the right middle/caudal and left cranial/caudal lung lobes in the ventrodorsal image.  
Musculoskeletal: Multifocal thoracolumbar spondylosis deformans is present.   The remaining included musculoskeletal structures are normal.
</t>
  </si>
  <si>
    <t>1. Moderate left-sided cardiomegaly such as from myxomatous mitral valvular disease and insufficiency.
- There is no current evidence of left-sided congestive heart failure.  
2. Mild diffuse bronchial pulmonary pattern due to fibrosis from prior disease, age-related changes, infectious/immune-mediated lower airway disease, or less likely other.
3. Thin pleural fissure lines such as from incidental tangential beam artifact  or pleural thickening/folding, or unlikely scant pleural fluid.</t>
  </si>
  <si>
    <t>Echocardiography, ECG and blood pressure for further evaluation.  Routine blood work and urinalysis if not recently performed.  Empirical therapy and supportive care in the interim as needed.  Monitoring as directed or sooner if clinical signs acutely change, fail to improve or worsen.</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</si>
  <si>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PULMONARY NODULES.</t>
  </si>
  <si>
    <t>Right lateral thorax views that include the neck, and end expiratory left lateral view, and VD thorax views are provided for interpretation._x000D_
_x000D_
There is moderate to severe dynamic narrowing of the cervical trachea in the inspiratory views. In the expiratory left lateral view, there is severe intrathoracic tracheal collapse, persistent narrowing of the cervical trachea, and severe collapse of the mainstem bronchi._x000D_
Bronchial markings in the lungs are mildly increased but within the limits of age related change._x000D_
The cardiovascular structures are within normal limits._x000D_
An irregular mineral density is identified in the right liver consistent with a large irregular calculus or several small calculi in the gallbladder.</t>
  </si>
  <si>
    <t>There is evidence of moderate to severe dynamic tracheal and mainstem bronchial collapse that would be the most likely explanation for the coughing in this patient._x000D_
No changes indicative of pulmonary or cardiovascular disease are identified. Concurrent allergic lung disease could still be present._x000D_
_x000D_
There is abnormal mineral dense content in the gallbladder.</t>
  </si>
  <si>
    <t xml:space="preserve">
1.MODERATE BRONCHOINTERSTITIAL PULMONARY PATTERN; MODERATE DYNAMIC AIRWAY DISEASE; MODERATE ALVEOLAR INFILTRATE or ATELECTASIS._x000D_
2.Based on these AI airway/pulmonary findings, the probability of this patient having clinically detectable respiratory signs is HIGH (75%)_x000D_
3.Are respiratory signs present? If YES._x000D_
4.Pleural fissure lines or moderate to severe pleural effusion has been detected. An overlying skin fold or in an obese animal, excessive pericardial fat could artifactually mimic the result of severe pleural effusion._x000D_
5.Are respiratory signs present? If NO._x000D_
6.The cardiac silhouette size is normal.</t>
  </si>
  <si>
    <t>Orthogonal views of the thorax are provided:_x000D_
_x000D_
Thorax:_x000D_
_x000D_
No signs of tracheal collapse._x000D_
Cardiac silhouette shows a mild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t>
  </si>
  <si>
    <t xml:space="preserve">
1.A mild interstitial to alveolar infiltrate has been detected._x000D_
2.The cardiac silhouette size is normal._x000D_
3.There is no evidence of PERIHILAR INFILTRATE, DYNAMIC AIRWAY COLLAPSE or BRONCHIECTASIS or PULMONARY NODULES.</t>
  </si>
  <si>
    <t>4 views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mild amount of gas.  The small bowel is normal and uniform in diameter.  A mild amount of stool is noted in the colon.  The liver appears moderately enlarged extending down the costal arch with rounded caudal ventral serosal margins.  The head of the spleen appears within normal limits.  The renal silhouettes and urinary bladder are normal.  Serosal detail is adequate._x000D_
No osseous abnormalities are seen.</t>
  </si>
  <si>
    <t>Moderate hepatomegaly.  This is most consistent with vacuolar hepatopathy, inflammation, or possibly neoplasia.  Nonspecific gastroenteritis pancreatitis is not excluded as a cause of the clinical signs._x000D_
Radiographically normal thorax.</t>
  </si>
  <si>
    <t>Correlation with blood work may be helpful.  An abdominal ultrasound could be considered for further evaluation.</t>
  </si>
  <si>
    <t>Orthogonal views of the thorax, two VD pelvis views, and lateral views of both hind limbs are provided for interpretation._x000D_
_x000D_
Musculoskeletal: The proximal diaphysis of both femurs has a general reduction in overall bone density with moderately coarse trabeculation. These changes are more prominent in the left femur, and the left femur also has a focal area of more prominent slightly expansile bulging of the cranial cortex with septated areas of lucency. The subjective impression is of a benign lesion rather than an active aggressive process._x000D_
_x000D_
Both hip joints and the rest of the pelvis are unremarkable. Both stifle joints are within normal limits._x000D_
_x000D_
There is mild to moderate chronic remodeling involving the calcaneal tuber in both hind limbs. The left distal calcaneal tendon has mild swelling. The right has slight swelling._x000D_
_x000D_
Thorax: The cardiovascular structures are within normal limits. No pulmonary infiltrates or nodules are identified. No pleural effusion or thoracic lymphadenopathy is seen.</t>
  </si>
  <si>
    <t>1) There is generalized lucency and coarse trabeculation in the same location of the proximal diaphysis of both femurs. The left femur is more prominently affected, and also has a septated and mildly expansile appearance involving the cranial cortex._x000D_
Considering the bilateral symmetry, these changes are suspected to be the result of a developmental disturbance of the bone growth at a young age (possibly due to a nutritional or metabolic abnormality) or a previous traumatic injury._x000D_
_x000D_
An active destructive process such as neoplasia (especially lymphoreticular neoplasia) or infection cannot be excluded as a less likely possibility._x000D_
An active process becomes a more prominent consideration if the reported gait abnormality is a new or progressive problem._x000D_
_x000D_
2) The cardiopulmonary structures are within normal limits.</t>
  </si>
  <si>
    <t>No contraindication to the proposed anesthesia for abscess management is identified._x000D_
_x000D_
The bilateral femur changes are suspected to be a quiescent incidental finding._x000D_
Recheck radiographs of the area is recommended in 6-8 weeks to rule out progressive changes, sooner if relevant clinical signs worsen.</t>
  </si>
  <si>
    <t>A three view study of the thorax including the neck is provided for interpretation._x000D_
_x000D_
There is severe heart enlargement. The shape of the heart is consistent with bilateral chamber distention. Ventricles and atrial chambers appear enlarged._x000D_
The right caudal lobe pulmonary artery is mildly enlarged. The right caudal lobe vein appears slightly distended and mildly tortuous. Other pulmonary vessels are within normal limits._x000D_
The left cranial lung field appears obscured with soft tissue opacity in the VD view, but no pulmonary infiltrates or mass effect that would correspond are seen in the lateral views in this area. No tracheal or laryngeal abnormalities are identified. The right caudal lobe bronchus appears moderately compressed secondary to the left atrial distention in the VD view.</t>
  </si>
  <si>
    <t>Increased opacity in the left cranial lung field in the VD view is suspected to be an artifactual change since no corresponding opacity is seen in either the lateral views. Pulmonary atelectasis secondary to a bronchial obstruction or infarct in this area still cannot be excluded. The other lung fields are unremarkable._x000D_
_x000D_
The cardiomegaly is severe, and likely involves all chambers._x000D_
No pulmonary edema or pleural effusion is identified to support heart failure as a cause of the suspected breathing abnormalities.</t>
  </si>
  <si>
    <t>Continued medical management for the cardiac disease is recommended. No indication to change the medical regimen is seen in this study.</t>
  </si>
  <si>
    <t xml:space="preserve">
1.Are respiratory signs present? If YES._x000D_
2.Are respiratory signs present? If NO._x000D_
3.Are respiratory signs present? If NO._x000D_
4.A mild perihilar infiltrate has been detected._x000D_
5.SEVERE INTERSTITIAL TO ALVEOLAR PATTERN; SEVERE DYNAMIC AIRWAY DISEASE; MILD BRONCHIAL PATTERN._x000D_
6.MODERATE INTERSTITIAL TO ALVEOLAR INFILTRATE; MILD BRONCHIAL PATTERN; MILD PERIHILAR INFILTRATE._x000D_
7.Based on these AI airway/pulmonary findings, the probability of this patient having clinically detectable respiratory signs is VERY HIGH (&gt;75%)_x000D_
8.Based on the AI airway/pulmonary findings, the probability of this patient having clinically detectable respiratory signs is HIGH (75%)_x000D_
9.Are respiratory signs present? If YES._x000D_
10.Pleural fissure lines or moderate to severe pleural effusion has been detected. An overlying skin fold or in an obese animal, excessive pericardial fat could artifactually mimic the result of severe pleural effusion._x000D_
11.Severe cardiomegaly has been detected but Heart Failure is NOT suspected.</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</si>
  <si>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 Caudal to the stomach the spleen is abnormally angled cranially with a reversed C shape adjacent to the stomach and shifted to the right hemiabdomen in the VD view with loss of its normal location adjacent to the left abdominal wall. Serosal detail is preserved._x000D_
Small intestines are mildly gas and fluid filled, not overtly distended. No signs of mechanical ileus._x000D_
Liver is within normal limits of size and smoothly marginated._x000D_
Kidneys and urinary bladder WNL.</t>
  </si>
  <si>
    <t>1) Unremarkable thorax without signs of pulmonary metastases nor signs of thoracic lymphadenopathy._x000D_
2) Enlarged and abnormally positioned spleen: Rule out splenic torsion. If so, rule out also subjacent splenic pathology.</t>
  </si>
  <si>
    <t>Consider abdominal US to further evaluate the spleen and suspected torsion with +/- CT if necessary.</t>
  </si>
  <si>
    <t>Study:_x000D_
Thoracic radiography: three images dated June 26, 2024_x000D_
_x000D_
Findings:_x000D_
The left atrium appears mildly enlarged on the right lateral and orthogonal views. The pulmonary vasculature is normal in size. The pulmonary treatments unremarkable. The pleural space is normal. There is no intrathoracic lymphadenopathy. The larynx is normal. The trachea is normal in diameter. There is no lobar bronchi narrowing. There is no esophageal dilation. The the liver is moderately enlarged with smooth margins. The osseous structures are unremarkable. The T 12-T 13, T 13-L1 and L1-L2 intervertebral disc spaces appear narrowed in comparison to the adjacent to spaces. There is mild spondylosis deformans at T 13-L1 and L1-L2. The patient is of overweight body condition.</t>
  </si>
  <si>
    <t>1. Mild specific left atrial enlargement, suggestive of mitral valve disease is suspected. Correlate with any heart murmur. Echocardiography can be considered for further evaluation._x000D_
2. A cause of coughing is not evident. Lack of a definitive bronchial pulmonary pattern does not exclude the possibility of allergic/inflammatory, infectious, irritant or parasitic bronchitis. Normal diameter of the trachea does not exclude the possibility of dynamic airway disease. Fluoroscopy, airway sampling plus/minus heartworm testing and Baermann fecal flotation can be considered to further evaluate for a cause of the reported coughing._x000D_
3. The generalized hepatomegaly is nonspecific. Rule out metabolic/vacuolar hepatopathy, hyperplasia, hepatitis or infiltrative neoplasia. Sonography can be considered for further evaluation._x000D_
4. T 12-T 13, T 13-L1 and L1-L2 intervertebral disc disease.</t>
  </si>
  <si>
    <t xml:space="preserve">
1.A minimal interstitial pattern has been detected._x000D_
2.Moderate cardiomegaly has been detected but Heart Failure is NOT suspected._x000D_
3.There is no evidence of BRONCHITIS, ALVEOLAR PATTERN, PERIHILAR INFILTRATE, DYNAMIC AIRWAY COLLAPSE or BRONCHIECTASIS, PULMONARY NODULES or PLEURAL EFFUSION.</t>
  </si>
  <si>
    <t>Nine survey radiographs of the abdomen, pelvis and pelvic limbs dated 26th June 2024 are available for review. There are no previous radiographs available for comparison. These images are submitted for assessment of the pelvis, pelvic limbs and abdomen._x000D_
_x000D_
Intra-abdominal findings: The hepatic silhouette is mildly enlarged with smooth borders. The spleen is normal in shape, size and position. The kidneys are partially obscured by gastrointestinal contents, but the visible aspect are normal. The stomach is mainly empty, with a normal axis. The small intestines are distributed evenly and are within normal limits for shape, size and contents. The ascending, transverse and descending colon have a normal position and contain gradually more formed faeces. The urinary bladder is filled. The serosal detail is normal._x000D_
_x000D_
Vertebral column: The thoracic and lumbar vertebral column is normal._x000D_
_x000D_
Pelvis: The iliosacral joints are symmetric. There is good coverage of the femoral heads by the acetabuli.  No degenerative modelling is noted at the acetabular rim and femoral heads and there is good articular congruency. The pelvic and caudal thigh musculature is symmetric. The patella are in an anatomical position._x000D_
_x000D_
Joints and long bones: There is mild soft tissue attenuation of the left and right stifle joint space, causing infrapatellar fat pad compression and caudal fascial bulging._x000D_
_x000D_
Soft tissues: The patient is morbidly obese. There is skin irregularity and thickening consistent with the reported dermatitis.</t>
  </si>
  <si>
    <t>1. Normal vertebral column. Occult intervertebral disease such as intervertebral disk protrusion or other spinal cord pathology including embolic (FCE), high velocity disk, inflammatory or neoplastic disease or degenerative myelopathy is not excluded . _x000D_
2. Mild bilateral stifle synovitis. This may be due to a partial cranial cruciate ligament tearing, or other intra-articular soft tissue pathology._x000D_
3. The hepatomegaly is most likely due to vacuolar hepatopathy, or underlying endocrine disease.</t>
  </si>
  <si>
    <t>Full neurologic examination if not already performed. If mild proprioceptive deficits , consider treating for intervertebral disk disease/arthritis (exercise restriction, NSAIDs with supportive bloodwork, +/- multimodal analgesia). If no response to therapy, patient has clear proprioceptive deficits or is worsening in general, referral to a neurologist for discussion regarding feasibility of MRI vs. CT of the spine can be considered. An orthopaedic consultation may be considered to evaluate the stifle joints._x000D_
Weight loss is indicated.</t>
  </si>
  <si>
    <t xml:space="preserve">
1.The cardiac silhouette size is normal._x000D_
2.There is no evidence of BRONCHITIS, ALVEOLAR PATTERN, PERIHILAR INFILTRATE or DYNAMIC AIRWAY COLLAPSE or BRONCHIECTASIS._x000D_
3.A mild interstitial pattern has been detected.</t>
  </si>
  <si>
    <t>Seven orthogonal survey radiographs of the thorax and abdomen dated 26th June 2024 are available for review. There are no previous radiographs available for comparison. _x000D_
_x000D_
Thorax: _x000D_
Airway findings: The cervical and thoracic trachea have a normal size, outline and position. The carinal is ventrally oriented. There is severe widening of the tracheal bifurcation, with narrowing of the right mainstem bronchus. Throughout the lung parenchyma there is an increased interstitial opacification. In the cranial ventral lung fields, there is increased interstitial to mild alveolar opacification._x000D_
_x000D_
Cardiovascular findings: A very large smoothly marginated soft tissue opacity is visible at the tracheal bifurcation extending to the dorsal midline. There is border effacement of the base of the heart. The remainder of the heart is within normal limits for shape, size. The pulmonary vessels are normal._x000D_
_x000D_
Mediastinum and pleural space: There is suspect cranial mediastinal widening._x000D_
_x000D_
Abdomen: There is no ventrodorsal image. The hepatic and splenic silhouettes are a smoothly enlarged. The stomach is empty, containing some gas. The small intestines are distributed evenly and are within normal limits for shape, size and contents. The ascending, transverse and descending colon have a normal position and contain gradually more formed faeces. The urinary bladder is small. The renal silhouettes are normal in the lateral image. Caudal to the kidneys and ventral to L6 there are poorly marginated soft tissue opacities. These appear to cause ventral displacement of the descending colon._x000D_
_x000D_
Musculoskeletal findings: Soft tissue nodules are visible ventral to the labs, consistent with submandibular lymphadomegaly.</t>
  </si>
  <si>
    <t>1. Heart base mass: Considering history, this is most likely due to tracheobronchial lymphadomegaly. Lymphoma is most likely. Reactive lymphadomegaly is possible._x000D_
2. The cranioventral pulmonary opacification may be due to microaspiration, infectious-inflammatory lower airway disease (parasitic, viral-bacterial, fungal)._x000D_
3. Hepatosplenomegaly: Considering the above, round cell infiltration (lymphoma, other) is most likely._x000D_
4. Colic or medial iliac lymphadenomegaly: Lymphoma is most likely.</t>
  </si>
  <si>
    <t>FNA/biopsy of peripheral lymph nodes is advised. A complete abdominal ultrasonographic examination is advised, with a view to FNA of abnormal organs, after complete blood work, and a normal coagulation panel. Thoracic CT may be considered._x000D_
Correlate with any respiratory signs. Respiratory workup including CBC, serum chemistry, urinalysis, Baermann faecal testing, 4DX, +/- respiratory panel or fungal testing as indicated is advised.  Alternatively, empirical therapy for lower airway disease, empirical deworming, and removal of allergens and environmental irritants (i.e. smoke, dust, perfumes, etc.) can be considered.</t>
  </si>
  <si>
    <t xml:space="preserve">
1.The cardiac silhouette size is normal._x000D_
2.There is no evidence of BRONCHITIS, PERIHILAR INFILTRATE, DYNAMIC AIRWAY COLLAPSE or BRONCHIECTASIS or PLEURAL EFFUSION._x000D_
3.A mild interstitial pattern has been detected.</t>
  </si>
  <si>
    <t>Opposite lateral and VD views of the thorax and abdomen are provided. There are five images total._x000D_
_x000D_
The liver is markedly enlarged, with lobular margination. A thin metal opacity compatible with a segment of fine wire is identified superimposed over the liver just cranial to the stomach at the 10th intercostal space in the right lateral view. This cannot be localized in the VD view. The other abdominal organs are within normal size and shape limits. Abdominal serosal detail is normal._x000D_
_x000D_
The cardiovascular structures are within normal limits. There is mild to moderate mineralization involving airways and vessels in the lungs. No tracheal or laryngeal abnormalities are identified.</t>
  </si>
  <si>
    <t>There is significant hepatomegaly with irregular liver shape that is concerning for a liver mass. This can sometimes be seen secondary to vacuolar hepatopathy but neoplasia should still be ruled out. A segment of fine wire is visible in the cranial abdomen, which is most likely an incidental finding of limited significance. The rest of the abdomen is within normal limits._x000D_
_x000D_
No cardiovascular abnormalities are identified. The pulmonary mineralization is a finding that is often secondary to age related change, but hyperadrenocorticism can also be associated with pulmonary mineralization that could potentially be symptomatic. No other findings that would explain increased breathing effort are identified.</t>
  </si>
  <si>
    <t>Sampling of the abnormal appearing liver to rule neoplasia is recommended.</t>
  </si>
  <si>
    <t xml:space="preserve">
1.MILD BRONCHOINTERSTITIAL PULMONARY PATTERN; MILD PERIHILAR INFILTRATE; MILD DYNAMIC AIRWAY DISEASE; ATELECTASIS or less likely, pneumonia._x000D_
2.Based on the AI airway/pulmonary findings, the probability of this patient having clinically detectable respiratory signs is MEDIUM (50%)_x000D_
3.Are respiratory signs present? If YES._x000D_
4.Are respiratory signs present? If NO._x000D_
5.Mild cardiomegaly has been detected but Heart Failure is NOT suspected.</t>
  </si>
  <si>
    <t>Orthogonal radiographs of the thorax and four views of the abdomen are provided. The cardiac silhouette and pulmonary vessels are normal size. The lungs are clear. No abnormalities along the plane of the esophagus. Normal cranial mediastinal width._x000D_
_x000D_
In the abdomen there is small volume gas in the stomach. Small bowel are minimally filled. Equivocal scant cranial peritoneal fluid. Large volume of formed feces fills the colon. No radiopaque foreign material. Curvilinear lucencies overlying the craniodorsal abdomen on the right lateral view are caused by superimposed skin folds. Normal-sized liver and spleen. The kidneys are obscured. No osseous abnormalities.</t>
  </si>
  <si>
    <t>Equivocal scant cranial peritoneal effusion, otherwise normal abdomen. Gastroenteritis/pancreatitis is most likely. There is no evidence of an obstructive process. The thorax is normal.</t>
  </si>
  <si>
    <t>Orthogonal radiographs of the thorax are provided. Images dated 8/28/23 are available for comparison. There is moderate to severe generalized cardiac silhouette enlargement, increased in size compared to the previous study. The caudal thoracic trachea and mainstem bronchi are compressed. Cranial pulmonary vessels are normal size. Caudal pulmonary arteries are prominent at the intersection with the 9th rib. There is no loss of perihilar vessel visibility on the VD view, however there is a small area of severe interstitial pattern in the lateral aspect of the right caudal lung lobe. Equivocal faint bronchial markings, although the area used for comparison is less visible today due to cardiomegaly. The liver is mildly enlarged with smooth margins as before. Round soft tissue contour overlying the mid ventral liver on the lateral view is likely distended gallbladder.</t>
  </si>
  <si>
    <t>1. Moderate to severe generalized cardiomegaly consistent with progressive valvular disease. Severe interstitial pattern in the right caudal lung lobe is most likely cardiogenic pulmonary edema. Focal pneumonia is given lesser consideration. The cardiac enlargement is causing thoracic tracheal and mainstem bronchial compression which may be contributing to respiratory signs. A large caudal pulmonary arteries consistent with pulmonary hypertension._x000D_
2. Hepatomegaly as before, consider venous congestion or hepatopathy primarily.</t>
  </si>
  <si>
    <t>Treatment for heart failure is recommended. If the patient is febrile or has elevated white blood cell count, antibiotics would be recommended.</t>
  </si>
  <si>
    <t xml:space="preserve">
1.SEVERE DYNAMIC AIRWAY DISEASE; MODERATE BRONCHOINTERSTITIAL PULMONARY PATTERN; MODERATE ALVEOLAR INFILTRATE or ATELECTASIS._x000D_
2.Pleural fissure lines or moderate pleural effusion has been detected. An overlying skin fold or in a moderately overweight animal, excessive pericardial fat could artifactually mimic the result of moderate pleural effusion._x000D_
3.Severe cardiomegaly has been detected but Heart Failure is NOT suspected._x000D_
4.MODERATE INTERSTITIAL TO ALVEOLAR INFILTRATE; CONCURRENT MODERATE BRONCHIAL PATTERN; MILD PERIHILAR INFILTRATE._x000D_
5.Based on these AI airway/pulmonary findings, the probability of this patient having clinically detectable respiratory signs is HIGH (75%)_x000D_
6.Based on the AI airway/pulmonary findings, the probability of this patient having clinically detectable respiratorysigns is HIGH (75%)_x000D_
7.Are respiratory signs present? If YES._x000D_
8.Are respiratory signs present? If YES._x000D_
9.Are respiratory signs present? If NO._x000D_
10.AI linked bacterial pneumonia treatment in dogs: https://platform.v2.vetology.net/doc/pneumonia-in-dogs-and-cats_x000D_
11.Are respiratory signs present? If NO.</t>
  </si>
  <si>
    <t xml:space="preserve">Patient Name : Jazz Maldonado, Date of study: Jun 26, 2024
3 images are provided for review
Canine Thorax (3 Images) - 2 Lateral, 1 Vd
There are no previous radiographs for comparison.
Pulmonary parenchyma: Multiple, well-defined and ill-defined, round or ovoid soft tissue nodules are present in the lungs.  The largest of these are over the ventral aspects of the 3rd and 8th intercostal spaces in the right lateral image.  Minimal to mild diffuse bronchial and minimal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A broad-based fat opaque caudoventral extra-thoracic nodule is present.  The remaining included musculoskeletal structures are normal.
</t>
  </si>
  <si>
    <t>1. Multiple pulmonary soft tissue nodules.
- Differential diagnoses include metastatic neoplasia from an occult primary, or unlikely granulomatous/fungal pneumonia such as from blastomycosis spp. infection, or least likely other.
2. Minimal diffuse bronchial and interstitial pulmonary patterns.
- Differential diagnoses include fibrosis from prior disease, age-related changes, or unlikely atypical metastatic neoplasia or least likely underlying infectious/immune-mediated lower airway disease or other.
3. No obvious evidence of cardiomegaly in this examination.</t>
  </si>
  <si>
    <t>Consider computed tomography of the thorax for further evaluation of the pulmonary nodules and to guide sampling if peripherally accessible.  Abdominal imaging to screen for occult systemic disease if not recently performed.  Fungal serology, especially if the patient has an appropriate travel/exposure history.  Oncologist consultation depending on results of pending diagnostics.  Empirical therapy and supportive care in the interim as needed.  Monitoring as directed, or sooner if clinical signs acutely change, fail to improve or worsen.</t>
  </si>
  <si>
    <t xml:space="preserve">
1.MILD BRONCHOINTERSTITIAL PULMONARY PATTERN; MILD DYNAMIC AIRWAY DISEASE; ATELECTASIS or less likely, pneumonia;  MINIMAL PERIHILAR INFILTRATE._x000D_
2.Based on the AI airway/pulmonary findings, the probability of this patient having clinically detectable respiratory signs is MEDIUM (50%)_x000D_
3.Are respiratory signs present? If YES._x000D_
4.Are respiratory signs present? If NO._x000D_
5.The evaluation has come up positive for a pulmonary nodular pattern._x000D_
6.The cardiac silhouette size is normal.</t>
  </si>
  <si>
    <t>Opposite lateral and ventrodorsal thoracic radiographs (3 images) dated June 26, 2024._x000D_
_x000D_
_x000D_
_x000D_
A patchy ventral alveolar infiltrate is affecting the right middle lung lobe and cranial segment of left cranial lung lobe. The remainder of the pulmonary parenchyma has a diffuse bronchial pattern. No pulmonary nodules or masses are identified. No intrathoracic lymphadenopathy is evident. The trachea is normal in diameter and course with gas filling its lumen. The pleural space, mediastinum, and diaphragm are normal._x000D_
No osseous abnormalities are identified. The included cranial abdomen is unremarkable.</t>
  </si>
  <si>
    <t>Bronchopneumonia, characterized by a ventral alveolar infiltrates and a diffuse bronchial pattern.</t>
  </si>
  <si>
    <t>Antibiotic therapy (ex: azithromycin) and recheck thoracic radiographs in 12 days to assess pulmonary clearance, or sooner if clinically indicated.</t>
  </si>
  <si>
    <t xml:space="preserve">Patient Name : Rachel Hefner, Date of study: Jun 26, 2024
5 images are provided for review
There are no previous radiographs for comparison.  The ventrodorsal image is mis labeled with a R on the left-sided of the patient given the position of the spleen.
Pulmonary parenchyma: An interstitial to alveolar pattern is in the ventral aspect of the right middle lung lobe.  A minimal to mild diffuse bronchial pattern is present.  The lungs are hyperinflated with a flattened diaphragm and increased distance between the cardiac silhouette and diaphragm.  Soft tissue margin over the left caudal lung in the ventrodorsal image is most likely artifactual and not corroborated in the orthogonal images.
Pulmonary vasculature: The pulmonary vasculature is subjectively normal in size and tapers in the periphery of the lungs.
Cardiac silhouette: The cardiac silhouette is normal in size and shape.
Mediastinum: A rightward mediastinal shift is present in the ventrodorsal image.  The cranial mediastinum is normal.
Trachea: The trachea is normal.
Esophagus: The esophagus is not well-identified.
Pleural space: The pleural space is normal.
Musculoskeletal: The T13 is transitional with absent ribs bilaterally.  There are eight vertebrae without ribs. Bilateral mineral in the cranial aspect of the stifle joints are presumed benign meniscal ossicles.   The patient is obese.   The remaining included musculoskeletal structures are normal.
</t>
  </si>
  <si>
    <t>1. Right middle lung lobe interstitial to alveolar pulmonary pattern and rightward mediastinal shift..
- Differential diagnoses include persistent bronchopneumonia/aspiration pneumonia, versus atelectasis/bronchial plugging, or unlikely other.
- Differential diagnoses include bronchopneumonia/aspiration pneumonia, hemorrhage or unlikely other.
2. Minimal to mild diffuse bronchial pulmonary pattern such as from infectious/immune-mediated lower airway disease (feline asthma and/or mycoplasma spp., bordetella spp., parasitism such as lung worms, or less likely other) and/or inhaled allergen/irritant, or unlikely other.
3. Obesity.</t>
  </si>
  <si>
    <t>Consider therapy for possible bronchopneumonia and lower airway disease/asthma in the interim as needed.  Consider respiratory PCR panel, airway sampling, and fecal analysis/deworming for further evaluation.  Computed tomography of the thorax may be contributory, especially if these findings persist or worsen in the face of empirical therapy.  Monitoring with serial thoracic radiographs as directed or sooner if clinical signs acutely change, fail to improve or worsen.</t>
  </si>
  <si>
    <t xml:space="preserve">
1.SEVERE ALVEOLAR INFILTRATE; MILD PERIHILAR PATTERN; MORE DIFFUSE MILD BRONCHOINTERSTITIAL PULMONARY PATTERN._x000D_
2.Based on the AI airway/pulmonary findings, the probability of this patient having clinically detectable respiratory signs is VERY HIGH (&gt;75%)_x000D_
3.Are respiratory signs present? If YES._x000D_
4.AI linked canine bacterial pneumonia treatment: https://platform.v2.vetology.net/doc/pneumonia-in-dogs-and-cats_x000D_
5.Are respiratory signs present? If NO._x000D_
6.The cardiac silhouette size is normal._x000D_
7.There is no evidence of PULMONARY NODULES.</t>
  </si>
  <si>
    <t>Opposite lateral and VD views of the thorax and abdomen are provided._x000D_
_x000D_
There are a few small irregularly shaped opacities in the stomach that could represent a small quantity of foreign material. This is most prominent in the right lateral view. Rugal folds in the stomach are prominent. The stomach is not dilated or malpositioned._x000D_
There are several loops of intestine in the mid abdomen that appear thickened and corrugated. None appear pathologically distended. There is a fragmented gas pattern throughout the intestinal tract. The liver is at the upper end of normal range to slightly enlarged, with normal shape and smooth margins. The other abdominal organs are within normal size and shape limits._x000D_
_x000D_
The cardiopulmonary structures are within normal limits. No esophageal abnormalities are identified.</t>
  </si>
  <si>
    <t>The appearance of the GI tract is generally consistent with gastroenteritis._x000D_
There are a few unusual small shapes in the stomach, which could represent a small quantity of foreign material. However, food products could also appear similar._x000D_
Liver size is borderline. This is likely incidental._x000D_
_x000D_
No thoracic abnormalities are identified.</t>
  </si>
  <si>
    <t>Supportive care and symptomatic therapy for gastroenteritis/pancreatitis is recommended. Infectious causes and parasitism should be ruled out.</t>
  </si>
  <si>
    <t>Orthogonal radiographs of the thorax are provided. There is mild to moderate generalized cardiac silhouette enlargement. Pulmonary vessels are normal size. There is increased soft tissue density along the cranial left aspect of the heart on the VD projection, possibly overlying and extending cranioventral to the heart on the lateral view. There is no pleural effusion. Moderate narrowed caudal cervical trachea and severe narrowed caudal thoracic trachea and mainstem bronchi. The cranial abdomen is unremarkable.</t>
  </si>
  <si>
    <t>1. Soft tissue opacity in the cranial left thorax is significantly concerning for a mass lesion. Focal pneumonia is given secondary consideration._x000D_
2. Mild to moderate cardiomegaly consistent with acquired mitral and tricuspid valve disease. There is no evidence of heart failure._x000D_
3. Tracheal and mainstem bronchial collapse, likely contributing to respiratory signs.</t>
  </si>
  <si>
    <t>Recommend repeat thoracic VD view, and opposite lateral projection (laterality of the provided image is not known). Specifically, a right lateral view should be obtained to further evaluate the cranioventral left thorax. A CBC is also recommended.</t>
  </si>
  <si>
    <t xml:space="preserve">
1.Severe cardiomegaly has been detected but Heart Failure is NOT suspected._x000D_
2.SEVERE BROCHIAL PATTERN; SEVERE DYNAMIC AIRWAY DISEASE; MODERATE INTERSTITIAL INFILTRATE with ATELECTASIS or less likely, PNEUMONIA._x000D_
3.PLEURAL EFFUSION or PLEURAL FISSURE LINES; MODERATE INTERSITIAL TO ALVEOLAR PATTERN; MINIMAL PERIHILAR INFILTRATE._x000D_
4.Based on these AI airway/pulmonary findings, the probability of this patient having clinically detectable respiratory signs is VERY HIGH (&gt;75%)_x000D_
5.Based on these AI airway/pulmonary findings, the probability of this patient having clinically detectable respiratory signs is HIGH (75%)_x000D_
6.Are respiratory signs present? If YES._x000D_
7.AI link to canine airway collapse treatment article: https://platform.v2.vetology.net/doc/canine-tracheal-collapse-treatment_x000D_
8.Are respiratory signs present? If NO._x000D_
9.Are respiratory signs present? If NO.</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</si>
  <si>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There is expansile appearance to the distal aspect of the left 10th rib at the costochondral junction.  Mild irregularity is seen at the distal aspect of the left ninth rib.  A fat opacity mass is seen in the adjacent subcutaneous tissues.</t>
  </si>
  <si>
    <t>Radiographically normal abdomen.  Fat opacity mass adjacent to the left ninth through 11th ribs with concern for aggressive changes of the ninth and 10th ribs.  Consider lipoma, infiltrative lipoma, off other etiology with secondary fatty component.  CT could be considered in surgical planning.  Radiographically normal thorax for patient of this age.</t>
  </si>
  <si>
    <t xml:space="preserve">
1.A mild perihilar infiltrate has been detected._x000D_
2.A mild interstitial pattern has been detected._x000D_
3.The cardiac silhouette size is normal._x000D_
4.There is no evidence of DYNAMIC AIRWAY COLLAPSE or BRONCHIECTASIS, PULMONARY NODULES or PLEURAL EFFUSION.</t>
  </si>
  <si>
    <t>3 views of the thorax are provided for review.  The trachea is dorsally deviated, indicating left ventricular enlargement.  The cardiac silhouette is also mildly widened with rounding of the right ventricular margin.  There is widening of the cranial mediastinum at the heart base.  Increased bronchial markings are present in all lung lobes.  No perihilar pulmonary infiltrates are seen.  The pulmonary vasculature is normal in size.  The pleural structures are normal.  Cranial abdominal detail is adequate.</t>
  </si>
  <si>
    <t>Moderate bronchial pulmonary pattern=ZZ90= consider bronchitis, response to inhaled irritants, response to circulating parasites, eosinophilic bronchopneumopathy.  Airway sampling may be helpful in further evaluation.  Mild generalized cardiomegaly without current evidence of cardiogenic pulmonary edema.  Echocardiography may be helpful in further evaluation.  Possible heart base mass based on widening of the cranial mediastinum at the heart base.  Ultrasonography (via cardiac window) or CT may be helpful.</t>
  </si>
  <si>
    <t xml:space="preserve">
1.A moderate to severe interstitial to alveolar pattern has been detected._x000D_
2.Severe bronchial and severe alveolar pattern._x000D_
3.SEVERE BRONCHIAL PATTERN; MODERATE DYNAMIC AIRWAY DISEASE._x000D_
4.A moderate perihilar infitlrate has been detected._x000D_
5.Severe cardiomegaly has been detected but Heart Failure is NOT suspected._x000D_
6.Based on these AI airway/pulmonary findings, the probability of this patient having clinically detectable respiratory signs is VERY HIGH (&gt;75%)_x000D_
7.Are respiratory signs present? If YES._x000D_
8.Are respiratory signs present? If NO._x000D_
9.Severe bronchointerstitial pulmonary pattern present.</t>
  </si>
  <si>
    <t>6 images of the thorax and abdomen dated 6/24, 6/25, and 6/26/2024 are presented for review.  The cardiovascular and pulmonary structures are normal.  The esophagus is gas dilated on all series.  The pleural and mediastinal structures are normal.  Abdominal serosal detail is adequate in all quadrants.  The stomach contains a small amount of ingesta initially that is resolved on later images.  The small intestines are normal in size.  Gas and feces are present in the colon.  The urinary bladder is moderately distended.  The remaining abdominal organs are normal.</t>
  </si>
  <si>
    <t>Radiographically normal abdomen.  Persistent esophageal dilation suggests esophagitis or motility disorder (megaesophagus).</t>
  </si>
  <si>
    <t>A ventrodorsal and right lateral radiograph of the thorax are provided. The cardiac silhouette is normal size and shape. There is a diffuse soft tissue density with air bronchograms throughout the lungs. The caudal dorsal lungs are most significantly affected. No pleural effusion. Adequate tracheal diameter. Normal thymus is seen on the VD view. The cranial abdomen is unremarkable.</t>
  </si>
  <si>
    <t>Diffuse alveolar pattern is worst in the caudal dorsal lungs. Aspiration pneumonia is most likely. Noncardiogenic pulmonary edema (airway obstruction/choking, head trauma, seizure, hyperthermia, electrocution) or next on the differential list.</t>
  </si>
  <si>
    <t>Recommend a CBC, empiric antibiotics, and medical support.</t>
  </si>
  <si>
    <t xml:space="preserve">
1.A moderate perihilar infitlrate has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4.SEVERE INTERSTITIAL TO ALVEOLAR PATTERN; MODERATE BRONCHIAL PATTERN; SEVERE DYNAMIC AIRWAY DISEASE._x000D_
5.Based on these AI airway/pulmonary findings, the probability of this patient having clinically detectable respiratory signs is VERY HIGH (&gt;75%)_x000D_
6.Are respiratory signs present? If YES._x000D_
7.Are respiratory signs present? If NO.</t>
  </si>
  <si>
    <t>Three radiographs of the thorax are provided. There is moderate left-sided cardiomegaly. Subsequent dorsal deviation of the thoracic trachea and mainstem bronchi. There is a diffuse severe interstitial to alveolar pattern throughout the lungs, worst in the perihilar region. No pleural effusion. Adequate tracheal diameter. The cranial abdomen is unremarkable.</t>
  </si>
  <si>
    <t>Moderate left-sided cardiomegaly consistent with acquired mitral valve disease. There is pulmonary edema indicating left-sided heart failure. Increased vagal tone may be responsible for the collapse episode.</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</si>
  <si>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3.Are respiratory signs present? If NO._x000D_
4.SEVERE INTERSTITIAL TO ALVEOLAR PATTERN; SEVERE BRONCHIAL PATTERN; MILD DYNAMIC AIRWAY DISEASE._x000D_
5.Based on these AI airway/pulmonary findings, the probability of this patient having clinically detectable respiratory signs is VERY HIGH (&gt;75%)_x000D_
6.Are respiratory signs present? If YES._x000D_
7.The evaluation has come up positive for a pulmonary nodular pattern._x000D_
8.A moderate perihilar infitlrate has been detected.</t>
  </si>
  <si>
    <t>3 views of the entire body are provided for review.  The trachea is dorsally deviated, indicating left ventricular enlargement.  A bulge is present in the region of the left atrium.  The cardiac silhouette is also widened with rounding of the right ventricular margin.  No pulmonary infiltrates are seen.  The pulmonary vasculature is normal in size.  The mediastinal and pleural structures are normal.  Abdominal serosal detail is adequate in all quadrants.  The liver margins are rounded and extend beyond the costal arch, causing caudal displacement of the gastric axis.  The stomach contains a moderate amount of gas.  The small intestines are normal in size.  Gas and feces are present in the colon.  The urinary bladder is small.  The remaining abdominal organs are normal.</t>
  </si>
  <si>
    <t>Mild hepatomegaly=ZZ90= this is a nonspecific finding that may be seen with congestion, vacuolar hepatopathy, inflammation, neoplasia, etc.  Abdominal ultrasound may be helpful in further evaluation if biochemically indicated.  Generalized cardiomegaly without current evidence of cardiogenic pulmonary edema.  Echocardiography may be helpful in further evaluation.</t>
  </si>
  <si>
    <t>4 images of the thorax are provided for review.  There is straightening of the caudal cardiac waist in the region of the left atrium.  No pulmonary infiltrates are seen.  The pulmonary vasculature is normal in size.  The mediastinal and pleural structures are normal.  Cranial abdominal detail is adequate.</t>
  </si>
  <si>
    <t>Study:_x000D_
Thoracic and abdominal radiography: four images dated June 26, 2024_x000D_
_x000D_
Findings:_x000D_
The cardiac silhouette is normal in size and shape. The pulmonary vasculature is normal in size. Innumerable soft tissue opaque nodules are scattered throughout the pulmonary parenchyma. Larger indistinct masses are present in the right middle lung lobe and left caudal lung lobe on the VD view. The stomach contains unstructured heterogeneous soft tissue material presumed to be ingesta. The small intestines are normal in size, course and content. The colon contains formed fecal material. The liver extends moderately beyond the costal arch with smooth and sharp margins. The spleen is normal in size and margin. The renal silhouettes are normal in size and contour. The urinary bladder is normal in size and opacity. There is variable mild to severe multifocal thoracolumbar and lumbosacral spondylosis deformans. On the VD view, there is smooth and continuous new bone formation present along the right 6th through 10th ribs.</t>
  </si>
  <si>
    <t>1. The pulmonary nodules/masses are concerning for pulmonary metastatic disease. Fungal disease is less likely in the absence of any tracheobronchial lymphadenopathy._x000D_
2. The generalized hepatomegaly is nonspecific. Rule out metabolic/vacuolar hepatopathy, hyperplasia, hepatitis or neoplasia. Sonography can be considered for further evaluation._x000D_
3. Multifocal right rib periosteal new bone. Rule out callus from prior fracture/trauma versus aggressive osseous disease (neoplasia or osteomyelitis).</t>
  </si>
  <si>
    <t>Consider abdominal sonography to further evaluate for any intra-abdominal neoplasia. Coccidioidomycoses titers can also be considered for further evaluation.</t>
  </si>
  <si>
    <t>Eight radiographs are provided, with images of the thorax, abdomen, and stifles. Cardiac silhouette and pulmonary vessels size and shape. The lungs are clear. There is no pleural effusion. Normal proximal thoracic limbs and thoracic spine._x000D_
_x000D_
In the abdomen there is abundant peritoneal fat. Normal-sized liver, spleen, and kidneys. Moderate volume soft tissue opaque ingesta in the stomach. Small bowel are minimally filled. Formed feces in the distal colon. The cecum is gas dilated. No radiopaque cystic calculi. Small round soft tissue densities ventral to L6 are end-on deep circumflex iliac vessel. No osseous lysis or periosteal proliferation. Normal lumbar spine. The coxofemoral joints are congruent.</t>
  </si>
  <si>
    <t>Normal thorax, abdomen, stifles. A reason for discomfort is not identified. Soft tissue sprain/strain is most likely. A lateralized, non-mineralized intervertebral disc lesion is also possible.</t>
  </si>
  <si>
    <t>Recommend continue supportive care with anti-inflammatories. If lameness persists, advanced soft tissue imaging with MRI may be necessary.</t>
  </si>
  <si>
    <t xml:space="preserve">
1.Are respiratory signs present? If NO._x000D_
2.MILD DIFFUSE MIXED BRONCHOINTERSTITIAL PULMONARY PATTERN; ATELECTASIS or less likely, PNEUMONIA._x000D_
3.Probability these AI pulmonary findings will accompany clinically detectable respiratory signs: LOW (25%)_x000D_
4.Pleural fissure lines or small volume pleural effusion has been detected. In a mildly overweight animal, excessive pericardial fat can artifactually mimic the result of minimal pleural effusion._x000D_
5.Moderate cardiomegaly has been detected but Heart Failure is NOT suspected._x000D_
6.There is no evidence of DYNAMIC AIRWAY COLLAPSE or BRONCHIECTASIS or PULMONARY NODULES._x000D_
7.Are respiratory signs present? If YES.</t>
  </si>
  <si>
    <t>Study:_x000D_
Thoracic/abdominal radiography: orthogonal views (two images) dated June 26, 2024_x000D_
_x000D_
Findings:_x000D_
On the VD view, there is a prominent soft tissue opaque bulge in the region of the main pulmonary artery. The cardiac silhouette is overall normal in size (VHS approximately 10.25). The lobar vasculature is normal in size. The pulmonary parenchyma is unremarkable. The pleural space is normal. There is no intrathoracic lymphadenopathy. There is mild narrowing of the trachea lumen at the thoracic inlet. The abdominal serosal detail is adequate. The stomach contains a small volume of gas. The small intestines are normal in size, course and content. The colon contains formed fecal material. The liver and spleen are normal in size and margin. The kidneys are normal in size and contour. Multiple punctate mineral foci are present in the kidneys. The urinary bladder is normal in size and opacity. There is narrowing of the C5-C6 through C7-T1, L4-L5 and L5-L6 intervertebral disc spaces. On the lateral projection, the patella is superimposed with the femoral condyles bilaterally. There is mild bilateral stifle periarticular bone formation.</t>
  </si>
  <si>
    <t>1. The suspected main pulmonary arterial enlargement may be secondary to pulmonary hypertension, heartworm disease or pulmonic stenosis. Echocardiography and heartworm testing can be considered for further evaluation._x000D_
2. Chondromalacia and dynamic airway disease/tracheal collapse. Fluoroscopy can be considered for further evaluation._x000D_
3. Bilateral nephrolithiasis and/or nephrocalcinosis._x000D_
4. Multifocal cervical and lumbar intervertebral disease. Correlate with any spinal pain and/or proprioceptive deficits._x000D_
5. Bilateral (presumably medial) luxating patella and mild stifle osteoarthrosis.</t>
  </si>
  <si>
    <t xml:space="preserve">
1.Are respiratory signs present? If YES._x000D_
2.Moderate cardiomegaly has been detected but Heart Failure is NOT suspected._x000D_
3.MILD BRONCHOINTERSTITIAL PULMONARY PATTERN; MILD DYNAMIC AIRWAY DISEASE._x000D_
4.Based on these AI airway/pulmonary findings, the probability of this patient having clinically detectable respiratory signs is LOW to MEDIUM (25-50%)_x000D_
5.Are respiratory signs present? If NO._x000D_
6.There is no evidence of PERIHILAR INFILTRATE, PULMONARY NODULES or PLEURAL EFFUSION.</t>
  </si>
  <si>
    <t>Seven orthogonal survey radiographs of the thorax and abdomen dated 26th June 2024 are available for review. There are no previous radiographs available for comparison. _x000D_
_x000D_
Vertebral column: The cervical vertebral column is normal. There is narrowing of the T12-T13 intervertebral disc space with smooth vertebral endplates. No mineralised material is seen within or dorsal to the intervertebral disc space. The lumbar vertebral column is normal. There is mild sacralisation of the L7 vertebral body. Both sacroiliac joints are normal. Both coxofemoral joints are normal._x000D_
_x000D_
Thorax: The included thorax is normal._x000D_
_x000D_
Abdomen: The abdomen is normal._x000D_
_x000D_
Musculoskeletal findings: Subcutaneous gas lucencies are present dorsally, consistent with subcutaneous injection.</t>
  </si>
  <si>
    <t>T12-13 intervertebral disc disease: No evidence of disc extrusion. This may cause some back pain. Occult intervertebral disc disease such as nonmineralised intervertebral disk protrusion or other spinal cord pathology including embolic (FCE), high velocity disk, inflammatory or neoplastic disease or degenerative myelopathy is not excluded by a normal appearance.</t>
  </si>
  <si>
    <t>Three radiographs of the thorax are provided. Images dated 3/9/23 were reviewed. There is equivocal prominence of the left atrium as before. Cardiac to thoracic ratio and pulmonary vessel size is normal. There are no abnormalities in the pulmonary parenchyma. No pleural effusion. Adequate tracheal diameter. Smoothly irregular 1.3 cm mineral density overlying the ventral right liver consistent with cholelith, typically incidental.</t>
  </si>
  <si>
    <t>Equivocal prominent left atrium as before, suggestive of acquired mitral valve disease. There is no evidence of pulmonary venous congestion or pulmonary edema. Increased vagal tone may be responsible for the syncopal episode.</t>
  </si>
  <si>
    <t>A CBC, blood chemistry profile, cranial nerve assessment, and ECG should be considered.</t>
  </si>
  <si>
    <t>9 images of the thorax, abdomen, and skull/cervical region are presented for review.  The cardiovascular and pulmonary structures are normal.  The pleural and mediastinal structures are normal.  Abdominal serosal detail is adequate in all quadrants.  Liver volume is at the stomach contains a moderate amount of gas.  The small intestines are normal in size.  Gas and feces are present in the colon.  The urinary bladder is small.  The remaining abdominal organs are normal.  Open physes are present.  No fractures or aggressive osseous lesions are seen.  The nasal cavity is air filled with normal turbinates spinal alignment is normal.</t>
  </si>
  <si>
    <t xml:space="preserve">
1.A mild perihilar infiltrate has been detected._x000D_
2.The cardiac silhouette size is normal._x000D_
3.There is no evidence of BRONCHITIS, DYNAMIC AIRWAY COLLAPSE or BRONCHIECTASIS or PLEURAL EFFUSION._x000D_
4.A mild interstitial to alveolar pattern has been detected.</t>
  </si>
  <si>
    <t>Orthogonal radiographs of the thorax, and three views of the abdomen are provided. There is equivocal prominence of the left atrium. Cardiac to thoracic ratio and pulmonary vessel size are normal. There are no abnormalities in the pulmonary parenchyma. The left mainstem bronchus is compressed. Redundant dorsal trachealis membrane causes severe narrowed cervical trachea on the lateral view._x000D_
_x000D_
In the abdomen there is no effusion or organomegaly. The gastrointestinal tract is minimally filled. No radiopaque cystic calculi. The L1-2 intervertebral disc space is mildly narrowed.</t>
  </si>
  <si>
    <t>1. The appearance of L1-2 is suggestive of a protruding/extruded intervertebral disc. Such a lesion at this site may be responsible for the discomfort._x000D_
2. Equivocal prominent left atrium suggestive of chronic degenerative mitral valve disease. This is of doubtful clinical significance. No other intrathoracic abnormalities._x000D_
3. Cervical tracheal collapse. There is also mainstem bronchial compression. In the absence of a cough, significance is doubtful._x000D_
4. Normal abdomen.</t>
  </si>
  <si>
    <t xml:space="preserve">
1.Moderate dynamic airway disease has been detected._x000D_
2.A moderate bronchointerstitial pattern, regions of alveolar infiltrate, a mild perihilar infiltrate and concurrent dynamic airway disease (see #2) have been detected._x000D_
3.Severe cardiomegaly has been detected but Heart Failure is NOT suspected.</t>
  </si>
  <si>
    <t>Three radiographs of the thorax, and two views of the abdomen are provided. Images dated 4/15/24 are available for comparison. The cardiac silhouette and pulmonary vessels are normal size and shape. There are mild age-related changes in the lungs. No focal areas of increased opacity to suggest pneumonia. No pleural effusion. Normal tracheal diameter and cranial mediastinal width._x000D_
_x000D_
In the abdomen there is no effusion. The uterus is not definitively seen. Small volume gas and scant amorphous soft tissue density in the stomach. Small bowel are mildly filled with gas. There is moderate volume formed feces in the colon. No radiopaque foreign material. Normal-sized liver, spleen, kidneys. No radiopaque cystic calculi. Osseous structures are unremarkable.</t>
  </si>
  <si>
    <t>Normal thorax and abdomen. Scant soft tissue density in the stomach is most likely residual ingesta. Foreign material causing gastritis and intermittent pyloric outflow obstruction is not definitively ruled out but given lesser consideration.</t>
  </si>
  <si>
    <t>To further workup the vomiting, options include either a positive contrast gastrogram, or strictly fasted abdominal ultrasound.</t>
  </si>
  <si>
    <t>THORAX (3 total radiographs for review)._x000D_
_x000D_
- Mild, diffuse bronchointerstitial pulmonary pattern._x000D_
- The cardiac silhouette and pulmonary vasculature are normal._x000D_
- The trachea, esophagus and remainder of the mediastinum is/are normal._x000D_
- The pleural space and remaining intrathoracic structures are normal._x000D_
- The stomach contains a moderate volume of gas and moderate gas stippled soft tissue of material._x000D_
- There is mild multifocal midthoracic spondylosis deformans.</t>
  </si>
  <si>
    <t>1. While a discrete cause for the reported excessive panting is not clearly noted, there is a mild diffuse bronchial pattern. This could represent age-related lower airway changes, however a component of chronic bronchitis is possible. You could consider treating this patient for chronic lower airway disease for potential clinical benefit. In addition, given the patient=ZZ91=s breed laryngeal paralysis is not excluded._x000D_
_x000D_
2. Recent meal and aerophagia.</t>
  </si>
  <si>
    <t xml:space="preserve">
1.A moderate perihilar infitlrate has been detected._x000D_
2.The cardiac silhouette size is normal._x000D_
3.There is no evidence of ALVEOLAR PATTERN or DYNAMIC AIRWAY COLLAPSE or BRONCHIECTASIS._x000D_
4.A mild interstitial pattern has been detected.</t>
  </si>
  <si>
    <t>Study:_x000D_
Thoracic radiography: right lateral and orthogonal views (two images) dated June 25, 2024_x000D_
_x000D_
Findings:_x000D_
There is mild generalized cardiomegaly (VHS approximately 11). The pulmonary vasculature is normal in size. The pulmonary parenchyma is normal. No pulmonary nodules or masses are present. The pleural space is normal. There is no intrathoracic lymphadenopathy. The trachea is normal in diameter. The stomach contains a small amount of heterogeneous soft tissue material presumed to be ingesta. No skeletal abnormalities are present.</t>
  </si>
  <si>
    <t>Mild generalized cardiomegaly without evidence of decompensation. Rule out cardiomyopathy versus degenerative valve disease.</t>
  </si>
  <si>
    <t>Echocardiography should be considered for further evaluation.</t>
  </si>
  <si>
    <t xml:space="preserve">
1.MODERATE INTERSTITIAL TO ALVEOLAR PATTERN with PNEUMONIA or ATELECTASIS; MINIMAL DYNAMIC AIRWAY DISEASE._x000D_
2.Based on these AI airway/pulmonary findings, the probability this patient will have clinically detectable respiratory signs is LOW to MEDIUM (25-50%)_x000D_
3.A moderate interstitial to alveolar pattern has been detected._x000D_
4.Are respiratory signs present? If YES._x000D_
5.Are respiratory signs present? If NO._x000D_
6.The cardiac silhouette size is normal._x000D_
7.There is no evidence of PULMONARY NODULES.</t>
  </si>
  <si>
    <t>4 images of the thorax and abdomen are provided for review.  The trachea is dorsally deviated, indicating left ventricular enlargement.  A bulge is present in the region of the left atrium.  Interstitial to alveolar opacity is present in the caudal lung lobes near the hilus.  The mediastinal and pleural structures are normal.  Two views of the abdomen are provided for review.  Serosal detail is adequate in all quadrants.  The liver margins are rounded and extend beyond the costal arch, causing caudal displacement of the gastric axis.  The stomach contains a small amount of gas.  The small intestines are normal in size.  Gas and feces are present in the colon.  The urinary bladder is small.  A distinct uterus is not identified.  The remaining abdominal organs are normal.</t>
  </si>
  <si>
    <t>Hepatomegaly=ZZ90= this is a nonspecific finding that may be seen with congestion, vacuolar hepatopathy, inflammation, neoplasia, etc. Distinct uterine enlargement is not visible.  Abdominal ultrasound may be helpful in further evaluation.  Left-sided cardiomegaly.  Interstitial to alveolar pulmonary pattern consistent with cardiogenic pulmonary edema.  Consider repeat radiographs following diuretic therapy.  BNP and echocardiography may be helpful in further evaluation.</t>
  </si>
  <si>
    <t xml:space="preserve">
1.Are respiratory signs present? If NO._x000D_
2.Given this combination of above thoracic findings, a radiologist over read may be beneficial._x000D_
3.Are respiratory signs present? If YES._x000D_
4.SEVERE INTERSTITIAL TO ALVEOLAR PATTERN; SEVERE BRONCHITIS;  PULMONARY NODULES OR MASS LESION; PLEURAL FLUID or PLEURAL THICKENING; SEVERE DYNAMIC AIRWAY DISEASE._x000D_
5.Based on these AI airway/pulmonary findings, the probability of this patient having clinically detectable respiratorysigns is VERY HIGH (&gt;75%)_x000D_
6.This evaluation has detected pulmonary nodules or a mass lesion and pleural fissure lines or effusion._x000D_
7.Severe cardiomegaly has been detected but Heart Failure is NOT suspected.</t>
  </si>
  <si>
    <t>Study:_x000D_
Thoracic radiography: three images dated June 25, 2024_x000D_
_x000D_
Compared to prior study dated November 16, 2022_x000D_
_x000D_
Findings:_x000D_
The cardiac silhouette and pulmonary vasculature are normal in size. The pulmonary parenchyma is unremarkable and unchanged appearance from the prior examination. The pleural space is normal. There is no intrathoracic lymphadenopathy. The trachea is normal in diameter and course. The included abdomen is normal. No skeletal abnormalities are present.</t>
  </si>
  <si>
    <t>Normal thorax. A cause of coughing is not evident. Lack of a definitive bronchial pulmonary pattern does not exclude the possibility of allergic/inflammatory, infectious, irritant or parasitic bronchitis. Normal diameter of the trachea does not exclude the possibility of dynamic airway disease.</t>
  </si>
  <si>
    <t>Infectious respiratory disease PCR testing, airway sampling plus/minus heartworm testing, Baermann fecal flotation fluoroscopy can be considered to further evaluate the reported coughing.</t>
  </si>
  <si>
    <t>Three orthogonal thoracic radiographs dated 25th June 2024 are available for review. These are compared with previous radiographs dated 30th August 2023. _x000D_
_x000D_
Thorax:_x000D_
Airway findings: A smoothly marginated soft tissue opacity is variably present overlying the dorsal aspect of the trachea at the thoracic inlet.  The trachea is elevated within the thorax. There is severe narrowing of the mainstem bronchi. There is widening of the tracheal bifurcation. Throughout the lung parenchyma there is a mild bronchointerstitial opacification, most prominent in the perihilar region. No nodules or masses are seen._x000D_
_x000D_
Cardiovascular findings: There is a large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70% of the width of the thoracic volume. The cranial and caudal pulmonary vasculature are normal. The caudal vena cava is enlarged._x000D_
_x000D_
Mediastinum and pleural space: There is mild ventral soft tissue attenuation consistent with mild pleural effusion._x000D_
_x000D_
Musculoskeletal findings: No significant abnormalities are detected._x000D_
_x000D_
Included abdomen: There is mild hepatomegaly with rounded borders.</t>
  </si>
  <si>
    <t>1.Mainly left sided cardiomegaly with pulmonary venous distension and cardiogenic pulmonary edema consistent with left sided congestive heart failure. Ddx: myxomatous degeneration of the mitral (+- tricuspid) valves with post-capillary pulmonary hypertension vs systolic dysfunction (DCM). In comparison with previous radiographs, there is increased cardiomegaly, and more compression of the mainstem bronchi._x000D_
2.  There is a more prominent interstitial component to the pulmonary opacification, indicative of cardiogenic pulmonary oedema._x000D_
3. The dorsal attenuation of the trachea is consistent with redundant trachealis membrane or overlying musculature.</t>
  </si>
  <si>
    <t>Complete bloodwork if not already performed. Management for left sided congestive heart failure including diuretic therapy with oxygen support as needed. ECG and systemic blood pressure monitoring. Recommend repeat thoracic radiographs after 24-48 hours of therapy, sooner if clinically indicated. Continued monitoring of renal values and urinalysis._x000D_
Once stabilized, an echocardiogram is recommended._x000D_
Alternatively, adaptation of the cardiac medication, and repeat radiographs are also be considered. The main reason for the coughing is most likely the severely collapsing mainstem bronchi.</t>
  </si>
  <si>
    <t xml:space="preserve">
1.A mild bronchial pattern and minimal perihilar infiltrate have been detected._x000D_
2.MILD BRONCHIAL PATTERN; MINIMAL DYNAMIC AIRWAY DISEASE._x000D_
3.Based on these AI airway/pulmonary findings, the probability of this patient having clinically detectable respiratory signs is LOW (25%)_x000D_
4.Are respiratory signs present? If YES._x000D_
5.Are respiratory signs present? If NO._x000D_
6.Mild cardiomegaly has been detected but Heart Failure is NOT suspected._x000D_
7.There is no evidence of ALVEOLAR PATTERN.</t>
  </si>
  <si>
    <t>Thorax: There is a large (4.75 cm in diameter) soft tissue mass within the caudal dorsal thorax along midline.  The remainder of the thorax is unremarkable._x000D_
_x000D_
Abdomen: There appears to be diffuse small intestinal wall thickening.  The liver is unremarkable.  The visible portions of the spleen are unremarkable.  It is difficult to assess the kidneys due to silhouetting and summation with adjacent viscera.  Serosal detail is normal.  The urinary bladder is unremarkable.</t>
  </si>
  <si>
    <t>Soft tissue mass within the caudal dorsal thorax.  This may represent a pulmonary mass (left caudal versus right caudal lung lobes), or less likely esophageal or sliding hiatal hernia._x000D_
_x000D_
Possible diffuse small intestinal wall thickening.  This is not a definitive finding on survey radiography.  Differential considerations include artifactual, variation of normal, enteritis, or IBD.</t>
  </si>
  <si>
    <t>Consider computed tomography of the thorax for further evaluation.</t>
  </si>
  <si>
    <t xml:space="preserve">
1.MILD BRONCHOINTERSTITIAL PULMONARY PATTERN; MILD DYNAMIC AIRWAY DISEASE; MINIMAL PERIHILAR INFILTRATE._x000D_
2.Based on these AI airway/pulmonary findings, the probability of this patient having clinically detectable respiratory signs is MEDIUM (50%)_x000D_
3.Are respiratory signs present? If YES._x000D_
4.Are respiratory signs present? If NO._x000D_
5.The cardiac silhouette size is normal.</t>
  </si>
  <si>
    <t>No specific recommendations based on thoracic radiographs.</t>
  </si>
  <si>
    <t>A three view study of the thorax is provided for interpretation._x000D_
_x000D_
A mild alveolar pattern is identified involving the cranial subsegment of the left cranial lung lobe. The other lung fields have a mild to moderate bronchial pattern. The cardiovascular structures are within normal limits. No tracheal or esophageal abnormalities are identified._x000D_
_x000D_
There is a small quantity of granular mineral density in the stomach. The liver is at the small end of normal size range._x000D_
_x000D_
Multiple congenital vertebral deformities and moderate caudal thoracic kyphosis and spondylosis are present.</t>
  </si>
  <si>
    <t>Mild alveolar pattern involving the left cranial lung field, likely representative of early aspiration pneumonia._x000D_
_x000D_
The more diffuse bronchial pattern is probably a breed associated incidental bronchial pattern, although more diffuse bronchitis still cannot be excluded.</t>
  </si>
  <si>
    <t>Antibiotic therapy for aspiration pneumonia is recommended._x000D_
_x000D_
A recheck a three view radiographic study of the thorax is recommended in 10 to 14 days, or sooner if clinical signs are not improving.</t>
  </si>
  <si>
    <t>Opposite lateral and VD views of the thorax are provided._x000D_
_x000D_
There is an alveolar pattern involving the cranial subsegment of the left cranial lung lobe. This lobe appears to have reduced volume, with compensatory hyperinflation of the right cranial lobe. The other lung fields are within normal limits. Thin pleural fissure lines are faintly visible in some views, but the appearance is subtle enough ASTA likely be incidental. The cardiovascular structures are within normal limits. No tracheal or esophageal abnormalities are identified. The cranial abdomen is unremarkable.</t>
  </si>
  <si>
    <t>There is alveolar opacity involving the cranial subsegment of the left cranial lobe, and suspicion of mild to moderate volume loss involving this lung segment._x000D_
_x000D_
The general appearance is consistent with lobar pneumonia, possibly secondary to aspiration including aspiration of a radiolucent foreign body such as a grass awn.</t>
  </si>
  <si>
    <t>Bronchoscopy would be ideal for definitive diagnosis._x000D_
If this is not an option, antibiotic therapy with a recheck a three view study in two weeks is recommended._x000D_
CBC is also recommended.</t>
  </si>
  <si>
    <t>4 images of the thorax are provided for review.  The trachea is dorsally deviated, indicating left ventricular enlargement.  A bulge is present in the region of the left atrium.  No pulmonary infiltrates are seen.  The pulmonary vasculature is normal in size.  The mediastinal and pleural structures are normal.  Cranial abdominal detail is adequate.  The liver margin is rounded and extends beyond the costal arch.</t>
  </si>
  <si>
    <t>Left-sided cardiomegaly without current evidence of cardiogenic pulmonary edema.  Echocardiography may be helpful in further evaluation.  Hepatomegaly=ZZ90= this is a nonspecific finding that may be seen with congestion, vacuolar hepatopathy, inflammation, neoplasia, etc.  Abdominal ultrasound may be helpful in further evaluation if biochemically indicated.</t>
  </si>
  <si>
    <t xml:space="preserve">
1.Moderate cardiomegaly has been detected but Heart Failure is NOT suspected._x000D_
2.MINIMAL to MILD BRONCHOINTERSTITIAL PULMONARY PATTERN; MINIMAL DYNAMIC AIRWAY DISEASE._x000D_
3.Based on these AI airway/pulmonary findings, the probability of this patient having clinically detectable respiratory signs are LOW (25%)_x000D_
4.Are respiratory signs present? If YES._x000D_
5.Are respiratory signs present? If NO.</t>
  </si>
  <si>
    <t>4 images of the thorax are provided for review.  The cardiovascular structures are normal.  There is a moderate bronchial pattern in all lung lobes.  Focal alveolar opacity is present in the right middle lung lobe.  The esophagus is gas dilated.  The mediastinal and pleural structures are normal.  Cranial abdominal detail is adequate.</t>
  </si>
  <si>
    <t>Esophageal dilation may represent aerophagia, esophagitis, or motility disorder.  An esophagram could be considered to evaluate motility.  Moderate bronchial pulmonary pattern=ZZ90= consider bronchitis, response to inhaled irritants, response to circulating parasites, eosinophilic bronchopneumopathy.  Alveolar pulmonary pattern concerning for concurrent pneumonia.  Airway sampling may be helpful in further evaluation.  Echocardiography and BNP may be helpful in further evaluation of the reported murmur.</t>
  </si>
  <si>
    <t xml:space="preserve">
1.Pleural fissure lines or small volume pleural effusion has been detected. In a mildly overweight animal, excessive pericardial fat can artifactually mimic the result of minimal pleural effusion._x000D_
2.MODERATE ALVEOLAR PATTERN; CONCURRENT MILD BRONCHOINTERSTITIAL PATTERN; MINIMAL DYNAMIC AIRWAY DISEASE._x000D_
3.Based on these AI airway/pulmonary findings, the probability of this patient having clinically detectable respiratory signs is MEDIUM (50%)_x000D_
4.Are respiratory signs present? If YES._x000D_
5.Are respiratory signs present? If NO._x000D_
6.Moderate cardiomegaly has been detected but Heart Failure is NOT suspected.</t>
  </si>
  <si>
    <t>3 views of the thorax are provided for review.  The trachea is dorsally deviated, indicating left ventricular enlargement.  A small bulge is present in the region of the left atrium.  Increased bronchial markings are present in all lung lobes.  No perihilar pulmonary infiltrates are seen.  The pulmonary vasculature is normal in size.  The mediastinal and pleural structures are normal.  Cranial abdominal detail is adequate.</t>
  </si>
  <si>
    <t xml:space="preserve">
1.SEVERE INTERSTITIAL TO ALVEOLAR INFILTRATE; CONCURRENT MODERATE BRONCHIAL PATTERN and MILD DYNAMIC AIRWAY DISEASE._x000D_
2.Based on these AI airway/pulmonary findings, the probability of this patient having clinically detectable respiratory signs is HIGH (75%)_x000D_
3.Pleural fissure lines or moderate to severe pleural effusion has been detected. An overlying skin fold or in an obese animal, excessive pericardial fat could artifactually mimic the result of severe pleural effusion._x000D_
4.Severe cardiomegaly has been detected but Heart Failure is NOT suspected._x000D_
5.Are respiratory signs present? If YES._x000D_
6.Are respiratory signs present? If NO.</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</si>
  <si>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moderately distended.  The remaining abdominal organs are normal.</t>
  </si>
  <si>
    <t>Three radiographs of the thorax and three views of the abdomen are provided. The cardiac silhouette and pulmonary vessels are normal size and shape. A mild unstructured interstitial pattern is normal for the age of this patient. There are no soft tissue pulmonary nodules or pleural effusion. Adequate tracheal diameter. Small volume fluid in the caudal esophagus, likely incidental. Tracheal diameter is adequate._x000D_
_x000D_
In the abdomen there is scant cranioventral peritoneal fluid. The splenic tail is enlarged and smoothly irregular on the lateral views. Normal-sized liver and left kidney. The right kidney is obscured. Small volume soft tissue opaque ingesta in the stomach. Small bowel are minimally filled. There is gas in the cecum and distal colon. The prostate is moderately enlarged consistent with the reproductive status of this patient. Narrowed L1-2 intervertebral disc space and lumbar spondylosis deformans are of doubtful clinical significance today.</t>
  </si>
  <si>
    <t>Enlarged, mass-like irregular splenic tail and scant peritoneal effusion. Neoplasia such as hemangiosarcoma is of concern, and the effusion may be hemorrhagic. A hematoma or hemangioma are next on the differential list. A mesenteric origin mass is given lesser consideration. The thorax is normal.</t>
  </si>
  <si>
    <t>Abdominal ultrasound is recommended to confirm origin of the mass and rule out additional intra-abdominal lesions which may preclude surgical intervention.</t>
  </si>
  <si>
    <t>Three radiographs of the thorax and three views of the abdomen are provided. The cardiac silhouette is normal size and shape. There are faint bronchial markings and several pulmonary osteomas consistent with age. No soft tissue pulmonary nodules or pleural effusion. Normal tracheal diameter. Curved distal lateral aspect of the right ribs on the VD projection is a normal variant in this breed, and is increased in conspicuity due to rotation._x000D_
_x000D_
In the abdomen there is moderate volume formed feces in the colon. The stomach and small bowel are minimally filled. The cecum is gas filled. No radiopaque foreign material. Normal-sized liver, spleen, and kidneys. No radiopaque urolithiasis.</t>
  </si>
  <si>
    <t>Normal thorax and abdomen. A reason for weight loss is not identified.</t>
  </si>
  <si>
    <t>A CBC and blood chemistry profile are recommended.</t>
  </si>
  <si>
    <t>Fluoroscopy or bronchoscopy could be considered to rule out dynamic tracheal collapse.</t>
  </si>
  <si>
    <t>Study:_x000D_
Thoracic radiography: four images dated June 25, 2024_x000D_
_x000D_
Findings:_x000D_
The cardiac silhouette is normal in size and shape. The pulmonary vasculature is normal in size. There is incidental age-related bronchial wall mineralization. There is a moderate alveolar pattern in the right cranial and middle lung lobes. A mild alveolar pattern is also present in the cranioventral aspect of the cranial segment of the left cranial lung lobe. The included abdomen is unremarkable. There is severe T 12-T 13 and mild to moderate T 13-one spondylosis deformans.</t>
  </si>
  <si>
    <t>The multifocal alveolar disease likely indicates bronchopneumonia. Recommend empiric antibiotic therapy with repeat radiography in 10 to 14 days to monitor for response to treatment.</t>
  </si>
  <si>
    <t xml:space="preserve">
1.A severe alveolar infiltrate or pulmonary mass has been identified._x000D_
2.A minimal interstitial pulmonary pattern with a concurrent, mild perihilar infiltrate have been detected._x000D_
3.The cardiac silhouette size is normal._x000D_
4.There is no evidence of DYNAMIC AIRWAY COLLAPSE or BRONCHIECTASIS._x000D_
5.Pleural fissure lines or moderate pleural effusion has been detected. An overlying skin fold or in a moderately overweight animal, excessive pericardial fat could artifactually mimic the result of moderate pleural effusion.</t>
  </si>
  <si>
    <t>Study:_x000D_
Thoracic and abdominal radiography: seven images dated June 25, 2024_x000D_
_x000D_
Findings:_x000D_
The cardiac silhouette and pulmonary vasculature are normal in size. There is incidental age-related bronchial wall mineralization. On the lateral projections, there is a mild patchy interstitial to alveolar pattern in the cranioventral lung fields. The pleural space is normal. There is no intrathoracic lymphadenopathy. The trachea is normal in diameter and course. The stomach contains a small volume of gas. The small intestines are normal in size, course and content. The colon contains formed fecal material. The liver is normal in size and margin. On the right lateral projection, there is a indistinct round soft tissue opaque bulge from the ventral margin of the tail the spleen. The kidneys are normal in size and contour. The urinary bladder is normal in size and opacity. There is mild to moderate bilateral remodeling/thickening of the femoral head and neck.</t>
  </si>
  <si>
    <t>1. A splenic nodule suspected. Rule out extramedullary hematopoiesis, lymphoid hyperplasia or neoplasia. Sonography can be considered for further evaluation._x000D_
2. The gastrointestinal tract is unremarkable. A cause of the reported hyporexia there is no evident. There is no radiographic evidence of gastrointestinal foreign material or small intestinal mechanical obstruction. Abdominal sonography can be considered for further evaluation if clinical signs persist or worsen in spite of medical management._x000D_
3. The mild patchy interstitial to alveolar pattern in the cranioventral lung fields may indicate pneumonia. Atelectasis is also possible. Antibiotic therapy with repeat radiography in 10 to 14 days to monitor for response to treatment can be considered.</t>
  </si>
  <si>
    <t xml:space="preserve">
1.A mild interstitial to alveolar pattern has been detected._x000D_
2.The cardiac silhouette size is normal._x000D_
3.There is no evidence of BRONCHITIS, DYNAMIC AIRWAY COLLAPSE or BRONCHIECTASIS or PLEURAL EFFUSION.</t>
  </si>
  <si>
    <t>Four radiographs of the thorax/abdomen are provided. There is mild left atrial and ventricular enlargement. Pulmonary vessels are normal size. Perihilar vessels are adequately visible. The mainstem bronchi are deviated dorsally and compressed. No abnormalities in the pulmonary parenchyma or pleural space. Redundant dorsal trachealis membrane causes severe narrowed cervical trachea. In the abdomen the liver is mildly enlarged. Normal size spleen and kidneys. No radiopaque urolithiasis.</t>
  </si>
  <si>
    <t>1. Mild left-sided cardiomegaly consistent with acquired mitral valve disease. There is no pulmonary venous congestion or evidence of heart failure, however there is mainstem bronchial compression._x000D_
2. Cervical tracheal collapse._x000D_
3. Mild hepatomegaly, a nonspecific finding that may be venous congestion, steroid or other hepatopathy, acute inflammation, or neoplasia. This should be correlated with history and blood work. Otherwise normal abdomen.</t>
  </si>
  <si>
    <t>An echocardiogram is recommended to guide treatment and anesthetic protocol.</t>
  </si>
  <si>
    <t xml:space="preserve">
1.Severe dynamic airway disease has been detected._x000D_
2.Moderate cardiomegaly has been detected but Heart Failure is NOT suspected._x000D_
3.A minimal interstitial pulmonary pattern with a concurrent, mild perihilar infiltrate have been detected._x000D_
4.There is no evidence of ALVEOLAR PATTERN or PULMONARY NODULES.</t>
  </si>
  <si>
    <t>Three orthogonal thoracic radiographs dated 25th June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No significant abnormalities are detected.</t>
  </si>
  <si>
    <t>Normal thorax. An upper airway abnormality, or a phrenic nerve issue is possible.</t>
  </si>
  <si>
    <t>Observational management and an upper airway examination is advised.</t>
  </si>
  <si>
    <t>Orthogonal views of the thorax are provided:_x000D_
_x000D_
Thorax:_x000D_
_x000D_
Cardiac silhouette has a normal shape and size._x000D_
Pulmonary vessels are within normal limits of size and shape._x000D_
Pulmonary parenchyma shows an alveolar pulmonary pattern with air bronchograms ventrally located on both cranial lung lobes in the right middle lung lobe and in the left caudal lung lobe in the VD view. No evidence of pulmonary nodules/masses._x000D_
Pleural space, mediastinum, diaphragm and thoracic wall within normal limits.</t>
  </si>
  <si>
    <t>1) Alveolar pulmonary pattern with air bronchograms ventrally located on both cranial lung lobes in the right middle lung lobe and in the left caudal lung lobe in the VD view consistent with infectious pneumonia._x000D_
2) No signs of cardiomegaly (this does not exclude a cardiac disease).</t>
  </si>
  <si>
    <t>Consider empirical treatment for pneumonia with follow up radiographs every 48/72 hours to evaluate response to treatment._x000D_
Given the lack of cardiomegaly but audible murmur, consider a cardiology consultation with ECG and echocardiogram.</t>
  </si>
  <si>
    <t xml:space="preserve">
1.A mild bronchial pattern and minimal perihilar infiltrate have been detected._x000D_
2.A mild interstitial to alveolar pattern and minimal perihilar pattern have been detected._x000D_
3.A mild, diffuse mixed bronchointerstitial pattern with potential small regions of alveolar infiltrate has been detected._x000D_
4.Pleural fissure lines or small volume pleural effusion has been detected. In a mildly overweight animal, excessive pericardial fat can artifactually mimic the result of minimal pleural effusion._x000D_
5.The cardiac silhouette size is normal._x000D_
6.There is no evidence of DYNAMIC AIRWAY COLLAPSE or BRONCHIECTASIS.</t>
  </si>
  <si>
    <t xml:space="preserve">Patient Name : JAZZY MONTALBANO, Date of study: Jun 25, 2024
3 images are provided for review
There are no previous radiographs for comparison.
Pulmonary parenchyma: A mild diffuse bronchial and minimal to mild diffuse interstitial pattern is present.  The lungs are hypoinflated in the lateral image. 
Pulmonary vasculature: The pulmonary vasculature is subjectively normal in size and tapers in the periphery of the lungs.
Cardiac silhouette: The cardiac silhouette is tall and occupies over 2/3 the height of the thorax in the lateral image.  The caudodorsal margin of the cardiac silhouette is enlarged.    The cardiac silhouette is widened and occupies 3.5-4 intercostal spaces width.  
Mediastinum: The cranial mediastinum is normal.
Trachea: The trachea narrows and tapers towards the carina in the right lateral image.  
Esophagus: The esophagus is not well-identified.
Pleural space: The pleural space is normal.
Liver: The liver is mildly enlarged with a rounded caudoventral margin terminating at the level of the 13th ribs. The gastric axis is mildly caudally displaced.  
Spleen: The spleen is normal in size with smooth margins and homogeneous soft tissue.
Kidneys: Right-sided nephroliths as suspected in lateral and ventrodorsal images.  The renal margins are suspected to be mildly undulant, and the kidneys are normal in overall size.  
Retroperitoneum: Retroperitoneal detail is adequate.
Urogenital: The urinary bladder is normal in size, homogeneous soft tissue, and smoothly marginated.
Peritoneum: Peritoneal detail is adequate.
Gastrointestinal tract: The stomach contains a mild volume of gas and is normal in size.
The small intestine contains fluid and minimal gas, or is empty with a subjectively uniform population for size. 
The colon contains mild heterogeneous soft tissue material and gas.  The colon is normal in size.
Musculoskeletal: Lobular soft tissue nodule(s) arise from the cranioventral extra-abdominal soft tissues.  Multiple nipples are prominent.  The remaining included musculoskeletal structures are normal.
</t>
  </si>
  <si>
    <t xml:space="preserve">1. Moderate left-sided and suspected right-sided cardiomegaly such as from myxomatous mitral/tricuspid valvular disease with/without pulmonary hypertension/cor pulmonale, or unlikely other.
- No current evidence of left-sided congestive heart failure.
2. Mild diffuse bronchial and minimal-mild interstitial pulmonary patterns due to fibrosis from prior disease, age-related changes, atelectasis/hypoinflation, and/or  infectious/immune-mediated lower airway disease or unlikely other.
3. tracheal narrowing and possible dynamic airway disease versus variation from phase of the respiratory cycle.
4. Mild hepatomegaly due to vacuolar change, nodular hyperplasia, hepatitis/cholangiohepatitis, or evolving neoplasia.
5. Suspected right nephroliths and bilateral chronic renal disease.
</t>
  </si>
  <si>
    <t>Consider echocardiography, blood pressure, ECG, routine blood work and urinalysis for further evaluation. Abdominal ultrasonography for further evaluation of the liver and kidneys may be contributory.   Empirical therapy and supportive care in the interim as needed.  Monitoring as directed, or sooner if clinical signs acutely change, fail to improve or worsen.</t>
  </si>
  <si>
    <t xml:space="preserve">
1.Are respiratory signs present? If NO._x000D_
2.MILD INTERSTITIAL TO ALVEOLAR PATTERN; MILD DYNAMIC AIRWAY DISEASE; MILD PERIHILAR INFILTRATE._x000D_
3.Based on the AI airway/pulmonary findings, the probability of this patient having clinically detectable respiratory signs is MEDIUM (50%)_x000D_
4.Are respiratory signs present? If YES._x000D_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</si>
  <si>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Study:_x000D_
Thoracic radiography: three images dated June 25, 2024_x000D_
_x000D_
Findings:_x000D_
The cardiac silhouette is normal in size. The aortic arch appears enlarged on the VD view. This may be overestimated by patient obliquity. The lobar vasculature is normal in size. There is a mild to moderate generalized bronchial pulmonary pattern. The pleural space is normal. On both lateral views, there is an indistinct proximally 5 cm round soft tissue opaque mass within the cranial mediastinum. There is widening and rounding of the cranium is cinnamon this region on the orthogonal view. The trachea is normal in diameter. The stomach contains granular soft tissue material presumed to be ingesta. There is mild T5-T6 spondylosis deformans.</t>
  </si>
  <si>
    <t>1. Cranial mediastinal mass. Rule out (reactive or neoplastic) cranial mediastinal lymphadenopathy, thymoma, thymic lymphoma or ectopic thyroid carcinoma. Thoracic sonography plus/minus tissue sampling should be considered for further evaluation._x000D_
2. The mild to moderate generalized bronchial pulmonary pattern could be from the prior heartworm disease or may indicate active allergic, inflammatory infectious or, less likely, parasitic bronchitis. Airway sampling plus/minus Baermann fecal flotation repeat heartworm testing can be considered for further evaluation this finding._x000D_
3. As stated above, the aortic arch enlargement suspected on the VD view could be artifact created by patient obliquity but also could be an indicator of systemic hypertension. Blood pressure testing can be considered for further evaluation.</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</si>
  <si>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 cardiac silhouette size is normal._x000D_
6.Pleural fissure lines or small volume pleural effusion has been detected. In a mildly overweight animal, excessive pericardial fat can artifactually mimic the result of minimal pleural effusion.</t>
  </si>
  <si>
    <t>A right lateral thorax view a lateral view of the right stifle, and orthogonal views of the right carpus and right tarsus are provided. Previous radiographs are available for comparison._x000D_
_x000D_
Thorax: Mild left sided heart enlargement is identified, which has progressed relative to the previous study dated 9-13-23. The pulmonary vessels and parenchyma are within normal limits._x000D_
_x000D_
Hind limb: There is severe capsular swelling in the right stifle. No bony abnormalities are identified involving the stifle joint._x000D_
There is moderate swelling involving the right tarsus, which is similar to what was seen previously. There is bony irregularity involving the tibiotarsal joint, but the appearance is slightly less prominent than how looked in the previous radiographs 4-10-23._x000D_
_x000D_
Forelimb: The remodeling changes associated with the previously diagnosed erosive arthritis involving the right carpus are slightly more prominent than they were in the previous study dated 9-13-23. The swelling around the joint is similar.</t>
  </si>
  <si>
    <t>1) The stifle joint effusion is severe, and more prominent than what would commonly be expected with a typical dramatic injury such as a ligament rupture. Active synovial inflammation is suspected, which could be infectious or immune mediated._x000D_
_x000D_
2) The right tarsus still appears abnormal, but bony changes are slightly less prominent than what was seen previously._x000D_
_x000D_
3) The bony changes involving the right carpus appears slightly worse than they did previously. However, slight positional differences could possibly for these changes. A mild degree of progressive erosion is still suspected._x000D_
_x000D_
4) There is left sided heart enlargement that was not seen previously. Chronic mitral valve regurgitation would be the most likely explanation.</t>
  </si>
  <si>
    <t>Joint fluid analysis or synovial biopsy from the right stifle is recommended._x000D_
_x000D_
Echocardiography is recommended.</t>
  </si>
  <si>
    <t xml:space="preserve">
1.MILD TO MODERATE BRONCHOINTERSTITIAL PULMONARY PATTERN; ATELECTASIS or ALVEOLAR INFILTRATE._x000D_
2.Based on these AI airway/pulmonary findings, the probability of this patient having clinically detectable respiratory signs is LOW to MEDIUM (25-50%)_x000D_
3.Are respiratory signs present? If YES._x000D_
4.Are respiratory signs present? If NO._x000D_
5.There is no evidence of PULMONARY NODULES._x000D_
6.Severe cardiomegaly has been detected but Heart Failure is NOT suspected._x000D_
7.A mild perihilar infiltrate has been detected.</t>
  </si>
  <si>
    <t>Three orthogonal thoracic radiographs dated 25th June 2024 are available for review. There are no previous radiographs available for comparison. _x000D_
_x000D_
Airway findings: The lungs are well inflated. The trachea has a normal position, shape and size. The carina and tracheal bifurcation are normal. The pulmonary parenchyma is normal. No nodules or masses are seen._x000D_
_x000D_
Cardiovascular findings: There is a small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No significant abnormalities are detected._x000D_
_x000D_
Musculoskeletal findings: No significant abnormalities are detected._x000D_
_x000D_
Included abdomen: No significant abnormalities are detected.</t>
  </si>
  <si>
    <t>1. Left atrial dilation. This is most likely due to mixoid degeneration of the mitral valve. There is no evidence for cardiac insufficiency.</t>
  </si>
  <si>
    <t xml:space="preserve">
1.There is no evidence of BRONCHITIS, ALVEOLAR PATTERN, DYNAMIC AIRWAY COLLAPSE or BRONCHIECTASIS, PULMONARY NODULES or PLEURAL EFFUSION._x000D_
2.A mild perihilar infiltrate has been detected._x000D_
3.Moderate cardiomegaly has been detected but Heart Failure is NOT suspected.</t>
  </si>
  <si>
    <t>Orthogonal radiographs of the thorax and of the abdomen are provided. The cardiac silhouette is normal size. There is moderate volume pleural gas. Lungs are retracted from the thoracic margins. No pleural effusion. There is curved 5.3 cm soft tissue density dorsal to the cranial sternum on the lateral view, unknown if this resides within the thorax or superimposed thoracic limb tissue. Tracheal diameter is adequate. No pulmonary masses or nodules._x000D_
_x000D_
In the abdomen peritoneal and retroperitoneal detail is adequate. Normal size kidneys. Blunted caudal lateral aspect of the right kidney suggestive of previous infarct, typically incidental. The spleen is normal size. There is curved 7.9 cm soft tissue opacity lateral to the right kidney on the VD projection, not definitively seen on the lateral view. Hepatic size is normal. Moderate volume gas in the stomach. The small and large bowel are minimally filled. No radiopaque urolithiasis. Normal lumbar spine. Mild degenerative change in the coxofemoral joints, incidental.</t>
  </si>
  <si>
    <t>1. Moderate pneumothorax, of uncertain etiology. This may be due to trauma, ruptured pulmonary bulla/bleb, idiopathic etiology._x000D_
2. Possible sternal lymphadenomegaly versus superimposed extrathoracic tissue. Sternal lymph node enlargement is typically due to a disease process originating from the cranial peritoneal space._x000D_
3. Cranial right abdominal soft tissue mass-effect. Neoplasia originating from liver is of concern. Incidental splenic tail position is next on the differential list.
(amended on 06/25/2024 13:48)
1. Continued-small migrating foreign object such as a grass awn could also cause the pneumothorax, although pleural fluid is typically present.</t>
  </si>
  <si>
    <t>Recommend pleurocentesis. If the pleural gas is persistent/progressive, placement of thoracostomy tube(s) may be necessary. If this does not resolve for the pneumothorax, exploratory surgery may be necessary. Computed tomography is an option, although can result in a low yield study, as often the structure causing the gas is ruptured/collapsed and not visible at the time of imaging. Abdominal ultrasound should also be considered to rule out a mass lesion. Ultrasound evaluation of the region of the sternal lymph node could be performed at the same time.</t>
  </si>
  <si>
    <t xml:space="preserve">
1.A moderate alveolar pattern has been detected._x000D_
2.The cardiac silhouette size is normal._x000D_
3.There is no evidence of PERIHILAR INFILTRATE, DYNAMIC AIRWAY COLLAPSE or BRONCHIECTASIS or PULMONARY NODULES.</t>
  </si>
  <si>
    <t>Two lateral radiographs of the thorax, and four lateral views of the abdomen are provided. Images dated 12/7/23 and earlier are available for comparison. There is mild atrial enlargement as before. Cranial pulmonary vessels are normal size. There is a hazy appearance to the perihilar region. The appearance of several small round soft tissue densities caudal to the left atrium are likely end-on pulmonary vessels. There is no pleural effusion. Normal tracheal diameter._x000D_
_x000D_
In the abdomen the liver is moderately enlarged, with more pronounced caudoventral extension of the liver. Ventral hepatic margins remain smoothly irregular. The abdomen is pendulous. There is no effusion. The gastrointestinal tract is mildly filled. No radiopaque urolithiasis. The spleen and kidneys are normal size. Spondylosis deformans in the lumbar spine is likely incidental.</t>
  </si>
  <si>
    <t>1. Moderate hepatomegaly with irregular margins, progressed since the previous study and most consistent with neoplasia. Steroid or other hepatopathy is given much lesser consideration._x000D_
2. Mild left atrial enlargement as before, likely dilated cardiomyopathy. Hazy perihilar region is concerning for cardiac decompensation. No other definitive thoracic abnormalities.</t>
  </si>
  <si>
    <t>Abdominal ultrasound is recommended. If the patient has increased respiratory rate or abnormal lung auscultation, diuretic administration would be recommended.</t>
  </si>
  <si>
    <t xml:space="preserve">
1.MODERATE BROCHIAL PATTERN; MODERATE DYNAMIC AIRWAY DISEASE; MODERATE INTERSTITIAL INFILTRATE with ATELECTASIS or less likely, PNEUMONIA._x000D_
2.Based on these AI airway/pulmonary findings, the probability of this patient having clinically detectabe respiratory signs is VERY HIGH (&gt;75%)_x000D_
3.Are respirartory signs present? If YES._x000D_
4.AI linked collapsing airway disease in dogs: https://platform.v2.vetology.net/doc/canine-tracheal-collapse-treatment_x000D_
5.Are respiratory signs preesnt? If NO._x000D_
6.The evaluation has a strong suspicion of pulmonary nodules or mass lesion being present._x000D_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t>
  </si>
  <si>
    <t>Seven radiographs are provided, with images of the thorax, abdomen, proximal pelvic limbs. The cardiac silhouette and pulmonary vessels are normal size and shape. The lungs are clear. There is no pleural effusion. Moderate narrowed cervical trachea, of uncertain significance today. In the abdomen the liver is upper normal size. Normal-sized spleen and kidneys. The gastrointestinal tract is minimally filled. No radiopaque cystic calculi. The coxofemoral joints are congruent. Pelvic limb musculature is symmetric. The left patella is medially displaced. There is moderate volume fluid in the cranial aspect of the left stifle joint. Equivocal scant right stifle fluid. No popliteal lymphadenomegaly.</t>
  </si>
  <si>
    <t>1. Moderate left stifle effusion most consistent with cranial cruciate ligament tear/rupture. This is the most likely cause for lameness. Concurrent medial patellar luxation on the left._x000D_
2. Suspect scant right stifle effusion suggestive of partial cranial cruciate ligament tear. In the absence of right-sided lameness, significance is doubtful._x000D_
3. Normal coxofemoral joints, abdomen, thorax.</t>
  </si>
  <si>
    <t xml:space="preserve">Patient Name : Gus Hemphill, Date of study: Jun 25, 2024
5 images are provided for review
There are no previous radiographs for comparison.
Liver: The liver is mildly enlarged with a rounded or curved caudoventral margin that extends just past the 13th ribs.  The gastric axis is mildly caudally displaced.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gas.  The stomach is within normal limits for size.  
The small intestine contains mild gas, fluid or is empty with a subjectively uniform population for size. 
The colon contains minimal soft tissue material and gas.
Musculoskeletal: The patient is obese.  The remaining included musculoskeletal structures are normal.
</t>
  </si>
  <si>
    <t>1. Mild hepatomegaly due to vacuolar change, nodular hyperplasia,evolving neoplasia or less likely hepatitis or unlikely other.
2. Non-specific gastrointestinal tract changes such as from enteritis/colitis versus individual variation of normal.
3. Obesity.</t>
  </si>
  <si>
    <t>Consider urine cortisol:creatinine ratio versus ACTH stimulation/LDDS testing for further evaluation of possible underlying endocrinopathy driving clinical signs.  Abdominal ultrasonography for further evaluation of the liver, adrenal glands and gastrointestinal tract.  Consider GI panel, fecal analysis and deworming if not recently performed.  Empirical therapy and supportive care in the interim as needed.  Monitoring with routine blood work and abdominal imaging as directed, or sooner if clinical signs acutely change, fail to improve or worsen.</t>
  </si>
  <si>
    <t xml:space="preserve">
1.Are respiratory signs present? If NO._x000D_
2.The cardiac silhouette size is normal._x000D_
3.There is no evidence of ALVEOLAR PATTERN, PULMONARY NODULES or PLEURAL EFFUSION._x000D_
4.MILD BRONCHIAL PATTERN; MILD DYNAMIC AIRWAY DISEASE; MILD PERIHILAR PATTERN._x000D_
5.Based on these AI airway/pulmonary findings, the probability of this patient having clinically detectablerespiratorysigns is LOW (25%)_x000D_
6.Are respiratory signs present? If YES.</t>
  </si>
  <si>
    <t>7 images of the thorax and abdomen are provided for review. The cardiovascular structures are normal. Alveolar opacity is present in the right cranial lung lobe. Increased bronchial markings are present in the remaining lung lobes. The pleural and mediastinal structures are normal. Abdominal serosal detail is adequate. The stomach contains a moderate amount of gas and the rugal folds are prominent. The small intestines are normal in size. Gas is present in the colon and cecum. The remaining abdominal organs are normal.</t>
  </si>
  <si>
    <t>Alveolar pulmonary pattern consistent with pneumonia. Airway sampling may be helpful. Prominent rugal folds suggestive of gastritis. This does not rule out underlying pancreatitis, dietary indiscretion, etc. If clinical signs persist with supportive therapy, abdominal ultrasound may be helpful in further evaluation.</t>
  </si>
  <si>
    <t xml:space="preserve">
1.Minimal cardiomegaly has been detected but Heart Failure is NOT suspected._x000D_
2.Are respiratory signs present? If NO._x000D_
3.MODERATE BRONCHOINTERSTITIAL PULMONARY PATTERN; MILD DYNAMIC AIRWAY DISEASE; ATELECTASIS or less likely, pneumonia; MINIMAL PERIHILAR INFILTRATE._x000D_
4.Based on the AI airway/pulmonary findings, the probability of this patient having clinically detectable respiratory signs is MEDIUM to HIGH (50%-75%)_x000D_
5.Are respiratory signs present? If YES.</t>
  </si>
  <si>
    <t>Orthogonal views of the thorax and four limbs are provided (five images)._x000D_
_x000D_
No abnormalities are seen involving the shoulder or scapula in either forelimb. Both elbow joints are unremarkable. The carpal joints and feet also appear normal. No soft tissue swelling or joint effusion is seen. No destructive or productive bone lesions are identified._x000D_
_x000D_
The cardiovascular structures are within normal limits. The heart is at the upper end of normal range. Interstitial opacity is mildly increased but within the limits of age related change. The cranial abdomen is unremarkable._x000D_
_x000D_
There is moderate spondylosis at C6-C7. The disc space appears narrowed, but this could be a positional artifact.</t>
  </si>
  <si>
    <t>No orthopedic abnormalities are identified involving the front limbs._x000D_
_x000D_
The heart is at the upper end of normal range. The interstitial lung pattern is suspected to be age related. Active pneumonitis should still be considered given the patient is apparently not feeling well.</t>
  </si>
  <si>
    <t>No explanation for the lameness is seen in the radiographs. Strict activity and anti-inflammatory therapy for possible soft tissue injury or inflammation is recommended.</t>
  </si>
  <si>
    <t>Four radiographs of the thorax are provided. Images dated May 28, 2024 are available for comparison. The cardiac silhouette is normal size and shape. There is improved aeration in the caudal segment of the left cranial lung, with a small area of persistent soft tissue density and faint air bronchograms overlying the ventral heart on the right lateral view. No other pulmonary parenchymal abnormalities. There is no pleural effusion. Normal tracheal diameter. No cranial mediastinal abnormalities.</t>
  </si>
  <si>
    <t>Significantly improved pneumonia, with focal residual disease in the caudal segment of the left cranial lung lobe.</t>
  </si>
  <si>
    <t>Recommend extended course of antibiotics.</t>
  </si>
  <si>
    <t>Six radiographs are provided, including the proximal thoracic limbs, thorax, and abdomen. The cardiac silhouette is prominent on all views. Pulmonary vessels are normal size. There are no abnormalities in the pulmonary parenchyma. Normal tracheal diameter. No narrowed cervical intervertebral disc spaces. Scapular contour and opacity is normal. The shoulder and cubital joints are congruent. No soft tissue swelling is appreciated._x000D_
_x000D_
In the abdomen the liver and kidneys are normal size. The spleen is obscured. The gastrointestinal tract is mildly filled. The urinary bladder is mildly filled. There are several punctate mineral densities in the urinary bladder and extending into the proximal urethra. No narrowed lumbar intervertebral disc spaces.</t>
  </si>
  <si>
    <t>1. Equivocal mild cardiomegaly, concerning for underlying cardiac disease (congenital abnormality versus acquired valvular disease). In the absence of a murmur or arrhythmia, significance is uncertain._x000D_
2. Punctate cystic calculi, of a size that should be able to pass the urethra. Otherwise normal abdomen._x000D_
3. No spinal or thoracic limb abnormalities are identified to explain the lameness. Soft tissue sprain/strain is suspected. A non-mineralized intervertebral disc lesion.</t>
  </si>
  <si>
    <t>If lameness does not improve with supportive care, advance to soft tissue imaging of the spine and thoracic limbs with MRI should be considered.</t>
  </si>
  <si>
    <t xml:space="preserve">
1.Are respiratory signs present? If YES._x000D_
2.MINIMAL to MILD DIFFUSE, MIXED BRONCHOINTERSTITIAL PULMONARY PATTERN with ATELECTASIS or less likely, pneumonia._x000D_
3.MINIMAL to MILD BRONCHOINTERSTITIAL PULMONARY PATTERN; MINIMAL DYNAMIC AIRWAY DISEASE._x000D_
4.MILD BRONCHOINTERSTITIAL PATTERN; MINIMAL DYNAMIC AIRWAY DISEASE._x000D_
5.Based on these AI airway/pulmonary findings, the probability of this patient having clinically detectable respiratory signs is LOW to MEDIUM (25-50%)_x000D_
6.Based on these AI airway/pulmonary findings, the probability of this patient having clinically detectable respiratory signs are LOW (25%)_x000D_
7.Probability these AI pulmonary findings will accompany clinically detectable respiratory signs: LOW (25%)_x000D_
8.Are respiratory signs present? If YES._x000D_
9.Mild cardiomegaly has been detected but Heart Failure is NOT suspected._x000D_
10.Are respiratory signs present? If YES._x000D_
11.Are respiratory signs present? If NO._x000D_
12.Are respiratory signs present? If NO._x000D_
13.Are respiratory signs present? If NO.</t>
  </si>
  <si>
    <t>Three orthogonal thoracic radiographs dated 25th June 2024 are available for review. There are no previous radiographs available for comparison. _x000D_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A small soft tissue opacity is visible in the region of the left atrium. The cardiac silhouette is otherwise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</si>
  <si>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1. Mild left atrial dilation. The murmur reported is most likely a physiologic murmur, or a compensated valvular disease such as myxoid degeneration of the mitral valve. _x000D_
2. Diffuse mild bronchial pattern: Consideration should be given to normal ageing, allergic bronchitis, chronic bacterial /viral bronchitis +/- parasitic bronchitis. Less likely are heart worm, hyperardenocorticism, neoplasia (such a lymphoma) or idiopathic pulmonary fibrosis.</t>
  </si>
  <si>
    <t>In absence of clinical signs indicative of cardiac disease, conservative management may be considered, alternatively with an acute onset murmur, and signs of exercise intolerance, echocardiography may be considered._x000D_
Depending on respiratory signs, respiratory workup including CBC, serum chemistry, urinalysis, Baermann faecal testing, 4DX, +/- respiratory panel as indicated is advised.  Alternatively, empirical therapy for lower airway disease, empirical deworming, and removal of allergens and environmental irritants (i.e. smoke, dust, perfumes, etc.) can be considered.</t>
  </si>
  <si>
    <t>Three radiographs of the thorax are provided. The cardiac silhouette and pulmonary vessels are normal size and shape. There are no abnormalities in the pulmonary parenchyma. No pleural effusion. Normal cranial mediastinal width and cranial abdomen.</t>
  </si>
  <si>
    <t>Orthogonal thoracoabdominal views and a lateral view of the thoracolumbar spine (three images total) are provided for interpretation._x000D_
_x000D_
There are multiple congenital vertebral deformities in the thoracic spine, consisting of hemi vertebrae wedge shape and butterfly shapes consistent with breed associated vertebral deformity. This is not associated with any kyphosis or significant scoliosis. No subluxation is seen._x000D_
There is moderate to severe narrowing of the T13-L1 intervertebral disc space, which is concerning because it does not appear to be associated with any vertebral deformity and would be compatible with possible disc extrusion. No fractures or soft tissue swelling are identified. No destructive endplate lesions are seen._x000D_
_x000D_
There is a mild bronchial pattern, probably breed associated._x000D_
No cardiovascular abnormalities are identified._x000D_
_x000D_
The spleen is mildly enlarged, with normal shape and smooth margins.</t>
  </si>
  <si>
    <t>1) There is significant disc space narrowing at T13-L1. Disc degeneration and disc extrusion/protrusion should be ruled out as a likely explanation for the clinical signs. More advanced imaging is indicated._x000D_
_x000D_
2) The spleen is mildly enlarged. If sedation was used for the radiographic exam this is likely secondary to sedation, if not additional rule outs would include reactive splenomegaly due to inflammatory disease, benign variation, and lymphoreticular neoplasia._x000D_
_x000D_
3) The thoracic vertebral congenital deformities are suspected to be incidental in this case. Associate soft tissue pathology including disc disease still cannot be excluded.</t>
  </si>
  <si>
    <t>Medical management for probable disc disease with spinal cord compression is recommended._x000D_
If surgery is an option, more advanced imaging such as MRI, myelography, or CT is recommended for surgical planning.</t>
  </si>
  <si>
    <t xml:space="preserve">
1.A mild perihilar infiltrate and minimal bronchial pattern have been detected_x000D_
2.MILD BROCHOINTERSTITIAL PULMONARY PATTERN; CONCURRENT ATELECTASIS (MILD) SUSPECTED._x000D_
3.Based on these AI airway/pulmonary findings, the probability of this patient having clinically detectable respiratory signs is LOW (25%)_x000D_
4.Are respiratory signs present? If NO._x000D_
5.Are respiratory signs present? If YES._x000D_
6.The cardiac silhouette size is normal._x000D_
7.There is no evidence of DYNAMIC AIRWAY COLLAPSE or BRONCHIECTASIS.</t>
  </si>
  <si>
    <t xml:space="preserve">Patient Name : Lacy Scheppner, Date of study: Jun 25, 2024
4 images are provided for review
There are no previous radiographs for comparison.
Pulmonary parenchyma: Interstitial to minimally alveolar soft tissue is in the caudal subsegment of the left cranial lung lobe in the ventrodorsal image.  Mild interstitial pattern is in the right caudal lung lobe in the ventrodorsal image.  A mild diffuse interstitial pattern is present.  The lungs are mildly hypoinflated.  
Pulmonary vasculature: The pulmonary vein is suspiciously enlarged in the right caudal lung in the ventrodorsal image.
Cardiac silhouette: The cardiac silhouette severely generally enlarged.  In one of the left lateral images, the cardiac silhouette is globoid.  In alternate images, the cardiac silhouette has a flat caudodorsal margin.  The cardiac silhouette is tall and occupies over 2/3 the height of the thorax, with dorsal tracheal displacement.  The cardiac silhouette is widened and occupies the width of 3.5-4 intercostal spaces.  
Mediastinum: The cranial mediastinum is normal.
Trachea: A soft tissue band partially superimposes over the dorsal portion of the caudal cervical trachea.
Esophagus: Mild gas is present in the esophagus in the lateral images.  
Pleural space: The pleural fissures between the left cranial/caudal and right middle/caudal lung lobes are widened.  The lung lobe margins are rounded in the diaphragmatic recesses.  
Liver: The liver is minimally to mildly enlarged with a rounded caudoventral margin that terminates at the level of the 13th ribs.  The gastric axis is caudally displaced, possibly exacerbated by obliquity.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suspiciously decreased in the left mid-abdomen in the ventrodorsal image.
Gastrointestinal tract: The stomach contains a moderate to large volume heterogeneous soft tissue material and gas. Minimal mineral is suspected in gastric contents.  The pylorus is not obviously identified in the left lateral image.
The small intestine contains mild to moderate gas, or mild fluid, or is empty.  One segment in the mid-ventral abdomen is suspected to contain a small ovoid mineral body.
The colon contains mild soft tissue material, minimal granular mineral and mild gas. The colon is normal in size.
Musculoskeletal:   In the lateral images, the inguinal soft tissues are ovoid and focally enlarged.  In the left lateral image, a tubular soft tissue structure is suspected in the enlarged inguinal tissues.  There is heterogeneous admixed fat and fluid opacity in the enlarged inguinal soft tissues.  L3-4 spondylosis deformans is present.   Mild right coxofemoral joint osteoarthrosis is present.  The remaining included musculoskeletal structures are normal.
</t>
  </si>
  <si>
    <t xml:space="preserve">1. Severe generalized cardiomegaly and possible small volume pericardial fluid.
- Differential diagnoses include myxomatous/tricuspid valvular disease with/without cor pulmonale/pulmonary hypertension, or occult heart base mass and pericardial fluid, or unlikely other.
2. Suspicious for pulmonary venous enlargement in the right caudal lung with mild-moderate multifocal interstitial to alveolar soft tissue such as from cardiogenic pulmonary edema, or unlikely evolving sepsis/hematogeneous spread of pneumonia or non-cardiogenic edema, or atypical evolving neoplasia.
3. Mild pleural fluid due to left and/or right-sided congestive heart failure, versus other.
4. Mild hepatomegaly due to right-sided congestive heart failure and/or vacuolar change, nodular hyperplasia, hepatitis, or evolving neoplasia.
5.. Suspicious for peritoneal effusion such as from right-sided heart failure versus other.
6. Inguinal soft tissue enlargement and heterogeneous opacity due to neoplasia (mammary carcinoma versus other), regional inflammation, or less likely inguinal hernia with herniated small intestinal segment.
7. Large volume of gastric material due to recent meal versus gastritis/delayed gastric emptying, or unlikely intermittent pyloric outflow tract obstruction.
8. Minimal granular gastric and colonic material due to dietary indiscretion is suspected.
9. Mild right coxofemoral joint osteoarthrosis.  </t>
  </si>
  <si>
    <t>Consider diuretic therapy and oxygen therapy with repeat thoracic radiographs (including a dorsoventral image) in 4-6 hours to monitor for progression or  resolution of the pulmonary patterns.   Ultrasonography of the abdomen and inguinal region to confirm or rule out inguinal hernia contributing to clinical signs, versus mass or regional inflammation.  If an inguinal hernia/incarcerated intestine are confirmed, surgical decompression once stable.  If this is a mass, consider computed tomography for pre-surgical planning of excisional biopsy and histopathology.  Additionally consider ultrasonography for abdominocentesis/thoracocentesis with fluid analysis/cytology.  Echocardiography, ECG and blood pressure for further evaluation as well as routine blood work and urinalysis once stable.  If pericardial fluid is confirmed, consider pericardiocentesis.   Monitoring as directed or sooner if clinical signs acutely change, fail to improve or worsen.</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</si>
  <si>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3.SEVERE INTERSTITIAL TO ALVEOLAR PATTERN; SEVERE BRONCHIAL PATTERN; MODERATE DYNAMIC AIRWAY DISEASE._x000D_
4.Based on these AI airway/pulmonary findings, the probability of this patient having clinically detectable respiratory signs is VERY HIGH (&gt;75%)_x000D_
5.Are respiratory signs present? If YES._x000D_
6.Are respiratory signs present? If NO._x000D_
7.A moderate perihilar infitlrate has been detected.</t>
  </si>
  <si>
    <t>Three orthogonal thoracic radiographs dated 25th June 2024 are available for review. There are no previous radiographs available for comparison. _x000D_
_x000D_
Airway findings: There is minimal elevation of the thoracic trachea. There is mild narrowing of the mainstem bronchi. Mild caudal dorsal bronchointerstitial opacification is present._x000D_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</si>
  <si>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1. The murmur reported is most likely a physiologic murmur, or a compensated valvular disease such as myxoid degeneration of the mitral valve. _x000D_
2. Caudal dorsal mild bronchointerstitial: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_x000D_
3. The mild narrowing of the mainstem bronchi may be dynamic, or associated with mild left atrial enlargement.</t>
  </si>
  <si>
    <t>In absence of clinical signs indicative of cardiac disease, conservative management may be considered, alternatively with an acute onset murmur, and signs of exercise intolerance, echocardiography may be considered._x000D_
Correlate with palpation testing for upper respiratory disease. Respiratory workup including CBC, serum chemistry, urinalysis, Baermann faecal testing, 4DX, +/- respiratory panel as indicated may be considered.  _x000D_
Consider evaluation for airway collapse (fluoroscopy vs. right lateral inspiratory and expiratory radiographs vs. CT with virtual bronchoscopy).</t>
  </si>
  <si>
    <t>Opposite lateral and VD thorax views are provided for interpretation._x000D_
_x000D_
Severe heart enlargement is identified. The shape of the heart is consistent with left ventricular and left atrial dilation. Overall the cardiac silhouette is also slightly more rounded than expected. The pulmonary vessels are within normal limits. There is a mild interstitial pattern which is slightly more prominent in the caudal dorsal lung. No tracheal abnormalities are identified._x000D_
_x000D_
The liver is moderately enlarged, and there is rounded liver contour is concerning for a mass effect involving the right liver. Serosal detail in the cranial abdomen is normal.</t>
  </si>
  <si>
    <t>There is severe left sided cardiomegaly. The rounded appearance of the heart is likely due to the chamber dilation._x000D_
_x000D_
The mild interstitial pattern is generally within the limits of age related change. The lung pattern is slightly more prominent in the caudal dorsal lung, so early interstitial edema is also a consideration. The radiographic appearance is not definitive for this._x000D_
_x000D_
There is a rounded shadow associated with enlargement of the right liver, suspicious for a hepatic mass. If present, this might be associated with discomfort  or impaired diaphragmatic movement and be contributing to the panting.</t>
  </si>
  <si>
    <t>Pimobendan therapy is indicated in this patient based on the severity of cardiomegaly. ACE inhibitor should also be considered. Need for diuretics is equivocal at this time. Echocardiography is recommended._x000D_
_x000D_
There is suspicion of a large hepatic mass. Follow up imaging such as ultrasound or CT is recommended._x000D_
CBC and serum chemistry is also recommended.</t>
  </si>
  <si>
    <t>Orthogonal views of the thorax including the cranial abdomen are provided. To previous studies are compared, dated 6-18-24 and 6-6-24._x000D_
_x000D_
There is evidence of dynamic airway collapse in all studies, but this is most prominent in the 6-18-24 radiographs in which there is moderate collapse of the trachea and severe dynamic collapse of the mainstem bronchi._x000D_
There is a mild to moderate diffuse bronchial pulmonary pattern._x000D_
The heart is at the upper end of normal size range._x000D_
No alveolar infiltrates or pleural effusion is seen._x000D_
There is mild hepatomegaly. The other cranial abdominal organs are within normal limits.</t>
  </si>
  <si>
    <t>There is dynamic lower airway collapse consistent with chondromalacia. The tracheal narrowing is moderate, and not pathognomonic for collapsing trachea, but clinical tracheal collapse is still likely._x000D_
The bronchial pattern is borderline, as to whether this represents age related change or bronchitis of and idiopathic or allergic nature. Infectious bronchitis is considered less likely but still cannot be entirely excluded.</t>
  </si>
  <si>
    <t>The coughing is suspected to be due to a combination of dynamic airway collapse and idiopathic or allergic chronic bronchitis._x000D_
Symptomatic therapy is the recommendation._x000D_
Considering the lack of response to empiric medical management for these pathologies so far, bronchoscopy is recommended for definitive diagnosis.</t>
  </si>
  <si>
    <t xml:space="preserve">
1.Pleural fissure lines or moderate to severe pleural effusion has been detected. An overlying skin fold or in an obese animal, excessive pericardial fat could artifactually mimic the result of severe pleural effusion._x000D_
2.Mild cardiomegaly has been detected but Heart Failure is NOT suspected._x000D_
3.MODERATE BRONCHOINTERSTITIAL PULMONARY PATTERN; MILD PERIHILAR INFILTRATE; MILD DYNAMIC AIRWAY DISEASE; ATELECTASIS or less likely, pneumonia._x000D_
4.Based on the AI airway/pulmonary findings, the probability of this patient having clinically detectable respiratory signs is MEDIUM to HIGH (50%-75%)_x000D_
5.Are respiratory signs present? If YES._x000D_
6.Are respiratory signs present? If NO.</t>
  </si>
  <si>
    <t xml:space="preserve">Patient Name : HUGO LOY, Date of study: Jun 25, 2024
4 images are provided for review
This is compared to prior dated June 13, 2024.  
Pulmonary parenchyma: A minimal to mild diffuse bronchial pattern is present.
Pulmonary vasculature: The pulmonary vasculature is subjectively normal in size and tapers in the periphery of the lungs.
Cardiac silhouette: The cardiac silhouette is mildly tall and occupies just over 2/3 the height of the thorax in the lateral images.  The trachea is mildly dorsally displaced.  The caudodorsal margin of the cardiac silhouette is mildly flattened.  Mild increased soft tissue in the region of the left atrium slightly displaces mainstem bronchi in the ventrodorsal image.
Mediastinum: The cranial mediastinum is normal.
Trachea: A soft tissue band partially superimposes over the caudal margin of the cervical trachea.
Esophagus: The esophagus is not well-identified.
Pleural space: The pleural space is normal.
Musculoskeletal: The included musculoskeletal structures are normal.
</t>
  </si>
  <si>
    <t xml:space="preserve">1. Mild left-sided cardiomegaly such as from myxomatous mitral valvular disease and insufficiency.
- There is no current evidence of left-sided congestive heart failure.  
2. Minimal-mild diffuse bronchial pulmonary pattern due to infectious/immune-mediated lower airway disease, fibrosis from prior disease, age-related changes, or less likely other.
3. Suspected redundant dorsal tracheal membrane with/without dynamic airway disease, versus superimposed normal structures.
These findings are unchanged from prior.  </t>
  </si>
  <si>
    <t>Echocardiography, blood pressure and ECG for further evaluation of the heart.  Consider respiratory PCR panel, airway sampling, and fecal analysis/deworming for further evaluation of the lower airways.   Routine blood work and urinalysis if not recently performed to screen for occult systemic disease. Empirical therapy and supportive care in the interim as needed.  Monitoring with routine blood work and thoracic imaging as directed, or sooner if clinical signs acutely change, fail to improve or worsen.</t>
  </si>
  <si>
    <t xml:space="preserve">
1.A minimal perihilar infiltrate has been detected._x000D_
2.Minimal cardiomegaly has been detected but Heart Failure is NOT suspected._x000D_
3.There is no evidence of BRONCHITIS, ALVEOLAR PATTERN, DYNAMIC AIRWAY COLLAPSE or BRONCHIECTASIS, PULMONARY NODULES or PLEURAL EFFUSION.</t>
  </si>
  <si>
    <t>A three view study of the thorax is provided for interpretation._x000D_
A previous study dated 7-15-22 is available for comparison._x000D_
_x000D_
Mild heart enlargement is identified. Heart size is slightly increased relative to the previous study. There is a moderate bronchointerstitial pulmonary pattern, which is also more severe than what was seen in the previous radiographs. Thin pleural fissure lines are visible. No alveolar infiltrates are seen. No pulmonary nodules or thoracic mass lesions are identified. The trachea is normal.</t>
  </si>
  <si>
    <t>There is mild cardiomegaly and a moderate bronchointerstitial pattern._x000D_
The lung pattern is most typical of bronchitis. Infectious bronchitis would be the primary differential in this case. Additional rule outs would include allergic bronchitis, other atypical infectious disease such as fungal pneumonia or parasitic infection (heartworm disease, lung worms) as well as early congestive heart failure with interstitial edema.</t>
  </si>
  <si>
    <t>CBC and heartworm testing, and Baermann or sedimentation fecal exam for lungworms is recommended._x000D_
_x000D_
Antibiotic therapy for possible infectious bronchitis is recommended.</t>
  </si>
  <si>
    <t xml:space="preserve">
1.A moderate perihilar infitlrate has been detected._x000D_
2.SEVERE INTERSTITIAL TO ALVEOLAR PATTERN; SEVERE BRONCHITIS;  PULMONARY NODULES OR MASS LESION; PLEURAL FLUID or PLEURAL THICKENING; SEVERE DYNAMIC AIRWAY DISEASE._x000D_
3.Based on these AI airway/pulmonary findings, the probability of this patient having clinically detectable respiratorysigns is VERY HIGH (&gt;75%)_x000D_
4.This evaluation has detected pulmonary nodules or a mass lesion and pleural fissure lines or effusion._x000D_
5.Are respiratory signs present? If YES._x000D_
6.Are respiratory signs present? If NO._x000D_
7.Given this combination of above thoracic findings, a radiologist over read may be beneficial._x000D_
8.Severe cardiomegaly has been detected but Heart Failure is NOT suspected.</t>
  </si>
  <si>
    <t>Three radiographs of the thorax are provided. No previous images are identified for a patient of this name. There is mild left atrial enlargement. The left mainstem bronchus is compressed on the 1st lateral view. Prominent cranial pulmonary vein on the left lateral projection. There is a moderate interstitial pattern in the left perihilar region on the VD view. A mild bronchial pattern is present in the remaining lungs. Redundant dorsal trachealis membrane causes moderate narrowed cervical trachea. Normal cranial abdomen.</t>
  </si>
  <si>
    <t>1. Mild left atrial enlargement consistent with acquired mitral valve disease. There is pulmonary venous congestion. Interstitial pattern in the perihilar region is significantly concerning for pulmonary edema secondary to left-sided heart failure. Dorsal recumbency and subsequent poor lung aeration can mimic pulmonary edema, therefore is not definitive._x000D_
2. Probable cervical tracheal collapse. This should be correlated with characteristic of the cough and tracheal palpation._x000D_
3. Mild bronchial pattern may be normal age change versus allergic bronchitis.</t>
  </si>
  <si>
    <t>If the patient has increased respiratory rate/effort, exercise intolerance, or abnormal lung auscultation, treatment for heart failure would be recommended. Recommend obtaining a dorsoventral projection (instead of a VD view) on all future studies of this patient. This will allow for maximum dorsal lung aeration to help rule in/out pulmonary edema. This patient may also benefit from utilization of a body harness in place of a neck lead.</t>
  </si>
  <si>
    <t xml:space="preserve">
1.MILD BRONCHOINTERSTITIAL PULMONARY PATTERN; MILD PERIHILAR INFILTRATE; MILD DYNAMIC AIRWAY DISEASE; ATELECTASIS or less likely, pneumonia._x000D_
2.Based on the AI airway/pulmonary findings, the probability of this patient having clinically detectable respiratory signs is MEDIUM (50%)_x000D_
3.Are respiratory signs present? If YES._x000D_
4.Are respiratory signs present? If NO._x000D_
5.The evaluation has come up positive for a pulmonary nodular pattern._x000D_
6.Severe cardiomegaly has been detected but Heart Failure is NOT suspected.</t>
  </si>
  <si>
    <t>Four radiographs of the thorax are provided. Images dated 8/25/23 are available for comparison. The cardiac silhouette and pulmonary vessels are normal size and shape. There are no abnormalities in the pulmonary parenchyma. Small round increased opacities adjacent to the heart represent end-on pulmonary vessels. There is no pleural effusion or intrathoracic lymphadenomegaly. Normal tracheal diameter. On the VD projection there is a partially visible fairly well delineated ovoid 14.5 x 5.1 cm fat opaque mass in the left extrathoracic tissues. No adjacent rib lysis or proliferation. In the visible abdomen there is no effusion. The liver is upper normal size, with smooth margins. There is a metal opaque pushpin-like 1.1 x 0.4 cm contour overlying the proximal pelvic limbs on the edge of the lateral view. This was seen on the previous study and felt to represent superimposed debris, but is persistent therefore confirmed to be located within the patient. This is likely due to previous trauma and of doubtful clinical significance.</t>
  </si>
  <si>
    <t>Left extrathoracic lipomatous mass, with no adjacent osseous involvement. The thorax is otherwise normal.</t>
  </si>
  <si>
    <t>Three radiographs of the thorax, and three views of the abdomen are provided. The cardiac silhouette and pulmonary vessels are normal size and shape. There are no abnormalities in the pulmonary parenchyma. Small volume fat deposition separates the heart from the sternum on the lateral views. Small volume fluid in the caudal esophagus is transient and incidental._x000D_
_x000D_
In the abdomen serosal detail is mildly reduced in the midabdomen. The stomach contains small volume soft tissue density that is stippled with gas. Small bowel and colon are minimally filled. Normal-sized kidneys, liver, spleen. No radiopaque cystic calculi.</t>
  </si>
  <si>
    <t>Small volume soft tissue density in the stomach may be residual ingesta. Foreign material causing gastritis and pyloric outflow obstruction is not definitively ruled out. There is no evidence of small bowel obstruction. Otherwise normal abdomen and thorax.
(amended on 06/25/2024 08:54)
Correction: There is possible scant peritoneal effusion versus inflammation.</t>
  </si>
  <si>
    <t>Recommend routine blood work, supportive care, fecal examination, and repeat radiographs following a confirmed fast +/- positive contrast gastrogram to rule out gastric foreign material.</t>
  </si>
  <si>
    <t>Three radiographs of the thorax and five views of the abdomen are provided. The cardiac silhouette and pulmonary vessels are normal size and shape. There are no abnormalities in the pulmonary parenchyma or pleural space. Mild narrowed caudal cervical trachea, of uncertain significance today._x000D_
_x000D_
In the abdomen serosal detail is adequate. The gastrointestinal tract is minimally filled. The liver, spleen, and kidneys are normal size and shape. The urinary bladder is minimally distended. There is a smoothly contoured broad-based 4.0 x 1.8 cm swelling in the mid central extra-abdominal tissues. This swelling is predominantly fat opaque, however there is a curved 0.7 cm area of soft tissue density overlying the swelling on two of the lateral views. Due to rotation, this area is less visible on the other two views.</t>
  </si>
  <si>
    <t>1. Mid ventral extra-abdominal mass. This appears to be a small hernia involving fat and potentially a loop of small bowel. A lipoma with intralesional hemorrhage or abscess is given secondary consideration. Malignant neoplasia is felt to be least likely._x000D_
2. Normal thorax.</t>
  </si>
  <si>
    <t>If the lesion is not reducible, recommend ultrasound evaluation of the lesion. This would allow for identification of intestines versus abscess, hemorrhage, neoplasia, and help guide sampling.</t>
  </si>
  <si>
    <t>Study:_x000D_
Thoracic/cervical spinal radiography: three images dated June 25, 2024_x000D_
_x000D_
Findings:_x000D_
The dens is intact and well defined. The atlantoaxial joint space is normal. There is mild multifocal thoracic spondylosis deformans. There is no intervertebral disc space or foraminal narrowing. There is no evidence of discospondylitis. There is mild bilateral elbow periarticular bone formation. The cardiac silhouette and pulmonary vasculature are normal in size. The pulmonary parenchyma is unremarkable. The pleural space is normal. There is no intrathoracic lymphadenopathy. The trachea is normal in diameter and course. The included abdomen is unremarkable.</t>
  </si>
  <si>
    <t>1. The lack of any apparent intervertebral disc space narrowing does not exclude the possibility of intervertebral disc disease. Neurology consultation and MRI can be considered for further evaluation if the clinical signs persist or worsen in spite of continued pain management and strict activity restriction._x000D_
2. Mild bilateral elbow osteoarthrosis._x000D_
3. Normal thorax.</t>
  </si>
  <si>
    <t>2 views of the thorax are provided for review. The cardiovascular structures are normal. Focal alveolar opacity is present in the right middle lung lobe. Heavy interstitial opacity is present in the right cranial lung lobe. The pleural and mediastinal structures are normal. Cranial abdominal detail is adequate.</t>
  </si>
  <si>
    <t>Mixed pulmonary pattern concerning for pneumonia. An underlying migrating foreign body cannot be excluded with the subcutaneous abscess but it=ZZ91=s considered less likely based on laterality of the lesions.</t>
  </si>
  <si>
    <t>Airway sampling may be helpful to guide therapy. CT could be considered if foreign body is likely.</t>
  </si>
  <si>
    <t xml:space="preserve">
1.The evaluation has a strong suspicion of pulmonary nodules or mass lesion being present._x000D_
2.A severe alveolar pattern and mild perihilar pattern have been detected._x000D_
3.Pleural fissure lines or moderate to severe pleural effusion has been detected. An overlying skin fold or in an obese animal, excessive pericardial fat could artifactually mimic the result of severe pleural effusion._x000D_
4.The cardiac silhouette size is normal._x000D_
5.There is no evidence of DYNAMIC AIRWAY COLLAPSE or BRONCHIECTASIS.</t>
  </si>
  <si>
    <t xml:space="preserve">Patient Name : Layla Surette, Date of study: Jun 25, 2024
4 images are provided for review
Canine Thorax (4 Images) - 2 Lateral, 2 Vd
There are no previous radiographs for comparison.
Pulmonary parenchyma: A  mild diffuse bronchial pattern is present.  A minimal to mild interstitial pattern is present in the ventrodorsal image, where the lungs are moderately hypoinflated.  
Pulmonary vasculature: The pulmonary vasculature is subjectively normal in size and tapers in the periphery of the lungs.
Cardiac silhouette: The cardiac silhouette is tall and occupies 2/3 the height of the thoracic cavity.  The caudodorsal margin of the cardiac silhouette is flattened.  
Mediastinum: The cranial mediastinum is normal.
Trachea: A soft tissue band partially superimpose over the dorsal trachea in the right lateral image.
Esophagus: The esophagus is not well-identified.
Pleural space: The pleural space is normal.
Musculoskeletal: T3-4 and multifocal lumbar spondylosis deformans is present.  The remaining included musculoskeletal structures are normal.
</t>
  </si>
  <si>
    <t xml:space="preserve">1. Mild left-sided cardiomegaly.
- Differential diagnoses include myxomatous mitral valvular disease and insufficiency or less likely other.
- There is no evidence of left-sided congestive heart failure.  
2. Mild diffuse bronchial and minimal-mild interstitial pulmonary patterns.
- Differential diagnoses include infectious/immune-mediated lower airway disease such as from mycoplasma spp., bordetella spp., parasitism, or inhaled allergen/irritant, fibrosis from prior disease, age-related changes, and hypoinflation/atelectasis, or a combination of these.
3. Suspected redundant dorsal tracheal membrane versus superimposed normal structures with/without underlying dynamic airway disease.
</t>
  </si>
  <si>
    <t>Consider echocardiography, ECG and blood pressure for further evaluation of the heart.  Routine blood work, urinalysis and fecal analysis/empirical deworming may be contributory.  Empirical therapy and supportive care in the interim as needed.  Monitoring as directed or sooner if clinical signs acutely change, fail to improve or worsen.</t>
  </si>
  <si>
    <t xml:space="preserve">
1.Are respiratory signs present? If YES._x000D_
2.MINIMAL INTERSTITIAL PATTERN; MINIMAL PERIHILAR INFILTRATE._x000D_
3.Based on these AI airway/pulmonary findings, the probability of this patient having clinically detectable respiratory signs is LOW (25%)_x000D_
4.Are respiratory signs present? If NO._x000D_
5.The cardiac silhouette size is normal._x000D_
6.There is no evidence of PULMONARY NODULES.</t>
  </si>
  <si>
    <t>Study:_x000D_
Thoracic/abdominal radiography: orthogonal views (two images) dated June 24, 2024_x000D_
_x000D_
Findings:_x000D_
The aortic arch appears moderately enlarged on both projections. The cardiac silhouette and lobar vasculature are normal in size. The pulmonary parenchyma is unremarkable. The pleural space is normal. There is no intrathoracic lymphadenopathy. The trachea is normal in diameter. The stomach contains unstructured heterogeneous soft tissue material presumed to be ingesta. The small intestines are normal in size, course and content. The colon contains gas and formed fecal material with a normal diameter. The liver and spleen are normal in size and margin. The kidneys are normal in size and contour. The urinary bladder is not visualized and is likely small/empty. No skeletal abnormalities are present.</t>
  </si>
  <si>
    <t>1. Enlargement of the aortic arch is presumably from the reported patent ductus arteriosus._x000D_
2. The thorax is otherwise unremarkable. A cause of the respiratory signs is not evident. Consider upper airway disease. Lack of a definitive bronchial pulmonary pattern does not exclude the possibility of allergic/inflammatory, infectious, irritant or parasitic bronchitis. Normal diameter of the trachea does not exclude the possibility of dynamic airway disease._x000D_
3. Postprandial stomach=ZZ90= otherwise, unremarkable abdomen.</t>
  </si>
  <si>
    <t>Infectious respiratory disease PCR testing can be considered to further evaluate for possible infectious tracheobronchitis and/or upper respiratory infection.</t>
  </si>
  <si>
    <t xml:space="preserve">
1.A mild interstitial to alveolar infiltrate has been detected._x000D_
2.The cardiac silhouette size is normal._x000D_
3.There is no evidence of PERIHILAR INFILTRATE or DYNAMIC AIRWAY COLLAPSE or BRONCHIECTASIS._x000D_
4.Pleural fissure lines or small volume pleural effusion has been detected. In a mildly overweight animal, excessive pericardial fat can artifactually mimic the result of minimal pleural effusion.</t>
  </si>
  <si>
    <t>Study:_x000D_
Thoracic/abdominal: six images dated June 24,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normal. The stomach contains unstructured heterogeneous soft tissue material. There is a small amount of granular mineral in the small intestines. The small intestines are normal in size and course. The colon contains formed fecal material. The liver and spleen are normal in size and margin. The renal silhouettes are normal in size and contour. The urinary bladder is normal in size and opacity. There is no uterine dilation. The T 13 vertebra is transitional.</t>
  </si>
  <si>
    <t>1. The unstructured heterogeneous soft tissue material in the stomach likely represents ingesta. Foreign material cannot be completely excluded. The small amount of granular mineral in the small intestines may indicate dietary indiscretion or may be an incidental finding depending on the contents of the patient=ZZ91=s normal diet and treats. There is no evidence of small intestinal mechanical obstruction._x000D_
2. Normal thorax.</t>
  </si>
  <si>
    <t>Repeat fasted radiography can be considered to ensure gastrointestinal emptying. Alternatively, abdominal sonography can be considered if the patient begins to exhibit any gastrointestinal signs.</t>
  </si>
  <si>
    <t>Four orthogonal radiographs of the abdomen dated 24th June 2024 are available for review. There are no previous radiographs available for comparison. _x000D_
_x000D_
Intra-abdominal findings: The hepatic silhouette is enlarged with smooth borders. The spleen is enlarged. The stomach is mainly empty with a normal axis. The small intestines are distributed evenly and are within normal limits for shape, size and contents. The ascending, transverse and descending colon have a normal position and contain gradually more formed faeces. The urinary bladder is filled. The serosal detail is normal._x000D_
_x000D_
Extra-abdominal findings: No significant abnormalities are detected._x000D_
_x000D_
Included thorax: Cranial and ventral to the cardiac silhouette there is a suspicion of a soft tissue mass.</t>
  </si>
  <si>
    <t>1. The combination of hepatomegaly and splenomegaly and history of soft tissue sarcoma raises suspicion of metastatic disease. Alternatively splenic differential diagnoses include passive congestion from sedation (if administered), splenitis, extramedullary hematopoiesis, lymphoid hyperplasia, or hepatic differentials include metabolic (fat deposition, diabetes mellitus), infectious-inflammatory (hepatitis-viral-parasitic), infiltrative origins (nodular hyperplasia-round cell infiltration/lymphoma-adenoma-adenocarcinoma) or less likely hemodynamic (right heart failure) origins._x000D_
2. Suspect pulmonary or cranial mediastinal mass</t>
  </si>
  <si>
    <t>A complete abdominal ultrasonographic examination is advised, with a view to FNA of abnormal organs, after complete blood work, and a normal coagulation panel._x000D_
A 3 view thoracic series is indicated.</t>
  </si>
  <si>
    <t xml:space="preserve">
1.A minimal to mild bronchointerstitial pulmonary pattern has been detected._x000D_
2.A moderate perihilar infitlrate has been detected._x000D_
3.The cardiac silhouette size is normal._x000D_
4.There is no evidence of DYNAMIC AIRWAY COLLAPSE or BRONCHIECTASIS, PULMONARY NODULES or PLEURAL EFFUSION.</t>
  </si>
  <si>
    <t xml:space="preserve">Patient Name : Bogie Norcross, Date of study: Jun 24, 2024
2 images are provided for review
There are no previous radiographs for comparison.
Bones/Joints:  The T11-12 intervertebral disc space is narrowed.There is no evidence of mineral over the intervertebral foramina.  The L3-4 through L6-7 intervertebral disc spaces are possibly narrow in the lateral image, but this may be exacerbated by obliquity.
There is no evidence of medullary sclerosis, osteolysis, endosteal scalloping, or periosteal proliferation.
Soft tissues:  The included soft tissues are normal.
</t>
  </si>
  <si>
    <t>1. T11-12 intervertebral disc disease.
2. Possible multifocal lumbar intervertebral disc space narrowing versus artifact from positioning.  
3. No evidence of vertebral lysis or aggressive osseous lesion.</t>
  </si>
  <si>
    <t xml:space="preserve">Consider neurologist consultation and MRI for further evaluation.  Routine blood work if not recently performed, as well as thoracic imaging to screen for occult systemic disease.  Empirical therapy and supportive care in the interim as needed.  Monitoring as directed or sooner if clinical signs acutely change or worsen in the interim.  </t>
  </si>
  <si>
    <t>Orthogonal views of the thorax are provided:_x000D_
_x000D_
Thorax:_x000D_
_x000D_
There is moderate left atrium enlargement that dorsally displaces the carina, producing an overall severe cardiomegaly._x000D_
The pulmonary vessels are normal sized. _x000D_
There is a right caudal lung lobe ill defined opacity delineating a cranial lobar sign and an ill defined caudal rounded edge._x000D_
Normal mediastinum, diaphragm are WNL._x000D_
Several SC lipomas._x000D_
_x000D_
Included abdomen is unremarkable.</t>
  </si>
  <si>
    <t>1) Left atrial enlargement secondary to chronic mitral endocardiosis without signs of CHF. Rule out tricuspid endocardiosis with pulmonary hypertension._x000D_
2) Right caudal ill defined opacity compatible with an indistinct primary pulmonary neoplasia vs a lobar cariogenic pulmonary edema is not excluded but with the caudal rounded edge of the reported opacity and the 2 month history of coughing is less likely.</t>
  </si>
  <si>
    <t>Consider a cardiology consultation with ECG and echocardiogram evaluating if the dog could be with a concomitant LSCHF and evaluate the benefit of a CT of the thorax to better evaluate the suspected right caudal lobar mass.</t>
  </si>
  <si>
    <t xml:space="preserve">
1.SEVERE INTERSTITIAL TO ALVEOLAR PATTERN; MODERATE BRONCHIAL PATTERN; SEVERE DYNAMIC AIRWAY DISEASE._x000D_
2.Based on these AI airway/pulmonary findings, the probability of this patient having clinically detectable respiratory signs is VERY HIGH (&gt;75%)_x000D_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suspected._x000D_
7.The evaluation has a strong suspicion of pulmonary nodules or mass lesion being present.</t>
  </si>
  <si>
    <t>A three view study of the thorax is provided for interpretation._x000D_
_x000D_
There is mild overall heart enlargement, with a prominent bulge at the caudal heart base consistent with dilation of the left atrium. The pulmonary vessels are unremarkable. There is a mild diffuse bronchointerstitial pulmonary pattern. No alveolar infiltrates or pleural effusion are seen. There is mild redundant dorsal tracheal membrane in the cervical trachea. No narrowing of the tracheal cartilage is seen. Cranial abdominal organs are within normal limits.</t>
  </si>
  <si>
    <t>Mild to moderate left sided cardiomegaly is identified. Chronic mitral regurgitation is most likely responsible. There is no evidence of congestive heart failure at this time. The mild bronchointerstitial pulmonary pattern is most typical of airway associated inflammatory lung disease. Allergic bronchitis is most likely. Idiopathic chronic bronchitis or low-grade infectious bronchitis would be less likely possibilities. No tracheal collapse is seen.</t>
  </si>
  <si>
    <t>Echocardiography should be considered for more definitive evaluation of the nature and severity of the heart disease._x000D_
_x000D_
Symptomatic therapy for suspected allergic bronchitis is recommended._x000D_
CBC, heartworm testing, and Baermann or sedimentation fecal exam is suggested to help rule out infectious causes for the cough.</t>
  </si>
  <si>
    <t xml:space="preserve">
1.Severe cardiomegaly has been detected but Heart Failure is NOT suspected._x000D_
2.There is no evidence of PULMONARY NODULES._x000D_
3.MINIMAL to MILD BRONCHOINTERSTITIAL PULMONARY PATTERN; MILD DYNAMIC AIRWAY DISEASE; MILD PERIHILAR INFILTRATE._x000D_
4.Based on these AI airway/pulmonary findings, the probability of this patient having clinically detectable respiratory signs is LOW to MEDIUM (25-50%)_x000D_
5.Are respiratory signs present? If YES._x000D_
6.Are respiratory signs present? If NO.</t>
  </si>
  <si>
    <t>Four orthogonal thoracic radiographs dated 24th June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has a mild caudal dorsal bronchointerstitial pattern._x000D_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The patient is obese.</t>
  </si>
  <si>
    <t>1. The mild bronchointerstitial opacification may be due to hypoinflation and body habitus. Mild mixed lower airway infectious-inflammatory disease (bacterial /viral bronchitis +/- parasitic bronchitis) should also be considered.</t>
  </si>
  <si>
    <t>Correlate with palpation testing for upper respiratory disease. Respiratory workup including CBC, serum chemistry, urinalysis, Baermann faecal testing, 4DX, +/- respiratory panel as indicated may be considered.  _x000D_
Consider evaluating for other possible underlying causes of panting (spinal/orthopedic pain, acid-base imbalance, hyperthermia, intracranial disease or Cushing=ZZ91=s disease). Full blood work if not already performed, may also be considered.</t>
  </si>
  <si>
    <t xml:space="preserve">
1.MILD BROCHIAL/BRONCHOINTERSTITIAL PULMONARY PATTERN._x000D_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PERIHILAR INFILTRATE, DYNAMIC AIRWAY COLLAPSE or BRONCHIECTASIS, PULMONARY NODULES or PLEURAL EFFUSION.</t>
  </si>
  <si>
    <t>Orthogonal views of the thorax are provided:_x000D_
_x000D_
Thorax:_x000D_
_x000D_
Cardiac silhouette shows a moderate enlargement of the left atrium dorsally displacing the carina._x000D_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sharp margins.</t>
  </si>
  <si>
    <t xml:space="preserve">
1.MODERATE BRONCHOINTERSTITIAL PULMONARY PATTERN; MODERATE ALVEOLAR INFILTRATE or ATELECTASIS; MODERATE DYNAMIC AIRWAY DISEASE._x000D_
2.MODERATE INTERSTITIAL TO ALVEOLAR INFILTRATE; CONCURRENT MODERATE BRONCHIAL PATTERN; MILD PERIHILAR INFILTRATE._x000D_
3.Based on these AI airway/pulmonary findings, the probability of this patient having clinically detectable respiratory signs is HIGH (75%)_x000D_
4.Based on the AI airway/pulmonary findings, the probability of this patient having clinically detectable respiratorysigns is HIGH (75%)_x000D_
5.Are respiratory signs present? If YES._x000D_
6.Pleural fissure lines or small volume pleural effusion has been detected. In a mildly to moderately overweight animal, excessive pericardial fat can artifactually mimic the result of mild pleural effusion._x000D_
7.Severe cardiomegaly has been detected but Heart Failure is NOT suspected._x000D_
8.Are respiratory signs present? If YES._x000D_
9.Are respiratory signs present? If NO._x000D_
10.AI linked bacterial pneumonia treatment in dogs: https://platform.v2.vetology.net/doc/pneumonia-in-dogs-and-cats_x000D_
11.Are respiratory signs present? If NO.</t>
  </si>
  <si>
    <t>3 views of the thorax are provided for review. The trachea is mildly dorsally deviated, indicating left ventricular enlargement. There is straightening of the caudal cardiac waist in the region of the left atrium. The pulmonary vasculature is normal in size. No pulmonary infiltrates are seen. The pleural and mediastinal structures are normal. Cranial abdominal detail is adequate.</t>
  </si>
  <si>
    <t xml:space="preserve">
1.Are respiratory signs present? If YES._x000D_
2.Are respiratory signs present? If NO._x000D_
3.The cardiac silhouette size is normal._x000D_
4.MINIMAL TO MILD BRONCHOINTERSTITIAL PULMONRAY PATTERN; MILD PERIHILAR PATTERN._x000D_
5.Based on the AI airway/pulmonary findings, the probability of this patient having clinically detectable respiratory signs is LOW (25%)</t>
  </si>
  <si>
    <t>Opposite lateral and VD views of the thorax that include the neck and cranial abdomen are provided._x000D_
_x000D_
Severe dynamic narrowing of the cervical trachea is identified. No laryngeal abnormalities are seen. There is mild heart enlargement with evidence of left atrial dilation. The pulmonary vessels and parenchyma are within normal limits. Liver size is borderline, at the upper end of normal range. Rugal folds in the stomach are prominent.</t>
  </si>
  <si>
    <t>There is severe cervical tracheal collapse which is likely responsible for the cough._x000D_
_x000D_
There is mild left sided cardiomegaly. There is no evidence of heart failure or significant pulmonary disease.</t>
  </si>
  <si>
    <t>Symptomatic therapy for the cough is recommended._x000D_
_x000D_
Consultation with an Internal Medicine specialist regarding potential tracheal stent treatment should be considered.</t>
  </si>
  <si>
    <t xml:space="preserve">
1.Severe cardiomegaly has been detected but Heart Failure is NOT suspected._x000D_
2.Are respiratory signs present? If NO._x000D_
3.There is no evidence of PULMONARY NODULES or PLEURAL EFFUSION._x000D_
4.Moderate to severe bronchointerstitial pulmonary pattern._x000D_
5.SEVERE DYNAMIC AIRWAY DISEASE; MODERATE BRONCHIAL PATTERN._x000D_
6.Based on these AI airway/pulmonary findings, the probability of this patient having clinically detectable respiratory signs is HIGH (75%)_x000D_
7.Are respiratory signs present? If YES.</t>
  </si>
  <si>
    <t>Three radiographs of the thorax, and three views of the abdomen are provided. Images dated 9/2/22 were reviewed. The cardiac silhouette and pulmonary vessels are normal size and shape. The lungs are clear. There is no pleural effusion or intrathoracic lymphadenomegaly. Normal tracheal diameter and cranial mediastinal width. No thoracic spinal abnormalities._x000D_
_x000D_
In the abdomen there is no effusion. The gastrointestinal tract is mildly filled. Small volume mineral opaque debris in the stomach, likely incidental. There is gas in the cecum. The liver, spleen, kidneys are normal size and shape. The urinary bladder is mildly filled. The prostate is not definitively seen. No lumbar spinal abnormalities.</t>
  </si>
  <si>
    <t>Normal thorax and abdomen. A reason for trembling is not identified.</t>
  </si>
  <si>
    <t>Routine blood work is recommended.</t>
  </si>
  <si>
    <t>Nineteen radiographs are provided, with images of the thorax, neck, abdomen, and pelvis. The cardiac silhouette and pulmonary vessels are normal size and shape. There are no abnormalities in the pulmonary parenchyma. No pleural effusion or enlarged intrathoracic lymph nodes. Round lucency overlying the mid heart on the left lateral view is end-on bronchiole. Normal tracheal diameter. No intrathoracic lymphadenomegaly. Undulating fat opaque subcutaneous thickenings along the ventrum consistent with lipomas, incidental. Cervical vertebral alignment is normal and no narrowed intervertebral disc spaces are appreciated. There is no endplate lysis._x000D_
_x000D_
In the abdomen the liver is upper normal size with smooth margins. Normal-sized spleen. Both kidneys measure within expected size parameters, although the right kidney is smaller than the left. No radiopaque urolithiasis. The plane of the urethra is unremarkable. The stomach and small bowel are minimally filled with gas. Small volume of formed feces in the colon. Punctate soft tissue densities ventral to L5-6 are end-on deep circumflex iliac vessels. There is ventral spondylosis deformans at L2-3, but no narrowed intervertebral disc spaces or foramina. The coxofemoral joints are congruent and without degenerative change. Pelvic limb musculature is adequate. Patellar location is normal.</t>
  </si>
  <si>
    <t>1. No definitive spinal abnormalities are identified to explain the clinical signs. An intervertebral disc protrusion/extrusion such as in the cervical spine is most likely._x000D_
2. Reduced right renal size suggestive of chronic renal disease. Otherwise normal abdomen._x000D_
3. Normal thorax and coxofemoral joints.</t>
  </si>
  <si>
    <t>Consultation with a neurologist and spinal imaging with MRI is recommended.</t>
  </si>
  <si>
    <t xml:space="preserve">
1.The cardiac silhouette size is normal._x000D_
2.There is no evidence of DYNAMIC AIRWAY COLLAPSE or BRONCHIECTASIS or PLEURAL EFFUSION._x000D_
3.A minimal perihilar infiltrate has been detected._x000D_
4.A minimal bronchial pattern has been detected.</t>
  </si>
  <si>
    <t>Four orthogonal thoracic radiographs dated 24th June 2024 are available for review. There are no previous radiographs available for comparison. _x000D_
_x000D_
Thorax:_x000D_
Airway findings: The trachea is mildly elevated within the thorax. There is narrowing of the mainstem bronchi. There is widening of the tracheal bifurcation. Throughout the lung parenchyma there is a prominent interstitial opacification.  Thin pleural fissure lines and rounding of the pulmonary lobes is present. No nodules or masses are seen._x000D_
_x000D_
Cardiovascular findings: There is partial border effacement of the cardiac silhouette. There is a moderate sized smoothly marginated soft tissue opacity contiguous with the caudal dorsal border of the cardiac silhouette. A smoothly marginated soft tissue opacity is superimposed on the caudal cardiac silhouette in the dorsoventral image. There is increased cardiac sternal contact. The overall cardiac silhouette is enlarged.  The cardiac silhouette occupies over 60% of the width of the thoracic volume. The cranial and caudal pulmonary vasculature are enlarged. The caudal vena cava is poorly visible_x000D_
_x000D_
Mediastinum and pleural space: There is mild ventral soft tissue attenuation consistent with mild pleural effusion._x000D_
_x000D_
Musculoskeletal findings: No significant abnormalities are detected._x000D_
_x000D_
Included abdomen: No significant abnormalities are detected.</t>
  </si>
  <si>
    <t>1.Generalized cardiomegaly with pulmonary venous distension and cardiogenic pulmonary edema consistent with left sided congestive heart failure. Ddx: myxomatous degeneration of the mitral (+- tricuspid) valves with post-capillary pulmonary hypertension vs systolic dysfunction (DCM). In this case, DCM is most likely._x000D_
2. The interstitial opacification is most likely due to cardiogenic pulmonary oedema. Lower airway infectious/inflammatory disease is less likely.</t>
  </si>
  <si>
    <t>Complete bloodwork if not already performed. Management for left sided congestive heart failure including diuretic therapy with oxygen support as needed. ECG and systemic blood pressure monitoring. Recommend repeat thoracic radiographs after 24-48 hours of therapy, sooner if clinically indicated. Continued monitoring of renal values and urinalysis._x000D_
_x000D_
Once stabilized, an echocardiogram is recommended</t>
  </si>
  <si>
    <t xml:space="preserve">
1.The evaluation has detected soft tissue pulmonary nodules and pleural fluid._x000D_
2.Moderate cardiomegaly has been detected but Heart Failure is NOT suspected._x000D_
3.PULMONARY NODULES or NODULAR PATTERN; PLEURAL EFFUSION or PLEURAL FISSURE LINES; SEVERE INTERSTITIAL TO ALVEOLAR PATTERN; MODERATE BRONCHIAL PATTERN; DYNAMIC AIRWAY DISEASE._x000D_
4.Based on the AI airway/pulmonary findings, the probability of this patient having clinically detectable respiratory signs is VERY HIGH (&gt;75%)_x000D_
5.In older dogs, a pulmonary mass or pulmonary nodules, pulmonary hemorrhage, pleural effusion or PTE are primary considerations._x000D_
6.In the ABSENCE of respiratory signs, lung lobe collapse or severe atelectasis secondary to anesthesia or deep sedation could artifactually create this appearance._x000D_
7.If this AI evaluation is inconsistent with your assessment or the clinical picture, a Vetology AI overread may be beneficial.</t>
  </si>
  <si>
    <t>A three view study of the thorax, orthogonal views of the right hind limb, and a VD pelvis view are provided for interpretation._x000D_
_x000D_
There is mild capsular swelling in the right stifle joint. No bony abnormalities are seen involving the stifle. The right tarsus is unremarkable._x000D_
There is severe subluxation involving the left hip joint. The acetabulum is shallow and sclerotic, the femoral neck is severely thickened, and there is marked flattening of the femoral head. Congruity of the right hip joint is good. The right femoral neck appear slightly thickened. Muscle mass of the left hind limb is reduced relative to the right._x000D_
_x000D_
There is mild generalized heart enlargement. Vertebral Heart Score is increased at 12.7. Pulmonary vessels are normal. The lungs are within normal limits for patient age. The liver is moderately enlarged. A subcutaneous mass in the range of 4 cm is seen in the area of the right axilla in the VD thorax view.</t>
  </si>
  <si>
    <t>The heart is enlarged. Interstitial lung opacity and bronchial markings are mildly increased but within the limits of age related change. No evidence of heart failure is seen._x000D_
_x000D_
Hepatomegaly is identified. Diffuse hepatopathies including metabolic or endocrine associated hepatopathies vs. neoplasia or hepatitis should be ruled out._x000D_
_x000D_
There is mild right stifle joint effusion, which would be compatible with intra-articular injury such as a ligament rupture. No bony changes are seen._x000D_
_x000D_
There is severe laxity and chronic remodeling involving the left hip joint consistent with hip dysplasia and secondary osteoarthritis.</t>
  </si>
  <si>
    <t>Echocardiography is recommended.</t>
  </si>
  <si>
    <t xml:space="preserve">
1.MILD BRONCHOINTERSTITIAL PULMONARY PATTERN; MILD DYNAMIC AIRWAY DISEASE; MINIMAL PERIHILAR INFILTRATE._x000D_
2.Based on these AI airway/pulmonary findings, the probability of this patient having clinically detectable respiratory signs is MEDIUM (50%)_x000D_
3.Are respiratory signs present? If YES._x000D_
4.Mild cardiomegaly has been detected but Heart Failure is NOT suspected._x000D_
5.There is no evidence of PLEURAL EFFUSION._x000D_
6.Are respiratory signs present? If NO.</t>
  </si>
  <si>
    <t>Opposite lateral and VD views of the thorax and abdomen are provided._x000D_
_x000D_
Many small nodules are identified throughout the lungs, more prominent ventrally. There is a focal area of more homogenous opacity compatible with localized pulmonary consolidation superimposed over the ventral aspect of the heart in the left lateral view. This likely represents ventral infiltrates in the right lung. There is also a mild bronchial pattern. No thoracic lymphadenopathy or pleural effusion is seen. The cardiovascular structures are within normal limits._x000D_
The liver is mildly enlarged, with smooth margins. The other abdominal organs are within normal limits. No mass lesions are seen in the abdomen. Serosal detail is normal._x000D_
There is bridging spondylosis at T 11-T 12. No destructive or productive bone lesions are identified.</t>
  </si>
  <si>
    <t>Many small discrete pulmonary nodules are identified. The appearance is consistent with metastatic neoplasia and most suspicious for carcinoma metastases. Considering the hypercalcemia, neoplasia involving the anal gland or mammary gland should be ruled out._x000D_
_x000D_
The liver is enlarged. No actual mass lesion is seen. Lymphoma should also be ruled out given the diffuse hepatomegaly and lack of other evidence of a primary tumor in the radiographs._x000D_
The radiographic appearance of the abdomen is not consistent with ascites.</t>
  </si>
  <si>
    <t>Evaluation of the mammary and anal glands is recommended to rule out a primary tumor in these locations. If none is found, FNA for cytology of the liver is recommended to rule out lymphoma._x000D_
Bronchoscopy could also be used for definitive diagnosis.</t>
  </si>
  <si>
    <t>Six orthogonal radiographs of the abdomen dated 24th June 2024 are available for review. There are no previous radiographs available for comparison. _x000D_
_x000D_
Intra-abdominal findings: The stomach is empty, containing a little gas with a normal axis. There is appropriate gas in the pylorus on the left lateral image. There is loss of serosal detail in the cranial right aspect of the abdomen. The small intestines are distributed evenly and are within normal limits for shape, size and contents. The ascending, transverse and descending colon have a normal position and contain gradually more formed faeces. The hepatic silhouette is normal in size with smooth borders. The spleen is normal in shape, size and position. The kidneys are partially obscured by gastrointestinal contents, but the visible aspect are normal._x000D_
_x000D_
Extra-abdominal findings: The patient is overweight._x000D_
_x000D_
Included thorax: No significant abnormalities are detected.</t>
  </si>
  <si>
    <t>The findings are indicative of pancreatitis. A non-specific gastritis, gastroduodenitis should be considered. There is no evidence for a (partial) intestinal obstruction.</t>
  </si>
  <si>
    <t>Supportive management including rehydration, gastroprotectants,  full blood work, if clinically indicated is advised, if not already performed. Consider an abdominal ultrasound. If vomiting continues without development of diarrhea, an upper GI contrast study may also be considered.</t>
  </si>
  <si>
    <t xml:space="preserve">Patient Name : Daisy Ramirez, Date of study: Jun 24, 2024
6 images are provided for review
There are no previous radiographs for comparison.
Pulmonary parenchyma: A minimal to mild diffuse bronchial pattern is present.  the lungs are mildly hypoinflated.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Liver: The liver is subjectively normal in size.
Spleen: Arising from the region of the dorsal extremity of the spleen is a round to ovoid soft tissue mass.  This is best identified in the left cranial to mid-abdomen, just caudal to the stomach, in the ventrodorsal image.  This mass appears to extend across mid-line at the level of t13 through L2 in the ventrodorsal image.  
Kidneys: The right kidney is mildly small.  The left kidney is normal.
Retroperitoneum: Retroperitoneal detail is adequate.
Urogenital: The urinary bladder is normal in size, homogeneous soft tissue, and smoothly marginated.
Peritoneum: Peritoneal detail is adequate.
Gastrointestinal tract: The stomach contains a mild volume of gas. The stomach is within normal limits for size.
The small intestine contains fluid and gas or is empty with a subjectively uniform population for size.   The small intestine and colon are caudally displaced due to the left cranial abdominal mass.
The colon contains mild heterogeneous  soft tissue material and gas. The colon is normal in size.
Musculoskeletal:  In the left dorsolateral  extra-thoracic soft tissues are the level of T9 through T12, is an ovoid soft tissue mass with partially ill-defined margins.  This mass focally enlarged and deforms the cutaneous margin at this site.  Ill-defined fluid opaque striations are in the subcutaneous fat adjacent to this mass, partially obscuring its margins.   Multifocal thoracolumbar spondylosis deformans is present.  The remaining included musculoskeletal structures are normal.
</t>
  </si>
  <si>
    <t xml:space="preserve">1. Left cranial abdominal soft tissue mass, most likely of splenic origin.
- Differential diagnoses include neoplasia such as primary hemangiosarcoma or soft tissue sarcoma, versus metastatic disease, or less likely hematoma/hemangioma, or unlikely other.
2. Left dorsolateral extra-thoracic soft tissue mass with subcutaneous fluid/edema or other.
  - Differential diagnoses include neoplasia such as primary soft tissue sarcoma or unlikely hemangiosarcoma versus metastatic disease from primary splenic/abdominal mass, or unlikely other.
3. Minimal to mild diffuse bronchial pulmonary pattern due to fibrosis from prior disease, age-related changes, or unlikely atypical metastatic neoplasia or infectious/immune-mediated lower airway disease or unlikely other.
4. No obvious pulmonary soft tissue nodules or intra-thoracic lymphadenomegaly.  
5. Mild small right  kidney and suspected chronic renal disease.
</t>
  </si>
  <si>
    <t>Consider routine blood work and coagulation testing if not recently performed.  Especially given patient size, consider computed tomography of the thorax/thoracic body wall and abdomen for further evaluation and pre-surgical planning of excisional/incisional biopsy of left thoracic body wall and presumed splenic masses.   Abdominal ultrasonography for further evaluation of the spleen and liver may also be contributory. Oncologist consultation depending on results.  Empirical therapy and supportive care in the interim as needed.  Monitoring with routine blood work and thoracic/abdominal imaging as directed, or sooner if clinical signs acutely change, fail to improve or worsen.</t>
  </si>
  <si>
    <t>A ventral dorsal and both lateral radiographs of the thorax are provided. The cardiac silhouette is normal size. Pulmonary vessels are poorly delineated but do not appear to be enlarged. There are numerous (too many to count) well-defined variably sized small round soft tissue opaque nodules throughout the lungs. These nodules measure up to 1.6 cm, and all lung lobes are severely affected. No pleural effusion. Several small mineral opaque fragments in the stomach, and narrowed T12-13 intervertebral disc space, likely incidental findings.</t>
  </si>
  <si>
    <t>Diffuse, severe pulmonary metastatic disease. A primary lesion is not identified.</t>
  </si>
  <si>
    <t>Prognosis is grave.</t>
  </si>
  <si>
    <t xml:space="preserve">
1.Are respiratory signs present? If NO._x000D_
2.The evaluation has a strong suspicion of pulmonary nodules or mass lesion being present._x000D_
3.A moderate perihilar infitlrate has been detected._x000D_
4.Severe cardiomegaly has been detected but Heart Failure is NOT suspected._x000D_
5.SEVERE INTERSTITIAL TO ALVEOLAR PATTERN; SEVERE BRONCHIAL PATTERN; MILD DYNAMIC AIRWAY DISEASE._x000D_
6.Based on these AI airway/pulmonary findings, the probability of this patient having clinically detectable respiratory signs is VERY HIGH (&gt;75%)_x000D_
7.Are respiratory signs present? If YES._x000D_
8.Pleural fissure lines or moderate to severe pleural effusion has been detected. An overlying skin fold or in an obese animal, excessive pericardial fat could artifactually mimic the result of severe pleural effusion.</t>
  </si>
  <si>
    <t>Orthogonal views of the thorax are provided:_x000D_
_x000D_
Thorax:_x000D_
_x000D_
Cardiac silhouette shows a moderate enlargement of the left atrium dorsally displacing the carina. There is also rounding of the MPA._x000D_
Pulmonary vessels are within normal limits of size and shape._x000D_
Pulmonary parenchyma is within normal limits. No evidence of pulmonary nodules/masses._x000D_
Pleural space, mediastinum, diaphragm and thoracic wall within normal limits._x000D_
_x000D_
Liver extends beyond the costal arch with mildly rounded borders.</t>
  </si>
  <si>
    <t>1) Left atrial enlargement secondary to chronic mitral endocardiosis without signs of CHF._x000D_
2) Subjective prominent MPA. Rule out concomitant tricuspid endocardiosis with pulmonary hypertension._x000D_
3) Unremarkable lungs do not exclude a bronchitis of allergic vs inflammatory/infectious or parasitic origin vs secondary to pulmonary hypertension.</t>
  </si>
  <si>
    <t xml:space="preserve">
1.A severe alveolar pattern and mild perihilar pattern have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4.SEVERE INTERSTITIAL TO ALVEOLAR INFILTRATE with PNEUMONIA or less likely, ATELECTASIS; SEVERE DYNAMIC AIRWAY DISEASE; MILD PERIHILAR INFILTRATE._x000D_
5.SEVERE ALVEOLAR INFILTRATE; SEVERE DYNAMIC AIRWAY DISEASE._x000D_
6.Based on these AI airway/pulmonary findings, the probability this patient will have clinically detectable respiratory signs is NEAR CERTAINTY (&gt;99%)_x000D_
7.Based on these AI airway/pulmonary findings, the probability of this patient having clinically detectable respiratory signs is HIGH (75%)_x000D_
8.Are respiratory signs present? If YES._x000D_
9.Are respiratory signs present? If YES._x000D_
10.Bacterial pneumonia treatment in dogs: https://platform.v2.vetology.net/doc/pneumonia-in-dogs-and-cats_x000D_
11.Are respiratory signs present? If NO._x000D_
12.Airway collapse treatment in dogs: https://platform.v2.vetology.net/doc/canine-tracheal-collapse_x000D_
13.Are respiratory signs are present? If NO.</t>
  </si>
  <si>
    <t>Three radiographs of the thorax are provided. Images dated 7/14/22 are available for comparison. There is prominence of the left atrium, similar to the previous study. Cardiac to thoracic ratio remains normal. Pulmonary vessels are of normal size. There are mild age-related changes in the lungs. Moderate narrowed cervical trachea on the left lateral view. In the cranial abdomen the liver is upper normal size.</t>
  </si>
  <si>
    <t>This study is essentially unchanged compared to previous images._x000D_
1. Prominent left atrium consistent with acquired mitral valve disease. This is of doubtful clinical significance. Otherwise normal thorax._x000D_
2. Probable dynamic cervical tracheal collapse.</t>
  </si>
  <si>
    <t xml:space="preserve">
1.Are respiratory signs present? If YES._x000D_
2.Are respiratory signs present? If NO._x000D_
3.MODERATE BRONCHINTERSTITIAL PATTERN with ATELECTASIS or less likely, PNEUMONIA; MILD DYNAMIC AIRWAY DISEASE._x000D_
4.Based on these AI airway/pulmonary findings, the probability of this patient having clinically detectable respiratory signs is MEDIUM to HIGH (50-75%)_x000D_
5.Pleural fissure lines or small volume pleural effusion has been detected. In a mildly overweight animal, excessive pericardial fat can artifactually mimic the result of minimal pleural effusion._x000D_
6.Moderate cardiomegaly has been detected but Heart Failure is NOT suspected.</t>
  </si>
  <si>
    <t>A three view study of the thorax including the neck is provided for interpretation._x000D_
_x000D_
There is a mild diffuse bronchointerstitial pulmonary pattern. No alveolar infiltrates are seen. No thoracic lymphadenopathy or pleural effusion is identified. The heart is at the upper end of normal range to slightly enlarged, with normal shape. No tracheal or laryngeal abnormalities are identified._x000D_
The liver is at the upper end of normal range. Rugal folds in the stomach are prominent.</t>
  </si>
  <si>
    <t>There is a mild bronchointerstitial pattern. Allergic bronchitis is most likely. Low-grade infectious bronchitis still be ruled out. Parasitic infection such as lungworms/heartworm or fungal disease should be considered as less likely possibilities._x000D_
No evidence of pneumonia or neoplasia is seen._x000D_
_x000D_
Heart size is borderline. This is not expected to be clinically relevant.</t>
  </si>
  <si>
    <t>CBC and heartworm testing is recommended. Baermann or sedimentation fecal exam for lungworms should also be considered._x000D_
_x000D_
Symptomatic therapy for probable allergic bronchitis is recommended unless there is other clinical or laboratory cause for suspicion of infectious disease._x000D_
_x000D_
A recheck a three view study is recommended if clinical signs worsen or do not improve with symptomatic therapy over the next one to two weeks.</t>
  </si>
  <si>
    <t xml:space="preserve">
1.MODERATE BRONCHOINTERSTITIAL PULMONARY PATTERN; MODERATE ALVEOLAR INFILTRATE or ATELECTASIS; MODERATE DYNAMIC AIRWAY DISEASE._x000D_
2.MODERATE BRONCHOINTERSTITIAL PULMONARY PATTERN, MODERATE DYNAMIC AIRWAY DISEASE,  SLIGHT PERIHILAR INFILTRATE._x000D_
3.Based on these AI airway/pulmonary findings, the probability of this patient having clinically detectable respiratory signs is HIGH (75%)_x000D_
4.Based on these AI airway/pulmonary findings, the probability of this patient having clinically detectable respiratorysigns is MEDIUM (50%)_x000D_
5.Are respiratory signs present? If YES._x000D_
6.Pleural fissure lines or small volume pleural effusion has been detected. In a mildly overweight animal, excessive pericardial fat can artifactually mimic the result of minimal pleural effusion._x000D_
7.Severe cardiomegaly has been detected but Heart Failure is NOT suspected._x000D_
8.Are respiratory signs present? If YES._x000D_
9.AI linked bronchitis disease treatment in dogs and cats: https://platform.v2.vetology.net/doc/bacterial-bronchitis-in-dogs-and-cats_x000D_
10.Are respiratory signs present? If NO._x000D_
11.Are respiratory signs present? If NO.</t>
  </si>
  <si>
    <t>Three radiographs of the thorax, and three views of the abdomen are provided. The cardiac silhouette is normal size and shape. Pulmonary vessels are normal size. There are no abnormalities in the pulmonary parenchyma. No pleural effusion or intrathoracic lymphadenomegaly. Normal tracheal diameter._x000D_
_x000D_
In the abdomen the urinary bladder is severely distended. No radiopaque cystic calculi. On the left lateral view there is a curved soft tissue contour measuring at least 3.5 cm extending cranial to the pelvic inlet. This is situated caudodorsal to the bladder trigone and ventral to the descending colon. There is scant semi-formed feces in the colon. Small bowel are minimally distended. Small volume gas in the stomach. Thin flat 1.6 cm mineral opaque fragment in the cranial abdomen may be located within the stomach or a loop of bowel, and is of doubtful clinical significance. No medial iliac lymphadenomegaly. Normal-sized kidneys, spleen, liver. Spondylosis deformans is likely incidental. The coxofemoral joints are congruent.</t>
  </si>
  <si>
    <t>Soft tissue opacity extending cranial to the pelvic inlet may be enlarged prostate secondary to benign prostatic hyperplasia. Paraprostatic cyst or abscess is next on the differential list. A mass lesion originating from the urethra, colon, or prostate, or surrounding tissue is not definitively ruled out. Severe urinary bladder distention, concerning for urethral obstruction due to extraluminal mass. There is no constipation on this study. Normal thorax.</t>
  </si>
  <si>
    <t>Recommend urinary bladder catheterization initially. Ultrasound evaluation of the prostate/pelvic inlet, with guided sampling of any mass lesions should be considered.</t>
  </si>
  <si>
    <t xml:space="preserve">
1.The evaluation has come up positive for a pulmonary nodular pattern._x000D_
2.The cardiac silhouette size is normal._x000D_
3.There is no evidence of ALVEOLAR PATTERN, PERIHILAR INFILTRATE or DYNAMIC AIRWAY COLLAPSE or BRONCHIECTASIS._x000D_
4.A minimal interstitial pattern has been detected.</t>
  </si>
  <si>
    <t xml:space="preserve">Patient Name : Chilindra Thornton, Date of study: Jun 24, 2024
3 images are provided for review
Canine Thorax (3 Images) - 2 Lateral, 1 Vd
There are no previous radiographs for comparison.
Pulmonary parenchyma: A mild to moderate diffuse bronchial pattern is present.  A minimal to mild interstitial pattern is present, best identified in the left lateral image.  The left lateral image is hypoinflated.  
Pulmonary vasculature: The pulmonary vasculature is subjectively normal in size and tapers in the periphery of the lungs.
Cardiac silhouette: The cardiac silhouette is flattened or enlarged at its caudodorsal margin.  In the left lateral image, the cardiac silhouette is tall and occupies 2/3 the height of the thorax.  The trachea is mildly dorsally displaced in the lateral image.  Rounded increased soft tissue results in lateral displacement of the mainstem bronchi in the ventrodorsal image. 
Mediastinum: The cranial mediastinum is normal.
Trachea: The trachea is normal.
Esophagus: The esophagus is not well-identified.
Pleural space: The pleural space is normal.
Musculoskeletal: Multifocal caudal thoracolumbar spondylosis deformans is present.  The remaining included musculoskeletal structures are normal.
</t>
  </si>
  <si>
    <t>1. Mild-moderate left-sided cardiomegaly such as from myxomatous mitral valvular disease and insufficiency, or less likely other.
2. Mild-moderate diffuse bronchial and minimal interstitial pulmonary patterns.
- Differential diagnoses include fibrosis from prior disease, age-related changes, infectious/immune-mediated lower airway disease versus inhaled allergen/irritant, artifact from hypoinflation, or unlikely evolving left-sided congestive heart failure, or other.</t>
  </si>
  <si>
    <t>Consider echocardiography, eCG, blood pressure for further evaluation.   Routine blood work and urinalysis may be contributory.  Empirical therapy and supportive care in the interim as needed.  Monitoring as directed or sooner if clinical signs acutely change, fail to improve or worsen.</t>
  </si>
  <si>
    <t>Opposite lateral and VD views of the thorax and abdomen are provided for interpretation._x000D_
_x000D_
No pulmonary infiltrates or bronchial thickening are identified. The cardiovascular structures are within normal limits. No tracheal or esophageal abnormalities are seen._x000D_
The stomach and intestinal tract are unremarkable. The other abdominal organs are also within normal limits.</t>
  </si>
  <si>
    <t>No significant thoracic or abdominal abnormalities are identified in this study.</t>
  </si>
  <si>
    <t>The cause of cough is not apparent in the radiographs. Viral tracheobronchitis or allergic lung disease could still be present._x000D_
Symptomatic therapy is recommended.</t>
  </si>
  <si>
    <t xml:space="preserve">
1.The cardiac silhouette size is normal._x000D_
2.There is no evidence of PERIHILAR INFILTRATE, DYNAMIC AIRWAY COLLAPSE or BRONCHIECTASIS or PULMONARY NODULES._x000D_
3.A minimal interstitial pattern has been detected._x000D_
4.A minimal bronchial pattern has been detected.</t>
  </si>
  <si>
    <t>7 images of the thorax, abdomen, and cervical region are presented for review.  The cardiovascular and pulmonary structures are normal.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is small.  The remaining abdominal organs are normal.  The trachea is normal in diameter.  The soft palate is elongated and rounded.</t>
  </si>
  <si>
    <t>Radiographically normal thorax.  Elongated soft palate.  Prominent rugal folds suggestive of gastritis.  This does not rule out underlying pancreatitis, dietary indiscretion, etc.</t>
  </si>
  <si>
    <t>If vomiting persists with supportive therapy, abdominal ultrasound could be considered in further evaluation.</t>
  </si>
  <si>
    <t xml:space="preserve">
1.Are respiratory signs present? If YES._x000D_
2.Are respiratory signs present? If NO._x000D_
3.The cardiac silhouette size is normal._x000D_
4.There is no evidence of DYNAMIC AIRWAY COLLAPSE or BRONCHIECTASIS, PULMONARY NODULES or PLEURAL EFFUSION._x000D_
5.MODERATE INTERSITIAL TO ALVEOLAR PATTERN; MINIMAL PERIHILAR INFILTRATE._x000D_
6.Based on these AI airway/pulmonary findings, the probability of this patient having clinically detectable respiratory signs is MEDIUM (50%)._x000D_
7.AI linked bacterial pneumonia treatment in dogs: https://platform.v2.vetology.net/doc/pneumonia-in-dogs-and-cats</t>
  </si>
  <si>
    <t>Six orthogonal views of the front limbs are provided._x000D_
_x000D_
The medial coronoid process of both ulnas appears blunted in the lateral view. Both ulnas have mild sclerosis in the subtrochlear region. No osteophyte production is seen involving the elbow margins._x000D_
_x000D_
There is slight swelling around the right carpus. No bony changes are seen. The feet are unremarkable._x000D_
_x000D_
No abnormalities are seen involving the shoulder joints or the scapulae. The cervical spine in the soft tissues of the neck are unremarkable.</t>
  </si>
  <si>
    <t>The elbow changes are mild, but suspicious for elbow dysplasia. There is no secondary osteophyte production that would typically be expected with elbow dysplasia, so clinical significance remains unknown._x000D_
_x000D_
The right carpus appears slightly swollen, but not definitive for joint effusion. Clinical relevance remains unknown, since the primary lameness is left sided.</t>
  </si>
  <si>
    <t>The radiographic changes are mild, and clinical significance is unknown. There is no evidence of traumatic injury in this study that would account for the acute lameness._x000D_
Soft tissue injury not visible in the radiographs is most likely responsible for the lameness._x000D_
Restricted activity and anti-inflammatory therapy is recommended.</t>
  </si>
  <si>
    <t>Opposite lateral and VD views of the thorax and neck (six images) are provided for interpretation. Previous radiographs dated 12-21-23 are compared._x000D_
_x000D_
No tracheal abnormalities are identified. The larynx and pharynx are unremarkable. No mass effect seen in the neck._x000D_
_x000D_
There is a mild bronchial pattern similar to the previous study. The bronchial pattern appears to be mostly due to bronchial wall mineralization. A few of the larger airways appear slightly dilated. No alveolar infiltrates or pleural effusion are seen.</t>
  </si>
  <si>
    <t>The mild bronchial pattern is compatible with prominent age related changes or chronic idiopathic or allergic bronchitis. Infectious causes are considered unlikely. No evidence of neoplasia or cardiac disease is seen._x000D_
_x000D_
No abnormalities are identified involving the larynx/pharynx or trachea._x000D_
Laryngeal paralysis could still be present and would be a likely differential in this patient.</t>
  </si>
  <si>
    <t>Sedated laryngeal/pharyngeal exam is recommended.</t>
  </si>
  <si>
    <t>Ten orthogonal survey radiographs of the thorax, abdomen and appendicular skeleton dated 24th June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hepatic silhouette is small with smooth borders. The spleen is normal in shape, size and position. The kidneys are partially obscured by gastrointestinal contents, but the visible aspect are normal. The stomach is mainly empty, with a normal axis. The small intestines are distributed evenly and are within normal limits for shape, size and contents. The ascending, transverse and descending colon have a normal position and contain gradually more formed faeces. The urinary bladder is filled. The serosal detail is normal. _x000D_
_x000D_
Musculoskeletal findings: _x000D_
Thoracic limbs: There is minimal smooth osteophytic modelling of the caudal aspect of the humeral heads. Both elbow joints are normal. The extremities are normal._x000D_
Vertebral column and pelvic limbs: The cervical vertebral column is obliqued, however no abnormalities are noted. The thoracic vertebral column is normal. There is narrowing of the T12-T13 intervertebral disc space, with collapse ventrally, and smoothly marginated ventral spondylosis. There is mild kyphosis the 13th ribs are transitional. There is mild narrowing at T11-T12, also mainly ventrally, with smooth vertebral and plates. The lumbar vertebral column is normal. The iliosacral joints are symmetric. There is good coverage of the femoral heads by the acetabuli.  No degenerative modelling is noted at the acetabular rim and femoral heads and there is good articular congruency. The pelvic and caudal thigh musculature is symmetric. The patella are in an anatomical position.</t>
  </si>
  <si>
    <t>1. T11-T12 and T12-T13 intervertebral disc disease: This may cause some back pain. No mineralised disc extrusion is seen, however nonmineralised disc protrusion may be present and may cause some extradural compression._x000D_
2. Minimal symmetric shoulder osteoarthritis, unlikely of clinical significance.</t>
  </si>
  <si>
    <t>6 images of the thorax and abdomen are presented for review.  The cardiovascular structures are normal.  There is a diffuse interstitial pulmonary pattern that is considered appropriate for the age of the patient.  No pulmonary nodules are seen.  Rounded soft tissue is seen dorsal to the third sternal segment.  Poorly defined rounded soft tissue surrounds the tracheal bifurcation on the right lateral view.  The pleural structures are normal.  Abdominal serosal detail is adequate in all quadrants.  The liver margin is rounded and extends beyond the costal arch.  The stomach contains a moderate amount of ingesta.  The small intestines are normal in size.  Gas and feces are present in the colon.  The urinary bladder is small.  Prominent soft tissue is seen dorsal to the colon and ventral to L5-7 in the area of the sublumbar lymph nodes.  The remaining abdominal organs are normal.</t>
  </si>
  <si>
    <t>Sternal, hilar, and sublumbar lymphadenopathy.  Hepatomegaly.  Changes are overall concerning for multicentric neoplasia such as lymphoma.</t>
  </si>
  <si>
    <t>Abdominal ultrasound and aspirates of the lymph nodes may be helpful in confirmation.</t>
  </si>
  <si>
    <t>Thorax: There is no evidence of pulmonary metastatic disease.  The pulmonary parenchyma, cardiac silhouette, and pulmonary vasculature are unremarkable.  There is no evidence of pleural effusion or lymphadenopathy.  On the visible portions of the abdomen there is a mild amount of granular mineral opacity within the gastric lumen.  There is no evidence of a pyloric outflow obstruction.</t>
  </si>
  <si>
    <t>Unremarkable thorax._x000D_
_x000D_
The material within the gastric lumen most likely represents normal ingesta or nonobstructive foreign material.</t>
  </si>
  <si>
    <t xml:space="preserve">
1.MILD to MODERATE BRONCHOINTERSTITIAL PATTERN; MILD DYNAMIC AIRWAY DISEASE._x000D_
2.Based on these AI airway/pulmonary findings, the probability of this patient having clinically detectable respiratory signs is MEDIUM (50%)_x000D_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6.Severe cardiomegaly has been detected but Heart Failure is NOT suspected.</t>
  </si>
  <si>
    <t>Opposite lateral thorax views, lateral views of the right front limb, and a DP view of the right carpus are provided for interpretation (six images)._x000D_
_x000D_
There is a mildly defined region of overall decreased opacity that is suspicious for a destructive lesion involving the proximal metaphysis of the humerus. A small irregular free osseous body is identified at the caudal aspect of the shoulder joint._x000D_
No abnormalities are seen involving the elbow joint. There is subtle striated opacity involving the soft tissues at the cranial aspect of the elbow suspicious for slight extracapsular swelling. No abnormalities are seen involving the carpus._x000D_
_x000D_
There are multiple areas of endplate lucency concerning for discospondylitis throughout the thoracic spine. Moderate to severe spondylosis deformans is also present involving the thoracic spine._x000D_
There is mild dorsal subluxation of the sternum at the level of the third intersternebral joint._x000D_
_x000D_
The cardiovascular structures are within normal limits. No pulmonary infiltrates or nodules are identified.</t>
  </si>
  <si>
    <t>1) Destructive endplate lesions are suspected involving many locations throughout the thoracic spine, consistent with discospondylitis._x000D_
_x000D_
2) There is suspicion of a destructive bone lesion involving the proximal metaphysis of the humerus. Neoplasia would be the primary differential based on appearance, but considering there is also suspicion of discospondylitis, osteomyelitis causing the suspected proximal humerus lesion should also be ruled out._x000D_
This area is not well represented in this study, as the area of interest is superimposed over the sternum in both of the views that include the shoulder._x000D_
_x000D_
3) No cardiopulmonary abnormalities are identified. The subluxation of the sternum is likely an incidental finding secondary to a previous traumatic injury.</t>
  </si>
  <si>
    <t>Cross sectional imaging such as CT (or MRI) would be ideal to better define the nature and severity of the suspected bone lesions in the spine and proximal humerus. CT would also be useful to rule out small pulmonary nodules not visible in the radiographs._x000D_
_x000D_
If cross sectional imaging is not an option, follow up radiographs directed at the right shoulder (without superimposition of other structures) are recommended to confirm or rule out the suspicion of a destructive lesion._x000D_
_x000D_
CBC/serum chemistry/urinalysis and urine and blood culture is recommended due to the suspicion of discospondylitis._x000D_
Antibiotic therapy is recommended after samples have been obtained.</t>
  </si>
  <si>
    <t>Orthogonal views of both front limbs including the neck are provided for interpretation._x000D_
_x000D_
No abnormalities are identified involving the shoulder or scapula in the limb. Both elbows are unremarkable. The appearance of the carpal joints and feet is also normal. No soft tissue swelling or joint effusion is seen. No abnormalities are identified involving the cervical spine or the soft tissues of the neck.</t>
  </si>
  <si>
    <t>No orthopedic abnormalities are identified involving the front limbs.</t>
  </si>
  <si>
    <t>The cause of lameness is not apparent in the radiographs. Soft tissue injury or inflammation not visible in the radiographs is likely responsible for the lameness._x000D_
Restricted activity and anti-inflammatory therapy is recommended.</t>
  </si>
  <si>
    <t>Three radiographs of the proximal thoracic limbs are provided. No scapular abnormalities. Thin mineral density medial to both shoulders on the VD view is normal clavicular remnant. This is also seen cranial to the left shoulder on the lateral view. There is mild enthesophyte formation on the caudal aspect of both shoulders. Faint curvilinear mineral density overlying the cranial aspect of the left bicipital groove on the lateral view. No osseous lysis or periosteal proliferation. Both cubital joints are congruent. The thorax is normal.</t>
  </si>
  <si>
    <t>Mild enthesophyte formation on the left bicipital groove, suggestive of bicipital tendinopathy. Concurrent bilateral mild shoulder osteoarthritis. Either, or a combination of these, as well as other soft tissue sprain/strain may be responsible for discomfort. Lateralized intervertebral disc lesion is next on the differential list. There is no evidence of fracture, subluxation, or neoplasia.</t>
  </si>
  <si>
    <t>Recommend supportive care with anti-inflammatories. If lameness progresses, additional soft tissue imaging of the cervical spine and thoracic limbs with MRI could be considered.</t>
  </si>
  <si>
    <t xml:space="preserve">
1.The cardiac silhouette size is normal._x000D_
2.There is no evidence of BRONCHITIS, PERIHILAR INFILTRATE or DYNAMIC AIRWAY COLLAPSE or BRONCHIECTASIS._x000D_
3.Pleural fissure lines or moderate to severe pleural effusion has been detected. An overlying skin fold or in an obese animal, excessive pericardial fat could artifactually mimic the result of severe pleural effusion._x000D_
4.A moderate interstitial to alveolar pattern has been detected.</t>
  </si>
  <si>
    <t>A three view study of the thorax including the neck is provided for interpretation._x000D_
_x000D_
No laryngeal abnormalities are identified. There is variable soft tissue partially obscuring the cervical trachea consistent with redundant dorsal tracheal membrane. No narrowing of the tracheal cartilage is seen. There is a moderate bronchial pulmonary pattern. No alveolar infiltrates are identified._x000D_
The liver is slightly enlarged with slightly rounded margins._x000D_
There is an irregular 6 mm mineral opacity superimposed over the kidney in the cranial dorsal abdomen in both lateral views. A similar opacity is seen in the right cranial abdomen in the VD view superimposed over the edge of the colon.</t>
  </si>
  <si>
    <t>There is a bronchial pattern compatible with bronchitis. Infectious vs. allergic causes should be ruled out._x000D_
_x000D_
The liver is mildly enlarged. Diffuse hepatopathies including metabolic or endocrine associated hepatopathies vs. hepatitis or neoplasia should be ruled out._x000D_
_x000D_
The mineral opacity in the craniodorsal abdomen is suspected to be a calculus involving the right kidney. Intestinal tract location of this opacity cannot be excluded.</t>
  </si>
  <si>
    <t>CBC and heartworm test is recommended. Baermann or sedimentation fecal exam for lungworms should also be considered._x000D_
_x000D_
Antibiotic therapy for infectious bronchitis may be indicated if clinical response to symptomatic therapy is limited.</t>
  </si>
  <si>
    <t>Patient Name : Mitzi Morin, Date of study: Jun 24, 2024
4 images are provided for review
There are no previous radiographs for comparison.
Pulmonary parenchyma: A  mild diffuse bronchial pattern is present. The lungs are hypoinflated.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t>
  </si>
  <si>
    <t xml:space="preserve">1. Mild diffuse bronchial pulmonary pattern.
- Differential diagnoses include fibrosis from prior disease, age-related changes, infectious/immune-mediated lower airway disease such as from mycoplasma spp., bordetella spp., parasitism, or inhaled allergen/irritant, or unlikely atypical metastatic neoplasia or other.
2. There is no evidence of cardiomegaly on this examination.
3. No evidence of pulmonary nodules or intra-thoracic lymphadenomegaly.  </t>
  </si>
  <si>
    <t xml:space="preserve">
1.A minimal to mild bronchointerstitial pulmonary pattern has been detected._x000D_
2.The evaluation has come up positive for a pulmonary nodular pattern._x000D_
3.The cardiac silhouette size is normal._x000D_
4.There is no evidence of PERIHILAR INFILTRATE or DYNAMIC AIRWAY COLLAPSE or BRONCHIECTASIS.</t>
  </si>
  <si>
    <t>Three radiographs of the thorax and three views of the abdomen are provided. Images dated 10/20/22 are available for comparison. In the thorax there is small volume pleural fluid. Mild generalized cardiac silhouette enlargement. There is severe interstitial pattern in the cranioventral right lungs. Bronchial pattern in the remaining lungs consistent with age. No soft tissue pulmonary nodules. Increased opacity extending from the cardiac apex to the diaphragm on the VD view is mediastinal fat deposition and pleural fluid._x000D_
_x000D_
In the abdomen the liver is moderately enlarged with rounded margins. Normal sized spleen and left kidney. The right kidney is incompletely visible. Ovoid 1.8 x 1.2 cm soft tissue density ventral to L5-6. No radiopaque urolithiasis. The gastrointestinal tract is mildly filled.</t>
  </si>
  <si>
    <t>1. Mild generalized cardiomegaly consistent with mitral and tricuspid valve regurgitation. Chronic valvular disease is most likely. Dilated cardiomyopathy is next on the differential list. Mild pleural effusion suggestive of right-sided cardiac decompensation. There is no definitive evidence of cardiogenic pulmonary edema to suggest left-sided heart failure. The ventral severe interstitial pattern on the right side is most consistent with aspiration pneumonia. Edema caused by heart failure is next on the differential list._x000D_
2. Moderate hepatomegaly, increased in size compared to the previous study. This may be due to venous congestion. Steroid hepatopathy or neoplasia are next on the differential list. This should be correlated with blood work._x000D_
3. Mild medial iliac lymphadenomegaly, likely reactive or metastatic and associated with the pelvic limb lesion.</t>
  </si>
  <si>
    <t>Treatment for heart failure and an echocardiogram are recommended. If the patient has elevated white blood cell count or is febrile, antibiotics would be recommended. Abdominal ultrasound should also be considered.</t>
  </si>
  <si>
    <t>Three radiographs of the thorax and orthogonal views of the abdomen are provided. Images dated 10/16/23 were reviewed. There is moderate left-sided cardiomegaly. Subsequent dorsal deviation of the thoracic trachea and mainstem bronchi. This is more pronounced than on the previous study. There is soft tissue density with air bronchograms in the left perihilar region and caudal lung. Moderate interstitial pattern in the right perihilar region. Mild age-related changes in the remaining lungs. Scant gas in the caudal esophagus is transient and incidental. Moderate narrowed cervical trachea on the right lateral view._x000D_
_x000D_
In the abdomen the liver is mild to moderately enlarged, increased in size compared to the previous study. Hepatic margins remain smooth. The abdomen is pendulous. There is no effusion. Normal-sized spleen and kidneys. Large volume of formed feces in the colon. The stomach and small bowel are mildly filled. No radiopaque urolithiasis. Osseous structures are unremarkable.</t>
  </si>
  <si>
    <t>1. Moderate left-sided cardiomegaly consistent with acquired mitral valve disease. This is progressive, and there is pulmonary edema indicating left-sided heart failure today._x000D_
2. Probable dynamic cervical tracheal collapse. This could be contributing to the cough._x000D_
3. Mild to moderate hepatomegaly, a nonspecific finding that is most likely steroid or other hepatopathy. An inflammatory or neoplastic process are next on the differential list. No other abdominal abnormalities.</t>
  </si>
  <si>
    <t>Recommend treatment for heart failure and follow-up echocardiogram. Routine blood work is also recommended. Further investigation of the liver and adrenal glands with ultrasound could be considered.</t>
  </si>
  <si>
    <t xml:space="preserve">
1.Pleural fissure lines or small volume pleural effusion has been detected. In a mildly overweight animal, excessive pericardial fat can artifactually mimic the result of minimal pleural effusion._x000D_
2.Severe cardiomegaly has been detected but Heart Failure is NOT suspected._x000D_
3.MODERATE to SEVERE BRONCHOINTERSTITIAL PULMONARY PATTERN; DYNAMIC AIRWAY COLLAPSE and/or BRONCHIECTASIS; ALVEOLAR INFILTRATE or ATELECTASIS._x000D_
4.Based on these AI airway/pulmonary findings, the probability of this patient having clinically detectable repsiratory signs is VERY HIGH (&gt;75%)_x000D_
5.Are respiratory signs present? If YES._x000D_
6.AI linked bacterial pneumonia treatment: https://platform.v2.vetology.net/doc/pneumonia-in-dogs-and-cats_x000D_
7.AI linked bacterial bronchitis treatment: https://platform.v2.vetology.net/doc/bacterial-bronchitis--in-dogs-and-cats_x000D_
8.Are respiratory signs present? If NO.</t>
  </si>
  <si>
    <t xml:space="preserve">Patient Name : Penelope Hays, Date of study: Jun 24, 2024
4 images are provided for review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A thin pleural fissure that does not widen in the periphery of the lungs is between the subsegments of the left cranial lung lobe.  
Musculoskeletal: The included musculoskeletal structures are normal.
</t>
  </si>
  <si>
    <t xml:space="preserve">1. Mild diffuse bronchial pulmonary pattern.
- Differential diagnoses include infectious/immune-mediated lower airway disease such as from mycoplasma spp., bordetella spp., parasitism, or inhaled allergen/irritant.
2. There is no obvious evidence of cardiomegaly on this examination.
3. Presumed tangential beam artifact, pleural thickening/folding, or unlikely scant pleural fluid.  </t>
  </si>
  <si>
    <t>Etiology of reported hypoxia is not identified on this examination.  Consider dynamic laryngeal/tracheal and/or bronchial narrowing, which may be radiographically silent.  Tracheoscopy/bronchoscopy and/or sedated laryngeal examination may be contributory.  Routine blood work to rule out underlying anemia or other systemic disease may be contributory.  Consider respiratory PCR panel, airway sampling, and fecal analysis for further evaluation.  Empirical therapy and supportive care in the interim as needed. Monitoring as directed or sooner if clinical signs acutely change, fail to improve or worsen.</t>
  </si>
  <si>
    <t>Study:_x000D_
Thoracic and abdominal radiography: seven images dated June 24, 2024_x000D_
_x000D_
Findings:_x000D_
The cardiac silhouette and pulmonary vasculature are normal in size. The pulmonary parenchyma is unremarkable. The pleural space is normal. There is no intrathoracic lymphadenopathy. The trachea is normal in diameter and course. The abdominal serosal detail is adequate. There are two thin linear metallic opacities in the cranial abdomen=ZZ90= one adjacent to the pylorus and one superimposed with the right liver. The stomach contains a small volume of gas and a small amount of unstructured heterogeneous soft tissue material. The pylorus is appropriately gas-filled on the left lateral image. Similar material is present in some small intestinal segments. The small intestines are normal in size and course. The colon contains formed fecal material. The liver extends beyond the costal arch with a smooth and rounded caudoventral margin. The spleen is moderately enlarged with smooth margins. The renal silhouettes are normal in size and contour. The urinary bladder is normal in size and opacity. There is no prostatomegaly. There is mild L3-L4 spondylosis deformans.</t>
  </si>
  <si>
    <t>1. Gastrointestinal contents contents likely represent ingesta. Foreign material cannot be completely exceeded. There is no evidence of small intestinal mechanical obstruction. Repeat fasted radiography can be considered to ensure gastrointestinal emptying if clinically relevant based on recent dietary history. Alternatively, sonography can be considered if clinical signs persist or worsen in spite of medical management._x000D_
2. The generalized hepatomegaly is nonspecific. Rule out metabolic/vacuolar hepatopathy, hyperplasia, hepatitis or infiltrative neoplasia. Correlate with any liver enzyme abnormalities. Sonography can be considered for further evaluation._x000D_
3. The generalized splenomegaly is also nonspecific. Rule out extramedullary hematopoiesis, lymphoid hyperplasia, splenitis, or infiltrative neoplasia. Sonography can be considered for further evaluation._x000D_
4. At least one peritoneal wire foreign body is present. The other may be within the hepatic parenchyma or also free within the peritoneal cavity. In either case, these are relatively common incidental findings._x000D_
5. Normal thorax.</t>
  </si>
  <si>
    <t>A three view study of the abdomen and orthogonal thorax views are provided for interpretation._x000D_
_x000D_
The spleen is prominent, and felt to be mildly enlarged. The shape is normal, and the margins are smooth. The other abdominal organs are all within normal size and shape limits. No abnormalities are identified involving the GI tract. The stomach and small intestine appear empty and nondistended. There is a moderate volume of normal appearing fecal material in the colon._x000D_
_x000D_
The cardiovascular structures are within normal limits. No pulmonary infiltrates or pleural effusion are seen. No tracheal/pharyngeal or esophageal abnormalities are identified.</t>
  </si>
  <si>
    <t>The spleen is mildly enlarged. This is a nonspecific change but most likely associated with reactive change secondary to inflammatory disease or simply a benign variant. Lymphoreticular neoplasia is less likely but cannot be ruled out._x000D_
No thoracic abnormalities are identified.</t>
  </si>
  <si>
    <t>No findings that would explain the presenting complaint are identified._x000D_
Symptomatic therapy for possible esophagitis for gastritis is recommended._x000D_
_x000D_
CBC and serum chemistry should be considered to help rule out systemic inflammatory/infectious or metabolic disease.</t>
  </si>
  <si>
    <t>Three radiographs of the thorax, and three views of the abdomen are provided. The cardiac silhouette and pulmonary vessels are normal size and shape. The lungs are clear. There are no esophageal or tracheal abnormalities. Osseous structures are age-appropriate._x000D_
_x000D_
In the abdomen serosal detail is adequate for the young age of this patient. There is small volume of gas in the stomach on the lateral views. Possible amorphous soft tissue density in the fundus on the VD projection versus collapsed rugal folds. Small bowel are diffusely mildly fluid-filled. There is gas in the cecum and colon. No organomegaly. The uterus is not definitively seen. The coxofemoral joints are congruent.</t>
  </si>
  <si>
    <t>Equivocal soft tissue density in the stomach may be residual ingesta or collapsed rugal folds. Foreign material is given lesser consideration in the absence of vomiting. Otherwise normal abdomen. Gastroenteritis secondary to dietary indiscretion or infectious etiology is most likely. There is no evidence of small bowel obstruction. The thorax is normal.</t>
  </si>
  <si>
    <t>A CBC, blood chemistry profile, and supportive care are recommended. Based on patient response and lab work results, further investigation with abdominal ultrasound may be indicated.</t>
  </si>
  <si>
    <t>Study:_x000D_
Thoracic/abdominal radiography: six images dated June 22, 2024_x000D_
_x000D_
Findings:_x000D_
The cardiac silhouette and pulmonary vasculature are normal in size. On the left lateral projections, there is a mild patchy interstitial pattern overlying the ventral aspect of the cardiac silhouette. The pleural space is normal. There is no intrathoracic lymphadenopathy. The trachea is normal in diameter and course. The stomach contains unstructured heterogeneous soft tissue material presumed to be ingesta. Similar material is present in some small intestinal segments. The small intestines are normal in size and course. The colon contains a small bone of gas. The liver and spleen are normal in size and margin. The renal silhouettes are normal in size and contour. The urinary bladder and prostate are not included. The osseous structures are unremarkable.</t>
  </si>
  <si>
    <t>1. The mild patchy interstitial pattern in the ventral aspect of the right middle lung lobe may indicate pneumonia. Atelectasis is also possible. Consider continued antibiotic plus/minus expanded therapy with repeat radiography in 10 to 14 days to monitor for response to treatment._x000D_
2. Postprandial gastrointestinal tract=ZZ90= otherwise, unremarkable abdomen.</t>
  </si>
  <si>
    <t xml:space="preserve">
1.MODERATE BROCHOINTERSTITIAL PULMONARY PATTERN; ATELECTASIS or less likley, PNEUMONIA._x000D_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DYNAMIC AIRWAY COLLAPSE or BRONCHIECTASIS._x000D_
7.Pleural fissure lines or small volume pleural effusion has been detected. In a mildly overweight animal, excessive pericardial fat can artifactually mimic the result of minimal pleural effusion.</t>
  </si>
  <si>
    <t>Patient Name : Buffy Repollo, Date of study: Jun 24, 2024
3 images are provided for review
Canine Thorax (3 Images) - 2 Lateral, 1 Vd
There are no previous radiographs for comparison.
Pulmonary parenchyma: A minimal to mild diffuse bronchial pattern is present.  A minimal interstitial pattern is in the right caudal lungs in the ventrodorsal image.  Ovoid soft tissue superimposes over the thorax and right middle lung at the level of the 6th intercostal space.  This may correspond to ill-defined ovoid soft tissue over the right lungs over the 5th rib in the ventrodorsal image.  The presumed right cranial lobar bronchi are not well-identified in the left lateral image.  
Pulmonary vasculature: The pulmonary vasculature is subjectively normal in size and tapers in the periphery of the lungs.
Cardiac silhouette: The cardiac silhouette is enlarged and tall, occupying greater than 2/3 the height of the thoracic cavity.  The caudodorsal margin of the cardiac silhouette is enlarged.  Moderate rounded increased soft tissue is in the region of the left atrium in the ventrodorsal image.
Mediastinum: The cranial mediastinum is normal.
Trachea: The a soft tissue band partially superimposes over the trachea.  In the left lateral image, the trachea has an undulant dorsal margin.
Esophagus: The esophagus is not well-identified.
Pleural space: The pleural space is normal.
Musculoskeletal: The included musculoskeletal structures are normal.</t>
  </si>
  <si>
    <t>1. Possible right middle lung lobe soft tissue nodule, versus superimposed external nodule, or less likely other.  
2. Moderate left-sided cardiomegaly such as from myxomatous mitral valvular disease and insufficiency, and possible evolving left-sided congestive heart failure.
3. Minimal-mild diffuse bronchial and minimal right caudal lung lobe interstitial pulmonary pattern due to evolving left-sided congestive heart failure and/or infectious/immune-mediated lower airway disease (mycoplasma spp., bordetella spp., parasitism such as lung worms, or less likely other), fibrosis from prior disease, or unlikely other.
4. Tracheal changes and suspected lobar bronchial narrowing from chondromalacia and dynamic airway disease.</t>
  </si>
  <si>
    <t>Echocardiography, ECG and blood pressure for further evaluation.  Diuretic therapy and repeat radiographs in 4-6 hours, including a dorsoventral image, to monitor for resolution/progression of the pulmonary pattern.    Routine blood work and urinalysis if not recently performed.  Consider respiratory PCR panel, fecal analysis/deworming, and empirical therapy for infectious/immune-mediated lower airway disease contributing to current clinical signs.  Tracheoscopy/bronchoscopy and internist consultation may be contributory.   Monitoring as directed or sooner if clinical signs acutely change, fail to improve or worsen.
(amended on 06/24/2024 09:58)
Consider computed tomography for further evaluation of the thorax, especially if right middle lung lobe nodule is persistent or progressive on serial thoracic imaging.</t>
  </si>
  <si>
    <t xml:space="preserve">
1.SEVERE INTERSTITIAL TO ALVEOLAR PATTERN; SEVERE BRONCHIAL PATTERN; MODERATE DYNAMIC AIRWAY DISEASE._x000D_
2.Based on these AI airway/pulmonary findings, the probability of this patient having clinically detectable respiratory signs is VERY HIGH (&gt;75%)_x000D_
3.Are respiratory signs present? If YES._x000D_
4.A mild perihilar infiltrate has been detected._x000D_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suspected._x000D_
7.Are respiratory signs present? If NO.</t>
  </si>
  <si>
    <t>5 images of the entire body and pelvic limbs are presented for review.  The cardiovascular and pulmonary structures are normal.  Gas is present within the cranial mediastinum the pleural structures are normal.  Abdominal serosal detail is adequate in all quadrants.  The stomach contains a small amount of mineral debris.  The small intestines are normal in size.  Gas and feces are present in the colon.  The urinary bladder is small.  The remaining abdominal organs are normal.  Open physes are present.  Coverage of the femoral heads by the acetabular rims is adequate.  There is widening of the capital physis of the proximal right femur.</t>
  </si>
  <si>
    <t>Pneumomediastinum.  This may indicate tracheal/esophageal laceration or track from the cervical and penetrating wounds.  Correlation careful cervical examination may be helpful.  Small amount of gastric mineral foreign material, likely incidental.  Suspect Salter-Harris type I fracture of the right femoral neck.  A frog-legged VD view could be considered to determine if clinical displacement occurs.</t>
  </si>
  <si>
    <t>Four orthogonal survey radiographs of the thorax and abdomen dated 24th June 2024 are available for review. There are no previous radiographs available for comparison. _x000D_
_x000D_
Thorax: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detected._x000D_
_x000D_
Abdomen: The hepatic silhouette is normal in size with smooth borders. The spleen is normal in shape, size and position. The kidneys are partially obscured by gastrointestinal contents, but the visible aspect are normal. The stomach contains a moderate amount of kibble. The small intestines are distributed evenly and are within normal limits for shape, size and contents. The ascending, transverse and descending colon have a normal position and contain gradually more formed faeces. The urinary bladder is filled. The serosal detail is normal._x000D_
_x000D_
Musculoskeletal findings: A very large fat opaque mass is present at the left caudal thorax and cranial abdominal wall. The abdominal wall layering is intact.</t>
  </si>
  <si>
    <t>1.Diffuse mild bronchial pattern: Consideration should be given to normal ageing, allergic bronchitis, chronic bacterial /viral bronchitis +/- parasitic bronchitis. Less likely are heart worm, hyperardenocorticism, neoplasia (such a lymphoma) or idiopathic pulmonary fibrosis._x000D_
2. No nodular opacities are present in the pulmonary parenchyma. A diagnostic metastasis check require is a 3 view thoracic series._x000D_
3. Large body wall mass consistent with a very large lipoma. A liposarcoma is considered unlikely.</t>
  </si>
  <si>
    <t>No contraindications for surgical removal of the mass are seen. Consider a 3 view thoracic series for a complete metastasis check.</t>
  </si>
  <si>
    <t>Five orthogonal thoracic radiographs and for orthogonal left thoracic limb radiographs dated 24th June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No rib fractures , expansile or lytic lesions are seen at the thorax. There is mild to moderate osteophyte formation at the left radiocarpal joint. A small fragment is present at the dorsal articular margin. Mild osteophytic modelling is present at the fifth metacarpophalangeal joint with some surrounding soft tissues swelling.</t>
  </si>
  <si>
    <t>1. Normal thorax. The caudal rib deviation is most likely conformational._x000D_
2. Left radiocarpal osteoarthritis. This may or may not be clinically significant. Associated ligamentous pathology may be present._x000D_
3. Mild fifth digit metacarpophalangeal osteoarthritis. This is most like incidental.</t>
  </si>
  <si>
    <t>Careful empirical management, including controlled exercise, non-steroidal anti-inflammatories, or multimodal analgesia, after normal blood work may be considered if clinically indicated.</t>
  </si>
  <si>
    <t>Three radiographs of the thorax/abdomen are provided. The cardiac silhouette and pulmonary vessels are normal size and shape. There are no abnormalities in the pulmonary parenchyma or pleural space. The plane of the esophagus is unremarkable. Narrowed caudal cervical trachea on the left lateral view is of doubtful clinical significance today. In the abdomen serosal detail is adequate for the trim body condition. There is small volume gas and equivocal scant amorphous soft tissue density in the stomach. Small and large bowel are minimally filled. Normal-sized liver, spleen, kidneys. The urinary bladder is minimally distended.</t>
  </si>
  <si>
    <t>Equivocal scant amorphous soft tissue density in the stomach may represent residual ingesta. Foreign material causing gastritis and pyloric outflow obstruction is not ruled out. There is no evidence of small bowel obstruction. The thorax is normal.</t>
  </si>
  <si>
    <t>A CBC, blood chemistry profile, and strictly fasting abdominal ultrasound is recommended. If patient vomiting is severe/persistent, proceeding to gastroscopy would be appropriate.</t>
  </si>
  <si>
    <t xml:space="preserve">
1.The cardiac silhouette size is normal._x000D_
2.There is no evidence of BRONCHITIS, ALVEOLAR PATTERN, DYNAMIC AIRWAY COLLAPSE or BRONCHIECTASIS, PULMONARY NODULES or PLEURAL EFFUSION._x000D_
3.A severe perihilar infiltrate has been detected.</t>
  </si>
  <si>
    <t>Orthogonal views of the thorax are provided:_x000D_
_x000D_
Thorax:_x000D_
_x000D_
Cardiac silhouette has a normal shape and size._x000D_
Pulmonary vessels are within normal limits of size and shape._x000D_
Pulmonary parenchyma is within normal limits (markedly expiratory rads leading to a false interstitial lung pattern). No evidence of aspiration pneumonia nor signs of pulmonary nodules/masses._x000D_
Pleural space, mediastinum, diaphragm and thoracic wall within normal limits._x000D_
_x000D_
Liver extends beyond the costal arch.</t>
  </si>
  <si>
    <t>Consider laryngeal exam under sedation and abdominal US to further evaluate the liver and echocardiogram to rule out pulmonary hypertension.</t>
  </si>
  <si>
    <t>Thorax: There is moderate generalized cardiomegaly.  There is ill-defined smooth margined increase in soft tissue opacity superimposed over the cranial dorsal right side of the cardiac silhouette.  The pulmonary parenchyma is unremarkable.  There is no evidence of pleural effusion or lymphadenopathy.  There are no abnormalities involving the mainstem bronchi or trachea.</t>
  </si>
  <si>
    <t>Moderate generalized cardiomegaly without evidence of decompensation._x000D_
_x000D_
The increase in smooth margined soft tissue opacity superimposed over the cranial dorsal right side of the cardiac silhouette most likely represents a summation artifact.  A pulmonary nodule cannot be ruled out.</t>
  </si>
  <si>
    <t xml:space="preserve">
1.Are respiratory signs present? If YES._x000D_
2.A mild interstitial has been identified._x000D_
3.A mild perihilar infiltrate and concurrent, mild dynamic airway disease have been detected._x000D_
4.SEVERE BRONCHIAL PATTERN; MILD INTERSTITIAL PULMONARY PATTERN._x000D_
5.Mild dynamic airway disease has been detected._x000D_
6.Based on these AI airway/pulmonary findings, the probability of this patient having clinically detectable respiratory signs is MEDIUM to HIGH (50-75%)._x000D_
7.Are respiratory signs present: If YES._x000D_
8.Are respiratory signs present: If NO._x000D_
9.Pleural fissure lines or moderate to severe pleural effusion has been detected. An overlying skin fold or in an obese animal, excessive pericardial fat could artifactually mimic the result of severe pleural effusion._x000D_
10.Severe cardiomegaly has been detected but Heart Failure is NOT suspected._x000D_
11.PULMONARY NODULAR PATTERN; MINIMAL INTERSTITIAL PULMONARY PATTERN._x000D_
12.Based on these AI airway/pulmonary findings, the probability of this patient having clinically detectable respiratorysigns is LOW (25%)_x000D_
13.A FALSE POSITIVE result for the pulmonary nodular pattern due to pulmonary osteomas, cutaneous nodules or nipples overlying the thorax; prominentcostochondral junctions or end-on pulmonary vessels is suspected.._x000D_
14.Are respiratory signs present? If NO.</t>
  </si>
  <si>
    <t>8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moderately distended.  No mineral is seen associated urinary tract.  The remaining abdominal organs are normal.  There is ventral and lateral spondylosis deformans of the lumbosacral spine.  Coverage of the femoral heads by their adequate bilaterally.  An osteophyte is present at the cranial acetabular rim on the left.</t>
  </si>
  <si>
    <t>Radiographically normal abdomen.  Lack of specific changes does not rule out radiolucent calculi or neoplasia.  Abdominal ultrasound may be helpful.  Radiographically normal thorax for patient of this age.  Mild left coxofemoral DJD.  Degenerative changes of the lumbosacral spine.  CT or MRI could be considered in the evaluation of the spinal cord/nerve roots.</t>
  </si>
  <si>
    <t xml:space="preserve">
1.The evaluation has come up positive for a pulmonary nodular pattern._x000D_
2.The cardiac silhouette size is normal._x000D_
3.There is no evidence of PERIHILAR INFILTRATE or DYNAMIC AIRWAY COLLAPSE or BRONCHIECTASIS._x000D_
4.A minimal interstitial pattern has been detected._x000D_
5.Pleural fissure lines or small volume pleural effusion has been detected. In a mildly to moderately overweight animal, excessive pericardial fat can artifactually mimic the result of mild pleural effusion.</t>
  </si>
  <si>
    <t>3 views of the thorax and abdomen are provided for review.  The cardiac silhouette is widened with rounding of the left ventricular border.  Interstitial to alveolar opacities present in all lung lobes, slightly more pronounced caudodorsally.  Thin pleural fissure lines present.  The mediastinal structures are normal.  Abdominal serosal detail is adequate in all quadrants.  An accumulation of mineral foci is seen in the right ventral liver in the area of the gallbladder.  The stomach contains a small amount of gas.  The small intestines are normal in size.  A poorly defined soft tissue mass is seen in the mid abdomen.  Gas and feces are present in the colon.  The urinary bladder is small.  The remaining abdominal organs are normal.</t>
  </si>
  <si>
    <t>Cholelithiasis.  Poorly defined mid abdominal mass=ZZ90= consider intestinal lymph node origin.  Abdominal ultrasound could be considered.  Cardiomegaly.  Scant pleural effusion.  Interstitial to alveolar pulmonary pattern consistent with cardiogenic pulmonary edema.  Consider repeat radiographs following diuretic therapy.  Echocardiography, proBNP, and thyroid testing may be helpful in further evaluation.</t>
  </si>
  <si>
    <t xml:space="preserve">
1.Are respiratory signs present? If NO._x000D_
2.PLEURAL EFFUSION or PLEURAL FISSURE LINES; PULMONARY NODULES or NODULAR PATTERN; MODERATE TO SEVERE INTERSTITIAL TO ALVEOLAR PATTERN; MILD BRONCHITIS._x000D_
3.Based on the AI airway/pulmonary findings, the probability of this patient having clinically detectable respiratory signs is VERY HIGH (&gt;75%)_x000D_
4.Are respiratory signs present? If YES._x000D_
5.Resource: https://vsso.org/lung-tumors-canine_x000D_
6.The evaluation has a suspicion of pleural effusion and soft tissue pulmonary nodules or a mass lesion being present._x000D_
7.Severe cardiomegaly has been detected but Heart Failure is NOT suspected.</t>
  </si>
  <si>
    <t>7 images of the thorax and pelvis/pelvic limbs are provided for review.  The trachea is dorsally deviated, indicating left ventricular enlargement.  A small bulge is present in the region of the left atrium.  No pulmonary infiltrates are seen.  The pulmonary vasculature is normal in size.  The trachea is mildly narrowed in the cervical region.  The mediastinal and pleural structures are normal.  Cranial abdominal detail is adequate.  The coxofemoral joints are congruent.  The patellae are medially located.  No fractures or aggressive osseous lesions are seen.  The joint surfaces are smooth and regular increased soft tissue is seen in the right stifle joint.  The left stifle cannot be evaluated for effusion due to obliquity on the lateral view.</t>
  </si>
  <si>
    <t>Tracheal narrowing suggestive of tracheal collapse.  Fluoroscopy bronchoscopy could be considered.  Mild left-sided cardiomegaly without current evidence of cardiogenic pulmonary edema.  Echocardiography may be helpful in further evaluation.  Bilateral medial patellar luxation.  Right stifle soft tissue may represent effusion (related to soft tissue injury) or fibrosis (related to patellar luxation).  Consider surgical consultation.  An additional lateral view of the left stifle with ideal positioning may be helpful to rule out bilateral effusion.</t>
  </si>
  <si>
    <t xml:space="preserve">
1.MINIMAL TO MILD BRONCHOINTERSTITIAL PULMONRAY PATTERN; MILD PERIHILAR PATTERN._x000D_
2.MILD DYNAMIC AIRWAY DISEASE; MINIMAL BRONCHOINTERSTITIAL PULMONARY PATTERN._x000D_
3.Based on these AI airway/pulmonary findings, the probability of this patient having clinically detectable respiratory signs is LOW (25%)_x000D_
4.Based on the AI airway/pulmonary findings, the probability of this patient having clinically detectable respiratory signs is LOW (25%)_x000D_
5.Are respiratory signs present? If YES._x000D_
6.Are respiratory signs present? If YES._x000D_
7.Are respiratory signs present? If NO._x000D_
8.Are respiratory signs present? If NO._x000D_
9.The cardiac silhouette size is normal._x000D_
10.There is no evidence of PLEURAL EFFUSION.</t>
  </si>
  <si>
    <t>Study:_x000D_
Thoracic radiography: three images dated June 22, 2024_x000D_
_x000D_
Compared to prior study dated March 6, 2023_x000D_
_x000D_
Findings:_x000D_
The cardiac silhouette is normal in size and shape. The pulmonary vasculature is normal in size. There is a mild alveolar pattern in the ventral aspect of the caudal segment of the left cranial lung lobe. The previously noted diffuse bronchointerstitial pulmonary pattern is progressive from the prior exam and is now moderate in severity. The pleural space is normal. There is no intrathoracic lymphadenopathy. On the left lateral view, there is a broad-based soft tissue opaque band superimposed with the cervical trachea lumen representing either a redundant dorsal tracheal membrane or superimposition of the esophagus. The tracheal diameter is normal. The liver extends mildly beyond the costal arch with a smooth and rounded caudoventral margin. There is mild T9-T 10 and L1-L2 spondylosis deformans.</t>
  </si>
  <si>
    <t>1. The mild alveolar pattern in the ventral aspect of the caudal segment of the left cranial lung lobe is concerning for pneumonia. Empiric antibiotic therapy with repeat radiography in 10 to 14 days should be considered._x000D_
2. The (progressive) diffuse bronchointerstitial pulmonary pattern is a nonspecific finding. This could be a benign age-related change or may indicate allergic, inflammatory, infectious, inhaled irritant or parasitic bronchitis. Airway sampling plus/minus heartworm testing and Baermann fecal flotation can be considered for further evaluation of this finding._x000D_
3. The mild hepatomegaly is nonspecific. Vacuolar hepatopathy secondary to the reported corticosteroid therapy is considered. Hepatitis, hyperplasia and infiltrative neoplasia cannot be excluded. Correlate with any liver enzyme abnormalities. Abdominal sonography can be considered for further evaluation if clinically relevant.</t>
  </si>
  <si>
    <t xml:space="preserve">
1.A moderate bronchointerstitial pattern with alveolar infiltrates has been detected._x000D_
2.A moderate interstitial to alveolar infiltrate, mild bronchial pattern and concurrent mild perihilar infiltrate have been detected._x000D_
3.Probability these AI pulmonary findings will accompany clinically detectable respiratory signs: MEDIUM (50%)_x000D_
4.Are respiratory signs present? If YES._x000D_
5.Are respiratory signs present? If NO._x000D_
6.Mild cardiomegaly has been detected but Heart Failure is NOT suspected.</t>
  </si>
  <si>
    <t>Study:_x000D_
Thoracic and abdominal radiography: nine images dated June 22,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There is a metallic round soft tissue opacity superimposed with the stomach on all projections. The small intestines are normal in size, course and content. The colon contains gas and poorly formed fecal material. The liver and spleen are normal in size and margin. The renal silhouettes are normal in size and contour. The urinary bladder is normal in size and opacity. The prostate is severely enlarged with smooth margins. There is no prostatic rectal mineralization. There is variable mild to severe multifocal thoracolumbar spondylosis deformans. There is moderate bilateral elbow periarticular bone formation. The coverage of the femoral head by the acetabulum is moderately poor bilaterally with mild to moderate remodeling/thickening of the femoral head and neck, worse on the left. There is mild to moderate right stifle periarticular new bone formation.</t>
  </si>
  <si>
    <t>1. Severe prostatomegaly. Rule out benign prostatic hyperplasia plus/minus prostatitis, prostatic abscess formation or para-prostatic cyst. Prostatic neoplasia is less likely in the absence of any parenchymal mineralization. Urinalysis, abdominal sonography plus/minus urine culture can be considered for further evaluation._x000D_
2. It is difficult to discern if the metallic round opacity within the gastric lumen, free within the mesentery or within the subcutaneous tissues of the ventral abdomen. Repeat radiography (if clinically relevant) can be considered to rule out a gastric location as the opacity would be expected to move if gastric in location._x000D_
3. Normal thorax. There is no radiographic evidence of cardiopulmonary disease or intrathoracic neoplasia._x000D_
4. Moderate bilateral osteoarthrosis._x000D_
5. Bilateral hip dysplasia and coxofemoral osteoarthrosis worse on the left._x000D_
6. The right stifle degenerative joint disease may indicate cranial cruciate and/or meniscal injury.</t>
  </si>
  <si>
    <t xml:space="preserve">Patient Name : Carolina Van Asveld, Date of study: May 23, 2024
3 images are provided for review
Canine Thorax (3 Images) - 1 Vd, 2 Lateral
There are no previous radiographs for comparison. Images are grainy/mottled.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No evidence of tracheal displacement in the ventrodorsal image.  The trachea is otherwise normal.
Esophagus: The esophagus is minimal soft tissue in the caudal thorax in the right lateral image.  The esophagus is otherwise not well-identified.
Pleural space: The pleural space is normal.
Musculoskeletal: The included musculoskeletal structures are normal.
Abdomen:  Peritoneal gas is suspected.  The liver is slightly small and is suspected ot only occupy two intercostal spaces.
</t>
  </si>
  <si>
    <t>1. No obvious evidence of cranial esophageal enlargement/tracheal displacement such as from vascular ring anomaly.
2.  Minimal-mild diffuse bronchial pulmonary pattern.
- Differential diagnoses include infectious/immune-mediated lower airway disease such as from mycoplasma spp., bordetella spp., parasitism, or inhaled allergen/irritant.
3. Suspected peritoneal gas versus artifact.
- If reported ovariohysterectomy was recent, this is likely due to normal post-operative status, other, consider septic peritonitis/ruptured hollow viscus, especially if worsening or severe clinical signs are present.  
4. Slight microhepatia versus individual variation of normal.
- If present, consider occult portosystemic shunt versus other.</t>
  </si>
  <si>
    <t>If signs of regurgitation are present, then further evaluate for vascular ring anomaly with esophagoscopy or contrast esophagography and possibly computed tomography of the thorax.  Without clinical signs, this is consider unlikely.  Consider routine blood work and bile acid testing.  Consider abdominal ultrasonography versus computed tomography for further evaluation of portosystemic shunt depending on results.  Empirical therapy and supportive care in the interim as needed.  Monitoring as directed or sooner if clinical signs acutely change, fail to improve or worsen.</t>
  </si>
  <si>
    <t xml:space="preserve">Patient Name : Sophie Torres, Date of study: Jun 22, 2024
3 images are provided for review
Canine Thorax (3 Images) - 2 Lateral, 1 Vd
There are no previous radiographs for comparison.  Ungloved human digits primary beam.  
Pulmonary parenchyma: A minimal to mild diffuse bronchial pattern is present.  A minimal diffuse interstitial pattern is present.  The lungs are hypoinflated in the lateral images.  
Pulmonary vasculature: The pulmonary vasculature is subjectively normal in size and tapers in the periphery of the lungs.
Cardiac silhouette: The cardiac silhouette is mildly tall in the lateral images, with dorsal tracheal displacement.  
Mediastinum: The cranial mediastinum is normal.
Trachea: A soft tissue band partially superimposes over the dorsal aspect of the cervical trachea.
Esophagus: The esophagus is not well-identified.
Pleural space: The pleural space is normal.
Musculoskeletal: There is suspicious increased soft tissue ventral to the region of the larynx.  A possible convex nodule protrudes into the laryngeal lumen from the ventral aspect, best identified in the left lateral image.  Thje remaining included musculoskeletal structures are normal.
</t>
  </si>
  <si>
    <t xml:space="preserve">1. Suspicious for increased soft tissue ventral to the larynx, and possible laryngeal luminal nodule/mass.
- If present, this may be due to evolving neoplasia (chondrosarcoma versus other).
- No obvious pulmonary nodules or intra-thoracic lymphadenomegaly.  
2.  Mild left-sided cardiomegaly such as from myxomatous mitral valvular disease and insufficiency.
- There is no current evidence of left-sided congestive heart failure.  
3. Minimal diffuse bronchial and interstitial pulmonary patterns.
- Differential diagnoses include fibrosis from prior disease, age-related changes, infectious/immune-mediated lower airway disease, or less likely other.
4. Suspected redundant dorsal tracheal membrane versus superimposed normal structures.
</t>
  </si>
  <si>
    <t>Consider sedated laryngeal examination with/without tracheoscopy or computed tomography of the neck/thorax for further evaluation.  Tissue sampling if a laryngeal mass/nodule is confirmed for further evaluation, and oncologist consultation depending on results.  Consider echocardiography, ECG and blood pressure for further evaluation, as well as routine blood work and urinalysis if not recently performed.  Empirical therapy and supportive care in the interim as needed.  Monitoring as directed or sooner if clinical signs acutely change, fail to improve or worsen.</t>
  </si>
  <si>
    <t>FORELIMBS (5 total radiographs for review)._x000D_
_x000D_
- Vertebral column included is normal._x000D_
- Shoulder joints unremarkable bilaterally._x000D_
- Bilaterally but more obvious on the left, there is moderate new bone formation along the periarticular margins of the cubital joints, particularly near the cranial margin of the radial head. _x000D_
- The antebrachial regions appear unremarkable bilaterally_x000D_
- limited assessment of the carpi is unremarkable._x000D_
- Dynamic soft tissue opaque band dorsally overlying the trachea at the level of the thoracic inlet._x000D_
- Mild diffuse bronchial pattern.</t>
  </si>
  <si>
    <t>1. Moderate, bilateral cubital osteoarthritis. While it is difficult to determine if this is the definitive cause of the patients reported forelimb lameness, radiographically the elbow joints are the most abnormal region in this examination and further orthopedic assessment and/or targeted therapy at these joints may provide the greatest clinical benefit. Improved assessment of the elbow joints can be achievable with CT._x000D_
_x000D_
2. The appearance of the trachea can be compatible with tracheal collapse, secondary to chondromalacia._x000D_
_x000D_
3. Mild diffuse bronchial pattern. Most likely representing age-related lower airway changes, however a component of chronic bronchitis is possible, especially if there is a history of abnormal respiratory sounds, wheezing and/or coughing.</t>
  </si>
  <si>
    <t>THORAX (4 total radiographs for review)._x000D_
_x000D_
- Mild left sided cardiomegaly, characterized by straightening of the caudal cardiac margin and dorsal displacement of the caudal aspect of the thoracic trachea._x000D_
- The pulmonary vasculature is normal._x000D_
- Mild right-sided mediastinal shift and unstructured interstitial pattern in the region of the right middle lung lobe._x000D_
- The trachea, esophagus and remainder of the mediastinum is/are normal._x000D_
- The pleural space and remaining intrathoracic structures are normal._x000D_
- Mild bilateral glenohumeral osteophyte formation._x000D_
- Mild bilateral cubital osteoarthritis._x000D_
- Cranial abdominal structures normal._x000D_
- Mild mid thoracic spondylosis deformans.</t>
  </si>
  <si>
    <t>1. Mild left-sided cardiomegaly, without pulmonary vasculature congestion or congestive heart failure. Most likely compatible with degeneration of the mitral valve. Consider echocardiography/ECG for further assessment._x000D_
_x000D_
2. No distinct radiographic evidence of collapsing trachea is identified, however the pathology can be dynamic and is not completely excluded._x000D_
_x000D_
3. Mild diffuse bronchial pattern with few thickened pleural fissures. Given that there is an intermittent cough, chronic bronchitis is possible, however the changes can be somewhat expected normal, age-related variant._x000D_
_x000D_
4. Mild right-sided pulmonary atelectasis, likely related to recumbency._x000D_
_x000D_
5. Mild bilateral shoulder and cubital osteoarthritis</t>
  </si>
  <si>
    <t>Overall, a clear cause for the reported coughing is not distinctly identified, however radiographically it appears it could be due to chronic lower airway disease (bronchitis) +/- compression of the lower airways from mild left heart enlargement. Assessment for either of these pathologies may provide clinical benefit.</t>
  </si>
  <si>
    <t xml:space="preserve">
1.MODERATE ALVEOLAR PATTERN; CONCURRENT MILD to MODERATE BRONCHOINTERSTITIAL PATTERN; MILD DYNAMIC AIRWAY DISEASE._x000D_
2.Based on the AI airway/pulmonary findings, the probability of this patient having clinically detectable respiratory signs is MEDIUM to HIGH (50-75%)._x000D_
3.Are respiratory signs present? If YES._x000D_
4.Are respiratory signs present? If NO._x000D_
5.Minimal cardiomegaly has been detected but Heart Failure is NOT suspected.</t>
  </si>
  <si>
    <t>Thorax: Today=ZZ91=s study is compared to a study dated 2/9/2024.  There is been a mild increase in severity of moderate left-sided cardiomegaly.  There is no evidence of cardiogenic pulmonary edema.  The pulmonary parenchyma and pulmonary vasculature are unremarkable.  There is no evidence of pleural effusion or lymphadenopathy.  There are no abnormalities involving the mainstem bronchi or trachea.</t>
  </si>
  <si>
    <t>Mild increase in severity of moderate left-sided cardiomegaly.</t>
  </si>
  <si>
    <t xml:space="preserve">
1.Severe cardiomegaly has been detected but Heart Failure is NOT suspected._x000D_
2.The evaluation has a strong suspicion of soft tissue pulmonary nodules or mass lesion being present._x000D_
3.Are respiratory signs present? If YES._x000D_
4.Are respiratory signs present? If NO._x000D_
5.PULMONARY NODULES or NODULAR PATTERN; MODERATE TO SEVERE INTERSTITIAL TO ALVEOLAR PATTERN; PLEURAL EFFUSION; MILD BRONCHITIS; MILD PERIHILAR INFILTRATE._x000D_
6.Based on the AI airway/pulmonary findings, the probability of this patient having clinically detectable respiratory signs is VERY HIGH (&gt;75%)</t>
  </si>
  <si>
    <t>WHOLE-BODY (4 radiographs for review). Multiple previous examinations are available for comparison, most recently from 11/2022. _x000D_
_x000D_
- There is mild to moderate left-sided cardiomegaly, which is characterized by a straightening of the caudal cardiac margin and dorsal displacement of the caudal aspect. The enlarged left heart is causing a compression and collapse of the carina/left principal bronchi._x000D_
- The pulmonary vasculature is normal._x000D_
- Trachea dynamic narrowing and opacification._x000D_
- Mild, diffuse bronchial pattern with peripheral airway mineralization._x000D_
- The liver is moderately large, with rounded margins._x000D_
- Peritoneal serosal detail is adequate_x000D_
- The stomach contains mild gas and gas-stippled soft-tissue opaque material_x000D_
- The small intestine contains mild multifocal gas and soft-tissue opaque material_x000D_
- The colon contains gas, soft-tissue/fluid and mild formed fecal material._x000D_
- The spleen, kidneys and urinary bladder are normal._x000D_
- Moderate multifocal cranial lumbar and theoretical lumbar intervertebral disk space narrowing with endplate sclerosis and spondylosis deformans._x000D_
- Smooth mineral opacity in the right cranial thoracic body wall region</t>
  </si>
  <si>
    <t>1. Mild-to-moderate left-sided cardiomegaly, without pulmonary vasculature congestion or congestive heart failure. Most likely compatible with degeneration of the mitral valve. Consider careful cardiac auscultation and echocardiography/ECG for further assessment._x000D_
_x000D_
2. The appearance of the trachea can be compatible with tracheal collapse, secondary to chondromalacia._x000D_
_x000D_
3. Mild diffuse bronchial pattern with few thickened pleural fissures. Most likely representing age-related lower airway changes, however a component of chronic bronchitis is possible, especially if there is a history of abnormal respiratory sounds, wheezing and/or coughing._x000D_
_x000D_
4. Mild generalized hepatomegaly. Most likely representing vacuolar (metabolic) hepatopathy. Hepatic congestion, hepatitis or neoplasia are possible, but less likely._x000D_
_x000D_
5. Otherwise unremarkable abdomen with mild aerophagia._x000D_
_x000D_
6. Multifocal lumbar and thoracolumbar intervertebral disc disease_x000D_
_x000D_
7. Right cranial thoracic body wall mineralized benign nodule or overlying debris/material.</t>
  </si>
  <si>
    <t xml:space="preserve">
1.Severe cardiomegaly has been detected but Heart Failure is NOT suspected._x000D_
2.There is no evidence of ALVEOLAR PATTERN._x000D_
3.Are respiratory signs present? If YES._x000D_
4.Are respiratory signs present? If NO._x000D_
5.SEVERE DYNAMIC AIRWAY DISEASE; MODERATE BRONCHIAL PATTERN._x000D_
6.Based on these AI airway/pulmonary findings, the probability of this patient having clinically detectable respiratory signs is HIGH (75%)</t>
  </si>
  <si>
    <t>THORAX (3 radiographs for review). No previous for comparison._x000D_
_x000D_
- Mild, diffuse bronchial pattern._x000D_
- Unstructured interstitial to alveolar pattern in the right and left cranial lung lobes._x000D_
- Trachea, pleural space, mediastinum normal._x000D_
- Remaining intrathoracic structures are normal._x000D_
- Cranial abdomen and included MSK structures are normal.</t>
  </si>
  <si>
    <t>1. The pulmonary changes, particularly in the right cranial lung lobe, raise concern for bronchopneumonia. You may consider treating this patient for pneumonia and rechecking the radiographs in 7-10 days or sooner if clinically indicated.</t>
  </si>
  <si>
    <t>THORAX (4 radiographs for review). A prior examination is available from 2020._x000D_
_x000D_
- There is a mild, diffuse bronchial pattern present._x000D_
- The cardiac silhouette, pulmonary vasculature, pleural space, trachea and remaining intrathoracic structures are normal._x000D_
- The stomach contains mild gas and gas-stippled soft-tissue opaque material._x000D_
- The cranial abdomen is normal._x000D_
- The included musculoskeletal structures are normal.</t>
  </si>
  <si>
    <t>1. Overall, a discrete cause for the patient=ZZ91=s exercise intolerance is not clearly identified._x000D_
_x000D_
2. Mild, diffuse bronchointerstitial pulmonary pattern. Given the reported chronic intermittent coughing, a chronic bronchitis is considered. The changes can also be expected age-related lower airway findings. Treating the patient for chronic lower airway disease may provide some clinical benefit towards coughing.</t>
  </si>
  <si>
    <t xml:space="preserve">Patient Name : Toy Martinez, Date of study: Jun 22, 2024
6 images are provided for review
There are no previous radiographs for comparison.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Thins pleural fissures lines that do not widen in the periphery of the lungs are between the right cranial/middle lung lobes.  
Musculoskeletal: The included musculoskeletal structures are normal.
</t>
  </si>
  <si>
    <t xml:space="preserve">1.  No current evidence of cardiomegaly does not rule out underlying/evolving cardiac disease.
2. Mild-moderate diffuse bronchial pulmonary pattern.
- Differential diagnoses include infectious/immune-mediated lower airway disease such as from mycoplasma spp., bordetella spp., parasitism, or inhaled allergen/irritant and/or fibrosis from prior disease, age-related changes, or unlikely other.
3. Thin pleural fissure lines due to tangential beam artifact, pleural thickening/folding, or unlikely other.  </t>
  </si>
  <si>
    <t>Echocardiography, eCG and blood pressure given reported identified murmur.  Consider respiratory PCR panel, airway sampling, and fecal analysis for further evaluation if clinical signs such as cough are present.  Empirical therapy and supportive care in the interim as needed. Monitoring as directed or sooner if clinical signs acutely change, fail to improve or worsen.</t>
  </si>
  <si>
    <t xml:space="preserve">Patient Name : Annie Richmond, Date of study: Jun 22, 2024
3 images are provided for review
Canine Thorax (3 Images) - 2 Lateral, 1 Vd
There are no previous radiographs for comparison.
Pulmonary parenchyma:  Best identified in the right lateral image, a well-defined ovoid to lobular soft tissue mass is present over the peri-hilar aspect of the left cranial lung lobes.  This mass is ill-defined in the ventrodorsal image leftward of the cardiac silhouette over the 4th through 6th intercostal spaces.   An ill-defined pulmonary nodule is suspecte din the caudodorsal lungs in the right lateral image.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</si>
  <si>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Left cranial lung lobe soft tissue mass is suspicious for metastatic neoplasia given reported history, or unlikely primary pulmonary neoplasia or other.
2. Suspected caudodorsal pulmonary soft tissue nodule versus artifact/superimposition.
- If present, this is suspicious for evolving metastatic neoplasia, or unlikely other.
3. Mild to moderate diffuse bronchial pattern due to infectious/immune-mediated lower airway disease, fibrosis from prior disease, age-related changes, or unlikely other.</t>
  </si>
  <si>
    <t>Consider computed tomography of the thorax for further evaluation. Abdominal imaging if not recently performed may be contributory. Oncologist consultation depending on results.  Empirical therapy and supportive care in the interim as needed.  Monitoring as directed, or sooner if clinical signs acutely change, fail to improve or worsen.</t>
  </si>
  <si>
    <t xml:space="preserve">
1.PULMONARY NODULES or NODULAR PATTERN; MODERATE INTERSTITIAL TO ALVEOLAR PATTERN; MILD BRONCHITIS._x000D_
2.Based on the AI airway/pulmonary findings, the probability of this patient having soft tissue pulmonary nodules and clinically detectable respiratory signs is MEDIUM (&gt;50%)_x000D_
3.Concurrent bronchointerstitial lung disease (bacterial vs allergic vs parasitic lung disease, including heartworm patholsis), atelectasis, pneumonia or pulmonary hemorrhage may be present._x000D_
4.The evaluation result has a strong suspicion of soft tissue pulmonary nodules being present._x000D_
5.Pleural fissure lines or moderate pleural effusion has been detected. An overlying skin fold or in a moderately overweight animal, excessive pericardial fat could artifactually mimic the result of moderate pleural effusion._x000D_
6.The cardiac silhouette size is normal._x000D_
7.There is no evidence of DYNAMIC AIRWAY COLLAPSE or BRONCHIECTASIS.</t>
  </si>
  <si>
    <t xml:space="preserve">Patient Name : Pintxo Burns, Date of study: Jun 22, 2024
3 images are provided for review
Canine Thorax (3 Images) - 2 Lateral, 1 Vd
There are no previous radiographs for comparison.
Pulmonary parenchyma:  In the right lateral image a round soft tissue opacity over the cardiac silhouette and 7th intercostal space is presumed and end-on vessel. A to mild diffuse bronchial pattern is present.  In the left lateral image, the lungs are severely hypoinflated and a mild diffuse interstitial pattern is also present.  
Pulmonary vasculature: The pulmonary vasculature is subjectively normal in size and tapers in the periphery of the lungs.
Cardiac silhouette: The cardiac silhouette is normal in size and shape.
Mediastinum: The cranial mediastinum is normal.
Trachea:In the right lateral image, the trachea is near completely obscured by ill-defined soft tissue in the thoracic inlet, caudal cervical and cranial thoracic regions.  In the left lateral image, the trachea is ill-defined and suspected to be small in the thoracic inlet, 
Esophagus: The esophagus contains mild gas in the left lateral image.
Pleural space: The pleural space is normal.
Musculoskeletal: The included musculoskeletal structures are normal.
</t>
  </si>
  <si>
    <t xml:space="preserve">1. Suspected dorsal redundant tracheal membrane and tracheal narrowing/collapse, with/without concurrent bronchial dynamic airway disease.
2. Mild diffuse bronchial and interstitial pulmonary patterns.
- Differential diagnoses include infectious/immune-mediated lower airway disease such as from bordetella spp., mycoplasma spp., parasitism, or unlikely other, versus inhaled allergen/irritant and evolving chronic lower airway disease, fibrosis from prior disease, age-related changes, or unlikely other.
- Hypoinflation likely complicates the appearance of the interstitial pattern.  
</t>
  </si>
  <si>
    <t>Consider tracheoscopy/bronchoscopy, respiratory PCR and airway sampling for further evaluation. Routine blood work may be contributory if not recently performed.  Abdominal imaging to screen for occult systemic disease if not recently performed. Empirical therapy and supportive care in the interim as needed.  Monitoring as directed or sooner if clinical signs acutely change, fail to improve or worsen.</t>
  </si>
  <si>
    <t xml:space="preserve">
1.Are respiratory signs present? If YES._x000D_
2.Are respiratory signs present? If NO._x000D_
3.Severe cardiomegaly has been detected but Heart Failure is NOT suspected._x000D_
4.MILD to MODERATE BRONCHINTERSTITIAL PATTERN with ATELECTASIS or less likely, PNEUMONIA; MILD DYNAMIC AIRWAY DISEASE._x000D_
5.MILD INTERSTITIAL TO ALVEOLAR PATTERN; MILD DYNAMIC AIRWAY DISEASE; MILD PERIHILAR INFILTRATE._x000D_
6.Based on these AI airway/pulmonary findings, the probability of this patient having clinically detectable respiratory signs is MEDIUM to HIGH (50-75%)_x000D_
7.Based on the AI airway/pulmonary findings, the probability of this patient having clinically detectable respiratory signs is MEDIUM (50%)_x000D_
8.Are respiratory signs present? If YES._x000D_
9.Are respiratory signs present? If NO.</t>
  </si>
  <si>
    <t>Three radiographs of the thorax, and six views of the abdomen are provided. The cardiac silhouette and pulmonary vessels are normal size and shape. There are no abnormalities in the pulmonary parenchyma. Small volume fluid in the caudal esophagus on the left lateral view it is not persistent and is incidental. Normal tracheal diameter and position._x000D_
_x000D_
In the abdomen there is moderate volume of soft tissue density stippled with gas in the stomach. Small bowel are mildly filled with fluid, gas, and scant stippled soft tissue density. Moderate volume semi-formed and formed feces in the colon. There is no radiopaque gastrointestinal foreign material or cystic calculi. The liver, spleen, and kidneys are normal size and shape. The uterus is not identified. Osseous structures are unremarkable.</t>
  </si>
  <si>
    <t>Normal thorax and postprandial abdomen. There may be small radiolucent foreign material in the stomach causing gastritis and pyloric outflow obstruction.</t>
  </si>
  <si>
    <t>Consider strictly fasted abdominal radiographs +/- positive contrast gastrogram to rule out gastric foreign material.</t>
  </si>
  <si>
    <t>Orthogonal radiographs of the thorax, and three views of the abdomen are provided. Images dated 9/6/23 are available for comparison. The cardiac silhouette is normal size and shape. There are no abnormalities in the pulmonary parenchyma. Increased opacity overlying the ventral heart on the lateral view is likely superimposed skinfold. There is small volume fat deposition in the cranial mediastinum. Normal tracheal diameter. No pleural effusion._x000D_
_x000D_
In the abdomen peritoneal and retroperitoneal detail is adequate. The liver is prominent. Normal-sized spleen and kidneys. Moderate volume soft tissue opaque ingesta in the stomach. The intestines are minimally filled. The urinary bladder is mildly filled and soft tissue opaque. There is spondylosis deformans throughout the caudal thoracic and lumbar spine as before, of doubtful significance today.</t>
  </si>
  <si>
    <t>Mild hepatomegaly as before, a nonspecific finding that is most likely steroid or other hepatopathy. Otherwise normal postprandial abdomen and thorax.</t>
  </si>
  <si>
    <t>Current diagnostic plan is appropriate.</t>
  </si>
  <si>
    <t>A three view thoracoabdominal study is provided for interpretation. This study is compared to the previous dated 5-25-24._x000D_
_x000D_
Severe alveolar infiltrates are identified involving the left cranial lobe and the cranial subsegment of the right cranial lobe. The caudal subsegment and the right middle lobe have moderate alveolar infiltrates. The caudal lung fields have a moderate bronchointerstitial pattern. The heart is at the upper end of normal size range with normal shape. No tracheal or esophageal abnormalities are seen._x000D_
No abdominal abnormalities are identified.</t>
  </si>
  <si>
    <t>The pulmonary pattern is consistent with bronchopneumonia, and has progressed significantly relative to the previous study._x000D_
The appearance is typical of bacterial infection. Atypical infections such as fungal or protozoal infectious should still be ruled out. Immune mediated disease is less likely based on the appearance but should also be considered._x000D_
Considering the lack of definitive diagnosis with previous lung sampling, functional lung pathology such as mucociliary dysfunction should also be ruled out.</t>
  </si>
  <si>
    <t>Supportive care and antibiotic therapy is recommended._x000D_
Ultrasound guided FNA of the affected lung for cytology and culture is recommended.</t>
  </si>
  <si>
    <t xml:space="preserve">
1.A severe alveolar pattern has been detected._x000D_
2.A mild to moderate bronchointerstitial pulmonary pattern has been detected._x000D_
3.Moderate bronchial and severe alveolar pattern._x000D_
4.Pleural fissure lines or moderate to severe pleural effusion has been detected. An overlying skin fold or in an obese animal, excessive pericardial fat could artifactually mimic the result of severe pleural effusion._x000D_
5.The cardiac silhouette size is normal.</t>
  </si>
  <si>
    <t>Three orthogonal radiographs of the abdomen dated 22nd June 2024 are available for review. There are no previous radiographs available for comparison. _x000D_
_x000D_
Intra-abdominal findings: The stomach is mainly empty, containing some gas. The pylorus is filled with gas and fluid in the ventral dorsal image. The small intestines are variably filled with gas, fluid, soft tissue opaque material and within upper lobe limits for size. The descending colon contains formed faeces. The hepatic silhouette is normal. The spleen is mildly enlarged with smooth borders. The kidneys are partially obscured by gastrointestinal contents, but the visible aspect are normal. The urinary bladder is filled. The serosal detail is normal._x000D_
_x000D_
Extra-abdominal findings: The patient is overweight._x000D_
_x000D_
Included thorax: No significant abnormalities are detected.</t>
  </si>
  <si>
    <t>1. Relatively unremarkable abdomen. The mild duodenal and small intestinal distension may be secondary to dietary indiscretion gastroenteritis. There is no evidence for a colitis. A foreign body is not seen. Pancreatitis is possible._x000D_
2.  Mild splenomegaly: differential diagnoses include passive congestion from sedation (if administered), splenitis, extramedullary hematopoiesis, lymphoid hyperplasia, or neoplasia.</t>
  </si>
  <si>
    <t>Full blood work including CPL testing is advised. depending on clinical progression, consider post fasting abdominal ultrasound.</t>
  </si>
  <si>
    <t xml:space="preserve">Patient Name : Chi Chi, Date of study: Jun 22, 2024
3 images are provided for review
There are no previous radiographs for comparison.  Cranial thorax partially excluded ventrodorsal image.
Pulmonary parenchyma: A minimal to mild bronchial pattern and minimal interstitial pattern are present.
Pulmonary vasculature: The pulmonary vasculature is subjectively normal in size and tapers in the periphery of the lungs.
Cardiac silhouette: The cardiac silhouette is severely enlarged and tall, occupying greater than 2/3 the height of the thorax. The trachea is dorsally displaced. The caudodorsal margin of the cardiac silhouette is enlarged. Rounded increased soft tissue is present in the region of the left atrium in the ventrodorsal image. The cardiac silhouette is widened and occupies the width of at least four intercostal spaces.
Mediastinum: The cranial mediastinum is normal.
Trachea: Slight soft tissue over the dorsal aspect of the caudal cervical trachea. 
Esophagus: The esophagus is not well-identified.
Pleural space: In the ventrodorsal image, a thin pleural fissure line is between the right middle/caudal lung thats does not widen in the periphery.
Musculoskeletal: The included musculoskeletal structures are normal.
</t>
  </si>
  <si>
    <t xml:space="preserve">1. Severe left-sided cardiomegaly such as from myxomatous mitral valvular disease and insufficiency.
2. Minimal to mild bronchial pulmonary pattern due to fibrosis from prior disease, age-related changes, infectious/immune-mediated lower airway disease, or less likely evolving left-sided congestive heart failure, or unlikely other.
3. Thin pleural fissure line may be artifact or pleural thickening/fibrosis, versus evolving pleural fluid.
4. dorsal redundant tracheal membrane with/without underlying dynamic airway disease, versus superimposed normal structures.  </t>
  </si>
  <si>
    <t>Echocardiography, eCG and blood pressure, as well as routine blood work and urinalysis for further evaluation.  If dyspnea manifests, diuretic therapy, oxygen therapy,and monitoring for progression/resolution of pulmonary pattern with serial thoracic radiographs. Empirical therapy and supportive care for cough in the interim as needed. Monitoring as directed, or sooner if clinical signs acutely change, fail to improve or worsen.</t>
  </si>
  <si>
    <t xml:space="preserve">
1.A severe perihilar infiltrate has been detected._x000D_
2.Pleural fissure lines or small volume pleural effusion has been detected. In a mildly overweight animal, excessive pericardial fat can artifactually mimic the result of minimal pleural effusion._x000D_
3.Severe cardiomegaly has been detected but Heart Failure is NOT suspected._x000D_
4.Are respiratory signs present? If YES._x000D_
5.SEVERE INTERSTITIAL TO ALVEOLAR PATTERN; MODERATE BRONCHIAL PATTERN; MODERATE DYNAMIC AIRWAY DISEASE._x000D_
6.Based on these AI airway/pulmonary findings, the probability of this patient having clinically detectable repsiratory signs is VERY HIGH (&gt;75%)_x000D_
7.Are respiratory signs present? If NO.</t>
  </si>
  <si>
    <t>Two orthogonal thoracic radiographs dated 21st June 2024 are available for review. There are no previous radiographs available for comparison. The ventral dorsal image is obliqued, limiting interpretation._x000D_
_x000D_
Thorax: _x000D_
Airway findings: The cervical and thoracic trachea have a normal size, outline and position. The carina, tracheal bifurcation and mainstem bronchi are normal. The pulmonary parenchyma has a mild interstitial opacification in the caudal dorsal lung fields on the ventrodorsal image._x000D_
_x000D_
Cardiovascular findings: The cardiac silhouette is normal in shape, size and margination. The cranial pulmonary vasculature is normal. The caudal right pulmonary artery is prominent. The other pulmonary vessels are within normal limits..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No significant abnormalities are detected.</t>
  </si>
  <si>
    <t>1. The prominent caudal right pulmonary artery may be positional, however in combination with the interstitial opacification raises suspicion of heartworm. Lung worm is considered less likely, but is possible. Fungal pneumonia is still possible in spite of relatively mild pulmonary changes.</t>
  </si>
  <si>
    <t xml:space="preserve">
1.The evaluation has come up positive for a pulmonary nodular pattern._x000D_
2.A minimal bronchial pattern has been detected._x000D_
3.The cardiac silhouette size is normal._x000D_
4.There is no evidence of ALVEOLAR PATTERN, PERIHILAR INFILTRATE or DYNAMIC AIRWAY COLLAPSE or BRONCHIECTASIS.</t>
  </si>
  <si>
    <t>WHOLE-BODY (4 radiographs for review). No previous for comparison._x000D_
_x000D_
- Multiple maxillary premolar teeth appear to be absent (limited assessment)._x000D_
- There are multiple regions of lucency in the alveolar bone surrounding the roots of the remaining mandibular premolar and molar teeth. _x000D_
- The nasal cavity, paranasal sinuses, intracranial structures and cervical structures are normal._x000D_
- The cardiac silhouette, pulmonary parenchyma, vasculature, trachea, pleural space and remaining included intrathoracic structures normal._x000D_
- The stomach contains mild gas-stippled soft-tissue opaque material. _x000D_
- The small intestine, colon, liver, spleen, kidneys, urinary bladder and remaining abdominal structures are normal.</t>
  </si>
  <si>
    <t>1. Multifocal absent dentition and mandibular molar/premolar periodontal disease. Further assessment of the dental structures could be achieved with dental radiography or CT, if clinically indicated._x000D_
_x000D_
2. Normal thorax._x000D_
_x000D_
3. Unremarkable abdomen.</t>
  </si>
  <si>
    <t xml:space="preserve">
1.A minimal perihilar infiltrate has been detected._x000D_
2.The cardiac silhouette size is normal._x000D_
3.There is no evidence of BRONCHITIS, DYNAMIC AIRWAY COLLAPSE or BRONCHIECTASIS or PULMONARY NODULES.</t>
  </si>
  <si>
    <t>Three radiographs of the thorax, and three views of the abdomen are provided. Abdominal images dated 12/7/21 are available for comparison. The cardiac silhouette and pulmonary vessels are normal size and shape. There are numerous incidental pulmonary osteomas and a mild bronchial pattern consistent with age. On the right lateral projection there is a well-defined curved 0.9 cm soft tissue to mineral opacity overlying the cranial thorax, immediately ventral to the trachea and adjacent to the distal aspect of one of the 1st ribs. No other similar contours are noted on this or the other two views. There is fat deposition in the cranial mediastinum. Tracheal diameter is adequate. Small volume fluid in the esophagus is transient and incidental._x000D_
_x000D_
In the abdomen the liver is mild to moderately enlarged with smooth margins, increased in size compared to the previous study. There is no peritoneal effusion. The abdomen is pendulous. Normal-sized spleen and kidneys. The gastrointestinal tract is moderately filled. No radiopaque cystic calculi. Spondylosis deformans at multiple sites, and coxofemoral osteoarthrosis as before, of doubtful clinical significance today.</t>
  </si>
  <si>
    <t>1. Mild to moderate hepatomegaly, increased in size compared to the previous study. Steroid or other hepatopathy should be considered. Acute hepatic inflammation or hepatic neoplasia are next on the differential list._x000D_
2. Nodular contour overlying the cranial thorax may represent a superimposed superficial extrathoracic nodule or rib variation. A solitary pulmonary nodule is next on the differential list. No other thoracic abnormalities.</t>
  </si>
  <si>
    <t>Recommend a CBC and blood chemistry profile. Ultrasound evaluation of the liver and adrenal glands could be considered. To further workup the nodular contour, consider palpating for rib abnormalities, painting any extrathoracic nodules with small-volume barium paste, and repeating the right lateral and VD views.</t>
  </si>
  <si>
    <t xml:space="preserve">
1.Are respiratory signs present? If YES._x000D_
2.Are respiratory signs present? If NO._x000D_
3.Probability these AI pulmonary findings will accompany clinically detectable respiratory signs: MEDIUM (50%)_x000D_
4.A moderate bronchointerstitial pattern with alveolar infiltrates has been detected._x000D_
5.A moderate interstitial to alveolar infiltrate, mild bronchial pattern and concurrent mild perihilar infiltrate have been detected._x000D_
6.Mild cardiomegaly has been detected but Heart Failure is NOT suspected.</t>
  </si>
  <si>
    <t xml:space="preserve">Patient Name : Armani Berg, Date of study: Jun 21, 2024
3 images are provided for review
There are no previous radiographs for comparison.  the cranial thorax is partially excluded in the ventrodorsal image.
Pulmonary parenchyma: A mild diffuse bronchial pattern is present.
Pulmonary vasculature: The pulmonary vasculature is subjectively normal in size and tapers in the periphery of the lungs.
Cardiac silhouette: The cardiac silhouette has a slightly flat caudodorsal margin in the left lateral image.  Slight rounded increased soft tissue is present in the region of the left atrium in the ventrodorsal image.  the cardiac silhouette is slightly tall in the left lateral image and occupies 2/3 the height of the thorax. The trachea is slightly dorsally displaced.
Mediastinum: The cranial mediastinum is normal.
Trachea: The trachea is normal.
Esophagus: The esophagus is not well-identified.
Pleural space: The pleural space is normal.
Musculoskeletal: Spondylosis deformans is present at T4-5 and T5-6.  The remaining included musculoskeletal structures are normal.
</t>
  </si>
  <si>
    <t>1. Mild left-sided cardiomegaly such as from myxomatous mitral valvular disease and insufficiency or less likely other.
2. Mild diffuse bronchial pulmonary pattern due to fibrosis from prior disease, age-related changes, or infectious/immune-mediated lower airway disease  or less likely other.
3. There is no current evidence of cardiogenic pulmonary edema.</t>
  </si>
  <si>
    <t>Echocardiography, ECG and blood pressure for further evaluation, as well as routine blood work and urinalysis if not recently performed.  Empirical therapy and supportive care in the interim as needed.  Monitoring as directed or sooner if clinical signs acutely change, fail to improve or worsen.</t>
  </si>
  <si>
    <t>THORAX/CRANIAL ABDOMEN (3 radiographs for review). _x000D_
_x000D_
- The cardiac silhouette, pulmonary parenchyma and pleural space are normal._x000D_
- The trachea, mediastinum, and remaining included intrathoracic structures are normal._x000D_
- The stomach is mildly distended with gas-stippled soft-tissue opaque material._x000D_
- The liver, spleen, small intestine and remaining included cranial abdominal structures are normal._x000D_
- No musculoskeletal abnormalities are noted.</t>
  </si>
  <si>
    <t>1. Normal thorax. A discrete cause for the reported clinical signs is not clearly identified. You may consider thoracic CT for further assessment if clinically indicated._x000D_
_x000D_
2. Recent meal. Otherwise normal cranial abdomen.</t>
  </si>
  <si>
    <t>WHOLE-BODY (3 radiographs for review). No previous for comparison._x000D_
_x000D_
- Severe, dynamic collapse of the trachea at the level of the thoracic inlet._x000D_
- Mild left sided mediastinal shift_x000D_
- Unstructured interstitial pattern throughout the left lung lobes._x000D_
- Mild generalized cardiomegaly, rounding of the cardiac margins._x000D_
- Pulmonary vasculature and parenchyma normal._x000D_
- The liver is mildly enlarged, with rounded margins._x000D_
- The spleen is mildly enlarged._x000D_
- The remaining abdominal structures are normal._x000D_
- Mild bilateral coxofemoral, shoulder and cubital osteoarthrosis.</t>
  </si>
  <si>
    <t>1. Radiographically, the most likely cause of the reported coughing is related to collapse of the trachea, secondary to chondromalacia. You may consider assessment and treatment for this pathology in this case._x000D_
_x000D_
2. Mild generalized cardiomegaly. DDx valvular disease (mitral +/- tricuspid) or less likely cardiomyopathy. Consider echocardiogram/ECG in this case._x000D_
_x000D_
3. Mild hepatomegaly. Likely benign (e.g. metabolic/vacuolar hepatopathy)._x000D_
_x000D_
4. Mild splenomegaly. DDx congestion from sedation, lymphoid hyperplasia, EMH, less likely neoplasia.</t>
  </si>
  <si>
    <t>Three radiographs of the thorax are provided. The cardiac silhouette and pulmonary vessels are normal size and shape. There are no abnormalities in the pulmonary parenchyma. No pleural effusion. Small round soft tissue densities overlying and cranial to the heart on the left lateral view are end-on pulmonary vessels. Small volume fat deposition in the cranial mediastinum. Tracheal diameter is adequate. Normal cranial abdomen.</t>
  </si>
  <si>
    <t>Normal thorax. The reason for weight loss is not identified.</t>
  </si>
  <si>
    <t>If further evaluation of the abdomen is desired based on blood work results, abdominal ultrasound would be the next step.</t>
  </si>
  <si>
    <t>Orthogonal radiographs of the thorax and of the abdomen are provided. The cardiac silhouette and pulmonary vessels are normal size and shape. There is a diffuse moderate unstructured interstitial pattern throughout the lungs. No pleural effusion or soft tissue pulmonary nodules. Normal tracheal diameter. No esophageal dilation. Narrowed T11-12 intervertebral disc space, of doubtful clinical significance today._x000D_
_x000D_
In the abdomen the liver and spleen are normal size. The gastrointestinal tract is minimally filled. The uterus is not visible. There is a round 5.6 cm soft tissue opacity in the caudodorsal right abdomen, as well as soft tissue density that measures approximately 8.5 x 3.1 cm dorsal to the distal descending colon. This causes ventral displacement of the rectum. No radiopaque urolithiasis. Mammary tissue is thickened and irregular.</t>
  </si>
  <si>
    <t>1. Sublumbar mass-effect with caudodorsal right abdominal mass and diffuse moderate unstructured interstitial pattern. Neoplasia such as lymphoma is the top differential. Medial iliac lymphadenomegaly could also be due to mammary neoplasia. Bronchopneumonia could also cause the lung pattern but is given lesser consideration in the absence of respiratory signs._x000D_
2. Thickened irregular mammary tissue, significantly concerning for neoplasia. Mastitis or pseudocyesis are next on the differential list.</t>
  </si>
  <si>
    <t>Abdominal ultrasound could be considered, with fine-needle aspirates of the sublumbar mass and caudodorsal right abdominal mass for a definitive diagnosis. With the lung involvement, complete surgical resection is not possible.</t>
  </si>
  <si>
    <t xml:space="preserve">
1.Are respiratory signs present? If NO._x000D_
2.MODERATE INTERSTITIAL TO ALVEOLAR INFILTRATE; CONCURRENT MODERATE BRONCHIAL PATTERN; MILD PERIHILAR INFILTRATE._x000D_
3.MODERATE BRONCHOINTERSTITIAL PULMONARY PATTERN; ALVEOLAR INFILTRATE or ATELECTASIS; DYNAMIC AIRWAY DISEASE._x000D_
4.Based on the AI airway/pulmonary findings, the probability of this patient having clinically detectable respiratorysigns is MEDIUM to HIGH (50-75%)_x000D_
5.Based on these AI airway/pulmonary findings, the probability of this patient having clinically detectable respiratory signs is HIGH (75%)_x000D_
6.Are respiratory signs present? If YES._x000D_
7.Pleural fissure lines or moderate to severe pleural effusion has been detected. An overlying skin fold or in an obese animal, excessive pericardial fat could artifactually mimic the result of severe pleural effusion._x000D_
8.Are respiratory signs present? If YES._x000D_
9.Are respiratory signs present? If NO._x000D_
10.AI linked bacterial pneumonia treatment in dogs: https://platform.v2.vetology.net/doc/pneumonia-in-dogs-and-cats_x000D_
11.The evaluation has a strong suspicion of pulmonary nodules or mass lesion being present._x000D_
12.The cardiac silhouette size is normal.</t>
  </si>
  <si>
    <t>Orthogonal views of the thorax and abdomen that include the spine are provided for interpretation._x000D_
_x000D_
The heart is at the upper end of normal size range to slightly enlarged, with mildly rounded shape. The pulmonary vessels and parenchyma are within normal limits._x000D_
_x000D_
The liver is at the small end of normal size range. The bladder is mildly distended. There is a focal mineral opacity in the body of the bladder consistent with a cystic calculus. The other abdominal organs are within normal limits. No mass lesions are seen in the abdomen. Serosal detail is normal._x000D_
_x000D_
No disc space narrowing or spinal subluxation is identified. No destructive or productive bone lesions are seen. Both hip joints are unremarkable.</t>
  </si>
  <si>
    <t>No spinal or paralumbar abnormalities are identified. The cause of the clinical signs is not apparent in the radiographs. Soft tissue pathology affecting the spinal cord not visible in the radiographs should be ruled out with more advanced imaging._x000D_
_x000D_
Heart size is borderline. Clinical relevance should be correlated with a heart murmur or other auscultable abnormality if present._x000D_
_x000D_
There is a cystic calculus. This is not expected to be relevant to the current clinical signs. The rest of the abdomen is within normal limits.</t>
  </si>
  <si>
    <t>More advanced imaging of the spine such as MRI is recommended.</t>
  </si>
  <si>
    <t xml:space="preserve">
1.A mild bronchointerstitial pulmonary pattern and minimal perihilar infiltrate have been detected._x000D_
2.MILD BROCHIAL/BRONCHOINTERSTITIAL PULMONARY PATTERN; MINIMAL PERIHILAR INFILTRATE._x000D_
3.MINIMAL INTERSTITIAL PATTERN; MINIMAL PERIHILAR INFILTRATE._x000D_
4.Based on these AI airway/pulmonary findings, the probability of this patient having clinically detectable respiratory signs is LOW (25%)_x000D_
5.Based on these AI airway/pulmonary findings, the probability of this patient having clinically detectable respiratorysigns is LOW (25%)_x000D_
6.Are respiratory signs present? If YES._x000D_
7.Are respiratory signs present? If YES._x000D_
8.Are respiratory signs present? If NO._x000D_
9.Are respiratory signs present? If NO._x000D_
10.A minimal to mild bronchointerstitial pulmonary pattern has been detected._x000D_
11.The cardiac silhouette size is normal.</t>
  </si>
  <si>
    <t>THORAX (4 radiographs for review). No previous for comparison._x000D_
_x000D_
- Excessive body habitus._x000D_
- Mild diffuse bronchial pattern._x000D_
- Soft-tissue opaque band dorsally overlying the trachea in the thoracic inlet region._x000D_
- Mild left sided cardiomegaly, with rounding in the region of the left atrium._x000D_
- Pulmonary vasculature normal._x000D_
- Remaining intrathoracic structures are normal._x000D_
- Liver is moderately enlarged, with rounded margins._x000D_
- Stomach contains gas, soft-tissue opaque material. _x000D_
- Small intestine contains mild multifocal gas and soft-tissue opaque material.</t>
  </si>
  <si>
    <t>1. Overall, a clear cause for coughing is not distinctly noted. There is a mild diffuse bronchial pattern that could reflect expected age-related lower airway changes (or chronic bronchitis), as well as an appearance of the trachea that may reflect tracheal collapse (although the patient is of a slightly atypical signalment for this pathology). You may consider ruling out +/- treating for tracheal collapse and if indicated, treating the patient for lower airway disease._x000D_
_x000D_
2. Mild left sided cardiomegaly, without CHF. Most likely degeneration of the mitral valve. Consider echocardiography/ECG for further assessment._x000D_
_x000D_
3. Moderate hepatomegaly, likely benign (e.g. vacuolar/metabolic)._x000D_
_x000D_
4. Excessive body habitus.</t>
  </si>
  <si>
    <t xml:space="preserve">
1.MODERATE INTERSTITIAL TO ALVEOLAR INFILTRATE; CONCURRENT MODERATE BRONCHIAL PATTERN; MILD PERIHILAR INFILTRATE._x000D_
2.MODERATE BRONCHOINTERSTITIAL PULMONARY PATTERN; ALVEOLAR INFILTRATE or ATELECTASIS; DYNAMIC AIRWAY DISEASE._x000D_
3.Are respiratory signs present? If NO._x000D_
4.Based on the AI airway/pulmonary findings, the probability of this patient having clinically detectable respiratorysigns is MEDIUM to HIGH (50-75%)_x000D_
5.Based on these AI airway/pulmonary findings, the probability of this patient having clinically detectable respiratory signs is HIGH (75%)_x000D_
6.Are respiratory signs present? If YES._x000D_
7.Are respiratory signs present? If YES._x000D_
8.AI linked bacterial pneumonia treatment in dogs: https://platform.v2.vetology.net/doc/pneumonia-in-dogs-and-cats_x000D_
9.Are respiratory signs present? If NO._x000D_
10.Pleural fissure lines or moderate pleural effusion has been detected. An overlying skin fold or in a moderately overweight animal, excessive pericardial fat could artifactually mimic the result of moderate pleural effusion._x000D_
11.Severe cardiomegaly has been detected but Heart Failure is NOT suspected.</t>
  </si>
  <si>
    <t xml:space="preserve">Patient Name : Coco Dede, Date of study: Jun 21, 2024
3 images are provided for review
Canine Thorax (3 Images) - 2 Lateral, 1 Vd
There are no previous radiographs for comparison.
Pulmonary parenchyma: A minimal to mild diffuse bronchial pattern is present.  In one lateral image, the lungs are severely hypoinflated, and the lobar bronchi are subjectively small in this image compared to the alternate lateral image.  An interstitial pattern that is minimal to mild is present in the hypoinflated lungs.  
Pulmonary vasculature: The pulmonary vasculature is subjectively normal in size and tapers in the periphery of the lungs.
Cardiac silhouette: The cardiac silhouette has a slightly flattened caudodorsal margin.  Slight rounded increased soft tissue is suspected in the region of the left atrium in the ventrodorsal image.  
Mediastinum: The cranial mediastinum is normal.
Trachea: A soft tissue band superimposes over the mid the caudal cervical tracheal segments.  
Esophagus: The esophagus is not well-identified.
Pleural space: The pleural space is normal.
Musculoskeletal: The included musculoskeletal structures are normal.
</t>
  </si>
  <si>
    <t xml:space="preserve">1. Minimal left atrial enlargement versus artifact from the phase of the cardiopulmonary cycle and patient positioning.
- The primary differential diagnosis is myxomatous mitral valvular disease.  
- There is no current evidence of left-sided congestive heart failure.  
2. Suspected small lobar bronchi due to dynamic lower airway disease and dorsal redundant tracheal membrane.
3. Minimal-mild diffuse bronchial pulmonary pattern due to infectious/immune-mediated lower airway disease, fibrosis from prior disease, age-related changes or unlikely other.  
4. Suspected transient interstitial pattern from hypoinflation.
</t>
  </si>
  <si>
    <t>Echocardiography, ecg and blood pressure, especially if a murmur is later identified.  Consider tracheoscopy/bronchoscopy, respiratory PCR panel, airway sampling, and fecal analysis/deworming for further evaluation.  Empirical therapy and supportive care in the interim as needed.  Routine blood work and urinalysis if not recently performed to screen for occult systemic disease.  Monitoring as directed or sooner if clinical signs acutely change, fail to improve or worsen.</t>
  </si>
  <si>
    <t xml:space="preserve">
1.MODERATE BRONCHITIS; MODERATE DYNAMIC AIRWAY DISEASE; MINIMAL INTERSTITIAL PATTERN WITH ATELECTASIS or less likely, PNEUMONIA._x000D_
2.Based on these AI airway/pulmonary findings, the probability of this patient having clinically detectable respiratory signs is HIGH (75%)_x000D_
3.Are respiratory signs present? If YES._x000D_
4.Severe cardiomegaly has been detected but Heart Failure is NOT suspected._x000D_
5.Are respiratory signs present? If NO.</t>
  </si>
  <si>
    <t>THORAX (4 radiographs for review). Compared to 03/05/24._x000D_
_x000D_
- There remains a mild, diffuse bronchial pattern present that is unchanged from the previous examination._x000D_
- The cardiac silhouette, pulmonary vasculature, pleural space, trachea, mediastinum and remaining intrathoracic structures are normal._x000D_
- The cranial abdomen and included musculoskeletal structures are normal.</t>
  </si>
  <si>
    <t>1. Similar, mild bronchial pulmonary pattern. Most likely reflecting age-related and expected airway changes however could also indicate chronic bronchitis (e.g. infectious, inhaled irritant, allergic)._x000D_
_x000D_
2. Otherwise normal thorax.</t>
  </si>
  <si>
    <t>THORAX (3 radiographs for review). No previous for comparison._x000D_
_x000D_
- Excessive body habitus._x000D_
- The cardiac silhouette, pulmonary parenchyma, pleural space and vasculature are normal._x000D_
- Trachea, mediastinum normal. _x000D_
- Small volume of gas in the cranial thoracic esophagus._x000D_
- Liver is moderately enlarged, with rounded margins._x000D_
- Multiple large regions of mineralization superimposed over the kidneys_x000D_
- Mild multifocal spondylosis deformans.</t>
  </si>
  <si>
    <t>1. Unremarkable thorax, without discrete cause for the reported coughing. No evidence of aspiration pneumonia. _x000D_
_x000D_
2. Mild hepatomegaly. Likely benign (e.g. vacuolar/metabolic hepatopathy). Less likely hepatic congestion, hepatitis or neoplasia._x000D_
_x000D_
3. Suspected nephrolithiasis (limited assessment). Consider sonographic assessment of the kidneys and urinary system for further assessment._x000D_
_x000D_
4. Excessive body habitus</t>
  </si>
  <si>
    <t>Three radiographs of the thorax are provided. Images dated 5/24/24 are available for comparison. There is moderate left-sided cardiomegaly, smaller than on the previous study. The cranial pulmonary vein is larger than the artery. Otherwise pulmonary vessels are normal size. End-on pulmonary vessel causes the round 1.2 cm soft tissue contour caudal to the left atrium on the left lateral view. There is mainstem bronchial compression on the left lateral projection. Mild unstructured interstitial pattern, crisp pleural fissure lines, and several pulmonary osteomas, consistent with age. No other pulmonary parenchymal abnormalities. The appearance of increased opacity to the right of the heart on the VD projection is due to pleural fat deposition, caudal vena cava, and caudal pulmonary vessels. Large volume soft tissue opaque ingesta in the stomach.</t>
  </si>
  <si>
    <t>Moderate left-sided cardiomegaly consistent with acquired mitral valve disease. There is pulmonary venous congestion but no evidence of heart failure or pneumonia today. Mainstem bronchial compression.</t>
  </si>
  <si>
    <t>Since pneumonia was suspected on a previous study, consider continuing the normal course of antibiotics.</t>
  </si>
  <si>
    <t xml:space="preserve">
1.Severe cardiomegaly has been detected but Heart Failure is NOT suspected._x000D_
2.SEVERE INTERSTITIAL TO ALVEOLAR PATTERN; SEVERE DYNAMIC AIRWAY DISEASE; MODERATE BRONCHIAL PATTERN._x000D_
3.Based on these AI airway/pulmonary findings, the probability of this patient having clinically detectable respiratory signs is VERY HIGH (&gt;75%)_x000D_
4.Are respiratory signs present? If YES._x000D_
5.AI linked collapsing airway disease treatment in dogs: https://platform.v2.vetology.net/doc/canine-tracheal-collapse-treatment_x000D_
6.AI linked bacterial pneumonia treatment in dogs: https://platform.v2.vetology.net/doc/pneumonia-in-dogs-and-cats_x000D_
7.Pleural fissure lines or moderate to severe pleural effusion has been detected. An overlying skin fold or in an obese animal, excessive pericardial fat could artifactually mimic the result of severe pleural effusion._x000D_
8.Are respiratory signs present? If NO.</t>
  </si>
  <si>
    <t>A three-view thoracoabdominal study is provided for interpretation._x000D_
_x000D_
There is a large lobular soft-tissue mass in the cranial ventral abdomen. The mass is believed to be involving the liver. The other abdominal organs are within normal limits. Serosal detail the abdomen is normal. No significant thoracic abnormalities are identified.</t>
  </si>
  <si>
    <t>There is a large lobular cranial abdominal mass effect which is most consistent with infiltrative disease such as neoplasia involving the liver. This would be the most likely explanation for the weight loss and reduced appetite.</t>
  </si>
  <si>
    <t>Follow-up imaging such as CT or ultrasound is recommended to better define the extent of disease, and rule out a resectable mass versus more diffuse or extensive infiltration of the liver.</t>
  </si>
  <si>
    <t xml:space="preserve">
1.A moderate perihilar infitlrate has been detected._x000D_
2.A mild to moderate bronchointerstitial pulmonary pattern has been detected._x000D_
3.There is no evidence of PULMONARY NODULES._x000D_
4.Moderate cardiomegaly has been detected but Heart Failure is NOT suspected.</t>
  </si>
  <si>
    <t>Abdomen: There is no evidence of a gastrointestinal foreign body or obstruction.  The liver is diffusely enlarged.  The spleen is unremarkable.  The visible portions of the urinary tract are unremarkable.  Serosal detail is normal.  There are no abnormalities involving the visible portions of the thorax.</t>
  </si>
  <si>
    <t>Diffuse hepatomegaly.  Differential considerations are numerous however may include a hepatopathy, hepatitis, or less likely diffuse neoplasia.</t>
  </si>
  <si>
    <t>A three view thoracoabdominal study is provided for interpretation._x000D_
_x000D_
The cardiovascular structures are within normal limits. No pulmonary infiltrates or pleural effusion are identified. No tracheal or esophageal abnormalities are seen._x000D_
There is a moderate quantity of amorphous soft tissue dense ingesta in the stomach. The appearance is compatible with normal food. The volume of gas in the small intestine is mild increase. No dilation or plication the intestine is identified. Serosal detail in the abdomen is normal. The other organs are within normal size and shape limits._x000D_
No musculoskeletal abnormalities are identified.</t>
  </si>
  <si>
    <t>Mild increase in intestinal gas can be seen with enteritis but is likely a transient incidental finding in the absence of relevant clinical signs. The rest of the abdomen is unremarkable._x000D_
No thoracic abnormalities are identified.</t>
  </si>
  <si>
    <t>No contraindication to the planned anesthesia is identified.</t>
  </si>
  <si>
    <t>Four radiographs of the thorax/abdomen are provided. There is no abdominal effusion. The stomach contains a moderate amount of fluid. There is a focal accumulation of mineral and metal opaque debris in the pylorus. Small intestines are diffusely mildly filled with a mixture of fluid and gas. The colon is minimally distended. Normal-sized liver, spleen, left kidney. The right kidney is incompletely visible. In the thorax there is moderate generalized cardiomegaly. Pulmonary vessels are normal size. A mild bronchial pattern is present. There is no pleural effusion.</t>
  </si>
  <si>
    <t>1. Fluid-filled stomach with foreign material in the pylorus. Pyloric outflow obstruction is the most likely diagnosis. No evidence of small bowel obstruction._x000D_
2. Moderate cardiomegaly consistent with acquired mitral and tricuspid valve disease. There is no evidence of heart failure. Increased vagal tone may be responsible for the collapse episode.</t>
  </si>
  <si>
    <t>If the patient can be safely anesthetized, gastroscopy would be recommended. If gastroscopy is not available, exploratory surgery should be considered. Follow-up echocardiogram is recommended to help guide treatment.</t>
  </si>
  <si>
    <t xml:space="preserve">
1.MILD to MODERATE BRONCHINTERSTITIAL PATTERN with ATELECTASIS or less likely, PNEUMONIA; MILD DYNAMIC AIRWAY DISEASE._x000D_
2.MILD INTERSTITIAL TO ALVEOLAR PATTERN; MILD DYNAMIC AIRWAY DISEASE; MILD PERIHILAR INFILTRATE._x000D_
3.Based on these AI airway/pulmonary findings, the probability of this patient having clinically detectable respiratory signs is MEDIUM to HIGH (50-75%)_x000D_
4.Based on the AI airway/pulmonary findings, the probability of this patient having clinically detectable respiratory signs is MEDIUM (50%)_x000D_
5.Are respiratory signs present? If YES._x000D_
6.Are respiratory signs present? If YES._x000D_
7.Are respiratory signs present? If NO._x000D_
8.The evaluation has a strong suspicion of pulmonary nodules or mass lesion being present._x000D_
9.Pleural fissure lines or moderate pleural effusion has been detected. An overlying skin fold or in a moderately overweight animal, excessive pericardial fat could artifactually mimic the result of moderate pleural effusion._x000D_
10.Severe cardiomegaly has been detected but Heart Failure is NOT suspected._x000D_
11.Are respiratory signs present? If NO.</t>
  </si>
  <si>
    <t>A three view thoracoabdominal study is provided for interpretation._x000D_
_x000D_
Serosal detail in the abdomen is slightly reduced. This is suspected to be due in large part to the thin body condition of the patient and reduced intra-abdominal fat. There is a small to moderate quantity of soft tissue dense content within the stomach. Some of this gastric content consists of unusual shadows that shapes including a mildly defined fusiform lucency with a thin opaque wall that measures in the range of 12 mm width and 5 cm length. There is also a reticulated pattern of mottled lucency in the fundic region suspicious for fibrosis/textile foreign material._x000D_
There is one unusual ring shaped shadow in the left caudal abdomen in the VD view that is associated with gas filled intestine. Based on the lateral views, this is suspected to be an artifact caused by folding of gas filled colon in this area. No pathologic dilation or plication of the small intestine is seen. The other abdominal organs are within normal limits._x000D_
The heart is at the upper end of normal size range, with normal shape. No pulmonary or pleural abnormalities are identified.</t>
  </si>
  <si>
    <t>There is suspicion of amorphous gastric foreign material. This could be mostly grass or something similar, but could also include more significant abnormal content including textile foreign material or thin flexible plastic._x000D_
No obstructive pattern is seen._x000D_
The slightly reduced serosal detail is equivocal.</t>
  </si>
  <si>
    <t>Symptomatic therapy and supportive care is recommended at this time._x000D_
Fasting overnight with follow up radiographs in the morning to reassess potential gastric content is recommended. A contrast gastrogram may be indicated depending on findings and clinical suspicion at that time._x000D_
Surgery does not appear to be indicated at this time.</t>
  </si>
  <si>
    <t>Patient Name : Brownie Sephos, Date of study: Jun 21, 2024
3 images are provided for review
There are no previous radiographs for comparison.
Bones/Joints.  In situ intervertebral disc mineralization is at T13-L1 and L1-2.  The T13-L1 and L1-2 intervertebral disc spaces are mildly narrowed subjectivey.  No obvious mineral over the T13-L1 or L1-2 intervertebral foramina.  The remaining included osseous structures are normal.
Soft tissues: The included soft tissues are normal.</t>
  </si>
  <si>
    <t>1. T13-L1 and L1-2 intervertebral disc disease.
- There is no obvious mineral over the T13-L1 or L1-2 intervertebral foramina to suggest herniated material at this time.</t>
  </si>
  <si>
    <t>Consider neurologist consultation and MRI for further evaluation of the reported clinical signs.  routine blood work and thoracic/abdominal imaging to screen for systemic dieses prior to advanced imaging/referral.    Empirical therapy and supportive care in the interim as needed.  Monitoring as directed or sooner if clinical signs acutely change, fail to improve or worsen.</t>
  </si>
  <si>
    <t xml:space="preserve">
1.MILD BRONCHOINTERSTITIAL PULMONARY PATTERN; MINIMAL PERIHILAR PATTERN._x000D_
2.Based on the AI airway/pulmonary findings, the probability of this patient having clinically detectable respiratory signs is LOW (25%)_x000D_
3.In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4.In the PRESENCE of respiratory signs, low grade active pneumonitis (allergic, bacterial, parasitic (including heartworm disease), inhaled allergen or toxin) or upper airway disease causing pulmonary hypoinflation and/or recurrent microaspiration may be more likely._x000D_
5.The cardiac silhouette size is normal._x000D_
6.There is no evidence of DYNAMIC AIRWAY COLLAPSE or BRONCHIECTASIS, PULMONARY NODULES or PLEURAL EFFUSION.</t>
  </si>
  <si>
    <t>4 images of the entire body and and skull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with an angular mineral structure.  The small intestines are normal in size.  Gas and feces are present in the colon.  The urinary bladder is small.  The remaining abdominal organs are normal.  The nasal cavity is air filled with normal turbinates.  No fractures or aggressive osseous lesions are seen.</t>
  </si>
  <si>
    <t>Gastric rock foreign body, likely incidental.  Radiographically normal thorax for patient of this age.  Unremarkable skull on the view provided.</t>
  </si>
  <si>
    <t>MRI could be considered if clinically indicated.</t>
  </si>
  <si>
    <t xml:space="preserve">
1.Mild dynamic airway disease has been identified._x000D_
2.A minimal bronchial pattern and concurrent mild dynamic airway disease have been identified._x000D_
3.Mild cardiomegaly has been detected but Heart Failure is NOT suspected._x000D_
4.There is no evidence of ALVEOLAR PATTERN, PERIHILAR INFILTRATE, PULMONARY NODULES or PLEURAL EFFUSION.</t>
  </si>
  <si>
    <t xml:space="preserve">Patient Name : Layla Coburn, Date of study: Jun 21, 2024
3 images are provided for review
There are no previous radiographs for comparison.
Pulmonary parenchyma: A minimal diffuse bronchial pattern is present.  Multiple well-defined, round or ovoid mineral foci are present, predominantly in the cranial and ventral portions of the lungs.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minimal gas in the right lateral image.
Pleural space: The pleural space is normal.
Musculoskeletal: A presumed lipoma is in the right extra-thoracic soft tissues.  The remaining included musculoskeletal structures are normal.
</t>
  </si>
  <si>
    <t>1. Mineral pulmonary foci such as from pulmonary osteomas/benign metaplasia or unlikely occult osseous neoplasm such as osteosarcoma or granuloma from prior disease.
2. Minimal diffuse bronchial pattern such as from fibrosis from prior disease, age-related changes, or unlikely infectious/immune-mediated lower airway disease or other.
3. Right extra-thoracic lipoma.</t>
  </si>
  <si>
    <t>Abdominal imaging for further evaluation of reported hyperbilirubinemia  (hepatic, post-hepatic, suspected given reported blood work). Empirical therapy and supportive care in the interim as needed.  Monitoring as directed or sooner if clinical signs acutely change, fail to improve or worsen.</t>
  </si>
  <si>
    <t>5 images of the thorax and abdomen are presented for review.  The cardiovascular structures are normal.  Alveolar opacity is present in the right cranial lung lobe.  Mild to moderate bronchial markings are present in all lung lobes.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  Hemivertebrae are present in the thoracic and sacrocaudal spine.</t>
  </si>
  <si>
    <t>Diffuse mixed pulmonary pattern concerning for bronchopneumonia.  Underlying viral or Bordetella type pneumonitis could be considered.  Radiographically normal abdomen.</t>
  </si>
  <si>
    <t>Airway sampling could be considered.</t>
  </si>
  <si>
    <t xml:space="preserve">
1.Are respiratory signs present? If NO._x000D_
2.Based on the AI airway/pulmonary findings, the probability of this patient having clinically detectable respiratory signs is MEDIUM to HIGH (50%-75%)_x000D_
3.Are respiratory signs present? If YES._x000D_
4.MODERATE BRONCHOINTERSTITIAL PULMONARY PATTERN; MILD DYNAMIC AIRWAY DISEASE; ATELECTASIS or less likely, pneumonia; MINIMAL PERIHILAR INFILTRATE._x000D_
5.The cardiac silhouette size is normal.</t>
  </si>
  <si>
    <t xml:space="preserve">Patient Name : Elly Carlyon, Date of study: Jun 21, 2024
6 images are provided for review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thoracic confirmation is narrowed in a dorsoventral dimension, which complicates the appearance of the cardiac silhouette and lungs.  The laryngeal lumen is subjectively narrowed in a dorsoventral dimension with less gas opacity than expected in the lateral images.  The T12-13 intervertebral disc space is narrowed. L1-2 spondylosis deformans is present.  The   remaining included musculoskeletal structures are normal.
</t>
  </si>
  <si>
    <t>1. Minimal-mild diffuse bronchial pulmonary pattern such as from infectious/immune-mediated lower airway disease (mycoplasma spp., bordetella spp., parasitism, or other), inhaled allergen/irritant, fibrosis from prior disease, age-related changes, or less likely other.
2. Suspected laryngeal collapse/narrowing versus artifact/phase of respiration. 
- Concurrent brachycephalic airway syndrome is considered.
3. T12-13 intervertebral disc disease.</t>
  </si>
  <si>
    <t>Consider respiratory PCR panel, airway sampling, and fecal analysis/deworming for further evaluation.  Sedated laryngeal examination and tracheoscopy/bronchoscopy may be contributory.   Empirical therapy and supportive care in the interim as needed.  Monitoring as directed or sooner if clinical signs acutely change, fail to improve or worsen.</t>
  </si>
  <si>
    <t xml:space="preserve">
1.Pleural fissure lines or moderate to severe pleural effusion has been detected. An overlying skin fold or in an obese animal, excessive pericardial fat could artifactually mimic the result of severe pleural effusion._x000D_
2.Mild cardiomegaly has been detected but Heart Failure is NOT suspected._x000D_
3.SEVERE ALVEOLAR PATTERN; MODERATE DYNAMIC AIRWAY DISEASE; MILD, DIFFUSE BRONCHOINTERSTITIAL PULMONARY PATTERN._x000D_
4.Based on these AI airway/pulmonary findings, the probability of this patient having clinically detectable respiratory signs is VERY HIGH (&gt;75%)_x000D_
5.Are respiratory signs present? If YES._x000D_
6.Are respiratory signs present? If NO.</t>
  </si>
  <si>
    <t xml:space="preserve">Patient Name : Milo Goncalves, Date of study: Jun 21, 2024
5 images are provided for review
There are no previous radiographs for comparison.
Bones/Joints:  The L1-2, T12-13 and T13-L1 intervertebral disc spaces are subjectively mildly narrow.  Suspected in situ intervertebral disc mineral at L3-4, L4-5 and L5-6.
There is no evidence of intervertebral disc space narrowing, or mineral over the intervertebral foramina.  
Spondylosis deformans is ventral to T11-12 and T12-13.  Multiple caudal vertebrae are shortened or wedge-shaped, consistent with breed of this patient (screw tail anomaly). 
There is no evidence of medullary sclerosis, osteolysis, endosteal scalloping, or periosteal proliferation.
Soft tissues:  The included soft tissues are normal.
</t>
  </si>
  <si>
    <t xml:space="preserve">1. Suspected intervertebral disc disease at L1-2, T12-13 and T13-L1.
2. Breed-specific caudal vertebral anomalies.  </t>
  </si>
  <si>
    <t>Consider neurologist consultation and MRI for further evaluation.   Routine blood work and thoracic imaging prior to referral if not recently performed to screen for occult systemic disease.   Empirical therapy and supportive care in the interim as needed.  Monitoring as directed, or sooner if clinical signs acutely change, fail to improve or worsen.</t>
  </si>
  <si>
    <t>Three radiographs of the thorax are provided. There is mild left atrial enlargement. Cardiac to thoracic ratio and pulmonary vessel size is normal. No abnormalities of the pulmonary parenchyma or pleural space. Tracheal diameter and position are normal. Small volume fluid in the esophagus is transient and incidental.</t>
  </si>
  <si>
    <t>Mild left atrial enlargement consistent with acquired mitral valve disease. There is no evidence of pulmonary venous congestion or heart failure today. Otherwise normal thorax. A reason for the cough is not identified. Inhaled irritant/allergens for dynamic tracheal collapse should be considered.</t>
  </si>
  <si>
    <t>Recommend utilization of a body harness in place of a neck lead and symptomatic treatment for the cough. An echocardiogram could be considered to obtain baseline measurements and help guide treatment.</t>
  </si>
  <si>
    <t xml:space="preserve">
1.Severe cardiomegaly has been detected but Heart Failure is NOT suspected._x000D_
2.MINIMAL to MILD BRONCHOINTERSTITIAL PULMONARY PATTERN; MILD DYNAMIC AIRWAY DISEASE; MILD PERIHILAR INFILTRATE._x000D_
3.Based on these AI airway/pulmonary findings, the probability of this patient having clinically detectable respiratory signs is LOW to MEDIUM (25-50%)_x000D_
4.Are respiratory signs present? If YES._x000D_
5.Are respiratory signs present? If NO.</t>
  </si>
  <si>
    <t xml:space="preserve">Patient Name : Brody Browning, Date of study: Jun 21, 2024
3 images are provided for review
This is compared to prior dated March 26, 2021.  The left lateral image is overexposed.  
Pulmonary parenchyma: A minimal to mild diffuse interstitial pattern is present. A minimal to mild diffuse bronchial pulmonary pattern is present.   The lungs are hypoinflated moderately in the right lateral image. 
Pulmonary vasculature: The pulmonary vasculature is subjectively normal in size and tapers in the periphery of the lungs.
Cardiac silhouette: The cardiac silhouette is normal in size and shape.
Mediastinum: The cranial mediastinum is normal.
Trachea: TA soft tissue band superimposes over the dorsal aspect of the caudal cervical/cranial thoracic tracheal segments.  
Esophagus: The esophagus is not well-identified.
Pleural space: A thin pleural fissure line that does not widen in the periphery of the lungs is present between the right middle/caudal lungs in the ventrodorsal image.  
Musculoskeletal: The included musculoskeletal structures are normal.
</t>
  </si>
  <si>
    <t xml:space="preserve">1. Minimal-mild diffuse interstitial and bronchial pulmonary patterns.
- Differential diagnoses include infectious/immune-mediated lower airway disease such as from bordetella spp., mycoplasma spp., parasitism, or inhaled allergen/irritant, and/or fibrosis from prior disease, age-related changes, or  unlikely other.
2. Dorsal redundant tracheal membrane with/without underlying dynamic airway disease, versus superimposed normal structures.  
3. Thin pleural fissure line due to tangential beam artifact, pleural thickening, or unlikely other.
4. Hepatomegaly and splenomegaly in the included abdomen are non-specific and may be due to vacuolar change, hematopoiesis or evolving neoplasia.  </t>
  </si>
  <si>
    <t>Consider respiratory PCR panel, airway sampling, and fecal analysis/empirical deworming for further evaluation. Tracheoscopy/bronchoscopy may be contributory. Empirical therapy and supportive care in the interim as needed.  Abdominal imaging for further evaluation of the liver, spleen and kidneys.  Monitoring as directed or sooner if clinical signs acutely change, fail to improve or worsen.</t>
  </si>
  <si>
    <t xml:space="preserve">
1.Moderate bronchointerstitial pulmonary pattern detected._x000D_
2.A moderate bronchial pattern and concurrent moderate dynamic airway disease have been detected._x000D_
3.A mild perihilar infiltrate has been detected._x000D_
4.Pleural fissure lines or small volume pleural effusion has been detected. In a mildly overweight animal, excessive pericardial fat can artifactually mimic the result of minimal pleural effusion._x000D_
5.Severe cardiomegaly has been detected but Heart Failure is NOT suspected.</t>
  </si>
  <si>
    <t>Three radiographs of the thorax, and three views of the abdomen are provided. The cardiac silhouette and pulmonary vessels are normal size and shape. There is a mild bronchial pattern throughout the lungs. The cranial lobar bronchus does not taper as expected on the left lateral view. Fat deposition separates the heart from the sternum. There is no pleural effusion. Several incidental pulmonary osteomas. Tracheal diameter is adequate._x000D_
_x000D_
In the abdomen, the bladder is distended and soft tissue opaque. Small volume gas in the stomach and throughout the small bowel. Small volume formed feces in the distal colon. Round gas lucency in the mid right abdomen on the VD projection is normal cecum. No radiopaque foreign material. Normal-sized kidneys, liver, spleen.</t>
  </si>
  <si>
    <t>1. Mild bronchial pattern with mild bronchiectasis, most consistent with chronic airway inflammation such as allergic bronchitis. This is the most likely cause for the cough. No other thoracic abnormalities._x000D_
2. Normal abdomen. There is no evidence of radiopaque urolithiasis or gastrointestinal abnormalities.</t>
  </si>
  <si>
    <t>If gastrointestinal signs persist despite supportive care, abdominal ultrasound would be recommended. For the cough, consider treatment for allergic airway disease.</t>
  </si>
  <si>
    <t xml:space="preserve">
1.Are respiratory signs present? If NO._x000D_
2.The evaluation has a strong suspicion of pulmonary nodules or mass lesion being present._x000D_
3.A moderate bronchointerstitial pattern with alveolar infiltrates has been detected._x000D_
4.MODERATE INTERSITIAL TO ALVEOLAR PATTERN; MINIMAL PERIHILAR INFILTRATE._x000D_
5.Based on these AI airway/pulmonary findings, the probability of this patient having clinically detectable respiratory signs is MEDIUM (50%)_x000D_
6.Are respiratory signs present? If YES._x000D_
7.AI linked bacterial pneumonia treatment in dogs: https://platform.v2.vetology.net/doc/pneumonia-in-dogs-and-cats_x000D_
8.Pleural fissure lines or small volume pleural effusion has been detected. In a mildly overweight animal, excessive pericardial fat can artifactually mimic the result of minimal pleural effusion._x000D_
9.The cardiac silhouette size is normal.</t>
  </si>
  <si>
    <t xml:space="preserve">Patient Name : Toby Cowell, Date of study: Jun 21, 2024
4 images are provided for review
There are no previous radiographs for comparison.
Pulmonary parenchyma: A minimal to mild diffuse bronchial pattern is present.  The presumed left cranial lobar bronchus fails to taper as expected in the lung periphery.  Suspected ovoid lucent foci over the right middle lung in the left lateral image.  The lungs are hypoinflated.  
Pulmonary vasculature: The pulmonary vasculature is subjectively normal in size and tapers in the periphery of the lungs.
Cardiac silhouette: The cardiac silhouette is normal in size and shape.
Mediastinum: The cranial mediastinum is normal.
Trachea: The cervical segment of the trachea is enlarged in the right lateral image, and the thoracic segment has an undulant margin.  The trachea is narrowed with an undulant margin in the left lateral image.  
Esophagus: The esophagus is not well-identified.
Pleural space: The pleural space is normal.
Liver: The liver is mildly enlarged with a rounded cauveotrnal margin, and slight caudal displacement of the gastric axis.  
Spleen: The spleen is normal in size with smooth margins and homogeneous soft tissue.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volume of soft tissue material and gas. the stomach is within normal limits for size. Gastric rugal folds are mildly prominent.
The small intestine contains fluid, minimal gas, or is empty with a subjectively uniform population for size. 
The colon contains mild gas or is empty.  The colon wall is minimally or mildly spastic.
Musculoskeletal: The included musculoskeletal structures are normal.
</t>
  </si>
  <si>
    <t>1. Minimal-mild diffuse bronchial pattern such as from infectious/immune-mediated lower airway disease, fibrosis from prior disease, or other.
2. Suspicious for left cranial lobar columnar bronchiectasis and possible right middle lobar saccular bronchiectasis versus bulla or artifact.
3. Tracheal changes most likely due to chondromalacia and dynamic airway disease.
4. Mild hepatomegaly due to vacuolar change, nodular hyperplasia, hepatitis, or evolving neoplasia.
5. Prominent gastric rugal folds such as from non-specific gastritis versus normal variation.
6. Normal variation/recent bowel movement versus non-specific small intestinal and colon changes such as from enteritis/colitis due to dietary indiscretion, toxin ingestion, inflammatory bowel disease, or less likely other.</t>
  </si>
  <si>
    <t>Internist consultation, tracheoscopy/bronchoscopy, airway sampling, and respiratory PCR panel may be contributory.  Consider computed tomography for further evaluation of suspected bronchiectasis versus pulmonary bulla, and further evaluation of the trachea.  Abdominal ultrasonography for further evaluation of the liver and gastrointestinal tract may be beneficial.  Routine blood work may be contributory if not recently performed.   Empirical therapy and supportive care in the interim as needed.  Monitoring as directed or sooner if clinical signs acutely change, fail to improve or worsen.</t>
  </si>
  <si>
    <t xml:space="preserve">
1.A minimal to mild bronchointerstitial pulmonary pattern has been detected._x000D_
2.A mild bronchointerstitial pulmonary pattern and minimal perihilar infiltrate have been detected._x000D_
3.MILD BROCHIAL/BRONCHOINTERSTITIAL PULMONARY PATTERN; MINIMAL PERIHILAR INFILTRATE._x000D_
4.MINIMAL INTERSTITIAL PATTERN; MINIMAL PERIHILAR INFILTRATE._x000D_
5.Based on these AI airway/pulmonary findings, the probability of this patient having clinically detectable respiratory signs is LOW (25%)_x000D_
6.Based on these AI airway/pulmonary findings, the probability of this patient having clinically detectable respiratorysigns is LOW (25%)_x000D_
7.Are respiratory signs present? If YES._x000D_
8.Are respiratory signs present? If YES._x000D_
9.Are respiratory signs present? If NO._x000D_
10.Are respiratory signs present? If NO._x000D_
11.The cardiac silhouette size is normal.</t>
  </si>
  <si>
    <t>Five radiographs of the thorax are provided. Images dated 4/20/23 are available for comparison. The cardiac silhouette is prominent on all views, not appreciated on the previous study. There is fat deposition adjacent to the heart on the VD projection which is likely augmenting apparent cardiac silhouette size. There is mild dorsal deviation of the thoracic trachea by the heart. Prominent caudal pulmonary arteries. There is a severe interstitial pattern in the ventral lungs, worse on the right. Mild bronchial pattern is present. No definitive improvement on the images obtained following diuretic administration. No pleural effusion. Adequate tracheal diameter. The cranial abdomen is unremarkable.</t>
  </si>
  <si>
    <t>Mild cardiomegaly, most consistent with chronic valvular disease versus dilated cardiomyopathy. Enlarged pulmonary arteries is concerning for heartworm disease versus pulmonary hypertension. With the lack of improvement despite diuretic administration, aspiration pneumonia is most likely. Heart failure is given secondary consideration. Mild bronchial pattern may be normal age change versus chronic airway inflammation.</t>
  </si>
  <si>
    <t>Recommend testing for heartworm disease and antibiotics. If heartworm test is negative, an echocardiogram would be recommended to workup potential pulmonary hypertension.</t>
  </si>
  <si>
    <t xml:space="preserve">
1.A mild perihilar infiltrate has been detected._x000D_
2.Pleural fissure lines or moderate to severe pleural effusion has been detected. An overlying skin fold or in an obese animal, excessive pericardial fat could artifactually mimic the result of severe pleural effusion._x000D_
3.Moderate cardiomegaly has been detected but Heart Failure is NOT suspected._x000D_
4.Are respiratory signs present? If YES._x000D_
5.Are respiratory signs present? If NO._x000D_
6.SEVERE INTERSTITIAL TO ALVEOLAR PATTERN; MODERATE BRONCHIAL PATTERN; MODERATE DYNAMIC AIRWAY DISEASE._x000D_
7.Based on these AI airway/pulmonary findings, the probability of this patient having clinically detectable repsiratory signs is VERY HIGH (&gt;75%)_x000D_
8.AI linked pneumonia in dogs article: https://platform.v2.vetology.net/doc/pneumonia-in-dogs-and-cats_x000D_
9.The evaluation has a strong suspicion of pulmonary nodules or mass lesion being present.</t>
  </si>
  <si>
    <t xml:space="preserve">Patient Name : Blake Presnall, Date of study: Jun 21, 2024
10 images are provided for review
There are no previous radiographs for comparison.  Only lateral thorax images are provided.  
Pulmonary parenchyma: A minimal diffuse bronchial pattern is present.  A minimal diffuse interstitial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Bones/Joints:  Multiple chronic non-union fractures of the pelvic floor are present. The right pubic bone is tapered towards the symphysis, and overrides the symphysis.  Partially bridged fracture defects are in the ischial tables bilaterally.  A right sacroiliac joint luxation is present.  The right femoral head is fractured from the neck and in the right acetabulum.  Multiple severe well-defined, smoothly marginated mineral span the fracture gap between the right femoral neck and head/acetabulum.  A left sacroiliac joint luxation is present. the left sacral wing is misshapen or remodeled as a result, with a narrowed base of attachment with the left ilial wing.  The left femoral head is in the acetabulum, but appears flattened medially and caudally.  The left femoral neck is subjectively thin.   Spondylosis deformans is ventral to L7-S1. The S1 segment does not appear fused to S2 in the left lateral image, and is suspected to be lumbarized partially.   The osseous excrescence from the left sacrum/sacral wing may be due to prior fracture or lumbarization/congenital anomaly.  This bone impinges upon the L7 left transverse process, with a flat region of osseous modeling as a result.  
Mild osteophyte production dorsal to the left tarsometatarsal joints.  
The left stifle has no evidence of osteoarthrosis.  The left infrapatellar fat pad is well-defined.
The right stifle has no evidence of osteoarthrosis.  The right infrapatellar fat pad is well-defined.
There is no evidence of medullary sclerosis, osteolysis, endosteal scalloping, or periosteal proliferation.
Soft tissues:  The included soft tissues are normal.
</t>
  </si>
  <si>
    <t xml:space="preserve">1. Minimal diffuse bronchial and interstitial pulmonary patterns.
- Differential diagnoses include infectious/immune-mediated lower airway disease possibly related to underlying heartworm disease, fibrosis from prior disease, age-related changes, or unlikely other.
2. No current evidence of cardiomegaly or vasculature enlargement on limited evaluation of the thorax.
3. Multiple chronic non-union or malunion pelvic floor fractures, 
4. Bilateral sacroiliac joint luxation, suspected complicated on the left from transitional S1 vertebra.
5. Right femoral head/neck fracture with severe right coxofemoral joint modelling/osteoarthrosis
6. Mild left tarsometatarsal osteoarthrosis.
</t>
  </si>
  <si>
    <t>Consider 3-views of the thorax for further evaluation.  Routine blood work if not recently performed, and heartworm adulticide therapy protocol and monitoring as directed.  Consider computed tomography of the pelvic and orthopedist consultation for further evaluation, and possible surgical intervention, depending on clinical signs.  Monitoring as directed or sooner if clinical signs acutely change, fail to improve or worsen.</t>
  </si>
  <si>
    <t xml:space="preserve">Patient Name : Clint Faye, Date of study: June 21, 2024
3 images are provided for review
Canine Thorax (3 Images) - 1 Vd, 2 Lateral
There are no previous radiographs for comparison.
Pulmonary parenchyma: A minimal to mild diffuse bronchial pattern is present.  A minimal diffuse interstitial pattern is present.  The lungs are mildly hypoinflated in the left lateral image.
Pulmonary vasculature: The pulmonary vasculature is subjectively normal in size and tapers in the periphery of the lungs.
Cardiac silhouette: The cardiac silhouette is normal in size and shape.
Mediastinum: The cranial mediastinum is widened with a round or convex margin on the right in the ventrodorsal  image.This likely corresponds to ill-defined increased soft tissue over the cranioventral thorax in the lateral images.  .
Trachea: The trachea is normal.
Esophagus: The esophagus is not well-identified.
Pleural space: The pleural space is normal.
Musculoskeletal: Multifocal thoracolumbar spondylosis deformans is present.  The remaining included musculoskeletal structures are normal.
</t>
  </si>
  <si>
    <t xml:space="preserve">1. Suspected cranial mediastinal mass.
- Differential diagnoses include lymphadenomegaly such as from  metastatic neoplasia or less likely reactive hyperplasia, versus primary neoplasia such as ectopic thyroid carcinoma or thymoma
2. Minimal-mild  diffuse bronchial and interstitial pulmonary patterns.
- Differential diagnoses include fibrosis from prior disease, age-related changes, or less likely infectious/immune-mediated lower airway disease, or unlikely other.
</t>
  </si>
  <si>
    <t>Consider computed tomography for further evaluation of the cranial mediastinal mass and a more sensitive evaluation of the lungs for occult metastatic disease.  Computed tomography of the limbs for presurgical planning may be contributory.  Tissue sampling of the reported digital mass with incisional/excisional biopsy with/without sampling of the suspected cranial mediastinal mass via computed tomographic or ultrasound assistance.  Consider oncologist consultation depending on results.  Routine blood work, abdominal imaging and coagulation testing if not recently performed.  Empirical therapy and supportive care in the interim as needed.  Monitoring as directed or sooner if clinical signs acutely change, or worsen.</t>
  </si>
  <si>
    <t xml:space="preserve">
1.MINIMAL TO MILD BRONCHOINTERSTITIAL PULMONRAY PATTERN; MILD PERIHILAR PATTERN._x000D_
2.MINIMAL BRONCHOINTERSTITIAL PULMONARY PATTERN; POTENTIAL FOR FOCAL ATELECTASIS._x000D_
3.MINIMAL INTERSTITIAL PATTERN; MINIMAL PERIHILAR INFILTRATE._x000D_
4.Based on these AI airway/pulmonary findings, the probability of this patient having clinically detectable respiratory signs is LOW (25%)_x000D_
5.Based on the AI airway/pulmonary findings, the probability of this patient having clinically detectable respiratory signs is LOW (25%)_x000D_
6.The cardiac silhouette size is normal._x000D_
7.A minimal bronchointerstitial pulmonary pattern with a concurrent, minimal perihilar infiltrate have been detected._x000D_
8.Are respiratory signs present? If NO._x000D_
9.Are respiratory signs present? If YES._x000D_
10.Are respiratory signs present? If YES._x000D_
11.Are respiratory signs present? If NO.</t>
  </si>
  <si>
    <t>No contraindications for anesthesia.</t>
  </si>
  <si>
    <t xml:space="preserve">
1.A mild bronchointerstitial pulmonary pattern and minimal perihilar infiltrate have been detected._x000D_
2.The cardiac silhouette size is normal._x000D_
3.There is no evidence of DYNAMIC AIRWAY COLLAPSE or BRONCHIECTASIS or PULMONARY NODULES.</t>
  </si>
  <si>
    <t>Patient Name: MARTA BRODEUR, Date of study: Jun 21, 2024
Thorax: 3 images are provided for review (2 lateral, 1 VD).
There are no previous radiographs for comparison.
Findings:
Cardiac silhouette: The cardiac silhouette is within normal limits of size and shape.
Pulmonary vessels: The pulmonary arteries and veins are normal.
Pulmonary parenchyma: There are multiple small, irregularly marginated mineral foci scattered throughout the pulmonary parenchyma. There are no soft tissue opaque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normal.
Musculoskeletal: There is moderate spondylosis deformans of T5-6. There are no repeatable sites of intervertebral disc space narrowing. The superficial soft tissue structures of the study are normal.</t>
  </si>
  <si>
    <t>1. Multiple small pulmonary mineral foci such as from benign pulmonary osteomas or broncholiths.  
-There is no evidence of metastatic soft tissue pulmonary nodules.
-Chronic bronchitis cannot be excluded as this may have a normal radiographic appearance. Differentials for chronic bronchitis include allergic, infectious/inflammatory, parasitic, and irritant etiologies.
2. Normal cardiovascular structures.</t>
  </si>
  <si>
    <t>Airway sampling (respiratory PCR, lavage, wash) could be considered to guide treatment for chronic bronchitis.</t>
  </si>
  <si>
    <t xml:space="preserve">
1.Based on these AI airway/pulmonary findings, the probability of this patient having clinically detectable respiratorysigns is LOW (25%)_x000D_
2.Are respiratory signs present? If YES._x000D_
3.Are respiratory signs present? If NO._x000D_
4.MILD BRONCHIAL PATTERN; MILD PERIHILAR PATTERN._x000D_
5.The cardiac silhouette size is normal._x000D_
6.There is no evidence of ALVEOLAR PATTERN, DYNAMIC AIRWAY COLLAPSE or BRONCHIECTASIS or PLEURAL EFFUSION.</t>
  </si>
  <si>
    <t xml:space="preserve">Patient Name : Shadow Merrell, Date of study: Jun 21, 2024
7 images are provided for review
There are no previous radiographs for comparison.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Increased soft tissue is in the cranial mediastinum, best identified in the right lateral image.  This results in caudal displacement of the cranial lung lobe margins.  The carina is caudally displaced to the level of T6 in the lateral images.  In the ventrodorsal image, rounded increased soft tissue is suspected in the area of the left tracheobronchial lymph node.  In the right lateral image, the mainstem bronchi are ventrally deviated.
Trachea: The trachea is normal.
Esophagus: The esophagus is not well-identified.
Pleural space: The pleural space is normal.
Liver: The liver is mild to moderately enlarged with caudal displacement of the gastric axis.  The caudal margin of the liver extends just beyond the 13th ribs.  
Spleen: In the ventrodorsal image, the spleen is enlarged with a widened ventral extremity that extends into the left caudal abdomen.  The spleen has slightly undulant margins.
Kidneys: The kidneys are normal in size and shape without obvious mineral.
Retroperitoneum: Retroperitoneal detail is adequate.
Urogenital: The urinary bladder is normal in size, homogeneous soft tissue, and smoothly marginated.
Peritoneum: Peritoneal detail is adequate.
Gastrointestinal tract: The stomach contains a moderate fluid, mild soft tissue and granular mineral, and mild gas.  Gas is in the pylorus in the left lateral image.
The small intestine contains fluid or is empty with a subjectively uniform population for size. 
The colon contains minimal soft tissue material and gas.
Musculoskeletal: L7-S1 spondylosis deformans is present.  The remaining included musculoskeletal structures are normal.
</t>
  </si>
  <si>
    <t>1. Suspected cranial mediastinal mass and suspected left tracheobronchial lymphadenomegaly.
- Differential diagnoses include neoplasia such as lymphosarcoma or ectopic thyroid carcinoma or thymoma, or less likely other, or unlikely granulomatous/fungal pneumonia such as from blastomycosis spp., coccidiomycosis spp., or other.
2. Mild-moderate diffuse bronchial pulmonary pattern.
- Differential diagnoses include infectious/immune-mediated lower airway disease such as from fungal etiologies or other, versus metastatic neoplasia, or unlikely other.
3. Mild-moderate hepatomegaly.
- Differential diagnoses include evolving metastatic neoplasia versus hepatitis/cholangiohepatitis such as from systemic fungal disease, versus other.  
4. Suspected splenomegaly with slightly undulant margins.
- Differential diagnoses include neoplasia such as lymphosarcoma versus systemic granulomatous/fungal disease, or unlikely other.
5. Minimal gastric mineral material due to dietary indiscretion with/without gastritis/delayed gastric emptying.</t>
  </si>
  <si>
    <t>Consider MRI of the head and computed tomography of the thorax/abdomen for further evaluation of the mediastinum/suspected left tracheobronchial lymphadenomegaly as well as the liver and spleen.  Routine blood work and coagulation testing if not recently performed. Tissue sampling may be necessary for a definitive diagnosis depending on results.  Oncologist versus internist consultation depending on results.  Fungal serology especially if other diagnostics are inconclusive.  Empirical therapy and supportive care in the interim as needed.  Monitoring as directed, or sooner if clinical signs acutely change, or worsen.</t>
  </si>
  <si>
    <t xml:space="preserve">
1.Are respiratory signs present? If NO._x000D_
2.MILD BRONCHOINTERSTITIAL PULMONARY PATTERN WITH ATELECTASIS or LESS LIKELY, PNEUMONIA, MILD PERIHILAR INFILTRATE._x000D_
3.Probability these AI pulmonary findings will accompany clinically detectable respiratory signs: MILD TO MODERATE (25-50%)_x000D_
4.Are respiratory signs present? If YES._x000D_
5.The cardiac silhouette size is normal.</t>
  </si>
  <si>
    <t>6 images of the thorax are provided for review.  The cardiovascular structures are normal.  There is a moderate bronchial pattern in all lung lobes.  The mediastinal and pleural structures are normal.  Cranial abdominal detail is adequate.</t>
  </si>
  <si>
    <t xml:space="preserve">
1.Are respiratory signs present? If YES._x000D_
2.Minimal cardiomegaly has been detected but Heart Failure is NOT suspected._x000D_
3.A mild interstitial to alveolar infiltrate has been detected._x000D_
4.MILD INTERSTITIAIL TO ALVEOLAR PATTERN; MINIMAL DYNAMIC AIRWAY DISEASE._x000D_
5.Based on these AI airway/pulmonary findings, the probability this patient will have clinically detectable respiratory signs is LOW (25%)_x000D_
6.Are respiratory signs present? If NO._x000D_
7.There is no evidence of PERIHILAR INFILTRATE.</t>
  </si>
  <si>
    <t>Three radiographs of the thorax, and three views of the abdomen are provided. The cardiac silhouette is upper normal size. Pulmonary vessels are normal size. There are no abnormalities in the pulmonary parenchyma. Mild narrowed cervical trachea. No pleural effusion._x000D_
_x000D_
In the abdomen there is gas and moderate volume of formed soft tissue density in the stomach. Minimally filled small and large bowel. There is no effusion. Normal-sized spleen, kidneys, liver. No radiopaque cystic calculi. Normal proximal pelvic limbs.</t>
  </si>
  <si>
    <t>Possible cervical tracheal collapse. No other abnormalities are identified to explain the cough. Inhaled irritant/allergens as possible. Otherwise normal thorax and abdomen.</t>
  </si>
  <si>
    <t>Three radiographs of the thorax are provided. There is mild left atrial and ventricular enlargement. Pulmonary vessels are normal size. There is dorsal deviation and compression of the mainstem bronchi. No abnormalities in the pulmonary parenchyma or pleural space. Normal tracheal diameter. In the cranial abdomen, there is either mild hepatomegaly, or normal spleen nestled adjacent to the liver.</t>
  </si>
  <si>
    <t>1. Mild left sided cardiomegaly, most consistent with acquired mitral valve disease. There is no pulmonary venous congestion or pulmonary edema, however there is mainstem bronchial compression. Otherwise normal thorax._x000D_
2. Possible hepatomegaly versus normal splenic tail. Causes for hepatomegaly are varied and include steroid hepatopathy, acute inflammation, neoplasia. This should be correlated with history and  blood work.</t>
  </si>
  <si>
    <t xml:space="preserve">
1.Severe cardiomegaly has been detected but Heart Failure is NOT suspected._x000D_
2.Are respiratory signs present? If NO._x000D_
3.MILD BRONCHOINTERSTITIAL PULMONARY PATTERN WITH ATELECTASIS or LESS LIKELY, PNEUMONIA, MILD PERIHILAR INFILTRATE._x000D_
4.MODERATE DYNAMIC AIRWAY DISEASE; MILD BRONCHOINTERSTITIAL PULMONARY PATTERN; ATELECTASIS or ALVEOLAR INFILTRATE._x000D_
5.Based on these AI airway/pulmonary findings, the probability of this patient having clinically detectable respiratory signs is MEDIUM (50%)_x000D_
6.Probability these AI pulmonary findings will accompany clinically detectable respiratory signs: MILD TO MODERATE (25-50%)_x000D_
7.Are respiratory signs present? If YES._x000D_
8.Are respiratory signs present? If YES._x000D_
9.AI linked information on dynamic airway collapse treatment in dogs: https://platform.v2.vetology.net/doc/canine-tracheal-collapse-treatment_x000D_
10.Are respiratory signs present? If NO.</t>
  </si>
  <si>
    <t>Three radiographs of the thorax, and two craniocaudal views of the thoracic limbs are provided. The heart and pulmonary vessels are normal size and shape. The lungs are clear. There is no pleural effusion. Adequate tracheal diameter. Mild narrowed C2-3 intervertebral disc space. The cranial abdomen the liver is mildly enlarged with rounded margins. No other cervical vertebral abnormalities are appreciated. Scapular contour is normal. The shoulder joints are congruent. Mild degenerative change in the cubital joints. Carpal bone alignment is normal. No thoracic limb soft tissue swelling. Normal metacarpals and phalanges.</t>
  </si>
  <si>
    <t>1. The appearance of C2-3 is suggestive of a protruding/extruded intervertebral disc. Such a lesion at this or another site is the most likely cause for the clinical signs. Soft tissue sprain/strain is given lesser consideration._x000D_
2. Bilateral mild cubital osteoarthritis. While this could be responsible for some discomfort, does not fully explain the clinical signs. No other thoracic limb abnormalities._x000D_
3. Mild hepatomegaly, a nonspecific finding that may be steroid hepatopathy, acute inflammation, neoplasia. This should be correlated with history and blood work._x000D_
4. Normal thorax.</t>
  </si>
  <si>
    <t>Recommend palpate for cervical spinal discomfort, and a neurologic examination.</t>
  </si>
  <si>
    <t xml:space="preserve">
1.Mild cardiomegaly has been detected but Heart Failure is NOT suspected._x000D_
2.MILD INTERSTITIAL TO ALVEOLAR PATTERN; MILD DYNAMIC AIRWAY DISEASE; MILD PERIHILAR INFILTRATE._x000D_
3.Based on the AI airway/pulmonary findings, the probability of this patient having clinically detectable respiratory signs is MEDIUM (50%)_x000D_
4.Are respiratory signs present? If YES._x000D_
5.Are respiratory signs present? If NO._x000D_
6.There is no evidence of PULMONARY NODULES.</t>
  </si>
  <si>
    <t>Three radiographs of the thorax, and orthogonal views of the abdomen are provided. Images dated 6/10/23 and earlier are available for comparison. There is prominence of the left atrium and auricle compared to the previous study. Pulmonary vessels are normal size. There are mild age-related changes in the lungs. Thin flat increased opacity overlying the cranial dorsal thorax on both of the lateral views, and overlying the mid heart on the right lateral projection is incidental platelike atelectasis. There is no pleural effusion. Normal cranial mediastinal width and tracheal diameter._x000D_
_x000D_
In the abdomen peritoneal and retroperitoneal detail is adequate. Normal-sized liver, spleen, kidneys. The gastrointestinal tract is mildly filled. Small volume mineral opaque debris in the stomach is likely incidental. Fragmented metal opaque wire in the cranioventral peritoneal space as before, incidental. No radiopaque urolithiasis. Osseous structures are unremarkable.</t>
  </si>
  <si>
    <t>Prominent left atrium and auricle consistent with mitral valve regurgitation. This is a new development. Dilated cardiomyopathy is most likely. Chronic valvular disease is given secondary consideration. There is no evidence of pulmonary venous congestion or heart failure. The thorax and abdomen are otherwise normal.</t>
  </si>
  <si>
    <t>An echocardiogram should be considered to obtain baseline measurements and help guide treatment.</t>
  </si>
  <si>
    <t xml:space="preserve">
1.In the PRESENCE of respiratory signs, low grade active pneumonitis (allergic, bacterial, parasitic (including heartworm disease), inhaled allergen or toxin) or upper airway disease causing pulmonary hypoinflation and/or recurrent microaspiration may be more likely._x000D_
2.The evaluation has come up positive for a pulmonary nodular pattern._x000D_
3.MILD BRONCHOINTERSTITIAL PULMONARY PATTERN; MINIMAL to MILD PERIHILAR PATTERN._x000D_
4.Based on the AI airway/pulmonary findings, the probability of this patient having clinically detectable respiratory signs is LOW (25%)_x000D_
5.In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6.The cardiac silhouette size is normal.</t>
  </si>
  <si>
    <t xml:space="preserve">Patient Name : Greta Howell, Date of study: Jun 21, 2024
5 images are provided for review
There are no previous radiographs for comparison.
Bones/Joints:
The right radial dorsal and medial cortex has a focal defect in the mid- to distal diaphysis.  This lucent defect has slightly irregular margins, and the cortex is thinned from the periosteal margin.  The endosteal margin is smooth, but slightly ill-defined, and slight medullary sclerosis is suspected at this level.  Well-defined smooth or slightly undulant periosteal proliferation spans the cortical defect.  These changes have a somewhat long zone of transition.  the right elbow is normal.  The left elbow is normal.  The included manus is normal.  
Soft tissues:   The soft tissues surrounding the right radial diaphyseal lesion are focally enlarged.  the remaining included soft tissues are normal.  </t>
  </si>
  <si>
    <t xml:space="preserve">1. Right radial diaphyseal cortical defect with periosteal proliferation, suspected medullary sclerosis, and local soft tissue swelling.
- This is suspicious for an evolving neoplasm such as osteosarcoma, or unlikely osteomyelitis such as from fungal agents, or least likely recent penetrating trauma given reported history.
</t>
  </si>
  <si>
    <t>Consider bone biopsy and culture of the right radial diaphyseal defect for a definitive diagnosis.  Routine blood work if not recently performed.  Oncologist consultation depending on results.   Consider fungal serology if tissue sampling is inconclusive and the patient has an appropriate travel/exposure history.  Empirical therapy and supportive care in the interim as needed.  Monitoring with serial radiographs of the right radius as directed, or sooner if clinical signs acutely change, fail to improve or worsen.</t>
  </si>
  <si>
    <t>3 views of the thorax are presented for review.  The cardiovascular structures are normal.  There is a moderate bronchial pattern in all lung lobes.  No pulmonary nodules or enlarged intrathoracic lymph nodes are seen.  The pleural and mediastinal structures are normal.  Cranial abdominal detail is adequate.</t>
  </si>
  <si>
    <t>Five radiographs of the thorax, and a VD view of the caudal right scapula/lateral right thorax are provided. The cardiac silhouette and pulmonary vessels are normal size and shape. There are no abnormalities in the pulmonary parenchyma. No pleural effusion. Soft tissue density overlying the dorsal aspect of the cervical trachea on the 2nd lateral view is likely adjacent esophagus. The patient is overweight, with moderate volume subcutaneous fat. There is broad-based fat opaque thickening measuring at least 7.6 x 1.6 cm caudal lateral to the right scapula. No adjacent scapular or rib lysis or proliferation.</t>
  </si>
  <si>
    <t>Lipomatous mass caudal lateral to the right scapula, of doubtful significance. Otherwise normal thorax.</t>
  </si>
  <si>
    <t>If the mass continues to increase in size, causes discomfort or interferes with mobility, removal would be recommended.</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</si>
  <si>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5.The cardiac silhouette size is normal._x000D_
6.There is no evidence of PERIHILAR INFILTRATE.</t>
  </si>
  <si>
    <t>Thorax: On the lateral views there is a soft tissue opacity (1.85 cm diameter) within the caudal dorsal thorax near the level of the diaphragm.  There is a possible second nodule (1.00 cm in diameter) located dorsal to the tracheal bifurcation.  These are not identified on the ventrodorsal views.  There is generalized cardiomegaly.  There is no evidence of congestive heart failure.  The pulmonary vasculature is unremarkable.  There is no evidence of pleural effusion or lymphadenopathy.  There are no abnormalities involving the mainstem bronchi.  On the lateral views there is a mild increase in soft tissue associate with the dorsal aspect of the extrathoracic trachea._x000D_
_x000D_
Abdomen: There is an irregular mineral opacity superimposed over the urinary bladder.  The prostate is enlarged.  There is a mineral opacity (calculus) associated with the urethra just proximal to the base of the os penis.  There is mild diffuse hepatomegaly.  The remainder of the abdomen is unremarkable.</t>
  </si>
  <si>
    <t>The soft tissue opacities associated with the thorax are concerning for pulmonary nodules (neoplasia).  Alternatively the 1 identified dorsal to the tracheal bifurcation may represent a summation artifact and the one within the caudal dorsal thorax may represent a sliding hiatal hernia however these differentials are considered less likely._x000D_
_x000D_
Generalized cardiomegaly without evidence of decompensation._x000D_
_x000D_
Urinary bladder calculi._x000D_
_x000D_
Urethral calculus._x000D_
_x000D_
Diffuse hepatomegaly._x000D_
_x000D_
In light of provided history of intact male, the size of the prostate most likely represents benign prostatic hypertrophy however neoplasia cannot be ruled out._x000D_
_x000D_
The soft tissue opacity associated with the dorsal aspect of the the extrathoracic trachea most likely represents a combination of a redundant dorsal tracheal membrane and rotational obliquity.</t>
  </si>
  <si>
    <t xml:space="preserve">
1.Are respiratory signs present? If NO._x000D_
2.Are respiratory signs present? If NO._x000D_
3.MODERATE BRONCHIAL PATTERN, MILD DYNAMIC AIRWAY DISEASE, MILD, DIFFUSE INTERSTITIAL PATTERN WITH A SLIGHTLY MORE PRONOUNCED PERIHILAR INFILTRATE._x000D_
4.MODERATE BRONCHINTERSTITIAL PATTERN; MILD DYNAMIC AIRWAY DISEASE; ATELECTASIS or less likely, PNEUMONIA._x000D_
5.MILD DYNAMIC AIRWAY DISEASE; MINIMAL INTERSTITIAL TO ALVEOLAR PATTERN; MILD PERIHILAR INFILTRATE._x000D_
6.Based on the AI airway/pulmonary findings, the probability of this patient having clinically detectable respiratory signs is LOW to MEDIUM (25-50%)_x000D_
7.Based on these AI airway/pulmonary findings, the probability of this patient having clinically detectable respiratory signs is MEDIUM (50%)_x000D_
8.Based on these AI airway/pulmonary findings, the probability of this patient having clinically detectable respiratorysigns is MEDIUM (50%)_x000D_
9.Are respiratory signs present? If YES._x000D_
10.Are respiratory signs present? If YES._x000D_
11.AI linked bronchitis disease treatment in dogs and cats: https://platform.v2.vetology.net/doc/bacterial-bronchitis-in-dogs-and-cats_x000D_
12.Are respiratory signs present? If YES._x000D_
13.Are respiratory signs present? If NO._x000D_
14.Severe cardiomegaly has been detected but Heart Failure is NOT suspected.</t>
  </si>
  <si>
    <t xml:space="preserve">Patient Name : Frankie Peden, Date of study: Jun 20, 2024
8 images are provided for review
There are no previous radiographs for comparison.
Bones/Joints:  The T5 through T11 vertebrae are variable shortened in a craniocaudal dimension, or wedge-shaped, most severe at T5, T6, T9 and T11.  The T12-13 and T11-12 intervertebral disc spaces are narrowed.  
There is no evidence of lumbar intervertebral disc space narrowing, or mineral over the intervertebral foramina.    The caudal vertebrae are shortened in a craniocaudal dimension (screw tail anomaly).  
There is no evidence of cervical intervertebral disc space narrowing, or mineral over the intervertebral foramina. 
There is no evidence of medullary sclerosis, osteolysis, endosteal scalloping, or periosteal proliferation.
Soft tissues:  The included soft tissues are normal.
</t>
  </si>
  <si>
    <t xml:space="preserve">1. T11-12 and T12-13 intervertebral disc disease.
2. Multifocal thoracic vertebral anomalies consistent with patient breed.
3. Caudal vertebral anomalies consistent with patient breed.
</t>
  </si>
  <si>
    <t>Consider routine blood work to screen for occult systemic disease,and possibly consider creatine kinase testing to screen for occult myositis. Consider neurologist consultation and MRI for further evaluation.  Empirical therapy and supportive care in the interim as needed.  Monitoring as directed or sooner if clinical signs acutely change, fail to improve or worsen.</t>
  </si>
  <si>
    <t xml:space="preserve">
1.A minimal interstitial pattern has been detected._x000D_
2.Minimal dynamic airway disease has been detected._x000D_
3.The cardiac silhouette size is normal._x000D_
4.There is no evidence of PERIHILAR INFILTRATE, PULMONARY NODULES or PLEURAL EFFUSION.</t>
  </si>
  <si>
    <t xml:space="preserve">Patient Name : Little Girl Shield, Date of study: Jun 20, 2024
3 images are provided for review
Canine Thorax (3 Images) - 2 Lateral, 1 Vd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moderately enlarged and tall, occupying greater than 2./3 the height of the thorax.  The trachea id dorsally displaced.  The caudodorsal margin of the cardiac silhouette is enlarged and rounded.  Rounded increased soft tissue is in the area of the left atrium in the ventrodorsal image. The cardiac silhouette occupies the width of 3.5-4 intercostal spaces.  The cardiac silhouette is rounded in the region of the left auricular appendage.
Mediastinum: The cranial mediastinum is normal.
Trachea: A soft tissue band partially superimposes over the cervical trachea.  
Esophagus: The esophagus is not well-identified.
Pleural space: Thin pleural fissure lines that do not widen in the periphery of the lungs are present between the right cranial/middle and left cranial/caudal lung lobes in the ventrodorsal image.  
Musculoskeletal: Multifocal thoracolumbar spondylosis deformans is present.  The remaining included musculoskeletal structures are normal.
</t>
  </si>
  <si>
    <t xml:space="preserve">1. Moderate left-sided cardiomegaly and suspected right-sided cardiomegaly such as from myxomatous mitral/tricuspid valvular disease and/or cor pulmonale/pulmonary hypertension, or unlikely other.
- There is no current evidence of left-sided congestive heart failure.  
2. Mild diffuse bronchial pulmonary pattern due to fibrosis from prior disease, age-related changes, or unlikely  infectious/immune-mediated lower airway disease, or other.
3. Thin pleural fissure lines such as from tangential beam artifact, pleural thickening/folding, or scant pleural effusion.
4. Dorsal redundant tracheal membrane with/without dynamic airway disease versus superimposed normal structures.  </t>
  </si>
  <si>
    <t xml:space="preserve">Echocardiography, blood pressure, and ECG for further evaluation of the heart.  Routine blood work and urinalysis if not recently performed.  Consider respiratory PCR panel, airway sampling, and fecal analysis/deworming for further evaluation of the lower airway if clinically indicated.  Empirical therapy and supportive care in the interim as needed.  Monitoring with routine thoracic radiographs and echocardiography as directed or sooner if clinical signs acutely change, fail to improve or worsen.  If  dyspnea manifests, diuretic and oxygen therapy with repeat thoracic radiographs for monitoring response to therapy.  </t>
  </si>
  <si>
    <t xml:space="preserve">
1.SEVERE INTERSTITIAL TO ALVEOLAR INFILTRATE with PNEUMONIA or less likely, ATELECTASIS; SEVERE DYNAMIC AIRWAY DISEASE; MILD PERIHILAR INFILTRATE._x000D_
2.SEVERE ALVEOLAR INFILTRATE; SEVERE DYNAMIC AIRWAY DISEASE._x000D_
3.Based on these AI airway/pulmonary findings, the probability this patient will have clinically detectable respiratory signs is NEAR CERTAINTY (&gt;99%)_x000D_
4.Based on these AI airway/pulmonary findings, the probability of this patient having clinically detectable respiratory signs is HIGH (75%)_x000D_
5.Bacterial pneumonia treatment in dogs: https://platform.v2.vetology.net/doc/pneumonia-in-dogs-and-cats_x000D_
6.Are respiratory signs present? If NO._x000D_
7.Airway collapse treatment in dogs: https://platform.v2.vetology.net/doc/canine-tracheal-collapse_x000D_
8.Are respiratory signs are present? If NO._x000D_
9.A severe alveolar pattern and mild perihilar pattern have been detected._x000D_
10.Are respiratory signs present? If YES._x000D_
11.Are respiratory signs present? If YES._x000D_
12.Pleural fissure lines or small volume pleural effusion has been detected. In a mildly overweight animal, excessive pericardial fat can artifactually mimic the result of minimal pleural effusion._x000D_
13.Severe cardiomegaly has been detected but Heart Failure is NOT suspected.</t>
  </si>
  <si>
    <t>Right stifle: There is medial luxation of the patella.  There are no other abnormalities identified.  On the visible portions of the right tarsus there appears to be thickening of the common calcaneal tendon at the level of the tuber calcaneus._x000D_
_x000D_
Left stifle: There is medial luxation of the patella.  On the visible portions of the tarsus there is mild thickening of the common calcaneal tendon at the level of the tuber calcaneus._x000D_
_x000D_
Pelvis: There are no abnormalities identified._x000D_
_x000D_
Abdomen: There is possible gas within the proximal retroperitoneal space._x000D_
_x000D_
Thorax: There is mild gas dilation of the esophagus most likely secondary to anesthesia.</t>
  </si>
  <si>
    <t>Bilateral medial luxating patella=ZZ91=s._x000D_
_x000D_
Bilateral common calcaneal tendon thickening.  This may represent variation of normal or possible secondary to previous trauma._x000D_
_x000D_
Possible mild retroperitoneal effusion.</t>
  </si>
  <si>
    <t xml:space="preserve">
1.Minimal cardiomegaly has been detected but Heart Failure is NOT suspected._x000D_
2.A mild interstitial pattern has been detected._x000D_
3.A mild perihilar infiltrate and concurrent, mild dynamic airway disease have been detected._x000D_
4.Mild dynamic airway disease has been detected._x000D_
5.There is no evidence of ALVEOLAR PATTERN, PULMONARY NODULES or PLEURAL EFFUSION.</t>
  </si>
  <si>
    <t xml:space="preserve">Patient Name : Sandy Overholt, Date of study: Jun 20, 2024
3 images are provided for review
Canine Thorax (3 Images) - 2 Lateral, 1 Vd
Compared to prior dated December 5, 2023.
Pulmonary parenchyma: A minimal to mild diffuse bronchial pattern is present.  The lungs are mildly hypoinflated.
Pulmonary vasculature: The pulmonary vasculature is subjectively normal in size and tapers in the periphery of the lungs.
Cardiac silhouette: The cardiac silhouette is moderate to severely tall and occupies over 2/3 the height of the thorax.  The trachea is dorsally displaced.  The caudodorsal margin of the cardiac silhouette is flattened.  The cardiac silhouette is widened and occupies the width of at least 4 intercostal spaces.  
Mediastinum: The cranial mediastinum is normal.
Trachea: The trachea is normal.
Esophagus: The esophagus is not well-identified.
Pleural space: The pleural space is normal.
Musculoskeletal: Spondylosis deformans at C6-7, T4-5 and T5-6.  The remaining included musculoskeletal structures are normal.
</t>
  </si>
  <si>
    <t xml:space="preserve">1. Moderate left-sided and suspected right-sided cardiomegaly such as from myxomatous mitral with/without tricuspid valvular disease or cor pulmonale/pulmonary hypertension, or unlikely other.  
- This is mildly progressive from prior.  
2. Minimal to mild diffuse bronchial pulmonary pattern due to  fibrosis from prior disease, age-related changes, or less likely infectious/immune-mediated lower airway disease, or unlikely other.
3. No obvious pulmonary soft tissue nodules or intra-thoracic lymphadenomegaly.  </t>
  </si>
  <si>
    <t>Echocardiography, ECG and blood pressure for further evaluation.  Routine blood work and urinalysis if not recently performed.  Consider respiratory PCR panel and/or airway sampling for further evaluation of the lower airway if clinically indicated.  Empirical therapy and supportive care in the interim as needed.  Monitoring as directed or sooner if clinical signs acutely change, fail to improve or worsen.</t>
  </si>
  <si>
    <t xml:space="preserve">
1.Mild cardiomegaly has been detected but Heart Failure is NOT suspected._x000D_
2.Are respiratory signs present? If YES._x000D_
3.Are respiratory signs present? If NO._x000D_
4.MILD BRONCHOINTERSTITIAL PULMONARY PATTERN; MILD DYNAMIC AIRWAY DISEASE; MINIMAL PERIHILAR INFILTRATE._x000D_
5.Based on these AI airway/pulmonary findings, the probability of this patient having clinically detectable respiratory signs is MEDIUM (50%)</t>
  </si>
  <si>
    <t xml:space="preserve">
1.A minimal bronchointerstitial pulmonary pattern and concurrent, minimal dynamic airway disease have been detected._x000D_
2.Mild cardiomegaly has been detected but Heart Failure is NOT suspected.</t>
  </si>
  <si>
    <t>7 views of the thorax, abdomen, pelvis, and distal pelvic limbs are submitted for review._x000D_
In the thorax, the cardiac silhouette and pulmonary vasculature are within normal limits.  An irregular but essentially ovoid shaped, smoothly marginated soft tissue opacity mass is noted in the left cranioventral thorax.  Mild bronchial markings are noted throughout the remainder of the lung fields.  No pleural effusion is noted._x000D_
In the abdomen, the spleen is generally prominent in size with smooth, slightly rounded serosal margins.  The liver is subjectively normal in size and shape.  The unobscured margins of the renal silhouettes are within normal limits.  The urinary bladder appears moderately distended.  The stomach contains a mild amount of gas and fluid.  The small bowel is subjectively, mildly fluid-filled without being overtly dilated.  A mild amount of stool is noted in the colon.  Serosal detail in the abdomen is normal._x000D_
No abnormalities are noted in the visible cervical, thoracic, or lumbar spine.  The bilateral front feet are within normal limits.  The coxofemoral joints are congruent with no degenerative change.  The sacroiliac joints are normal.  No abnormalities are seen in the very limited views of the stifles.</t>
  </si>
  <si>
    <t>Large cranioventral thoracic mass.  This is thought to be most likely represent a mass in the cranioventral mediastinum, as with lymphoma, thymoma, or ectopic thyroid neoplasia.  Secondary consideration is given to mass in the cranial subsegment of the left cranial lung lobe as with primary pulmonary carcinoma or adenocarcinoma.  Granulomatous inflammation, abscess, or other fluid-filled viscus is not excluded._x000D_
The mild prominence of the spleen could be consistent with diffuse round cell neoplasia as with lymphoma or other round cell tumor, diffuse inflammation, lymphoid hyperplasia, or venous congestion.  The appearance of the small bowel is very equivocal but could be consistent with mild functional ileus as with gastroenteritis from any cause.</t>
  </si>
  <si>
    <t>An abdominal ultrasound and ultrasound of the cranioventral thorax is recommended for further evaluation.</t>
  </si>
  <si>
    <t xml:space="preserve">Patient Name : Luca Reyna, Date of study: Jun 20, 2024
3 images are provided for review
Canine Thorax (3 Images) - 2 Lateral, 1 Vd
There are no previous radiographs for comparison.
Pulmonary parenchyma: A minimal diffuse bronchial pattern is present. The lungs are hypoinflated.
Pulmonary vasculature: The pulmonary vasculature is subjectively normal in size and tapers in the periphery of the lungs.
Cardiac silhouette: The cardiac silhouette is normal in size and shape.
Mediastinum: The cranial mediastinum is normal.
Trachea: The trachea is small and the trachea:thoracic inlet ratio is small (0.09-0.10).
Esophagus: The esophagus is not well-identified.
Pleural space: The pleural space is normal.
Musculoskeletal: The T3,T4, T5,T6,and T7 vertebrae are shortened and wedge-shaped.  Focal kyphosis is present at T4 as a result.  The remaining included musculoskeletal structures are normal.
</t>
  </si>
  <si>
    <t>1. Minimal diffuse bronchial pattern such as from infectious/immune-mediated lower airway disease (mycoplasma spp., bordetella spp., parasitism, or other), or less likely inhaled allergen/irritant, or fibrosis from prior disease, age-related changes, or unlikely other.
2. Tracheal hypoplasia from breed-associated congenital anomaly.
3. T3 through T7 vertebral anomalies consistent with reported breed.</t>
  </si>
  <si>
    <t>Evaluation for brachycephalic airway syndrome that may be contributing to reported clinical signs.  tracheal hypoplasia likely contributes to reported clinical signs.  No obvious evidence of non-cardiogenic pulmonary edema such as from seizure activity.  Consider neurologist consultation and MRI for further evaluation of seizures.  Consider respiratory PCR panel, airway sampling, and fecal analysis/deworming for further evaluation.  Empirical therapy and supportive care in the interim as needed for possible lower airway disease.  Monitoring as directed or sooner if clinical signs acutely change, fail to improve or worsen.</t>
  </si>
  <si>
    <t xml:space="preserve">
1.MODERATE INTERSTITIAL TO ALVEOLAR INFILTRATE; MILD BRONCHIAL PATTERN; MINIMAL PERIHILAR INFILTRATE._x000D_
2.Based on these AI airway/pulmonary findings,  the probability of this patient having clinically detectable respiratory signs is HIGH (75%)_x000D_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6.The cardiac silhouette size is normal.</t>
  </si>
  <si>
    <t>Five radiographs of the thorax are provided. The cardiac silhouette is normal size with no chamber enlargement. Pulmonary vessels are normal size. Mild bronchial markings in the dorsal lungs. No pleural effusion. Mild dorsal position of the cranial thoracic trachea is incidental. Redundant dorsal trachealis membrane causes mild narrowed cervical trachea. No esophageal dilation. Normal cranial abdomen.</t>
  </si>
  <si>
    <t>1. Probable dynamic cervical tracheal collapse, the most likely cause for coughing._x000D_
2. Mild bronchial markings may be normal for age change versus chronic airway inflammation such as bronchitis. This may be due to inhaled irritants/allergens. There is no evidence of cardiovascular disease. Small valvular regurgitant jet can result in a relatively loud murmur.</t>
  </si>
  <si>
    <t>Recommend utilization of a body harness in place of a neck lead. This patient may benefit from treatment for allergic airway disease.</t>
  </si>
  <si>
    <t xml:space="preserve">
1.A minimal to mild bronchointerstitial pulmonary pattern has been detected._x000D_
2.There is no evidence of DYNAMIC AIRWAY COLLAPSE or BRONCHIECTASIS or PULMONARY NODULES._x000D_
3.Mild cardiomegaly has been detected but Heart Failure is NOT suspected.</t>
  </si>
  <si>
    <t xml:space="preserve">Patient Name : Bean Tudor, Date of study: Jun 20, 2024
4 images are provided for review
Canine Thorax (4 Images) - 2 Lateral, 2 Vd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Thin pleural fissure lines that do not widen in the periphery of the lungs are present between the right middle/caudal and left cranial/caudal lungs in the ventrodorsal image.  
Musculoskeletal: The included musculoskeletal structures are normal.
</t>
  </si>
  <si>
    <t>1. Mild diffuse bronchial pulmonary pattern.
- Differential diagnoses include infectious/immune-mediated lower airway disease such as from mycoplasma spp., bordetella spp., parasitism, or inhaled allergen/irritant, and/or fibrosis from prior disesa, age-related changes, or unlikely other.
2. Thin pleural fissure lines due to tangential beam artifact or pleural thickening/folding, or unlikely scant pleural effusion.</t>
  </si>
  <si>
    <t>Consider respiratory PCR panel, airway sampling, and fecal analysis for further evaluation.  This examination does not rule out occult dynamic airway disease.  Bronchoscopy and fluoroscopy may be contributory.  Empirical therapy and supportive care in the interim as needed. Monitoring as directed or sooner if clinical signs acutely change, fail to improve or worsen.</t>
  </si>
  <si>
    <t>Three radiographs of the thorax, and three views of the abdomen are provided. The cardiac silhouette and pulmonary vessels are normal size and shape. There are no abnormalities in the pulmonary parenchyma. No pleural effusion. Normal tracheal diameter._x000D_
_x000D_
In the abdomen the liver is upper normal size. Normal size kidneys and spleen. Small volume amorphous soft tissue density in the stomach. Small bowel and colon are minimally filled. No radiopaque urolithiasis. Osseous structures are unremarkable.</t>
  </si>
  <si>
    <t>Gastric contents appears to be normal ingesta. All or a portion of gastric contents could be foreign material causing gastritis and pyloric outflow obstruction. Otherwise normal abdomen and thorax.</t>
  </si>
  <si>
    <t>If vomiting is persistent/severe, a positive contrast gastrogram should be considered. Otherwise, strictly fasted abdominal ultrasound is recommended to further evaluate the abdomen.</t>
  </si>
  <si>
    <t>Orthogonal views of the thorax and abdomen are provided (and compared to the previous study on the 09/19/23):_x000D_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The left side SC lipoma has grown in size._x000D_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
(amended on 06/21/2024 06:46)
The cardiac silhouette has not increased in size when compared to the previous exam.</t>
  </si>
  <si>
    <t>1) Unremarkable thorax without signs of cardiomegaly (this does not exclude a cardiac disease), pulmonary metastases nor signs of thoracic lymphadenopathy. _x000D_
2) Increased in size left SC lipoma._x000D_
3) Unremarkable abdomen.</t>
  </si>
  <si>
    <t xml:space="preserve">
1.MILD BRONCHIAL PATTERN; MILD PERIHILAR PATTERN._x000D_
2.The cardiac silhouette size is normal._x000D_
3.There is no evidence of ALVEOLAR PATTERN, DYNAMIC AIRWAY COLLAPSE or BRONCHIECTASIS, PULMONARY NODULES or PLEURAL EFFUSION._x000D_
4.Are respiratory signs present? If YES._x000D_
5.Are respiratory signs present? If NO._x000D_
6.Based on these AI airway/pulmonary findings, the probability of this patient having clinically detectable respiratorysigns is LOW (25%)</t>
  </si>
  <si>
    <t>9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extends mildly beyond the costal arch.  The stomach contains a moderate amount of gas.  The small intestines are normal in size.  Gas and feces are present in the colon.  The urinary bladder is moderately distended.  The remaining abdominal organs are normal.  There is spondylosis deformans of the thoracolumbar spine.</t>
  </si>
  <si>
    <t>Mild hepatomegaly=ZZ90= this is a nonspecific finding that may be seen with congestion, vacuolar hepatopathy, inflammation, neoplasia, etc.  Abdominal ultrasound may be helpful in further evaluation if biochemically indicated.  Degenerative changes of the thoracolumbar spine.  Radiographically normal thorax for patient of this age.</t>
  </si>
  <si>
    <t>Opposite lateral and DV views of the thorax are provided._x000D_
_x000D_
Mild to moderate pleural effusion is identified. There is an ill defined mass effect in the caudal ventral thorax in the right lateral view. This is not at all visible in the DV view, and the left lateral view is equivocal. There are several small nodular opacities in the lung believed to represent irregular soft tissue pulmonary nodules in the range of approximately 1 cm. A 3 cm small mass is suspected in the right middle lung field. The cardiovascular structures are within normal limits. The cranial abdominal organs are unremarkable. Serosal detail in the cranial abdomen is normal. No destructive or productive bone lesions are seen.</t>
  </si>
  <si>
    <t>There is mild to moderate pleural effusion._x000D_
A small mass is suspected in the right middle lung field and multiple small pulmonary nodules are also seen. There is ill defined opacity in the caudal ventral thorax which could represent an additional pulmonary mass._x000D_
Metastatic neoplasia is the most likely explanation for the reported pneumothorax.</t>
  </si>
  <si>
    <t>Malignant neoplasia is most likely. CT would be ideal for more definitive evaluation.</t>
  </si>
  <si>
    <t xml:space="preserve">
1.Pleural fissure lines or moderate to severe pleural effusion has been detected. An overlying skin fold or in an obese animal, excessive pericardial fat could artifactually mimic the result of severe pleural effusion._x000D_
2.Mild cardiomegaly has been detected but Heart Failure is NOT suspected._x000D_
3.Dynamic airway disease has been detected_x000D_
4.The evaluation has a strong suspicion of pulmonary nodules or mass lesion being present._x000D_
5.A moderate perihilar infitlrate has been detected._x000D_
6.A moderate to severe interstitial to alveolar pattern with concurrent dynamic airway disease has been identified.</t>
  </si>
  <si>
    <t>6 views of the thorax and pelvic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The trachea is narrowed in the cervical region.  Cranial abdominal detail is adequate.  The coxofemoral joints are congruent.  The right patella is medially located.  No fractures or aggressive osseous lesions are seen.  The joint surfaces are smooth and regular.  Mild soft tissue is present in the right stifle joint.</t>
  </si>
  <si>
    <t>Cervical tracheal narrowing suggestive of tracheal collapse.  Radiographically normal thorax for patient of this age.  Echocardiography could be considered in further evaluation of the reported murmur.  Right medial patellar luxation.  Mild right stifle soft tissue may represent effusion (indicating soft tissue injury such as to the cranial cruciate ligament or meniscus) or fibrosis (related to patellar luxation).</t>
  </si>
  <si>
    <t>Given the lack of cardiomegaly but audible murmur, consider a cardiology consultation with ECG and echocardiogram and pro-BNP.</t>
  </si>
  <si>
    <t xml:space="preserve">
1.MODERATE BROCHOINTERSTITIAL PULMONARY PATTERN; ATELECTASIS or less likley, PNEUMONIA._x000D_
2.Based on these AI airway/pulmonary findings, the probability of this patient having clinically detectable respiratory signs is MEDIUM (50%)_x000D_
3.Are respiratory signs present? If YES._x000D_
4.Are respiratory signs present? If NO._x000D_
5.The evaluation has a strong suspicion of pulmonary nodules or mass lesion being present._x000D_
6.The cardiac silhouette size is normal._x000D_
7.There is no evidence of PERIHILAR INFILTRATE or DYNAMIC AIRWAY COLLAPSE or BRONCHIECTASIS.</t>
  </si>
  <si>
    <t xml:space="preserve">Patient Name : ANNABELLE Kraft, Date of study: Jun 20, 2024
6 images are provided for review
There are no previous radiographs for comparison.
Bones/Joints:
The right elbow is normal.  The left elbow is normal.  
The shoulders are normal.  
The included portion of the carpus and manus is normal.  
There is no evidence of medullary sclerosis, osteolysis, endosteal scalloping, or periosteal proliferation.
Soft tissues:  The right brachial and antebrachial soft tissues are slightly smaller compared to the left.  The remaining included soft tissues are normal.
</t>
  </si>
  <si>
    <t>1. Normal right elbow.
2. Normal left elbow.  
3. Slightly small right brachial and antebrachial soft tissues such as from disuse atrophy or other, versus artifact.</t>
  </si>
  <si>
    <t>This examination does not rule out occult soft tissue strain/sprain injury or occult myelopathy such as from intervertebral disc disease contributing to reported signs.  Consider neurologic examination with/without  MRI may be for further evaluation.  Empirical therapy and supportive care in the interim as needed.  Monitoring as directed or sooner if clinical signs acutely change, fail to improve or worsen.</t>
  </si>
  <si>
    <t xml:space="preserve">
1.A minimal interstitial pulmonary pattern with a concurrent, minimal perihilar infiltrate have been detected._x000D_
2.There is no evidence of ALVEOLAR PATTERN, DYNAMIC AIRWAY COLLAPSE or BRONCHIECTASIS or PLEURAL EFFUSION._x000D_
3.Mild cardiomegaly has been detected but Heart Failure is NOT suspected.</t>
  </si>
  <si>
    <t>Two views of the thorax are provided for review.  The trachea is dorsally deviated, indicating left ventricular enlargement.  A bulge is present in the region of the left atrium.  The cardiac silhouette is also widened with rounding of the right ventricular margin.  The trachea is mildly narrowed in the cervical region.  Moderate bronchial markings are present in all lung lobes.  No perihilar pulmonary infiltrates are seen.  The pulmonary vasculature is normal in size.  The mediastinal and pleural structures are normal.  Cranial abdominal detail is adequate.</t>
  </si>
  <si>
    <t>Generalized cardiomegaly without current evidence of cardiogenic pulmonary edema. Moderate bronchial pulmonary pattern=ZZ90= consider bronchitis, response to inhaled irritants, response to circulating parasites, eosinophilic bronchopneumopathy. Changes related to previous heartworm disease cannot be excluded. Tracheal narrowing suggestive of tracheal collapse.</t>
  </si>
  <si>
    <t>Echocardiography and airway sampling may be helpful in further evaluation.</t>
  </si>
  <si>
    <t xml:space="preserve">
1.A mild perihilar infiltrate has been detected._x000D_
2.Pleural fissure lines or small volume pleural effusion has been detected. In a mildly overweight animal, excessive pericardial fat can artifactually mimic the result of minimal pleural effusion._x000D_
3.Severe cardiomegaly has been detected but Heart Failure is NOT suspected._x000D_
4.SEVERE BRONCHIAL PATTERN; MODERATE DYNAMIC AIRWAY DISEASE._x000D_
5.Based on these AI airway/pulmonary findings, the probability of this patient having clinically detectable respiratory signs is VERY HIGH (&gt;75%)_x000D_
6.Are respiratory signs present? If YES._x000D_
7.AI link to canine airway collapse treatment article: https://platform.v2.vetology.net/doc/canine-tracheal-collapse-treatment_x000D_
8.Are respiratory signs present? If NO.</t>
  </si>
  <si>
    <t>Three radiographs of the thorax, and five views of the spine are provided. Images dated 5/2/24 are available for comparison. There is mild left atrial enlargement as before. The pulmonary arteries and veins are symmetric and taper as expected. There are no abnormalities in the pulmonary parenchyma. No pleural effusion. Probable mild narrowed cervical trachea as before. In the viewable abdomen, there is new development of small volume cranioventral peritoneal fluid. The liver is mildly enlarged as before. No narrowed cervical, thoracic, or lumbar intervertebral disc spaces or foramina. There is no endplate lysis. The coxofemoral joints are congruent.</t>
  </si>
  <si>
    <t>1. The only new finding on this study is the mild peritoneal effusion. This is of uncertain etiology, and could be due to inflammation (gastroenteritis/pancreatitis), metabolic abnormality, neoplasia, or hemorrhage (coagulopathy, neoplasia)._x000D_
2. Mild left atrial enlargement as before consistent with acquired mitral valve disease. There is no pulmonary venous congestion or evidence of heart failure. Otherwise normal thorax._x000D_
3. Mild hepatomegaly as before, likely steroid hepatopathy._x000D_
4. No spinal abnormalities.</t>
  </si>
  <si>
    <t xml:space="preserve">Patient Name : Cruze Cramer, Date of study: Jun 20, 2024
11 images are provided for review
Previous images dated [06/14/2024 Case#2687384] are available for comparison.
Moderate motion artifact is present in multiple images.  
Pulmonary parenchyma: A minimal to mild diffuse bronchial pattern is present.
Pulmonary vasculature: The pulmonary vasculature is subjectively normal in size and tapers in the periphery of the lungs.
Cardiac silhouette: The cardiac silhouette is normal in size and shape.
Mediastinum: Best identified in the lateral images, ovoid or rounded increased soft tissue is present in the ventral aspect of the cranial mediastinum.  Suspicious rounded increased soft tissue is in the peri-hilar region in the lateral images.  
Trachea: The trachea is normal.
Esophagus: The esophagus is not well-identified.
Pleural space: The pleural space is normal.
Musculoskeletal: The included musculoskeletal structures are normal.
</t>
  </si>
  <si>
    <t xml:space="preserve">1. Cranial mediastinal lymphadenomegaly versus mass.
- If this is lymphadenomegaly, neoplasia or severe reactive hyperplasia (such as from systemic fungal infection, blastomycosis spp. or other) are considered.
- If this is a mass, consider thymoma versus ectopic thyroid carcinoma, or unlikely fungal/granulomatous disease (blastomycosis spp. versus other).
2. Suspicious for tracheobronchial lymphadenomegaly versus artifact from superimposed structures.
- If present, metastatic/multicentric neoplasia is considered most likely.  
3. Minimal to mild diffuse bronchial pulmonary pattern such as from infectious/immune-mediated lower airway disease (fungal and/or other), fibrosis from prior disease, age-related changes, or atypical metastatic neoplasia.
</t>
  </si>
  <si>
    <t>Routine blood work if not recently performed.   Consider computed tomography of the thorax for further evaluation of the cranial mediastinal region and peri-hilar lymph nodes.  Tissue sampling of lymphadenomegaly and/or mass may be contributory depending on results.  Fungal serology may be contributory depending on travel/exposure history, or if other diagnostics are inconclusive.  Empirical therapy and supportive care in the interim as needed.  Monitoring as directed or sooner if clinical signs acutely change, fail to improve or worsen.</t>
  </si>
  <si>
    <t xml:space="preserve">
1.Are respiratory signs present? If NO._x000D_
2.Pleural fissure lines or small volume pleural effusion has been detected. In a mildly overweight animal, excessive pericardial fat can artifactually mimic the result of minimal pleural effusion._x000D_
3.The cardiac silhouette size is normal._x000D_
4.MODERATE ALVEOLAR INFILTRATE; DIFFUSE BRONCHOINTERSTITIAL PATTERN; PERIHILAR OPACITY._x000D_
5.Based on the AI airway/pulmonary findings, the probability of this patient having clinically detectable respiratory signs is MEDIUM (50%)_x000D_
6.Are respiratory signs present? If YES.</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</si>
  <si>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 coxofemoral joints are congruent.  There is spondylosis deformans of the thoracic spine.  There is consistent narrowing of the intervertebral disc spaces at L5-7.</t>
  </si>
  <si>
    <t>Radiographically normal abdomen.  Radiographically normal thorax for patient of this age.  Narrowed intervertebral disc spaces suggestive of intervertebral disc herniations.  CT or MRI could be considered.</t>
  </si>
  <si>
    <t>5 images of the thorax and abdomen are presented for review.  The cardiovascular structures are normal.  There is a diffuse interstitial pulmonary pattern that is considered appropriate for the age of the patient.  Multiple small soft tissue nodules are seen throughout the pulmonary parenchyma.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t>
  </si>
  <si>
    <t>Radiographically normal abdomen.  Lack of specific changes does not rule out pancreatitis or infiltrative neoplasia.  Abdominal ultrasound may be helpful.  Pulmonary nodules concerning for metastatic neoplasia.  CT and airway sampling could be considered.</t>
  </si>
  <si>
    <t xml:space="preserve">Patient Name : BELLA MIZUMOTO, Date of study: Jun 20, 2024
2 images are provided for review
Canine Thorax (2 Images) - 1 Lateral, 1 Vd
There are no previous radiographs for comparison.  Ungloved human extremities primary beam.
Pulmonary parenchyma: A mild diffuse bronchial pattern is present.  A mild interstitial pattern is in the right lungs in the ventrodorsal image.  
Pulmonary vasculature: The pulmonary vasculature is subjectively normal in size and tapers in the periphery of the lungs.
Cardiac silhouette: The cardiac silhouette is tall in the lateral image with dorsal tracheal displacement.
Mediastinum: A rightward mediastinal shift is in the ventrodorsal image.  The cranial mediastinum is normal.
Trachea: The trachea is normal.
Esophagus: The esophagus is not well-identified.
Pleural space: The pleural space is normal.
Musculoskeletal: The included musculoskeletal structures are normal.
</t>
  </si>
  <si>
    <t>1. Mild right interstitial  and diffuse bronchial pulmonary patterns.
- Differential diagnoses include infectious/immune-mediated lower airway disease such as from mycoplasma spp., bordetella spp., parasitism, or inhaled allergen/irritant, or unlikely other.
2. Possible left ventriculomegaly versus artifact from phase of the cardiopulmonary cycle.
- If present, consider myxomatous mitral valvular disease or unlikely other.
3. Rightward mediastinal shift due to recumbency induced atelectasis is most likely.
(amended on 06/20/2024 13:58)
Pulmonary pattern in the right lungs is likely exacerbated by rightward mediastinal shift/presumed atelectasis.</t>
  </si>
  <si>
    <t>Consider respiratory PCR panel, airway sampling, and fecal analysis for further evaluation.  Echocardiography, eCG and blood pressure, as well as routine blood work and urinalysis for further evaluation.  Empirical therapy and supportive care in the interim as needed.  Abdominal imaging to screen for occult systemic disease if not recently performed.  If dyspnea manifests, diuretic and oxygen therapy with repeat thoracic radiographs for monitoring.  Monitoring as directed or sooner if clinical signs acutely change, fail to improve or worsen.</t>
  </si>
  <si>
    <t xml:space="preserve">
1.Are respiratory signs present? If YES._x000D_
2.Are respiratory signs present? If NO._x000D_
3.The evaluation has come up positive for a pulmonary nodular pattern._x000D_
4.SEVERE INTERSTITIAL TO ALVEOLAR PATTERN; SEVERE BRONCHIAL PATTERN; MILD DYNAMIC AIRWAY DISEASE._x000D_
5.Based on these AI airway/pulmonary findings, the probability of this patient having clinically detectable respiratory signs is VERY HIGH (&gt;75%)_x000D_
6.Pleural fissure lines or moderate to severe pleural effusion has been detected. An overlying skin fold or in an obese animal, excessive pericardial fat could artifactually mimic the result of severe pleural effusion._x000D_
7.Mild cardiomegaly has been detected but Heart Failure is NOT suspected.</t>
  </si>
  <si>
    <t xml:space="preserve">Patient Name : Mulberry Aguirre, Date of study: Jun 20, 2024
3 images are provided for review
Canine Thorax (3 Images) - 1 Vd, 2 Lateral
There are no previous radiographs for comparison.
Pulmonary parenchyma: A minimal to mild diffuse bronchial pattern is present.  A minimal diffuse interstitial pattern is present.  The lungs are minimally or mildly hypoinflated.
Pulmonary vasculature: The pulmonary vasculature is subjectively normal in size and tapers in the periphery of the lungs.
Cardiac silhouette: The cardiac silhouette is normal in size and shape.
Mediastinum: The cranial mediastinum is normal.
Trachea: A slight soft tissue band is over the dorsal trachea in the left lateral image.  
Esophagus: The esophagus is not well-identified.
Pleural space: The pleural space is normal.
Musculoskeletal: The patient is obese.  The remaining included musculoskeletal structures are normal.
</t>
  </si>
  <si>
    <t>1. Minimal-mild diffuse bronchial and interstitial pulmonary patterns.
- Differential diagnoses include fibrosis from prior disease, age-related changes, artifact from underinflation/body condition, or less likely infectious/immune-mediated lower airway disease or unlikely other.
2. Minimal dorsal redundant tracheal membrane versus superimposed normal structures.
3. Obesity.</t>
  </si>
  <si>
    <t>Etiology of reported signs is not definitively identified.  Consider routine blood work and abdominal imaging to screen for occult systemic disease.  Weight loss may be contributory.  Empirical therapy and supportive care in the interim as needed.  Monitoring as directed or sooner if clinical signs acutely change, fail to improve or worsen.</t>
  </si>
  <si>
    <t xml:space="preserve">
1.A mild bronchial pattern and concurrent mild dynamic airway disease have been detected._x000D_
2.MILD BRONCHOINTERSTITIAL PULMONARY PATTERN; MILD DYNAMIC AIRWAY DISEASE._x000D_
3.MILD BRONCHOINTERSTITIAL PULMONARY PATTERN; MINIMAL PERIHILAR PATTERN._x000D_
4.Based on these AI airway/pulmonary findings, the probability of this patient having clinically detectable respiratory signs is LOW to MEDIUM (25-50%)_x000D_
5.Based on the AI airway/pulmonary findings, the probability of this patient having clinically detectable respiratory signs is LOW (25%)_x000D_
6.Are respiratory signs present? If YES._x000D_
7.A minimal to mild perihilar infiltrate has been detected._x000D_
8.In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9.In the PRESENCE of respiratory signs, low grade active pneumonitis (allergic, bacterial, parasitic (including heartworm disease), inhaled allergen or toxin) or upper airway disease causing pulmonary hypoinflation and/or recurrent microaspiration may be more likely._x000D_
10.Are respiratory signs present? If NO._x000D_
11.The cardiac silhouette size is normal.</t>
  </si>
  <si>
    <t>Opposite lateral and ventrodorsal thoracic radiographs (3 images) dated June 20, 2024._x000D_
_x000D_
The cardiac silhouette, pulmonary vasculature, and great vessels are within normal limits. The pulmonary parenchyma has diffuse bronchial markings that maintain thin walls, most compatible with incidental bronchial wall mineralization. An increased unstructured interstitial pattern is present on the right lateral view due to reduced pulmonary inflation. No pulmonary nodules or masses are identified. No intrathoracic lymphadenopathy is evident. The pleural space, mediastinum, and diaphragm are normal. The trachea is normal in diameter and course with gas filling its lumen. The liver and visible portions of the spleen are normal in size and shape. The stomach contains a fair amount of gas. Cranial peritoneal detail is normal. There is cranial lumbar spondylosis deformans. No aggressive osseous lesions are identified.</t>
  </si>
  <si>
    <t>Unremarkable geriatric thorax=ZZ90= the cause for the respiratory distress is not radiographically apparent. Rule out upper airway disease (ex: obstructive mass) vs. metabolic acidosis vs. pain or anxiety vs. brainstem lesion vs. less likely PTE or peracute pneumonia that is radiographically delayed.</t>
  </si>
  <si>
    <t>CBC, Chem, UA, blood pressure, lactate, and abdominal radiogaphs +/- AFAST or ultrasound.</t>
  </si>
  <si>
    <t xml:space="preserve">
1.The evaluation has come up positive for a pulmonary nodular pattern._x000D_
2.MODERATE INTERSTITIAL TO ALVEOLAR PATTERN; MODERATE BRONCHITIS._x000D_
3.Based on the AI airway/pulmonary findings, the probability of this patient having clinically detectable respiratory signs is MEDIUM to HIGH (50-75%)_x000D_
4.Are respiratory signs present? If YES._x000D_
5.Are respiratory signs present? If NO._x000D_
6.A minimal perihilar infiltrate has been detected._x000D_
7.Pleural fissure lines or moderate to severe pleural effusion has been detected. An overlying skin fold or in an obese animal, excessive pericardial fat could artifactually mimic the result of severe pleural effusion._x000D_
8.The cardiac silhouette size is normal.</t>
  </si>
  <si>
    <t xml:space="preserve">
1.Mild cardiomegaly has been detected but Heart Failure is NOT suspected._x000D_
2.MILD to MODERATE BRONCHOINTERSTITIAL PATTERN; MILD DYNAMIC AIRWAY DISEASE._x000D_
3.Based on these AI airway/pulmonary findings, the probability of this patient having clinically detectable respiratory signs is MEDIUM (50%)_x000D_
4.Are respiratory signs present? If YES._x000D_
5.Are respiratory signs present? If NO.</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</si>
  <si>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prominent.  The small intestines are normal in size.  Gas and feces are present in the colon.  The urinary bladder contains multiple rounded mineral structures.  The remaining abdominal organs are normal.</t>
  </si>
  <si>
    <t>Prominent rugal folds suggestive of gastritis.  This does not rule out underlying pancreatitis, dietary indiscretion, inflammatory bowel disease, etc.  If clinical signs persist with supportive therapy, abdominal ultrasound could be considered in further evaluation.  Cystic calculi.  Radiographically normal thorax for patient of this age.</t>
  </si>
  <si>
    <t>Opposite lateral and VD views of the thorax and abdomen are provided._x000D_
_x000D_
The heart is at the upper end of normal size range. The heart is within normal size and shape limits. The appearance is similar to the previous study dated 7-29-23. The pulmonary vessels and parenchyma are within normal limits for patient age. No pleural effusion is seen. There is a subcutaneous lipoma on the ventral thorax._x000D_
_x000D_
The spleen is small and partially mineralized. The other abdominal organs are within normal size and shape limits. No abnormalities are identified involving the gastrointestinal tract. No mass lesions or loss of detail are seen in the abdomen._x000D_
_x000D_
There is severe narrowing and moderate spondylosis involving the T13-L1 intervertebral disc space. The disc spaces from T11 to T13 are also moderately narrowed. These changes have progressed relative to the previous study. No destructive bone lesions are seen.</t>
  </si>
  <si>
    <t>No abnormalities involving the GI tract that would explain the soft dark stool are identified._x000D_
No anatomic abnormalities that would explain the anemia or the lethargy and anorexia are identified._x000D_
_x000D_
The small end mineralized appearance of the spleen would most likely be residual change secondary to a previous infarct or episode of inflammation involving the spleen. This is presumed to be a chronic remodeling change that is probably incidental at this time._x000D_
_x000D_
The thorax is within normal limits for patient age. There is no evidence of significant cardiac chamber dilation or heart failure._x000D_
_x000D_
There is disc space narrowing consistent with disc degeneration in the thoracolumbar spine.</t>
  </si>
  <si>
    <t>The cause of the presenting clinical complaints is not apparent in the radiographs._x000D_
Supportive care and symptomatic therapy is recommended._x000D_
_x000D_
Follow up imaging such as ultrasound or endoscopy could be considered if clinical signs are not improving.</t>
  </si>
  <si>
    <t xml:space="preserve">
1.Are respiratory signs present? If YES._x000D_
2.MODERATE INTERSITIAL TO ALVEOLAR PATTERN; MILD PERIHILAR INFILTRATE._x000D_
3.Based on these AI airway/pulmonary findings, the probability of this patient having clinically detectable respiratory signs is MEDIUM (50%)._x000D_
4.AI linked bacterial pneumonia treatment in dogs: https://platform.v2.vetology.net/doc/pneumonia-in-dogs-and-cats_x000D_
5.Mild cardiomegaly has been detected but Heart Failure is NOT suspected._x000D_
6.Are respiratory signs present? If NO._x000D_
7.There is no evidence of DYNAMIC AIRWAY COLLAPSE or BRONCHIECTASIS.</t>
  </si>
  <si>
    <t>13 images of the thorax, abdomen, pelvis, and pelvic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 right femoral head is displaced cranially from its acetabulum with pseudoarthrosis present due to remodeling of the right ilial body.  Osteophytes present on the right femoral neck.  The remaining joint surfaces are smooth and regular.  No stifle effusion is seen.  No fractures or lytic lesions are seen.  Spinal alignment is normal with no consistently narrowed intervertebral disc spaces.</t>
  </si>
  <si>
    <t>Radiographically normal abdomen.  Radiographically normal thorax for patient of this age.  Chronic right coxofemoral luxation with pseudoarthrosis.</t>
  </si>
  <si>
    <t>Orthogonal views of the thorax are provided:_x000D_
_x000D_
Thorax:_x000D_
_x000D_
Cardiac silhouette has a normal shape and size._x000D_
Pulmonary vessels are within normal limits of size and shape._x000D_
Pulmonary parenchyma shows multiple pulmonary nodules throughout the different lung lobes the largest one measuring up to 4.9cm._x000D_
Pleural space, mediastinum, diaphragm and thoracic wall within normal limits._x000D_
_x000D_
The right fore limb is absent (amputated).</t>
  </si>
  <si>
    <t>Consider abdominal US along with CBC and full neuro exam to further evaluate causes of heavy breathing, lethargy and hyporexia.</t>
  </si>
  <si>
    <t xml:space="preserve">
1.Minimal cardiomegaly has been detected but Heart Failure is NOT suspected._x000D_
2.MILD BRONCHOINTERSTITIAL PULMONARY PATTERN; MINIMAL DYNAMIC AIRWAY DISEASE; END ON VESSELS, PROMINENT COSTOCHONDRAL JUNCTIONS or CUTANEOUS NODULES OR LESS LIKELY, PULMONARY NODULES OR NODULAR PATTERN._x000D_
3.MODERATE INTERSTITIAL TO ALVEOLAR PATTERN; PULMONARY NODULES or NODULAR PATTERN; MILD BRONCHITIS_x000D_
4.MODERATE INTERSTITIAL TO ALVEOLAR INFILTRATE; MILD BRONCHIAL PATTERN; MILD PERIHILAR INFILTRATE._x000D_
5.Based on the AI airway/pulmonary findings, the probability of this patient having clinically detectable respiratory signs is MEDIUM (50%). A few (&lt;5) soft tissue pulmonary nodules may be present._x000D_
6.Based on the AI airway/pulmonary findings, the probability of this patient having clinically detectable respiratory signs is LOW (25%)_x000D_
7.Based on these AI airway/pulmonary findings,  the probability of this patient having clinically detectable respiratory signs is HIGH (75%)_x000D_
8.Are respiratory signs present? If YES._x000D_
9.The evaluation has detected soft tissue pulmonary nodules._x000D_
10.Are respiratory signs present? If NO._x000D_
11.Are respiratory signs present? If YES._x000D_
12.Are respiratory signs present? If NO._x000D_
13.The evaluation has come up positive for a pulmonary nodular pattern._x000D_
14.Are respiratory signs present? If NO._x000D_
15.Are respiratory signs present? If YES.</t>
  </si>
  <si>
    <t>Three radiographs of the thorax, three views of the abdomen, and a lateral view of the distal pelvic limbs is provided. The cardiac silhouette is lower normal size. Pulmonary vessels are normal size. There are several (at least 12) well-defined variably sized round soft tissue opaque nodules throughout the lungs, as well as a mass that measures 3.1 cm. Multiple lung lobes are affected. There is no effusion or intrathoracic lymphadenomegaly. Normal tracheal diameter._x000D_
_x000D_
In the abdomen there is no effusion. Normal sized kidneys, liver, spleen. The gastrointestinal tract is minimally filled. Spondylosis deformans in the caudal thoracic/cranial lumbar spine is likely incidental. In the distal pelvic limbs, there is moderate soft tissue thickening proximal to the left tuber calcaneus, with a smoothly marginated curved 0.9 x 0.3 cm osseous fragment. No other abnormalities.</t>
  </si>
  <si>
    <t>1. Pulmonary nodules and mass consistent with malignant neoplasia. Whether this is primary pulmonary neoplasia or metastatic disease from a distant site is unknown._x000D_
2. Small osseous fragment and thickening adjacent to the left tuber calcaneus is most consistent with chronic insult._x000D_
3. Normal abdomen. The splenic lesion reportedly seen on ultrasound is not appreciated. Splenic neoplasia such as hemangiosarcoma is of concern.</t>
  </si>
  <si>
    <t>Recommend supportive care. With the multiple lung lesions, complete surgical resection is not possible.</t>
  </si>
  <si>
    <t xml:space="preserve">
1.Are respiratory signs present? If YES._x000D_
2.Are respiratory signs present? If NO._x000D_
3.The cardiac silhouette size is normal._x000D_
4.There is no evidence of DYNAMIC AIRWAY COLLAPSE or BRONCHIECTASIS._x000D_
5.PULMONARY NODULAR PATTERN; MINIMAL BRONCHOINTERSTITIAL PULMONARY PATTERN._x000D_
6.The evaluation has come up positive for a pulmonary nodular pattern._x000D_
7.Based on these AI airway/pulmonary findings, the probability of this patient having clinically detectable respiratory signs is MEDIUM (50%)_x000D_
8.Are respiratory signs present. If YES._x000D_
9.Are respiratory signs present. If NO._x000D_
10.MINIMAL to MILD DIFFUSE, MIXED BRONCHOINTERSTITIAL PULMONARY PATTERN with ATELECTASIS or less likely, pneumonia._x000D_
11.Probability these AI pulmonary findings will accompany clinically detectable respiratory signs: LOW (25%)_x000D_
12.Pleural fissure lines or small volume pleural effusion has been detected. In a mildly overweight animal, excessive pericardial fat can artifactually mimic the result of minimal pleural effusion.</t>
  </si>
  <si>
    <t>Study:_x000D_
Thoracic and abdominal radiography: nine images dated June 20, 2024_x000D_
_x000D_
Findings:_x000D_
The cardiac silhouette is normal in size and shape. The pulmonary vasculature is normal in size. The pulmonary parenchyma is unremarkable. The pleural space is normal. There is no intrathoracic lymphadenopathy. The trachea is normal in diameter and course. The stomach contains gas with the pylorus appropriately gas-filled on the left lateral image. The small intestines are normal in size, course and content. The colon contains formed fecal material with interspersed punctate mineral foci. The liver and spleen are normal in size and margin. The kidneys are normal in size and contour. The urinary bladder is moderately distended, likely secondary conscious retention. There is no uterine dilation. There is mild T4 through T7 spondylosis deformans. There is mild to moderate multifocal lumbar articular facet periarticular bone formation.</t>
  </si>
  <si>
    <t>1. Normal thorax. There is no radiographic evidence of cardiopulmonary disease._x000D_
2. Unremarkable abdomen._x000D_
3. Mild to moderate multifocal lumbar articular facet osteoarthrosis.</t>
  </si>
  <si>
    <t>Echocardiography and abdominal sonography can be considered for further evaluation of the reported VPCs.</t>
  </si>
  <si>
    <t xml:space="preserve">
1.A severe alveolar infiltrate or pulmonary mass has been identified._x000D_
2.There is no evidence of PERIHILAR INFILTRATE, DYNAMIC AIRWAY COLLAPSE or BRONCHIECTASIS or PLEURAL EFFUSION._x000D_
3.The cardiac silhouette size is normal._x000D_
4.The evaluation has a strong suspicion of pulmonary nodules or mass lesion being present.</t>
  </si>
  <si>
    <t xml:space="preserve">Patient Name : Lola Cameron, Date of study: Jun 20, 2024
4 images are provided for review
There are no previous radiographs for comparison.
Pulmonary parenchyma: A minimal diffuse bronchial pattern is present.  A minimal diffuse interstitial pattern is present.  A mild interstitial pattern is in the cranial subsegment of the left cranial lung in the ventrodorsal image.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contains mild gas or is empty.  
Pleural space: The pleural space is normal.
Musculoskeletal: Gas is present in the dorsal cervical soft tissues at the level of C3-4, and in the dorsal subcutaneous cervical soft tissues from C4 through C7-T1.  Moderate soft tissue swelling is ventral to the larynx, hyoid and caudal mandible in the left lateral image.  The remaining included musculoskeletal structures are normal.
</t>
  </si>
  <si>
    <t>1. Focal soft tissue swelling, caudal head /cranioventral cervical region.
- This is most likely due to reported recent trauma. 
- No obvious local gas such as from perforation of the larynx/trachea is suspected at this site.
2. Dorsal cervical soft tissue and subcutaneous gas, presumed deepest dorsal to C3-4.
- No obvious vertebral fracture is identified.
3. Mild left cranial lung lobe interstitial pattern due to trauma/contusion/hemorrhage, versus atelectasis or less likely artifact or other.
4. Minimal diffuse bronchial and interstitial pulmonary patterns.
- Differential diagnoses include fibrosis from prior disease, age-related changes, or unlikely  infectious/immune-mediated lower airway disease or other.</t>
  </si>
  <si>
    <t xml:space="preserve">Consider computed tomography or MRI of the head/neck and thorax for further evaluation, especially if neurologic signs manifest.  Wound explore/debridement and lavage as needed.  Therapy for possible left lung contusion if clinically indicated in the interim.  Monitoring as directed, or sooner if signs acutely change or worsen.  </t>
  </si>
  <si>
    <t xml:space="preserve">
1.MINIMAL INTERSTITIAL PATTERN; MINIMAL PERIHILAR INFILTRATE._x000D_
2.Based on these AI airway/pulmonary findings, the probability of this patient having clinically detectable respiratory signs is LOW (25%)_x000D_
3.Are respiratory signs present? If YES._x000D_
4.The cardiac silhouette size is normal._x000D_
5.There is no evidence of DYNAMIC AIRWAY COLLAPSE or BRONCHIECTASIS, PULMONARY NODULES or PLEURAL EFFUSION._x000D_
6.Are respiratory signs present? If NO.</t>
  </si>
  <si>
    <t xml:space="preserve">Patient Name : Isabella Cusimano, Date of study: Jun 20, 2024
3 images are provided for review
Canine Thorax (3 Images) - 2 Lateral, 1 Vd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has a mildly flattened caudodorsal margin in the lateral images.  Slight rounded soft tissue is in the region of the left atrium in the ventrodorsal image.  
Mediastinum: The cranial mediastinum is normal.
Trachea: The trachea is normal.
Esophagus: The esophagus is not well-identified.
Pleural space: The pleural space is normal.
Musculoskeletal: Bilateral elbow joint osteoarthrosis is present.  T9-10 spondylosis deformans is present.  Broad-based fat opaque nodule arises from the ventral extra-thoracic soft tissues.  The remaining included musculoskeletal structures are normal.
</t>
  </si>
  <si>
    <t>1. Mild left-sided cardiomegaly such as from myxomatous mitral valvular disease and insufficiency.
- there is no current evidence of left-sided congestive heart failure.  
2. Minimal to mild diffuse bronchial pulmonary pattern due to fibrosis from prior disease, age-related changes, or less likely infectious/immune-mediated lower airway disease or unlikely other.
- No current evidence of non-cardiogenic pulmonary edema, such as from recent reported seizure activity.
3.  Bilateral elbow osteoarthrosis 
4. Presumed extra-thoracic lipoma.</t>
  </si>
  <si>
    <t>Echocardiography, ECG and blood pressure for further evaluation if not recently performed.  Consider abdominal imaging to screen for occult systemic disease.  MRI and neurologist consultation for further evaluation of reported seizure activity. Empirical therapy and supportive care in the interim as needed.  Monitoring with routine blood work and thoracic imaging as directed, or sooner if clinical signs acutely change, fail to improve or worsen.</t>
  </si>
  <si>
    <t>2 views of the thorax are provided for review. The trachea is dorsally deviated, indicating left ventricular enlargement. A bulge is present in the area of the left atrium. Interstitial to alveolar opacity is present in the caudal lung lobes near the hilus. The pleural and mediastinal structures are normal. Cranial abdominal detail is adequate.</t>
  </si>
  <si>
    <t>Left sided cardiomegaly. Interstitial to alveolar pulmonary pattern consistent with cardiogenic pulmonary edema.</t>
  </si>
  <si>
    <t>Consider repeat radiographs following diuretic therapy. Echocardiography could be considered in further evaluation.</t>
  </si>
  <si>
    <t xml:space="preserve">
1.MILD to MODERATE BRONCHOINTERSTITIAL PULMONARY PATTERN; PLEURAL FISSURE LINES or PLEURAL EFFUSION; NODULAR PULMONARY PATTERN which is likely due to overlying CUTANEOUS NODULES, END-ON VESSELS or MINERALIZED COSTOCHONDRAL JUNCTIONS._x000D_
2.SEVERE INTERSTITIAL TO ALVEOLAR PATTERN; SEVERE DYNAMIC AIRWAY DISEASE; MILD BRONCHIAL PATTERN._x000D_
3.MODERATE INTERSTITIAL TO ALVEOLAR INFILTRATE; MILD BRONCHIAL PATTERN; MILD PERIHILAR INFILTRATE._x000D_
4.Based on these AI airway/pulmonary findings, the probability of this patient having clinically detectable respiratory signs is VERY HIGH (&gt;75%)_x000D_
5.Based on the AI airway/pulmonary findings, the probability of this patient having clinically detectable respiratory signs is HIGH (75%)_x000D_
6.Based on these AI airway/pulmonary findings, the probability this patient will have clinically detectable respiratory signs is MEDIUM (50%)_x000D_
7.Severe cardiomegaly has been detected but Heart Failure is NOT suspected._x000D_
8.Are respiratory signs present? If YES._x000D_
9.Are respiratory signs present? If YES._x000D_
10.Are respiratory signs present? If YES._x000D_
11.Are respiratory signs present? If NO._x000D_
12.Are respiratory signs present? If NO._x000D_
13.Are respiratory signs present? If NO._x000D_
14.A mild perihilar infiltrate has been detected._x000D_
15.Pleural fissure lines or pleural effusion has been detected._x000D_
16.The evaluation has come up positive for a pulmonary nodular pattern.</t>
  </si>
  <si>
    <t>Study:_x000D_
Thoracic radiography: three images dated June 20, 2024_x000D_
_x000D_
Findings:_x000D_
The cardiac silhouette and pulmonary vasculature are normal in size. The pulmonary parenchyma is unremarkable. The pleural space is normal. There is no intrathoracic lymphadenopathy. The trachea is normal in diameter and course. The included abdomen is normal. The T 13 vertebra is transitional.</t>
  </si>
  <si>
    <t>Fluoroscopy, airway sampling plus/minus sedated laryngeal exam, heartworm testing and Baermann fecal flotation can be considered for further evaluation of the reported chronic coughing.</t>
  </si>
  <si>
    <t xml:space="preserve">Patient Name : Frank Marach, Date of study: Jun 20, 2024
3 images are provided for review
Canine Thorax (3 Images) - 2 Lateral, 1 Vd
There are no previous radiographs for comparison.
Pulmonary parenchyma: A minimal to mild diffuse bronchial pattern is present. The lungs are hypoinflated.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caudal esophagus and/or a portion of the stomach focally contain gas in the caudal thorax in the lateral images.  
Pleural space: The pleural space is normal.
Musculoskeletal: The T7, T8, T9 ,T10 and T11 vertebrae are shortened in a craniocaudal dimension and wedge-shaped, most severe at T10-11.  The remaining included musculoskeletal structures are normal.
</t>
  </si>
  <si>
    <t xml:space="preserve">1. Minimal-mild diffuse bronchial pulmonary pattern.
- Differential diagnoses include infectious/immune-mediated lower airway disease such as from mycoplasma spp., bordetella spp., parasitism, or inhaled allergen/irritant, and/or fibrosis from prior disease, age-related changes, or unlikely other.
2.  Suspected gastroesophageal hernia versus caudal esophageal gas.
- If present, this is most likely due to brachycephalic airway syndrome versus other.
3. Multifocal thoracic breed-specific vertebral anomalies.
</t>
  </si>
  <si>
    <t>This examination does not rule out brachycephalic airway syndrome or occult dynamic airway disease contributing to reported clinical signs.  Consider sedated laryngeal examination and/or respiratory PCR panel, airway sampling, and fecal analysis for further evaluation. Bronchoscopy/tracheoscopy may be contributory.  Empirical therapy and supportive care in the interim as needed.  Monitoring as directed or sooner if clinical signs acutely change, fail to improve or worsen.</t>
  </si>
  <si>
    <t>Single RL views of the neck and thorax are provided:_x000D_
_x000D_
Neck/Thorax:_x000D_
_x000D_
There is a large soft tissue mass superimposed with the cervical spine extending dorsally ending with a rounded caudal margin at the level of mid C5: part of this mass is suspected to be invading or superimposed with the retropharyngeal space._x000D_
Laryngeal ventricles are filled with gas._x000D_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t>
  </si>
  <si>
    <t>1) Rule out cervical mass potentially obstructing or superimposed with the upper airways._x000D_
2) Laryngeal ventricles filled with gas: rule out LARPAR._x000D_
3) Unremarkable thorax in this incomplete exam.</t>
  </si>
  <si>
    <t>Consider VD views to be complete or ideally a CT of the head, neck and thorax.</t>
  </si>
  <si>
    <t xml:space="preserve">
1.A moderate perihilar infitlrate has been detected._x000D_
2.The cardiac silhouette size is normal._x000D_
3.There is no evidence of PULMONARY NODULES or PLEURAL EFFUSION._x000D_
4.Mild dynamic airway disease has been detected._x000D_
5.A mild interstitial pattern has been detected.</t>
  </si>
  <si>
    <t>Study:_x000D_
Thoracic radiography: three images dated June 20, 2024_x000D_
_x000D_
Findings:_x000D_
The cardiac silhouette is normal in size and shape. The pulmonary vasculature is normal in size. There is a large (approximately 6.2 cm x 5 cm) lobulated soft tissue opaque mass in the region of the right cranial lung lobe. The mass has a broad-based against the thoracic wall. The adjacent ribs are normal. The pleural space is unremarkable. There is no apparent intrathoracic lymphadenopathy. The trachea is normal in diameter. The stomach and some small intestinal segments contain unstructured heterogeneous/granular soft tissue material presumed to be ingesta. The included abdomen is otherwise unremarkable. There is narrowing of the T 12-T 13 through L2-L3 intervertebral disc spaces with mild spondylosis deformans.</t>
  </si>
  <si>
    <t>1. The mass in the right cranial thorax likely represents a right cranial lung lobe pulmonary mass. Primary pulmonary carcinoma is prioritized. An extrapleural rib mass is considered rest likely. Consider thoracic sonography and tissue sampling for further evaluation._x000D_
2. There is no radiographic evidence of heart disease. Consider echocardiography for further evaluation of the reported heart murmur._x000D_
3. Multifocal thoracolumbar intervertebral disc disease.</t>
  </si>
  <si>
    <t xml:space="preserve">Patient Name : Rudy Peterson, Date of study: Jun 20, 2024
3 images are provided for review
Canine Thorax (3 Images) - 2 Lateral, 1 Vd
There are no previous radiographs for comparison.
Pulmonary parenchyma: A moderate diffuse interstitial pattern is present.  This is most severe in the caudal lungs.
Pulmonary vasculature: The pulmonary vasculature is partially obscured in all images.  Cranial lobar venous enlargement is suspected in the lateral images.  
Cardiac silhouette: The cardiac silhouette is moderate enlarged and tall, occupying greater than 2/3 the height of the thorax. The trachea is slightly dorsally displaced. The caudodorsal margin of the cardiac silhouette is flattened. Rounded increased soft tissue is present in the region of the left atrium in the ventrodorsal image. A slight soft tissue convexity is at the 2-3 o'clock position of the cardiac silhouette (left auricular appendage).
Mediastinum: The cranial mediastinum is normal.
Trachea: The trachea is normal.
Esophagus: The esophagus is not well-identified.
Pleural space: Pleural fissures are widened between the right cranial/middle and subsegments of the left cranial lung lobes.  
Musculoskeletal: The included musculoskeletal structures are normal.
</t>
  </si>
  <si>
    <t xml:space="preserve">1. Moderate left-sided cardiomegaly such as from myxomatous mitral valvular disease and insufficiency or unlikely other.
2. Moderate diffuse interstitial pulmonary pattern, most severe in the caudal lungs.
- Differential diagnoses include left-sided congestive heart failure/pulmonary edema or unlikely other.
3. Mild pleural fluid is most likely due to left-sided congestive heart failure.  </t>
  </si>
  <si>
    <t>Diuretic and oxygen therapy with repeat thoracic radiographs to monitor for progression/resolution of the pulmonary pattern.  Echocardiography, ECG and blood pressure for further evaluation once stable.  Routine blood work and urinalysis if not recently performed.  Monitoring as directed or sooner if clinical signs acutely change, fail to improve or worsen in the face of therapy for left-sided congestive heart failure.</t>
  </si>
  <si>
    <t xml:space="preserve">
1.Moderate dynamic airway disease has been detected._x000D_
2.SEVERE ALVEOLAR PATTERN; PLEURAL EFFUSION or PLEURAL FISSURE LINES; MODERATE DYNAMIC AIRWAY DISEASE; MILD, DIFFUSE BRONCHOINTERSTITIAL PULMONARY PATTERN._x000D_
3.Based on the AI airway/pulmonary findings, the probability of this patient having clinically detectable respiratory signs is VERY HIGH (&gt;75%)_x000D_
4.Are respiratory signs present? If YES._x000D_
5.Severe cardiomegaly has been detected but Heart Failure is NOT suspected._x000D_
6.A moderate bronchointerstitial pattern, regions of alveolar infiltrate, a mild perihilar infiltrate and concurrent dynamic airway disease (see #2) have been detected._x000D_
7.Are respiratory signs present? If NO.</t>
  </si>
  <si>
    <t>Study:_x000D_
Thoracic and radiography: six images dated dated June 20, 2024_x000D_
_x000D_
Findings:_x000D_
The cardiac silhouette and pulmonary vasculature are normal in size. The pulmonary parenchyma is unremarkable. The pleural space is normal. There is no intrathoracic lymphadenopathy. The trachea is normal in diameter and course. There is a small volume of fluid in the caudal esophagus on the left lateral view (incidental normal positional finding). The abdominal serosal detail is normal. The stomach contains heterogeneous. The small intestines are normal in size, course and content. The colon contains formed fecal material with a normal diameter. The liver and spleen are normal in size and margin. The kidneys are normal in size and contour. The urinary bladder is normal in size and opacity. There is no prostatomegaly. There is mild T 10-T 11 and T 11-T 12 spondylosis deformans.</t>
  </si>
  <si>
    <t>1. Gastric contents likely represent ingesta. Foreign material cannot be completely excluded. There is no constipation. There is no evidence of small test mechanical obstruction. Repeat fasted radiography can be considered to ensure gastric emptying if clinically relevant based on recent dietary history. Alternatively, sonography can be considered if clinical signs persist or worsen in spite of medical management._x000D_
2. Normal thorax.</t>
  </si>
  <si>
    <t>Study:_x000D_
Thoracic and abdominal radiography: six images dated June 20, 2024_x000D_
_x000D_
Findings:_x000D_
The aortic arch appears enlarged on all three projections. The cardiac silhouette is overall normal in size. There is a diffuse bronchointerstitial pulmonary pattern. No pulmonary nodules or masses are present. The pleural space is normal. There is no intrathoracic lymphadenopathy. There is a broad-based soft tissue opaque band superimposed with the dorsal aspect of the cervical trachea lumen representing other redundant dorsal tracheal membrane or superimposition of the esophagus. The tracheal diameter is normal. The stomach contains a small volume of gas. The small intestines are gas and fluid-filled and normal in size and course. The colon contains gas and poorly formed fecal material. The liver is severely enlarged with smooth and rounded margins. The spleen is normal in size and margin. The renal silhouettes are normal in size and contour. The urinary bladder is normal in size and opacity. There is no prostatomegaly. Mild periarticular bone formation is present at the caudodistal aspect of the right humeral head. There is severe bilateral elbow periarticular bone formation. There is mild L4-L5 and moderate L7-S1 spondylosis deformans. There is bilateral hip dysplasia, remodeling/thickening of the femoral head and neck and acetabular periarticular bone formation, worse on the left. There is moderate bilateral stifle periarticular bone formation. The patient is of overweight body condition.</t>
  </si>
  <si>
    <t>1. The diffuse bronchointerstitial pulmonary pattern is a nonspecific finding. This could be a benign age-related change or may indicate allergic, inflammatory, infectious, inhaled irritant or parasitic bronchitis. Airway sampling plus/minus heartworm testing and Baermann fecal flotation can be exceeded to further evaluate for lower disease. Normal diameter of the trachea does not exclude the possibility of dynamic airway disease/tracheal collapse as a possible cause of the coughing._x000D_
2. There is no evidence of pulmonary metastatic disease._x000D_
3. Enlargement of the aortic arch can indicate systemic hypertension. Consider blood pressure testing for further evaluation._x000D_
4. The severe hepatomegaly is nonspecific. Rule out metabolic/vacuolar hepatopathy, hyperplasia, hepatitis or neoplasia. Sonography can be considered for further evaluation._x000D_
5. The remainder the abdomen is unremarkable. Abdominal sonography should be considered for further evaluation of the reported anal gland mass._x000D_
6. Mild right shoulder and severe bilateral elbow osteoarthrosis._x000D_
7. Bilateral hip dysplasia and coxofemoral osteoarthrosis, worse on the right._x000D_
8. Moderate bilateral stifle osteoarthrosis. Consider underlying cranial cruciate and/or meniscal injury.</t>
  </si>
  <si>
    <t xml:space="preserve">
1.MODERATE DYNAMIC AIRWAY DISEASE; MILD BRONCHITIS; MINIMAL INTERSTITIAL PATTERN WITH ATELECTASIS or less likely, PNEUMONIA._x000D_
2.MILD BRONCHOINTERSTITIAL PATTERN; MILD PERIHILAR INFILTRATE._x000D_
3.Based on the AI airway/pulmonary findings, the probability of this patient having clinically detectable respiratory signs is LOW to MEDIUM (25%-50%)_x000D_
4.Based on the AI airway/pulmonary findings, the probability of this patient having clinically detectable respiratory signs is MEDIUM to HIGH (50-75%)._x000D_
5.Mild cardiomegaly has been detected but Heart Failure is NOT suspected._x000D_
6.Are respiratory signs present? If YES._x000D_
7.Are respiratory signs present? If YES._x000D_
8.AI linked collapsing airway disease treatment in dogs: https://platform.v2.vetology.net/doc/canine-tracheal-collapse-treatment_x000D_
9.Are respiratory signs present? If NO._x000D_
10.Are respiratory signs present? If NO.</t>
  </si>
  <si>
    <t>Study:_x000D_
Thoracic radiography: three images dated June 20, 2024_x000D_
_x000D_
Findings:_x000D_
The cardiac silhouette is normal in size and shape. The pulmonary vasculature is normal in size. The pulmonary parenchyma is unremarkable. No pulmonary nodules or masses are present. The pleural space is normal. There is no intrathoracic lymphadenopathy. The trachea is normal in diameter and course. The included abdomen is normal. The osseous structures are unremarkable.</t>
  </si>
  <si>
    <t xml:space="preserve">Patient Name : Beans Starnes, Date of study: Jun 20, 2024
5 images are provided for review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occupies over 2/3 the height of the thorax in the lateral images, without dorsal tracheal displacement.  The caudodorsal margin of the cardiac silhouette is slightly flat in the left lateral image.  Slight increased soft tissue is suspected in the region of the left atrium in the ventrodorsal image.
Mediastinum: The cranial mediastinum is normal.
Trachea: The trachea is normal.
Esophagus: The esophagus is not well-identified.
Pleural space: The pleural space is normal.
Musculoskeletal: The included musculoskeletal structures are normal.
</t>
  </si>
  <si>
    <t>1. Equivocal left-sided cardiomegaly such as from reported dilated cardiomyopathy.
2. Mild diffuse bronchial pulmonary pattern due to infectious/immune-mediated lower airway disease (such as from bordetella spp., mycoplasma spp., or parasitism such as lung worms), inhaled allergen/irritant, or less likely evolving left-sided congestive heart failure, with/without fibrosis from prior disease, age-related changes, or unlikely other.</t>
  </si>
  <si>
    <t>Consider respiratory PCR panel, airway sampling, and fecal analysis/deworming for further evaluation. Consider recheck echocardiography, ECG and blood pressure for a more sensitive comparison of possible disease progression.  If signs acutely worsen and/or dyspnea manifests, consider diuretic therapy, oxygen therapy, and monitoring with serial thoracic radiographs for progression/resolution of the pulmonary pattern.   Monitoring as directed or sooner if clinical signs acutely change, fail to improve or worsen.</t>
  </si>
  <si>
    <t xml:space="preserve">Patient Name : MAGGIE Kennedy, Date of study: Jun 20, 2024
3 images are provided for review
Canine Thorax (3 Images) - 2 Lateral, 1 Vd
There are no previous radiographs for comparison.
Pulmonary parenchyma: A minimal  diffuse bronchial pattern is present.  A small ovoid focus over the left 10th intercostal space in the ventrodorsal image is presumed to be a small ventra extra-thoracic nodule in the lateral images.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Spondylosis deformans is at C7-T, T5-6, T5-6, T6-7, and T12-13.  The remaining included musculoskeletal structures are normal.
</t>
  </si>
  <si>
    <t xml:space="preserve">1. Minimal diffuse bronchial pulmonary pattern.
- Differential diagnoses include infectious/immune-mediated lower airway disease such as from mycoplasma spp., bordetella spp., parasitism, or inhaled allergen/irritant.
2. Small extra-thoracic nodule due to benign or unlikely malignant neoplasia, papilloma, skin tag, or unlikely other.
3. No pulmonary soft tissue nodules or intra-thoracic lymphadenomegaly is identified.  </t>
  </si>
  <si>
    <t xml:space="preserve"> Empirical therapy and supportive care as needed in the interim.  Monitoring as directed or sooner if clinical signs acutely change, fail to improve or worsen.</t>
  </si>
  <si>
    <t xml:space="preserve">Patient Name : Bronx Smith, Date of study: Jun 20, 2024
3 images are provided for review
Canine Thorax (3 Images) - 2 Lateral, 1 Vd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has a slightly flattened caudodorsal margin in the left lateral image.  Minimal increased soft tissue is suspected in the region of the left atrium in the ventrodorsal image.  
Mediastinum: The cranial mediastinum is normal.
Trachea: A soft tissue band partially superimposes over the dorsal aspect of the cervical trachea.  
Esophagus: The esophagus is not well-identified.
Pleural space: The pleural space is normal.
Musculoskeletal: The included musculoskeletal structures are normal.
</t>
  </si>
  <si>
    <t>1. Equivocal left atrial enlargement versus artifact from phase of the cardiopulmonary cycle/patient positioning.
- If present, consider myxomatous mitral valvular disease most likely.
- There is no evidence of left-sided congestive heart failure.
2. Minimal-mild diffuse bronchial pulmonary pattern.
- Differential diagnoses include infectious/immune-mediated lower airway disease such as from mycoplasma spp., bordetella spp., parasitism, or inhaled allergen/irritant, or unlikely fibrosis from prior disease, age-related changes or other.
3. Suspected redundant dorsal tracheal membrane with/without underlying dynamic airway disease, versus superimposed normal structures.</t>
  </si>
  <si>
    <t>Consider respiratory PCR panel, airway sampling, and fecal analysis for further evaluation. Bronchoscopy and tracheoscopy may be contributory.  Echocardiography, eCG and blood pressure, especially if a murmur is identified, or if signs fail to improve with therapy for lower airway disease. Empirical therapy and supportive care in the interim as needed. Monitoring as directed or sooner if clinical signs acutely change, fail to improve or worsen.</t>
  </si>
  <si>
    <t>A ventral dorsal and both lateral radiographs of the thorax are provided. The cardiac silhouette and pulmonary vessels are normal size and shape, with no chamber enlargement. Pulmonary vessels are normal size. There are no abnormalities in the pulmonary parenchyma. No pleural effusion. Normal tracheal diameter.</t>
  </si>
  <si>
    <t>Normal thorax. A reason for the syncopal episode is not identified.</t>
  </si>
  <si>
    <t>A CBC, blood chemistry profile, cranial nerve assessment, and ECG are recommended.</t>
  </si>
  <si>
    <t>Orthogonal radiographs of the thorax, and four views of the thoracic limbs are provided. The cardiac silhouette and pulmonary vessels are normal size and shape. The lungs are clear. There is no pleural effusion. Normal tracheal diameter. The cranial abdomen is unremarkable. The left humeral ulnar joint is moderately incongruent and widened. There is previous distal left radial metaphyseal fracture, healed with a moderate amount of osseous proliferation. The distal aspect of the radius is caudally angled, and the distal radial physis remains open. The distal left ulnar physis is closed, and the distal ulna is also mildly caudally angled. The right cubital joint is congruent, and the distal right radial and ulnar physes remain open. The right ulna is approximately 19.0 cm in length=ZZ90= the left 17.4 cm. There is small smoothly contoured 0.7 cm osseous protuberance along the medial margin of the mid-right radial diaphysis, with a similar 1.3 cm protuberance medial to the distal radial metaphysis.</t>
  </si>
  <si>
    <t>1. Previous healed and malaligned distal left radial fracture and probable prior healed distal left ulnar Salter-Harris type I fracture, resulting in premature closure of the distal left ulnar physis, distal antebrachial curvature, and humeroulnar incongruity._x000D_
2. Osseous protrusions along the medial aspect of the right radius are likely incidental exostoses._x000D_
3. The thorax is normal.</t>
  </si>
  <si>
    <t>Surgical intervention such as ulnar osteotomy should be considered.</t>
  </si>
  <si>
    <t>Three radiographs of the thorax, and four views of the abdomen are provided. The cardiac silhouette and pulmonary vessels are normal size and shape. Mild unstructured interstitial pattern and a few pulmonary osteomas is normal for the age of this patient. No pleural effusion or pulmonary nodules. Normal cranial mediastinal width._x000D_
_x000D_
In the abdomen the urinary bladder is mildly filled and soft tissue opaque. No abnormalities in the region of the medial iliac lymph nodes. Moderate volume soft tissue opaque ingesta in the stomach. Small bowel and colon are minimally filled. The cecum is gas dilated. Normal-sized liver, spleen, kidneys. Normal coxofemoral joints.</t>
  </si>
  <si>
    <t>Current diagnostics and treatment are appropriate. If further evaluation of the abdomen is desired based on lab work results, abdominal ultrasound would be recommended.</t>
  </si>
  <si>
    <t xml:space="preserve">Patient Name : Sarge Krieg, Date of study: Jun 20, 2024
4 images are provided for review
There are no previous radiographs for comparison.
The ventrodorsal image is mislabeled.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mildly symmetrically widened.
Trachea: The trachea is normal.
Esophagus: The esophagus is not well-identified.
Pleural space: The pleural space is normal.
Musculoskeletal: The patient is obese.   A broad-based fat opaque mass expands a fascial plane in the right extra-thoracic body wall soft tissues.  A smaller, rounded but broad-based fat opacity is in the left extra-thoracic soft tissues, just caudal to the scapula.  An ovoid, soft tissue nodule is over the mid-ventral extra-thoracic soft tissues.  Included musculoskeletal structures are normal.
Cranial abdomen:  The liver is enlarged.
</t>
  </si>
  <si>
    <t>1. Mild diffuse bronchial pulmonary pattern such as from infectious/immune-mediated lower airway disease (mycoplasma spp., bordetella spp., parasitism, or other), inhaled allergen/irritant, or fibrosis from prior disease, age-related changes, or unlikely other.
2. Mild cranial mediastinal widening such as from fat deposition and/or evolving lymphadenomegaly or mass.
3. Right extra-thoracic body wall and left extra-thoracic body wall lipomas are suspected.
4.  Mid-ventral extra-thoracic soft tissue nodule due to neoplasia (benign versus malignant), viral papilloma, or other.
5. Hepatomegaly due to vacuolar change, hepatitis/cholangiohepatitis, or evolving neoplasia (metastatic versus primary).</t>
  </si>
  <si>
    <t>Consider abdominal imaging for further evaluation of the liver.  Routine blood work if not recently performed may be contributory.  Consider computed tomography for further evaluation of the cranial mediastinum and a more sensitive evaluation of the lungs, especially if reported previously removed mass was malignant.   Empirical therapy and supportive care in the interim as needed for infectious/immune-mediated lower airway disease, and consider respiratory PCR panel or airway sampling and serial radiographs, especially if signs fail to improve or worsen.  Monitoring as directed, or sooner if clinical signs acutely change, fail to improve or worsen.</t>
  </si>
  <si>
    <t>Three radiographs of the thorax are provided. There is prominence of the left atrium on the lateral views, seen as increased distance between the caudal heart waist and tracheal bifurcation. Cardiac to thoracic ratio is normal. Pulmonary vessels are normal size. Small round increased opacities overlying the heart on the lateral views are end-on pulmonary vessels. Mild unstructured interstitial pattern is normal for the age of this patient. There is no pleural effusion. Tracheal diameter and position are normal. Small volume fat deposition in the cranial mediastinum. No laryngeal abnormalities. Incidental chronic fractured right 8th, 10th, 11th, 13th ribs.</t>
  </si>
  <si>
    <t>Prominent left atrium suggestive of chronic degenerative mitral valve disease. This is of doubtful clinical significance today. Otherwise normal thorax. A reason for coughing is not identified. With the history, dynamic tracheal collapse is suspected. Inhaled irritant/allergens may be contributing. There is no evidence of pneumonia.</t>
  </si>
  <si>
    <t>Consider symptomatic treatment for the cough, and utilization of a body harness in place of a neck lead.</t>
  </si>
  <si>
    <t xml:space="preserve">
1.SEVERE INTERSTITIAL TO ALVEOLAR PATTERN; MODERATE BRONCHIAL PATTERN; MILD DYNAMIC AIRWAY DISEASE._x000D_
2.Based on these AI airway/pulmonary findings, the probability of this patient having clinically detectable repsiratory signs is VERY HIGH (&gt;75%)_x000D_
3.Are respiratory signs present? If YES._x000D_
4.AI linked canine pnuemonia treatment: https://platform.v2.vetology.net/doc/pneumonia-in-dogs-and-cats_x000D_
5.Pleural fissure lines or small volume pleural effusion has been detected. In a mildly overweight animal, excessive pericardial fat can artifactually mimic the result of minimal pleural effusion._x000D_
6.Mild cardiomegaly has been detected but Heart Failure is NOT suspected._x000D_
7.Are respiratory signs present? If NO.</t>
  </si>
  <si>
    <t>this is the test. I am writing this report as I think I was already logged off and none if what I am writing will be saved._x000D_
_x000D_
I am writing more to this report after few minutes. I have noticed that it is still autosaving.</t>
  </si>
  <si>
    <t>Aziz Beguliev</t>
  </si>
  <si>
    <t>Patient Name : BOOMER MCCORMAC, Date of study: May 28, 2024
3 images are provided for review
Previous images dated [05/28/2024 Case#2677064] are available for comparison.
Findings: 
The examination reveals no evidence of hyperinflation. There is minimal pulmonary hypoinflation observed. The location of the pulmonary nodule is in the left cranial region. Multiple pulmonary masses are present, confirming a positive result for numerous masses.</t>
  </si>
  <si>
    <t>1. Multiple pulmonary masses consistent with metastatic neoplasia.
2. No evidence of hyperinflation or pulmonary hypoinflation.</t>
  </si>
  <si>
    <t>Consider abdominal ultrasound for further evaluation of the primary neoplasm.</t>
  </si>
  <si>
    <t xml:space="preserve">
1.A moderate bronchointerstitial pulmonary pattern detected._x000D_
2.Pleural fissure lines or small volume pleural effusion has been detected. In a mildly overweight animal, excessive pericardial fat can artifactually mimic the result of minimal pleural effusion._x000D_
3.The cardiac silhouette size is normal._x000D_
4.There is no evidence of PERIHILAR INFILTRATE or DYNAMIC AIRWAY COLLAPSE or BRONCHIECTASIS.</t>
  </si>
  <si>
    <t>Patient Name: Marley Hearn, Date of Study: Jun 20, 2024
3 images are provided for review.
Canine Thorax (3 Images) - 2 Lateral, 1 Vd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soft tissue band partially superimposes over the caudal cervical and cranial thoracic tracheal segments.  
Esophagus: The esophagus is not well-identified.
Pleural space: Thin pleural fissure lines are identified between the right cranial/middle, right middle/caudal and left cranial/caudal lung lobes in the ventrodorsal image.
Musculoskeletal: The included musculoskeletal structures are normal for a skeletally immature patient.</t>
  </si>
  <si>
    <t>1. Mild diffuse bronchial pulmonary pattern such as from infectious/immune-mediated lower airway disease (mycoplasma spp., bordetella spp., parasitism, or other), inhaled allergen/irritant, or less likely other. 
- A combination of these is also possible.
- No current evidence of an alveolar pattern in this examination.  
2. Thin pleural fissure lines due to artifact versus evolving pleural effusion such as from evolving pleuropneumonia, hemorrhage, vasculitis, or unlikely other.
3. Dorsal redundant tracheal membrane with/without dynamic airway disease such as from chondromalacia or congenital anomaly given patient age.</t>
  </si>
  <si>
    <t xml:space="preserve">Radiographic evidence of bronchopneumonia may occasionally lag behind clinical signs.  Empirical therapy and supportive care for underlying lower airway disease or possible pleuropneumonia in the interim.  Routine blood work and coagulation testing if not recently performed.  Serial thoracic radiographs for monitoring, especially if signs fail to improve or worsen.  If pleural fluid progresses, consider thoracocentesis and fluid analysis/cytology for further evaluation. Oxygen therapy if dyspnea manifests in the interim.    Consider respiratory PCR panel, airway sampling, and fecal analysis/deworming for further evaluation depending on response to therapy.  </t>
  </si>
  <si>
    <t xml:space="preserve">
1.A minimal bronchial pattern has been detected._x000D_
2.The cardiac silhouette size is normal._x000D_
3.There is no evidence of PERIHILAR INFILTRATE, DYNAMIC AIRWAY COLLAPSE or BRONCHIECTASIS, PULMONARY NODULES or PLEURAL EFFUSION.</t>
  </si>
  <si>
    <t>THORAX:_x000D_
_x000D_
Pulmonary parenchyma: No pulmonary nodules or intrathoracic lymphadenopathy are identified._x000D_
_x000D_
Heart: The cardiovascular structures are normal.</t>
  </si>
  <si>
    <t>THORAX:_x000D_
_x000D_
_x000D_
1) AI EVALUATION OF A PARTIAL THORACIC RADIOGRAPH CAN AFFECT RESULTS</t>
  </si>
  <si>
    <t>Testqa3</t>
  </si>
  <si>
    <t>Paulo Kettels Torrico</t>
  </si>
  <si>
    <t>Study:_x000D_
Thoracic/abdominal radiography: three images dated June 19, 2024_x000D_
_x000D_
Findings:_x000D_
The cardiac silhouette and pulmonary vasculature are normal in size. The pulmonary parenchyma is unremarkable. The pleural space is normal. There is no intrathoracic lymphadenopathy. There is a broad-based soft tissue opaque band superimposed with the trachea lumen at the thoracic inlet work representing other redundant dorsal tracheal membrane or superimposition of the esophagus. The trachea is normal in diameter and course. The abdominal serosal detail is normal with no evidence of peritoneal effusion or free peritoneal gas. The stomach contains heterogeneous soft tissue material presumed to be ingesta. The small intestines are normal in size, course and content. The colon contains formed fecal material. The liver is small with associated cranial rotation of the gastric axis. The spleen is normal in size and margin. The renal silhouettes are normal in size and contour. The urinary bladder is normal in size and opacity. There are fractures of the left 12th and 13th ribs. There is soft tissue swelling and subcutaneous emphysema along the dorsum and left flank. There is narrowing of the T 12-T 13 and L7-S1 intervertebral disc spaces. There is mild to moderate L7-S1 spondylosis deformans.</t>
  </si>
  <si>
    <t>1. Left 12th and 13th rib fractures._x000D_
2. Left flank and lumbar subcutaneous emphysema and swelling presumably from recent trauma. Recommend empiric wound management._x000D_
3. Microhepatia. Rule out normal variant, vascular anomaly or chronic hepatitis/cirrhosis. Correlate with any liver enzyme abnormalities. Abdominal sonography and bile acid testing can be considered for further evaluation if clinically relevant._x000D_
3. The abdomen is otherwise unremarkable. There is no radiographic evidence of penetrating abdominal injuries/pneumoperitoneum._x000D_
4. The cardiopulmonary structures are normal._x000D_
5. T 12-T 13 and L7-S1 intervertebral disease.</t>
  </si>
  <si>
    <t>Right lateral and VD views of the thorax are provided._x000D_
_x000D_
The caudal waist of the cardiac silhouette has a straight appearance suggestive of mild left atrial dilation. Overall heart size at the upper end of normal range. Vertebral Heart Score is also borderline at 10.7. The pulmonary vessels and parenchyma are within normal limits. No pleural effusion is seen.</t>
  </si>
  <si>
    <t>Heart size is borderline overall. Mild left atrial dilation is suspected. Degenerative mitral valve disease would be the most likely explanation._x000D_
No evidence of heart failure or pulmonary disease is identified that would account for the presenting complaint.</t>
  </si>
  <si>
    <t>No changes that would explain the presenting complaint of acute anorexia and lethargy are identified. Abdominal disease should be ruled out.</t>
  </si>
  <si>
    <t xml:space="preserve">
1.A minimal interstitial pulmonary pattern with a concurrent, minimal perihilar infiltrate have been detected._x000D_
2.There is no evidence of ALVEOLAR PATTERN, DYNAMIC AIRWAY COLLAPSE or BRONCHIECTASIS or PULMONARY NODULES._x000D_
3.Mild cardiomegaly has been detected but Heart Failure is NOT suspected.</t>
  </si>
  <si>
    <t>Study:_x000D_
Thoracic radiography: four images dated June 19, 2024_x000D_
_x000D_
Findings:_x000D_
The cardiac silhouette and pulmonary vasculature are normal in size. The pulmonary parenchyma is unremarkable. The pleural space is normal. There is no intrathoracic lymphadenopathy. There is a broad-based soft tissue opaque band superimposed with the dorsal aspect of the cervical trachea lumen on the right lateral view timestamped 5:28 PM and the left lateral projection, likely representing a redundant dorsal tracheal membrane. The trachea is normal in diameter and course. The stomach contains heterogeneous soft tissue material presumed to be ingesta. The osseous structures are unremarkable.</t>
  </si>
  <si>
    <t>1. Redundant dorsal tracheal membrane. Normal diameter of the trachea does not exclude the possibility of concomitant tracheal collapse. Fluoroscopy can be considered to further evaluate for possible dynamic airway disease._x000D_
2. Normal thorax. There is no radiographic evidence of cardiopulmonary disease. The lack of a bronchial pulmonary pattern does not exclude the possibility of allergic, inflammatory, infectious, inhaled irritant or parasitic bronchitis. Airway sampling plus/minus heartworm testing and Baermann fecal flotation can be considered to evaluate for lower disease.</t>
  </si>
  <si>
    <t xml:space="preserve">
1.The cardiac silhouette size is normal._x000D_
2.A mild interstitial pattern has been detected._x000D_
3.There is no evidence of BRONCHITIS, ALVEOLAR PATTERN, PERIHILAR INFILTRATE, DYNAMIC AIRWAY COLLAPSE or BRONCHIECTASIS, PULMONARY NODULES or PLEURAL EFFUSION.</t>
  </si>
  <si>
    <t>Three orthogonal thoracic radiographs dated 19th June 2024 are available for review. There are no previous radiographs available for comparison. _x000D_
_x000D_
Airway findings: The cervical and thoracic trachea have a normal size and outline. There is mild elevation of the trachea at the heart base on the right lateral image, however the image is obliqued. The carina, tracheal bifurcation and mainstem bronchi are normal. Throughout the lung parenchyma there is a moderate bronchointerstitial opacification._x000D_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There is gas within the cranial caudal oesophagus._x000D_
_x000D_
Included abdomen: Mineral opaque material is seen in the dorsal cranial aspect of the abdomen._x000D_
_x000D_
Included musculoskeletal system: There is collapse of the T12-T13 intervertebral disc space with smooth end plates and ventral spondylosis.</t>
  </si>
  <si>
    <t>1. Diffuse moderate bronchointerstitial pattern: Lower airway infectious-inflammatory disease such as viral-bacterial chronic bronchitis, parasitic bronchitis, fungal lower airway disease should be considered first. Heart worm should be considered. Allergic lower airway disease is possible. Early pulmonary oedema is considered unlikely._x000D_
2. The apparent elevation of the trachea is most likely positional artefact. A heart base mass or enlargement of the right atrium is less likely. The murmur reported is most likely a physiologic murmur, or a compensated valvular disease such as myxoid degeneration of the mitral valve. _x000D_
3. The nature of the mineral opaque material in the abdomen is difficult to ascertain due to positioning. This may be within a gut lumen, however retroperitoneal mineralisation should be considered. This is unlikely correlated with the current clinical signs.</t>
  </si>
  <si>
    <t>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 Exclude any infectious origins prior to the use of any corticosteroid therapy._x000D_
In absence of clinical signs indicative of cardiac disease, conservative management may be considered, alternatively with an acute onset murmur, and signs of exercise intolerance, echocardiography may be considered._x000D_
Consider 3 view abdominal series.</t>
  </si>
  <si>
    <t xml:space="preserve">
1.MODERATE INTERSTITIAL TO ALVEOLAR INFILTRATE; MILD BRONCHIAL PATTERN; MILD PERIHILAR INFILTRATE._x000D_
2.Based on these AI airway/pulmonary findings,  the probability of this patient having clinically detectable respiratory signs is HIGH (75%)_x000D_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6.Mild cardiomegaly has been detected but Heart Failure is NOT suspected.</t>
  </si>
  <si>
    <t>Study:_x000D_
Thoracic radiography: three images dated June 19, 2024_x000D_
_x000D_
Findings:_x000D_
The cardiac silhouette and pulmonary vasculature are normal in size. On both lateral projections, there is a 0.8 cm mineral opacity in the dorsal lung field ventral to T7. This opacity is seen in the right caudal lung field on the orthogonal view. The pleural space is normal. There is no intrathoracic lymphadenopathy. The trachea is normal in diameter and course. The included abdomen is unremarkable. There is mild L1-L2 spondylosis deformans. On the left lateral view, there is impression of mild bilateral degenerative change in each elbow=ZZ90= however, superimposition limits evaluation.</t>
  </si>
  <si>
    <t>The mineral opacity seen in the right caudodorsal lung field may indicate a pulmonary osteoma or mineralized granuloma. Superimposition of a subcutaneous nodule is also possible. Neoplasia is unlikely. There is no radiographic evidence of cardiopulmonary disease.</t>
  </si>
  <si>
    <t>The mineral lesion should be monitored on any further studies. There are no radiographic contraindications to anesthesia.</t>
  </si>
  <si>
    <t xml:space="preserve">
1.MILD BRONCHIAL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5.Mild cardiomegaly has been detected but Heart Failure is NOT suspected._x000D_
6.There is no evidence of ALVEOLAR PATTERN, PERIHILAR INFILTRATE, PULMONARY NODULES or PLEURAL EFFUSION.</t>
  </si>
  <si>
    <t>6 views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mild amount of gas.  The small bowel is normal in uniform diameter.  No dilated or plicated loops of bowel are noted.  The colon is mildly gas-filled.  The liver and spleen are normal in size, shape, and margination.  The bilateral renal silhouettes are within normal limits.  The urinary bladder is unremarkable.  Serosal detail is normal._x000D_
No osseous abnormalities are seen.</t>
  </si>
  <si>
    <t>Radiographically normal thorax and abdomen.  The mild gas filling of the colon is consistent with a history of diarrhea but nonspecific for etiology.  Acute gastroenteritis, pancreatitis, and or dietary indiscretion could be considered.</t>
  </si>
  <si>
    <t xml:space="preserve">Patient Name : LadyBug Jackson, Date of study: Jun 19, 2024
3 images are provided for review
Canine Thorax (3 Images) - 2 Lateral, 1 Vd
There are no previous radiographs for comparison.
Pulmonary parenchyma: A mild to moderate diffuse bronchial pattern is present.  A presumed superimposed nipple is over the right lungs in the 6th intercostal space in the ventrodorsal image.
Pulmonary vasculature: The pulmonary vasculature is subjectively normal in size and tapers in the periphery of the lungs.
Cardiac silhouette: The cardiac silhouette is normal in size and shape.
Mediastinum: The cranial mediastinum is normal.
Trachea: A slight soft tissue band partially superimposes over the dorsal trachea.
Esophagus: The esophagus is not well-identified.
Pleural space: The pleural space is normal.
Musculoskeletal: Spondylosis deformans at T6-7 and T7-8.  The remaining included musculoskeletal structures are normal.
</t>
  </si>
  <si>
    <t>1. Mild-moderate diffuse bronchial pulmonary pattern.
- Differential diagnoses include infectious/immune-mediated lower airway disease such as from mycoplasma spp., bordetella spp., parasitism, or inhaled allergen/irritant, versus fibrosis from prior disease, age-related changes, or other.
2. Suspected redundant dorsal tracheal membrane with/without underlying dynamic airway disease, versus superimposed normal structures.</t>
  </si>
  <si>
    <t>Consider respiratory PCR panel, airway sampling, and fecal analysis for further evaluation.  Routine blood work and abdominal imaging to screen for occult systemic disease may be contributory. 
 Empirical therapy and supportive care in the interim as needed. Monitoring as directed or sooner if clinical signs acutely change, fail to improve or worsen.</t>
  </si>
  <si>
    <t>Study:_x000D_
Thoracic radiography: five images dated June 19, 2024_x000D_
_x000D_
Findings:_x000D_
There is straightening of the caudal cardiac waist on the all lateral projections. The pulmonary vasculature is normal in size. The pulmonary parenchyma is unremarkable. The pleural space is normal. There is no intrathoracic lymphadenopathy. On the left lateral view and right lateral projection timestamped 2:39 PM, there is an indistinct broad-based soft tissue opaque band superimposed with the cervical trachea lumen likely representing a redundant dorsal tracheal membrane. The tracheal diameter is normal. There is no lobar bronchi narrowing. The included abdomen is unremarkable. There is mild T2-T3 and T4-T5 spondylosis deformans. The patient is of overweight body condition.</t>
  </si>
  <si>
    <t>1. Redundant dorsal tracheal membrane. Normal diameter of the trachea does not exclude the possibility of concomitant tracheal collapse. Fluoroscopy can be considered for further evaluation._x000D_
2. Straightening of the caudal cardiac waist can be an indicator of mild specific left atrial enlargement/mitral valve disease. Echocardiography can be considered for further evaluation.</t>
  </si>
  <si>
    <t xml:space="preserve">
1.MILD BRONCHIAL PATTERN; MILD DYNAMIC AIRWAY DISEASE._x000D_
2.Based on these AI airway/pulmonary findings, the probability of this patient having clinically detectable respiratory signs is LOW to MEDIUM (25-50%)_x000D_
3.Mild cardiomegaly has been detected but Heart Failure is NOT suspected._x000D_
4.There is no evidence of ALVEOLAR PATTERN, PULMONARY NODULES or PLEURAL EFFUSION._x000D_
5.Are respiratory signs present? If NO._x000D_
6.Are respiratory signs present? If YES.</t>
  </si>
  <si>
    <t>9 images of the abdomen and spine are presented for review.  Serosal detail is adequate in all quadrants.  The stomach contains a small amount of ingesta.  The small intestines are normal in size.  Gas and feces are present in the colon.  The urinary bladder is small.  The remaining abdominal organs are normal.  No fractures, luxations, or aggressive osseous lesions are seen.  There is consistent narrowing of the intervertebral disc spaces at C3-5, C6-7, and T10-11.  The coxofemoral joints are congruent.</t>
  </si>
  <si>
    <t>Narrowed intervertebral disc spaces suggestive of intervertebral disc herniations.  This does not rule out intervertebral disc herniation at another site or other causes of spinal cord compression.  CT myelography or MRI could be considered in further evaluation.  Radiographically normal abdomen.</t>
  </si>
  <si>
    <t>Study:_x000D_
Thoracic/abdominal radiography: three images dated June 19, 2024_x000D_
_x000D_
Compared to prior study dated September 12, 2023_x000D_
_x000D_
Findings:_x000D_
The cardiac silhouette and pulmonary vasculature are normal in there is a mild generalized bronchial pulmonary pattern. No pulmonary nodules or masses are present. The pleural space is normal. There is no intrathoracic lymphadenopathy. The trachea is normal in diameter and course. The stomach contains a small volume of gas. The thickness of the gastric wall and rugae is within normal limits for the degree of gastric distention. Some small intestinal segments contain granular soft tissue material presumed to be ingesta. The small intestines are normal in size and course. The colon contains formed fecal material. The liver is on the lower limits of normal for size but unchanged in comparison to the prior examination. On the right lateral view, there is a slight round soft tissue opaque bulge from the cranioventral margin of the tail the spleen. The kidneys are normal in size and contour. The urinary bladder is normal in size and opacity. The osseous structures are unremarkable.</t>
  </si>
  <si>
    <t>1. The mild generalized bronchial pulmonary pattern may indicate allergic, inflammatory, infectious, parasitic or irritant bronchitis. Airway sampling, heartworm testing and Baermann fecal flotation can be considered for further evaluation._x000D_
2. There is no radiographic evidence of intrathoracic multicentric/metastatic mast cell disease._x000D_
3. Static equivocal microhepatia. Rule out normal variant, vascular anomaly or chronic hepatitis/cirrhosis. Abdominal sonography and bile acid testing can be considered for further evaluation if clinically relevant._x000D_
4. Suspect splenic nodule. Rule out extramedullary hematopoiesis, lymphoid hyperplasia or neoplasia. Sonography should be considered for further evaluation.</t>
  </si>
  <si>
    <t>Three radiographs of the thorax are provided. There is moderate generalized cardiac silhouette enlargement. Subsequent dorsal deviation of the thoracic trachea and mainstem bronchi. The mainstem bronchi are compressed. Pulmonary vessels are normal size. There is poor visibility of perihilar vessels. Faint bronchial markings in the dorsal lungs. No pleural effusion. In the cranial abdomen, the liver is moderately enlarged with smooth margins.</t>
  </si>
  <si>
    <t>1. Moderate generalized cardiomegaly consistent with acquired mitral and tricuspid valve disease. Loss of perihilar vessel visibility is significantly concerning for left-sided cardiac decompensation and pulmonary edema. Poor lung aeration due to dorsal recumbency can mimic pulmonary edema. There is mainstem bronchial compression which is likely contributing to the cough. Bronchial markings may be normal age change versus concurrent allergic airway disease._x000D_
2. Moderate hepatomegaly, a nonspecific finding that may be venous congestion or steroid hepatopathy. Neoplasia is given lesser consideration.</t>
  </si>
  <si>
    <t>If the patient has increased respiratory rate/effort or exercise intolerance, diuretic administration would be recommended. Recommend follow-up echocardiogram, and obtaining a dorsoventral view (instead of a VD view) on all future thoracic studies. This will allow for maximum dorsal lung aeration to help rule in/out pulmonary edema. Routine blood work and abdominal ultrasound could be considered to further evaluate the liver.</t>
  </si>
  <si>
    <t xml:space="preserve">
1.Based on these AI airway/pulmonary findings, the probability of this patient having clinically detectable respiratory signs is MEDIUM to HIGH (50%-75%)_x000D_
2.Pleural fissure lines or moderate to severe pleural effusion has been detected._x000D_
3.MODERATE BRONCHOINTERSTITIAL PULMONARY PATTERN; MODERATE ALVEOLAR INFILTRATE or ATELECTASIA; PLEURAL FISSURE LINES or PLEURAL EFFUSION; MILD DYNAMIC AIRWAY DISEASE._x000D_
4.Severe cardiomegaly has been detected but Heart Failure is NOT suspected._x000D_
5.Are respiratory signs present? If YES._x000D_
6.Bacterial pneumonia treatment in dogs: https://platform.v2.vetology.net/doc/pneumonia-in-dogs-and-cats_x000D_
7.Are respiratory signs present? If NO.</t>
  </si>
  <si>
    <t>Study:_x000D_
Thoracic radiography: right lateral and orthogonal views dated June 19, 2024_x000D_
_x000D_
Findings:_x000D_
The cardiac silhouette and pulmonary vasculature are normal in size. There is a mild diffuse bronchointerstitial pulmonary pattern. The pleural space is normal. There is no intrathoracic lymphadenopathy. The trachea is normal in diameter and course. The liver extends beyond the costal arch with smooth margins. There is moderate to severe bilateral elbow periarticular bone formation.</t>
  </si>
  <si>
    <t>1. The diffuse bronchointerstitial pulmonic pattern is a nonspecific finding. This could be a benign age-related change or may indicate allergic, inflammatory, infectious, inhaled irritant or parasitic bronchitis. Airway sampling plus/minus heartworm testing and Baermann fecal flotation can be considered to further very for lower airway disease. Laryngeal paralysis should also be considered as a potential cause of the reported coughing._x000D_
2. The generalized hepatomegaly is nonspecific. Rule out metabolic/vacuolar hepatopathy, hyperplasia, hepatitis or infiltrative neoplasia. Sonography can be considered for further evaluation._x000D_
3. Moderate to severe bilateral elbow osteoarthrosis.</t>
  </si>
  <si>
    <t xml:space="preserve">
1.The evaluation has a strong suspicion of pulmonary nodules or mass lesion being present._x000D_
2.MILD to MODERATE BRONCHOINTERSTITIAL PATTERN; MILD DYNAMIC AIRWAY DISEASE._x000D_
3.Based on these AI airway/pulmonary findings, the probability of this patient having clinically detectable respiratory signs is MEDIUM (50%)_x000D_
4.Are respiratory signs present? If YES._x000D_
5.Are respiratory signs present? If NO._x000D_
6.Minimal cardiomegaly has been detected but Heart Failure is NOT suspected.</t>
  </si>
  <si>
    <t xml:space="preserve">Patient Name : Miko Bailey, Date of study: Jun 19, 2024
3 images are provided for review
Canine Thorax (3 Images) - 2 Lateral, 1 Vd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Spondylosis deformans is at T4-5 and T12-13.  The remaining  included musculoskeletal structures are normal.
</t>
  </si>
  <si>
    <t xml:space="preserve">1. Mild diffuse bronchial pulmonary pattern.
- Differential diagnoses include infectious/immune-mediated lower airway disease such as from bordetella spp., mycoplasma spp., parasitism, or inhaled allergen/irritant, versus fibrosis from prior disease, age-related changes, or unlikely other.  
2. No current evidence of cardiomegaly or left-sided heart failure  in this examination.  </t>
  </si>
  <si>
    <t>Consider respiratory PCR panel, airway sampling, and fecal analysis for further evaluation.  Echocardiography, ECG and blood pressure for further evaluation of reported heart murmur.  Empirical therapy and supportive care as needed in the interim. Monitoring as directed or sooner if clinical signs acutely change, fail to improve or worsen.</t>
  </si>
  <si>
    <t xml:space="preserve">
1.There is no evidence of DYNAMIC AIRWAY COLLAPSE or BRONCHIECTASIS._x000D_
2.MILD INTERSTITIAL to ALVEOLAR INFILTRATE; MILD PERIHILAR INFILTRATE._x000D_
3.Based on these AI airway/pulmonary findings, the probability of this patient having clinically detectable respiratory signs is MEDIUM (50%)_x000D_
4.Are respiratory signs present? If NO._x000D_
5.Are respiratory signs present? If YES._x000D_
6.The cardiac silhouette size is normal.</t>
  </si>
  <si>
    <t xml:space="preserve">Patient Name : Rebe Clavel, Date of study: Jun 19, 2024
3 images are provided for review
Canine Thorax (3 Images) - 1 Vd, 2 Lateral
There are no previous radiographs for comparison.
Pulmonary parenchyma: A mild to moderate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T6-7 through T9-10 intervertebral disc spaces are narrowed in the right lateral image.  The remaining included musculoskeletal structures are normal.
</t>
  </si>
  <si>
    <t xml:space="preserve">1. Mild-moderate diffuse bronchial pulmonary pattern.
- Differential diagnoses include infectious/immune-mediated lower airway diseases such as those from Mycoplasma spp., Bordetella spp., parasitism, or inhaled allergens/irritants, versus fibrosis from prior disease, age-related changes, or unlikely others such as atypical metastatic neoplasia.
2. There is no evidence of intra-thoracic lymphadenopathy or pulmonary nodules.
3. Suspected T6-7 through T9-10 intervertebral disc disease versus artifact.  </t>
  </si>
  <si>
    <t>Consider computed tomography of the thorax for a more sensitive evaluation of occult pulmonary nodules.  Computed tomography of the abdomen/body wall for pre-surgical planning of reported mammary mass removal may be contributory.  Empirical therapy and supportive care in the interim as needed. Monitoring as directed or sooner if clinical signs acutely change, fail to improve or worsen.</t>
  </si>
  <si>
    <t xml:space="preserve">Patient Name : Peyton Webster, Date of study: Jun 19, 2024
3 images are provided for review
Canine Thorax (3 Images) - 1 Vd, 2 Lateral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soft tissue band superimposes over the caudal cervical tracheal segment.
Esophagus: The esophagus is contains mild fluid in the caudal thorax in the left lateral image.
Pleural space: The pleural space is normal.
Musculoskeletal: The included musculoskeletal structures are normal.
</t>
  </si>
  <si>
    <t xml:space="preserve">1. Mild diffuse bronchial pulmonary pattern.
- Differential diagnoses include fibrosis from prior disease, age-related changes, or infectious/immune-mediated lower airway disease such as from bordetella spp., mycoplasma spp., parasitism, or inhaled allergen/irritant, or unlikely other.
2. Normal esophagus with/without mild fluid, or unlikely esophagitis or other.
3. Suspected redundant dorsal tracheal membrane with/without underlying dynamic airway disease, versus superimposed normal structures.
4. No obvious pulmonary nodules or intra-thoracic lymphadenomegaly.  </t>
  </si>
  <si>
    <t>Study:_x000D_
Spinal radiography (including the thorax and abdomen): seven images (from three studies) dated June 19, 2024_x000D_
_x000D_
Findings:_x000D_
The dens is intact and well defined. The atlantoaxial joint space is normal. There is narrowing of the C6-C7 intervertebral disc space with sclerotic endplates. The L1-L2, L2-L3 and L4-L5 intervertebral disc spaces are also narrowed with mild to moderate spondylosis deformans. The L4-L5 and plates are sclerotic. There is moderate bilateral hip dysplasia and remodeling/thickening of the femoral head and neck. The cardiac silhouette and pulmonary vasculature are normal in size. The pulmonary parenchyma is unremarkable. The pleural space is normal. There is no intrathoracic lymphadenopathy. The trachea is normal in diameter and course. The stomach contains heterogeneous soft tissue material presumed to be ingesta. The small intestines are normal in size, course and content. The colon contains formed fecal material. The liver and spleen are normal in size and margin. The kidneys are normal in size and contour. The urinary bladder is normal in size and opacity. The patient is of obese body condition.</t>
  </si>
  <si>
    <t>1. C6-C7, L1-L2, L2-L3 and L4-L5 intervertebral disease. Neurology consultation and MRI should be considered for further evaluation._x000D_
2. Moderate bilateral hip dysplasia and coxofemoral osteoarthrosis._x000D_
3. Normal thorax._x000D_
4. Unremarkable abdomen.</t>
  </si>
  <si>
    <t xml:space="preserve">
1.Are respiratory signs present? If NO._x000D_
2.MINIMAL to MILD DIFFUSE, MIXED BRONCHOINTERSTITIAL PULMONARY PATTERN with ATELECTASIS or less likely, pneumonia._x000D_
3.Probability these AI pulmonary findings will accompany clinically detectable respiratory signs: LOW (25%)_x000D_
4.Are respiratory signs present? If YES._x000D_
5.The cardiac silhouette size is normal._x000D_
6.There is no evidence of DYNAMIC AIRWAY COLLAPSE or BRONCHIECTASIS, PULMONARY NODULES or PLEURAL EFFUSION.</t>
  </si>
  <si>
    <t>Orthogonal thoracoabdominal views and a VD view of the abdomen and pelvis are provided._x000D_
_x000D_
There is a mild overall increase in small intestinal gas. Some of the bowel loops have a mildly thickened appearance. The stomach contains normal appearing ingesta. No foreign bodies are seen in the GI tract. The colon is mostly empty. A small quantity of fecal material is suspected in the rectum. The rectum appears to be slightly displaced dorsally, but this is a subtle and equivocal change that could easily be due to positional artifact. The abdominal organs are within normal size and shape limits. No spinal abnormalities are identified. The pelvis and hips are within normal limits.</t>
  </si>
  <si>
    <t>The appearance of the intestinal tract would be compatible with enteritis. However, this appearance can also be seen incidentally as a transient finding. Intestinal thickening is not a reliable finding in survey radiographs._x000D_
_x000D_
Pathology not visible in the radiograph such as a rectal polyp or rectal mucosal inflammation should still be ruled out.</t>
  </si>
  <si>
    <t>Medical management for possible enteritis is suggested._x000D_
Cross sectional imaging such as MRI or CT would be ideal for ruling out a mass lesion in the pelvic canal.</t>
  </si>
  <si>
    <t>Study:_x000D_
Thoracic radiography: three images dated June 19, 2024_x000D_
_x000D_
Findings:_x000D_
The cardiac silhouette and pulmonary vasculature are normal in size. The pulmonary parenchyma is unremarkable. No nodules or masses are present. The pleural space is normal. There is no intrathoracic lymphadenopathy. The trachea is normal in diameter and course. The included cranial abdomen is unremarkable. There is mild bilateral elbow periarticular bone formation. The patient is of overweight body condition.</t>
  </si>
  <si>
    <t>1. Normal thorax. There is no radiographic evidence of pulmonary metastatic disease._x000D_
2. Mild bilateral elbow osteoarthrosis.</t>
  </si>
  <si>
    <t>A three view thoracoabdominal study, a VD pelvis view, and lateral views of both hind limbs are provided for comparison to the previous study dated 1-19-23._x000D_
_x000D_
The heart is within normal size and shape limits. The pulmonary vessels and parenchyma are unremarkable._x000D_
_x000D_
The cholelith previous identified in the gallbladder is still present and has a similar size and shape. The liver is moderately enlarged in the current study, whereas this was not seen in the previous radiographs. The other abdominal organs are within normal size and shape limits._x000D_
_x000D_
There is marked narrowing of intervertebral disc spaces in the caudal thoracic spine from T11 to L1, similar to the previous study. No new spinal abnormalities are identified. The pelvis and hips are within normal limits._x000D_
Both stifle joints and both tarsal joints are unremarkable.</t>
  </si>
  <si>
    <t>1) There is a new finding of hepatomegaly consistent with diffuse liver disease of unknown etiology. Primary rule outs in the absence of clinical signs would include metabolic or endocrine associated hepatopathies. In a sick patient, hepatitis or hepatic lymphoma should also be ruled out._x000D_
_x000D_
2) No cardiopulmonary abnormalities are identified._x000D_
_x000D_
3) Disc degeneration in the caudal thoracic/thoracolumbar region of the spine is likely. Symptomatic therapy is recommended as needed.</t>
  </si>
  <si>
    <t>CBC and serum chemistry is recommended to assess significance of the hepatomegaly._x000D_
Ultrasound evaluation of the liver and gallbladder should also be considered.</t>
  </si>
  <si>
    <t xml:space="preserve">
1.Mild cardiomegaly has been detected but Heart Failure is NOT suspected._x000D_
2.MILD to MODERATE BRONCHOINTERSTITIAL PATTERN; MILD DYNAMIC AIRWAY DISEASE._x000D_
3.Based on these AI airway/pulmonary findings, the probability of this patient having clinically detectable respiratory signs is MEDIUM (50%)_x000D_
4.Are respiratory signs present? If YES._x000D_
5.AI linked bacterial bronchitis in dogs article: https://platform.v2.vetology.net/doc/bacterial-bronchitis-in-dogs-and-cats_x000D_
6.Are respiratory signs present? If NO._x000D_
7.There is no evidence of PERIHILAR INFILTRATE, PULMONARY NODULES or PLEURAL EFFUSION.</t>
  </si>
  <si>
    <t>Thoracic/lumbar vertebral column: There are thoracic hemivertebra at T5, T7, T10, T11, and T12.  There is narrowing/collapse of intervertebral disc space at T11-12 and T12-13.  There are no abnormalities involving the visible portions of the thorax or abdomen.</t>
  </si>
  <si>
    <t>Numerous thoracic hemivertebra with regions of narrowed/collapsed intervertebral disc spaces.</t>
  </si>
  <si>
    <t xml:space="preserve">
1.Are respiratory signs present? If NO._x000D_
2.A moderate interstitial to alveolar infiltrate, mild bronchial pattern and concurrent mild perihilar infiltrate have been detected._x000D_
3.Probability these AI pulmonary findings will accompany clinically detectable respiratory signs: MEDIUM (50%)_x000D_
4.Are respiratory signs present? If YES._x000D_
5.The cardiac silhouette size is normal.</t>
  </si>
  <si>
    <t xml:space="preserve">Patient Name : Nyla Windahl, Date of study: Jun 19, 2024
3 images are provided for review
There are no previous radiographs for comparison.
Electronic calipers superimpose over the cardiac silhouette in the right lateral image.
Pulmonary parenchyma: A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</si>
  <si>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1. Mild diffuse bronchial pulmonary pattern.
- Differential diagnoses include infectious/immune-mediated lower airway disease such as from mycoplasma spp., bordetella spp., parasitism, or inhaled allergen/irritant, or unlikely other.
2. There is no evidence of cardiomegaly on this examination.</t>
  </si>
  <si>
    <t>Study:
Orthogonal views of the abdomen and right lateral projection of the thorax (three images) dated June 19, 2024
Findings:
Evaluation of the thorax is limited by the lack of left lateral and orthogonal views.The cardiac silhouette and pulmonary vasculature are normal in size. The pulmonary parenchyma is unremarkable. The pleural space is normal. There is no intrathoracic lymphadenopathy. The trachea is normal in diameter and course. The stomach contains a small volume of gas. The small intestines are normal in size, course and content. The colon contains poorly formed fecal material. The liver and spleen are normal in size and margin. The renal silhouettes are normal in size and contour. The urinary bladder is normal in size and opacity. The uterus is not visualized. There is mild bilateral elbow periarticular bone formation. The patient is of overweight body condition. The mammary glands are enlarged.</t>
  </si>
  <si>
    <t>1. Unremarkable abdomen. There is no uterine dilation. This is not exclude the possibility of open pyometra, metritis or pseudopregnancy.
2. Unremarkable incomplete thoracic study.
3. Mild bilateral elbow osteoarthrosis.</t>
  </si>
  <si>
    <t>Abdominal sonography can be considered for further evaluation if clinical signs persist or worsen.</t>
  </si>
  <si>
    <t xml:space="preserve">
1.A moderate bronchointerstitial pulmonary pattern detected._x000D_
2.The cardiac silhouette size is normal._x000D_
3.There is no evidence of PERIHILAR INFILTRATE.</t>
  </si>
  <si>
    <t>Study:_x000D_
Survey thoracic radiography and esophagogram: seven images dated June 19, 2024_x000D_
_x000D_
Findings:_x000D_
The cardiac silhouette and pulmonary vasculature are normal in size. There is a moderate generalized bronchial pulmonary pattern. The pleural space is normal. There is no intrathoracic lymphadenopathy. The trachea is normal in diameter and course. There is a small volume of gas in the esophagus on the survey images. On the esophagogram images timestamped 1:31 PM and 1:32 PM, there is contrast medium within the cervical and intrathoracic esophagus. Only a small amount of contrast medium remains in the cervical esophagus on the view timestamped 1:33 PM. Contrast medium is again present in the cervical and intrathoracic esophagus on the view timestamped 1:35 PM. There are no filling defects in the esophagus. The included abdomen is unremarkable. There is moderate bilateral elbow periarticular new bone formation.</t>
  </si>
  <si>
    <t>1. The mild generalized bronchial pulmonary pattern may indicate allergic, inflammatory, infectious, parasitic or irritant bronchitis. _x000D_
2. Based on the emptying of the contrast medium from the esophagus between the esophagogram views timestamped 1:32 PM and 1:33 PM, megaesophagus/esophageal motility disorder are unlikely=ZZ90= however, primary and secondary esophageal peristalsis can only really be evaluated under fluoroscopic guidance._x000D_
3. Moderate bilateral elbow osteoarthrosis.</t>
  </si>
  <si>
    <t>Airway sampling, heartworm testing and Baermann fecal flotation can be considered for further evaluation of the bronchial pulmonary pattern. Laryngeal paralysis should also be considered as a potential cause of the reported coughing.</t>
  </si>
  <si>
    <t>Four radiographs of the thorax/abdomen are provided. There is slight prominence of the left atrium. Cardiac to thoracic ratio and pulmonary vessel size is normal. There are no abnormalities in the pulmonary parenchyma or pleural space. Small round soft tissue densities overlying the cranioventral thorax on the left lateral view are end-on pulmonary vessels. Redundant dorsal trachealis membrane causes moderate to severe narrowed cervical trachea. The C5-6 and C6-7 intervertebral disc spaces are narrowed. The caudal skull and proximal thoracic limbs are normal. In the abdomen the liver is upper normal size with smooth margins. The stomach contains small volume amorphous soft tissue density and gas. There is a round approximately 2.1 cm area of faint stippled mineral densities overlying the lateral right liver on the VD projection, overlying the dorsal stomach on the last two lateral views. Small intestines are mildly filled with fluid and gas. Small-volume semi-formed feces in the colon. The cecum is gas dilated. Normal spleen and kidneys. Small renal diverticular mineralizations are of doubtful clinical significance. No radiopaque cystic calculi. No definitive narrowed thoracolumbar intervertebral disc spaces or foramina. The coxofemoral joints are congruent.</t>
  </si>
  <si>
    <t>1. The appearance of C5-6 and C6-7 is concerning for intervertebral disc protrusion/extrusion. This could be artifact due to normal sloping/curvature of the neck, however such a lesion in the cervical spine is the most likely cause for the clinical signs._x000D_
2. Mineral density overlying the liver is further lateral than expected for stomach on the VD projection, however there is obliquity on this view. This is most likely gastric contents. Mineralized hepatic lesion is given secondary consideration. No other abdominal abnormalities._x000D_
3. Prominent left atrium consistent with acquired mitral valve disease. There is no pulmonary venous congestion or pulmonary edema. This is of doubtful clinical significance today. Otherwise normal thorax.</t>
  </si>
  <si>
    <t>Consultation with a neurologist and advanced spinal imaging with MRI should be considered. Repeat fasting abdominal radiographs or abdominal ultrasound would help determine if the mineral density seen is within the stomach or liver.</t>
  </si>
  <si>
    <t>Study:_x000D_
Thoracic/abdominal radiography: three images dated June 19, 2024_x000D_
_x000D_
Findings:_x000D_
There is moderate is normal in size. The pulmonary parenchyma is unremarkable. The pleural space is normal. There is no intrathoracic lymphadenopathy. The trachea is normal in diameter. The stomach and some small intestinal segments contain unstructured heterogeneous/granular soft tissue material presumed to be ingesta. The small intestines are normal in size and course. The colon contains poorly formed fecal material. The liver extends mildly beyond the costal arch with smooth and sharp margins. The spleen is normal in size and margin. The renal silhouettes are normal in size and contour. The urinary bladder is normal in size and opacity. The T 13 vertebra is transitional with no appreciable rib on the right.</t>
  </si>
  <si>
    <t>1. Moderate left-sided cardiomegaly, indicative of mitral valve disease, without evidence of decompensation. Echocardiography should be considered for further evaluation._x000D_
2. The generalized hepatomegaly is nonspecific. Rule out metabolic/vacuolar hepatopathy, hyperplasia, hepatitis or infiltrative neoplasia. Sonography and adrenal axis testing can be considered for further evaluation.</t>
  </si>
  <si>
    <t xml:space="preserve">
1.Are respiratory signs present? If NO._x000D_
2.MILD BRONCHOINTERSTITIAL PULMONARY PATTERN; MILD DYNAMIC AIRWAY DISEASE; MILD PERIHILAR INFILTRATE._x000D_
3.Based on these AI airway/pulmonary findings, the probability of this patient having clinically detectable respiratory signs is MEDIUM (50%)_x000D_
4.Are respiratory signs present? If YES._x000D_
5.Moderate cardiomegaly has been detected but Heart Failure is NOT suspected.</t>
  </si>
  <si>
    <t>A three view study of the thorax is provided for interpretation. The studies compared to the previous made 6-17-24._x000D_
_x000D_
The heart is within normal size limits overall. There is a slight bulge at the caudal heart base in the area of the left atrium that was not appreciated in the previous study. This is visible in the right lateral view only. The pulmonary vessels and parenchyma are within normal limits. No pleural effusion is seen. The sternal lymph node appears slightly enlarged, but reduced in size relative to the previous radiographs. No tracheal abnormalities are identified.</t>
  </si>
  <si>
    <t>No evidence of heart failure or pulmonary/pleural disease is identified._x000D_
_x000D_
The mildly enlarged sternal lymph node seen in the previous radiographs is reduced in size, presumably in response to the prednisone._x000D_
_x000D_
There is a slight bulge at the caudal heart base in the area of the left atrium. This is a subtle change, and could represent mild left atrial dilation or benign variation.</t>
  </si>
  <si>
    <t>No findings concerning for heart failure or significant cardiomegaly are identified in the radiographs._x000D_
If auscultable cardiac abnormalities or ECG abnormalities are present, echocardiography could be considered for more definitive evaluation.</t>
  </si>
  <si>
    <t>Study:_x000D_
Thoracic radiography: three images dated June 19, 2024_x000D_
_x000D_
Findings:_x000D_
The cardiac silhouette and pulmonary vasculature are normal in size. The pulmonary parenchyma is unremarkable. The pleural space is normal. There is no intrathoracic lymphadenopathy. The trachea is normal in diameter and course. There is gas dilation of the esophagus. The included abdomen is unremarkable. The T 13 vertebra is transitional with bilateral hypoplastic ribs.</t>
  </si>
  <si>
    <t>1. Gas dilation of the esophagus may be secondary to aerophagia or may indicate an esophageal motility disorder. An esophagogram can be considered for further evaluation._x000D_
2. There is no radiographic evidence of cardiopulmonary disease.  Lack of a definitive bronchial pulmonary pattern does not exclude the possibility of allergic/inflammatory, infectious, irritant or parasitic bronchitis. Normal diameter of the trachea does not exclude the possibility of dynamic airway disease. Fluoroscopy, airway sampling plus/minus heartworm testing and Baermann fecal flotation can be considered to further evaluate the reported coughing.</t>
  </si>
  <si>
    <t xml:space="preserve">
1.A mild interstitial to alveolar pattern and minimal perihilar pattern have been detected._x000D_
2.MILD BROCHOINTERSTITIAL PULMONARY PATTERN; CONCURRENT ATELECTASIS (MILD) SUSPECTED._x000D_
3.Based on these AI airway/pulmonary findings, the probability of this patient having clinically detectable respiratory signs is LOW (25%)_x000D_
4.Are respiratory signs present? If YES._x000D_
5.The cardiac silhouette size is normal._x000D_
6.There is no evidence of DYNAMIC AIRWAY COLLAPSE or BRONCHIECTASIS, PULMONARY NODULES or PLEURAL EFFUSION._x000D_
7.Are respiratory signs present? If NO.</t>
  </si>
  <si>
    <t>Opposite lateral and VD views of the abdomen and pelvis including the lumbar spine are provided. A three view study of the thorax is also included. There are 11 images total._x000D_
_x000D_
There is moderate narrowing of disc spaces in the mid lumbar spine from L3 to L6. There is moderate spondylosis throughout the lumbar spine. T13-L1 is also mildly narrowed. The pelvis and hip joints are within normal limits. No destructive or active productive bone lesions are identified._x000D_
_x000D_
In the VD views of the abdomen, opacity in the cranial abdomen appears slightly increased slightly reduced detail. However, this appearance is not convincingly corroborated in the lateral views. The GI tract is within normal limits. No mass lesions or organomegaly are identified in the abdomen._x000D_
_x000D_
The cardiopulmonary structures are within normal limits.</t>
  </si>
  <si>
    <t>No thoracic abnormalities are identified._x000D_
_x000D_
There is suspicion of slightly increased opacity in the cranial abdomen, but this is a subtle and equivocal change. It may well be artifactual. Mesenteric lymph node enlargement can sometimes appear similar. Pancreatitis should also be considered._x000D_
_x000D_
There is disc space narrowing at multiple locations in the lumbar spine, compatible with disc degeneration. Clinical disc disease and associated back pain should be ruled out as a possible contributor to the clinical signs.</t>
  </si>
  <si>
    <t>Symptomatic therapy for affected spinal pain is recommended._x000D_
_x000D_
Follow up imaging of the spine with MRI or evaluation of the abdomen with ultrasound could be considered if clinical signs persist.</t>
  </si>
  <si>
    <t>Three radiographs of the thorax/abdomen are provided. The cardiac silhouette and pulmonary vessels are normal size and shape. Mild bronchial pattern is normal for this age patient. Small round increased opacity in the left 3rd intercostal space on the VD projection is caused by a rib. There is no pleural effusion or soft tissue pulmonary nodules. No esophageal dilation. Adequate tracheal diameter. In the abdomen the liver is moderately enlarged with smooth margins. Normal size kidneys and spleen. The stomach and small bowel are mildly filled with fluid and gas. There is gas in the colon. There is no radiopaque foreign material. The urinary bladder is mildly filled and soft tissue opaque. Mineral density overlies the L4-5, L5-6, L6-7 intervertebral foramina, of doubtful significance today. There are also several sites of mineralized intervertebral disc material in situ, incidental.</t>
  </si>
  <si>
    <t>1. Moderate hepatomegaly, most likely steroid hepatopathy. An inflammatory process or neoplasia are next on the differential list. No other abdominal abnormalities. There is no evidence of gastrointestinal foreign material or an obstructive process. Gastroenteritis secondary to dietary indiscretion is most likely._x000D_
2. Normal thorax.</t>
  </si>
  <si>
    <t xml:space="preserve">
1.Mild cardiomegaly has been detected but Heart Failure is NOT suspected._x000D_
2.There is no evidence of PULMONARY NODULES or PLEURAL EFFUSION._x000D_
3.MILD BRONCHOINTERSTITIAL PULMONARY PATTERN; MILD DYNAMIC AIRWAY DISEASE; ATELECTASIS or less likely, pneumonia._x000D_
4.Based on these AI airway/pulmonary findings, the probability of this patient having clinically detectable respiratory signs is MEDIUM (50%)_x000D_
5.Are respiratory signs present? If YES._x000D_
6.Are respiratory signs present? If NO.</t>
  </si>
  <si>
    <t>5 views of the thorax and abdomen are submitted for review.  The patient is under general anesthesia.  The cardiac silhouette and pulmonary vasculature are within normal limits.  Mild bronchial markings are noted in the air-filled lungs.  There is decreased volume of the right lung lobes with mild to moderate atelectasis, likely associated with general anesthesia.  No pleural effusion or intrathoracic lymphadenopathy is seen._x000D_
In the abdomen, the spleen is generally prominent in size with smooth serosal margins.  The liver is subjectively normal.  The unobscured margins of the renal silhouettes are normal.  The GI tract is normal.  Serosal detail is adequate._x000D_
No aggressive bony changes are seen.</t>
  </si>
  <si>
    <t>The appearance of the lung fields is most consistent with partial atelectasis associated with general anesthesia.  Otherwise, radiographically normal thorax._x000D_
Mild to moderate generalized splenomegaly.  This could be associated with venous congestion related to anesthesia, diffuse inflammation, lymphoid hyperplasia, or less likely neoplasia.</t>
  </si>
  <si>
    <t>Depending on the degree of clinical concern, an abdominal ultrasound could be considered.</t>
  </si>
  <si>
    <t>6 views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mild amount of gas.  The small bowel is normal in uniform diameter.  Formed stool is noted throughout the colon.  The liver and spleen are normal in size, shape, and margination.  The bilateral renal silhouettes are within normal limits.  The urinary bladder is unremarkable.  Serosal detail is normal._x000D_
No significant osseous abnormalities are seen.</t>
  </si>
  <si>
    <t xml:space="preserve">
1.There is no evidence of BRONCHITIS, ALVEOLAR PATTERN, DYNAMIC AIRWAY COLLAPSE or BRONCHIECTASIS, PULMONARY NODULES or PLEURAL EFFUSION._x000D_
2.The cardiac silhouette size is normal._x000D_
3.A minimal perihilar infiltrate has been detected.</t>
  </si>
  <si>
    <t xml:space="preserve">
1.MODERATE INTERSTITIAL TO ALVEOLAR PATTERN; PLEURAL FISSURE LINES or PLEURAL EFFUSION._x000D_
2.Based on the AI airway/pulmonary findings, the probability of this patient having clinically detectable respiratorysigns is MEDIUM to HIGH (50-75%)_x000D_
3.Are respiratory signs present? If YES._x000D_
4.Are respiratory signs present? If NO._x000D_
5.The cardiac silhouette size is normal._x000D_
6.There is no evidence of DYNAMIC AIRWAY COLLAPSE or BRONCHIECTASIS.</t>
  </si>
  <si>
    <t>Three orthogonal thoracic radiographs dated 19th June 2024 are available for review. These are compared with previous radiographs dated 27th March 2023 and 3rd November 2022._x000D_
_x000D_
 Thorax:_x000D_
Airway findings: The trachea is right ward displaced and the tracheal bifurcation is elevated within the thorax. There is narrowing of the mainstem bronchi. There is widening of the tracheal bifurcation. Throughout the lung parenchyma there is a mild interstitial opacification, most prominent in the perihilar region. In the right caudal dorsal lung field, there is a mild alveolar pattern. No nodules or masses are seen._x000D_
_x000D_
Cardiovascular findings: There is a large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80% of the width of the thoracic volume. There is increased cardiac sternal contact. The cranial and caudal pulmonary vasculature are within normal limits. The caudal vena cava is normal._x000D_
_x000D_
Mediastinum and pleural space: No significant abnormalities are detected._x000D_
_x000D_
Musculoskeletal findings: There is a large bridging that marginated mass effect at the neck, ventrally displacing the trachea._x000D_
_x000D_
Included abdomen: No significant abnormalities are detected.</t>
  </si>
  <si>
    <t>1.Generalised cardiomegaly and cardiogenic pulmonary edema consistent with left sided congestive heart failure. Ddx: myxomatous degeneration of the mitral and tricuspid valves with post-capillary pulmonary hypertension vs systolic dysfunction (DCM). The normal pulmonary vessels is most likely due to ongoing medication._x000D_
2. The interstitial opacification is most likely due to cardiogenic pulmonary oedema. Lower airway infectious/inflammatory disease is less likely._x000D_
3. Large cervical mass: Differentials include thyroid neoplasia, lymphoid neoplasia, other soft tissue neoplasia.</t>
  </si>
  <si>
    <t>Complete bloodwork if not already performed. Management for left sided congestive heart failure including diuretic therapy with oxygen support as needed. ECG and systemic blood pressure monitoring. Recommend repeat thoracic radiographs after 24-48 hours of therapy, sooner if clinically indicated. Continued monitoring of renal values and urinalysis._x000D_
Once stabilized, an echocardiogram is recommended._x000D_
Repeat potential ultrasound-guided FNA or biopsy of the neck mass is advised.</t>
  </si>
  <si>
    <t xml:space="preserve">
1.Mild dynamic airway disease has been detected._x000D_
2.A moderate interstitial to alveolar infiltrate/lobar consolidation, bronchial pattern and concurrent mild dynamic airway disease have been detected._x000D_
3.Pleural fissure lines or moderate to severe pleural effusion has been detected. An overlying skin fold or in an obese animal, excessive pericardial fat could artifactually mimic the result of severe pleural effusion._x000D_
4.Severe cardiomegaly has been detected but Heart Failure is NOT suspected.</t>
  </si>
  <si>
    <t>Three orthogonal thoracic radiographs dated 19th June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No significant abnormalities are detected._x000D_
_x000D_
Musculoskeletal findings: No significant abnormalities are detected.</t>
  </si>
  <si>
    <t>Normal thorax. No imaging findings would preclude routine anaesthesia. This needs to be correlated with clinical findings, and normal results of laboratory analysis.</t>
  </si>
  <si>
    <t>Radiography is insensitive for early cardiac morphologic and functional changes, therefore echocardiography is recommended if any doubt persists relative to cardiac functionality.</t>
  </si>
  <si>
    <t>Opposite lateral and ventrodorsal whole body radiographs (3 images) dated June 16, 2024._x000D_
_x000D_
_x000D_
_x000D_
The cardiac silhouette,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evident._x000D_
_x000D_
The liver and spleen are normal in size and shape. The kidneys are only partially visible with no abnormalities appreciated. The urinary bladder is small, fluid opaque, and partially intrapelvic. The stomach is moderately distended with a mixture of gas and fairly homogeneous soft-tissue content that is mobile between views=ZZ90= the pyloric antrum is gas-filled on the left lateral view. The small intestine has a mild and unremarkable variation in diameter, almost diffusely contains gas, and has an unremarkable course. The colon contains a mild amount of formed stool in the distal descending portion and contains a mild volume of gas further proximally. Retroperitoneal and peritoneal detail are adequate. No regional lymphadenopathy is evident._x000D_
_x000D_
No aggressive or clinically significant osseous pathology is identified.</t>
  </si>
  <si>
    <t>1. Non-obstructive gastroenteritis.  Rule out dietary indiscretion or toxin vs. food allergy/intolerance vs. flareup of a chronic enteropathy (ex: IBD) vs. GI infectious vs. systemic/extra GI causes (liver or kidney injury/disease, pancreatitis, endocrine disorder, systemic infection, non-GI neoplasia)._x000D_
2. Normal thorax.</t>
  </si>
  <si>
    <t>Supportive care with fluid rehydration, antiemetics, gastroprotectants/omeprazole, and bland diet.  General health profile (CBC, chemistry, UA, fecal) +/- spec cPL and baseline cortisol to screen for underlying causes. Abdominal ultrasound could be considered if the patient fails medical management.</t>
  </si>
  <si>
    <t>Thoracic and abdominal radiographs (6 images) dated June 19, 2024._x000D_
_x000D_
_x000D_
The cardiac silhouette, pulmonary vasculature, and aorta are within normal limits. The caudal vena cava is prominent in diameter on the right lateral view only.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evident._x000D_
_x000D_
The liver is borderline enlarged with a rounded ventral lobe margin. The spleen is unremarkable in size and shape. The urinary bladder is small and contains numerous small irregular shaped stones clustered centrally and measure under 3 mm in diameter. No radiopaque stones are appreciated along the included plane of the urethra. The stomach is fairly distended with gas and has a small amount of heterogeneous soft-tissue content. The soft-tissue content resides in the gastric body and pyloric antrum on both views. The descending duodenum contains a small amount of gas with an irregular linear coalescing gas pattern. The remaining small bowel is diffusely and mildly gas-filled and has broad ropelike turns in its course to give it a subjectively turgid appearance. The cecum contains gas. The colon contains formed stool mixed with some gas. Retroperitoneal and peritoneal detail are normal. No regional lymphadenopathy is evident._x000D_
_x000D_
The left stifle has metal implants consistent with historical TPLO surgery. Chronic disc space collapse with endplate sclerosis and spondylosis is affecting T11 through L4. Both elbows have periarticular bony remodeling affecting them. No aggressive osseous lesions are identified.</t>
  </si>
  <si>
    <t>1. The appearance of the gastrointestinal tract is most compatible gastroenteritis, and there is no evidence of a small intestinal mechanical obstruction. The soft-tissue content in the stomach may represent residual ingesta vs. a mixture of ingesta and foreign material. A pyloric outflow obstruction is not appreciated._x000D_
2. Mild hepatomegaly. Rule out a benign metabolic/vacuolar hepatopathy vs. less likely inflammatory and infiltrative neoplastic conditions._x000D_
3. Nonobstructive small bladder stones._x000D_
4. Unremarkable thorax._x000D_
5. Chronic regional T11-L4 intervertebral disc disease. Correlation with renal blood work and urinalysis is needed to determine significance._x000D_
6. Historical left stifle TPLO and bilateral elbow osteoarthritis.</t>
  </si>
  <si>
    <t>Supportive care with fluid rehydration, antiemetics, gastroprotectants/omeprazole, and bland diet.  General health profile (CBC, chemistry, UA, fecal) +/- spec cPL to screen for underlying causes. Abdominal ultrasound could be considered to further scrutinize the gastric content, as well as assess the liver, adrenal glands, and pancreas._x000D_
If ALT =ZZ93= ALKP elevations are present, consider hospitalized treatment for acute hepatitis with testing for leptospirosis._x000D_
Urinalysis and urine culture via cystocentesis.</t>
  </si>
  <si>
    <t xml:space="preserve">
1.Mild cardiomegaly has been detected but Heart Failure is NOT suspected._x000D_
2.There is no evidence of INTERSTITIAL PATTERN, BRONCHITIS, PERIHILAR INFILTRATE, DYNAMIC AIRWAY COLLAPSE or BRONCHIECTASIS, PULMONARY NODULES or PLEURAL EFFUSION.</t>
  </si>
  <si>
    <t>Three radiographs of the thorax, and three views of the abdomen are provided. The cardiac silhouette and pulmonary vessels are normal size and shape. There are mild age-related changes in the lungs. Small area of increased opacity overlying the ventral heart on the right lateral view is not definitively seen on the VD projection. No esophageal dilation._x000D_
_x000D_
In the abdomen the liver is mildly enlarged with rounded margins. Normal-sized spleen and kidneys. The stomach contains moderate volume gas and small volume amorphous soft tissue density. Small intestines are diffusely moderately filled with fluid and small volume gas. There is a smoothly irregular 2.9 x 1.8 cm mineral density in a loop of bowel in the mid right abdomen, and a few smaller mineral fragments in other loops of bowel. The colon is minimally filled. Serosal detail is adequate.</t>
  </si>
  <si>
    <t>1. Bone intestinal foreign material with intestinal ileus comprised of moderate to severe dilation. Gastroenteritis is most likely. With the degree of intestinal distention, partial obstruction is not ruled out._x000D_
2. Mild hepatomegaly, a nonspecific finding that may be steroid or other hepatopathy, acute inflammation, or less likely neoplasia. This should be correlated with history and blood work._x000D_
3. The appearance of the ventral left lung is most likely incidental fat deposition. Focal aspiration pneumonia is not definitively ruled out.</t>
  </si>
  <si>
    <t>Recommend supportive care and repeat abdominal imaging (radiographs versus ultrasound) to monitor appearance of the intestines. If the foreign material does not progress aborally and intestinal dilation is progressive, surgery would be recommended. If the patient is coughing, febrile, has elevated white blood cell count, antibiotics would be recommended.</t>
  </si>
  <si>
    <t>3 views of the thorax are provided for review.  The trachea is mildly dorsally deviated, indicating left ventricular enlargement.  There is straightening of the caudal cardiac waist in the region of the left atrium.  No pulmonary infiltrates are seen.  The pulmonary vasculature is normal in size.  The mediastinal and pleural structures are normal.  Cranial abdominal detail is adequate.</t>
  </si>
  <si>
    <t xml:space="preserve">
1.The cardiac silhouette size is normal._x000D_
2.There is no evidence of PERIHILAR INFILTRATE or DYNAMIC AIRWAY COLLAPSE or BRONCHIECTASIS._x000D_
3.A minimal interstitial pattern has been detected._x000D_
4.A minimal bronchial pattern has been detected.</t>
  </si>
  <si>
    <t>3 views of the thorax are provided for review.  The cardiovascular structures are normal.  There is a moderate bronchial pattern in all lung lobes.  The trachea is narrowed in the cervical region on the right lateral view.  The mediastinal and pleural structures are normal.  Cranial abdominal detail is adequate.</t>
  </si>
  <si>
    <t>Moderate bronchial pulmonary pattern=ZZ90= consider bronchitis, response to inhaled irritants, response to circulating parasites, eosinophilic bronchopneumopathy.  Airway sampling may be helpful in further evaluation.  Variable tracheal narrowing suggests dynamic tracheal collapse.  Fluoroscopy or bronchoscopy could be considered.</t>
  </si>
  <si>
    <t>Study:_x000D_
Thoracic radiography: three images dated June 19, 2024_x000D_
_x000D_
Findings:_x000D_
The cardiac silhouette and pulmonary vasculature are normal in size. The pulmonary parenchyma is unremarkable. No pulmonary nodules or masses are present. There is a thin pleural fissure line in the right fifth intercostal space on the VD view. There is no intrathoracic lymphadenopathy. The trachea is normal in diameter and course. The included abdomen is unremarkable. There is moderate periarticular new bone formation at the caudodistal aspect the humeral head and infraglenoid tubercle of the scapula bilaterally. There are mineral bodies in the region of the bicipital groove bilaterally. There is moderate to severe bilateral elbow periarticular new bone formation. There is narrowing of the T 10-T 11 intervertebral disc space beyond what is expected at the anticlinal disc space. There is mild T9-T 10 and severe T 10-T 11 spondylosis deformans.</t>
  </si>
  <si>
    <t>1. There is no radiographic evidence of pulmonary metastatic disease. _x000D_
2. The thin pleural fissure lines seen in the right hemithorax on the VD view may indicate incidental tangential visualization and/or pleural thickening. Trace nonspecific pleural effusion is considered less likely but cannot excluded. Who_x000D_
3. Moderate bilateral shoulder osteoarthrosis. The (bilateral) mineral bodies in the region of the bicipital groove is suggestive of bilateral biceps and/or supraspinatus tendinopathy._x000D_
4. Moderate to severe bilateral elbow osteoarthrosis._x000D_
5. T 10-T 11 intervertebral disc disease.</t>
  </si>
  <si>
    <t xml:space="preserve">Patient Name : LID Stoddard, Date of study: Jun 19, 2024
3 images are provided for review
Canine Thorax (3 Images) - 2 Lateral, 1 Vd
There are no previous radiographs for comparison.
Pulmonary parenchyma: A mild diffuse bronchial pattern is present.  A minimal diffuse interstitial pulmonary pattern is present.  The lungs are mildly hypoinflated in the lateral images.  
Pulmonary vasculature: The pulmonary vasculature is subjectively normal in size and tapers in the periphery of the lungs.
Cardiac silhouette: The cardiac silhouette is subjectively convex in the 1-2 o'clock (main pulmonary artery) and 9-11 o'clock (right atrium) regions in the ventrodorsal image.  The cardiac silhouette occupies approximately 2/3 the height of the thorax in the lateral images, with slight dorsal tracheal displacement.  The cardiac silhouette occupies 3-3.5 intercostal spaces in the lateral images.  
Mediastinum: The cranial mediastinum is normal.
Trachea: The trachea is normal.
Esophagus: The esophagus is not well-identified.
Pleural space: The pleural space is normal.
Musculoskeletal: The included musculoskeletal structures are normal.
Cranial abdomen:  The stomach contains moderate soft tissue material admixed with gas, and mineral material in the pylorus in the lateral images.  
</t>
  </si>
  <si>
    <t>1. Suspicious for right-sided atrial enlargement, main pulmonary artery enlargement, and possible left ventricular enlargement.
- This is suspicious cor pulmonale/pulmonary hypertension and/or heartworm disease, or less likely evolving dilated cardiomyopathy or unlikely congenital anomaly such as pulmonic stenosis other.
2. Mild diffuse bronchial and minimal diffuse interstitial pulmonary patterns.
- Differential diagnoses include infectious/imune-medfiated lower airway disease, fibrosis from prior disease, age-related changes, or unlikely other.
3. Gastric material due to dietary indiscretion versus diet, with/without pyloric outflow tract obstruction or gastritis/delayed gastric emptying.</t>
  </si>
  <si>
    <t xml:space="preserve">Echocardiography, ECG and blood pressure for further evaluation, as well as heartworm disease testing depending on preventative/exposure history.  Consider abdominal imaging to screen for occult systemic disease if not recently performed, especially after fasting for 8-12 hours to monitor for passage of gastric contents.  Empirical therapy and supportive care in the interim as needed.  Monitoring as directed, or sooner if signs acutely change, fail to improve or worsen.  </t>
  </si>
  <si>
    <t>Three radiographs of the abdomen of an intact male canine are provided. There is no effusion. The urinary bladder is distended and soft tissue opaque. The prostate is moderately enlarged, consistent with intact reproductive status. There is gas and small volume fluid in the colon. Small intestines are mildly fluid filled. No radiopaque gastrointestinal foreign material. The stomach contains small volume gas and equivocal scant amorphous soft tissue density. Normal-sized liver, spleen, and kidneys. Faint renal diverticular mineralizations are of doubtful clinical significance today. Both patellas are medially displaced. In the visible caudal thorax, the left atrium is prominent. No pulmonary parenchymal abnormalities.</t>
  </si>
  <si>
    <t>1. Diarrhea. Gastroenteritis/pancreatitis is most likely. There is no evidence of intestinal obstruction. There is equivocal scant amorphous soft tissue density in the stomach which may be residual ingesta, rugal folds, or least likely foreign material. There is no evidence of small bowel obstruction._x000D_
2. Bilateral medial patellar luxation._x000D_
3. Prominent left atrium suggestive of mitral valve disease. This is of doubtful clinical significance today.</t>
  </si>
  <si>
    <t xml:space="preserve">
1.MODERATE to SEVERE INTERSTITIAL TO ALVEOLAR PATTERN; SEVERE DYNAMIC AIRWAY DISEASE; MILD BRONCHIAL PATTERN._x000D_
2.Based on these AI airway/pulmonary findings, the probability of this patient having clinically detectable respiratory signs is VERY HIGH (&gt;75%)_x000D_
3.Are respiratory signs present? If YES._x000D_
4.Severe cardiomegaly has been detected but Heart Failure is NOT suspected._x000D_
5.Are respiratory signs present? If NO.</t>
  </si>
  <si>
    <t>Opposite lateral and ventrodorsal thoracic radiographs (3 images) dated June 19, 2024._x000D_
_x000D_
_x000D_
The cardiac silhouette, pulmonary vasculature, and great vessels are within normal limits. The pulmonary parenchyma is unremarkable with no nodules, infiltrates, or other pathology detected. There are conspicuous bronchial markings that maintain thin walls, consistent with incidental bronchial wall mineralization that is commonly seen in older dogs and those with endocrine disorders. The pleural space and diaphragm are normal. No mediastinal abnormalities are appreciated. The trachea is normal in diameter and course with gas filling its lumen. No intrathoracic lymphadenopathy is evident._x000D_
No aggressive or clinically significant osseous pathology is identified.</t>
  </si>
  <si>
    <t>Normal thorax with no evidence of metastatic neoplasia.</t>
  </si>
  <si>
    <t>Abdominal ultrasound or ideally abdominal CT with contrast, followed by surgical consultation.</t>
  </si>
  <si>
    <t>Six radiographs of the abdomen and proximal pelvic limbs are provided. Images dated August 3, 2022 are available for comparison. There is mild to moderate hepatomegaly as before. Normal-sized spleen. The kidneys are incompletely visible. Large volume of formed feces filling the descending colon. The distal fecal column occupies the majority of the pelvic canal and measures up to 3.3 cm diameter. There is gas in the small bowel. Moderate volume soft tissue opaque ingesta in the stomach. No radiopaque urolithiasis. Mineral density overlies the L3-4, L4-5 intervertebral foramina. Mineralized intervertebral disc material in situ L6-7, incidental. The coxofemoral joints are congruent. The patellar location is normal. There is soft tissue density in the cranial aspect of the cranially positioned stifle on both of the lateral views, and both tibias are mildly cranially positioned with respect to the femoral condyles. No tarsal abnormalities. In the caudal thorax, no cardiovascular or pulmonary parenchymal abnormalities are appreciated.</t>
  </si>
  <si>
    <t>1. The appearance of L3-4 and L4-5 is suggestive of intervertebral disc disease. Such a lesion at this or another site is the most likely cause for the neurologic deficits._x000D_
2. Bilateral radiographic drawer sign, with effusion in one of the stifles (laterality uncertain). This is most consistent with cranial cruciate ligament tear/rupture._x000D_
3. Hepatomegaly as before, a nonspecific finding that may be steroid or other hepatopathy. Acute inflammation or neoplasia are given lesser consideration with the chronicity._x000D_
4. Probable constipation.</t>
  </si>
  <si>
    <t>Recommend palpation for stifle discomfort and instability, and consultation with a neurologist. Advanced spinal imaging with CT/MRI may be necessary.</t>
  </si>
  <si>
    <t xml:space="preserve">
1.Pleural fissure lines or moderate to severe pleural effusion has been detected. An overlying skin fold or in an obese animal, excessive pericardial fat could artifactually mimic the result of severe pleural effusion._x000D_
2.MILD INTERSTITIAL TO ALVEOLAR PATTERN; MILD DYNAMIC AIRWAY DISEASE; MILD PERIHILAR INFILTRATE._x000D_
3.Based on the AI airway/pulmonary findings, the probability of this patient having clinically detectable respiratory signs is MEDIUM (50%)_x000D_
4.Are respiratory signs present? If YES._x000D_
5.Are respiratory signs present? If NO._x000D_
6.The cardiac silhouette size is normal.</t>
  </si>
  <si>
    <t>5 images of the thorax are provided for review.  The cardiovascular structures are normal.  There is a marked bronchial pattern in all lung lobes.  Thin pleural fissure lines are present.  The mediastinal structures are normal.  Cranial abdominal detail is adequate.</t>
  </si>
  <si>
    <t>Severe bronchial pulmonary pattern=ZZ90= consider bronchitis, response to inhaled irritants, response to circulating parasites, eosinophilic bronchopneumopathy.  Scant pleural effusion.</t>
  </si>
  <si>
    <t xml:space="preserve">
1.MILD BRONCHOINTERSTITIAL PULMONARY PATTERN; MILD DYNAMIC AIRWAY DISEASE; MINIMAL PERIHILAR INFILTRATE._x000D_
2.MILD BRONCHOINTERSTITIAL PATTERN; MILD PERIHILAR INFILTRATE._x000D_
3.Based on the AI airway/pulmonary findings, the probability of this patient having clinically detectable respiratory signs is LOW to MEDIUM (25%-50%)_x000D_
4.Based on these AI airway/pulmonary findings, the probability of this patient having clinically detectable respiratory signs is MEDIUM (50%)_x000D_
5.Are respiratory signs present? If YES._x000D_
6.Are respiratory signs present? If YES._x000D_
7.Are respiratory signs present? If NO._x000D_
8.Minimal dynamic airway disease has been detected._x000D_
9.A mild bronchointerstitial pulmonary pattern and minimal dynamic airway disease have been detected._x000D_
10.Are respiratory signs present? If NO._x000D_
11.The cardiac silhouette size is normal.</t>
  </si>
  <si>
    <t>Three radiographs of the thorax/abdomen are provided. There is mild left atrial enlargement. Pulmonary vessels are normal size. A mild bronchial pattern is normal for the age of this patient. There is no soft tissue pulmonary nodules or pleural effusion. Rounded increased opacity overlying the right 11th intercostal space on the VD projection is superimposed nipple. Normal tracheal diameter. In the abdomen the liver is mildly enlarged with smooth margins. Normal size kidneys and spleen. The gastrointestinal tract is mildly filled. No radiopaque urolithiasis. Osseous structures are unremarkable.</t>
  </si>
  <si>
    <t>1. Mild hepatomegaly, a nonspecific finding and may be steroid or other hepatopathy. Acute inflammation or neoplasia are next on the differential list. Otherwise normal abdomen._x000D_
2. Mild left atrial enlargement consistent with acquired mitral valve disease. There is no pulmonary venous congestion or pulmonary edema. This is of doubtful clinical significance today. No other thoracic abnormalities.</t>
  </si>
  <si>
    <t>Current diagnostics are appropriate. There is no contraindication for general anesthesia based on this study. Further investigation of the liver and adrenal glands with ultrasound could be considered.</t>
  </si>
  <si>
    <t xml:space="preserve">
1.Are respiratory signs present? If YES._x000D_
2.Are respiratory signs present? If NO._x000D_
3.SEVERE BRONCHIAL PATTERN; SEVERE DYNAMIC AIRWAY DISEASE._x000D_
4.Based on these AI airway/pulmonary findings, the probability of this patient having clinically detectable respiratory signs is VERY HIGH (&gt;75%)_x000D_
5.AI link to canine airway collapse treatment article: https://platform.v2.vetology.net/doc/canine-tracheal-collapse-treatment_x000D_
6.Pleural fissure lines or moderate to severe pleural effusion has been detected. An overlying skin fold or in an obese animal, excessive pericardial fat could artifactually mimic the result of severe pleural effusion._x000D_
7.Severe cardiomegaly has been detected but Heart Failure is NOT suspected.</t>
  </si>
  <si>
    <t>Three radiographs of the thorax are provided. There is equivocal visibility of the left atrium on the VD projection, with no enlargement on the lateral views. The cardiac to thoracic ratio and pulmonary vessel size is normal. There are no abnormalities in the pulmonary parenchyma. No pleural effusion. Normal tracheal diameter and position. Small volume fluid in the caudal esophagus is transient and incidental. On the edge of the right lateral view, there is a smoothly marginated round 0.4 cm mineral density overlying the urinary bladder, and the prostate is enlarged, consistent with the reproductive status of this patient. Thin flat 0.5 cm mineral density in a loop of bowel is of doubtful significance.</t>
  </si>
  <si>
    <t>1. Normal thorax. No cardiovascular abnormalities are appreciated. Small valvular regurgitant jet can result in a relatively loud murmur._x000D_
2. Possible cystic calculus versus superimposed intestinal debris. If this is a cystic calculus, it is of a size that may be able to pass successfully.</t>
  </si>
  <si>
    <t>Two ventral dorsal radiographs of the thorax, and four views of the abdomen are provided. The cardiac silhouette is normal size and shape. Pulmonary vessels are normal size. There are no abnormalities in the pulmonary parenchyma. No pleural effusion. Small round soft tissue density to the left of the heart on the VD projection and overlying the dorsal heart on the edge of the lateral view is end-on pulmonary artery._x000D_
_x000D_
In the abdomen serosal detail is poor in the peritoneal space. Normal-sized liver and kidney. The spleen is obscured. The gastrointestinal tract is mildly filled. No radiopaque foreign material or urolithiasis. Osseous structures are unremarkable.</t>
  </si>
  <si>
    <t>1. Mild to moderate peritoneal effusion. With the history, hemorrhagic effusion due to coagulopathy or neoplasia such as hemangiosarcoma is of concern._x000D_
2. Normal thorax.</t>
  </si>
  <si>
    <t>A three view study of the thorax is provided for interpretation. This study is compared to the previous dated 5-9-23._x000D_
_x000D_
The heart is enlarged. Heart size as increased slightly overall relative to the previous study. The shape of the heart is compatible with left atrial and left ventricular dilation. Pulmonary vessels are normal. No pulmonary infiltrates or pleural effusion are seen. There is marked narrowing of the caudal lobe bronchi in the left lateral view relative to the right lateral view. No tracheal or laryngeal abnormalities are identified._x000D_
The liver is moderately enlarged. This was also present in previous radiographs.</t>
  </si>
  <si>
    <t>Mild to moderate left sided heart enlargement is identified. No evidence of heart failure is seen._x000D_
_x000D_
The liver is enlarged, with a similar appearance to the previous studies made one year ago. Metabolic or endocrine associated hepatopathies would be most likely.</t>
  </si>
  <si>
    <t>There is significant left sided chamber dilation, so syncope is a possibility. However, seizure unrelated to the heart disease should still be ruled out as a cause of the reported episode._x000D_
_x000D_
Echocardiography should be considered to better define the severity of cardiac disease.</t>
  </si>
  <si>
    <t xml:space="preserve">
1.SEVERE BROCHIAL PATTERN; SEVERE DYNAMIC AIRWAY DISEASE; MILD INTERSTITIAL INFILTRATE with ATELECTASIS or less likely, PNEUMONIA._x000D_
2.Based on these AI airway/pulmonary findings, the probability of this patient having clinically detectabe respiratory signs is VERY HIGH (&gt;75%)_x000D_
3.Are respirartory signs present? If YES._x000D_
4.Are respiratory signs preesnt? If NO._x000D_
5.Pleural fissure lines or small volume pleural effusion has been detected. In a mildly overweight animal, excessive pericardial fat can artifactually mimic the result of minimal pleural effusion._x000D_
6.Severe cardiomegaly has been detected but Heart Failure is NOT suspected.</t>
  </si>
  <si>
    <t>Opposite lateral views from the neck and thorax and orthogonal from the abdomen are provided:_x000D_
_x000D_
Neck/Thorax:_x000D_
No abnormalities are seen in the trachea, cervical spine or pharynx/larynx._x000D_
A small volume of foam is seen caudal to the upper esophageal sphincter._x000D_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t>
  </si>
  <si>
    <t>1) Unremarkable neck, thorax and abdomen. Unremarkable lungs do not exclude a pharyngitis/pharyngeal or retropharyngeal FB/tonsilitis vs bronchitis of inflammatory/infectious or parasitic origin.</t>
  </si>
  <si>
    <t>Consider abdominal US prior to an empirical treatment for pharyngitis/tonsilitis/bronchitis (after a negative oral and pharyngeal/laryngeal exam under sedation) evaluating response to treatment.</t>
  </si>
  <si>
    <t>Study:_x000D_
Thoracic/abdominal radiography: four images dated June 18,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On the right lateral view, there is a broad-based soft tissue opaque band superimposed with the cervical trachea lumen representing other redundant dorsal tracheal membrane or superimposition of the esophagus. The stomach contains a small volume of gas with the pylorus appropriately gas-filled on the left lateral image. The small intestines are normal in size, course and content. The colon contains formed poorly fecal material. The liver and spleen are normal in size and margin. The kidneys are normal in size and contour. There are multiple indistinct punctate mineral foci in the central aspect of the left kidney The urinary bladder is normal in size and opacity. There is no prostatomegaly. There is mild right stifle periarticular new bone formation. The coxofemoral joints are unremarkable with good coverage of the femoral head by the acetabulum bilaterally. The reported ventral thoracic subcutaneous mass is are not appreciated radiographically.</t>
  </si>
  <si>
    <t>1. Left nephrolithiasis versus nephrocalcinosis._x000D_
2. The abdomen is otherwise unremarkable. A cause of the reported soft stool/diarrhea is not evident. Abdominal sonography can be considered for further evaluation if clinical signs persist or worsen in spite of medical management._x000D_
3. Normal thorax. There is no radiographic evidence of cardiopulmonary disease for intrathoracic neoplasia._x000D_
4. Mild right stifle osteoarthrosis. Consider underlying cranial cruciate and/or meniscal injury._x000D_
5. As stated above, the ventral thoracic subcutaneous mass is not appreciated radiographically.</t>
  </si>
  <si>
    <t>6 images of the spine are provided for review.  No fractures, luxations, or aggressive osseous lesions are seen.  There is spondylosis deformans of the lumbosacral spine.  There is consistent narrowing of the intervertebral disc space at C6-7.  The soft tissue structures included are normal.</t>
  </si>
  <si>
    <t>Degenerative changes of the lumbosacral spine.  Narrowed intervertebral disc space suggestive of intervertebral disc herniation.  This does not rule out intervertebral disc herniation at another site or other causes of spinal cord compression.</t>
  </si>
  <si>
    <t xml:space="preserve">
1.Are respiratory signs present? If NO._x000D_
2.MILD to MODERATE BRONCHOINTERSTITIAL PATTERN; MINIMAL DYNAMIC AIRWAY DISEASE._x000D_
3.Based on these AI airway/pulmonary findings, the probability of this patient having clinically detectable respiratory signs is LOW to MEDIUM (25%-50%)_x000D_
4.Are respiratory signs present? If YES._x000D_
5.AI linked bacterial bronchitis in dogs article: https://platform.v2.vetology.net/doc/bacterial-bronchitis-in-dogs-and-cats_x000D_
6.Minimal cardiomegaly has been detected but Heart Failure is NOT suspected.</t>
  </si>
  <si>
    <t>A two-view study of the thorax is provided for interpretation._x000D_
_x000D_
There is a very large mass involving the cranial thorax extending caudally on midline. The mass causes dorsal and caudal displacement of the heart. The mass is homogenously soft-tissue dense with mildly lobular margins._x000D_
There is also a moderate bronchointerstitial pattern involving all lung fields, which is most intense in the central regions of the lung and cranial lobes. Scant pleural fluid and a few small areas of alveolar opacity are also seen. There is mild gas dilation of the esophagus. The heart is within normal size limits.</t>
  </si>
  <si>
    <t>There is a large thoracic mass which is believed to be originating in the cranial mediastinum._x000D_
There is also a diffuse bronchointerstitial pulmonary pattern, which may or may not be related._x000D_
_x000D_
Neoplasia is most likely explanation for the mass, thymoma is the primary differential. Lymphoma should also be ruled out, as this could cause a thymic mass (and involvement of mediastinal lymph nodes) and could also be associated with the pulmonary infiltrates._x000D_
_x000D_
Primary differentials for this patient include lymphoma versus other cranial mediastinal neoplasia with concurrent bronchitis._x000D_
Less likely possibilities would include atypical infectious disease involving the lungs and mediastinal lymphoid structure such as fungal or protozoal disease as well as mediastinitis/mediastinal abscess.</t>
  </si>
  <si>
    <t>CT would be ideal for more definitive evaluation. If this is not an option, ultrasound could be used._x000D_
Antibiotic therapy for suspected bronchitis is recommended._x000D_
CBC and serum chemistry is recommended.</t>
  </si>
  <si>
    <t>Three orthogonal thoracic radiographs dated 18th June 2024 are available for review. There are no previous radiographs available for comparison. _x000D_
_x000D_
Thorax:_x000D_
Airway findings: The trachea is elevated within the thorax. There is narrowing of the mainstem bronchi. There is widening of the tracheal bifurcation. Throughout the lung parenchyma there is a moderate interstitial opacification, most prominent in the perihilar region. Thin pleural fissure lines are present. No nodules or masses are seen._x000D_
_x000D_
Cardiovascular findings: There is a smoothly marginated soft tissue opacity contiguous with the caudal dorsal border of the cardiac silhouette. A smoothly marginated soft tissue opacity is superimposed on the caudal cardiac silhouette in the dorsoventral image. The overall cardiac silhouette is enlarged.  The cardiac silhouette occupies over 80% of the width of the thoracic volume. The cranial and caudal pulmonary vasculature are prominent. The caudal vena cava is enlarged._x000D_
_x000D_
Mediastinum and pleural space: No significant abnormalities are detected._x000D_
_x000D_
Musculoskeletal findings: No significant abnormalities are detected._x000D_
_x000D_
Included abdomen: No significant abnormalities are detected.</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</si>
  <si>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3.SEVERE INTERSTITIAL TO ALVEOLAR PATTERN; MODERATE BRONCHIAL PATTERN; SEVERE DYNAMIC AIRWAY DISEASE._x000D_
4.Based on these AI airway/pulmonary findings, the probability of this patient having clinically detectable respiratory signs is VERY HIGH (&gt;75%)_x000D_
5.Are respiratory signs present? If YES._x000D_
6.Are respiratory signs present? If NO.</t>
  </si>
  <si>
    <t>Orthogonal views of the thorax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Suspected ventral SC lipoma.</t>
  </si>
  <si>
    <t>Work up for PU/PD with CBC and abdominal US to further evaluate causes of lethargy and irregular appetite for several months.</t>
  </si>
  <si>
    <t>Study:_x000D_
Six images that include the a portion of the thorax, the abdomen, pelvis and pelvic limbs dated June 18, 2024_x000D_
_x000D_
Findings:_x000D_
The left heart appears moderately enlarged on all lateral projections. This finding may be overestimated by patient obliquity The included lung fields are unremarkable. The stomach contains a large amount of recently ingested food. The small intestines are normal in size, course and content. The colon contains formed fecal material. The liver is moderately enlarged with smooth margins. The spleen is normal in size and margin. The renal silhouettes are poorly visualized due to visceral crowding. There is no overt renomegaly. The urinary bladder is normal in size and opacity. There is no prostatomegaly. The spine is unremarkable with no intervertebral disc space or foraminal narrowing. The coxofemoral joints are normal with good coverage of the femoral head by the acetabulum bilaterally. The trochlear groove is shallow bilaterally. The patella is medially luxated bilaterally on the VD view. On the lateral projection timestamped 4:24 PM, there is increased opacity within the cranial and caudal aspect of the right stifle joint space in comparison to the left stifle. There is mild right stifle periarticular bone formation. The tarsus and pes are unremarkable bilaterally. The pelvic limb musculature is bilaterally symmetric.</t>
  </si>
  <si>
    <t>1. Bilateral medial luxating patella. Surgical correction can be considered._x000D_
2. The mild right stifle joint effusion/capsular thickening and osteoarthrosis may indicate concurrent cranial cruciate and/or meniscal injury. Orthopedic consultation plus/minus surgical stabilization of the stifle can be considered._x000D_
3. The generalized hepatomegaly is nonspecific. Rule out metabolic/vacuolar hepatopathy, hyperplasia, hepatitis or infiltrative neoplasia. Sonography can be moderate left-sided cardiomegaly, indicative of mitral valve disease, without evidence of decompensation. Echocardiography should be considered for further evaluation._x000D_
4. Moderate left-sided cardiomegaly, suggestive of mitral valve disease, without evidence of decompensation. Correlate with any heart murmur. Echocardiography should be considered for further evaluation.</t>
  </si>
  <si>
    <t xml:space="preserve">
1.A moderate to severe interstitial to alveolar pattern with concurrent dynamic airway disease has been identified._x000D_
2.Dynamic airway disease has been detected_x000D_
3.A severe perihilar infiltrate has been detected._x000D_
4.Pleural fissure lines or moderate to severe pleural effusion has been detected. An overlying skin fold or in an obese animal, excessive pericardial fat could artifactually mimic the result of severe pleural effusion._x000D_
5.Severe cardiomegaly has been detected but Heart Failure is NOT suspected.</t>
  </si>
  <si>
    <t>Three orthogonal thoracic radiographs dated 18th June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60% of the dorsoventral diameter of the trachea. The intrathoracic trachea is normal. There is still a mild mainly caudal dorsal bronchial opacification. The reported right caudal alveolar opacification is no longer present._x000D_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The previous described smoothly marginated soft tissue mass in the caudal dorsal midline is still present. The mass has a smooth walled with a translucent centre, consistent with gas. The mass is contiguous with the diaphragm in the ventrodorsal image._x000D_
_x000D_
Musculoskeletal findings: No significant abnormalities are detected._x000D_
_x000D_
Included abdomen: There is still a large irregular marginated hepatic mass, in comparison slightly enlarged, and more lobulated.</t>
  </si>
  <si>
    <t>1. The dorsal attenuation of the trachea is consistent with redundant trachealis membrane or overlying musculature. Tracheomalacia may be concurrent. This could cause coughing._x000D_
2. Diffuse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_x000D_
3. The caudal mass is suspicious of a sliding hiatal hernia, paraesophageal herniation, less likely diaphragmatic hernia. A section of the stomach is likely visible. This is likely incidental. A neoplastic mass is considered less likely._x000D_
4. Lobulated hepatic mass, consistent with the previous diagnosis of hepatic low grade carcinoma.</t>
  </si>
  <si>
    <t>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 _x000D_
Consider evaluation for airway collapse (fluoroscopy vs. right lateral inspiratory and expiratory radiographs vs. CT with virtual bronchoscopy). _x000D_
Continued radiographic monitoring of the hepatic mass is advised.</t>
  </si>
  <si>
    <t xml:space="preserve">
1.MILD to MODERATE BRONCHOINTERSTITIAL PATTERN; MILD DYNAMIC AIRWAY DISEASE._x000D_
2.Based on these AI airway/pulmonary findings, the probability of this patient having clinically detectable respiratory signs is MEDIUM (50%)_x000D_
3.Are respiratory signs present? If YES._x000D_
4.Are respiratory signs present? If NO._x000D_
5.Pleural fissure lines or small volume pleural effusion has been detected. In a mildly to moderately overweight animal, excessive pericardial fat can artifactually mimic the result of mild pleural effusion._x000D_
6.Severe cardiomegaly has been detected but Heart Failure is NOT suspected.</t>
  </si>
  <si>
    <t>9 images of the thorax and thoracic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Increased soft tissue surrounds the left thoracic limb.  Osteophytes are present on the humeral epicondyles and proximal radii bilaterally.  The joint surfaces are smooth and regular.  No fractures or aggressive osseous lesions are seen.</t>
  </si>
  <si>
    <t>Radiographically normal thorax for patient of this age.  Bilateral elbow DJD.  Left thoracic limb soft tissue swelling consistent with reported edema.  An underlying cause is not identified.  Consider lymphatic obstruction, cellulitis, neoplasia.  At lymph node aspirate may be helpful if accessible.</t>
  </si>
  <si>
    <t xml:space="preserve">
1.The cardiac silhouette size is normal._x000D_
2.There is no evidence of PLEURAL EFFUSION._x000D_
3.A severe alveolar infiltrate or pulmonary mass has been identified.</t>
  </si>
  <si>
    <t>4 images of the thorax are presented for review.  The cardiovascular structures are normal.  There is a diffuse bronchial pattern.  No pulmonary nodules or enlarged intrathoracic lymph nodes are seen.  The pleural and mediastinal structures are normal.  Cranial abdominal detail is adequate.  Multiple fat opacity masses are present in the subcutaneous tissues, most notable along the left side of the cranial abdomen and the caudal aspect of the right humerus.  The right humeral mass superimposes the cranial mediastinum on the lateral views.</t>
  </si>
  <si>
    <t>Moderate bronchial pulmonary pattern=ZZ90= consider bronchitis, response to inhaled irritants, response to circulating parasites, eosinophilic bronchopneumopathy.  Airway sampling may be helpful in further evaluation.  Multiple subcutaneous masses consistent with lipomas.</t>
  </si>
  <si>
    <t xml:space="preserve">
1.MILD BRONCHOINTERSTITIAL PULMONARY PATTERN; MILD DYNAMIC AIRWAY DISEASE; MINIMAL PERIHILAR INFILTRATE._x000D_
2.MILD BRONCHOINTERSTITIAL PULMONARY PATTERN; MILD DYNAMIC AIRWAY DISEASE; ATELECTASIS or less likely, pneumonia._x000D_
3.MINIMAL to MILD INTERSTITIAL TO ALVEOLAR INFILTRATE; MILD BRONCHIAL PATTERN; MINIMAL PERIHILAR INFILTRATE._x000D_
4.Based on the AI airway/pulmonary findings, the probability of this patient having clinically detectable respiratory signs is LOW to MEDIUM (25%-50%)_x000D_
5.Based on these AI airway/pulmonary findings, the probability of this patient having clinically detectable respiratory signs is MEDIUM (50%)_x000D_
6.Are respiratory signs present? If YES._x000D_
7.Are respiratory signs present? If YES._x000D_
8.Are respiratory signs present? If YES._x000D_
9.Are respiratory signs present? If NO._x000D_
10.Are respiratory signs present? If NO._x000D_
11.Are respiratory signs present? If NO_x000D_
12.The cardiac silhouette size is normal.</t>
  </si>
  <si>
    <t>Two views of the thorax are provided for review.  The cardiovascular structures are normal.  There is a moderate bronchial pattern in all lung lobes.  The mediastinal and pleural structures are normal.  Cranial abdominal detail is adequate.</t>
  </si>
  <si>
    <t>4 images of the thorax are provided for review.  The cardiovascular structures are normal.  Alveolar opacity is present in the right cranial, right middle, and left cranial lung lobes.  The mediastinal and pleural structures are normal.  Cranial abdominal detail is adequate.</t>
  </si>
  <si>
    <t>Six radiographs of the thorax/abdomen are provided. The cardiac silhouette is normal size and shape with no chamber enlargement. Pulmonary vessels are normal size. There are no abnormalities in the pulmonary parenchyma or pleural space. Mild narrowed caudal cervical trachea is likely due to neck extension. Normal proximal thoracic limbs. In the abdomen there is no effusion. The prostate is mildly enlarged consistent with intact reproductive status. The gastrointestinal tract is minimally filled. Normal-sized liver, spleen, kidneys. Punctate nephroliths are likely incidental. The splenic tail is rounded on the left lateral view. Narrowed T12-13 and L4-5 intervertebral disc space, with mild ventral spondylosis deformans at L4-5. Normal coxofemoral joints.</t>
  </si>
  <si>
    <t>1. The appearance of T12-13 and L4-5 are both suggestive of intervertebral disc disease. This is the most likely cause for the clinical signs._x000D_
2. Rounded splenic tail may represent incidental positional variant. A splenic mass lesion is not ruled out. Otherwise normal abdomen and thorax.</t>
  </si>
  <si>
    <t>Recommend palpate for spinal discomfort and a neurologic examination. Ultrasound evaluation of the spleen should be considered.</t>
  </si>
  <si>
    <t>Three radiographs of the thorax and of the abdomen are provided. Images dated 12/15/21 are available for comparison. The cardiac silhouette and pulmonary vessels are normal size and shape. There is no cardiac chamber enlargement. Pulmonary vessels are normal size. There are no abnormalities in the pulmonary parenchyma or pleural space. No intrathoracic lymphadenomegaly. Mild degenerative change in the shoulders._x000D_
_x000D_
In the abdomen serosal detail is adequate. The stomach contains a moderate amount of fluid, gas, and a punctate mineral density. There is curved 1.4-2.0 cm soft tissue contour along the mid aspect of the greater curvature on the VD projections. Small intestines are mildly fluid filled. Small-volume semi-formed feces in the colon. Normal-sized liver, spleen. The kidneys are partially visible, with no size/contour abnormalities appreciated. There are mineral opaque nephroliths bilaterally, measuring up to 0.7 cm on the left and 0.8 cm on the right. There are approximately six smoothly marginated mineral opaque calculi in the urinary bladder measuring up to 1.2 cm. No osseous abnormalities.</t>
  </si>
  <si>
    <t>1. The appearance of the gastric greater curvature is most likely normal gastric wall. A gastric wall lesion is not definitively ruled out. Punctate mineral density in the stomach may be administered medication, component of normal ingesta, or foreign material which could cause gastritis. No other gastrointestinal abnormalities._x000D_
2. Cystic calculi and renoliths, essentially unchanged. The cystoliths are of a size that is too large to pass successfully._x000D_
3. Normal thorax. There is no evidence of cardiovascular disease on this study. A small valvular regurgitant jet can result in a relatively loud murmur.</t>
  </si>
  <si>
    <t>Consider strictly fasted abdominal ultrasound to evaluate the gastrointestinal tract.</t>
  </si>
  <si>
    <t>Orthogonal radiographs of the thorax, and a VD view of the pelvis are provided. The cardiac silhouette is normal size and shape. Pulmonary vessels are normal size. There is a mixed bronchointerstitial pattern throughout the lungs. On the lateral view there is a round 1.2 cm soft tissue opacity overlying the mid caudal heart. This is not definitively seen on the VD projection. No pleural effusion. Normal tracheal diameter. No esophageal dilation. Normal cranial abdomen. The coxofemoral joints are congruent and without degenerative change. Pelvic limb musculature is approximately symmetric.</t>
  </si>
  <si>
    <t>1. Nodular contour seen only on the lateral view is significantly concerning for neoplasia. This could be summating interstitial pattern and end-on pulmonary vessel._x000D_
2. Mixed bronchointerstitial pattern in the remaining lungs may be due in part to advanced age. With the coughing, chronic airway inflammation such as allergic bronchitis is suspected._x000D_
3. Normal coxofemoral joints.</t>
  </si>
  <si>
    <t>Consider treatment for  allergic bronchitis, and repeat thoracic radiographs in one month (VD and both lateral views) to determine if the nodular contour is persistent.</t>
  </si>
  <si>
    <t xml:space="preserve">
1.PULMONARY NODULES or NODULAR PATTERN; PLEURAL EFFUSION or PLEURAL FISSURE LINES; SEVERE INTERSTITIAL TO ALVEOLAR PATTERN; MODERATE BRONCHIAL PATTERN; DYNAMIC AIRWAY DISEASE._x000D_
2.Based on the AI airway/pulmonary findings, the probability of this patient having clinically detectable respiratory signs is VERY HIGH (&gt;75%)_x000D_
3.The evaluation has detected soft tissue pulmonary nodules and pleural fluid._x000D_
4.If this AI evaluation is inconsistent with your assessment or the clinical picture, a Vetology AI overread may be beneficial._x000D_
5.In older dogs, a pulmonary mass or pulmonary nodules, pulmonary hemorrhage, pleural effusion or PTE are primary considerations._x000D_
6.In the ABSENCE of respiratory signs, lung lobe collapse or severe atelectasis secondary to anesthesia or deep sedation could artifactually create this appearance._x000D_
7.Mild cardiomegaly has been detected but Heart Failure is NOT suspected.</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</si>
  <si>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There is narrowing of the intervertebral disc spaces and spondylosis deformans at L1-3.</t>
  </si>
  <si>
    <t>Radiographically normal abdomen.  Radiographically normal thorax for patient of this age.  Lumbar changes consistent with chronic intervertebral disc herniations.</t>
  </si>
  <si>
    <t>Echocardiography could be considered in further evaluation for the reported heart murmur.</t>
  </si>
  <si>
    <t>6 images of the thorax and abdomen are presented for review.  The cardiovascular structures are normal.  There is a mild bronchial pattern in all lung lobes.  The pleural and mediastinal structures are normal.  Abdominal serosal detail is adequate in all quadrants.  The stomach contains a small amount of gas.  The small intestines are normal in size.  Gas and feces are present in the colon.  The urinary bladder is small.  The remaining abdominal organs are normal.</t>
  </si>
  <si>
    <t>Mild bronchial pulmonary pattern=ZZ90= consider early bronchopneumonia, bronchitis, response to inhaled irritants, response to circulating parasites, eosinophilic bronchopneumopathy.  Airway sampling may be helpful in further evaluation.  Radiographically normal abdomen.  Lack of specific changes does not rule out pancreatitis, inflammatory bowel disease, etc.  Abdominal ultrasound could be considered based on recurrence.</t>
  </si>
  <si>
    <t>3 views of the abdomen are provided for review.  Serosal detail is adequate in all quadrants.  The stomach contains a small amount of gas and the rugal folds are prominent.  The small intestines are normal in size.  Gas is present in the colon.  The urinary bladder is small.  The remaining abdominal organs are normal.</t>
  </si>
  <si>
    <t>Prominent rugal folds suggestive of gastritis.  This does not rule out underlying pancreatitis, infiltrative neoplasia, etc.</t>
  </si>
  <si>
    <t>Opposite lateral and VD views of the thorax and abdomen and a VD pelvis view are provided. There are 12 images total._x000D_
_x000D_
Thorax: The cardiovascular structures are within normal limits. There is a mild bronchointerstitial pulmonary pattern. No alveolar infiltrates or pleural effusion are seen. No tracheal or esophageal abnormalities are identified._x000D_
_x000D_
Abdomen: The liver is slightly enlarged. The shape is normal and no mass effect is identified. There is one loop of small intestine in the right cranial to mid abdomen that appears mildly fluid dilated. The rest of the GI tract is unremarkable. The other organs are within normal limits._x000D_
_x000D_
There is moderate spondylosis involving L2-L3. Mild mineralization of the intervertebral disc is also suspected. There is moderate chronic remodeling involving both hips in both stifles. No destructive bone lesions are identified.</t>
  </si>
  <si>
    <t>The bronchointerstitial pattern is equivocal. This is sometimes seen as a breed associated variant in the Bassett Hound. Bronchitis should still be ruled out given the presenting complaint._x000D_
_x000D_
One mildly fluid dilated small bowel loop is suspected, but this is a subtle change and clinical significance is unknown. Possibilities include mild dilation due to enteritis, a small quantity of radiolucent foreign material, or pathologic thickening of the intestine secondary to inflammation or neoplasia. Artifactual causes also cannot be excluded._x000D_
The liver is slightly enlarged. Diffuse liver disease including hepatitis, metabolic or endocrine associated hepatopathies, or less likely hepatic lymphoma should be ruled out._x000D_
_x000D_
There are chronic degenerative changes involving the lumbar spine, hips, and stifles. This is unlikely be related to the current clinical presentation.</t>
  </si>
  <si>
    <t>Serum chemistry including pancreatic specific lipase is recommended._x000D_
CBC and heartworm testing is recommended to rule out potential infectious causes of the pulmonary pattern._x000D_
Antibiotic therapy may be indicated depending on lab results and clinical suspicion of respiratory disease as a primary problem._x000D_
_x000D_
Symptomatic therapy for possible enteritis or pancreatitis is recommended. Ultrasound of the abdomen or follow up radiographs should be considered if clinical signs are not improving over the next few days.</t>
  </si>
  <si>
    <t xml:space="preserve">
1.MILD TO MODERATE BRONCHOINTERSTITIAL PULMONARY PATTERN; ATELECTASIS or ALVEOLAR INFILTRATE._x000D_
2.MILD to MODERATE BRONCHOINTERSTITIAL PATTERN; MINIMAL DYNAMIC AIRWAY DISEASE._x000D_
3.Based on these AI airway/pulmonary findings, the probability of this patient having clinically detectable respiratory signs is LOW to MEDIUM (25-50%)_x000D_
4.Based on these AI airway/pulmonary findings, the probability of this patient having clinically detectable respiratory signs is LOW to MEDIUM (25%-50%)_x000D_
5.Are respiratory signs present? If YES._x000D_
6.Are respiratory signs present? If YES._x000D_
7.AI linked bacterial bronchitis in dogs article: https://platform.v2.vetology.net/doc/bacterial-bronchitis-in-dogs-and-cats_x000D_
8.Are respiratory signs present? If NO._x000D_
9.Are respiratory signs present? If NO._x000D_
10.The evaluation has come up positive for a pulmonary nodular pattern._x000D_
11.Pleural fissure lines or small volume pleural effusion has been detected. In a mildly overweight animal, excessive pericardial fat can artifactually mimic the result of minimal pleural effusion._x000D_
12.Mild cardiomegaly has been detected but Heart Failure is NOT suspected.</t>
  </si>
  <si>
    <t>5 images of the thorax are presented for review.  The trachea is narrowed in the cervical region.  The cardiovascular structures are normal.  There is a diffuse interstitial pulmonary pattern that is considered appropriate for the age of the patient.  A rounded soft tissue mass is present in the right middle lung lobe.  No additional pulmonary nodules or enlarged intrathoracic lymph nodes are seen.  The pleural and mediastinal structures are normal.  Cranial abdominal detail is adequate.</t>
  </si>
  <si>
    <t>Right middle lung lobe mass concerning for primary pulmonary neoplasia.  CT could be considered in surgical planning if desired.  Ultrasound-guided aspirate could be considered for diagnosis.  Tracheal narrowing suggestive of tracheal collapse.  Consider antitussive therapy.</t>
  </si>
  <si>
    <t xml:space="preserve">
1.MODERATE INTERSTITIAL TO ALVEOLAR INFILTRATE; MILD BRONCHIAL PATTERN; MINIMAL PERIHILAR INFILTRATE._x000D_
2.Based on these AI airway/pulmonary findings,  the probability of this patient having clinically detectable respiratory signs is HIGH (75%)_x000D_
3.The cardiac silhouette size is normal._x000D_
4.There is no evidence of PULMONARY NODULES or PLEURAL EFFUSION._x000D_
5.Are respiratory signs present? If YES._x000D_
6.Are respiratory signs present? If NO.</t>
  </si>
  <si>
    <t>Abdomen: There is a mild amount of heterogeneous soft tissue opacity within the gastric lumen.  There is no evidence of overt distention of the stomach.  There is no evidence of a small intestinal foreign body or obstruction.  The liver is considered small.  The spleen is unremarkable.  There are no abnormalities involving the urinary tract.  Serosal detail is normal.  There are no abnormalities involving the visible portions of the thorax.</t>
  </si>
  <si>
    <t>Mild amount of heterogeneous soft tissue opacity within the gastric lumen which may represent normal ingesta or possible foreign material._x000D_
_x000D_
Microhepatica.  This is most likely variation of normal however other etiologies such as a portosystemic shunt cannot be ruled out.</t>
  </si>
  <si>
    <t>Orthogonal views of the thorax are provided:_x000D_
_x000D_
Thorax:_x000D_
_x000D_
Cardiac silhouette shows a mild enlargement of the left atrium dorsally displacing the carina. Aortic arch is also prominent._x000D_
Pulmonary vessels are within normal limits of size and shape._x000D_
Pulmonary parenchyma is within normal limits. No evidence of pulmonary nodules/masses._x000D_
Pleural space, mediastinum, diaphragm and thoracic wall within normal limits.</t>
  </si>
  <si>
    <t>1) Left atrial enlargement secondary to chronic mitral endocardiosis without signs of CHF. Rule out concomitant tricuspid endocardiosis with pulmonary hypertension._x000D_
2) Prominent aortic arch compatible with age related changes vs systemic hypertension vs subaortic stenosis vs herniation of the right auricle through the pericardium.</t>
  </si>
  <si>
    <t>7 images of the thorax are provided for review.  The cardiovascular structures are normal.  Alveolar opacity is present in the right cranial, right middle, and caudal subsegment of the left cranial lung lobes.  The mediastinal and pleural structures are normal.  Cranial abdominal detail is adequate.  Hemivertebrae are present in the thoracic spine.</t>
  </si>
  <si>
    <t xml:space="preserve">
1.The evaluation has a strong suspicion of soft tissue pulmonary nodules or mass lesion being present._x000D_
2.Are respiratory signs present? If NO._x000D_
3.PULMONARY NODULES or NODULAR PATTERN; MODERATE TO SEVERE INTERSTITIAL TO ALVEOLAR PATTERN; PLEURAL EFFUSION; MILD BRONCHITIS; MILD PERIHILAR INFILTRATE._x000D_
4.Based on the AI airway/pulmonary findings, the probability of this patient having clinically detectable respiratory signs is VERY HIGH (&gt;75%)_x000D_
5.Are respiratory signs present? If YES._x000D_
6.The cardiac silhouette size is normal.</t>
  </si>
  <si>
    <t>Spine: On the ventrodorsal view there is a lucency/cleft associated with L7.  L4 is a hemivertebra.  There are numerous thoracic hemivertebrae.  It is difficult to assess the cervical vertebral column on the lateral views due to obliquity.  There are no abnormalities involving the cervical vertebral column on the ventrodorsal view._x000D_
_x000D_
Pelvis: There are no significant abnormalities identified.</t>
  </si>
  <si>
    <t>The appearance of L7 is consistent with spina bifida._x000D_
_x000D_
Numerous hemivertebrae.</t>
  </si>
  <si>
    <t>Consider consultation with veterinary neurologist.</t>
  </si>
  <si>
    <t xml:space="preserve">
1.Are respiratory signs present? If NO._x000D_
2.Pleural fissure lines or moderate to severe pleural effusion has been detected. An overlying skin fold or in an obese animal, excessive pericardial fat could artifactually mimic the result of severe pleural effusion._x000D_
3.The cardiac silhouette size is normal._x000D_
4.MODERATE DYNAMIC AIRWAY DISEASE; MILD to MODERATE BRONCHOINTERSTITIAL PATTERN._x000D_
5.Based on these AI airway/pulmonary findings, the probability of this patient having clinically detectable respiratory signs is MEDIUM (50%)_x000D_
6.Are respiratory signs present? If YES._x000D_
7.AI link to dynamic airway disease treatment in dogs: https://platform.v2.vetology.net/doc/canine-tracheal-collapse-treatment</t>
  </si>
  <si>
    <t>Orthogonal views of the thorax are provided:_x000D_
_x000D_
Thorax:_x000D_
_x000D_
There is moderate left atrium enlargement that dorsally displaces the carina, producing an overall severe cardiomegaly._x000D_
The pulmonary veins are enlarged when crossing the 4th ribs._x000D_
There is a peri-hilar and generalized moderate alveolo-interstitial pulmonary pattern throughout the entire lung field, more severe on the right caudal lung lobe._x000D_
Normal mediastinum, diaphragm and thoracic wall._x000D_
_x000D_
Unremarkable abdomen.</t>
  </si>
  <si>
    <t>1) Cardiomegaly (left sided), enlarged pulmonary veins with and generalized moderate alveolo-interstitial pulmonary pattern throughout the entire lung field, more severe on the right caudal lung lobe. Findings consistent with left sided congestive heart failure secondary to chronic mitral endocardiosis. Rule out cord tendinae rupture as well as tricuspid endocardiosis with post-capillary pulmonary hypertension.</t>
  </si>
  <si>
    <t xml:space="preserve">
1.In the ABSENCE of respiratory signs, lung lobe collapse or severe atelectasis secondary to anesthesia or deep sedation could artifactually create this appearance._x000D_
2.If this AI evaluation is inconsistent with your assessment or the clinical picture, a Vetology AI overread may be beneficial._x000D_
3.PULMONARY NODULES or NODULAR PATTERN; PLEURAL EFFUSION or PLEURAL FISSURE LINES; SEVERE INTERSTITIAL TO ALVEOLAR PATTERN; MODERATE BRONCHIAL PATTERN; DYNAMIC AIRWAY DISEASE._x000D_
4.Based on the AI airway/pulmonary findings, the probability of this patient having clinically detectable respiratory signs is VERY HIGH (&gt;75%)_x000D_
5.The evaluation has detected soft tissue pulmonary nodules and pleural fluid._x000D_
6.In older dogs, a pulmonary mass or pulmonary nodules, pulmonary hemorrhage, pleural effusion or PTE are primary considerations._x000D_
7.Severe cardiomegaly has been detected but Heart Failure is NOT suspected.</t>
  </si>
  <si>
    <t>3 views of the thorax are presented for review.  The cardiovascular structures are normal.  Mild bronchial markings are present in all lung lobes.  No pulmonary nodules or enlarged intrathoracic lymph nodes are seen.  The pleural and mediastinal structures are normal.  Cranial abdominal detail is adequate.  Osteophytes are present at all aspects of the humeral heads and glenoid cavities bilaterally.</t>
  </si>
  <si>
    <t>Mild bronchial pulmonary pattern=ZZ90= consider bronchitis, response to inhaled irritants, response to circulating parasites, eosinophilic bronchopneumopathy.  Bilateral shoulder DJD.</t>
  </si>
  <si>
    <t>3 views of the entire body are presented for review.  The cardiovascular and pulmonary structures are normal.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t>
  </si>
  <si>
    <t>Radiographically normal thorax and abdomen.  Lack of specific changes does not rule out dietary indiscretion or gastroenteritis.</t>
  </si>
  <si>
    <t>If clinical signs persist with supportive therapy, repeat radiographs or abdominal ultrasound may be helpful.</t>
  </si>
  <si>
    <t xml:space="preserve">
1.Are respiratory signs present? If NO._x000D_
2.Are respiratory signs present? If NO._x000D_
3.The cardiac silhouette size is normal._x000D_
4.Are respiratory signs present? If NO._x000D_
5.Based on these AI airway/pulmonary findings, the probability of this patient having clinically detectable respiratory signs is MEDIUM (50%)_x000D_
6.Based on the AI airway/pulmonary findings, the probability of this patient having clinically detectable respiratory signs is MEDIUM (50%)_x000D_
7.Probability these AI pulmonary findings will accompany clinically detectable respiratory signs: MEDIUM to HIGH (50-75%%)_x000D_
8.Are respiratory signs present? If YES._x000D_
9.AI linked bacterial pneumonia treatment in dogs: https://platform.v2.vetology.net/doc/pneumonia-in-dogs-and-cats_x000D_
10.MILD to MODERATE INTERSTITIAL TO ALVEOLAR PATTERN; MILD DYNAMIC AIRWAY DISEASE; MINIMAL PERIHILAR INFILTRATE._x000D_
11.MODERATE ALVEOLAR PATTERN; CONCURRENT MILD BRONCHOINTERSTITIAL PATTERN; MILD DYNAMIC AIRWAY DISEASE._x000D_
12.MILD BRONCHOINTERSTITIAL PULMONARY PATTERN; MILD DYNAMIC AIRWAY DISEASE; MINIMAL PERIHILAR INFILTRATE._x000D_
13.MODERATE INTERSITIAL TO ALVEOLAR PATTERN; MILD BRONCHITIS; MINIMAL PERIHILAR INFILTRATE._x000D_
14.Based on the AI airway/pulmonary findings, the probability of this patient having clinically detectable respiratory signs is MEDIUM (50%)._x000D_
15.Are respiratory signs present? If YES._x000D_
16.Are respiratory signs present? If YES._x000D_
17.Are respiratory signs present? If YES._x000D_
18.Are respiratory signs present? If NO.</t>
  </si>
  <si>
    <t>20 images of the thorax, abdomen, pelvis, pelvic limbs, and thoracic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The remaining abdominal organs are normal.  Coverage of the femoral heads by the acetabular rims is reduced bilaterally.  Osteophytes present on the femoral necks and acetabular rims, worse on the left.  Periarticular osteophyte formation is seen at the right tarsometatarsal joints.  The joint surfaces are smooth and regular.  No stifle effusion is seen.  There is spondylosis deformans of the cervical, thoracic, and lumbosacral spine.  Osteophytes are present in the proximal radii and anconeal processes bilaterally.  Osteophytes are also seen at the caudal aspects of humeral heads.</t>
  </si>
  <si>
    <t>Radiographically normal abdomen.  Radiographically normal thorax for patient of this age.  Moderate left and mild right coxofemoral DJD with bilateral subluxation.  Left tarsal DJD.  Mild bilateral elbow and moderate bilateral shoulder DJD.  Degenerative changes of the spine.</t>
  </si>
  <si>
    <t xml:space="preserve">
1.SEVERE INTERSTITIAL AND ALVEOLAR INFILTRATE with PNEUMONIA or less likely, ATELECTASIS; MODERATE DYNAMIC AIRWAY DISEASE; MODERATE BRONCHIAL PATTERN; MILD PERIHILAR INFILTRATE._x000D_
2.Based on these AI airway/pulmonary findings, the probability of this patient having clinically detectable respiratory signs is VERY HIGH (&gt;75%)_x000D_
3.Are respiratory signs are present? If NO._x000D_
4.Pleural fissure lines or moderate to severe pleural effusion has been detected. An overlying skin fold or in an obese animal, excessive pericardial fat could artifactually mimic the result of severe pleural effusion._x000D_
5.Severe cardiomegaly has been detected but Heart Failure is NOT suspected._x000D_
6.Are respiratory signs present? If YES._x000D_
7.A mild perihilar infiltrate has been detected._x000D_
8.The evaluation has a strong suspicion of pulmonary nodules or mass lesion being present.</t>
  </si>
  <si>
    <t>Orthogonal views of the thorax are provided:_x000D_
_x000D_
Thorax:_x000D_
_x000D_
The esophagus is mildly gas distended._x000D_
Cardiac silhouette has a normal shape and size._x000D_
Pulmonary vessels are within normal limits of size and shape._x000D_
Pulmonary parenchyma shows a broncho-alveolar pulmonary pattern with air bronchograms ventrally located on both cranial lung lobes being more marked in the cranial segment of the left cranial lung lobe. No evidence of pulmonary nodules/masses._x000D_
Pleural space, mediastinum, diaphragm and thoracic wall within normal limits.</t>
  </si>
  <si>
    <t>1) Mildly gas distended esophagus compatible with aerophagia vs true mega esophagus (idiopathic vs hypothyroidism vs myasthenia gravis)_x000D_
2) Broncho-alveolar pulmonary pattern with air bronchograms ventrally located on both cranial lung lobes being more marked in the cranial segment of the left cranial lung lobe compatible with aspiration pneumonia.</t>
  </si>
  <si>
    <t>Four radiographs of the thorax, and a lateral view of the abdomen are provided. Images dated 6/12/24 are available for comparison. The cardiac silhouette and pulmonary vessels are normal size and shape. There is a small area of increased opacity overlying the cardiac apex on the left lateral view on June 12. This area is persistent, with small, faint air bronchograms on June 17. A mild mixed bronchointerstitial pattern is present throughout the remaining lungs. No pleural effusion. Tracheal diameter and position are normal. No laryngeal abnormalities. The esophagus is transiently dilated on the June 17 study, incidental. In the abdomen there is no effusion or organomegaly. The gastrointestinal tract is mildly filled. No radiopaque urolithiasis or foreign material.</t>
  </si>
  <si>
    <t>Persistent focal alveolar pattern in the right middle lung lobe, most consistent with aspiration pneumonia. Infectious etiology is also possible, in light of the mixed bronchointerstitial pattern. Otherwise normal thorax and abdomen.</t>
  </si>
  <si>
    <t>Study:_x000D_
Thoracic radiography: three images dated June 18,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included abdomen is unremarkable. There is narrowing of the T 11-T 12 intervertebral disc space with severe spondylosis deformans.</t>
  </si>
  <si>
    <t>1. Normal thorax. There is no radiographic evidence of cardiopulmonary disease or intrathoracic neoplasia/metastatic disease. A cause of coughing is not evident. Consider laryngeal paralysis Lack of a definitive bronchial pulmonary pattern does not exclude the possibility of allergic/inflammatory, infectious, irritant or parasitic bronchitis._x000D_
2. Chronic T 11-T 12 intervertebral disc disease.</t>
  </si>
  <si>
    <t>Sedated laryngeal exam, airway sampling plus/minus heartworm testing and Baermann fecal flotation can be considered to further evaluate the chronic coughing.</t>
  </si>
  <si>
    <t xml:space="preserve">
1.MILD BROCHOINTERSTITIAL PULMONARY PATTERN; CONCURRENT ATELECTASIS (MILD) SUSPECTED._x000D_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PERIHILAR INFILTRATE, DYNAMIC AIRWAY COLLAPSE or BRONCHIECTASIS or PLEURAL EFFUSION.</t>
  </si>
  <si>
    <t>5 images of the thorax and abdomen are provided for review.  The cardiovascular structures are normal.  Multiple, variably sized, soft tissue nodules and masses are present throughout the pulmonary parenchyma.  The mediastinal and pleural structures are normal.  Abdominal serosal detail is adequate in all quadrants.  The stomach contains a moderate amount of gas.  The small intestines are normal in size.  Gas and feces are present in the colon.  The urinary bladder is small.  The remaining abdominal organs are normal.</t>
  </si>
  <si>
    <t>Radiographically normal abdomen on the view provided.  Pulmonary nodules and masses concerning for metastatic neoplasia versus fungal infection.</t>
  </si>
  <si>
    <t>Fungal testing could be considered.  Airway sampling and lung aspirate may be helpful in definitive diagnosis.</t>
  </si>
  <si>
    <t xml:space="preserve">
1.PLEURAL EFFUSION or less likely, OVERLYING SKIN FOLDS MIMICKING PLEURAL FLUID; PULMONARY NODULAR PATTERN likely due to END ON PULMONARY VESSELS, PROMINENT COSTOCHONDRAL JUNCTIONS or OVERLYING CUTANEOUS NODULES; MILD BRONCHIAL PATTERN._x000D_
2.Based on these AI airway/pulmonary findings, the probability of this patient having clinically detectable respiratory signs is HIGH (75%)_x000D_
3.Pleural fissure lines or moderate to severe pleural effusion has been detected._x000D_
4.The evaluation has a strong suspicion of pulmonary nodules or mass lesion being present._x000D_
5.A mild bronchial pattern has also been detected._x000D_
6.MODERATE INTERSTITIAL to ALVEOLAR INFILTRATE; MILD BRONCHIAL PATTERN._x000D_
7.Based on the AI airway/pulmonary findings, the probability of this patient having clinically detectable respiratory signs is HIGH (75%)_x000D_
8.Are respiratory signs present? If NO._x000D_
9.A moderate perihilar infitlrate has been detected._x000D_
10.Are respiratory signs present? If YES._x000D_
11.The cardiac silhouette size is normal.</t>
  </si>
  <si>
    <t>Three radiographs of the thorax/abdomen are provided. There is moderate generalized cardiac silhouette enlargement. Subsequent dorsal deviation of the thoracic trachea and mainstem bronchi. The mainstem bronchi are compressed. The cranial pulmonary vein is slightly larger than the artery. There is a severe interstitial to alveolar pattern in the perihilar region. No pleural effusion. Possible redundant dorsal trachealis membrane in cervical region, of uncertain significance today. In the abdomen the liver is mild to moderately enlarged with smooth margins. No effusion. Normal sized spleen and kidneys. The gastrointestinal tract is mildly filled. No radiopaque cystic calculi. Degenerative change in the left coxofemoral joint.</t>
  </si>
  <si>
    <t>1. Moderate generalized cardiomegaly, most consistent with chronic degenerative mitral and tricuspid valve disease. There is pulmonary edema indicating left-sided heart failure. Mainstem bronchial compression could be contributing to respiratory signs._x000D_
2. Mild to moderate hepatomegaly, most likely due to venous congestion. Steroid or other hepatopathy is next on the differential list. Otherwise normal abdomen.</t>
  </si>
  <si>
    <t>Diuretic administration, CBC, blood chemistry profile, and echocardiogram are recommended.</t>
  </si>
  <si>
    <t xml:space="preserve">
1.Are respiratory signs present? If NO._x000D_
2.SEVERE INTERSTITIAL TO ALVEOLAR PATTERN; MODERATE BRONCHIAL PATTERN; SEVERE DYNAMIC AIRWAY DISEASE._x000D_
3.Based on these AI airway/pulmonary findings, the probability of this patient having clinically detectable respiratory signs is VERY HIGH (&gt;75%)_x000D_
4.Are respiratory signs present? If YES._x000D_
5.Severe cardiomegaly has been detected but Heart Failure is NOT suspected._x000D_
6.Pleural fissure lines or moderate to severe pleural effusion has been detected. An overlying skin fold or in an obese animal, excessive pericardial fat could artifactually mimic the result of severe pleural effusion.</t>
  </si>
  <si>
    <t>Thorax: There is mild generalized cardiomegaly.  On all views there is pulmonary underinflation.  There is moderate amount of fat within the cranial mediastinum.  There is no evidence of pleural effusion._x000D_
_x000D_
Abdomen: There is a spherical mineral opacity within the cranial dorsal left abdomen near midline and at the level of the cranial pole of the left kidney.  There is moderate diffuse hepatomegaly.  There is suboptimal peritoneal as well as suboptimal retroperitoneal detail.  There is moderate prostatomegaly.  There are segments of jejunum that appear to have diffuse wall thickening.</t>
  </si>
  <si>
    <t>Mild generalized cardiomegaly without evidence of decompensation._x000D_
_x000D_
Moderate diffuse hepatomegaly.  Differential considerations are numerous however may include a hepatopathy, hepatitis, congestion, or neoplasia._x000D_
_x000D_
The mineral opacity within the left cranial abdomen is suspicious for mineralization of the left adrenal gland.  Neoplasia should be considered._x000D_
_x000D_
Suboptimal peritoneal and retroperitoneal detail which may represent effusion._x000D_
_x000D_
Prostatomegaly.  This may represent residual hypertrophy if patient was castrated at an older age, prostatitis, or possible neoplasia._x000D_
_x000D_
Possible jejunal wall thickening.  This is not a definitive finding on survey radiography.  Differential considerations may include artifactual, variation of normal, enteritis, or IBD.</t>
  </si>
  <si>
    <t>Abdominal ultrasound would be beneficial for further evaluation.</t>
  </si>
  <si>
    <t>6 images of the thorax and proximal thoracic limbs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There is spondylosis deformans of the thoracolumbar spine.  The joint surfaces are smooth and regular.  Osteophytes present on the humeral epicondyles, proximal radii, and anconeal processes bilaterally.  The distal portion of the left humerus is caudally displaced.  Smoothly remodeled callus is seen along the left distal humerus.  No lytic lesions are seen.</t>
  </si>
  <si>
    <t>Radiographically normal thorax for patient of this age.  Left humeral malunion consistent with the previous history.  Severe bilateral elbow DJD.</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</si>
  <si>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A lobulated soft tissue mass is seen in the left dorsal abdomen in the area of the left kidney.  The right kidney is smoothly margined and normal in size.  The remaining abdominal organs are normal.</t>
  </si>
  <si>
    <t>Radiographically normal thorax for patient of this age.  Left renal mass concerning for neoplasia.  Polycystic disease cannot be completely excluded.</t>
  </si>
  <si>
    <t>Abdominal ultrasound or CT may be helpful in surgical planning.</t>
  </si>
  <si>
    <t xml:space="preserve">
1.In the PRESENCE of respiratory signs, low grade active pneumonitis (allergic, bacterial, parasitic (including heartworm disease), inhaled allergen or toxin) or upper airway disease causing pulmonary hypoinflation and/or recurrent microaspiration may be more likely._x000D_
2.MILD BRONCHOINTERSTITIAL PULMONARY PATTERN; MINIMAL to MILD PERIHILAR PATTERN._x000D_
3.Based on the AI airway/pulmonary findings, the probability of this patient having clinically detectable respiratory signs is LOW (25%)_x000D_
4.In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5.Mild cardiomegaly has been detected but Heart Failure is NOT suspected.</t>
  </si>
  <si>
    <t>8 views of the thorax and abdomen, pelvis, and pelvic limbs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moderate amount of food-like material.  The small bowel and colon are within normal limits.  The liver, spleen, and renal silhouettes are within normal limits._x000D_
The urinary bladder is not well-visualized.  Serosal detail is normal.  A mild amount of gas is noted in the peritoneal space._x000D_
The bilateral femoral heads are well-seated in the acetabula.  The coxofemoral joint spaces are congruent.  No degenerative changes are noted in either hip.  The sacroiliac joints are within normal limits.  The bilateral stifles and distal pelvic limbs appear within normal limits.</t>
  </si>
  <si>
    <t>Radiographically normal thorax.  No evidence of aspiration pneumonia is noted._x000D_
Mild pneumoperitoneum.  This is consistent with the history of recent laparotomy.  Otherwise, radiographically normal postprandial abdomen.</t>
  </si>
  <si>
    <t>No explanation for the reported leukocytosis is noted.  An abdominal ultrasound could be considered.  Otherwise, symptomatic/supportive medical management and repeat lab work in 7 to 10 days could be considered for further evaluation.</t>
  </si>
  <si>
    <t>Three radiographs of the thorax are provided. Images dated June 4, 2024 were reviewed. Cardiac silhouette and pulmonary vessels are normal size. There is a mild bronchial pattern throughout the lungs as before. Otherwise no pulmonary parenchymal abnormalities are present. There is no evidence of any interstitial/alveolar infiltrates that were present on the previous study. No pleural effusion. Fat deposition encircles the heart on the VD view. No tracheal abnormalities today. In the cranioventral abdomen, the round soft tissue contour seen on the right lateral view is fluid within the pylorus.</t>
  </si>
  <si>
    <t>Resolved pneumonia. Persistent mild bronchial pattern suggestive of chronic airway inflammation due to inhaled irritant/allergens.</t>
  </si>
  <si>
    <t xml:space="preserve">
1.MODERATE BROCHOINTERSTITIAL PULMONARY PATTERN; ATELECTASIS or less likley, PNEUMONIA._x000D_
2.Based on these AI airway/pulmonary findings, the probability of this patient having clinically detectable respiratory signs is MEDIUM (50%)_x000D_
3.Are respiratory signs present? If YES._x000D_
4.Are respiratory signs present? If NO._x000D_
5.The cardiac silhouette size is normal._x000D_
6.There is no evidence of PERIHILAR INFILTRATE or DYNAMIC AIRWAY COLLAPSE or BRONCHIECTASIS._x000D_
7.Pleural fissure lines or small volume pleural effusion has been detected. In a mildly overweight animal, excessive pericardial fat can artifactually mimic the result of minimal pleural effusion.</t>
  </si>
  <si>
    <t>Study:_x000D_
Thoracic and abdominal radiography: six images dated June 18, 2024_x000D_
_x000D_
Findings:_x000D_
The cardiac silhouette and pulmonary vasculature are normal in size. The pulmonary parenchyma is unremarkable. The pleural space is normal. There is no intrathoracic lymphadenopathy. The trachea is normal in diameter and course. There is no esophageal dilation. The stomach contains a small amount of heterogeneous soft tissue material. The small intestines are normal in size, course and content. The colon contains formed fecal material. The liver and spleen are normal in size and margin. The kidneys are normal in size and contour. The urinary bladder is normal in size and opacity. No skeletal abnormalities are present.</t>
  </si>
  <si>
    <t>1. Gastric contents likely represent ingesta. Foreign material cannot be completely excluded. There is no evidence of small intestinal mechanical obstruction. Abdominal sonography can be considered for further evaluation if clinical signs persist or worsen in spite of medical management._x000D_
2. Normal thorax.</t>
  </si>
  <si>
    <t xml:space="preserve">
1.The cardiac silhouette size is normal._x000D_
2.There is no evidence of BRONCHITIS, DYNAMIC AIRWAY COLLAPSE or BRONCHIECTASIS or PULMONARY NODULES._x000D_
3.A moderate interstitial to alveolar pattern has been detected._x000D_
4.Pleural fissure lines or moderate to severe pleural effusion has been detected. An overlying skin fold or in an obese animal, excessive pericardial fat could artifactually mimic the result of severe pleural effusion.</t>
  </si>
  <si>
    <t>Three radiographs of the thorax are provided. There is mild left-sided cardiomegaly. Pulmonary vessels and caudal vena cava are normal size. There is reduced visibility of right perihilar pulmonary vessels on the VD view, which is partially expiratory. Otherwise the lungs are clear. No pleural effusion. Mild narrowed caudal cervical trachea. No esophageal dilation. Normal cranial abdomen.</t>
  </si>
  <si>
    <t>1. Mild left-sided cardiomegaly consistent with acquired mitral valve disease. Loss of right perihilar vessel visibility is concerning for pulmonary edema secondary to left-sided heart failure. Dorsal recumbency and poor lung aeration could mimic pulmonary edema._x000D_
2. Probable dynamic cervical tracheal collapse, likely contributing to the cough.</t>
  </si>
  <si>
    <t>An echocardiogram is recommended. Also recommend obtaining a dorsoventral projection (instead of a VD view) now, and on all future studies for this patient. This will allow for maximum dorsal lung aeration to help rule in/out pulmonary edema.
(amended on 06/18/2024 09:36)
If the patient has increased respiratory rate/effort, abnormal lung auscultation, and exercise intolerance, heart failure would be likely and diuretic administration would be recommended.</t>
  </si>
  <si>
    <t xml:space="preserve">
1.The cardiac silhouette size is normal._x000D_
2.There is no evidence of BRONCHITIS, DYNAMIC AIRWAY COLLAPSE or BRONCHIECTASIS or PLEURAL EFFUSION._x000D_
3.A minimal perihilar infiltrate has been detected.</t>
  </si>
  <si>
    <t>8 radiographs of the thorax and abdomen are submitted for review._x000D_
In the thorax,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liver is moderately enlarged with smooth serosal margins.  The visible margins of the spleen, renal silhouettes, and urinary bladder appear within normal limits.  A few punctate mineral opacity structures are seen superimposed with the urinary bladder on the lateral views.  A moderate amount of amorphous soft tissue opacity material is noted in the stomach.  The small bowel is generally normal and uniform in diameter and also contains a mild amount of ingesta.  A moderate amount of formed stool is noted in the colon and the initial views which has been evacuated in the last 2 images.  Serosal detail is adequate.  Chronic intervertebral disc disease is noted in the caudal thoracic and cranial lumbar spine.  No aggressive bony changes are noted.</t>
  </si>
  <si>
    <t>The material in stomach is nonspecific and could be associated with radiolucent foreign material, food, or admixture of both.  No evidence of mechanical obstruction of the small bowel is seen._x000D_
Moderate hepatomegaly.  This is most consistent with vacuolar hepatopathy._x000D_
Suspect multiple very small cystic calculi._x000D_
Chronic intervertebral disc disease in the thoracolumbar spine of unknown clinical significance.</t>
  </si>
  <si>
    <t>Symptomatic/supportive medical management appears appropriate in the short-term.  Repeat abdominal radiographs after a 12 to 24-hour fast could be considered to monitor for gastric emptying.  An abdominal ultrasound could also be considered.  A urinalysis also appears indicated.</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</si>
  <si>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mildly beyond the costal arch.  The stomach contains a moderate amount of ingesta.  The small intestines are normal in size.  Gas and feces are present in the colon.  The urinary bladder is small.  The remaining abdominal organs are normal.  Spinal alignment is normal with no consistently narrowed intervertebral disc spaces.  No fractures or aggressive osseous lesions are seen.</t>
  </si>
  <si>
    <t>Mild hepatomegaly=ZZ90= this is a nonspecific finding that may be seen with congestion, vacuolar hepatopathy, inflammation, neoplasia, etc.  Abdominal ultrasound may be helpful in further evaluation if biochemically indicated.  Radiographically normal thorax for patient of this age.</t>
  </si>
  <si>
    <t xml:space="preserve">
1.MILD BRONCHOINTERSTITIAL PULMONARY PATTERN; MINIMAL to MILD PERIHILAR PATTERN._x000D_
2.Based on the AI airway/pulmonary findings, the probability of this patient having clinically detectable respiratory signs is LOW (25%)_x000D_
3.In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4.In the PRESENCE of respiratory signs, low grade active pneumonitis (allergic, bacterial, parasitic (including heartworm disease), inhaled allergen or toxin) or upper airway disease causing pulmonary hypoinflation and/or recurrent microaspiration may be more likely._x000D_
5.Pleural fissure lines or moderate pleural effusion has been detected. An overlying skin fold or in a moderately overweight animal, excessive pericardial fat could artifactually mimic the result of moderate pleural effusion._x000D_
6.The evaluation has come up positive for a pulmonary nodular pattern._x000D_
7.The cardiac silhouette size is normal.</t>
  </si>
  <si>
    <t>Orthogonal views of the thorax are provided:_x000D_
_x000D_
Thorax:_x000D_
_x000D_
Cardiac silhouette shows a mild enlargement of the left atrium dorsally displacing the carina._x000D_
Pulmonary vessels are within normal limits of size and shape._x000D_
Pulmonary parenchyma shows a very suspicious pulmonary nodule ventral to T5-T6 of a very similar size between both lateral views, likely axially located and not distinguished in the VD view._x000D_
Pleural space, mediastinum, diaphragm and thoracic wall within normal limits._x000D_
Mammary mass protruding ventrally.</t>
  </si>
  <si>
    <t>1) Highly suspicious pulmonary nodule ventral to T5-T6. Metastatic nodule vs primary pulmonary neoplasia._x000D_
2) Left atrial enlargement secondary to chronic mitral endocardiosis vs DCM, without signs of CHF._x000D_
3) Mammary mass: neoplasia vs hyperplasia unlikely.</t>
  </si>
  <si>
    <t>Consider a cardiology consultation with ECG and echocardiogram prior to a CT of the thorax to rule in/out the described pulmonary nodule and other potential nodules also evaluating the axillary region for axillary lymphadenopathy.</t>
  </si>
  <si>
    <t xml:space="preserve">
1.Are respiratory signs present? If NO._x000D_
2.AI linked bacterial pneumonia treatment in dogs: https://platform.v2.vetology.net/doc/pneumonia-in-dogs-and-cats_x000D_
3.Are respiratory signs present? If NO._x000D_
4.The evaluation has come up positive for a pulmonary nodular pattern._x000D_
5.Mild cardiomegaly has been detected but Heart Failure is NOT suspected._x000D_
6.Are respiratory signs present? If YES._x000D_
7.MODERATE INTERSTITIAL TO ALVEOLAR INFILTRATE; CONCURRENT MODERATE BRONCHIAL PATTERN; MILD PERIHILAR INFILTRATE._x000D_
8.MODERATE BRONCHOINTERSTITIAL PULMONARY PATTERN; ALVEOLAR INFILTRATE or ATELECTASIS; DYNAMIC AIRWAY DISEASE._x000D_
9.Based on the AI airway/pulmonary findings, the probability of this patient having clinically detectable respiratorysigns is MEDIUM to HIGH (50-75%)_x000D_
10.Based on these AI airway/pulmonary findings, the probability of this patient having clinically detectable respiratory signs is HIGH (75%)_x000D_
11.Are respiratory signs present? If YES.</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</si>
  <si>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t>
  </si>
  <si>
    <t>Consider abdominal US to further evaluate potential causes of vomition prior to an empirical treatment for chronic bronchitis evaluating response to treatment. If clinical signs persist, consider a bronchoscopy with BAL, culture, cytology, Baermann test and deworming.</t>
  </si>
  <si>
    <t xml:space="preserve">
1.Based on these AI airway/pulmonary findings, the probability of this patient having clinically detectable repsiratory signs is VERY HIGH (&gt;75%)_x000D_
2.Are respiratory signs present? If YES._x000D_
3.Are respiratory signs present? If NO._x000D_
4.SEVERE INTERSTITIAL TO ALVEOLAR PATTERN; MODERATE BRONCHIAL PATTERN; MODERATE DYNAMIC AIRWAY DISEASE._x000D_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suspected._x000D_
7.The evaluation has a strong suspicion of pulmonary nodules or mass lesion being present._x000D_
8.AI linked pneumonia in dogs article: https://platform.v2.vetology.net/doc/pneumonia-in-dogs-and-cats</t>
  </si>
  <si>
    <t>3 views of the thorax are provided for review.  The trachea is dorsally deviated, indicating left ventricular enlargement.  The cardiac silhouette is widened with rounding of the right ventricular margin.  No left atrial enlargement is seen.  Thin pleural fissure lines are present.  No pulmonary infiltrates are seen.  The pulmonary vasculature is normal to small in size.  The mediastinal structures are normal.  Cranial abdominal detail is adequate._x000D_
_x000D_
Echocardiogram images and video clips are also provided for review.  The right ventricle and atrium are markedly enlarged.  There is increased pressure within the right side of the heart, evidenced by flattening of the interventricular septum.  Regurgitation is demonstrated at the tricuspid valve.  No pericardial effusion is seen.</t>
  </si>
  <si>
    <t>Predominantly right-sided cardiomegaly with evidence of increased right ventricular pressure (tricuspid regurgitation and flattening of the interventricular septum).  Consider cardiology evaluation to determine an underlying cause.  Potential causes include idiopathic pulmonary hypertension, pulmonic stenosis, right to left shunt, heartworm disease.</t>
  </si>
  <si>
    <t xml:space="preserve">
1.Moderate dynamic airway disease has been detected._x000D_
2.A minimal interstitial pattern has been detected._x000D_
3.The cardiac silhouette size is normal._x000D_
4.There is no evidence of ALVEOLAR PATTERN, PULMONARY NODULES or PLEURAL EFFUSION.</t>
  </si>
  <si>
    <t>5 images of the thorax and right pes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The joint surfaces are smooth and regular.  No fractures or aggressive osseous lesions are seen.  Increased soft tissue surrounds the fourth digit.</t>
  </si>
  <si>
    <t>Radiographically normal thorax for patient of this age.  Right fourth digit soft tissue swelling of unknown origin.  No lytic changes are seen to indicate osseous involvement.</t>
  </si>
  <si>
    <t>Aspirate may be helpful.</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</si>
  <si>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Bilateral chronic osteophytoses in the elbows from elbow dysplasia._x000D_
_x000D_
Abdomen:_x000D_
_x000D_
The stomach is distended with food._x000D_
Small intestines are mildly gas and fluid filled, not overtly distended. No signs of mechanical ileus._x000D_
Serosal detail is preserved._x000D_
Liver extends beyond the costal arch with sharp margins._x000D_
Spleen is within normal limits of size and smoothly marginated with a questionable nodular image or mass superimposed with its ventral extremity vs folded ventral extremity._x000D_
Kidneys and urinary bladder WNL._x000D_
_x000D_
Multifocal signs of chronic IVDD.</t>
  </si>
  <si>
    <t>1) Unremarkable thorax without signs of pulmonary metastases nor signs of thoracic lymphadenopathy._x000D_
2) Hepatomegaly: Metabolic vs Vacuolar infiltration vs Hepatic nodular hyperplasia vs Inflammatory vs Toxic vs Neoplastic or a combination of these differentials._x000D_
3) Rule out splenic nodule or mass vs folded spleen.</t>
  </si>
  <si>
    <t>Consider abdominal US to further evaluate the liver and the spleen.</t>
  </si>
  <si>
    <t>Patient Name : Ruby Cooper, Date of study: Jun 17, 2024
3 images are provided for review
Canine Thorax (3 Images) - 2 Lateral, 1 Vd
There are no previous radiographs for comparison.
Pulmonary parenchyma: A minimal to mild interstitial pattern is present that is most severe in the  caudal lung lobes in the ventrodorsal image.  A minimal to mild diffuse bronchial pattern is present.  
Pulmonary vasculature: The pulmonary vasculature is partially obscured without obvious enlargement.
Cardiac silhouette: The cardiac silhouette is moderately enlarged and tall, occupying greater than 2/3 the height of the thorax. The trachea is dorsally displaced. The caudodorsal margin of the cardiac silhouette is enlarged. Rounded increased soft tissue is present in the region of the left atrium in the ventrodorsal image. A soft tissue bulge is at the 2-3 o'clock position of the cardiac silhouette (left auricular appendage).
Mediastinum: The cranial mediastinum is normal.
Trachea: The trachea is normal.
Esophagus: The esophagus is not well-identified.
Pleural space: A pleural fissure is thickened between the right cranial/middle lung lobes.  
Musculoskeletal: The included musculoskeletal structures are normal.</t>
  </si>
  <si>
    <t xml:space="preserve">1. Moderate left-sided cardiomegaly such as from myxomatous mitral valvular disease and insufficiency.
2. Minimal to mild interstitial pulmonary pattern, most severe in the caudal lung lobes, with mild right-sided pleural fluid.
- Differential diagnoses include left-sided congestive heart failure or unlikely other.
3. Minimal to mild diffuse bronchial pulmonary pattern due to infectious/inflammatory lower airway disease such as from mycoplasma spp., bordetella spp., parasitism, or inhaled allergen/irritant, or evolving left-sided congestive heart failure.  </t>
  </si>
  <si>
    <t>Diuretic therapy and oxygen therapy, with repeat thoracic radiographs after 4-6 hours to monitor for progression/resolution of the pulmonary pattern. Echocardiography, eCG and blood pressure once stable. Routine blood work and urinalysis if not recently performed. Empirical therapy and supportive care in the interim as needed. Monitoring as directed or sooner if acute cardiopulmonary signs manifests.</t>
  </si>
  <si>
    <t xml:space="preserve">
1.MODERATE INTERSTITIAL TO ALVEOLAR INFILTRATE; MILD BRONCHIAL PATTERN; MILD PERIHILAR INFILTRATE._x000D_
2.Based on these AI airway/pulmonary findings,  the probability of this patient having clinically detectable respiratory signs is HIGH (75%)_x000D_
3.Are respiratory signs present? If YES._x000D_
4.Are respiratory signs present? If NO._x000D_
5.Severe cardiomegaly has been detected but Heart Failure is NOT suspected.</t>
  </si>
  <si>
    <t>A three view study of the thorax including the neck and orthogonal abdomen views are provided._x000D_
_x000D_
No laryngeal or tracheal abnormalities are identified. The esophagus is not visualized, which is considered normal. The cardiopulmonary structures are within normal limits. No pleural abnormalities are seen._x000D_
The GI tract is unremarkable. The other abdominal organs are also within normal limits.</t>
  </si>
  <si>
    <t>No significant anatomic abnormalities are identified in the radiographs.</t>
  </si>
  <si>
    <t>The cause of the clinical signs is not apparent in the radiographs. Symptomatic therapy and observation only is recommended at this time, follow up radiographs or endoscopy if clinical signs persist.</t>
  </si>
  <si>
    <t>Study:_x000D_
Thoracic and abdominal radiography: five images dated June 17, 2024_x000D_
_x000D_
Findings:_x000D_
The cardiac silhouette and pulmonary vasculature are normal in size. The pulmonary parenchyma is unremarkable. The pleural space is normal. There is no intrathoracic lymphadenopathy. The trachea is normal in diameter and course. There is no esophageal dilation. The abdominal serosal detail is normal. The stomach contains a small volume of gas. There is heterogeneous soft tissue material and small intestinal segments in the mid-in caudal abdomen. The small intestines are normal in diameter. The colon contains formed fecal material. The liver and spleen are normal in size and margin. The kidneys are normal in size and contour. The urinary bladder is normal in size and opacity. TPLO implants are present in the proximal tibia bilaterally. There is mild bilateral stifle periarticular bone formation. There is mild L3-L4 spondylosis deformans. There is moderate to severe right hip dysplasia and remodeling/thickening of the femoral head and neck. The left femoral head and neck also appear mildly thickened. Mild periarticular bone formation present at the craniolateral margin of the acetabulum bilaterally.</t>
  </si>
  <si>
    <t>1. The heterogeneous soft tissue material seen in the small intestinal segments in the mid and caudal abdomen may represent food and/or foreign material. There is no small intestinal dilation to suggest mechanical obstruction. Repeat fasted radiography can be considered to ensure intestinal emptying. Alternatively, sonography can be considered if clinical signs persist or worsen in spite of medical management._x000D_
2. Normal thorax. There is no esophageal foreign body._x000D_
3. Mild bilateral stifle osteoarthrosis._x000D_
4. Moderate to severe right hip dysplasia and coxofemoral osteoarthrosis. There is also mild left coxofemoral osteoarthrosis.</t>
  </si>
  <si>
    <t>Abdomen: There is a shallow like mineral opacity involving the cranial ventral right abdomen at the normal anatomical location as that of the gallbladder.  The liver is diffusely enlarged.  The spleen is unremarkable.  There are no abnormalities involving the visible portions of the urinary or gastrointestinal tract.  Serosal detail is normal.  There is moderate prostatomegaly._x000D_
_x000D_
Thorax: There is mild pleural effusion with a faint pleural fissure line located between the right cranial and right middle lung lobes.  The cardiac silhouette and pulmonary vasculature are unremarkable.</t>
  </si>
  <si>
    <t>The mineral opacity involving the right cranial abdomen may represent a gallbladder calculus, dystrophic mineralization of the gallbladder wall, or possible focal dystrophic mineralization within the liver._x000D_
_x000D_
Diffuse hepatomegaly.  Differential considerations are numerous however may include a hepatopathy, hepatitis, congestion, or neoplasia._x000D_
_x000D_
Suspect benign prostatic hypertrophy._x000D_
_x000D_
Mild right-sided pleural effusion.</t>
  </si>
  <si>
    <t xml:space="preserve">
1.MODERATE INTERSITIAL TO ALVEOLAR PATTERN; MILD PERIHILAR INFILTRATE._x000D_
2.Based on these AI airway/pulmonary findings, the probability of this patient having clinically detectable respiratory signs is MEDIUM (50%)._x000D_
3.AI linked bacterial pneumonia treatment in dogs: https://platform.v2.vetology.net/doc/pneumonia-in-dogs-and-cats_x000D_
4.Are respiratory signs present? If YES._x000D_
5.Are respiratory signs present? If NO._x000D_
6.Pleural fissure lines or moderate to severe pleural effusion has been detected. An overlying skin fold or in an obese animal, excessive pericardial fat could artifactually mimic the result of severe pleural effusion._x000D_
7.The cardiac silhouette size is normal._x000D_
8.There is no evidence of DYNAMIC AIRWAY COLLAPSE or BRONCHIECTASIS.</t>
  </si>
  <si>
    <t>Study:_x000D_
Thoracic/abdominal radiography: right lateral and orthogonal views dated June 17, 2024_x000D_
_x000D_
Findings:_x000D_
The cardiac silhouette and pulmonary vasculature are normal in size. The pulmonary parenchyma is unremarkable. The pleural space is normal. There is no intrathoracic lymphadenopathy. The trachea is normal in diameter and course. The stomach and some small intestinal segments contain unstructured heterogeneous/granular soft tissue material presumed to be ingesta. The small intestines are normal in size and course. The colon contains gas and formed fecal material. The liver appear small on the lateral projection with cranial rotation of the gastric axis. The spleen is normal in size and margin. The left kidney is normal in size and contour. The right kidney is not clearly visualized due to visceral crowding. The urinary bladder is also not visualized and is likely small/empty. There are no apparent calculi in the region of the bladder or urethra. There is no uterine dilation. The osseous structures are unremarkable.</t>
  </si>
  <si>
    <t>1. While the urinary bladder is not visualized and likely small/empty, there is no evidence of urocystolithiasis. Urine culture and abdominal sonography can be considered for further evaluation of the persistent urinary tract infection._x000D_
2.Microhepatia. Rule out normal variant, vascular anomaly or chronic hepatitis/cirrhosis. Correlate with any liver enzyme abnormalities. Abdominal sonography and bile acid testing can be considered for further evaluation if clinically relevant._x000D_
3. Normal thorax.</t>
  </si>
  <si>
    <t xml:space="preserve">
1.MILD INTERSTITIAL to ALVEOLAR INFILTRATE; MILD PERIHILAR INFILTRATE._x000D_
2.Based on these AI airway/pulmonary findings, the probability of this patient having clinically detectable respiratory signs is MEDIUM (50%)_x000D_
3.Are respiratory signs present? If YES._x000D_
4.The cardiac silhouette size is normal._x000D_
5.There is no evidence of DYNAMIC AIRWAY COLLAPSE or BRONCHIECTASIS._x000D_
6.Are respiratory signs present? If NO._x000D_
7.The evaluation has come up positive for a pulmonary nodular pattern.</t>
  </si>
  <si>
    <t xml:space="preserve">Patient Name : Maximus Ramos, Date of study: June 17, 2024
3 images are provided for review
There are no previous radiographs for comparison.
Pulmonary parenchyma: A mild diffuse bronchial pattern is present.
Pulmonary vasculature: The pulmonary vasculature is subjectively normal in size and tapers in the periphery of the lungs.
Cardiac silhouette: The cardiac silhouette is has a flattened caudodorsal margin.  Mild rounded increased soft tissue is suspected in the region of the left atrium in the ventrodorsal image.
Mediastinum: The cranial mediastinum is normal.
Trachea: The trachea is normal.
Esophagus: The esophagus is not well-identified.
Pleural space: The pleural space is normal.
Musculoskeletal: The included musculoskeletal structures are normal.
</t>
  </si>
  <si>
    <t>1. Mild left-sided cardiomegaly such as from myxomatous mitral valvular disease and insufficiency, or unlikely other.
2. Mild diffuse bronchial pulmonary pattern due to infectious/immune-mediated lower airway disease (mycoplasma spp., bordetella spp., parasitism such as lung worms, or inhaled allergen/irritant), fibrosis from prior disease, age-related changes, or less likely other.
3. There is no current evidence of cardiogenic pulmonary edema.</t>
  </si>
  <si>
    <t>Echocardiography, ECG and blood pressure for further evaluation.  Routine blood work and urinalysis may be contributor if not recently performed.  Monitoring as directed or sooner if clinical signs acutely change, fail to improve or worsen.</t>
  </si>
  <si>
    <t>Study:_x000D_
Thoracic/abdominal radiography: eight images dated June 17, 2024_x000D_
_x000D_
Findings:_x000D_
The cardiac silhouette and pulmonary vasculature are normal in size. On both lateral projections, there is a round 1.2 cm soft tissue opacity cranial ventral to the border of the cardiac silhouette. This finding is not seen on the orthogonal view. The pleural space is normal. There is no intrathoracic lymphadenopathy. The trachea is normal in diameter and course. The stomach contains a small volume of gas. The small intestines are gas and fluid-filled and normal in size and course. The small intestinal gas is a smoothly marginated fragmented appearance in some small intestinal segments. The colon contains formed fecal material with a normal diameter. The liver extends mildly beyond the costal arch with smooth margins. The spleen is normal in size and margin. The renal silhouettes are normal in size and contour. The urinary bladder is normal in size and opacity. There is variable mild to severe multifocal thoracolumbar spondylosis deformans.</t>
  </si>
  <si>
    <t>1. The smoothly marginated fragmented gas pattern seen in some small intestinal segments can be an indicator of nonspecific enteritis. There is no radiographic evidence of gastrointestinal foreign material or small intestinal mechanical obstruction. Abdominal sonography can be considered for further evaluation if clinical signs persist or worsen in spite of medical management._x000D_
2. The generalized hepatomegaly is nonspecific. Rule out metabolic/vacuolar hepatopathy, hyperplasia, hepatitis or infiltrative neoplasia. Sonography can be considered for further evaluation._x000D_
3. Suspect pulmonary nodule (neoplasia or granuloma). As the lesion is not seen on the VD view of the thorax, superimposition of a subcutaneous or cutaneous nodule cannot be completely excluded. Computed tomography of the thorax can be considered for further evaluation.</t>
  </si>
  <si>
    <t>11 images of the thorax and abdomen are presented for review.  The cardiovascular and pulmonary structures are normal.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No metallic foreign material is seen.  The joint surfaces are smooth and regular.  Mild gas is seen in the subcutaneous tissues cranial to the right proximal humerus.  No fractures or aggressive osseous lesions are seen.</t>
  </si>
  <si>
    <t>Radiographically normal thorax.  Mild subcutaneous emphysema cranial to the right humerus.  No evidence of projectile foreign material to indicate gunshot wound.  Radiographically normal abdomen on the view provided.</t>
  </si>
  <si>
    <t xml:space="preserve">
1.MINIMAL INTERSTITIAL PATTERN; MINIMAL PERIHILAR INFILTRATE._x000D_
2.Based on these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DYNAMIC AIRWAY COLLAPSE or BRONCHIECTASIS or PLEURAL EFFUSION.</t>
  </si>
  <si>
    <t>Opposite lateral and VD thoracoabdominal views are provided._x000D_
_x000D_
The patient has thin body condition. There is mild narrowing of the T12-T13 intervertebral disc space._x000D_
Moderate alveolar infiltrates are identified in the lungs, primarily involving the right middle lung field and the left cranial lobe. The associated bronchi also appear thickened. The other lung fields have mild bronchial mineralization that more likely represent age related change. The caudal vena cava appears markedly diminished in all the lateral views. The heart is within normal size and shape limits._x000D_
The abdominal organs are within normal size and shape limits. The cecum and transverse colon are gas filled. There are a few gas filled small bowel loops, but none appear pathologically distended. No foreign bodies are identified in the GI tract. The rectum is mildly distended with fecal material. Abdominal serosal detail is normal considering the thin body condition of the patient.</t>
  </si>
  <si>
    <t>The pulmonary changes are consistent with pneumonia. Aspiration should be considered as a possible explanation given the history of vomiting._x000D_
_x000D_
The small appearance of the caudal vena cava is consistent with hypovolemia. The appearance is more dramatic than what would typically be expected given the clinical finding of mild dehydration. Hypoadrenocorticism should be ruled out._x000D_
_x000D_
The gassy appearance of the intestine is relatively mild and not indicative of specific pathology. Pancreatitis or enteritis would be primary differentials. Infectious causes of enteritis should be ruled out.</t>
  </si>
  <si>
    <t>Supportive care and symptomatic therapy for gastroenteritis/pancreatitis is recommended._x000D_
_x000D_
Antibiotic therapy for pneumonia is also recommended. Recheck radiographs are recommended in 5 to 7 days, or sooner if clinical signs are not improving.</t>
  </si>
  <si>
    <t xml:space="preserve">
1.MINIMAL TO MILD BRONCHOINTERSTITIAL PULMONRAY PATTERN; MILD PERIHILAR PATTERN; OVERLYING CUTANEOUS NODULES or END-ON VESSELS._x000D_
2.MODERATE ALVEOLAR INFILTRATE; DIFFUSE BRONCHOINTERSTITIAL PATTERN; PERIHILAR OPACITY._x000D_
3.Based on the AI airway/pulmonary findings, the probability of this patient having clinically detectable respiratory signs due to lower airway disease is LOW (25%) with the exception of acute tracheobronchitis or PTE._x000D_
4.Based on the AI airway/pulmonary findings, the probability of this patient having clinically detectable respiratory signs is MEDIUM (50%)_x000D_
5.Are respiratory signs present? If YES._x000D_
6.Are respiratory signs present? If YES._x000D_
7.There is detection of a few small soft tissue opacities overlying the lungs._x000D_
8.Are respiratory signs present? If NO._x000D_
9.Are respiratory signs present? If NO._x000D_
10.The cardiac silhouette size is normal.</t>
  </si>
  <si>
    <t xml:space="preserve">Patient Name : Violet Edwards, Date of study: Jun 17, 2024
4 images are provided for review
There are no previous radiographs for comparison.
Bones/Joints:   The L1-2 intervertebral disc space is severely narrow.  The endplates are smooth, well-defined, and sclerotic.  Ventral and lateralized spondylosis deformans is present.  A small mineral focus with smooth, well-defined margins superimposes over the L1-2 intervertebral foramina.  The T12-13 intervertebral disc space is mildly narrow.    Minimal mineral superimposes over the L5-6 and L6-7 intervertebral foramina.  The mineral over L5-6 is just dorsal to the intervertebral disc space, smoothly marginated and well-defined.  The mineral over L6-7 is pin-point over the central of the foramina.  
Soft tissues:  The patient is thin with undulant soft tissue between some spinous processes. </t>
  </si>
  <si>
    <t xml:space="preserve">1. L1-2 intervertebral disc space narrowing and sclerosis versus superimposed spondylosis, and possible extruded mineral material.
2. T12-13 intervertebral disc disease.
3. Suspected dural mineralization or herniated mineralized disc material, L5-6 
4. Possible extruded intervertebral mineral versus artifact or other, L6-7.
5. Thin body condition.  </t>
  </si>
  <si>
    <t>Consider neurologist consultation and MRI for further evaluation.  Routine blood work and thoracic imaging to screen for occult systemic disease prior to referral.  Empirical therapy and supportive care in the interim as needed.  Monitoring as directed, or sooner if clinical signs acutely change, fail to improve or worsen.</t>
  </si>
  <si>
    <t>Six orthogonal survey radiographs of the thorax and abdomen dated 17th June 2024 are available for review. There are no previous radiographs available for comparison. _x000D_
_x000D_
Thorax: _x000D_
Airway findings: The cervical and thoracic trachea have a normal size, outline and position. The carina, tracheal bifurcation and mainstem bronchi are normal. The pulmonary parenchyma is normal. There is no evidence for free air within the pleural space._x000D_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hepatic silhouette is normal in size with smooth borders. The spleen is normal in shape, size and position. The kidneys are partially obscured by gastrointestinal contents, but the visible aspect are normal. The stomach is mainly empty, with a normal axis. The small intestines are distributed evenly and are within normal limits for shape, size and contents. The ascending, transverse and descending colon have a normal position and contain gradually more formed faeces. The urinary bladder is filled. There is a mild diffuse loss of serosal detail, predominantly in the centre of the abdomen._x000D_
_x000D_
Musculoskeletal findings: There is moderate to severe swelling of the cervical and dorsal thoracic soft tissues, with irregular and linear gas lucencies extending down the shoulder and axillary region.</t>
  </si>
  <si>
    <t>1. The findings are consistent with lacerations most likely due to bite wounds with secondary emphysema and cellulitis. There is no evidence for pulmonary contusion, haemorrhage. The loss of serosal detail is suspicious of an inflammatory transudate, potentially due to contusion. There is no evidence for intestinal perforation.</t>
  </si>
  <si>
    <t>Supportive management for multiple lacerations as advised. Monitor for onset of respiratory difficulty, or digestive tract findings, and repeat radiographs as clinically indicated.</t>
  </si>
  <si>
    <t>Patient Name: Chloe Sullivan, Date of study: June 17, 2024.
Canine Thorax (2 Images) - 1 Lateral, 1 VD
There are no previous radiographs for comparison.
Findings:
Cardiac silhouette: There is a focal convex soft tissue bulge in the cranial aspect of the cardiac silhouette, consistent with incidental herniation of the right auricle. The cardiac silhouette is otherwise normal in size and shape.
Pulmonary vessels: The pulmonary arteries and veins are normal in size and are symmetrical.
Pulmonary parenchyma: The pulmonary parenchyma is normal with no evidence of consolidation, soft tissue opaque pulmonary nodules, or masses.
Pleural space: The pleural space is within normal limits.
Mediastinum: The mediastinum is normal in width and opacity.
Trachea: The trachea is within normal limits of diameter and course.
Esophagus: The region of the esophagus is unremarkable.
Musculoskeletal: The musculoskeletal and superficial soft tissue structures of the study are within normal limits.</t>
  </si>
  <si>
    <t>Unremarkable thorax.
- There is no evidence of pneumonia, congestive heart failure, or pulmonary metastatic disease. Referred pain from the reported cat altercation may explain elevated respiratory rate. 
-Incidentally, there is evidence of right auricular herniation.
-Chronic bronchitis cannot be excluded as a cause of an occasional cough. Differentials for chronic bronchitis include allergic, infectious/inflammatory, and irritant etiologies.</t>
  </si>
  <si>
    <t>-CBC, biochemistry, and urinalysis are recommended to screen for systemic disease which may be contributing to clinical signs.
-If chronic bronchitis is clinically suspected, airway sampling (respiratory PCR, lavage, wash) would be recommended.</t>
  </si>
  <si>
    <t xml:space="preserve">Patient Name : Barney Darden, Date of study: Jun 17, 2024
3 images are provided for review
Canine Thorax (3 Images) - 1 Vd, 2 Lateral
There are no previous radiographs for comparison.
Pulmonary parenchyma: In the ventral periphery of the right middle lung lobe is a moderate alveolar pattern with faint air-bronchograms and lobar margination with the right caudal lung lobe.  A mild to moderate alveolar pattern is in the ventral periphery of the caudal subsegment of the left cranial lung lobe, with faint air-bronchograms.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A thin pleural fissure lin between the right middle/caudal lung lobes does not widen in the periphery.
Musculoskeletal: The included musculoskeletal structures are normal.
</t>
  </si>
  <si>
    <t xml:space="preserve">1. Bilateral ventral alveolar patterns, worse on the right.
- Differential diagnoses include bronchopneumonia/aspiration pneumonia or unlikely other such as hemorrhage or atypical neoplasia, or atypical left-sided congestive heart failure, or other.
2. Minimal diffuse bronchial pattern due to fibrosis from prior disease, infectious/immune-mediated lower airway disease, or less likely artifact from positioning and/or phase of the respiratory cycle.
3. Thin pleural fissure line from tangential beam artifact, pleural thickening/folding, or evolving pleural fluid.  </t>
  </si>
  <si>
    <t xml:space="preserve">Therapy for suspected pneumonia with broad-spectrum antibiotics and monitoring with serial radiographs.  Continue therapy for 1-2 weeks past radiographic resolution, presuming the patients condition is improving. Routine blood work if not recently performed. Consider abdominal imaging to screen for systemic disease. If dyspnea manifests, repeat thoracic radiographs, and consider oxygen therapy/diuretic therapy given reported cardiac murmur, with serial radiographs to monitor for resolution/progression of pulmonary pattern.  Echocardiography, ECG and blood pressure may be contributory given reported murmur.  Finally, consider computed tomography if signs fail to improve or worsen, and lesions persist in the face of therapy.  In this case, consider more likely atypical neoplasia versus other.  Monitoring as directed, or sooner if signs fail to improve, change or worsen in the face of empirical therapy.  </t>
  </si>
  <si>
    <t xml:space="preserve">
1.Are respiratory signs present?  If YES._x000D_
2.MODERATE INTERSTITIAL TO ALVEOLAR INFILTRATE; MINIMAL BRONCHIAL PATTERN; MINIMAL PERIHILAR INFILTRATE._x000D_
3.Based on these AI airway/pulmonary findings, the probability of this patient having clinically detectable respiratory signs is MEDIUM (50%)_x000D_
4.Are respiratory signs present? If NO._x000D_
5.Mild cardiomegaly has been detected but Heart Failure is NOT suspected._x000D_
6.A minimal bronchointerstitial pulmonary pattern and concurrent, minimal dynamic airway disease have been detected.</t>
  </si>
  <si>
    <t>Study:_x000D_
Thoracic/abdominal radiography: three images dated June 17, 2024_x000D_
_x000D_
Findings:_x000D_
The cardiac silhouette and pulmonary vasculature are normal in size. The pulmonary parenchyma is unremarkable. The pleural space is normal. There is no intrathoracic lymphadenopathy. The trachea is normal in diameter and course. The stomach contains gas with the pylorus appropriately gas-filled on the left lateral image. The small intestines are normal in size, course and content. The colon contains formed fecal material. The liver and spleen are normal in size and margin. The kidneys are normal in size and contour. The urinary bladder is normal in size and opacity. There is no uterine dilation. The osseous structures are unremarkable. The patient is of obese body condition.</t>
  </si>
  <si>
    <t>1. Normal thorax. There is no radiographic evidence of cardiopulmonary disease. A cause of the respiratory signs is not evident. Lack of a definitive bronchial pulmonary pattern does not exclude the possibility of allergic/inflammatory, infectious, irritant or parasitic bronchitis. Normal diameter of the trachea does not exclude the possibility of dynamic airway disease. Sedated laryngeal exam, airway sampling, fluoroscopy plus/minus heartworm testing and Baermann fecal flotation can be considered for further evaluation of the reported coughing._x000D_
2. Unremarkable abdomen.</t>
  </si>
  <si>
    <t xml:space="preserve">
1.Are respiratory signs present? If NO._x000D_
2.A minimal perihilar infiltrate has been detected._x000D_
3.Mild cardiomegaly has been detected but Heart Failure is NOT suspected._x000D_
4.MODERATE BRONCHOINTERSTITIAL PULMONARY PATTERN; MODERATE DYNAMIC AIRWAY DISEASE; MODERATE ALVEOLAR INFILTRATE or ATELECTASIS._x000D_
5.Based on these AI airway/pulmonary findings, the probability of this patient having clinically detectable respiratory signs is HIGH (75%)_x000D_
6.Are respiratory signs present? If YES.</t>
  </si>
  <si>
    <t>Three radiographs of the thorax/abdomen are provided. The cardiac silhouette and pulmonary vessels are normal size and shape. There is a mild bronchial pattern. No pleural effusion. Severe collapse of the caudal cervical and entire thoracic trachea, as well as the mainstem bronchi. Incidental laryngeal mineralization. In the abdomen the liver is moderately enlarged. There is round 4.5 cm soft tissue opaque contour extending ventral to the liver. The gastrointestinal tract is mildly filled. No radiopaque urolithiasis. Normal-sized spleen. The kidneys are obscured. Narrowed intervertebral disc spaces with spondylosis deformans in the cranial lumbar spine, of doubtful clinical significance. Both patellas are medially displaced.</t>
  </si>
  <si>
    <t>1. Severe tracheal collapse and mainstem bronchial collapse, most likely cause for coughing._x000D_
2. Hepatomegaly, a nonspecific finding and may be steroid or other hepatopathy. Acute inflammation or neoplasia are next on the differential list. Rounded contour along the ventral liver may be distended gallbladder._x000D_
3. Bilateral medial patellar luxation.</t>
  </si>
  <si>
    <t>3 views of the thorax are provided for review.  The cardiovascular structures are normal.  There is a mild bronchial pattern in all lung lobes.  The mediastinal and pleural structures are normal.  Cranial abdominal detail is adequate.  Multiple hemivertebrae are present in the thoracic spine.</t>
  </si>
  <si>
    <t>Three radiographs of the thorax, and two lateral views of the abdomen are provided. The cardiac silhouette is mildly reduced in size. Pulmonary vessels are normal size. There is soft tissue opacity with air bronchograms in the ventral cranial and mid lungs on both lateral views. The right middle lung lobe is most significantly affected. A mixed bronchointerstitial pattern is present in the remaining lungs. No pleural effusion. Normal tracheal diameter. Small volume including the caudal esophagus is transient and incidental._x000D_
_x000D_
In the abdomen there is adequate serosal detail. The stomach contains small volume gas and scant soft tissue density. Small bowel are minimally filled. Small volume formed feces in the colon. Normal-sized liver, spleen, kidneys. No radiopaque urolithiasis. Mild degenerative change in the cranial lumbar spine is of doubtful clinical significance today.</t>
  </si>
  <si>
    <t>1. Bilateral ventral alveolar pattern consistent with aspiration pneumonia. Mixed bronchointerstitial pattern in the remaining lungs is most likely normal age change. Chronic airway inflammation such as allergic bronchitis could be contributing to this appearance._x000D_
2. No definitive abdominal abnormalities.</t>
  </si>
  <si>
    <t>Antibiotics are recommended, with follow-up thoracic radiographs (same three views) upon completion to ensure resolution of pneumonia.</t>
  </si>
  <si>
    <t xml:space="preserve">
1.MODERATE INTERSTITIAL to ALVEOLAR INFILTRATE; MILD BRONCHIAL PATTERN._x000D_
2.Based on the AI airway/pulmonary findings, the probability of this patient having clinically detectable respiratory signs is HIGH (75%)_x000D_
3.The cardiac silhouette size is normal._x000D_
4.Pleural fissure lines or small volume pleural effusion has been detected. In a mildly overweight animal, excessive pericardial fat can artifactually mimic the result of minimal pleural effusion._x000D_
5.Are respiratory signs present? If YES._x000D_
6.Are respiratory signs present? If NO._x000D_
7.The evaluation has a strong suspicion of pulmonary nodules or mass lesion being present.</t>
  </si>
  <si>
    <t>Orthogonal views of the thorax and abdomen are provided:_x000D_
_x000D_
Thorax:_x000D_
_x000D_
The sternal lymph nodes are mildly enlarged._x000D_
Cardiac silhouette has a normal shape and size._x000D_
Pulmonary vessels are within normal limits of size and shape._x000D_
Pulmonary parenchyma is within normal limits. _x000D_
Pleural space, diaphragm and thoracic wall within normal limits._x000D_
_x000D_
Abdomen:_x000D_
_x000D_
The stomach is almost empty._x000D_
Small intestines are mildly gas and fluid filled, not overtly distended. _x000D_
Serosal detail is preserved._x000D_
Liver and spleen are within normal limits of size and smoothly marginated._x000D_
Kidneys and urinary bladder WNL._x000D_
Suspected inguinal lymphadenopathy.</t>
  </si>
  <si>
    <t>1) Sternal and inguinal lymphadenopathy. Along with the enlarged prescapular lymph nodes, main differential is a multi centric neoplasia such as lymphoma vs histiocytic sarcoma vs systemic fungal disease less likely.</t>
  </si>
  <si>
    <t>Consider CBC and abdominal US with FNAs of the liver, spleen, any enlarged abdominal lymph node, pre scapular, inguinal and sternal lymph nodes along with oncologist consultation.</t>
  </si>
  <si>
    <t xml:space="preserve">
1.Minimal cardiomegaly has been detected but Heart Failure is NOT suspected._x000D_
2.MODERATE INTERSTITIAL TO ALVEOLAR PATTERN; MILD BRONCHITIS._x000D_
3.Based on these AI airway/pulmonary findings, the probability of this patient having clinically detectable respiratory signs is MEDIUM (50%)_x000D_
4.Are respiratory signs present? If YES._x000D_
5.Are respiratory signs present? If NO._x000D_
6.There is no evidence of DYNAMIC AIRWAY COLLAPSE or BRONCHIECTASIS.</t>
  </si>
  <si>
    <t>Three radiographs of the thorax/abdomen are provided. Images dated 1/17/23 are available for comparison. There is mild left-sided cardiomegaly, smaller than on the previous study. Pulmonary vessels and caudal vena cava are normal size. A mild bronchial pattern is present throughout the lungs. There is no pleural effusion. Adequate tracheal diameter. In the abdomen there is no effusion or organomegaly. The gastrointestinal tract is mildly filled. No radiopaque urolithiasis.</t>
  </si>
  <si>
    <t>1. Mild bronchial pattern suggestive of chronic airway inflammation such as allergic bronchitis. This is the most likely cause for coughing._x000D_
2. Mild left-sided cardiomegaly, smaller than on the previous study and consistent with acquired mitral valve disease. There is no evidence of pulmonary venous congestion or heart failure. This is not the cause for coughing._x000D_
3. Normal abdomen.</t>
  </si>
  <si>
    <t xml:space="preserve">
1.There is no evidence of ALVEOLAR PATTERN, PERIHILAR INFILTRATE, DYNAMIC AIRWAY COLLAPSE or BRONCHIECTASIS or PLEURAL EFFUSION._x000D_
2.A mild bronchial pattern has been detected._x000D_
3.Moderate cardiomegaly has been detected but Heart Failure is NOT suspected.</t>
  </si>
  <si>
    <t>Patient Name: Negri Molina, Date of study: June 17, 2024.
4 images are provided for review (3 lateral, 1 VD). 
There are no previous radiographs for comparison.
Findings:
Musculoskeletal: There is a convex mass associated with the caudal mammary glands (reported right-sided). The included skeletal and superficial soft tissue structures of the study are otherwise unremarkable.
Gastrointestinal tract: The stomach is empty and normal in position. The small intestines are within normal limits. The descending colon is filled with formed feces and gas.
Liver: The liver is normal in size and shape.
Spleen: The spleen is normal in size and has smooth margins.
Urinary: The kidneys are normal in size, shape, and margination. The urinary bladder is small in size and normal in opacity.
Peritoneal space: There is adequate serosal detail.
Thorax: The cardiopulmonary structures are within normal limits. There is no evidence of pulmonary metastasis.</t>
  </si>
  <si>
    <t>1. Caudal mammary gland mass.
2. No radiographic evidence of metastatic disease.</t>
  </si>
  <si>
    <t>An abdominal ultrasound could be considered to further evaluate the liver, spleen, and regional lymph nodes.</t>
  </si>
  <si>
    <t>Three radiographs of the thorax, and four views of the abdomen are provided. The cardiac silhouette and pulmonary vessels are normal size and shape. The lungs are clear. There is no pleural effusion. Redundant dorsal trachealis membrane causes severe narrowed caudal cervical trachea._x000D_
_x000D_
In the abdomen there are fluid dilated tubular structures on either side of the caudal abdomen on the VD projection, possibly seen cranial to the urinary bladder on the lateral views. Normal sized spleen, liver, kidneys. Punctate nephroliths are of doubtful significance. No radiopaque cystic calculi. Osseous structures are unremarkable.</t>
  </si>
  <si>
    <t>1. The appearance of the caudal ventral abdomen is most likely due to uterine distention caused by pyometra. Enteritis is given much lesser consideration. No other abdominal abnormalities._x000D_
2. Cervical tracheal collapse. No intrathoracic abnormalities.</t>
  </si>
  <si>
    <t>Consider ultrasound evaluation to confirm pyometra versus proceeding to ovarohysterectomy.</t>
  </si>
  <si>
    <t xml:space="preserve">
1.Are respiratory signs present? If YES._x000D_
2.Are respiratory signs present? If NO._x000D_
3.MILD BRONCHOINTERSTITIAL PULMONARY PATTERN; MINIMAL to MILD PERIHILAR PATTERN._x000D_
4.MILD BRONCHOINTERSTITIAL PULMONARY PATTERN; MINIMAL DYNAMIC AIRWAY DISEASE._x000D_
5.Based on these AI airway/pulmonary findings, the probability of this patient having clinically detectable respiratory signs is LOW to MEDIUM (25-50%)_x000D_
6.Based on the AI airway/pulmonary findings, the probability of this patient having clinically detectable respiratory signs is LOW (25%)_x000D_
7.In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8.In the PRESENCE of respiratory signs, low grade active pneumonitis (allergic, bacterial, parasitic (including heartworm disease), inhaled allergen or toxin) or upper airway disease causing pulmonary hypoinflation and/or recurrent microaspiration may be more likely._x000D_
9.Mild cardiomegaly has been detected but Heart Failure is NOT suspected._x000D_
10.There is no evidence of PULMONARY NODULES.</t>
  </si>
  <si>
    <t>Opposite lateral and VD thoracoabdominal views are provided for interpretation._x000D_
There are five images for comparison to the previous study dated 6-12-20._x000D_
_x000D_
Severe heart enlargement is identified. The shape of the heart is consistent with left atrial and left ventricular distention. There is a mild to moderate unstructured interstitial pulmonary pattern that primarily affects the caudal dorsal lung fields. No vascular abnormalities are seen. There is moderate dynamic narrowing of the cervical trachea._x000D_
The liver is at the small end of normal size range, similar to the previous study. The other abdominal organs are unremarkable.</t>
  </si>
  <si>
    <t>There is severe left sided cardiomegaly. This was not present in the previous radiographs four years ago. The appearance is consistent with a chronic volume overload condition such as mitral regurgitation._x000D_
_x000D_
There is an unstructured interstitial pattern that likely represents interstitial edema from early congestive heart failure._x000D_
_x000D_
There is moderate dynamic narrowing of the cervical trachea. The appearance is not severe enough to be diagnostic for clinical tracheal collapse but collapsing trachea could still be present and may be contributing to the cough. Moderate degree of mainstem bronchial compression/class is also suspected in the left lateral view.</t>
  </si>
  <si>
    <t>There is severe left sided cardiomegaly, and an interstitial pattern compatible with early congestive heart failure. Medical management for probable early congestive heart failure is recommended._x000D_
_x000D_
Note: Previous radiographs on this patient were found under a different patient identification number and name. Consistent patient information especially patient ID number and name spelling is critical for DICOM medical software functionality. Please pay close attention to consistency of patient information when making radiographs.</t>
  </si>
  <si>
    <t xml:space="preserve">
1.MODERATE INTERSTITIAL TO ALVEOLAR INFILTRATE; CONCURRENT MODERATE BRONCHIAL PATTERN; MILD PERIHILAR INFILTRATE._x000D_
2.Based on the AI airway/pulmonary findings, the probability of this patient having clinically detectable respiratorysigns is HIGH (75%)_x000D_
3.Are respiratory signs present? If YES._x000D_
4.AI linked bacterial pneumonia treatment in dogs: https://platform.v2.vetology.net/doc/pneumonia-in-dogs-and-cats_x000D_
5.Are respiratory signs present? If NO._x000D_
6.Pleural fissure lines or moderate pleural effusion has been detected. An overlying skin fold or in a moderately overweight animal, excessive pericardial fat could artifactually mimic the result of moderate pleural effusion._x000D_
7.Severe cardiomegaly has been detected but Heart Failure is NOT suspected.</t>
  </si>
  <si>
    <t>Study:_x000D_
Abdominal radiography: four images dated June 17, 2024_x000D_
A right lateral projection of the thorax is also present in the study._x000D_
_x000D_
Findings:_x000D_
Evaluation the thorax is limited by the lack of left lateral and orthogonal views. The abdominal serosal detail is adequate. The stomach is empty. The small intestines are gas and fluid-filled and normal in size and course. The colon contains a small volume of gas with a normal diameter. The liver and spleen are normal in size and margin. The renal silhouettes are normal in size and contour. The urinary bladder is normal in size and opacity. The prostate is mildly enlarged with smooth margins. The included thorax is normal. The L1 vertebra is transitional with bilateral hypoplastic ribs. There is mild bilateral remodeling/thickening of the femoral head and neck.</t>
  </si>
  <si>
    <t>1. The gastrointestinal tract is unremarkable. A cause of vomiting is not evident. There is no radiographic evidence of gastrointestinal foreign material or small intestinal mechanical obstruction. Abdominal sonography can be considered for further evaluation if clinical signs persist or worsen in spite of medical management._x000D_
2. Mild prostatomegaly. Rule out intact normal variant, benign prostatic hyperplasia and/or prostatitis._x000D_
3. Normal thorax._x000D_
4. Mild bilateral coxofemoral osteoarthrosis.</t>
  </si>
  <si>
    <t>Study:_x000D_
Survey thoracic radiography and barium swallow: six images dated June 17, 2024_x000D_
_x000D_
Findings:_x000D_
The cardiac silhouette and pulmonary vasculature are normal in size. The pulmonary parenchyma is unremarkable. The pleural space is normal. There is no intrathoracic lymphadenopathy. The trachea is normal in diameter and course. There is a transient gas dilation of the esophagus on the left lateral view timestamped 10:04 AM and the right lateral projection timestamped 10:19. On the barium swallow, there is incidental, breed associated redundancy of the esophagus in the cranial thorax. The included abdomen is normal. The patient has multiple, breed associated, congenitally anomalous thoracic vertebrae.</t>
  </si>
  <si>
    <t>The transient gas dilation of the esophagus is likely secondary to aerophagia. The thorax is otherwise unremarkable.. A cause of coughing is not evident. Consider upper airway disease given the reported concurrent sneezing/nasal discharge Lack of a definitive bronchial pulmonary pattern does not exclude the possibility of allergic/inflammatory, infectious, irritant or parasitic bronchitis. Normal diameter of the trachea does not exclude the possibility of dynamic airway disease.</t>
  </si>
  <si>
    <t>Infectious respiratory disease PCR testing can be considered for further evaluation.</t>
  </si>
  <si>
    <t xml:space="preserve">
1.Are respiratory signs present? If NO._x000D_
2.The cardiac silhouette size is normal._x000D_
3.There is no evidence of PULMONARY NODULES._x000D_
4.Are respiratory signs present? If YES._x000D_
5.MILD BRONCHOINTERSTITIAL PULMONARY PATTERN; MILD DYNAMIC AIRWAY DISEASE; MILD PERIHILAR INFILTRATE._x000D_
6.Based on these AI airway/pulmonary findings, the probability of this patient having clinically detectable respiratory signs is MEDIUM (50%)</t>
  </si>
  <si>
    <t>Skull and whole body radiographs (5 images) dated June 17, 2024._x000D_
_x000D_
_x000D_
The cardiac silhouette,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evident._x000D_
_x000D_
The liver and spleen are normal in size and shape. The stomach contains a small amount of gas and a scant amount of fluid. The small bowel and colon are unremarkable. The kidneys are best visualized on the lateral view with no abnormalities detected. The urinary bladder is moderately distended with fluid opacity. Retroperitoneal and peritoneal detail are normal. No regional lymphadenopathy is evident._x000D_
_x000D_
Soft tissue swelling is present in the ventral mandibular region, and appears primarily left-sided based on the open-mouth rostrocaudal view. No fractures are identified in the mandibles. No abnormalities are detected temporomandibular joints on the images provided. The calvarium is intact and is unremarkable. No abnormalities are detected in the paranasal bones and sinuses. Most of the teeth are missing with exception to the canines and a few mandibular premolars and maxillary molars.</t>
  </si>
  <si>
    <t>1. Soft tissue swelling localized to the left mandibular region likely represents traumatic and infectious cellulitis from the bite wounds._x000D_
2. No evidence of head/cervical fractures or TMJ subluxation based on the images provided._x000D_
3. Unremarkable thorax and abdomen with no evidence of trauma.</t>
  </si>
  <si>
    <t>Wound care and management.</t>
  </si>
  <si>
    <t>Four radiographs of the thorax and two views of the abdomen are provided. The cardiac silhouette and pulmonary vessels are normal size and shape. Caudal vena cava size is normal. There is a mild bronchial pattern throughout the lungs. No pleural effusion. Normal tracheal diameter._x000D_
_x000D_
In the abdomen there is no effusion. The stomach and small bowel are minimally filled. Formed feces fills the distal descending colon. Normal-sized liver, spleen, left kidney. The right kidney is incompletely visible. Faint punctate mineral density overlying the central aspect of the urinary bladder is most likely artifact. No osseous abnormalities.</t>
  </si>
  <si>
    <t>Mild bronchial pattern, consider normal age change, allergic bronchitis, or eosinophilic bronchopneumopathy. Otherwise normal thorax and abdomen.</t>
  </si>
  <si>
    <t xml:space="preserve">
1.Pleural fissure lines or small volume pleural effusion has been detected. In a mildly overweight animal, excessive pericardial fat can artifactually mimic the result of minimal pleural effusion._x000D_
2.A minimal bronchial pattern has been detected._x000D_
3.The cardiac silhouette size is normal._x000D_
4.There is no evidence of ALVEOLAR PATTERN, PERIHILAR INFILTRATE or DYNAMIC AIRWAY COLLAPSE or BRONCHIECTASIS.</t>
  </si>
  <si>
    <t>5 images of the thorax are presented for review.  The cardiovascular structures are normal.  The pulmonary vasculature is normal in size with normal tapering.  There is a diffuse interstitial pulmonary pattern that is considered appropriate for the age of the patient.  No pulmonary nodules or enlarged intrathoracic lymph nodes are seen.  The pleural and mediastinal structures are normal.  Cranial abdominal detail is adequate.  There is spondylosis deformans of the thoracolumbar spine.</t>
  </si>
  <si>
    <t>Study:_x000D_
Thoracic radiography: right lateral and orthogonal views (two images) dated June 17, 2024_x000D_
_x000D_
Findings:_x000D_
The cardiac silhouette and pulmonary vasculature are normal in size. The pulmonary parenchyma is unremarkable. The pleural space is normal. There is no intrathoracic lymphadenopathy. The trachea is normal in diameter and course. There is no esophageal dilation. The included abdomen is normal. There is severe bilateral elbow periarticular bone formation.</t>
  </si>
  <si>
    <t>1. Normal thorax. A cause of coughing is not evident. Consider upper respiratory disease (given the reported concurrent sneezing) or laryngeal paralysis (given patient signalment). Lack of a definitive bronchial pulmonary pattern does not exclude the possibility of allergic/inflammatory, infectious, irritant or parasitic bronchitis._x000D_
2. Severe bilateral elbow osteoarthrosis.</t>
  </si>
  <si>
    <t>Sedated laryngeal exam, airway sampling, infectious respiratory disease PCR testing plus/minus heartworm testing and Baermann fecal flotation can be considered to further evaluate the reported coughing.</t>
  </si>
  <si>
    <t xml:space="preserve">Patient Name : Benny Weaver, Date of study: Jun 17, 2024
3 images are provided for review
Canine Thorax (3 Images) - 2 Lateral, 1 Vd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soft tissue band superimposes over the dorsal aspect of the cervical trachea in the right lateral image.
Esophagus: The esophagus is not well-identified.
Pleural space: The pleural space is normal.
Musculoskeletal: The included musculoskeletal structures are normal.
</t>
  </si>
  <si>
    <t xml:space="preserve">1. Minimal diffuse bronchial pulmonary pattern.
- Differential diagnoses include infectious/immune-mediated lower airway disease such as from mycoplasma spp., bordetella spp., parasitism, or inhaled allergen/irritant, fibrosis from prior disease, age-related changes, a combination of these, or unlikely other.  
2. Suspected redundant dorsal tracheal membrane versus superimposed normal structures, with/without underlying dynamic airway disease.
</t>
  </si>
  <si>
    <t>Consider respiratory PCR panel, airway sampling, and fecal analysis/empirical deworming for further evaluation.  This examination does not rule out rhinitis/pharyngitis/laryngitis contributing to reported clinical signs.  Consider sedated laryngeal examination or pharyngoscopy/rhinoscopy, or possibly computed tomography of the head if signs such as nasal discharge fail to improve or worsen in the face of empirical therapy.  Empirical therapy and supportive care in the interim as needed. Monitoring as directed or sooner if clinical signs acutely change, fail to improve or worsen.</t>
  </si>
  <si>
    <t>Study:_x000D_
Spinal radiography: four images dated June 17, 2024_x000D_
_x000D_
Findings:_x000D_
The atlantooccipital junction is normal. The dens is intact and well defined. The left occipital joint space is normal. There is no intervertebral disc space or foraminal narrowing. There is no evidence of discospondylitis. There are no vertebral fractures or luxations. The included portions of the thoracic limbs unremarkable. The included thorax is normal. There is a mineral opacity in the stomach on the right lateral view timestamped 11:47 AM.</t>
  </si>
  <si>
    <t>Unremarkable cervical spine. Lack of any apparent intervertebral disc space narrowing does not exclude the possibility of intervertebral disease.</t>
  </si>
  <si>
    <t>Neurology consultation and MRI can be considered for further evaluation of the cervical pain persists in spite of continued pain management and activity restriction.</t>
  </si>
  <si>
    <t xml:space="preserve">
1.Mild cardiomegaly has been detected but Heart Failure is NOT suspected._x000D_
2.Are respiratory signs present? If YES._x000D_
3.Are respiratory signs present? If NO._x000D_
4.The evaluation has a strong suspicion of pulmonary nodules or mass lesion being present._x000D_
5.MODERATE BROCHOINTERSTITIAL PULMONARY PATTERN; ATELECTASIS or less likley, PNEUMONIA._x000D_
6.Based on these AI airway/pulmonary findings, the probability of this patient having clinically detectable respiratory signs is MEDIUM (50%)_x000D_
7.There is no evidence of DYNAMIC AIRWAY COLLAPSE or BRONCHIECTASIS or PLEURAL EFFUSION.</t>
  </si>
  <si>
    <t xml:space="preserve">Patient Name: Sandy Wolf, Date of study: Jun 17, 2024
4 images are provided for review (1 VD and 3 Laterals).
There are no previous radiographs for comparison.
Thorax:
Airway/pulmonary parenchyma: The entire left lung has volume loss and an alveolar infiltrate. On the right lateral projections, the left cranial alveolar infiltrate has a concurrent nodular pattern, and a less severe infiltrate affects the caudal lung lobe. A cavitary lesion with a thickened wall is also present in the caudodorsal thorax on the right lateral projection. The caudal bronchus of the left cranial lung lobe is both narrow and has a tortuous path. 
Cardiovascular: Overall heart size and CVC size are decreased however the aorta is enlarged and there is dorsal elevation to the intrathoracic trachea on both right lateral projections. 
Mediastinum: Mild widening to the cranial mediastinum is present on the lateral projections but not on the VD projections.
Pleural space: Focal rounding to the right caudal lung tip is present on the VD projection. 
Cranial abdomen: The liver is enlarged causing caudal displacement to the pylorus. The liver margin remains smooth cranioventrally. </t>
  </si>
  <si>
    <t xml:space="preserve">1) Left lung consolidation, partial atelectasis with a concurrent nodular pattern. Neoplasia +/- concurrent hemorrhage or pneumonia suspected. 
2) Left lung partial atelectasis secondary to bronchial compression. Possible cranial mediastinal enlargement/cranial mediastinal lymphadenopathy.  
3) Hepatomegaly. Rule out neoplasia vs. other cause. 
4) Microcardia. DDx: hemorrhage vs. dehydration. </t>
  </si>
  <si>
    <t xml:space="preserve">Thoracic and abdominal ultrasounds with FNAs or biopsies to obtain a diagnosis of the nodular pulmonary pattern. Empirical therapy for concurrent pneumonia. Rule out coagulopathy/DIC. </t>
  </si>
  <si>
    <t xml:space="preserve">
1.MINIMAL to MILD DIFFUSE, MIXED BRONCHOINTERSTITIAL PULMONARY PATTERN with ATELECTASIS or less likely, pneumonia._x000D_
2.Probability these AI pulmonary findings will accompany clinically detectable respiratory signs: LOW (25%)_x000D_
3.Are respiratory signs present? If YES._x000D_
4.Are respiratory signs present? If NO._x000D_
5.The cardiac silhouette size is normal._x000D_
6.There is no evidence of DYNAMIC AIRWAY COLLAPSE or BRONCHIECTASIS._x000D_
7.Pleural fissure lines or moderate pleural effusion has been detected. An overlying skin fold or in a moderately overweight animal, excessive pericardial fat could artifactually mimic the result of moderate pleural effusion.</t>
  </si>
  <si>
    <t>Study:_x000D_
Thoracic/abdominal radiography: three images dated June 17, 2024_x000D_
_x000D_
Findings:_x000D_
There is severe bilateral pleural effusion. There is associated reduced lung volume/atelectasis. No pulmonary nodules or masses are present in the aerated portions of the lung lobes. The severity of the effusion limits evaluation of the cardiac silhouette. There is no overt cardiomegaly. The pulmonary vasculature is normal in size. Pooling of the pleural effusion in the cranial thorax also limits evaluation of the cranial mediastinum=ZZ90= however, there is no apparent cranial mediastinal mass or evident lymphadenopathy. The trachea is normal in diameter. The stomach contains a small volume of gas. The small intestines are gas and fluid-filled and normal in size and course. The colon contains formed fecal material. The liver extends mildly to moderately beyond the costal arch with smooth and sharp margins. On the lateral projections, there is a mild amount of indistinct mineral in the region of the gallbladder. The spleen is normal in size and margin. The renal silhouettes are normal in size and contour. The urinary bladder is not visualized and is likely small/empty. Suture material is present in the mid-ventral abdominal body wall. Mild periarticular bone information is present at the caudodistal aspect the humeral head bilaterally.</t>
  </si>
  <si>
    <t>1. Severe bilateral nonspecific pleural effusion. A cause is not radiographically evident. Recommend thoracocentesis with fluid analysis, echocardiography, CBC, serum chemistry and urinalysis plus/minus computed tomography of the thorax for further evaluation._x000D_
2. The generalized hepatomegaly is nonspecific. Rule out metabolic/vacuolar hepatopathy, hyperplasia, hepatitis or infiltrative neoplasia. Correlate with any liver enzyme abnormalities Sonography can be considered for further evaluation if clinically relevant._x000D_
3. Mineral gallbladder debris versus, less likely, gallbladder wall or hepatic parenchymal mineralization._x000D_
4. Mild bilateral shoulder osteoarthrosis.</t>
  </si>
  <si>
    <t xml:space="preserve">
1.SEVERE ALVEOLAR PATTERN; PLEURAL EFFUSION or PLEURAL FISSURE LINES; MODERATE DYNAMIC AIRWAY DISEASE; MILD, DIFFUSE BRONCHOINTERSTITIAL PULMONARY PATTERN._x000D_
2.Based on the AI airway/pulmonary findings, the probability of this patient having clinically detectable respiratory signs is VERY HIGH (&gt;75%)_x000D_
3.A moderate perihilar infitlrate has been detected._x000D_
4.Are respiratory signs present? If YES._x000D_
5.Are respiratory signs present? If NO._x000D_
6.Severe cardiomegaly has been detected but Heart Failure is NOT suspected.</t>
  </si>
  <si>
    <t>Sequential orthogonal views of the thorax are provided pre and post-surgical:_x000D_
_x000D_
Thorax:_x000D_
_x000D_
There is a right cranial thoracic wall SC lipoma that has been partially removed with remaining metallic hemoclips and Penrose drains._x000D_
Cardiac silhouette has a normal shape and size._x000D_
Pulmonary vessels are within normal limits of size and shape._x000D_
Pulmonary parenchyma is within normal limits. No evidence of pulmonary nodules/masses._x000D_
Pleural space, mediastinum and diaphragm are within normal limits._x000D_
_x000D_
Bilaterally there is a C shape enthesophytosis in the intertuberfcular groove of the humeri surrounding the bicipital tendons. There is also bilateral periarticular osteophytoses.</t>
  </si>
  <si>
    <t>1) Pre and post-surgical lipoma removal from the right cranial thoracic wall. No thoracic abnormalities are noted (no signs of pulmonary metastases nor signs of thoracic lymphadenopathy.</t>
  </si>
  <si>
    <t>Orthogonal radiographs of the thorax, three views of the abdomen, and VD view of the pelvis are provided. An endotracheal tube is present consistent with general anesthesia. The cardiac silhouette and pulmonary vessels are normal size and shape. The lungs are clear. There is no pleural effusion or intrathoracic lymphadenomegaly. Normal proximal thoracic limbs. In the abdomen the spleen is enlarged with smooth margins. Normal-sized liver and left kidney. The right kidney is obscured. Gas in the stomach and several loops of small bowel consistent with aerophagia. Small volume of formed feces in the colon. No narrowed intervertebral disc spaces or foramina. Mild ventral spondylosis deformans at the lumbosacral junction is likely incidental. Both femoral heads are smoothly contoured and adequately seated in the acetabula. No femoral neck thickening. Pelvic limb musculature is adequate and symmetric. Patellar location is normal.</t>
  </si>
  <si>
    <t>1. No abnormalities are identified to explain any clinical signs. Non-mineralized intervertebral disc protrusion/extrusion is suspected. Soft tissue sprain/strain is next on the differential list._x000D_
2. Splenomegaly, likely due to anesthesia. An inflammatory or neoplastic process are given much lesser consideration at this time. Otherwise normal abdomen._x000D_
3. Normal thorax.</t>
  </si>
  <si>
    <t>In the absence of neurologic deficits, this patient may benefit from anti-inflammatories and rest. If there is no improvement or if the patient has neurologic deficits or significant spinal pain, consultation with a neurologist and advanced spinal imaging with MRI would be recommended.</t>
  </si>
  <si>
    <t>7 images of the thorax, cervical spine,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ingesta.  The small intestines are normal in size.  Gas and feces are present in the colon.  The urinary bladder is small.  The remaining abdominal organs are normal.  A mineral opaque intervertebral disc is seen in situ at C6-7.  No fractures or aggressive osseous lesions are seen.  There is consistent narrowing of the intervertebral disc space at T12-13.</t>
  </si>
  <si>
    <t>Radiographically normal abdomen.  Radiographically normal thorax for patient of this age.  Intervertebral disc disease at C6-7.  Narrowed intervertebral disc space suggestive of intervertebral disc herniation.</t>
  </si>
  <si>
    <t>7 images of the thorax including an esophagram are provided for review.  The cardiovascular structures are normal.  Alveolar opacity is present in the cranioventral thorax.  The esophagus is severely gas dilated with a portion extending ventral to the trachea and containing a small amount of granular debris.  Postcontrast images show contrast within the normal location of the cervical esophagus, extending ventral to the trachea into this diverticulum, and extending dorsally to the level of the heart base.  The remaining mediastinal and pleural structures are normal.  Cranial abdominal detail is adequate.</t>
  </si>
  <si>
    <t>Alveolar pulmonary pattern concerning for aspiration type pneumonia.  Airway sampling may be helpful in further evaluation.  Severe esophageal dilation suggesting motility disorder (megaesophagus).  Based on the degree of chronicity and lack of a narrowed portion, congenital idiopathic megaesophagus is considered most likely.  The cranial ventral portion suggest a redundant esophagus, although secondary diverticulum cannot be excluded.  Consider therapy for megaesophagus, including upright feeding and motility aids.</t>
  </si>
  <si>
    <t xml:space="preserve">
1.There is no evidence of DYNAMIC AIRWAY COLLAPSE or BRONCHIECTASIS._x000D_
2.The cardiac silhouette size is normal._x000D_
3.MINIMAL INTERSITIAL PATTERN; OVERLYING CUTANEOUS NODULES or END-ON VESSELS._x000D_
4.Based on these AI airway/pulmonary findings, the probability of this patient having clinically detectable respiratory signs due to lower airway disease is UNLIKELY (&lt;25%) with the exception of acute tracheobronchitis or PTE._x000D_
5.A minimal interstitial pattern has been detected._x000D_
6.There is detection of a few small soft tissue opacities overlying the lungs.</t>
  </si>
  <si>
    <t>3 lateral views of the thorax are provided for review and compared with the study dated 2/14/2024. The trachea is dorsally deviated, indicating left ventricular enlargement. A bulge is present in the region of the left atrium. The cardiac silhouette is also widened with rounding of the right ventricular margin.  Widening is mildly increased from previous images.  The distal trachea and primary bronchi are narrowed. No pulmonary infiltrates are seen. The pulmonary vasculature is normal in size. The mediastinal and pleural structures are normal. Cranial abdominal detail is adequate. The liver margin is rounded and extends beyond the costal arch, mildly increased from previous images.</t>
  </si>
  <si>
    <t>Persistent tracheobronchial narrowing may indicate collapse and / or compression.  Mildly progressive generalized cardiomegaly without current evidence of cardiogenic pulmonary edema. Echocardiography may be helpful in further evaluation.  Mildly progressive hepatomegaly=ZZ90= this is a nonspecific finding that may be seen with congestion, vacuolar hepatopathy, inflammation, neoplasia, etc. Abdominal ultrasound may be helpful in further evaluation if biochemically indicated.</t>
  </si>
  <si>
    <t xml:space="preserve">
1.SEVERE INTERSTITIAL AND ALVEOLAR INFILTRATE with PNEUMONIA or less likely, ATELECTASIS; SEVERE DYNAMIC AIRWAY DISEASE; MODERATE PERIHILAR INFILTRATE; MILD BRONCHIAL PATTERN._x000D_
2.Based on these AI airway/pulmonary findings, the probability this patient will have clinically detectable respiratory signs is NEAR CERTAINTY (&gt;99%)_x000D_
3.Are respiratory signs present? If YES._x000D_
4.Are respiratory signs are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</si>
  <si>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Three radiographs of the thorax/abdomen are provided. The cardiac silhouette and pulmonary vessels are normal size and shape on the lateral views. The heart appears rounder on the VD projection due to thoracic conformation and patient rotation. The lungs are clear. There is no pleural effusion. Normal tracheal diameter. Small volume fluid in the caudal esophagus is transient and incidental. In the abdomen there is no peritoneal or retroperitoneal effusion. Normal-sized liver, spleen, kidneys. There is a small volume of gas in the stomach. The gastric wall appears thickened, likely due to minimal distention. Small bowel are mildly fluid-filled. Moderate volume semi-formed and formed feces in the colon. No radiopaque urolithiasis. Osseous structures are unremarkable.</t>
  </si>
  <si>
    <t>Normal thorax and abdomen. Gastroenteritis is most likely. There is no evidence of an obstructive process.</t>
  </si>
  <si>
    <t>If the patient does not rapidly improve with supportive care, fasting abdominal ultrasound would be recommended.</t>
  </si>
  <si>
    <t xml:space="preserve">
1.Mild dynamic airway disease has been detected._x000D_
2.The cardiac silhouette size is normal._x000D_
3.There is no evidence of BRONCHITIS, PERIHILAR INFILTRATE or PULMONARY NODULES.</t>
  </si>
  <si>
    <t>Study:_x000D_
Thoracic radiography: six images dated June 17, 2024_x000D_
_x000D_
Findings:_x000D_
The cardiac silhouette and pulmonary vasculature are normal in size. The pulmonary parenchyma is unremarkable. The pleural space is normal. There is no intrathoracic lymphadenopathy. The larynx is normal. The trachea is normal in diameter and course. There is no esophageal dilation. The included abdomen is normal. The osseous structures are unremarkable. The patient is of overweight body condition.</t>
  </si>
  <si>
    <t>Normal thorax. There is no evidence of aspiration pneumonia. A cause of the reported coughing is not evident. Lack of a bronchial pulmonary pattern does not exclude the possibility of allergic, inflammatory, infectious, parasitic or inhaled irritant bronchitis.</t>
  </si>
  <si>
    <t>Infectious respiratory disease PCR testing, airway sampling, harm testing Bearman fecal flotation can be considered for further evaluation if the reported coughing persists or worsens.</t>
  </si>
  <si>
    <t>Opposite lateral and ventrodorsal thoracic radiographs with inclusion of the cervical region (3 images) dated June 17, 2024._x000D_
_x000D_
_x000D_
The cardiac silhouette, pulmonary vasculature, and great vessels are within normal limits. The pulmonary parenchyma has diffuse mild bronchial markings. No pulmonary nodules or masses are identified. No intrathoracic lymphadenopathy is evident. The trachea is normal in diameter and course with gas filling its lumen. A few pinpoint areas of mineralization are associated with the larynx on the lateral views. There is a focal cluster of granular mineral material is in the cervical region and is immediately trailed by a thin layer of tapering gas, likely representing mineralized material in the esophagus. No retropharyngeal or mandibular soft tissue swelling is evident. The remainder of the esophagus is unremarkable. The pleural space, mediastinum, and diaphragm are normal. A fat opaque convexity is associated with the ventral body wall on the right lateral view. A cluster of irregular mineral material is present in the right ventral liver, consistent with cholelithiasis. Cranial peritoneal detail is normal. No aggressive osseous lesions are identified. Cervical thoracic spine is unremarkable with no evidence of disc space narrowing, osseous degenerative changes, subluxations, fractures, or aggressive processes.</t>
  </si>
  <si>
    <t>1. Normal thorax._x000D_
2. Cluster of mineral material in the cervical esophagus. Rule out foreign material vs. small food bolus that is not large enough to stimulate esophageal peristalsis vs. mineralized esophageal mass vs. less likely other causes._x000D_
3. The punctate laryngeal mineralization likely represents incidental laryngeal mineralization or minor penetration of mineral debris (similar to that in the esophagus) into the larynx. A neoplastic or granulomatous process is less likely._x000D_
4. Cholelithiasis._x000D_
5. No cervicothoracic spinal abnormalities are identified. This does not completely rule out intervertebral disc disease, other causes of compressive myelopathy, and non-compressive causes of myelopathy.</t>
  </si>
  <si>
    <t>Consider repeat cervical radiographs to assess if the mineral material persists in the esophagus._x000D_
Barium esophagram or endoscopy could be considered depending on upper digestive issues are suspected._x000D_
CBC, Chem, UA, thyroid, fecal, BP, and 4Dx._x000D_
Assess for neurologic deficits and consider advanced spinal imaging with neurology consultation if present.</t>
  </si>
  <si>
    <t>Seven radiographs are provided, with images of the spine, thorax, thoracic limbs. The C2-3 intervertebral disc space is mildly narrowed. Vertebral alignment remains normal. Incidental laryngeal mineralization. The cardiac silhouette and pulmonary vessels are normal size and shape. The lungs are clear. There is no pleural effusion. Adequate tracheal diameter. No definitive lumbar spinal abnormalities. No scapular abnormalities. The glenohumeral and cubital joints are congruent. Smoothly marginated punctate mineral density cranial to the right olecranon is incidental. No carpal or metacarpal osseous abnormalities. Distal limb soft tissue evaluation is limited by high technique.</t>
  </si>
  <si>
    <t>The appearance of C2-3 is suggestive of a protruding/extruded intervertebral disc. A lateralized lesion could be responsible for the clinical signs. Soft tissue sprain/strain is next on the differential list._x000D_
Normal thorax and thoracic limbs.</t>
  </si>
  <si>
    <t>Advanced spinal imaging with CT/MRI should be considered, particularly if spinal pain is severe and/or there are neurologic deficits. Otherwise, this patient may benefit from anti-inflammatories and strict rest.</t>
  </si>
  <si>
    <t>2 lateral views of the entire body are presented for review.  The cardiovascular and pulmonary structures are normal.  The pleural and mediastinal structures are normal.  Abdominal serosal detail is poor, consistent with the nature of the patient.  The stomach contains a moderate amount of gas.  The small intestines are normal in size.  Gas and feces are present in the colon.  The kidneys are normal in size.  The remaining abdominal organs are not fully visualized.  Increased soft tissue is seen in the submandibular region.</t>
  </si>
  <si>
    <t>Radiographically normal thorax and pediatric abdomen on the views provided.  Submandibular soft tissue swelling consistent with the reported suspected salivary mucocele.</t>
  </si>
  <si>
    <t xml:space="preserve">
1.A severe alveolar pattern has been detected._x000D_
2.Moderate dynamic airway disease has been detected._x000D_
3.The cardiac silhouette size is normal._x000D_
4.There is no evidence of BRONCHITIS, PERIHILAR INFILTRATE or PULMONARY NODULES.</t>
  </si>
  <si>
    <t xml:space="preserve">Patient Name : Sunshine Stump, Date of study: Jun 17, 2024
3 images are provided for review
There are no previous radiographs for comparison.  The cranial thorax is excluded from the ventrodorsal and left lateral images.
Pulmonary parenchyma: A minimal to mild diffuse bronchial pattern is present.
Pulmonary vasculature: The left caudal lobar pulmonary arteries are subjectively mildly enlarged in the ventrodorsal image.  The right caudal lobar pulmonary artery is suspiciously enlarged and truncated over the right 10th intercostal space in the ventrodorsal image.  The suspected right middle lobar pulmonary arteries are prominent in the mid-zone of the lung in the ventrodorsal image.  
Cardiac silhouette: The cardiac silhouette is slightly rounded and enlarged in the region of the right atrium in the ventrodorsal image.  
Mediastinum: The cranial mediastinum is normal.
Trachea: The trachea is normal.
Esophagus: The esophagus is not well-identified.
Pleural space: Thin pleural fissures that do not widen in the periphery of the lungs are present between the right cranial/middle, right middle/caudal and left cranial/caudal lung lobes in the ventrodorsal image.  
Musculoskeletal: The included musculoskeletal structures are normal.
</t>
  </si>
  <si>
    <t>1.Slight right atrial enlargement versus artifact from technique/patient positioning.
- If present, consider evolving cor pulmonale/pulmonary hypertension secondary to heartworm disease, or unlikely other. 
2. Suspicious for left caudal,  right middle and right caudal lobar pulmonary arterial enlargement.
- If present, this is suspicious for heartworm disease and cor pulmonale/pulmonary hypertension and/or thromboembolic disease.
3. Minimal-mild diffuse bronchial pattern such as from heartworm disease and pneumonitis/thromboembolic disease, infectious/immune-mediated lower airway disease (mycoplasma spp., bordetella spp., parasitism, or unlikely other), or fibrosis from prior disease or age-related changes.
4. Thin pleural fissures due to pleural thickening/folding, evolving pleural fluid, or tangential beam artifact.</t>
  </si>
  <si>
    <t>Consider echocardiography, ECG and blood pressure for further evaluation.  Empirical therapy and supportive care in the interim as needed.  Carefully consider adulticide therapy protocol and possibly consider a DV thoracic radiograph, or computed tomography of the lungs for further evaluation.  Monitoring as directed or sooner if clinical signs acutely change, fail to improve or worsen.</t>
  </si>
  <si>
    <t>Opposite lateral and ventrodorsal thoracic radiographs with inclusion of the cervical region (3 images) dated June 17, 2024._x000D_
_x000D_
_x000D_
_x000D_
The cardiac silhouette, pulmonary vasculature, and great vessels are within normal limits. The pulmonary parenchyma is unremarkable with no nodules, infiltrates, or other pathology detected. Occasional pinpoint mineral foci are present throughout the lungs, consistent with benign pulmonary osteomas. The pleural space and diaphragm are normal. No mediastinal abnormalities are appreciated. The trachea is normal in diameter and course with gas filling its lumen. No intrathoracic lymphadenopathy is evident._x000D_
The liver and ingesta filled stomach are unremarkable._x000D_
The cervicothoracic vertebral column is unremarkable aside from T12-T13 spondylosis deformans without disc space narrowing.</t>
  </si>
  <si>
    <t>1. No abnormalities in the cervical thoracic spine to account for the neck pain. This does not completely rule out intervertebral disc disease vs. other causes of compressive myelopathy vs. non-compressive causes of myelopathy._x000D_
2. Unremarkable thorax.</t>
  </si>
  <si>
    <t>Consider neurology consultation and advanced spinal imaging given the reported neurologic deficits._x000D_
Treatment with anti-inflammatory, analgesic, and muscle relaxant therapy coupled with strict rest in the interim. Chronic</t>
  </si>
  <si>
    <t xml:space="preserve">
1.In the PRESENCE of respiratory signs, low grade active pneumonitis (allergic, bacterial, parasitic (including heartworm disease), inhaled allergen or toxin) or upper airway disease causing pulmonary hypoinflation and/or recurrent microaspiration may be more likely._x000D_
2.The cardiac silhouette size is normal._x000D_
3.There is no evidence of DYNAMIC AIRWAY COLLAPSE or BRONCHIECTASIS._x000D_
4.In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5.MILD BRONCHOINTERSTITIAL PULMONARY PATTERN; MINIMAL to MILD PERIHILAR PATTERN._x000D_
6.Based on the AI airway/pulmonary findings, the probability of this patient having clinically detectable respiratory signs is LOW (25%)</t>
  </si>
  <si>
    <t>Two orthogonal survey radiographs of the thorax and abdomen and 1 pelvic VD and lateral right stifle image dated 17th June 2024 are available for review. There are no previous radiographs available for comparison. The lateral thorax is severely obliqued and incomplete, limiting interpretation._x000D_
_x000D_
Thorax: _x000D_
Airway findings: The cervical and thoracic trachea have a normal size, outline and position. The trachea is dorsally displaced on the lateral image due to obliquity.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Pelvis: The included lumbar vertebral column is normal. The iliosacral joints are symmetric. There is good coverage of the femoral heads by the acetabuli.  No degenerative modelling is noted at the acetabular rim and femoral heads and there is good articular congruency. The patella are in an anatomical position._x000D_
_x000D_
Joints and long bones: There is mild soft tissue attenuation of the right stifle joint space, causing infrapatellar fat pad compression and caudal fascial bulging. There is mild osteophyte formation of the distal patella, and medial and lateral tibial plateau. The included right tarsus is normal._x000D_
_x000D_
Soft tissues: The right caudal thigh musculature is much smaller than left. A spherical soft tissue mass is present at the left caudal thoracic wall.</t>
  </si>
  <si>
    <t>1. These findings are consistent with right stifle joint synovitis/arthritis most likely caused by a cranial cruciate partial rupture.  Other intra-articular soft tissue pathology such as meniscal damage cannot be excluded._x000D_
2. Negative metastasis check. A 3 view thoracic series is required for a diagnostic metastasis check._x000D_
3. Body wall mass: A soft tissue neoplasm is most likely (fibrosarcoma, other)</t>
  </si>
  <si>
    <t>This is to be correlated with manipulation under sedation or anaesthesia. Depending on outcome, a surgical consultation may be considered._x000D_
Careful empirical management, including controlled exercise, non-steroidal anti-inflammatories, or multimodal analgesia, after normal blood work may be considered in the meantime._x000D_
FNA of surgical excision of the thoracic wall mass is advised._x000D_
A 3 view thoracic series may be considered.</t>
  </si>
  <si>
    <t xml:space="preserve">
1.Moderate cardiomegaly has been detected but Heart Failure is NOT suspected._x000D_
2.There is no evidence of ALVEOLAR PATTERN or PERIHILAR INFILTRATE._x000D_
3.MODERATE DYNAMIC AIRWAY DISEASE; MILD BRONCHIAL PATTERN._x000D_
4.Based on these AI airway/pulmonary findings, the probability of this patient having clinically detectable respiratory signs is MEDIUM (50%)_x000D_
5.Are respiratory signs present? If YES._x000D_
6.Are respiratory signs present? If NO.</t>
  </si>
  <si>
    <t>Patient Name: Jethro Angelini, Date of study: June 17, 2024.
Canine Thorax (3 Images) - 2 Lateral, 1 VD.
Compared to May 29, 2024. 
Findings:
Cardiac silhouette: Similar to previous, the cardiac silhouette is mildly enlarged in size. The enlargement appears to be primarily right-sided being increased in width on the lateral views.
Pulmonary vessels: Pulmonary arteries and veins are seen in all lung lobes. There is a tortuous pulmonary vessel in the caudal subsegment of the left cranial lung lobe.
Pulmonary parenchyma: The left hemithorax is persistently underinflated. There is no evidence of consolidation, masses, or nodules.
Pleural space: The pleural space remains within normal limits.
Mediastinum: There is a mediastinal shift to the left, unchanged. The cranial mediastinum is widened, likely with fat given the breed.
Trachea: There is focal dorsal deviation of the carina on the right lateral views and rightward deviation on the VD, suggestive of a heart base mass.
Esophagus: The region of the esophagus is within normal limits.
Cranial abdomen: There is adequate serosal detail in the cranial abdomen. The stomach contains heterogeneous ingesta admixed with gas.
Musculoskeletal: There are congenitally anomalous vertebrae and spondylosis deformans of the caudal thoracic spine. There is mild osteoarthritis of the elbows.</t>
  </si>
  <si>
    <t xml:space="preserve">1. Persistent mild right-sided cardiomegaly with suspected heart base mass. Differentials include pulmonic stenosis, heartworm disease, and pulmonary hypertension. 
-If a heart base mass is confirmed, a chemodectoma would be the primary differential. 
-No evidence of heart failure.
-The tortuous pulmonary vessel in the left cranial lung is supportive of pulmonary hypertension. 
2. Underinflated left hemithorax, similar to previous, likely due to atelectasis/underinflation in combination with suspected fat in the cranial mediastinum. There is no evidence of pneumonia or pulmonary mass. </t>
  </si>
  <si>
    <t xml:space="preserve">A thoracic CT and/or echocardiography are recommended to further evaluate the heart, heart base, and cranial mediastinum. </t>
  </si>
  <si>
    <t xml:space="preserve">
1.MODERATE BRONCHOINTERSTITIAL PULMONARY PATTERN; MILD PERIHILAR INFILTRATE; MILD DYNAMIC AIRWAY DISEASE; ATELECTASIS or less likely, pneumonia._x000D_
2.Based on the AI airway/pulmonary findings, the probability of this patient having clinically detectable respiratory signs is MEDIUM to HIGH (50%-75%)_x000D_
3.Are respiratory signs present? If YES._x000D_
4.Pleural fissure lines or moderate to severe pleural effusion has been detected. An overlying skin fold or in an obese animal, excessive pericardial fat could artifactually mimic the result of severe pleural effusion._x000D_
5.Are respiratory signs present? If NO._x000D_
6.Mild cardiomegaly has been detected but Heart Failure is NOT suspected.</t>
  </si>
  <si>
    <t>Opposite dorsal thoracic and abdominal radiographs (10 images) dated June 17, 2024.
The cardiac silhouette,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
The liver is enlarged. The spleen is unremarkable in size and shape. The urinary bladder is distended with a large amount of homogeneous fluid opacity. The prostate is radiographically visible as an ovoid soft-tissue opacity in the cranial pelvic inlet. The kidneys are only partially visible due to superimposed viscera with no abnormalities apparent. The stomach contains a small volume of gas. The small intestine is unremarkable in diameter and course with most segments empty aside from gas and fluid. The descending colon is distended with a large amount of desiccated stool. Retroperitoneal and peritoneal detail are adequate. No regional lymphadenopathy is evident.
Both hips are mildly incongruent with variable joint space widening and cranial joint space narrowing. The sacroiliac joints and included pelvic bones are normal. A small ovoid mineral opacity is suspected to be associated with the left lesser trochanter. No aggressive osseous lesions are identified.</t>
  </si>
  <si>
    <t>1. Large volume of desiccated stool in the colon is concerning for constipation. A mechanical cause is not identified, and therefore a functional process is prioritized over an obstructive lesion in the anal region not included in the study.
2. Mild hepatomegaly. Rule out a benign metabolic/vacuolar hepatopathy vs. less likely inflammatory and infiltrative neoplastic conditions.
3. Normal thorax.
4. Mild hip incongruity/dysplasia.
5. Suspect left lesser trochanter enthesophytosis/iliopsoas enthesopathy.</t>
  </si>
  <si>
    <t>Rectal exam, blood pressure evaluation.
Fluids, analgesic therapy, and enema.</t>
  </si>
  <si>
    <t>6 images of the thorax and abdomen are presented for review.  The cardiovascular structures are normal.  Moderate bronchial markings are present in all lung lobes.  The pleural and mediastinal structures are normal.  Abdominal serosal detail is adequate in all quadrants.  The stomach contains a small amount of gas.  The small intestines are normal in size.  Gas and feces are present in the colon.  The urinary bladder is small.  The remaining abdominal organs are normal.</t>
  </si>
  <si>
    <t>Moderate bronchial pulmonary pattern=ZZ90= consider residual bronchopneumonia or viral/Bordetella type pneumonitis most likely but cannot rule out bronchitis, response to inhaled irritants, response to circulating parasites, eosinophilic bronchopneumopathy.  Airway sampling may be helpful in further evaluation.  Radiographically normal abdomen on the view provided.</t>
  </si>
  <si>
    <t xml:space="preserve">
1.A minimal to mild, diffuse mixed bronchointerstitial pattern with atelectasis or less likely, pneumonia, has been detected._x000D_
2.Based on these AI airway/pulmonary findings, the probability of this patient having clinically detectable respiratory signs is LOW (25%)_x000D_
3.Pleural fissure lines or small volume pleural effusion has been detected. In a mildly to moderately overweight animal, excessive pericardial fat can artifactually mimic the result of mild pleural effusion._x000D_
4.The cardiac silhouette size is normal._x000D_
5.Are respiratory signs present? If YES._x000D_
6.Are respiratory signs present? If NO.</t>
  </si>
  <si>
    <t>3 views of the thorax are presented for review.  The trachea is mildly narrowed at the thoracic inlet.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The liver margin is rounded and extends beyond the costal arch.  Mineral is present in the right ventral liver in the area of the gallbladder.</t>
  </si>
  <si>
    <t>Mild tracheal narrowing may indicate tracheal collapse.  Fluoroscopy or bronchoscopy could be considered.  Otherwise, radiographically normal thorax for patient of this age.  Cholelithiasis.  Hepatomegaly=ZZ90= this is a nonspecific finding that may be seen with congestion, vacuolar hepatopathy, inflammation, neoplasia, etc.  Abdominal ultrasound may be helpful in further evaluation if biochemically indicated.</t>
  </si>
  <si>
    <t xml:space="preserve">
1.A minimal interstitial pulmonary pattern with a concurrent, mild perihilar infiltrate have been detected._x000D_
2.Mild dynamic airway disease has been detected._x000D_
3.The cardiac silhouette size is normal._x000D_
4.There is no evidence of ALVEOLAR PATTERN, PULMONARY NODULES or PLEURAL EFFUSION._x000D_
5.A minimal interstitial pulmonary and concurrent, mild dynamic airway disease have been detected._x000D_
6.Mild dynamic airway disease has been detected._x000D_
7.A mild perihilar infiltrate and concurrent, mild dynamic airway disease have been detected.</t>
  </si>
  <si>
    <t>Four radiographs of the thorax and abdomen dated June 15, 2024 are provided, followed by additional five views dated June 17, 2024. There is severe narrowed cervical trachea. Equivocal prominence of the left atrium. Cardiac to thoracic ratio is normal on the VD view. Pulmonary vessels are normal size. Mild age-related changes in the lungs. There is no pleural effusion. Narrowed caudal cervical intervertebral disc spaces, of doubtful significance today._x000D_
_x000D_
In the abdomen on June 15, the liver is mildly enlarged with smooth margins. There is gas and small volume fluid in the stomach. Fluid in the pylorus causes the round soft tissue contour in the cranioventral abdomen on the lateral view. Small intestines are diffusely moderately fluid-filled. The colon contains small-volume semi-formed feces. No radiopaque foreign material. Normal-sized spleen. The kidneys are obscured. Incidental congenital T12 malformation. No other osseous abnormalities. On June 17, there is small-volume gas and formed kibble-like soft tissue density in the stomach. Small bowel are mildly filled with fluid and gas, less distended than on the previous study. On the right lateral view there is the appearance of a rectangular faintly mineral opaque 1.4 x 0.6 cm contour overlying the midabdomen, however is most likely artifact on the plate/table.</t>
  </si>
  <si>
    <t>1. Small intestinal functional ileus on the June 15 study. This is a nonspecific finding and is most likely due to gastroenteritis/pancreatitis. There is no evidence of an obstructive process. No gastrointestinal abnormalities on the June 17 study._x000D_
2. Mild hepatomegaly, most likely steroid or other hepatopathy. Acute inflammation or neoplasia are next on the differential list._x000D_
3. Cervical tracheal collapse._x000D_
4. Equivocal prominent left atrium suggestive of chronic degenerative mitral valve disease. This is of doubtful clinical significance. No other thoracic abnormalities.</t>
  </si>
  <si>
    <t>If patient gastrointestinal signs persist, fasted abdominal ultrasound would be recommended.</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</si>
  <si>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4.There is no evidence of PERIHILAR INFILTRATE, PULMONARY NODULES or PLEURAL EFFUSION._x000D_
5.Are respiratory signs present? If NO._x000D_
6.Mild cardiomegaly has been detected but Heart Failure is NOT suspected.</t>
  </si>
  <si>
    <t>Two views of the thorax are provided for review and compared with the study dated 6/5/2024.  The cardiovascular structures are normal.  There is a moderate bronchial pattern in all lung lobes.  Previous alveolar infiltrates have resolved.  The mediastinal and pleural structures are normal.  Cranial abdominal detail is adequate.</t>
  </si>
  <si>
    <t>Moderate bronchial pulmonary pattern consistent with resolving bronchopneumonia.  No current evidence of alveolar infiltrates.</t>
  </si>
  <si>
    <t>Study:_x000D_
Thoracic radiography: three images dated June 17, 2024_x000D_
_x000D_
Findings:_x000D_
There is severe chromatically characterized by biventricular and left atrial enlargement. The pulmonary vasculature is normal in size. There is a diffuse bronchointerstitial pulmonary pattern, more pronounced in the perihilar and caudal dorsal lung fields on the lateral projections. The pleural space is normal. Multiple thin pleural fissure lines are seen on the VD view. There is no intrathoracic lymphadenopathy. The trachea is normal in diameter. There is no lobar bronchi narrowing. The stomach contains recently ingested food. There is mild T 12-T 13 spondylosis deformans.</t>
  </si>
  <si>
    <t>1. Severe generalized cardiomegaly and left atrial enlargement. Rule out dilated cardiomyopathy versus degenerative valve disease. Recommend echocardiography for further evaluation._x000D_
2. Given the apparent heart disease, the bronchointerstitial pulmonary pattern is concerning for left-sided congestive heart failure/cardiogenic pulmonary edema with secondary peribronchial cuffing. Benign age-related change and social or bronchitis cannot be completely excluded. Consider diuretic therapy with repeat radiography to monitor for response to treatment._x000D_
3. The multiple pleural for joint seen on the VD view may indicate trace nonspecific pleural effusion, pleural thickening and/or incidental tangential visualization.</t>
  </si>
  <si>
    <t xml:space="preserve">
1.Pleural fissure lines or moderate pleural effusion has been detected. An overlying skin fold or in a moderately overweight animal, excessive pericardial fat could artifactually mimic the result of moderate pleural effusion._x000D_
2.Severe cardiomegaly has been detected but Heart Failure is NOT suspected._x000D_
3.The evaluation has a strong suspicion of pulmonary nodules or mass lesion being present._x000D_
4.SEVERE INTERSTITIAL TO ALVEOLAR PATTERN; MODERATE BRONCHIAL PATTERN; SEVERE DYNAMIC AIRWAY DISEASE._x000D_
5.Based on these AI airway/pulmonary findings, the probability of this patient having clinically detectable respiratory signs is VERY HIGH (&gt;75%)_x000D_
6.Are respiratory signs present? If YES._x000D_
7.Are respiratory signs present? If NO.</t>
  </si>
  <si>
    <t>5 images of the abdomen, thoracolumbar spine, pelvis, and right pelvic limb are presented.  Spine and abdomen are requested for review.  Serosal detail is adequate in all quadrants.  The stomach contains a small amount of gas.  The small intestines are normal in size.  Gas is present in the colon.  The urinary bladder is small.  The remaining abdominal organs are normal.  Spinal alignment is normal with no consistently narrowed intervertebral disc spaces.  The coxofemoral joints are congruent.  No fractures or aggressive osseous lesions are seen</t>
  </si>
  <si>
    <t>Radiographically normal abdomen.  Lack of specific changes does not rule out pancreatitis or gastroenteritis.  Abdominal ultrasound could be considered if clinically indicated.  Radiographically normal XXX spine.  This does not rule out intervertebral disc herniation or other causes of spinal cord compression.  CT or MRI could be considered in further evaluation.</t>
  </si>
  <si>
    <t>4 images of the thorax are provided for review.  The trachea is dorsally deviated, indicating left ventricular enlargement.  A bulge is present in the region of the left atrium.  The cardiac silhouette is also widened with rounding of the right lung.  Cervical trachea is variable in diameter.  No pulmonary infiltrates are seen.  The pulmonary vasculature is normal in size.  The mediastinal and pleural structures are normal.  Cranial abdominal detail is adequate.</t>
  </si>
  <si>
    <t>Inconsistent tracheal narrowing with tracheal collapse.  Fluoroscopy or bronchoscopy could be considered.  Generalized cardiomegaly without current evidence of cardiogenic pulmonary edema.  Echocardiography may be helpful in further evaluation.</t>
  </si>
  <si>
    <t xml:space="preserve">
1.MILD INTERSTITIAL TO ALVEOLAR PATTERN; MILD DYNAMIC AIRWAY DISEASE; MILD PERIHILAR INFILTRATE._x000D_
2.Based on the AI airway/pulmonary findings, the probability of this patient having clinically detectable respiratory signs is MEDIUM (50%)_x000D_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6.Severe cardiomegaly has been detected but Heart Failure is NOT suspected._x000D_
7.There is no evidence of PULMONARY NODULES.</t>
  </si>
  <si>
    <t>3 views of the abdomen are presented for review.  Serosal detail is adequate in all quadrants.  The stomach contains a moderate amount of ingesta.  The small intestines are normal in size.  Gas and feces are present in the colon.  The urinary bladder is small.  The remaining abdominal organs are normal.  There is consistent narrowing of the intervertebral disc space at T12-13.</t>
  </si>
  <si>
    <t>Radiographically normal abdomen.  Narrowed intervertebral disc space suggestive of herniation.</t>
  </si>
  <si>
    <t>Study:_x000D_
Thoracic radiography: three images dated June 16, 2024_x000D_
_x000D_
Findings:_x000D_
There is moderate to severe left ventricular and left atrial enlargement. The pulmonary vasculature is normal in size. The pulmonary parenchyma is unremarkable. The pleural space is normal. There is no intrathoracic lymphadenopathy. On the left lateral view, the trachea has a mildly undulating course. The tracheal diameter is normal. The caudal lobar bronchi appear narrowed on the left lateral projection in comparison to the right lateral view. The liver extends beyond the costal arch with smooth margins. There multiple indistinct punctate mineral foci in the left kidney. The osseous structures are unremarkable.</t>
  </si>
  <si>
    <t>1. Moderate to severe left-sided cardiomegaly, indicative of mitral valve disease, without evidence of decompensation. Echocardiography should be considered for further evaluation._x000D_
2. Bronchomalacia and dynamic bronchial compression/collapse. The mild tracheal undulation on the left lateral projection can be an indicator of concurrent tracheomalacia. Fluoroscopy can be considered for further evaluation._x000D_
3. The generalized hepatomegaly is nonspecific. Rule out metabolic/vacuolar hepatopathy, hyperplasia, hepatitis or infiltrative neoplasia. Sonography can be considered for further evaluation._x000D_
4. Left nephrolithiasis and/or nephrocalcinosis.</t>
  </si>
  <si>
    <t xml:space="preserve">
1.MODERATE INTERSTITIAL TO ALVEOLAR INFILTRATE; MILD BRONCHIAL PATTERN; MILD PERIHILAR INFILTRATE._x000D_
2.Based on these AI airway/pulmonary findings,  the probability of this patient having clinically detectable respiratory signs is HIGH (75%)_x000D_
3.Are respiratory signs present? If YES._x000D_
4.Severe cardiomegaly has been detected but Heart Failure is NOT suspected._x000D_
5.Are respiratory signs present? If NO.</t>
  </si>
  <si>
    <t>4 images of the thorax are provided for review.  The trachea is dorsally deviated, indicating left ventricular enlargement.  A bulge is present in the region of the left atrium.  Cardiac size is similar to previous images dated 6/25/2023.  Mild interstitial opacity is present in the right caudal lung lobe near the hilus.  The mediastinal and pleural structures are normal.  Cranial abdominal detail is adequate.</t>
  </si>
  <si>
    <t>Left-sided cardiomegaly.  Mild interstitial pulmonary pattern consistent with early cardiogenic pulmonary edema.  Consider repeat radiographs following diuretic therapy.  Echocardiography may be helpful in further evaluation.  Dynamic tracheal collapse cannot be excluded, as tracheal narrowing was present on previous images.  Fluoroscopy or bronchoscopy could also be considered.</t>
  </si>
  <si>
    <t xml:space="preserve">
1.Are respiratory signs present? If NO._x000D_
2.Are respiratory signs present? If YES._x000D_
3.MODERATE INTERSTITIAL TO ALVEOLAR INFILTRATE; MILD BRONCHIAL PATTERN; MILD PERIHILAR INFILTRATE._x000D_
4.Based on these AI airway/pulmonary findings,  the probability of this patient having clinically detectable respiratory signs is HIGH (75%)_x000D_
5.Severe cardiomegaly has been detected but Heart Failure is NOT suspected.</t>
  </si>
  <si>
    <t>Three orthogonal radiographs of the abdomen dated 15th June 2024 are available for review. There are no previous radiographs available for comparison. _x000D_
_x000D_
Intra-abdominal findings: The stomach contains some granular food material. The gastric axis is normal. There is appropriate gas in the pylorus on the left lateral image. The small intestines are variably filled with gas, fluid and soft tissue opaque material. The descending colon contains gas and poorly formed faeces. The hepatic silhouette is slightly small. The spleen is normal in shape, size and position. The kidneys are partially obscured by gastrointestinal contents, but the visible aspect are normal. The urinary bladder is small. There is some prostatic enlargement._x000D_
_x000D_
Extra-abdominal findings: There is multisite intervertebral disc narrowing with ventral spondylosis deformans._x000D_
_x000D_
Included thorax: The caudal vena cava is tapering.</t>
  </si>
  <si>
    <t>1. Relatively unremarkable post-prandial gastrointestinal tract. A mild enteritis due to dietary indiscretion or infectious-inflammatory origin should be considered. There is no evidence for a radiopaque foreign body, or segmental obstruction._x000D_
2. The tapering caudal vena cava is most likely due to dehydration, however tapering due to phase of cardiac contraction may be possible._x000D_
3. The apparent microhepatica may be due to thoracic conformation, however in light of history of seizuring, microvascular dysplasia, cirrhosis needs to be excluded.</t>
  </si>
  <si>
    <t>Supportive management including rehydration, gastroprotectants,  full blood work, faecal analysis if clinically indicated may be considered._x000D_
A complete abdominal ultrasonographic examination is advised, with a view to FNA of abnormal organs, after complete blood work, and a normal coagulation panel.</t>
  </si>
  <si>
    <t>A lateral view of the thorax is presented for review and compared with the study dated 5/13/2024.  The cardiovascular structures are normal.  There is a diffuse interstitial pulmonary pattern that is considered appropriate for the age of the patient.  No pulmonary nodules are seen.  An ovoid soft tissue structure remains dorsal to the second and third sternal segments.  There is irregularity along the ventral aspect of the cranial mediastinum.  The pleural structures are normal.  Cranial abdominal detail is adequate.</t>
  </si>
  <si>
    <t>Sternal unlikely cranial mediastinal lymphadenopathy.</t>
  </si>
  <si>
    <t>Ultrasound-guided aspirate of the sternal lymph node could be considered.  CT may also be helpful.</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</si>
  <si>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and the rugal folds are prominent.  The small intestines are normal in size.  Gas is present in the colon.  The urinary bladder is small.  The remaining abdominal organs are normal.  Osteophytes are present on the femoral necks and acetabular rims.</t>
  </si>
  <si>
    <t>Prominent rugal fold suggestive of gastritis.  This does not rule out underlying pancreatitis or infiltrative neoplasia.  Severe bilateral coxofemoral DJD.  Radiographically normal thorax for patient of this age.</t>
  </si>
  <si>
    <t>3 views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The trachea is narrowed in the cervical region on the left lateral view.  Cranial abdominal detail is adequate.</t>
  </si>
  <si>
    <t>Radiographically normal thorax for patient of this age.  Inconsistent cervical tracheal narrowing may indicate dynamic tracheal collapse.</t>
  </si>
  <si>
    <t>Six survey radiographs of thoracic and lumbar vertebral column dated 15th June 2024 are available for review._x000D_
_x000D_
Vertebral column: The cervical vertebral column is underexposed, however no overt intervertebral disc narrowing or mineralisation of the intervertebral disc spaces is seen. The vertebral and plates are smooth. Within the thoracic vertebral column there are numerous congenital vertebral abnormalities consistent with breed including butterfly vertebrae and wedge vertebrae. The intervertebral disc spaces are irregular but smoothly marginated and not collapsed. The lumbar vertebral column is normal. Both sacroiliac joints are normal. The included aspects of the coxofemoral joints are normal.</t>
  </si>
  <si>
    <t>Multisite thoracic congenital vertebral abnormalities. These are unlikely to be causing the presenting clinical signs. Occult intervertebral disc disease such as intervertebral disk protrusion or other spinal cord pathology including embolic (FCE), high velocity disk, inflammatory or neoplastic disease or degenerative myelopathy is not excluded by a normal appearance.</t>
  </si>
  <si>
    <t>Consider collimated, centred orthogonal cervical vertebral radiographs. Full neurologic examination if not already performed. If no proprioceptive deficits or patients neck pain is mild, consider treating for intervertebral disk disease/arthritis (exercise restriction, NSAIDs with supportive bloodwork, +/- multimodal analgesia). If no response to therapy, patient has proprioceptive deficits or is worsening in general, referral to a neurologist for discussion regarding feasibility of MRI vs. CT of the spine can be considered</t>
  </si>
  <si>
    <t xml:space="preserve">
1.MODERATE INTERSTITIAL TO ALVEOLAR INFILTRATE; MILD BRONCHIAL PATTERN; MINIMAL PERIHILAR INFILTRATE._x000D_
2.Based on these AI airway/pulmonary findings,  the probability of this patient having clinically detectable respiratory signs is HIGH (75%)_x000D_
3.The cardiac silhouette size is normal._x000D_
4.There is no evidence of PULMONARY NODULES._x000D_
5.Are respiratory signs present? If NO._x000D_
6.Are respiratory signs present? If YES.</t>
  </si>
  <si>
    <t>Study:_x000D_
Thoracic/abdominal radiography: three images dated June 15, 2024_x000D_
_x000D_
Findings:_x000D_
There is moderate left ventricular and left atrial enlargement. The pulmonary vasculature is normal in size. There is a mild perihilar/caudal dorsal unstructured interstitial pulmonary pattern. Multiple thin pleural fissure lines are present on the VD view. There is no intrathoracic lymphadenopathy. The trachea is normal in diameter. The stomach contains a small volume of gas. The small intestines are normal in size, course and content. The colon contains gas and poorly formed fecal material. The liver and spleen are normal in size and margin. The kidneys are normal in size and contour. The region of the urinary bladder and prostate are not included. The T 13 vertebra is transitional with a hypoplastic rib on the left and no appreciable rib on the right. There is narrowing of the L1-L2, L2-L3 and L3-L4 intervertebral disc spaces with mild to moderate spondylosis deformans.</t>
  </si>
  <si>
    <t>1. Moderate left-sided cardiomegaly with likely decompensated congestive heart failure/cardiogenic pulmonary edema. Rule out degenerative valve disease versus cardiomyopathy. Echocardiography is recommended for further evaluation. Diuretic therapy with repeat radiography to monitor for response to treatment should be considered in the interim._x000D_
2. The pleural fissure lines seen on the VD view likely represent trace pleural effusion, possibly secondary to biventricular heart failure. Pleural thickening or incidental tangential visualization cannot be excluded._x000D_
3. Unremarkable abdomen._x000D_
4. L1-L2, L2-L3 and L3-L4 intervertebral disc disease. Neurology consultation and MRI can be considered for further evaluation.</t>
  </si>
  <si>
    <t xml:space="preserve">
1.Are respiratory signs present? If YES._x000D_
2.Are respiratory signs present? If NO_x000D_
3.MILD BRONCHOINTERSTITIAL PULMONARY PATTERN with ATELECTASIS or less likely, PNEUMONIA; MILD PERIHILAR INFILTRATE._x000D_
4.Based on the AI airway/pulmonary findings, the probability of this patient having clinically detectable respiratory signs is LOW to MEDIUM (25%-50%)_x000D_
5.Pleural fissure lines or small volume pleural effusion has been detected. In a mildly overweight animal, excessive pericardial fat can artifactually mimic the result of minimal pleural effusion._x000D_
6.Severe cardiomegaly has been detected but Heart Failure is NOT suspected._x000D_
7.There is no evidence of PULMONARY NODULES.</t>
  </si>
  <si>
    <t>3 views of the torso are submitted for review.  The cardiac silhouette is subjectively normal in shape without specific chamber enlargement.  A moderate bronchointerstitial pattern is noted throughout the lung fields.  No pleural effusion is noted.  The trachea is normal in diameter._x000D_
In the abdomen, the liver is mildly prominent with rounded serosal margins.  The spleen is normal in size and shape.  The unobscured margins of the renal silhouettes and urinary bladder are within normal limits.  The stomach contains a mild amount of gas. 1 or 2 thin, wire like metallic opacity structures are noted in the cranial abdomen in the plane of the stomach and liver, best noted on the right lateral view. The small bowel and colon are within normal limits.  Serosal detail is adequate._x000D_
No evidence definitive osseous abnormalities are seen.</t>
  </si>
  <si>
    <t>The appearance of the GI tract is very nonspecific and may be normal or could be consistent with nonspecific gastroenteritis, pancreatitis, or dietary indiscretion. The linear wire like structure is noted in the cranial abdomen is consistent with dietary indiscretion at some point.  However, these are typically noted as incidental findings.  The mild hepatomegaly could be associated with vacuolar change, inflammation, or less likely neoplasia._x000D_
The appearance of the lung fields is most consistent with chronic inflammatory airway disease.  No evidence of congestive heart failure is seen.</t>
  </si>
  <si>
    <t>Correlation with blood work may be helpful.  An abdominal ultrasound could be considered for further evaluation.  Otherwise, symptomatic/supportive medical management may be helpful.</t>
  </si>
  <si>
    <t xml:space="preserve">
1.SEVERE BRONCHOINTERSTITIAL TO ALVEOLAR PATTERN; PULMONARY NODULES or NODULAR PATTERN; PLEURAL FLUID or LESS LIKELY, OVERLYING SKIN FOLDS or SEVERE OBESITY; SEVERE DYNAMIC AIRWAY DISEASE._x000D_
2.Based on the AI airway/pulmonary findings, the probability of this patient having soft tissue pulmonary nodules and clinically detectable respiratory signs is VERY HIGH (&gt;75%)_x000D_
3.Are respiratory signs present? If YES. In a younger dog, pneumonia (aspiration, bacterial, fungal, parasitic (including heartworm pathosis) or embolic), pulmonary hemorrhage, pulmonary fibrosis or pleural space disease (mild pleural effusion) with concurrent dynamic airway collapse and/or bronchiectasis is likely. In older dogs, neoplasia (lobar neoplasia or ) or PTE are additional considerations. A component of upper airway disease causing secondary lower airway disease, including aspiration pneumonia or atelectasis, may be present._x000D_
4.Severe cardiomegaly has been detected but Heart Failure is NOT suspected._x000D_
5.The evaluation result has a strong suspicion of soft tissue pulmonary nodules being present. This case should be further scrutinized for the presence of pulmonary metastasis or other soft tissue nodular pulmonary lesions such as; fungal disease, pulmonary abscesses or parasitic cysts. Keep in mind that disseminated lymphoma and METASTATIC mast cell neoplasia typically cause intrathoracic lymph node enlargement and DO NOT typically cause soft tissue pulmonary nodules. In older dogs, neoplasia (primary or metastatic) is the primary consideration. A false positive result due to cutaneous nodules or nipples overlying the thorax artifactually creating this result is considered unlikely in this case. However, if a cutaneous nodule is suspected, apply a radiopaque marker or barium to the cutaneous structure or nipple and repeat the thoracic radiographs._x000D_
6.Are respiratory signs present? If NO. A false positive due to a combination of age-related changes due to sedation or anesthesia and/or overlying soft tissues such as forelimb musculature overlying the cranial thorax would be more likely._x000D_
7.Pleural fissure lines pleural effusion has been detected. In an overweight animal, excessive pericardial fat or overlying skin folds can artifactually mimic the result of pleural effusion._x000D_
8.Given the complexity of this case, study submission to a radiologist for review is recommended.</t>
  </si>
  <si>
    <t xml:space="preserve">Patient Name : Leia Hartman, Date of study: Jun 15, 2024
5 images are provided for review
There are no previous radiographs for comparison.  The images are grainy/mottled such as from quantum mottle artifact.  
Pulmonary parenchyma: A mild diffuse bronchial pattern is present.  The lungs are minimal to moderately hypoinflated, most severe in the initial right lateral image.  A minimal to mild diffuse interstitial pattern is present, likely exacerbated by hypoinflation and image artifact.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The included musculoskeletal structures are normal.
</t>
  </si>
  <si>
    <t xml:space="preserve">1. Mild diffuse bronchial pattern.  
- Differential diagnoses include infectious/immune-mediated lower airway disease (mycoplasma spp. less likely bordetella spp. or viral etiologies, or parasitism such as lung worm, or less likely asthma), fibrosis from prior disease/age-related changes, or unlikely other.
2. Minimal diffuse interstitial pattern due to hypoinflation and image artifact, with/without underlying lower airway disease, fibrosis from prior disease, or unlikely other.
3. No obvious evidence of cardiomegaly on this examination.  </t>
  </si>
  <si>
    <t xml:space="preserve">Consider respiratory PCR panel with/without airway sampling versus empirical therapy/supportive care for infectious/immune-mediated lower airway disease.  FEcal analysis/empirical deworming may be contributory.  Monitoring as directed, or sooner if clinical signs acutely change, fail to improve or worsen.  </t>
  </si>
  <si>
    <t>Five orthogonal thoracic radiographs dated 14th June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90% of the dorsoventral diameter of the trachea. The intrathoracic trachea is normal. There is alveolar opacification of the right cranial lung lobe. Throughout the remainder of the lung parenchyma there is a mild bronchial pattern._x000D_
_x000D_
Cardiovascular findings: The cardiac silhouette is normal in shape, size and margination. The right cranial pulmonary vessels are dilated. The left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No significant abnormalities are detected.</t>
  </si>
  <si>
    <t>1.Right cranial lung lobe alveolar opacification is consistent with aspiration pneumonia, or lobar bronchopneumonia. The prominent local pulmonary vasculature is likely secondary to the vascular resistance, and inflammation._x000D_
2. The dorsal attenuation of the trachea is consistent with tracheomalacia, and/or redundant trachealis membrane. The extent of attenuation would be expected to cause coughing.</t>
  </si>
  <si>
    <t>Empiric management of aspiration ammonia is advised, and repeat radiographs._x000D_
Once corrected, consider evaluation for airway collapse (fluoroscopy vs. right lateral inspiratory and expiratory radiographs vs. CT with virtual bronchoscopy). Alternatively consider medical management. Consider surgical consultation depending on clinical progression.</t>
  </si>
  <si>
    <t xml:space="preserve">
1.MINIMAL to MILD DIFFUSE, MIXED BRONCHOINTERSTITIAL PULMONARY PATTERN with ATELECTASIS or less likely, pneumonia._x000D_
2.Probability these AI pulmonary findings will accompany clinically detectable respiratory signs: LOW (25%)_x000D_
3.Are respiratory signs present? If YES._x000D_
4.Are respiratory signs present? If NO._x000D_
5.Mild cardiomegaly has been detected but Heart Failure is NOT suspected.</t>
  </si>
  <si>
    <t>THORAX (3 total radiographs for review). A recent examination is available dated 06/13/24._x000D_
_x000D_
- The cardiac silhouette and pulmonary vasculature are normal._x000D_
- The pulmonary parenchyma is normal_x000D_
- The trachea, esophagus and remainder of the mediastinum is/are normal._x000D_
- The pleural space and remaining intrathoracic structures are normal._x000D_
- There are multiple caudal thoracic and thoracolumbar wedge- and butterfly shaped hemivertebral segments and mild spondylosis in this region._x000D_
- The stomach, visible small intestinal segments and the colon are mildly to moderately distended with gas (limited assessment).</t>
  </si>
  <si>
    <t>1. Normal thorax. No evidence of aspiration pneumonia or other clear radiographic cause for the reported intermittent coughing. Please note that radiographic findings may lag behind clinical signs. If the patient=ZZ91=s cough continues or worsens despite medical management, you may consider rechecking the thoracic radiographs and/or performing thoracic CT._x000D_
_x000D_
2. The appearance of the stomach, small intestine and colon can be compatible with a combination of aerophagia and non-specific generalized functional ileus (e.g. gastroenterocolitis), which appears to be mildly improved from the recent examination._x000D_
_x000D_
3. Multiple caudal thoracic hemivertebrae.</t>
  </si>
  <si>
    <t>3 views of the entire body are provided for review.  The trachea is dorsally deviated, indicating left ventricular enlargement.  A bulge is present in the region of the left atrium.  The trachea is persistently narrowed.  No pulmonary infiltrates are seen.  The pulmonary vasculature is normal in size.  The mediastinal and pleural structures are normal.  Abdominal serosal detail is adequate in all quadrants.  The liver margins are rounded and extend beyond the costal arch, causing caudal displacement of the gastric axis.  The stomach contains a small amount of ingesta.  The small intestines are normal in size.  Gas and feces are present in the colon.  The urinary bladder is small.  The remaining abdominal organs are normal.</t>
  </si>
  <si>
    <t>Hepatomegaly=ZZ90= this is a nonspecific finding that may be seen with congestion, vacuolar hepatopathy, inflammation, neoplasia, etc.  Abdominal ultrasound may be helpful in further evaluation if biochemically indicated.  Persistent tracheal narrowing consistent with tracheal collapse.  Left-sided cardiomegaly without current evidence of cardiogenic pulmonary edema.  Echocardiography may be helpful in further evaluation.</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</si>
  <si>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3.Are respiratory signs present? If YES._x000D_
4.Are respiratory signs present? If NO._x000D_
5.Pleural fissure lines or small volume pleural effusion has been detected. In a mildly to moderately overweight animal, excessive pericardial fat can artifactually mimic the result of mild pleural effusion._x000D_
6.Severe cardiomegaly has been detected but Heart Failure is NOT suspected.</t>
  </si>
  <si>
    <t>Three radiographs of the thorax are provided. There is equivocal straightened caudal heart waist on the left lateral view. The left atrial margin was previously visible on the VD projection but is not definitively seen today. Cardiac to thoracic ratio and pulmonary vessel size is normal. Mild age-related changes throughout the lungs. There is no pleural effusion or soft tissue pulmonary nodules. Normal tracheal diameter. In the cranial abdomen the liver is equivocally prominent, with smooth margins. Curved soft tissue density extending ventral to the liver on the left lateral view is caused by superficial lipomatous tissue, incidental. Moderate volume fat opaque lipomatous extrathoracic tissue bilaterally.</t>
  </si>
  <si>
    <t>No definitive left atrial enlargement is appreciated today. The thorax is normal. The liver is equivocally prominent, consider normal variant or steroid hepatopathy. This should be correlated with history and blood work.</t>
  </si>
  <si>
    <t>Three radiographs of the thorax, and three views of the abdomen are provided. Images dated 6/4/21 are available for comparison. There is moderate generalized cardiac silhouette enlargement, not present on the previous study. There is subsequent dorsal deviation of the intrathoracic trachea and mainstem bronchi. Cranial pulmonary vessels are normal size. Perihilar vessels are poorly delineated. No pleural effusion. Normal tracheal diameter._x000D_
_x000D_
In the abdomen the liver is mildly enlarged with rounded margins. Normal-sized kidneys and spleen. Small renal diverticular mineralizations, incidental. No radiopaque cystic calculi. The gastrointestinal tract is mildly filled. Round and stippled 1.5 cm mineral density in the cutaneous tissues dorsal to the mid thoracic spine, larger than before. Narrowed T12-13 and L4-5 intervertebral disc spaces, similar to the previous study and of doubtful clinical significance today.</t>
  </si>
  <si>
    <t>1. Moderate generalized cardiomegaly consistent with acquired mitral and tricuspid valve disease. Hazy perihilar region is significantly concerning for pulmonary edema secondary to left-sided heart failure. Increased vagal tone may be responsible for syncopal episodes._x000D_
2. Prominent liver, consider venous congestion primarily. Acute inflammation or steroid hepatopathy are next on the differential list. This should be correlated with history and blood work.</t>
  </si>
  <si>
    <t>Recommend diuretic administration, ECG, and an echocardiogram. Recommend obtaining a dorsoventral projection (instead of VD view) on all future thoracic studies of this patient. This will allow for maximum dorsal lung aeration to help rule in/out pulmonary edema.</t>
  </si>
  <si>
    <t>Patient Name : Eros James, Date of study: Jun 15, 2024
3 images are provided for review
Canine Thorax (3 Images) - 1 VD, 2 Lateral
There are no previous radiographs for comparison.
Findings:
There is a ~13.5 cm diameter heterogeneously mineral and soft tissue mass centered on the right caudolateral thoracic body wall.  There is suspected expansile lysis of the right eighth rib near the costochondral junction.  The right ninth rib is caudomedial he displaced.  The mass extends into the caudoventral thorax and cranioventral abdomen, displacing regional anatomy (right lung lobes and liver).
Seen on the right lateral image in the fourth intercostal space, superimposed with the cardiac silhouette just cranial to the fifth ribs, there is a 5 mm diameter soft tissue nodule.
The cardiovascular structures are normal.
There is a small volume of soft tissue in the pleural space.
There is poor cranial abdominal serosal detail.</t>
  </si>
  <si>
    <t>1. Right caudolateral thoracic body wall mass with suspected expansile lysis of the right eighth rib and cranioventral abdominal extension.  Primary rib neoplasia is prioritized, and a chondrosarcoma or osteosarcoma are most likely; alternatively consider a soft tissue sarcoma with osseous invasion.
2. Single pulmonary nodule, consider metastatic neoplasia or granuloma.
3. Small volume pleural effusion, secondary to the rib mass.
4. Poor cranial abdominal serosal detail due to peritoneal effusion (secondary to the rib mass) or artifact from thin body condition and visceral crowding.</t>
  </si>
  <si>
    <t xml:space="preserve">Fine-needle aspiration of the mass may be useful for cytology.
Thoracic computed tomography may be useful for further evaluation (particularly to determine if there are more pulmonary nodules than the single 1 identified radiographically, which would better support a diagnosis of metastasis).  
Consultation with a surgeon, surgical oncologist, and/or radiation oncologist may be useful for further management.
</t>
  </si>
  <si>
    <t xml:space="preserve">
1.MODERATE INTERSTITIAL TO ALVEOLAR INFILTRATE; MILD PERIHILAR INFILTRATE; MINIMAL BRONCHIAL PATTERN._x000D_
2.Based on these AI airway/pulmonary findings,  the probability of this patient having clinically detectable respiratory signs is HIGH (75%)_x000D_
3.Are respiratory signs present?  If YES._x000D_
4.Are respiratory signs present? If NO._x000D_
5.The evaluation has a strong suspicion of pulmonary nodules or mass lesion being present._x000D_
6.The cardiac silhouette size is normal._x000D_
7.Pleural fissure lines or moderate to severe pleural effusion has been detected. An overlying skin fold or in an obese animal, excessive pericardial fat could artifactually mimic the result of severe pleural effusion.</t>
  </si>
  <si>
    <t>Thorax: There is mild to moderate left-sided cardiomegaly.  There is no evidence of cardiogenic pulmonary edema.  The pulmonary parenchyma and pulmonary vasculature are unremarkable.  There is no evidence of pleural effusion or lymphadenopathy.</t>
  </si>
  <si>
    <t>Left-sided cardiomegaly without evidence of decompensation.</t>
  </si>
  <si>
    <t xml:space="preserve">
1.MILD BRONCHOINTERSTITIAL PULMONARY PATTERN; MILD DYNAMIC AIRWAY DISEASE; MINIMAL PERIHILAR INFILTRATE._x000D_
2.Based on these AI airway/pulmonary findings, the probability of this patient having clinically detectable respiratory signs is MEDIUM (50%)_x000D_
3.Are respiratory signs present? If YES._x000D_
4.Are respiratory signs present? If NO._x000D_
5.Severe cardiomegaly has been detected but Heart Failure is NOT suspected._x000D_
6.There is no evidence of PULMONARY NODULES.</t>
  </si>
  <si>
    <t>Thirteen survey radiographs of the thorax, abdomen and pelvis and pelvic limbs dated 14th June 2024 are available for review. There are no previous radiographs available for comparison. These images are submitted for assessment of the pelvic limbs._x000D_
_x000D_
Pelvis: The included lumbar vertebral column and sacroiliac joints are normal. There is mild widening of the caudal coxofemoral joint spaces, however there is outward rotation of the limbs. There is approximately 50% coverage of the femoral heads by the acetabulum. There is mild flattening of the caudal femoral heads. No other degenerative modelling is present._x000D_
_x000D_
Joints and long bones: No degenerative modelling of the stifle joints is present. The position of the tibia relative to the femoral condyles is normal. No soft tissue attenuation of the stifle joint spaces is present._x000D_
_x000D_
Soft tissues: The caudal thigh musculature is poor.</t>
  </si>
  <si>
    <t>1. Part of the coxofemoral findings can be attributed to limb positioning, however bilateral coxofemoral laxity/mild hip dysplasia may be present.</t>
  </si>
  <si>
    <t>Correlate with manipulative testing under sedation or anaesthesia of both hips and stifle joints. Careful empirical management, including controlled exercise, non-steroidal anti-inflammatories, or multimodal analgesia, after normal blood work may be considered.</t>
  </si>
  <si>
    <t xml:space="preserve">
1.Are respiratory signs present? If NO._x000D_
2.SEVERE ALVEOLAR INFILTRATE; MINIMAL BRONCHOINTERSTITIAL PATTERN._x000D_
3.Based on the AI airway/pulmonary findings, the probability of this patient having clinically detectable respiratory signs is VERY HIGH (&gt;75%)_x000D_
4.Are respiratory signs present? If YES._x000D_
5.AI linked canine pneumonia treatment: https://platform.v2.vetology.net/doc/pneumonia-in-dogs-and-cats_x000D_
6.The cardiac silhouette size is normal._x000D_
7.There is no evidence of DYNAMIC AIRWAY COLLAPSE or BRONCHIECTASIS or PLEURAL EFFUSION.</t>
  </si>
  <si>
    <t>Three orthogonal thoracic radiographs dated 14th June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90% of the dorsoventral diameter of the trachea. The intrathoracic trachea is normal. The pulmonary parenchyma is normal._x000D_
_x000D_
Cardiovascular findings: There is mild increased cardiac sternal contact. The cardiac silhouette is mildly upright caudal. There is a mild reverse the configuration in the ventral dorsal image. The cranial pulmonary vasculature is normal. The right caudal pulmonary vein and artery are prominent._x000D_
_x000D_
Mediastinum and pleural space: There is increased ventral pleural and pericardial fat._x000D_
_x000D_
Musculoskeletal findings: No significant abnormalities are detected._x000D_
_x000D_
Included abdomen: There is mild smoothly marginated hepatomegaly.</t>
  </si>
  <si>
    <t>1. The dorsal attenuation of the trachea is consistent with tracheomalacia, and/or redundant trachealis membrane. The extent of attenuation would be expected to cause coughing._x000D_
2. Mild generalised cardiomegaly likely due to mitral and tricuspid insufficiency. Dilated cardiomyopathy is considered unlikely. There are no clear indications for cardiac insufficiency, however the right caudal pulmonary vessel enlargement may be due to phase of contraction, heart worm infestation, pulmonary hypertension/pulmonary fibrosis.</t>
  </si>
  <si>
    <t>Consider evaluation for airway collapse (fluoroscopy vs. right lateral inspiratory and expiratory radiographs vs. CT with virtual bronchoscopy). Alternatively consider medical management. Consider surgical consultation depending on clinical progression._x000D_
Radiography is insensitive for early cardiac insufficiency, therefore ECG, blood pressure measurements, and echocardiography may be considered for further evaluation, or baseline measurements._x000D_
Respiratory workup including CBC, serum chemistry, urinalysis, Baermann faecal testing, 4DX, +/- respiratory panel or fungal testing may be considered.</t>
  </si>
  <si>
    <t xml:space="preserve">
1.Are respiratory signs present? If YES._x000D_
2.MODERATE BRONCHIAL PATTERN, MILD DYNAMIC AIRWAY DISEASE, MILD, DIFFUSE INTERSTITIAL PATTERN WITH A SLIGHTLY MORE PRONOUNCED PERIHILAR INFILTRATE._x000D_
3.MILD to MODERATE BRONCHINTERSTITIAL PATTERN with ATELECTASIS or less likely, PNEUMONIA; MILD DYNAMIC AIRWAY DISEASE._x000D_
4.MILD INTERSTITIAL TO ALVEOLAR PATTERN; MILD DYNAMIC AIRWAY DISEASE; MILD PERIHILAR INFILTRATE._x000D_
5.Based on the AI airway/pulmonary findings, the probability of this patient having clinically detectable respiratory signs is MEDIUM (50%)_x000D_
6.Based on these AI airway/pulmonary findings, the probability of this patient having clinically detectable respiratory signs is MEDIUM (50%)_x000D_
7.Based on these AI airway/pulmonary findings, the probability of this patient having clinically detectable respiratorysigns is MEDIUM (50%)_x000D_
8.Are respiratory signs present? If YES._x000D_
9.Are respiratory signs present? If YES._x000D_
10.AI linked bronchitis disease treatment in dogs and cats: https://platform.v2.vetology.net/doc/bacterial-bronchitis-in-dogs-and-cats_x000D_
11.Are respiratory signs present? If NO._x000D_
12.Moderate cardiomegaly has been detected but Heart Failure is NOT suspected._x000D_
13.Are respiratory signs present? If NO._x000D_
14.Are respiratory signs present? If NO.</t>
  </si>
  <si>
    <t>3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stomach contains a moderate amount of gas.  The small intestines are normal in size.  Gas and feces are present in the colon.  The urinary bladder is small.  Distinct uterine enlargement is not visible.  The remaining abdominal organs are normal.  There is narrowing of the intervertebral disc space and spondylosis deformans at L2-3.</t>
  </si>
  <si>
    <t>Radiographically normal abdomen.  Abdominal ultrasound or repeat radiographs with a paddle technique could be considered to determine if uterine enlargement is present.  Lumbar changes consistent with chronic intervertebral disc herniation.  Radiographically normal thorax for patient of this age.</t>
  </si>
  <si>
    <t xml:space="preserve">
1.MILD to MODERATE INTERSTITIAL TO ALVEOLAR PATTERN; MILD DYNAMIC AIRWAY DISEASE._x000D_
2.Based on these AI airway/pulmonary findings, the probability of this patient having clinically detectable respiratory signs is MEDIUM (50%)_x000D_
3.Are respiratory signs present? If YES._x000D_
4.Are respiratory signs present? If NO._x000D_
5.Mild cardiomegaly has been detected but Heart Failure is NOT suspected._x000D_
6.There is no evidence of PERIHILAR INFILTRATE, PULMONARY NODULES or PLEURAL EFFUSION.</t>
  </si>
  <si>
    <t>3 views of the thorax are provided for review.  The trachea is dorsally deviated, indicating left ventricular enlargement.  A bulge is present in the region of the left atrium.  The cardiac silhouette is also widened with rounding of the right ventricular margin.  Interstitial opacity is present in the caudal lung lobes near the hilus.  The mediastinal and pleural structures are normal.  Cranial abdominal detail is adequate.</t>
  </si>
  <si>
    <t>Unchanged generalized cardiomegaly.  Interstitial pulmonary pattern consistent with early cardiogenic pulmonary edema.</t>
  </si>
  <si>
    <t xml:space="preserve">
1.A moderate perihilar infitlrate has been detected._x000D_
2.Pleural fissure lines or moderate pleural effusion has been detected. An overlying skin fold or in a moderately overweight animal, excessive pericardial fat could artifactually mimic the result of moderate pleural effusion._x000D_
3.Severe cardiomegaly has been detected but Heart Failure is NOT suspected._x000D_
4.SEVERE INTERSTITIAL TO ALVEOLAR PATTERN; MODERATE BRONCHIAL PATTERN; SEVERE DYNAMIC AIRWAY DISEASE._x000D_
5.Based on these AI airway/pulmonary findings, the probability of this patient having clinically detectable respiratory signs is VERY HIGH (&gt;75%)_x000D_
6.Are respiratory signs present? If YES._x000D_
7.AI linked collapsing airway disease treatment in dogs: https://platform.v2.vetology.net/doc/canine-tracheal-collapse-treatment_x000D_
8.Are respiratory signs present? If NO.</t>
  </si>
  <si>
    <t>4 images of the thorax are provided for review.  The cardiovascular structures are normal.  There is a moderate bronchial pattern in all lung lobes.  The mediastinal and pleural structures are normal.  The trachea is uniform in diameter.  Cranial abdominal detail is adequate.</t>
  </si>
  <si>
    <t>6 images of the thorax and abdomen are provided for review.  A lateral view of the cervical region is not requested to be reviewed.  The cardiovascular structures are normal.  There is a moderate bronchial pattern in all lung lobes.  The mediastinal and pleural structures are normal.  Abdominal serosal detail is adequate in all quadrants.  The liver margins are rounded and extend beyond the costal arch, causing caudal displacement of the gastric axis.  The stomach contains a moderate amount of gas.  The small intestines are normal in size.  Gas and feces are present in the colon.  The urinary bladder is small.  The remaining abdominal organs are normal.  There is narrowing of the intervertebral disc spaces and spondylosis deformans at T13-L2.</t>
  </si>
  <si>
    <t>Hepatomegaly=ZZ90= this is a nonspecific finding that may be seen with congestion, vacuolar hepatopathy, inflammation, neoplasia, etc.  Abdominal ultrasound may be helpful in further evaluation if biochemically indicated.  Moderate bronchial pulmonary pattern=ZZ90= consider bronchitis, response to inhaled irritants, response to circulating parasites, eosinophilic bronchopneumopathy.  Airway sampling may be helpful in further evaluation.  Spinal changes consistent with chronic intervertebral disc herniations.  CT or MRI could be considered if clinically indicated.</t>
  </si>
  <si>
    <t>8 images of the thorax and cervical region are provided for review and are compared with previous images, most recently dated 2/1/2023.  The cardiovascular structures are normal.  There is a marked bronchial pattern in all lung lobes, static between studies.  There is apparent tracheal narrowing in the caudal cervical region.  The laryngeal and pharyngeal structures included are normal.  The mediastinal and pleural structures are normal.  Cranial abdominal detail is adequate.</t>
  </si>
  <si>
    <t>Persistent severe bronchial pulmonary pattern=ZZ90= consider bronchitis, response to inhaled irritants, response to circulating parasites, eosinophilic bronchopneumopathy.  Airway sampling may be helpful in further evaluation.  Apparent tracheal narrowing is likely due to superimposition of the esophagus.  Tracheal collapse cannot be completely excluded but is unlikely in a patient of this breed.  Laryngeal paralysis cannot be excluded and sedated upper airway examination may be helpful.</t>
  </si>
  <si>
    <t xml:space="preserve">Patient Name: Norman Kistler, Date of study: Jun 14, 2024
8 images are provided for review. Orthogonal neck radiographs (VD and Lateral), three thoracic radiographs (1 VD and 2 Laterals) and three abdominal radiographs (1 VD and 2 Laterals) are available for interpretation. 
There are no previous radiographs for comparison.
Image evaluation: The thoracic and abdominal lateral radiographs are not labeled for laterality however the gas distribution in the stomach and CVC insertion into the diaphragm will be used to determine laterality. 
Neck: Gas is present in the cervical esophagus. The remainder of the neck is normal. 
Thorax:
Airway/pulmonary parenchyma: A diffuse bronchial pattern with diffuse bronchiectasis affects the entire lung, more severe in the caudodorsal thorax. A thin walled cavitary region overlies the cranial aspect of the heart on the right lateral projection. A focal region of atelectasis overlies the caudal aspect of the heart on the right lateral projection but there is no region of discrete lung consolidation ventrally. 
Cardiovascular: The overall cardiac size is decreased and there is ventral positioning to the carina. Additionally, the pulmonary arteries to the cranial thorax are decreased in size. The corresponding veins are slightly larger. On the right lateral projection, rounding to the right ventricle is present along with subtle loss to the caudal cardiac waist suggestive of minimal left atrial enlargement. On the VD projection, there is questionable enlargement to the left caudal pulmonary artery overlying the heart and multiple end-on vessels are present in the left caudal lung lobe. The CVC is mildly distended. 
Mediastinum: The cranial mediastinum is slightly widened on the VD projection but has a fat opacity on the lateral projection. Fluid is present in the caudal thoracic esophagus. 
Pleural space: No pneumothorax or pleural fluid is noted. 
Abdomen:
Liver: Normal
Spleen: On the right lateral projection, the splenic margin appears mildly irregular. This finding does not persist on the left lateral projection or VD projections but on the VD projection, the spleen extends to the right lateral abdominal wall consistent with splenomegaly. 
Kidneys and urinary bladder: On the VD projection, the kidneys are partially obscured. The right kidney appears slightly rounded and shorter in length while the left kidney has a more normal shape. On the left lateral projection, a mineral opacity overlies the region of the bladder trigone/proximal urethra. This mineral opacity cannot be identified on the other projections. 
GI: The stomach is gas distended and the gastric rugae appear thickened. No gastric foreign body is noted. The descending duodenum is displaced axially but the splenomegaly but no overt duodenal distention is noted. The small bowel is diffusely gas- and fluid filled. On both lateral projections, empty loops of viscus are present in the mid- and caudal abdomen. The max:min small bowel ratio is approximately 1.5. 
Abdominal detail: On the VD projection, several small gas opacities are positioned in the left cranial abdomen, axial to the spleen and the cranial splenic margin appears highlighted. These findings raise concern for free abdominal air. Left cranial abdominal detail is also decreased on the VD projection.
Msk: No abnormalities noted. </t>
  </si>
  <si>
    <t>1) Decreased abdominal detail in the left cranial abdomen on the VD projection along with small gas opacities in this region raise concern for free abdominal air secondary to a perforated viscus or less likely, pneumoretroperitoneum due to recent cystocentesis or laparoscopy/abdominal surgery. Evidence of gastritis. Disparity in small bowel diameter could represent functional ileus secondary to peritonitis vs. partial obstruction.
2) Dehydration or hypovolemia. DDx: secondary to vomiting is most likely given the history. 
3) Chronic bronchitis and bronchiectasis. DDx: allergic vs. bacterial vs. parasitic disease (including heartworm) vs. recurrent microaspiration. No aspiration pneumonia identified on this study. Appearance to the right heart should be reassessed after addressing the abdomen as pulmonary hypertension may be present. 
Other:
4) Mineral opacity overlying the bladder trigone/proximal urethra on the left lateral projection only is concerning for a urolith but this finding cannot be confirmed on other projections and no urinary bladder distention is noted at this time.</t>
  </si>
  <si>
    <t xml:space="preserve">Bloodwork if not already performed to assess for dehydration/hypovolemia as well as renal values prior to fluid therapy if not already performed.
Abdominal ultrasound +/- abdominocentesis may be warranted given concerns of free abdominal air.
After addressing the immediate concern for peritonitis +/- free abdominal air, 
further evaluation of the urinary tract via radiographs +/- ultrasound depending upon findings from bloodwork and urinalysis, and further evaluation of the heart and chronic bronchitis, including ruling out heartworm disease. </t>
  </si>
  <si>
    <t xml:space="preserve">Patient Name : Gizmo Connolly, Date of study: Jun 14, 2024
4 images are provided for review
Canine Thorax (4 Images) - 3 Lateral, 1 Vd
There are no previous radiographs for comparison.
Pulmonary parenchyma: A minimal to mild diffuse bronchial pattern is present.  The lungs are mildly hypoinflated in multiple images.
Pulmonary vasculature: The pulmonary vasculature is subjectively normal in size and tapers in the periphery of the lungs.
Cardiac silhouette: The cardiac silhouette is slightly tall and occupies 2/3 the height of the thorax.  The caudodorsal margin of the cardiac silhouette is slightly flat.  Minimal round soft tissue is suspected in the region of the left atrium in the ventrodorsal image. 
Mediastinum: The cranial mediastinum is normal.
Trachea: The trachea is normal.
Esophagus: The esophagus is not well-identified.
Pleural space: The pleural space is normal.
Musculoskeletal: The patient is obese.  The remaining included musculoskeletal structures are normal.
</t>
  </si>
  <si>
    <t>1. Suspected left sided cardiomegaly or unlikely artifact from phase of the cardiopulmonary cycle given reported murmur.
- The primary differential diagnosis is myxomatous mitral valvular disease or unlikely other.
- There is no current evidence of left-sided congestive heart failure.
2.  Minimal to mild diffuse bronchial pulmonary pattern.  
- Differential diagnoses include fibrosis from prior disease, age-related changes, or unlikely infectious/immune-mediated lower airway disease or other.
3. Obesity.</t>
  </si>
  <si>
    <t>Echocardiography, ecg and blood pressure for further evaluation.  Consider routine blood work and urinalysis if not recently performed.  Empirical therapy and supportive care in the interim as needed.  Monitoring as directed, or sooner if acute cardiopulmonary signs manifest.</t>
  </si>
  <si>
    <t>Orthogonal views of the thorax are provided:_x000D_
_x000D_
Thorax:_x000D_
_x000D_
No signs of tracheal collapse._x000D_
Cardiac silhouette has a normal shape and size._x000D_
Pulmonary vessels are within normal limits of size and shape._x000D_
Pulmonary parenchyma is within normal limits. No evidence of pneumonia nor signs of pulmonary nodules/masses._x000D_
Pleural space, mediastinum, diaphragm and thoracic wall within normal limits._x000D_
_x000D_
Liver extends beyond the costal arch with sharp margins._x000D_
Multifocal signs of chronic IVDD.</t>
  </si>
  <si>
    <t xml:space="preserve">
1.MILD to MODERATE BRONCHOINTERSTITIAL PATTERN; MILD DYNAMIC AIRWAY DISEASE._x000D_
2.Based on these AI airway/pulmonary findings, the probability of this patient having clinically detectable respiratory signs is MEDIUM (50%)_x000D_
3.Are respiratory signs present? If YES._x000D_
4.AI linked bacterial bronchitis in dogs article: https://platform.v2.vetology.net/doc/bacterial-bronchitis-in-dogs-and-cats_x000D_
5.Are respiratory signs present? If NO._x000D_
6.Mild cardiomegaly has been detected but Heart Failure is NOT suspected._x000D_
7.There is no evidence of PULMONARY NODULES or PLEURAL EFFUSION.</t>
  </si>
  <si>
    <t>Patient Name: SHADY RAMIREZ, Date of study: Jun 14, 2024
Thorax and abdomen: 7 images are provided for review (thorax 2 lateral, 1 VD and abdomen 2 lateral, 2 VD). 
There are no previous radiographs for comparison.
Findings:
Cardiac silhouette: The cardiac silhouette is normal in size and shape.
Pulmonary vessels: The pulmonary arteries and veins are normal in size and are symmetrical.
Pulmonary parenchyma: The pulmonary parenchyma is normal with no abnormal pulmonary patterns, nodules, or masses.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Gastrointestinal tract: The descending colon is small in size and corrugated and margination. The small intestines are diffusely within normal limits of diameter and distribution. The stomach is small in size and normal in opacity.
Liver: The liver is normal in size and margination.
Spleen: The spleen is normal in size, position, and margination.
Urinary: The kidneys are normal in size, shape, and margination. The urinary bladder is small in size and normal in opacity.
Peritoneal space: There is adequate serosal detail. There is a thin, short linear metal structure in the right cranial abdomen.
Musculoskeletal: There is moderate osteoarthritis of the elbows.</t>
  </si>
  <si>
    <t>1. Normal thorax. Valvular insufficiency with out cardiac remodeling/enlargement is considered most likely. There is no evidence of heart failure.
2. The corrugation of the colon is suggestive of colitis. There is no evidence of a mechanical small intestinal obstruction or intraluminal foreign body. Concurrent gastroenteritis and pancreatitis are also considered. 
3. The small thin metal opacity in the right cranial abdomen is most consistent with an incidental migrating foreign body such as from an ingested grill brush bristle.</t>
  </si>
  <si>
    <t>An echocardiogram, EKG, and blood pressure are recommended to further evaluate the heart.
Medical management for colitis +/- gastroenteritis/pancreatitis is recommended. CBC, biochemistry, cPL, and gastrointestinal panel could be considered to screen for systemic disease which may be contributing to clinical signs.</t>
  </si>
  <si>
    <t>Three radiographs of the thorax, and three views of the abdomen are provided. Images dated 12/16/23 were reviewed. There is moderate left atrial enlargement. The left ventricle is also elongated. Pulmonary vessels are normal size. There is no loss of perihilar vessel visibility. No abnormalities in the pulmonary parenchyma. No pleural effusion. Adequate tracheal diameter. Mild mainstem bronchial compression._x000D_
_x000D_
In the abdomen there is no effusion. Normal-sized liver, spleen, kidneys. No radiopaque urolithiasis. Moderate volume ingesta in the stomach. No osseous abnormalities.</t>
  </si>
  <si>
    <t>Moderate left atrial enlargement with prominent left ventricle, progressed since the previous study and consistent with acquired mitral valve disease. There is no pulmonary venous congestion or pulmonary edema, however there is mainstem bronchial compression which may be responsible for the cough. Inhaled irritant/allergens is also possible. The abdomen is normal.</t>
  </si>
  <si>
    <t>Recommend an echocardiogram.</t>
  </si>
  <si>
    <t xml:space="preserve">
1.A mild bronchointerstitial pulmonary pattern and minimal perihilar infiltrate have been detected._x000D_
2.Pleural fissure lines or small volume pleural effusion has been detected. In a mildly overweight animal, excessive pericardial fat can artifactually mimic the result of minimal pleural effusion._x000D_
3.Severe cardiomegaly has been detected but Heart Failure is NOT suspected.</t>
  </si>
  <si>
    <t>Three radiographs of the thorax, and three views of the abdomen are provided. The cardiac silhouette and pulmonary vessels are normal size and shape. There are no abnormalities in the pulmonary parenchyma. No pleural effusion or intrathoracic lymphadenomegaly. Normal tracheal diameter. Small volume fluid in the caudal esophagus is transient and incidental._x000D_
_x000D_
In the abdomen there is no peritoneal or retroperitoneal effusion. Normal-sized liver, spleen, kidneys. No evidence of medial iliac lymphadenomegaly. Large volume of formed feces in the colon. The stomach and small bowel are mildly filled. No radiopaque cystic calculi. Normal lumbar spine and coxofemoral joints. There is smoothly marginated broad-based thickening lateral to the left pelvis, measuring at least 14.1 x 4.6 cm. No adjacent osseous lysis or periosteal proliferation.</t>
  </si>
  <si>
    <t>1. Soft tissue mass lateral to the left pelvis, concerning for soft tissue neoplasia. There is no evidence of adjacent osseous involvement._x000D_
2. Normal thorax and abdomen.</t>
  </si>
  <si>
    <t>Cytology/histopathology of the mass would be necessary for a definitive diagnosis. There is no contraindication for general anesthesia based on this study. If further imaging of the mass is desired to determine structures involved and extent of the lesion, cross-sectional imaging such as computed tomography could be considered.</t>
  </si>
  <si>
    <t xml:space="preserve">
1.A minimal interstitial pattern has been detected._x000D_
2.The cardiac silhouette size is normal._x000D_
3.There is no evidence of DYNAMIC AIRWAY COLLAPSE or BRONCHIECTASIS, PULMONARY NODULES or PLEURAL EFFUSION._x000D_
4.A mild perihilar infiltrate and minimal bronchial pattern have been detected</t>
  </si>
  <si>
    <t>Patient Name : Benny Gonzalez, Date of study: Jun 14, 2024_x000D_
3 images are provided for review_x000D_
There are no previous radiographs for comparison._x000D_
_x000D_
Pulmonary parenchyma: The caudodorsal lung tip is excluded from the lateral images. Only in the right lateral image, a possible ovoid soft tissue nodule is over the caudal and ventral tip of the lungs, partially over the liver, in the 7th-8th intercostal space. Also in the right lateral image, an ill-defined ovoid nodule is suspected over the left cranial lung in the ventral aspect of the 4th-5th intercostal space. A minimal to mild diffuse bronchial pattern is present._x000D_
Pulmonary vasculature: The pulmonary vasculature is subjectively normal in size and tapers in the periphery of the lungs._x000D_
Cardiac silhouette: The cardiac silhouette is normal in size and shape._x000D_
Mediastinum: The cranial mediastinum is normal._x000D_
Trachea: The trachea is normal._x000D_
Esophagus: The esophagus is not well-identified._x000D_
Pleural space: The pleural space is normal._x000D_
_x000D_
Musculoskeletal: The included musculoskeletal structures are normal.</t>
  </si>
  <si>
    <t>1. Suspected pulmonary soft tissue nodules in the left lungs versus artifact or unlikely other._x000D_
- If present, this is most likely due to early metastatic disease from reported soft tissue sarcoma._x000D_
2. Minimal diffuse bronchial pattern due to fibrosis from prior disease/age-related changes, chronic infectious/inflammatory lower airway disease, or unlikely atypical metastatic neoplasia.</t>
  </si>
  <si>
    <t>Computed tomography of the thorax may be beneficial for further evaluation of the suspected caudal pulmonary soft tissue nodules. Oncologist consultation depending on results. Empirical therapy and supportive care in the interim as needed. Monitoring as directed or sooner if clinical signs acutely change or worsen.</t>
  </si>
  <si>
    <t xml:space="preserve">
1.The cardiac silhouette size is normal._x000D_
2.There is no evidence of BRONCHITIS or DYNAMIC AIRWAY COLLAPSE or BRONCHIECTASIS._x000D_
3.A moderate interstitial to alveolar pattern has been detected.</t>
  </si>
  <si>
    <t>Laryngeal exam under sedation to rule out an upper airway obstruction such as LARPAR vs other. Given the lack of cardiomegaly and age of the patient, consider a cardiology consultation with ECG and echocardiogram.</t>
  </si>
  <si>
    <t>Three survey radiographs of the left thoracic limb dated 14th June 2024 are available for review. There are no previous radiographs available for comparison. _x000D_
_x000D_
Left thoracic limb: There is mild osteophytic modelling of the caudal aspect of the shoulder joint. There is severe subtrochlear sclerosis, medial epicondylar modelling, circumferential osteophyte formation, dorsal anconeal new bone formation and thickening in the region of the medial epicondyle of the elbow. There is modelling and fragmentation in the region of the medial coronoid process. The left carpus is normal. Minimal degenerative modelling is present at the fifth metacarpophalangeal joint.</t>
  </si>
  <si>
    <t>1. Severe left elbow osteoarthritis and epicondylitis likely due to medial coronoid process disease. The clinical signs are most likely due to acute on chronic trauma._x000D_
2. Minimal left shoulder osteoarthritis._x000D_
3. The patient is overweight, however an axial lipoma may be present.</t>
  </si>
  <si>
    <t>Contralateral elbow radiographs are advised._x000D_
Lifelong management including keeping the patient at an appropriate weight and feeding a healthy diet +/- joint supplementation is recommended. Recommend activity restriction with acute lameness and slow return to function. Medical management is likely necessary with acute lameness. Labwork should be checked consistently when undergoing medical management. Physical therapy and low impact exercise (i.e. water treadmill or other) can be employed to strengthen and build muscle. Orthopedic consultation especially if medical management does not control clinical signs. Recheck radiographs as clinically indicated.</t>
  </si>
  <si>
    <t>Three radiographs of the thorax are provided. There is mild to moderate left-sided cardiomegaly. Cranial pulmonary vein is enlarged. There is severe essential to alveolar pattern in the perihilar region and radiating distally. No pleural effusion. The mainstem bronchi are deviated dorsally and compressed. Adequate tracheal diameter. Normal cranial abdomen.</t>
  </si>
  <si>
    <t>Mild to moderate left-sided cardiomegaly consistent with acquired mitral valve disease. There is pulmonary venous congestion and pulmonary edema indicating left-sided heart failure. Concurrent mainstem bronchial compression may be contributing to respiratory signs.</t>
  </si>
  <si>
    <t>Diuretic administration, ECG, and an echocardiogram are recommended.</t>
  </si>
  <si>
    <t xml:space="preserve">
1.Pleural fissure lines or moderate to severe pleural effusion has been detected. An overlying skin fold or in an obese animal, excessive pericardial fat could artifactually mimic the result of severe pleural effusion._x000D_
2.Severe cardiomegaly has been detected but Heart Failure is NOT suspected._x000D_
3.Based on these AI airway/pulmonary findings, the probability of this patient having clinically detectable respiratory signs is VERY HIGH (&gt;75%)_x000D_
4.Are respiratory signs are present? If YES._x000D_
5.A mixed pulmonary pattern consisting of a severe interstitial to alveolar pattern, moderate bronchial pattern, dynamic airway disease and perihilar infiltrate have been detected._x000D_
6.Are respiratory signs are present? If NO.</t>
  </si>
  <si>
    <t>5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mildly reduced in all quadrants.  The stomach contains a moderate amount of gas and the rugal folds are prominent.  The small intestines are normal in size.  Gas and feces are present in the colon.  The urinary bladder is moderately distended.  A poorly defined soft tissue structure is seen cranial to the urinary bladder and caudoventral to the left kidney on the lateral view.  The remaining abdominal organs are normal.</t>
  </si>
  <si>
    <t>Mildly reduced serosal detail concerning for mild free fluid.  Prominent rugal folds consistent with gastritis.  This does not rule out underlying pancreatitis, infiltrative neoplasia, etc.  Possible caudal abdominal mass=ZZ90= consider mesenteric, lymph node, or intestinal origin.  Radiographically normal thorax for patient of this age.</t>
  </si>
  <si>
    <t xml:space="preserve">Patient Name : Jax Ust, Date of study: Jun 14, 2024
4 images are provided for review
There are no previous radiographs for comparison.
Pulmonary parenchyma: A minimal to mild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A soft tissue band partially superimposes over the dorsal trachea.  The trachea is otherwise normal.
Esophagus: The esophagus is not well-identified.
Pleural space: The pleural space is normal.
Musculoskeletal: A broad-based fat opaque nodule arises from the mid-ventral extra-thoracic soft tissues.  The remaining included musculoskeletal structures are normal.
</t>
  </si>
  <si>
    <t xml:space="preserve">1. Minimal to mild diffuse bronchial pattern.  
- Differential diagnoses include fibrosis from prior disease, age-related changes, or lower airway disease such as from infectious/immune-mediated etiologies (mycoplasma spp, bordetella spp., parasitism, inhaled allergen/irritant), or unlikely other.
2. Dorsal redundant tracheal membrane with/without underlying collapsing airway disease versus superimposed normal structures.  
3. Broad-based extra-thoracic soft tissue nodule is most likely benign lipoma.
4. There is no evidence of pleural fluid.  </t>
  </si>
  <si>
    <t xml:space="preserve">Empirical therapy and supportive care in the interim as needed.  Consider respiratory PCR panel, tracheoscopy/bronchoscopy and fluoroscopy for further evaluation.  Monitoring as directed, or sooner if clinical signs acutely change, fail to improve or worsen.  </t>
  </si>
  <si>
    <t>3 views of the entire body are presented for review.  The cardiovascular and pulmonary structures are normal.  No esophageal dilation or foreign material is seen.  The pleural and mediastinal structures are normal.  Abdominal serosal detail is adequate in all quadrants.  The stomach contains a moderate amount of soft tissue material.  The small intestines are normal in size.  Gas and feces are present in the colon.  The urinary bladder is small.  The remaining abdominal organs are normal.</t>
  </si>
  <si>
    <t>Three radiographs of the thorax/abdomen are provided. The cardiac silhouette and pulmonary vessels are normal size and shape. The lungs are clear. There is no pleural effusion. Adequate tracheal diameter. No abnormalities along the plane of the esophagus. In the abdomen there is no peritoneal or retroperitoneal effusion. Small volume gas and equivocal scant amorphous soft tissue density in the stomach. Small intestines are mildly fluid and gas filled. Several loops of small bowel appear thickened, however this must be interpreted with caution, as fluid-gas interface can mimic wall thickening. Small volume gas in the colon. No radiopaque foreign material. Normal-sized liver, spleen, kidneys. No radiopaque cystic calculi. Both patellas are medially displaced.</t>
  </si>
  <si>
    <t>1. No definitive abdominal abnormalities. Equivocal scant amorphous soft tissue density in the stomach may be normal rugal folds and residual ingesta/fluid. Foreign material causing gastritis and pyloric outlet obstruction is not ruled out. There is no evidence of small bowel obstruction. Otherwise normal abdomen._x000D_
2. Normal thorax. No tracheal abnormalities are appreciated on this study. Dynamic collapse remains possible._x000D_
3. Bilateral medial patellar luxation.</t>
  </si>
  <si>
    <t>A CBC, blood chemistry profile, and supportive care are recommended. Positive contrast gastrogram could be considered to rule out gastric foreign material. Strictly fasting abdominal ultrasound is another option, as long as there is minimal gas in the stomach at the time of imaging.</t>
  </si>
  <si>
    <t>Patient Name: DOG Oster, Date of study: June 14, 2024.
Abdomen: 3 lateral images are provided for review.
There are no previous radiographs for comparison.
Findings:
Gastrointestinal tract: The stomach is normal in size and position. The small intestines are within normal limits of diameter and are gas and fluid-filled. The colon contains formed feces and gas.
Liver: The liver is normal in size, shape, and margination.
Spleen: The spleen is within normal limits of size and is smoothly marginated.
Urinary: The visible margins of the kidneys are normal. Complete evaluation is limited due to superimposition of bowel. The urinary bladder is normal in size and opacity.
Peritoneal space: There is adequate serosal detail.
Musculoskeletal: There is moderate spondylosis deformans of L7-S1. The intervertebral disc spaces and vertebral bodies are normal.
Caudal thorax: The thoracic esophagus is moderately distended with gas. No significant abnormalities are identified with the cardiac and pulmonary structures</t>
  </si>
  <si>
    <t>1. There is moderate distention of the thoracic esophagus, consider megaesophagus vs. esophagitis (gastroesophageal reflux disease).
2. The gastrointestinal tract is unremarkable. There is no evidence of mechanical small intestinal obstruction or mineral/metal opaque foreign material.</t>
  </si>
  <si>
    <t>An esophageal swallow study is recommended to further evaluate the esophagus for size and function. Confirmation of vomiting versus regurgitation is suggested.</t>
  </si>
  <si>
    <t xml:space="preserve">
1.The evaluation has a strong suspicion of soft tissue pulmonary nodules or mass lesion being present._x000D_
2.Are respiratory signs present. If YES._x000D_
3.Are respiratory signs present? If YES._x000D_
4.PULMONARY NODULES or NODULAR PATTERN; MODERATE INTERSTITIAL TO ALVEOLAR PATTERN._x000D_
5.Based on these AI airway/pulmonary findings, the probability of this patient havingclinically detectable respiratory signs is HIGH (75%)_x000D_
6.Are respiratory signs present? If YES._x000D_
7.Are respiratory signs present? If NO._x000D_
8.PULMONARY NODULAR PATTERN; MINIMAL BRONCHOINTERSTITIAL PULMONARY PATTERN._x000D_
9.The evaluation has come up positive for a pulmonary nodular pattern._x000D_
10.Are respiratory signs present. If NO._x000D_
11.MODERATE INTERSTITIAL TO ALVEOLAR PATTERN; MILD BRONCHITIS._x000D_
12.Based on these AI airway/pulmonary findings, the probability of this patient having clinically detectable respiratory signs is MEDIUM (50%)_x000D_
13.Are respiratory signs present? If NO._x000D_
14.The cardiac silhouette size is normal._x000D_
15.There is no evidence of DYNAMIC AIRWAY COLLAPSE or BRONCHIECTASIS.</t>
  </si>
  <si>
    <t>Orthogonal views of the thorax and abdomen are provided:_x000D_
_x000D_
Thorax:_x000D_
_x000D_
Cardiac silhouette has a normal shape and size._x000D_
Pulmonary vessels are within normal limits of size and shape._x000D_
Pulmonary parenchyma is within normal limits. No evidence of pulmonary nodules/masses._x000D_
Pleural space, mediastinum, diaphragm and thoracic wall within normal limits._x000D_
_x000D_
Abdomen:_x000D_
_x000D_
The stomach is filled with food._x000D_
Small intestines are mildly gas and fluid filled, not overtly distended. No signs of mechanical ileus._x000D_
Serosal detail is preserved._x000D_
Liver and spleen are within normal limits of size and smoothly marginated._x000D_
Kidneys and urinary bladder WNL._x000D_
No signs of sublumbar lymphadenopathy._x000D_
_x000D_
T12-T13 IVDS is narrow with end plate sclerosis._x000D_
Bilateral hip dysplasia with severe periarticular osteophytosis.</t>
  </si>
  <si>
    <t>1) Unremarkable thorax without signs of pulmonary metastases nor signs of thoracic lymphadenopathy._x000D_
2) Unremarkable abdomen._x000D_
3) T12-T13 IVDS consistent with chronic IVDD._x000D_
4) Bilateral hip dysplasia with severe DJD.</t>
  </si>
  <si>
    <t>Consider abdominal US to better evaluate any potential enlargement of the sublumbar lymph nodes not seen on this study._x000D_
Consider full neuro exam with advanced imaging if necessary.</t>
  </si>
  <si>
    <t>Study:_x000D_
Thoracic radiography: three images dated June 14, 2024_x000D_
_x000D_
Findings:_x000D_
The cardiac silhouette and pulmonary vasculature are normal in size. The pulmonary parenchyma is unremarkable. No pulmonary nodules or masses are present. The pleural space is normal. There is no intrathoracic lymphadenopathy. The trachea is normal in diameter and course. The liver extends mildly to moderately beyond the costal arch with smooth and sharp margins. The reported mammary mass is seen in the subcutaneous tissues of the mid-ventral abdomen on both lateral projections. The osseous structures are unremarkable.</t>
  </si>
  <si>
    <t>1. Normal thorax. There is no radiographic evidence of pulmonary metastatic disease._x000D_
2. The generalized hepatomegaly is nonspecific. Rule out metabolic/vacuolar hepatopathy, hyperplasia, hepatitis or infiltrative neoplasia. _x000D_
3. Mammary mass. Rule out carcinoma versus adenoma.</t>
  </si>
  <si>
    <t>WHOLE-BODY (6 total radiographs for review). No previous for comparison._x000D_
_x000D_
- Peritoneal serosal detail is normal._x000D_
- The stomach contains moderate gas and mild gas-stippled soft-tissue opaque material._x000D_
- The small intestine contains mild gas and fluid and a few segments have an appearance of mildly thickened walls._x000D_
- The colon contains gas and formed fecal material._x000D_
- The liver, spleen, kidneys and urinary bladder are normal._x000D_
- The intrathoracic structures are normal._x000D_
- Right rib of T13 is aplastic.</t>
  </si>
  <si>
    <t>1. The appearance of the small intestine and stomach can be compatible with a non-specific functional ileus (e.g. gastroenteritis) and there is no evidence of small intestinal foreign material or mechanical obstruction. If clinically indicated, consider abdominal ultrasound for further assessment._x000D_
_x000D_
2. Normal thorax._x000D_
_x000D_
3. Transitional thoracolumbar vertebral segment.</t>
  </si>
  <si>
    <t>Patient name: Copper Balliet 
THORAX (3 views, 3 images; [2 lateral, 1 VD]) and ABDOMEN (3 views; 3 images, [2 Lateral, 1 VD]) 
Images are dated June 14, 2024.
There are no previous radiographs for comparison. 
THORAX:
Airway/Pulmonary: The lungs are adequately inflated.  Pulmonary parenchymal opacity is diffusely normal.  No distinct soft tissue pulmonary nodules are detected.  Tracheal and mainstem bronchial diameter is normal. 
Cardiovascular: The cardiac silhouette is normal in size and shape.  Pulmonary vessels are normal in width. 
Mediastinum: No lymph node enlargement is detected.  The caudal vena cava is normal in height.  
Pleural space: Thin pleural fissure lines are detected but no pleural effusion is seen. 
ABDOMEN: 
Liver: The liver is normal in size and shape with smooth tapered margins.
Spleen: The spleen is normal in size and shape with smooth margins. 
Kidneys and urinary bladder: Both kidneys are normal in size and shape with smooth margins. The urinary bladder is moderately fluid distended. No radiopaque urinary calculi are detected. 
Reproductive:  The prostate is mild to moderately enlarged.  No mineralization detected.  An intra-abdominal testicle is not identified.     
GI: The stomach contains a moderate volume of gas without enlargement. Variably the small intestines are empty or contain scant gas while maintaining normal diameter and distribution. No distinct radiopaque gastrointestinal foreign material is detected. The cecum is gas filled.  Gas and formed feces are noted in the colon. 
Abdominal detail: Serosal detail is adequate. 
MSK: The dorsal spinous process of C2 adequately overlaps the dorsal arch of C1 and the dens has normal size.  No overt cervical intervertebral disc space narrowing is identified, complete evaluation is limited due to obliquity.  Included thoracolumbar intervertebral disc spaces are normal in width with smooth end plates.</t>
  </si>
  <si>
    <t>1) Mild to moderate prostatomegaly.  Differentials include benign prostate hyperplasia, prostatitis, or paraprostatic cysts.  Prostatic neoplasia not suspected.  Otherwise unremarkable abdomen.    
2) Cervical pain could be due to intervertebral disc disease. No aggressive osseous lesions or overt abnormalities are identified.  Musculotendinous injury is also possible.  
3) Normal geriatric thorax.</t>
  </si>
  <si>
    <t>Abdominal ultrasound for further evaluation of urogenital structures and cause of lethargy/hyporexia.  _x000D_
_x000D_
Careful orthopedic/neurological exam for evaluation of neck pain.  Consider Neurological consult if persistent.</t>
  </si>
  <si>
    <t xml:space="preserve">Patient Name : Feyre Mazzone, Date of study: Jun 14, 2024
3 images are provided for review
There are no previous radiographs for comparison.
Pulmonary parenchyma: A minimal to mild diffuse bronchial pattern is present.  A minimal to mild interstitial pattern is present in the left lungs in the ventrodorsal and right lateral images.  
Pulmonary vasculature: The pulmonary vasculature is subjectively normal in size and tapers in the periphery of the lungs.
Cardiac silhouette: The cardiac silhouette is tall and occupies 2/3 the height of the thorax in the lateral images, likely exacerbated by obliquity.  Increased soft tissue is suspected in the region of the left atrium in the ventrodorsal image.  
Mediastinum: A leftward mediastinal shift is present in the ventrodorsal image.  The cranial mediastinum is otherwise normal.
Trachea: The trachea is normal.
Esophagus: The esophagus is not well-identified.
Pleural space: The pleural space is normal.
Musculoskeletal: The included musculoskeletal structures are normal.
</t>
  </si>
  <si>
    <t>1. Suspected left atrial enlargement versus variation due to cardiopulmonary cycle and patient positioning.
- If present, left atrial enlargement may be due to evolving myxomatous mitral valvular disease or other.
2. Mild interstitial pattern, most severe in the left lungs and likely exacerbated by obliquity/mediastinal shift.
- this is likely due to recumbency induced atelectasis, or unlikely evolving cardiogenic edema or evolving pneumonia, or other.
3. Minimal-mild diffuse bronchial pulmonary pattern.
- Differential diagnoses include infectious/inflammatory lower airway disease, fibrosis from prior disease, or unlikely other.
4. Leftward mediastinal shift due to patient positioning/recumbency induced atelectasis.</t>
  </si>
  <si>
    <t xml:space="preserve">This examination does not rule out underlying dynamic tracheal/airway disease or laryngeal paralysis, especially given character of reported coughing (honking cough). Consider echocardiography, eCG and blood pressure, especially if a murmur is later identified.  Empirical therapy and supportive care for possible lower airway disease in the interim may be contributory.  Respiratory PCR panel and bronchoscopy/tracheoscopy may be contributory.  Monitoring as directed with serisal thoracic radiographs, or sooner if clinical signs acutely change, fail to improve or worsen.  </t>
  </si>
  <si>
    <t xml:space="preserve">
1.The cardiac silhouette size is normal._x000D_
2.There is no evidence of DYNAMIC AIRWAY COLLAPSE or BRONCHIECTASIS._x000D_
3.A minimal perihilar infiltrate has been detected._x000D_
4.Pleural fissure lines or moderate to severe pleural effusion has been detected. An overlying skin fold or in an obese animal, excessive pericardial fat could artifactually mimic the result of severe pleural effusion._x000D_
5.A moderate interstitial to alveolar pattern has been detected.</t>
  </si>
  <si>
    <t>A ventral dorsal and right lateral radiograph of the thorax, and three views of the abdomen are provided. The cardiac silhouette and pulmonary vessels are normal size and shape. There is soft tissue opacity with lobar sign in the right middle lung lobe. No other pulmonary parenchymal abnormalities. No pleural effusion. Several incidental pulmonary osteomas. Normal tracheal diameter. No esophageal dilation._x000D_
_x000D_
In the abdomen there is no effusion or organomegaly. The stomach and small bowel are minimally filled. There is gas in the cecum and proximal colon. Formed feces in the distal colon. No radiopaque urolithiasis. Spondylosis deformans throughout the lumbar spine. Both patellas are medially displaced.</t>
  </si>
  <si>
    <t>1. Alveolar pattern in the right middle lung most consistent with aspiration pneumonia._x000D_
2. Normal abdomen. Lumbar spinal changes suggestive of intervertebral disc disease. This could be contributing to discomfort._x000D_
3. Bilateral medial patellar luxation.</t>
  </si>
  <si>
    <t>Recommend antibiotics and repeat thoracic radiographs (VD and both lateral views) upon completion to ensure resolution of pneumonia.</t>
  </si>
  <si>
    <t xml:space="preserve">
1.MODERATE INTERSTITIAL TO ALVEOLAR INFILTRATE; MILD BRONCHIAL PATTERN; MILD PERIHILAR INFILTRATE._x000D_
2.Based on these AI airway/pulmonary findings,  the probability of this patient having clinically detectable respiratory signs is HIGH (75%)_x000D_
3.Are respiratory signs present? If YES._x000D_
4.Are respiratory signs present? If NO._x000D_
5.Pleural fissure lines or small volume pleural effusion has been detected. In a mildly overweight animal, excessive pericardial fat can artifactually mimic the result of minimal pleural effusion._x000D_
6.The cardiac silhouette size is normal.</t>
  </si>
  <si>
    <t>Four radiographs of the thorax/abdomen are provided. There is severe narrowed cervical trachea on both of the left lateral views. Thoracic tracheal diameter is adequate. Incidental laryngeal mineralization. The cardiac silhouette and pulmonary vessels are normal size and shape. There are no abnormalities in the pulmonary parenchyma. No pleural effusion. In the abdomen the liver is mildly enlarged with smooth margins. Normal sized spleen and kidneys. Formed feces fills the distal colon. There is gas in the proximal colon and cecum. The stomach and small bowel are minimally filled. No radiopaque cystic calculi. Osseous structures are unremarkable.</t>
  </si>
  <si>
    <t>1. Dynamic cervical tracheal collapse, the most likely cause for coughing. Inhaled irritant/allergens could be contributing. There is no evidence of pneumonia or cardiovascular disease. The thorax is otherwise normal._x000D_
2. Mild hepatomegaly, a nonspecific finding that may be steroid or other hepatopathy, acute inflammation, or least likely neoplasia. This should be correlated with history and blood work. Otherwise normal abdomen.</t>
  </si>
  <si>
    <t xml:space="preserve">
1.The cardiac silhouette size is normal._x000D_
2.There is no evidence of ALVEOLAR PATTERN, PERIHILAR INFILTRATE, PULMONARY NODULES or PLEURAL EFFUSION._x000D_
3.A severe bronchial pattern has been detected._x000D_
4.Mild dynamic airway disease has been detected.</t>
  </si>
  <si>
    <t>6 images of the entire body and pelvic limbs are provided for review and compared with images dated 3/4/2024.  The trachea is dorsally deviated, indicating left ventricular enlargement.  A bulge is present in the region of the left atrium, larger than previous images.  No pulmonary infiltrates are seen.  The pulmonary vasculature is normal in size.  The mediastinal and pleural structures are normal.  Abdominal serosal detail is adequate in all quadrants.  The stomach contains a moderate amount of gas.  The small intestines are normal in size.  Gas and feces are present in the colon.  The urinary bladder is small.  The kidneys are small with mineral in the pelves.  The remaining abdominal organs are normal.  There is narrowing of the intervertebral disc space and spondylosis deformans at L3-4, similar to previous images.  The coxofemoral joints are congruent.  No fractures or aggressive lesions are seen.  The joint surfaces are smooth and regular.  No distinct stifle effusion is seen, although evaluation is limited due to obliquity on the lateral views.</t>
  </si>
  <si>
    <t>Left-sided cardiomegaly without current evidence of cardiogenic pulmonary edema.  Echocardiography may be helpful in further evaluation.  Chronic renal changes.  Lumbar changes consistent with chronic intervertebral disc herniation.  This does not rule out intervertebral disc herniation at another site or other causes of spinal cord compression.  CT or MRI could be considered..</t>
  </si>
  <si>
    <t xml:space="preserve">
1.Pleural fissure lines or moderate to severe pleural effusion has been detected. An overlying skin fold or in an obese animal, excessive pericardial fat could artifactually mimic the result of severe pleural effusion._x000D_
2.Mild cardiomegaly has been detected but Heart Failure is NOT suspected._x000D_
3.Are respiratory signs present?  If YES._x000D_
4.Are respiratory signs present? If NO._x000D_
5.The evaluation has come up positive for a pulmonary nodular pattern._x000D_
6.MODERATE INTERSTITIAL TO ALVEOLAR INFILTRATE; MILD PERIHILAR INFILTRATE; MINIMAL BRONCHIAL PATTERN._x000D_
7.Based on these AI airway/pulmonary findings,  the probability of this patient having clinically detectable respiratory signs is HIGH (75%)</t>
  </si>
  <si>
    <t>Patient name: Ginger Cortez _x000D_
Study date: June 14, 2024_x000D_
Pelvic limb radiography: bilateral stifle and VD pelvis _x000D_
Lateral images of the thorax and abdomen are included in the study but were not evaluated.  _x000D_
There are no previous radiographs available for comparison. _x000D_
_x000D_
Spine: Included intervertebral disc spaces are normal and uniform with smooth vertebral body end plates._x000D_
_x000D_
Pelvis:  The coxofemoral joints are bilaterally congruent. Both acetabula are smooth with adequate coverage of the femoral heads. Minimal osteophytes are noted along the acetabular rims.  No pelvic fractures are noted.  The sacroiliac joints are within normal limits_x000D_
_x000D_
Stifles: Mild to moderate stifle effusion is detected bilaterally but more severe on the right. The patellae are correctly positioned in their respective trochlear grooves.  Mild osteophytosis is seen in the right stifle along the proximal trochlear ridge, patellar apex and base, medial and lateral femoral epicondyles, lateral tibial condyle, cranial tibial plateau, and fabellae.  Minimal osteophytosis is observed in the left stifle at the lateral tibial condyle, cranial tibial plateau, and fabellae.  There is no tibial displacement with respect to the distal femurs. _x000D_
_x000D_
Long bones: No fractures or lytic lesions are observed.  _x000D_
_x000D_
Soft tissues:  Pelvic limb musculature appears adequate and symmetrical.  No abnormalities are detected with the visible abdominal organs.</t>
  </si>
  <si>
    <t>Findings are most consistent with bilateral stifle ligamentous injury (e.g. cranial cruciate rupture, meniscal tear) with secondary minimal to mild chronic degenerative joint disease, both more severe on the right. No radiographic evidence of an aggressive bone lesion is present.</t>
  </si>
  <si>
    <t>Consider orthopedist consultation and empirical therapy/supportive care in the interim as needed. Surgical intervention to the right stifle may be indicated depending results.</t>
  </si>
  <si>
    <t>WHOLE-BODY (6 total radiographs for review)._x000D_
_x000D_
- Peritoneal serosal detail is mildly reduced in the caudal abdomen._x000D_
- The stomach is distended with gas and contains a few small mineral foci._x000D_
- Multiple small intestinal segments are mildly to moderately distended with gas and fluid. In the right caudoventral abdomen there is heterogeneous mineral opaque material most likely occupying a small intestinal loop. The regional loops are moderately distended._x000D_
- The colon contains gas, soft-tissue/fluid and mild formed fecal material._x000D_
- The liver, spleen, kidneys and urinary bladder are normal._x000D_
- The cardiac silhouette and pulmonary vasculature are normal._x000D_
- Mild unstructured interstitial pattern in the left cranial lung lobe._x000D_
- The trachea, esophagus and remainder of the mediastinum is/are normal._x000D_
- The pleural space and remaining intrathoracic structures are normal._x000D_
- No musculoskeletal abnormalities are noted.</t>
  </si>
  <si>
    <t>1. Probable small intestinal foreign material with mechanical obstruction. The abnormal segment is in the right caudoventral abdomen. There appears to be regional peritonitis/steatitis. If readily available, abdominal ultrasonography might be of utility to confirm the radiographic suspicion. If not available, exploratory laparotomy can be considered at this time._x000D_
_x000D_
2. Mild left cranial lung lobe atelectasis.</t>
  </si>
  <si>
    <t xml:space="preserve">Patient name: honey Thomas 
THORAX (3 views, 3 images; [2 lateral, 1 VD])
Images are dated June 14, 2024.
There are previous radiographs dated June 22, 2023 (Vetology #2339680) for comparison.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Minimal T7-8 and T12-13 spondylosis deformans is present.  The remaining included musculoskeletal structures are normal.
</t>
  </si>
  <si>
    <t>1. Minimal diffuse bronchial pattern. 
 - Differential diagnoses include fibrosis from prior disease, age-related changes, or less likely infectious/immune-mediated lower airway disease or unlikely other.
2. No obvious evidence of cardiomegaly.</t>
  </si>
  <si>
    <t>Consider Holter-monitoring, echocardiography, and blood pressure as well as routine blood work for further evaluation. Given the breed, ARVC is considered. Empirical therapy and supportive care in the interim are needed. Monitor as directed or sooner if clinical signs acutely change, fail to improve or worsen.</t>
  </si>
  <si>
    <t xml:space="preserve">
1.A mild, diffuse mixed bronchointerstitial pattern with potential small regions of alveolar infiltrate has been detected._x000D_
2.MILD BRONCHIAL PATTERN; NODULAR PULMONARY PATTERN which is likely due to overlying CUTANEOUS NODULES or MINERALIZED COSTOCHONDRAL JUNCTIONS._x000D_
3.Based on the AI airway/pulmonary findings, the probability of this patient having clinically detectable respiratory signs is LOW to MEDIUM (25%-50%)_x000D_
4.The evaluation has come up positive for a pulmonary nodular pattern._x000D_
5.Are respiratory signs present? If YES._x000D_
6.A mild bronchial pattern and minimal perihilar infiltrate have been detected._x000D_
7.A mild interstitial to alveolar pattern and minimal perihilar pattern have been detected._x000D_
8.Are respiratory signs present? If NO._x000D_
9.The cardiac silhouette size is normal._x000D_
10.There is no evidence of DYNAMIC AIRWAY COLLAPSE or BRONCHIECTASIS.</t>
  </si>
  <si>
    <t>Patient Name : Kozy Kessel, Date of study: Jun 14, 2024
3 images are provided for review
There are no previous radiographs for comparison.
Findings:
Superimposed with the caudal margin of the cardiac silhouette in the region of the caudal mediastinal reflection, there is a 12 mm long ovoid nodule that is centrally fat-soft tissue opaque and has a mineralized rim.  The cardiovascular structures are normal.
The lungs are otherwise normal.
The pleural space is normal.
The cranial abdomen is normal.
There is multifocal spondylosis deformans.
There are degenerative changes to the costochondral junctions and intersternebral spaces.</t>
  </si>
  <si>
    <t>1. Small nodule with mineralized margin, as described above.  Consider mediastinal origin (Bates body) or pulmonary origin (mineralized granuloma or mineralized metastatic nodule).</t>
  </si>
  <si>
    <t>While Bates bodies are commonly seen in the abdomen, intrathoracic Bates bodies have been reported, and the described nodules has imaging characteristics of a Bates body.  Alternatively, while metastatic neoplasia is often soft tissue opaque, partial mineralization of metastatic nodules is possible, particularly for osseous neoplasms such as osteosarcoma.  Overall impression of this case is for a benign process (Bates body or granuloma).  Thoracic CT may be useful to assess for more subtle pathology and to determine if this nodule is pulmonary or mediastinal.  Alternatively, repeated thoracic radiographs in 6-8 weeks may be useful to monitor for progression.</t>
  </si>
  <si>
    <t>4 images of the thorax are provided for review and compared with images dated 3/18/2024.  The cardiovascular structures are normal.  There is a moderate bronchial pattern in all lung lobes, similar to previous images.  The mediastinal and pleural structures are normal.  Cranial abdominal detail is adequate.  The liver is rounded and extends mildly beyond the costal arch, similar to previous images.</t>
  </si>
  <si>
    <t>Persistent bronchial pulmonary pattern=ZZ90= consider bronchitis, response to inhaled irritants, response to circulating parasites, eosinophilic bronchopneumopathy.  Airway sampling may be helpful in further evaluation.  Persistent mild hepatomegaly=ZZ90= this is a nonspecific finding that may be seen with congestion, vacuolar hepatopathy, inflammation, neoplasia, etc.  Abdominal ultrasound may be helpful in further evaluation if biochemically indicated.</t>
  </si>
  <si>
    <t xml:space="preserve">
1.A moderate bronchial pattern and concurrent mild interstitial pattern with potential regions of alveolar infiltrate have been detected._x000D_
2.A diffuse, minimal to mild interstitial pulmonary pattern and minimal perihilar infiltrate have been detected._x000D_
3.The evaluation has a strong suspicion of pulmonary nodules or mass lesion being present._x000D_
4.Mild cardiomegaly has been detected but Heart Failure is NOT suspected.</t>
  </si>
  <si>
    <t>5 images of the thorax, abdomen, and skull are presented for review.  The cardiovascular and pulmonary structures are normal.  No esophageal dilation or foreign material is seen.  The pleural and mediastinal structures are normal.  Abdominal serosal detail is adequate in all quadrants.  The stomach contains a small amount of gas and the rugal folds are prominent.  The small intestines are normal in size.  Gas and feces with mineral debris are present in the colon.  The urinary bladder is small.  The remaining abdominal organs are normal.  The laryngeal and pharyngeal structures are normal.  There are no overt skull abnormalities are seen.</t>
  </si>
  <si>
    <t>Radiographically normal thorax and skull.  Colonic mineral foreign material without current evidence of obstruction.  Prominent rugal fold suggestive of gastritis.  This does not rule out underlying pancreatitis, dietary indiscretion, etc.</t>
  </si>
  <si>
    <t>4 images of the abdomen are provided for review.  A single view of the thorax is not requested to be reviewed.  Serosal detail is adequate in all quadrants.  The stomach contains a small amount of gas and the rugal folds are prominent.  The small intestines are normal in size.  Gas and feces are present in the colon.  The urinary bladder is small.  The remaining abdominal organs are normal.  Coverage of the femoral heads by the acetabular rims is reduced bilaterally.  Osteophytes are present on the femoral necks and acetabular rims.</t>
  </si>
  <si>
    <t>Prominent rugal folds suggestive of gastritis.  This does not rule out underlying pancreatitis or infiltrative neoplasia.  Severe bilateral coxofemoral DJD with subluxation.</t>
  </si>
  <si>
    <t xml:space="preserve">
1.MODERATE INTERSTITIAL TO ALVEOLAR PATTERN; PULMONARY NODULES or NODULAR PATTERN; MILD BRONCHITIS_x000D_
2.Based on the AI airway/pulmonary findings, the probability of this patient having clinically detectable respiratory signs is MEDIUM (50%). A few (&lt;5) soft tissue pulmonary nodules may be present._x000D_
3.A few (&lt;5) soft tissue pulmonary nodules, cutaneous nodules or nipples overlying the thorax have also been detected._x000D_
4.Chronic bronchointerstitial lung disease (bacterial vs allergic vs parasitic lung disease, including heartworm pathosis) with concurrent atelectasis, pneumonia or pulmonary hemorrhage is most likely._x000D_
5.The cardiac silhouette size is normal._x000D_
6.There is no evidence of DYNAMIC AIRWAY COLLAPSE or BRONCHIECTASIS._x000D_
7.Pleural fissure lines or moderate to severe pleural effusion has been detected. An overlying skin fold or in an obese animal, excessive pericardial fat could artifactually mimic the result of severe pleural effusion.</t>
  </si>
  <si>
    <t>6 images of the thorax and abdomen are presented for review.  The cardiovascular and pulmonary structures are normal.  The pleural and mediastinal structures are normal.  Abdominal serosal detail is adequate in all quadrants.  The stomach contains a small amount of gas and the rugal folds are prominent.  The small intestines are normal in size.  Gas and feces are present in the colon.  The urinary bladder is small.  The remaining abdominal organs are normal.</t>
  </si>
  <si>
    <t>Radiographically normal thorax.  Prominent rugal fold suggestive of gastritis.  This does not rule out underlying pancreatitis, dietary indiscretion, etc.</t>
  </si>
  <si>
    <t>Abdominal ultrasound could be considered if clinical signs persist with supportive therapy.</t>
  </si>
  <si>
    <t>3 views of the thorax are provided for review.  The trachea is dorsally deviated, indicating left ventricular enlargement.  A bulge is present in the region of the left atrium.  Interstitial to alveolar opacity is present in the left caudal lung lobe.  The mediastinal and pleural structures are normal.  Cranial abdominal detail is adequate.  The liver margins are rounded and extend beyond the costal arch.  A mass is present near the tail of the spleen.</t>
  </si>
  <si>
    <t>Left-sided cardiomegaly.  Interstitial to alveolar pulmonary pattern consistent with cardiogenic pulmonary edema.  Consider repeat radiographs following diuretic therapy.  Echocardiography may be helpful in further evaluation.  Splenic mass=ZZ90= consider neoplasia or hematoma.  Hepatomegaly=ZZ90= this is a nonspecific finding that may be seen with congestion, vacuolar hepatopathy, inflammation, neoplasia, etc.  Abdominal ultrasound may be helpful in further evaluation.</t>
  </si>
  <si>
    <t xml:space="preserve">
1.Are respiratory signs present? If YES._x000D_
2.Are respiratory signs present? If NO._x000D_
3.A mild perihilar infiltrate has been detected._x000D_
4.MODERATE DYNAMIC AIRWAY DISEASE; MILD to MODERATE INTERSTITIAL to ALVEOLAR INFILTRATE._x000D_
5.Based on these AI airway/pulmonary findings, the probability of this patient having clinically detectable respiratory signs is MEDIUM (50%)_x000D_
6.Pleural fissure lines or small volume pleural effusion has been detected. In a mildly overweight animal, excessive pericardial fat can artifactually mimic the result of minimal pleural effusion._x000D_
7.Moderate cardiomegaly has been detected but Heart Failure is NOT suspected.</t>
  </si>
  <si>
    <t>A dorsoplantar view of the left pes, and orthogonal views of the thorax are provided. There is diffuse lysis in the 3rd phalanx of the 5th digit, predominantly affecting the ungual process. Mild adjacent soft tissue swelling. No osseous proliferation. The 1st and 2nd phalanx of the 5th digit, and remaining digits are unaffected._x000D_
_x000D_
In the thorax the cardiac silhouette and pulmonary vessels are normal size and shape. There are no abnormalities in the pulmonary parenchyma or pleural space. Small round increased opacities adjacent to the heart represent end-on pulmonary vessels. There is no pleural effusion or soft tissue pulmonary nodules. Normal cranial abdomen.</t>
  </si>
  <si>
    <t>Lysis in the 3rd phalanx of the left pelvic limb 5th digit. Neoplasia is of concern, and this may be a primary lesion or metastatic disease. Paronychia could also cause this appearance. The thorax is normal.</t>
  </si>
  <si>
    <t>Recommend histopathology of the digit for a definitive diagnosis. Since this may be a metastatic lesion, also consider attempt at identifying a primary lesion (could be done following histopathology). If there are no external or oral lesions that might be a primary lesion, consider abdominal ultrasound in an attempt to locate a primary neoplasm.</t>
  </si>
  <si>
    <t xml:space="preserve">
1.The evaluation has come up positive for a pulmonary nodular pattern._x000D_
2.A severe alveolar pattern has been detected._x000D_
3.Pleural fissure lines or small volume pleural effusion has been detected. In a mildly to moderately overweight animal, excessive pericardial fat can artifactually mimic the result of mild pleural effusion._x000D_
4.The cardiac silhouette size is normal._x000D_
5.There is no evidence of BRONCHITIS, PERIHILAR INFILTRATE or DYNAMIC AIRWAY COLLAPSE or BRONCHIECTASIS.</t>
  </si>
  <si>
    <t>Orthogonal radiographs of the thorax, three views of the abdomen, and VD view of the pelvis are provided. The cardiac silhouette and pulmonary vessels are normal size and shape. There are numerous incidental pulmonary osteomas throughout the lungs. On the VD projection there is a round 1.7 cm soft tissue opaque contour overlying the left 8th rib. This is possibly seen overlying the plane of the esophagus on the right lateral view. No other soft tissue nodules are identified. Small round increased opacity caudal to the tracheal bifurcation on the lateral projection is end-on pulmonary vessel. No pleural effusion. Normal tracheal diameter._x000D_
_x000D_
In the abdomen, serosal detail is adequate. Small volume gas in the stomach. Small bowel are minimally filled. Small volume formed feces in the colon. Normal-sized liver, spleen, kidneys. No radiopaque cystic calculi. No narrowed lumbar intervertebral disc spaces. Spondylosis deformans in the caudal thoracic spine and lumbosacral junction. The patient is overweight, with moderate volume dorsal subcutaneous fat. Mild thickened left femoral neck. There is moderate enthesophyte formation on the right femoral epicondyles.</t>
  </si>
  <si>
    <t>1. Highly suspect solitary pulmonary nodule in the left caudal lung lobe. Artifact caused by superimposed extrathoracic nipple/nodule could also cause this appearance. Otherwise normal thorax._x000D_
2. The appearance of the caudal thoracic and lumbosacral spine may be incidental, however intervertebral disc disease may also be present. There is mild left coxofemoral osteoarthrosis and moderate right stifle osteoarthrosis. Any of these may be responsible for the clinical signs._x000D_
3. The abdomen is normal.</t>
  </si>
  <si>
    <t>Current diagnostics and treatment is appropriate. Also consider painting any extrathoracic nipple/nodules with small-volume barium paste (or taping a small metal object such as a paper clip) and repeating the VD and right lateral thoracic radiographs in an effort to determine if the suspect nodular structure is persistent.</t>
  </si>
  <si>
    <t xml:space="preserve">Patient Name : EPONE Klein, Date of study: Jun 14, 2024
3 images are provided for review
Canine Thorax (3 Images) - 2 Lateral, 1 Vd
There are no previous radiographs for comparison.
Pulmonary parenchyma: A minimal to mild diffuse bronchial pattern is present.  A minimal to mild interstitial pattern is present over the caudal lungs in the lateral images.  This is not well-identified in the ventrodorsal images.  
Pulmonary vasculature: The pulmonary vasculature is subjectively normal in size and tapers in the periphery of the lungs.
Cardiac silhouette: The cardiac silhouette is has a mildly flattened caudodorsal margin in the lateral images. Mild rounded increased soft tissue is suspected in the region of the left atrium in the ventrodorsal image.  
Mediastinum: The cranial mediastinum is normal on limited evaluation.  
Trachea: A soft tissue band superimposes over the dorsal aspect of the cervical tracheal segment.
Esophagus: The esophagus contains mild fluid or is empty in the caudal thorax.  
Pleural space: thin pleural fissure lines that do not widen in the periphery of the thorax are present between the right cranial/middle and right middle/caudal lung lobes in the ventrodorsal image.  
Musculoskeletal: T12-13 spondylosis deformans is present.  The remaining included musculoskeletal structures are normal.
</t>
  </si>
  <si>
    <t xml:space="preserve"> 1. Mild left atrial enlargement suchy as from myxomatous mitral valvular disease versus other.
2. Minimal-mild diffuse interstitial pattern, more severe in the caudal lungs.
- This may be due to pulmonary edema (cardiogenic versus non-cardiogenic) and/or artifact from phase of the cardiopulmonary cycle, or unlikely other.
3. Minimal-mild diffuse bronchial pulmonary pattern due to infectious/immune-mediated lower airway disease, fibrosis from prior disease/age-related changes, or unlikely other.
4. Tangential beam artifact or pleural thickening/folding, or unlikely scant pleural fluid.
5. Dorsal redundant tracheal membrane versus superimposed normal structures with/without underlying dynamic airway disease.
6.T12-13 spondylosis deformans.</t>
  </si>
  <si>
    <t xml:space="preserve">Given reported murmur and possible syncopal event, consider echocardiography, ECG and blood pressure as well as Holter-monitoring.  Diuretic therapy and oxygen therapy with repeat thoracic radiographs to monitor for resolution of the pulmonary pattern, especially if signs such as dyspnea manifest in the interim.  If cardiac disease is ruled out, consider MRI and neurologist consultation for further evaluation.  Empirical therapy and supportive care in the interim as needed.  </t>
  </si>
  <si>
    <t xml:space="preserve">
1.MODERATE BRONCHOINTERSTITIAL PULMONARY PATTERN; MILD PERIHILAR INFILTRATE; MILD DYNAMIC AIRWAY DISEASE; ATELECTASIS or less likely, pneumonia._x000D_
2.Based on the AI airway/pulmonary findings, the probability of this patient having clinically detectable respiratory signs is MEDIUM to HIGH (50%-75%)_x000D_
3.Are respiratory signs present? If YES._x000D_
4.Are respiratory signs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t>
  </si>
  <si>
    <t>Three radiographs of the thorax are provided. The cardiac silhouette and pulmonary vessels are normal size and shape. Pulmonary vessels are normal size. There is a small area of soft tissue opacity and air bronchograms in the right middle lung lobe. Mild age-related changes in the remaining lungs. No pleural effusion. Several gas lucencies in the dorsal and left extrathoracic tissues, presumably due to previous subcutaneous fluid administration and/or pleurocentesis/pericardiocentesis.</t>
  </si>
  <si>
    <t>Focal aspiration pneumonia in the right middle lung lobe. No other thoracic abnormalities.</t>
  </si>
  <si>
    <t>Empiric antibiotics are recommended.</t>
  </si>
  <si>
    <t>Patient Name : Daisy Cogdell, Date of study: Jun 14, 2024
6 images are provided for review
There are no previous radiographs for comparison.
Findings:
Thorax:
The cardiovascular structures are normal.
The lungs are normal.
The pleural space is normal.
Abdomen:
A ~12 mm diameter tubular soft tissue structure superimposed with the dorsal aspect of the urinary bladder is suspected to represent the uterus.
The liver is enlarged and has rounded margins.
The urinary bladder is moderately distended.
The kidneys are normal.
The stomach contains gas.  The small intestines are normal and uniform in size and contain gas and homogeneous soft tissue.  The colon contains gas and feces.
The serosal detail is normal.
Musculoskeletal/other:
The mammary soft tissues are moderate-severely enlarged.
There are mild degenerative changes to the elbow joints.
There is severe narrowing of the lumbosacral intervertebral disc space.  
There is multifocal spondylosis deformans.</t>
  </si>
  <si>
    <t>1. Moderate mammary gland enlargement, consistent with reported physical exam findings.  Mammary neoplasia (adenocarcinoma or adenoma) is most likely.  Less likely nonneoplastic etiology (e.g. mastitis).
2. Suspected uterine enlargement, consider hydrometra/mucometra/pyometra or phase of estrous. 
3.  Normal thorax, no pulmonary metastasis.
4. Hepatomegaly due to vacuolar change, nodular hyperplasia, hepatitis/cholangiohepatitis, or neoplasia.  
5. Lumbosacral stenosis with multifocal spondylosis deformans.
6. Mild bilateral elbow osteoarthrosis.</t>
  </si>
  <si>
    <t xml:space="preserve">Abdominal ultrasound or CT may be useful for more detailed assessment of the abdomen.
Etiology of mammary masses may be best determined with FNA for cytology or surgical removal and biopsy for histopathology.
</t>
  </si>
  <si>
    <t>Ten radiographs are provided, with images of the thorax, abdomen, pelvis, proximal pelvic limbs. Images dated 2/14/24 are available for comparison. The cardiac silhouette is normal size for this breed. Fat deposition is seen along the right side of the heart, and large volume fat deposition is present in the cranial mediastinum. A mild bronchial pattern is present throughout the lungs as before. There is no pleural effusion. Adequate tracheal diameter. T7 is a hemivertebra, of doubtful clinical significance today. No significant thoracic limb abnormalities._x000D_
_x000D_
In the abdomen there is small volume of gas in the stomach and small bowel. The cecum is gas dilated. Formed feces fills the colon. Normal-sized liver, spleen, kidneys. There is a new finding of a smoothly contoured round 2.5 cm soft tissue opaque bulge extending lateral to the spleen on the VD projection. Splenic size is normal. No radiopaque urolithiasis. Lumbar vertebral alignment is normal. Mineral density overlying the L1-2 intervertebral foramen was present previously and is likely superimposed spondylosis deformans. No narrowed intervertebral disc spaces or foramina are appreciated. There is no endplate lysis. There is mild degenerative change in the left coxofemoral joint as before. Pelvic limb musculature is reduced on the right. There is moderate volume fluid in the cranial and caudal aspect of the right stifle joint. Tibial tuberosity advancement procedure has been performed on the left, and there are no abnormalities appreciated adjacent to the implants. No popliteal lymphadenomegaly.</t>
  </si>
  <si>
    <t>1. Splenic nodule, concerning for neoplasia such as hemangiosarcoma. Hematoma, hemangioma, or lymphoid hyperplasia could also cause this appearance._x000D_
2. Moderate right stifle effusion most consistent with cranial cruciate ligament tear/rupture. This is the most likely cause for lameness. Mild left coxofemoral osteoarthritis, of doubtful clinical significance today._x000D_
3. No definitive spinal abnormalities are appreciated. With the history of weakness, intervertebral disc disease is not definitively ruled out._x000D_
4. Normal thorax.</t>
  </si>
  <si>
    <t>If there is a palpable right stifle instability, surgical stabilization would be recommended. If pelvic limb weakness is persistent, additional spinal imaging with MRI should be considered.</t>
  </si>
  <si>
    <t xml:space="preserve">
1.Moderate dynamic airway disease has been detected._x000D_
2.A moderate interstitial to alveolar pattern with a concurrent mild bronchial pattern and dynamic airway disease has been detected._x000D_
3.Pleural fissure lines or moderate pleural effusion has been detected. An overlying skin fold or in a moderately overweight animal, excessive pericardial fat could artifactually mimic the result of moderate pleural effusion._x000D_
4.Severe cardiomegaly has been detected but Heart Failure is NOT suspected.</t>
  </si>
  <si>
    <t>No specific thoracic recommendations.</t>
  </si>
  <si>
    <t>6 images of the thorax and abdomen are provided for review.  The cardiovascular structures are normal.  There is a moderate bronchial pattern in all lung lobes.  The mediastinal and pleural structures are normal.  Abdominal serosal detail is adequate in all quadrants.  The stomach contains a moderate amount of mottled soft tissue material.  The small intestines are normal in size.  Gas and feces are present in the colon.  The urinary bladder is small.  The remaining abdominal organs are normal.</t>
  </si>
  <si>
    <t>Material within the stomach may represent normal ingesta or foreign material.  Consider repeat radiographs following strict fasting to determine if gastric contents persist.  Moderate bronchial pulmonary pattern=ZZ90= consider bronchitis, response to inhaled irritants, response to circulating parasites, eosinophilic bronchopneumopathy.  Airway sampling may be helpful in further evaluation.</t>
  </si>
  <si>
    <t>3 views of the thorax are provided for review.  The trachea is dorsally deviated, indicating left ventricular enlargement.  A bulge is present in the region of the left atrium.  Mild interstitial opacity is present in the right caudal lung lobe near the hilus.  The mediastinal and pleural structures are normal.  Cranial abdominal detail is adequate.</t>
  </si>
  <si>
    <t>Left-sided cardiomegaly.  Mild interstitial pulmonary pattern consistent with resolving cardiogenic pulmonary edema.</t>
  </si>
  <si>
    <t xml:space="preserve">
1.Mild dynamic airway disease has been detected._x000D_
2.A mild perihilar infiltrate and concurrent, mild dynamic airway disease have been detected._x000D_
3.A minimal interstitial pulmonary pattern with a concurrent, mild perihilar infiltrate have been detected._x000D_
4.Mild dynamic airway disease has been detected._x000D_
5.A minimal interstitial pulmonary and concurrent, mild dynamic airway disease have been detected._x000D_
6.Severe cardiomegaly has been detected but Heart Failure is NOT suspected._x000D_
7.There is no evidence of PULMONARY NODULES.</t>
  </si>
  <si>
    <t>Two orthogonal survey radiographs of the thorax and abdomen dated 13th June 2024 are available for review. There are no previous radiographs available for comparison. _x000D_
 _x000D_
Thorax: _x000D_
Airway findings: The trachea is mildly narrowed in the thoracic region, however consistent in diameter. The carina, tracheal bifurcation and mainstem bronchi are normal. The pulmonary parenchyma is normal._x000D_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hepatic silhouette is normal in size with smooth borders. The spleen is normal in shape, size and position. The kidneys are partially obscured by gastrointestinal contents, but the visible aspect are normal. The stomach is mainly empty, with a normal axis. The small intestines are distributed evenly and are within normal limits for shape, size and contents. The ascending, transverse and descending colon have a normal position and contain gradually more formed faeces. The urinary bladder is filled. The serosal detail is normal._x000D_
_x000D_
Musculoskeletal findings: No significant abnormalities are detected.</t>
  </si>
  <si>
    <t>Normal thorax. The mildly narrowed trachea may be due to phase of respiration. Considering no localised narrowing is present, tracheomalacia redundant trachealis membrane is considered unlikely. An upper airway infection/tracheitis, mixed tracheobronchitis is still possible.</t>
  </si>
  <si>
    <t>Observational management is advised. Depending on clinical progression, consider empirical management of tracheobronchitis. Consider repeat radiographs depending on clinical progression or consider evaluation for airway collapse (fluoroscopy vs. right lateral inspiratory and expiratory radiographs vs. CT with virtual bronchoscopy).</t>
  </si>
  <si>
    <t>Two views of the thorax are provided for review and compared with the study dated 6/6/2024.  The trachea is dorsally deviated, indicating left ventricular enlargement.  A bulge is present in the region of the left atrium.  Alveolar opacity is present in the right caudal lung lobe.  The mediastinal and pleural structures are normal.  Cranial abdominal detail is adequate.  The liver margin is rounded and extends beyond the costal arch.</t>
  </si>
  <si>
    <t>Static cardiomegaly.  Persistent alveolar pulmonary pattern consistent with cardiogenic pulmonary edema.  Other causes such as hemorrhage, neoplasia, thromboembolism, or atypical pneumonia cannot be excluded with the lack of overall improvement.  However, radiographic changes may also lag clinical signs by 24 to 48 hours, so as the patient is clinically improved pulmonary edema is most likely.  Consider repeat radiographs following further diuretic therapy to confirm radiographic resolution.  Echocardiography may be helpful in further staging.  Hepatomegaly=ZZ90= this is a nonspecific finding that may be seen with congestion, vacuolar hepatopathy, inflammation, neoplasia, etc.  Abdominal ultrasound may be helpful in further evaluation if biochemically indicated.</t>
  </si>
  <si>
    <t xml:space="preserve">
1.A moderate perihilar infitlrate has been detected._x000D_
2.Pleural fissure lines or moderate to severe pleural effusion has been detected. An overlying skin fold or in an obese animal, excessive pericardial fat could artifactually mimic the result of severe pleural effusion._x000D_
3.Severe cardiomegaly has been detected but Heart Failure is NOT suspected._x000D_
4.SEVERE INTERSTITIAL TO ALVEOLAR PATTERN; SEVERE BRONCHIAL PATTERN; SEVERE DYNAMIC AIRWAY DISEASE._x000D_
5.Based on these AI airway/pulmonary findings, the probability of this patient having clinically detectable respiratory signs is VERY HIGH (&gt;75%)_x000D_
6.Are respiratory signs present? If YES._x000D_
7.Are respiratory signs present? If NO._x000D_
8.The evaluation has a strong suspicion of pulmonary nodules or mass lesion being present.</t>
  </si>
  <si>
    <t>WHOLE-BODY (6 total radiographs for review)._x000D_
_x000D_
- Centered on the junction between the left caudal and right accessory lung lobes is a fairly large, rounded soft-tissue opaque mass (up to 6.0 x 5.7 cm) with smooth and rounded margins._x000D_
- Mild diffuse bronchial pattern._x000D_
- The cardiac silhouette and pulmonary vasculature are normal._x000D_
- The trachea, esophagus and remainder of the mediastinum is/are normal._x000D_
- The pleural space and remaining intrathoracic structures are normal._x000D_
- Peritoneal serosal detail is adequate_x000D_
- There is a smooth nodule confluent with the caudoventral margin of the liver on the LLAT projection._x000D_
- The stomach contains mild gas and gas-stippled soft-tissue opaque material_x000D_
- The small intestine contains mild multifocal gas and soft-tissue opaque material_x000D_
- The colon contains gas, soft-tissue/fluid and mild formed fecal material._x000D_
- The spleen, kidneys and urinary bladder are normal._x000D_
- Bilateral stifle osteoarthritis.</t>
  </si>
  <si>
    <t>1. Medium-sized left caudal hemithoracic mass, either originating in the left caudal lung lobe or the right accessory lung lobe. DDx neoplasia is most likely (primary pulmonary carcinoma), with less likely a pulmonary granuloma or abscess. Recheck/serial radiographs may be considered in addition to thoracic CT for further assessment._x000D_
_x000D_
2. Mild diffuse bronchial pattern with few thickened pleural fissures. Most likely representing age-related lower airway changes, however a component of chronic bronchitis is possible, especially given that this patient has a dry cough reported (and chronic lower airway disease could be contributing)_x000D_
_x000D_
3. Suspect large caudoventral hepatic nodule or small mass (limited assessment). You may consider abdominal ultrasonography for further assessment._x000D_
_x000D_
4. Bilateral stifle OA (limited assessment)</t>
  </si>
  <si>
    <t xml:space="preserve">
1.A mild bronchial pattern has been detected._x000D_
2.The cardiac silhouette size is normal._x000D_
3.There is no evidence of ALVEOLAR PATTERN or DYNAMIC AIRWAY COLLAPSE or BRONCHIECTASIS._x000D_
4.A mild bronchial pattern and minimal perihilar infiltrate have been detected.</t>
  </si>
  <si>
    <t>3 views of the entire body are presented for review.  The cardiovascular and pulmonary structures are normal.  The pleural and mediastinal structures are normal.  Abdominal serosal detail is adequate in all quadrants.  The stomach contains a small amount of soft tissue material.  The small intestines are normal in size.  Gas and feces are present in the colon.  The urinary bladder is small.  The remaining abdominal organs are normal.</t>
  </si>
  <si>
    <t>Radiographically normal thorax.  Material within the stomach may represent residual ingesta or foreign material.  Consider repeat radiographs following strict fasting to determine if gastric contents persist.</t>
  </si>
  <si>
    <t>6 views of the thorax and abdomen are submitted for review._x000D_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  A cranial protrusion is seen at the ventral margin of the diaphragm on the lateral views which approaches the apex of the heart.  A clear separation between the apex of the heart and the ventral margin of the diaphragm is not noted on the lateral views._x000D_
In the abdomen, the stomach contains a mild amount of gas.  The small bowel is diffusely mildly gas-filled without overt dilation.  A moderate amount of gas and loose appearing stool is noted throughout the colon.  The liver, spleen, renal silhouettes, and urinary bladder are within normal limits.  Serosal detail is adequate.</t>
  </si>
  <si>
    <t>The appearance of the GI tract is consistent with a history of diarrhea.  No evidence of mechanical obstruction is seen.  Acute gastroenterocolitis is considered most likely._x000D_
The protrusion of the ventral margin of the diaphragm is likely an incidental finding in this case but may represent congenital communication between the peritoneal and pericardial spaces with a mild amount of interposed falciform fat.  This is likely congenital.  Otherwise, radiographically normal thorax.</t>
  </si>
  <si>
    <t>Empirical medical management for nonspecific gastroenteritis appears appropriate in the short-term.  If there is sufficient clinical concern, further evaluation of the cranioventral aspect of the diaphragm could be considered for more definitive evaluation.  Ultrasound of this region may be helpful although may be difficult due to the presence of the sternum and regional air-filled lung.  A CT scan would be more definitive.</t>
  </si>
  <si>
    <t xml:space="preserve">
1.A mild perihilar infiltrate has been detected._x000D_
2.The cardiac silhouette size is normal._x000D_
3.There is no evidence of BRONCHITIS, DYNAMIC AIRWAY COLLAPSE or BRONCHIECTASIS or PULMONARY NODULES._x000D_
4.A mild interstitial to alveolar pattern has been detected.</t>
  </si>
  <si>
    <t>THORAX (3 total radiographs for review). A previous examination is available from 2022._x000D_
_x000D_
- The patient has a markedly excessive body habitus._x000D_
- Dynamic soft-tissue opaque band dorsally overlying the trachea at the thoracic inlet region._x000D_
- Mild, diffuse bronchointerstitial pattern_x000D_
- The cardiac silhouette and pulmonary vasculature are normal._x000D_
- The esophagus contains a small amount of gas, and remainder of the mediastinum is/are normal._x000D_
- The pleural space and remaining intrathoracic structures are normal._x000D_
- Bilateral cubital osteoarthritis.</t>
  </si>
  <si>
    <t>1. The appearance of the trachea can be compatible with tracheal collapse, secondary to chondromalacia. This may be a major contributor to coughing in this case._x000D_
_x000D_
2. Mild, diffuse bronchointerstitial pulmonary pattern. May be  due to normal age-related airway changes however could also indicate a component of chronic lower airway disease (e.g. bronchitis)._x000D_
_x000D_
3. Excessive body habitus._x000D_
_x000D_
4. Bilateral cubital osteoarthritis.</t>
  </si>
  <si>
    <t xml:space="preserve">
1.MILD to MODERATE BRONCHOINTERSTITIAL PATTERN; MILD DYNAMIC AIRWAY DISEASE._x000D_
2.Based on these AI airway/pulmonary findings, the probability of this patient having clinically detectable respiratory signs is MEDIUM (50%)_x000D_
3.Are respiratory signs present? If YES._x000D_
4.AI linked bacterial bronchitis in dogs article: https://platform.v2.vetology.net/doc/bacterial-bronchitis-in-dogs-and-cats_x000D_
5.Are respiratory signs present? If NO._x000D_
6.There is no evidence of PERIHILAR INFILTRATE, PULMONARY NODULES or PLEURAL EFFUSION._x000D_
7.Mild cardiomegaly has been detected but Heart Failure is NOT suspected.</t>
  </si>
  <si>
    <t>Thorax: There is a mild bronchointerstitial pattern.  The remainder of the pulmonary parenchyma is unremarkable.  The cardiac silhouette and pulmonary vasculature are unremarkable.  There is no evidence of lymphadenopathy or pleural effusion.  There is a soft tissue opacity associate with the dorsal aspect of the extrathoracic trachea.  There is no evidence of collapse of the trachea or mainstem bronchi.</t>
  </si>
  <si>
    <t>Mild bronchointerstitial pattern which may represent bronchitis._x000D_
_x000D_
The soft tissue opacity superimposed over the dorsal aspect of the trachea may represent redundant dorsal tracheal membrane and/or rotational obliquity artifact.</t>
  </si>
  <si>
    <t xml:space="preserve">
1.MILD BRONCHOINTERSTITIAL PULMONARY PATTERN; MILD DYNAMIC AIRWAY DISEASE._x000D_
2.Based on these AI airway/pulmonary findings, the probability of this patient having clinically detectable respiratory signs is LOW to MEDIUM (25-50%)_x000D_
3.Are respiratory signs present? If YES._x000D_
4.Are respiratory signs present? If NO._x000D_
5.There is no evidence of PERIHILAR INFILTRATE or PLEURAL EFFUSION._x000D_
6.Severe cardiomegaly has been detected but Heart Failure is NOT suspected.</t>
  </si>
  <si>
    <t>Three radiographs of the thorax/abdomen are provided. Images dated 12/13/23 are available for comparison. There is mild cardiac silhouette enlargement, not appreciated on the previous study. Pulmonary vessels are normal size. There are no abnormalities in the pulmonary parenchyma or pleural space. Redundant dorsal tracheal membrane causing severe narrowed trachea on the right lateral view. In the abdomen there is no effusion. The liver is prominent, increased in size. There are several amorphous mineral densities within the liver, larger and more pronounced than on the previous study. The stomach contains small volume of gas. Small intestines are diffusely moderately filled with fluid and gas. A few loops of small bowel appeared thickened, however this must be interpreted with caution, as fluid-gas interface can mimic thickening. No radiopaque gastrointestinal foreign material. No radiopaque urolithiasis. Normal-sized spleen and left kidney. The right kidney is obscured. The plane of the urethra is unremarkable.</t>
  </si>
  <si>
    <t>1. Progressive hepatic mineralization with hepatomegaly. Neoplasia is of concern. Dystrophic mineralization is next on the differential list._x000D_
2. Mild cardiomegaly, likely chronic degenerative mitral and tricuspid valve disease. There is no pulmonary venous congestion or pulmonary edema._x000D_
3. No urinary tract abnormalities are appreciated._x000D_
4. Dynamic cervical tracheal collapse.</t>
  </si>
  <si>
    <t xml:space="preserve">
1.Moderate cardiomegaly has been detected but Heart Failure is NOT suspected._x000D_
2.There is no evidence of DYNAMIC AIRWAY COLLAPSE or BRONCHIECTASIS, PULMONARY NODULES or PLEURAL EFFUSION._x000D_
3.A minimal interstitial pulmonary pattern with a concurrent, mild perihilar infiltrate have been detected.</t>
  </si>
  <si>
    <t>Airway sampling may be helpful in further evaluation.  Echocardiography could be considered in further evaluation of the reported heart murmur.</t>
  </si>
  <si>
    <t>3 views of the thorax are provided for review.  The cardiovascular structures are normal.  There is a mild bronchial pattern in all lung lobes.  No pulmonary nodules or enlarged intrathoracic lymph nodes are seen.  The mediastinal and pleural structures are normal.  Cranial abdominal detail is adequate.  There is spondylosis deformans of the thoracic spine.</t>
  </si>
  <si>
    <t>3 views of the thorax are provided for review.  There is straightening of the caudal cardiac waist in the region of the left atrium.  Moderate bronchial markings are present in all lung lobes, similar to images dated 5/17/2023.  No perihilar pulmonary infiltrates are seen.  The pulmonary vasculature is normal in size.  The mediastinal and pleural structures are normal.  Cranial abdominal detail is adequate.</t>
  </si>
  <si>
    <t>Mild left atrial enlargement without current evidence of cardiogenic pulmonary edema.  Echocardiography may be helpful in further evaluation.  Unchanged bronchial pulmonary pattern=ZZ90= consider bronchitis, response to inhaled irritants, response to circulating parasites, eosinophilic bronchopneumopathy.  Airway sampling may be helpful in further evaluation if clinically indicated.</t>
  </si>
  <si>
    <t>3 views of the thorax are provided for review.  The trachea is dorsally deviated, indicating left ventricular enlargement.  A small bulge is present in the region of the left atrium.  No pulmonary infiltrates or nodules are seen.  The pulmonary vasculature is normal in size.  The mediastinal and pleural structures are normal.  Cranial abdominal detail is adequate.  Mineral structures are present in the stomach and colon.  There is spondylosis deformans of the thoracolumbar spine.</t>
  </si>
  <si>
    <t>Mild left-sided cardiomegaly without current evidence of cardiogenic pulmonary edema.  Gastric and colonic mineral foreign material, likely incidental.</t>
  </si>
  <si>
    <t xml:space="preserve">
1.There is no evidence of DYNAMIC AIRWAY COLLAPSE or BRONCHIECTASIS._x000D_
2.A mild bronchointerstitial pulmonary pattern and minimal perihilar infiltrate have been detected._x000D_
3.Pleural fissure lines or small volume pleural effusion has been detected. In a mildly overweight animal, excessive pericardial fat can artifactually mimic the result of minimal pleural effusion._x000D_
4.Mild cardiomegaly has been detected but Heart Failure is NOT suspected.</t>
  </si>
  <si>
    <t>Six orthogonal survey radiographs of the thorax and abdomen dated 13th June 2024 are available for review. There are no previous radiographs available for comparison. _x000D_
_x000D_
Thorax: _x000D_
Airway findings: The trachea is mildly elevated. The tracheal bifurcation is widened. Throughout the lung parenchyma there is a moderate bronchointerstitial opacification. The mainstem bronchi are thickened. No nodules or masses are seen._x000D_
_x000D_
Cardiovascular findings: There is a moderate sized smoothly marginated soft tissue opacity contiguous with the caudal dorsal border of the cardiac silhouette. A soft tissue opacity is superimposed on the caudal cardiac silhouette in the dorsoventral image.  The overall cardiac silhouette is mildly enlarged with mild reversed D outline in the ventral dorsal image. The pulmonary vessels are normal. The caudal vena cava is prominent._x000D_
_x000D_
Mediastinum and pleural space: No significant abnormalities are detected._x000D_
_x000D_
Abdomen: The caudal aspect of the abdomen is not included on the lateral images. The stomach contains some gas and has a normal axis. The intestines are variable in filling, containing some fluid and gas. No segmental dilation is noted. The descending colon is empty. The kidneys are poorly visible. The spleen is poorly visible. The hepatic silhouette is normal. The serosal detail is normal._x000D_
_x000D_
Musculoskeletal findings: No significant abnormalities are detected.</t>
  </si>
  <si>
    <t>1. Left atrial dilation with suspect mild right atrial enlargement. This is likely due to mitral with or without tricuspid valve insufficiency. Dilated cardiomyopathy is considered less likely. The evidence for cardiac insufficiency is equivocal with the cardiac silhouette still at upper normal limits for breed, however with enlarged caudal vena cava and bronchointerstitial opacification suspicious of increased central venous pressures and pulmonary oedema._x000D_
2. The bronchointerstitial opacification could be due to the potential cardiogenic pulmonary oedema, however infectious-inflammatory lower airway disease (viral-bacterial bronchitis, fungal pneumonia, parasitic bronchitis) is equally possible in light of the fever present.</t>
  </si>
  <si>
    <t>Considering equivocal findings relative to cardiac or airway origin, ECG, blood pressure measurements, and echocardiography is advised._x000D_
Respiratory workup including CBC, serum chemistry, urinalysis, Baermann faecal testing, 4DX, +/- respiratory panel or fungal testing as indicated is advised.  Alternatively, empirical therapy for lower airway disease, empirical deworming, and removal of allergens and environmental irritants (i.e. smoke, dust, perfumes, etc.) can be considered. Use of corticosteroids is not advised until cardiac insufficiency is excluded. Repeat radiographs prior to end of therapy.</t>
  </si>
  <si>
    <t xml:space="preserve">
1.Are respiratory signs present? If YES._x000D_
2.SEVERE INTERSTITIAL TO ALVEOLAR PATTERN; PULMONARY NODULES OR MASS LESION; PLEURAL FLUID or PLEURAL THICKENING; MILD BRONCHIAL PATTERN; MINIMAL DYNAMIC AIRWAY DISEASE._x000D_
3.Based on these AI airway/pulmonary findings, the probability of this patient having clinically detectable respiratorysigns is VERY HIGH (&gt;75%)_x000D_
4.The evaluation has come up positive for a pulmonary nodular pattern and pleural fissure lines or pleural effusion._x000D_
5.Moderate cardiomegaly has been detected but Heart Failure is NOT suspected._x000D_
6.Are respiratory signs present? If NO.</t>
  </si>
  <si>
    <t>3 views of the thorax are provided for review.  The cardiovascular structures are normal.  There is a moderate bronchial pattern in all lung lobes.  The mediastinal and pleural structures are normal.  The trachea is variable in diameter.  Cranial abdominal detail is adequate.</t>
  </si>
  <si>
    <t>Moderate bronchial pulmonary pattern=ZZ90= consider bronchitis, response to inhaled irritants, response to circulating parasites, eosinophilic bronchopneumopathy.  Airway sampling may be helpful in further evaluation.  Variable tracheal diameter suggests dynamic tracheal collapse.  Fluoroscopy or bronchoscopy could be considered.</t>
  </si>
  <si>
    <t xml:space="preserve">
1.Are respiratory signs present? If NO._x000D_
2.The evaluation has come up positive for a pulmonary nodular pattern._x000D_
3.SEVERE INTERSTITIAL TO ALVEOLAR INFILTRATE; CONCURRENT MODERATE BRONCHIAL PATTERN and MILD DYNAMIC AIRWAY DISEASE._x000D_
4.Based on these AI airway/pulmonary findings, the probability of this patient having clinically detectable respiratory signs is HIGH (75%)_x000D_
5.Are respiratory signs present? If YES._x000D_
6.Pleural fissure lines or small volume pleural effusion has been detected. In a mildly overweight animal, excessive pericardial fat can artifactually mimic the result of minimal pleural effusion._x000D_
7.Mild cardiomegaly has been detected but Heart Failure is NOT suspected.</t>
  </si>
  <si>
    <t>Three radiographs of the thorax are provided. The right laterality marker is located on the left side of the patient on the VD projection. The cardiac silhouette is normal size and shape. Soft tissue bulge along the cranial heart is normal aortic arch. This appears more prominent due to thoracic conformation. Pulmonary vessels are normal size. There is soft tissue opacity with air bronchograms and lobar sign in the right middle lung lobe. No other pulmonary parenchymal abnormalities. No pleural effusion. Adequate tracheal diameter. Normal cranial abdomen.</t>
  </si>
  <si>
    <t>Alveolar pattern in the right middle lung consistent with aspiration pneumonia.</t>
  </si>
  <si>
    <t>Antibiotics are recommended, with repeat radiographs (same three views) upon completion to confirm resolution of pneumonia.</t>
  </si>
  <si>
    <t xml:space="preserve">
1.Pleural fissure lines or small volume pleural effusion has been detected. In a mildly overweight animal, excessive pericardial fat can artifactually mimic the result of minimal pleural effusion._x000D_
2.MODERATE INTERSTITIAL TO ALVEOLAR PATTERN; MILD BRONCHITIS._x000D_
3.Based on the AI airway/pulmonary findings, the probability of this patient having clinically detectable respiratory signs is MEDIUM to HIGH (50-75%)_x000D_
4.Are respiratory signs present? If YES._x000D_
5.Are respiratory signs present? If NO._x000D_
6.The evaluation has come up positive for a pulmonary nodular pattern._x000D_
7.The cardiac silhouette size is normal._x000D_
8.There is no evidence of DYNAMIC AIRWAY COLLAPSE or BRONCHIECTASIS.</t>
  </si>
  <si>
    <t>3 views of the thorax are provided for review.  The cardiovascular structures are normal.  Rounded soft tissue is present in the right cranial lung lobe.  Alveolar opacity is seen at the caudal aspect of this structure.  Changes are similar to previous images dated 5/28/2024.  The mediastinal and pleural structures are normal.  Cranial abdominal detail is adequate.</t>
  </si>
  <si>
    <t>Persistent right cranial lung lobe infiltrates.  The rounded appearance is concerning for neoplasia in this area.  Additional alveolar opacity may represent concurrent pneumonia, hemorrhage, or edema.  Clinical improvement may indicate improvement in the surrounding infiltrates.</t>
  </si>
  <si>
    <t>Thoracic CT or airway sampling may be helpful.</t>
  </si>
  <si>
    <t>10 images of the thorax and cervical region are provided for review.  The cardiovascular structures are normal.  There is a moderate bronchial pattern in all lung lobes.  The mediastinal and pleural structures are normal.  The trachea is normal in diameter, although esophagus is superimposed over a portion of the trachea on several views.  The laryngeal and pharyngeal structures are normal.  Cranial abdominal detail is adequate.  Metallic structure near the left shoulder is consistent with migration of the microchip.
(amended on 06/18/2024 13:41)
A rounded mineral structure is present adjacent to the right transverse process of C4. The adjacent transverse process is mildly blunted.</t>
  </si>
  <si>
    <t>Moderate bronchial pulmonary pattern=ZZ90= consider bronchitis, response to inhaled irritants, response to circulating parasites, eosinophilic bronchopneumopathy.
(amended on 06/18/2024 13:41)
Chronic fracture of the transverse process of C4. This is likely incidental.</t>
  </si>
  <si>
    <t>Airway sampling may be helpful in further evaluation.
(amended on 06/18/2024 13:41)
None additional.</t>
  </si>
  <si>
    <t>Four orthogonal survey radiographs of the thorax and abdomen (3 series) dated 13th June 2024 are available for review. There are no previous radiographs available for comparison. _x000D_
_x000D_
Thorax: _x000D_
Airway findings: No nodules, masses, or lymphadenomegaly is visible. The trachea has a normal position, shape and size. The pulmonary parenchyma is normal. _x000D_
_x000D_
Cardiovascular findings: The cardiac silhouette, and pulmonary vasculature is within normal limits._x000D_
_x000D_
Mediastinum and pleura: There is no evidence of pleural effusion, _x000D_
_x000D_
Musculoskeletal system: No significant abnormalities are detected. _x000D_
_x000D_
Abdomen: The hepatic silhouette is normal in size with smooth borders. The spleen is normal in shape, size and position. The kidneys are partially obscured by gastrointestinal contents, but the visible aspect are normal. The stomach is mainly empty, with a normal axis. There is appropriate gas in the pylorus on the left lateral image. The small intestines are distributed evenly and are mildly distended with gas and fluid/soft tissue opaque material. The ascending, transverse and descending colon have a normal position and contain gradually more formed faeces. The urinary bladder is filled. The serosal detail is normal. No intestinal loops are seen superimposed on the urinary bladder or descending colon. The caudal aspect of the abdomen is not included on the ventrodorsal image, limiting interpretation._x000D_
_x000D_
Musculoskeletal findings: A partially mineralised subcutaneous mass is present at the caudal thorax, consistent with the reported mammary mass.</t>
  </si>
  <si>
    <t>1. Negative metastasis check, normal thorax._x000D_
2. Mammary mass.</t>
  </si>
  <si>
    <t>Computed tomography has a higher resolution capability to detect small pulmonary parenchyma nodules and may be considered._x000D_
Broad surgical resection of the mammary mass is advised._x000D_
If signs of pyometra are present, consider abdominal ultrasound.</t>
  </si>
  <si>
    <t xml:space="preserve">
1.The cardiac silhouette size is normal._x000D_
2.There is no evidence of BRONCHITIS or PERIHILAR INFILTRATE._x000D_
3.A mild interstitial to alveolar pattern has been detected._x000D_
4.Mild dynamic airway disease has been detected.</t>
  </si>
  <si>
    <t>WHOLE-BODY (with positive gastrointestinal study, 6 total images). No previous for comparison
- Thin body condition.
- On the survey images, multiple small intestinal segments are mildly distended and contain gas, fluid and give the impression of mildly thickened walls. The stomach is non-distended and the cecum/colon are mildly distended with gas, and has a mildly corrugated appearance.
- On the positive contrast study, there is a distribution of the barium in the esophagus (minimal), stomach (mild) and multi-segmentally throughout multiple small intestinal segments. Relatively diffusely, there is a corrugated mucosal surface of many visualized segments and the lumen is mildly narrowed at points. No overt masses or obstructions are seen. None or minimal contrast material reaches the cecum/colon.
- Moderate multifocal spondylosis deformans, most notable in the cranial thoracic region.
- Intrathoracic structures are normal.
- Multiple right-sided and ventral rounded, broad-based lipomatous masses.</t>
  </si>
  <si>
    <t>1. Multisegmental small intestinal corrugation and suspected mural thickening, compatible with a relatively widespread functional ileus. In combination with the patient history and clinical signs, infiltrative intestinal disease (e.g. neoplasia, immune-mediated enteritis) is considered in this case. However the appearance is non-specific and can also be compatible with entero-colitis  (e.g. from dietary indiscretion, enterotoxicosis). Consider abdominal ultrasonography for further assessment in this patient.
2. Unremarkable limited thorax and cervical region.
3. Cranial lumbar intervertebral disc degeneration.
4. Right-sided abdominal body wall lipomatous masses.
5. Thin body condition.</t>
  </si>
  <si>
    <t xml:space="preserve">
1.Mild cardiomegaly has been detected but Heart Failure is NOT suspected._x000D_
2.There is no evidence of PULMONARY NODULES or PLEURAL EFFUSION._x000D_
3.MODERATE BRONCHOINTERSTITIAL PULMONARY PATTERN; ALVEOLAR INFILTRATE or ATELECTASIS; DYNAMIC AIRWAY DISEASE._x000D_
4.Based on these AI airway/pulmonary findings, the probability of this patient having clinically detectable respiratory signs is HIGH (75%)_x000D_
5.Are respiratory signs present? If YES._x000D_
6.Are respiratory signs present? If NO.</t>
  </si>
  <si>
    <t>A single lateral thoracic and abdominal radiographs dated 13th June 2024 is available for review. There are no previous radiographs available for comparison. _x000D_
_x000D_
Thorax: The cervical and thoracic trachea have a normal size, outline and position. The carina is mildly dilated. Throughout the lung parenchyma there is a prominent bronchial opacification. There are multiple regions of poorly marginated spherical lung consolidation, without a clear mass or nodule. There is more homogenous soft tissue opacification in the region of the tracheal bifurcation. There is some mild ventral pleural fat. The cardiac silhouette is partially border effaced, but the overall size is within normal limits. The visible pulmonary vessels are normal._x000D_
_x000D_
Abdomen: The visible aspects of liver, spleen and kidneys are normal. The gastric axis is normal. There is some soft tissue opaque material within the stomach. The small intestines are mainly empty. The descending colon contains some gas and poorly formed faeces. The urinary bladder is filled._x000D_
_x000D_
Musculoskeletal system: There is multisite ventral bridging spondylosis deformans. There is bridging lumbosacral spondylosis deformans. The ventral outline of the sacrum is indistinct, however this may be due to superimposition.</t>
  </si>
  <si>
    <t>1. Severe bronchial pattern with nodular opacification: Differentials include severe lower airway infectious-inflammatory disease such as fungal pneumonia with abscess formation, or granuloma formation. Alternatively round cell infiltration with early nodule/mass formation or metastatic neoplasia should be considered. The opacification in the region of the tracheal bifurcation may be superimposition, or due to tracheobronchial lymphadenomegaly._x000D_
2. Unremarkable abdomen_x000D_
3. The poor outline of the ventral sac is most likely superimposition artefact. An aggressive bony lesion is considered less likely.</t>
  </si>
  <si>
    <t>Considering equivocal results of metastatic neoplasia versus severe infectious lower airway disease, and the poor systemic condition, respiratory workup including CBC, serum chemistry, urinalysis, Baermann faecal testing, 4DX, +/- respiratory panel or fungal testing is advised as well as emergency empirical therapy for lower airway disease, empirical deworming. _x000D_
Once stabilised, repeat radiographs are advised, and thoracic CT or ultrasound with aspirates if a peripheral lesion identified, and abdominal ultrasound are recommended.</t>
  </si>
  <si>
    <t>6 images of the thorax and abdomen are provided for review.  The trachea is dorsally deviated, indicating left ventricular enlargement.  A small bulge is present in the region of the left atrium.  Increased bronchial markings are present in all lung lobes.  No perihilar pulmonary infiltrates are seen.  The pulmonary vasculature is normal in size.  The mediastinal and pleural structures are normal.  Abdominal serosal detail is adequate in all quadrants.  The stomach contains a moderate amount of gas.  The small intestines are normal in size.  Gas and feces are present in the colon.  The urinary bladder is small.  The remaining abdominal organs are normal.  There is spondylosis deformans of the thoracolumbar spine.</t>
  </si>
  <si>
    <t>Radiographically normal abdomen.  Moderate bronchial pulmonary pattern=ZZ90= consider bronchitis, response to inhaled irritants, response to circulating parasites, eosinophilic bronchopneumopathy.  Coccidioidomycosis cannot be excluded.  Airway sampling may be helpful in further evaluation.  Left-sided cardiomegaly without current evidence of cardiogenic pulmonary edema.  Echocardiography may be helpful in further evaluation.</t>
  </si>
  <si>
    <t>Consider repeat radiographs following diuretic therapy.  BNP and echocardiography may be helpful in further evaluation.</t>
  </si>
  <si>
    <t xml:space="preserve">
1.A moderate perihilar infitlrate has been detected._x000D_
2.Severe cardiomegaly has been detected but Heart Failure is NOT suspected._x000D_
3.Are respiratory signs present? If YES._x000D_
4.Are respiratory signs present? If NO._x000D_
5.The evaluation has come up positive for a pulmonary nodular pattern._x000D_
6.MILD to MODERATE BRONCHOINTERSTITIAL PULMONARY PATTERN; PLEURAL FISSURE LINES or PLEURAL EFFUSION; NODULAR PULMONARY PATTERN which is likely due to overlying CUTANEOUS NODULES, END-ON VESSELS or MINERALIZED COSTOCHONDRAL JUNCTIONS._x000D_
7.Based on these AI airway/pulmonary findings, the probability this patient will have clinically detectable respiratory signs is MEDIUM (50%)_x000D_
8.Pleural fissure lines or pleural effusion has been detected.</t>
  </si>
  <si>
    <t>3 views of the entire body are provided for review.  The trachea is dorsally deviated, indicating left ventricular enlargement.  A bulge is present in the region of the left atrium.  The cardiac silhouette is also widened with rounding of the right ventricular margin.  No pulmonary infiltrates are seen.  The pulmonary vasculature is normal in size.  The mediastinal and pleural structures are normal.  Abdominal serosal detail is adequate in all quadrants.  The liver margins are rounded and extend beyond the costal arch, causing caudal displacement of the gastric axis.  The stomach contains a moderate amount of gas.  The small intestines are normal in size.  Gas and feces are present in the colon.  The urinary bladder is small.  No mineral is seen associated with the urinary tract.  The remaining abdominal organs are normal.</t>
  </si>
  <si>
    <t>Hepatomegaly=ZZ90= this is a nonspecific finding that may be seen with congestion, vacuolar hepatopathy, inflammation, neoplasia, etc.  Abdominal ultrasound may be helpful in further evaluation if biochemically indicated.  Generalized cardiomegaly without current evidence of cardiogenic pulmonary edema.  Echocardiography may be helpful in further evaluation.</t>
  </si>
  <si>
    <t xml:space="preserve">
1.MODERATE DYNAMIC AIRWAY DISEASE; MILD BRONCHOINTERSTITIAL PULMONARY PATTERN +/- PULMONARY HYPOINFLATION._x000D_
2.MILD BRONCHOINTERSTITIAL PULMONARY PATTERN; MINIMAL to MILD PERIHILAR PATTERN._x000D_
3.Based on these AI airway/pulmonary findings, the probability of this patient having clinically detectable respiratory signs is MEDIUM (50%)_x000D_
4.Based on the AI airway/pulmonary findings, the probability of this patient having clinically detectable respiratory signs is LOW (25%)_x000D_
5.Are respiratory signs present? If YES._x000D_
6.AI linked dynamic airway treatment: https://platform.v2.vetology.net/doc/canine-tracheal-collapse-treatment_x000D_
7.In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8.In the PRESENCE of respiratory signs, low grade active pneumonitis (allergic, bacterial, parasitic (including heartworm disease), inhaled allergen or toxin) or upper airway disease causing pulmonary hypoinflation and/or recurrent microaspiration may be more likely._x000D_
9.Are respiratory signs present? If NO._x000D_
10.Severe cardiomegaly has been detected but Heart Failure is NOT suspected.</t>
  </si>
  <si>
    <t>A three-view study of the thorax and orthogonal neck views are provided for interpretation._x000D_
_x000D_
There is a large mass in the right cranial thorax that also occupies the caudal half of the cranial mediastinum and silhouettes with the base of the heart. The mascot is mild leftward displacement of the heart base. Mild alveolar infiltrates are identified in the nearby lung of the right middle lobe in the caudal subsegment of the right cranial lobe. No air bronchograms are seen within the mass. There is scant pleural fluid._x000D_
_x000D_
All the cervical intervertebral disc spaces appear slightly narrowed except for C5-C6. No destructive or productive bone lesions are seen. There is mild reticulated increased opacity in the subcutaneous areas of the ventral neck consistent with the history of ventral cervical edema. No laryngeal abnormalities identified. The thoracic trachea is moderately displaced dorsally. No tracheal narrowing is seen.</t>
  </si>
  <si>
    <t>There is a large cranial thoracic mass, most likely representative of neoplasia._x000D_
Tissue of origin cannot be definitively determined, this mass could be arising in the mediastinum such as thymoma, in the right cranial lung lobe, or less likely from the base of the heart. The mass is probably a obstructing venous return from the neck and causing the edema._x000D_
_x000D_
A non-neoplastic lesion such as a mediastinal or pulmonary abscess or cyst is considered unlikely but cannot be entirely excluded._x000D_
_x000D_
The mild alveolar infiltrates in the nearby lung are suspected to be secondary to the mass effect.</t>
  </si>
  <si>
    <t>CT would be ideal for more definitive evaluation of this lesion, and should be considered if surgery is an option in this patient._x000D_
_x000D_
If CT is not an option, ultrasound could be used for additional characterization and possible sampling of the mass.</t>
  </si>
  <si>
    <t xml:space="preserve">
1.SEVERE INTERSTITIAL AND ALVEOLAR INFILTRATE with PNEUMONIA or less likely, ATELECTASIS; MODERATE DYNAMIC AIRWAY DISEASE; MODERATE BRONCHIAL PATTERN; MILD PERIHILAR INFILTRATE._x000D_
2.Based on these AI airway/pulmonary findings, the probability of this patient having clinically detectable respiratory signs is VERY HIGH (&gt;75%)_x000D_
3.Are respiratory signs present? If YES._x000D_
4.Are respiratory signs are present? If NO._x000D_
5.Pleural fissure lines or moderate to severe pleural effusion has been detected. An overlying skin fold or in an obese animal, excessive pericardial fat could artifactually mimic the result of severe pleural effusion._x000D_
6.Severe cardiomegaly has been detected but Heart Failure is NOT suspected._x000D_
7.A mild perihilar infiltrate has been detected._x000D_
8.The evaluation has a strong suspicion of pulmonary nodules or mass lesion being present.</t>
  </si>
  <si>
    <t>5 images of the thorax are presented for review.  The cardiovascular structures are normal.  There is a diffuse interstitial pulmonary pattern that is considered appropriate for the age of the patient.  No pulmonary nodules or enlarged intrathoracic lymph nodes are seen.  An artifactual masslike structure seen at the cranial aspect of the heart on the initial right lateral view appears consistent with superimposition of muscular, skinfold, and a rib end.  The pleural and mediastinal structures are normal.  Cranial abdominal detail is adequate.</t>
  </si>
  <si>
    <t>Two views of the thorax are provided for review.  The trachea is dorsally deviated, indicating left ventricular enlargement.  A bulge is present in the region of the left atrium.  The cardiac silhouette is also widened with rounding of the right ventricular margin.  Increased bronchial markings are present in all lung lobes.  No perihilar pulmonary infiltrates are seen.  The pulmonary vasculature is normal in size.  The mediastinal and pleural structures are normal.  Cranial abdominal detail is adequate.</t>
  </si>
  <si>
    <t>Generalized cardiomegaly without current evidence of cardiogenic pulmonary edema.  Echocardiography may be helpful in further evaluation.  Moderate bronchial pulmonary pattern=ZZ90= consider bronchitis, response to inhaled irritants, response to circulating parasites, eosinophilic bronchopneumopathy.  Airway sampling may be helpful in further evaluation.</t>
  </si>
  <si>
    <t xml:space="preserve">
1.Are respiratory signs present? If NO._x000D_
2.Are respiratory signs present? If NO._x000D_
3.Pleural fissure lines or moderate to severe pleural effusion has been detected. An overlying skin fold or in an obese animal, excessive pericardial fat could artifactually mimic the result of severe pleural effusion._x000D_
4.Severe cardiomegaly has been detected but Heart Failure is NOT suspected._x000D_
5.SEVERE DYNAMIC AIRWAY DISEASE; MODERATE BRONCHOINTERSTITIAL PULMONARY PATTERN; MODERATE ALVEOLAR INFILTRATE or ATELECTASIS._x000D_
6.MODERATE INTERSTITIAL TO ALVEOLAR INFILTRATE; CONCURRENT MODERATE BRONCHIAL PATTERN; MILD PERIHILAR INFILTRATE._x000D_
7.Based on these AI airway/pulmonary findings, the probability of this patient having clinically detectable respiratory signs is HIGH (75%)_x000D_
8.Based on the AI airway/pulmonary findings, the probability of this patient having clinically detectable respiratorysigns is HIGH (75%)_x000D_
9.Are respiratory signs present? If YES._x000D_
10.Are respiratory signs present? If YES._x000D_
11.AI linked bacterial pneumonia treatment in dogs: https://platform.v2.vetology.net/doc/pneumonia-in-dogs-and-cats</t>
  </si>
  <si>
    <t>Opposite lateral and ventrodorsal thoracic radiographs (3 images) dated June 13, 2024._x000D_
_x000D_
_x000D_
The cardiac silhouette, pulmonary vasculature, and great vessels are within normal limits. The pulmonary parenchyma has mild bronchial and unstructured interstitial changes that are considered within normal limits for a geriatric patient. No pulmonary nodules, infiltrates, or other pathology is detected. The pleural space and diaphragm are normal. No mediastinal abnormalities are appreciated. The trachea is normal in diameter and course with gas filling its lumen. No intrathoracic lymphadenopathy is evident._x000D_
There is mild midthoracic spondylosis deformans. The liver, visible portions of the spleen, mildly gas-filled stomach, and cranial peritoneal detail are normal. Both elbows have periarticular bony remodeling along the medial condyles.</t>
  </si>
  <si>
    <t>1. Unremarkable geriatric thorax with no evidence of metastatic neoplasia._x000D_
2. Bilateral flexor enthesopathy of the elbows. This can result in clinical lameness=ZZ90= correlate with orthopedic exam findings.</t>
  </si>
  <si>
    <t>Await biopsy results._x000D_
General health profile (CBC, chemistry, UA, thyroid, fecal, blood pressure, 4Dx).</t>
  </si>
  <si>
    <t xml:space="preserve">
1.Are respiratory signs present? If YES._x000D_
2.Are respiratory signs present? If NO._x000D_
3.The evaluation has come up positive for a pulmonary nodular pattern._x000D_
4.MINIMAL to MILD DIFFUSE, MIXED BRONCHOINTERSTITIAL PULMONARY PATTERN with ATELECTASIS or less likely, pneumonia._x000D_
5.Probability these AI pulmonary findings will accompany clinically detectable respiratory signs: LOW (25%)_x000D_
6.The cardiac silhouette size is normal._x000D_
7.There is no evidence of DYNAMIC AIRWAY COLLAPSE or BRONCHIECTASIS.</t>
  </si>
  <si>
    <t>Opposite lateral and ventrodorsal whole body radiographs (3 images) dated June 13, 2024._x000D_
_x000D_
_x000D_
The cardiac silhouette,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evident._x000D_
_x000D_
The liver is moderately enlarged with a flattened visceral surface. The spleen is unremarkable. Both kidneys are normal in size and shape. The urinary bladder is small and fluid opaque. The stomach is moderately distended with gas and has prominent rugal folds. The small intestine is diffusely soft-tissue opaque (empty/collapsed or contains a scant volume of fluid) and has broad ropelike turns in its course to give it a subjectively turgid appearance. The colon contains a small amount of somewhat poorly formed stool mixed with gas. Retroperitoneal detail is normal. Peritoneal detail in the right cranial abdominal quadrant is reduced. No regional lymphadenopathy is evident._x000D_
_x000D_
Disc space collapse is affecting T12-T13 with spondylosis deformans. Both stifles have patellar luxation on the lateral views.</t>
  </si>
  <si>
    <t>1. Severe gastroenteritis. The reduced peritoneal detail in the right cranial abdominal quadrant likely represents acute pancreatitis._x000D_
2. Moderate hepatomegaly. Rule out a benign metabolic/vacuolar less likely inflammatory or infiltrative neoplastic conditions._x000D_
3. Chronic T12-T13 intervertebral disc disease._x000D_
4. Bilateral patellar luxation.</t>
  </si>
  <si>
    <t>Hospitalized or outpatient supportive care for gastroenteritis and pancreatitis._x000D_
Abdominal ultrasound could be considered to further assess the liver._x000D_
Assess for back pain, neurologic deficits, and palpate for patellar instability.</t>
  </si>
  <si>
    <t xml:space="preserve">
1.The evaluation has come up positive for a pulmonary nodular pattern._x000D_
2.Minimal dynamic airway disease has been detected._x000D_
3.Pleural fissure lines or small volume pleural effusion has been detected. In a mildly overweight animal, excessive pericardial fat can artifactually mimic the result of minimal pleural effusion._x000D_
4.The cardiac silhouette size is normal._x000D_
5.There is no evidence of BRONCHITIS, ALVEOLAR PATTERN or PERIHILAR INFILTRATE.</t>
  </si>
  <si>
    <t xml:space="preserve">Patient Name: BROWNIE GOTT, Date of study: Jun 13, 2024
7 images are provided for review
There are no previous radiographs for comparison.
The cranial portion of the abdomen is included on the thoracic VD projection. 
Thorax:
Airway/pulmonary parenchyma: Normal. No aspiration pneumonia is noted. 
Cardiovascular: Normal. CVC size is normal. 
Mediastinum: Fluid is present in the caudal thoracic esophagus. 
Pleural space: Normal
Abdomen:
Liver: Normal
Spleen: Normal
Kidneys and urinary bladder: The left kidney is normal. The right kidney is obscured. The urinary bladder is small. 
GI: A round soft tissue opacity is present within the gastric lumen on all projections. The gastric rugae are prominent. On the left lateral projection, the pylorus is gas filled. The descending duodenum is also gas filled but no dilation is noted. The remainder of the small bowel is relatively empty. The distal colonic contents are normal. 
Abdominal detail: Abdominal detail is decreased.
Msk: Normal </t>
  </si>
  <si>
    <t xml:space="preserve">1) Round soft tissue opacity within the gastric lumen. Gastric material in a vomiting animal is an abnormal finding. DDx: foreign material suspected over non-digestible food material. Evidence of gastritis. Caudal esophageal fluid may represent a component of gastroesophageal reflux secondary to gastric foreign material.
2) No small intestinal obstruction noted.
3) Decreased abdominal detail. DDx: non-septic vs. less suspected, septic peritonitis. 
4) Small urinary bladder. Recent micturition suspected.
5) No evidence of aspiration pneumonia. </t>
  </si>
  <si>
    <t>Abdominal ultrasound to assess the intestinal tract for any foreign material or obstruction that would warrant laparotomy over gastroscopy for foreign body removal. Ultrasound confirmation of the gastric foreign body prior to gastroscopy. If ultrasound cannot confirm the foreign body, consider proceeding directly to gastroscopy vs. iodinated contrast gastrogram or abdominal CT for confirmation prior to gastroscopy. Also, abdominocentesis if a fluid pocket can be safely sampled.</t>
  </si>
  <si>
    <t>9 images of the left humerus and spine are provided for review.  No fractures, luxations, or aggressive osseous lesions are seen.  The joint surfaces are smooth and regular.  No mineralized intervertebral discs or consistently narrowed intervertebral disc spaces are seen.  The soft tissue structures included are normal.</t>
  </si>
  <si>
    <t>Radiographically normal left humerus and spine.  This does not rule out intervertebral disc herniation or other causes of spinal cord compression.</t>
  </si>
  <si>
    <t>THORAX (3 total radiographs for review). Multiple additional examinations are available for comparison._x000D_
_x000D_
- Mild left-sided mediastinal shift, likely due to image obliquity._x000D_
- Mild, diffuse bronchial pulmonary pattern._x000D_
- Few small mineralized foci present throughout the lungs._x000D_
- The cardiac silhouette and pulmonary vasculature are normal._x000D_
- The trachea, esophagus and remainder of the mediastinum is/are normal._x000D_
- The pleural space and remaining intrathoracic structures are normal._x000D_
- As noted prior, there are multiple small metallic clips superimposed over the region of the prior liver lobectomy._x000D_
- Along the left lateral thoracic body wall,, there is a rounded soft-tissue opaque mass measuring 6.5 x 3.5 cm.</t>
  </si>
  <si>
    <t>1. Negative examination for radiographic evidence of thoracic metastatic neoplasia or clear contraindication to general anesthesia._x000D_
_x000D_
2. Mild diffuse bronchial pattern with few incidental pulmonary osteomas. Most likely representing age-related lower airway changes, however a component of chronic bronchitis is possible, especially if there is a history of abnormal respiratory sounds, wheezing and/or coughing._x000D_
_x000D_
3. Prior liver lobectomy (limited assessment)_x000D_
_x000D_
4. Newly-identified left lateral thoracic body wall mass. This mass is somewhat concerning as it is large and soft-tissue opaque. It may be a neoplasm (e.g. soft-tissue sarcoma), or could be a large granuloma, cyst, hematoma or abscess. I would recommend considering focal sonographic assessment of the lesion and tissue sampling if not already performed.</t>
  </si>
  <si>
    <t>Five radiographs of the thorax and abdomen, and a lateral view of the neck are provided. The C4-5, C5-6, C6-7 intervertebral disc spaces are narrowed. There is ventral spondylosis deformans at C5-6 and C6-7. Vertebral alignment remains normal. No laryngeal or tracheal abnormalities. Equivocal prominence of the left atrium. Cardiac to thoracic ratio and pulmonary vessel size is normal. The lungs are clear. There is no pleural effusion. In the abdomen the liver, spleen are normal size. The kidneys are incompletely visible. The gastrointestinal tract is mildly filled. The urinary bladder is markedly distended and contains several punctate mineral opaque calculi. The prostate is severely enlarged, consistent with the reproductive status of this patient. The coxofemoral joints are normal. No lumbar spinal abnormalities are appreciated.</t>
  </si>
  <si>
    <t>1. The appearance of the caudal cervical spine is most consistent with intervertebral disc disease. Such a lesion at this or another site is the most likely cause for discomfort._x000D_
2. Equivocal prominent left atrium suggestive of acquired mitral valve disease. This is of doubtful clinical significance today. No other thoracic abnormalities._x000D_
3. Normal abdomen.
(amended on 06/13/2024 11:39)
3. Correction- There are several punctate cystic calculi. These are of a size that should be able to pass the urethra.</t>
  </si>
  <si>
    <t>Consultation with a neurologist and advanced spinal imaging with CT/MRI is recommended.</t>
  </si>
  <si>
    <t xml:space="preserve">
1.Severe dynamic airway disease has been detected._x000D_
2.Severe cardiomegaly has been detected but Heart Failure is NOT suspected._x000D_
3.There is no evidence of BRONCHITIS, ALVEOLAR PATTERN, PERIHILAR INFILTRATE, PULMONARY NODULES or PLEURAL EFFUSION.</t>
  </si>
  <si>
    <t>3 views of the thorax are provided for review.  The trachea is dorsally deviated, indicating left ventricular enlargement.  A bulge is present in the region of the left atrium.  No pulmonary infiltrates are seen.  The pulmonary vasculature is normal in size.  The mediastinal and pleural structures are normal.  The trachea is narrowed in the cervical region on the right lateral view.  Cranial abdominal detail is adequate.</t>
  </si>
  <si>
    <t>Left-sided cardiomegaly without current evidence of cardiogenic pulmonary edema.  Echocardiography may be helpful in further evaluation.  Variable tracheal narrowing consistent with tracheal collapse.  Fluoroscopy or bronchoscopy could be considered.</t>
  </si>
  <si>
    <t xml:space="preserve">
1.In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2.In the PRESENCE of respiratory signs, low grade active pneumonitis (allergic, bacterial, parasitic (including heartworm disease), inhaled allergen or toxin) or upper airway disease causing pulmonary hypoinflation and/or recurrent microaspiration may be more likely._x000D_
3.Are respiratory signs present? If NO._x000D_
4.MODERATE DYNAMIC AIRWAY DISEASE; MILD BRONCHOINTERSTITIAL PULMONARY PATTERN +/- PULMONARY HYPOINFLATION._x000D_
5.MILD BRONCHOINTERSTITIAL PULMONARY PATTERN; MINIMAL to MILD PERIHILAR PATTERN._x000D_
6.Based on these AI airway/pulmonary findings, the probability of this patient having clinically detectable respiratory signs is MEDIUM (50%)_x000D_
7.Based on the AI airway/pulmonary findings, the probability of this patient having clinically detectable respiratory signs is LOW (25%)_x000D_
8.Are respiratory signs present? If YES._x000D_
9.AI linked dynamic airway treatment: https://platform.v2.vetology.net/doc/canine-tracheal-collapse-treatment_x000D_
10.Severe cardiomegaly has been detected but Heart Failure is NOT suspected.</t>
  </si>
  <si>
    <t>7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A rounded masslike area is seen at the body of the spleen.  The stomach contains a moderate amount of ingesta.  The small intestines are normal in size.  Gas and feces are present in the colon.  The urinary bladder is small.  The remaining abdominal organs are normal.</t>
  </si>
  <si>
    <t>Moderate bronchial pulmonary pattern=ZZ90= consider bronchitis, response to inhaled irritants, response to circulating parasites, eosinophilic bronchopneumopathy.  Airway sampling may be helpful in further evaluation if clinically indicated.  Left-sided cardiomegaly without current evidence of cardiogenic pulmonary edema.  Echocardiography may be helpful in further staging.</t>
  </si>
  <si>
    <t xml:space="preserve">
1.MILD to MODERATE BRONCHOINTERSTITIAL PATTERN; MILD DYNAMIC AIRWAY DISEASE._x000D_
2.Based on these AI airway/pulmonary findings, the probability of this patient having clinically detectable respiratory signs is MEDIUM (50%)_x000D_
3.Are respiratory signs present? If YES._x000D_
4.Are respiratory signs present? If NO._x000D_
5.Moderate cardiomegaly has been detected but Heart Failure is NOT suspected._x000D_
6.There is no evidence of PULMONARY NODULES.</t>
  </si>
  <si>
    <t>6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The liver margin is rounded and extends beyond the costal arch.  The stomach contains a moderate amount of ingesta.  The small intestines are normal in size.  Gas and feces are present in the colon.  The urinary bladder is small.  The kidneys are small.  The remaining abdominal organs are normal.  Multiple fat and soft tissue opacity subcutaneous masses are present.  There is spondylosis deformans of the lumbar spine.</t>
  </si>
  <si>
    <t>Mild hepatomegaly=ZZ90= this is a nonspecific finding that may be seen with congestion, vacuolar hepatopathy, inflammation, neoplasia, etc.  Abdominal ultrasound may be helpful in further evaluation if biochemically indicated.  Small kidneys suggestive of chronic renal disease.  Correlation with serum biochemistry, SDMA, and urinalysis may be helpful.  Radiographically normal thorax for patient of this age.</t>
  </si>
  <si>
    <t>4 images of the thorax and abdomen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Abdominal serosal detail is adequate in all quadrants.  Linear branching mineral is seen within the liver.  The stomach contains a moderate amount of ingesta.  The small intestines are normal in size.  Gas and feces are present in the colon.  The urinary bladder is small.  The kidneys are small with mineral in the right renal diverticula.  The remaining abdominal organs are normal.</t>
  </si>
  <si>
    <t>Chronic renal changes.  Correlation with serum biochemistry, SDMA, and urinalysis may be helpful.  Mineralization within the liver is likely incidental biliary tree mineralization.  Abdominal ultrasound could be considered if biochemically indicated.  Radiographically normal thorax for patient of this age.</t>
  </si>
  <si>
    <t>Spine: There is narrowing of intervertebral disc spaces T13-L1, L1-2, and L2-3.  Spondylosis deformans is noted at L2-3.  The remainder of the visible portions of the cervical, thoracic, and lumbar vertebral columns are unremarkable._x000D_
_x000D_
Thorax: The pulmonary parenchyma, cardiac silhouette, and pulmonary vasculature are unremarkable.  There is no evidence of pleural effusion or lymphadenopathy._x000D_
_x000D_
Abdomen: There are no abnormalities identified.</t>
  </si>
  <si>
    <t>Intervertebral disc disease at T13-L1, L1-2, and L2-3.</t>
  </si>
  <si>
    <t>A three view study of the thorax including the neck is provided for interpretation._x000D_
_x000D_
Disc spaces in the cervical spine appear slightly narrowed. However, there is marked positional obliquity in both lateral views that likely contributes to this appearance. This spaces in the mid cervical spine also appear narrowed in the VD view. This view is also subject to positional artifact. No fractures or spinal subluxation are seen. No destructive or productive bone lesions are identified. No abnormalities are identified involving the soft tissues of the neck._x000D_
_x000D_
The cardiovascular structures are within normal limits. No pulmonary infiltrates or pleural effusion are seen. The cranial abdomen is unremarkable.</t>
  </si>
  <si>
    <t>No thoracic abnormalities are identified. The appearance of the heart is normal._x000D_
_x000D_
There may be disc space narrowing in the cervical spine, but the radiographic appearance is not definitive. No other anatomic abnormalities are seen to account for the suspected pain.</t>
  </si>
  <si>
    <t>Symptomatic therapy is recommended._x000D_
_x000D_
If suspicion of cervical pain worsens or does not improve, or if neurologic signs appear follow up imaging is recommended._x000D_
Straight lateral views directed at the neck, with sedation/anesthesia and appropriate positioning aids could be helpful._x000D_
More advanced imaging such as MRI would be ideal if supported by severity of clinical signs.</t>
  </si>
  <si>
    <t>Study:_x000D_
Thoracic/abdominal radiography: three images dated June 12, 2024_x000D_
_x000D_
Findings:_x000D_
The cardiac silhouette and pulmonary vasculature are normal in size. The pulmonary parenchyma is unremarkable. The pleural space is normal. There is no intrathoracic lymphadenopathy. The trachea is normal in diameter and course. The stomach and some small intestinal segments contain unstructured heterogeneous/granular soft tissue material presumed to be ingesta. The small intestines are normal in size and course. The colon contains formed fecal material with a normal diameter. The liver and spleen are normal in size and margin. The renal silhouettes are normal in size and contour. The urinary bladder is normal in size and opacity. There is no prostatomegaly. There is no apparent intervertebral disc space or foraminal narrowing. There is severe left hip dysplasia and remodeling/thickening of the femoral head and neck.</t>
  </si>
  <si>
    <t>1. The spine is unremarkable. The lack of any apparent intervertebral disc space narrowing does not exclude the possibility of intervertebral disc disease. Neurology consultation and MRI can be considered for further evaluation if the spinal pain persists or worsens in spite of strict activity restriction and pain management._x000D_
2. Postprandial gastrointestinal tract=ZZ90= otherwise, unremarkable abdomen. Abdominal sonography and cPLI testing can be considered to further rule out sources of intra-abdominal pain._x000D_
3. Severe left hip dysplasia and coxofemoral osteoarthrosis._x000D_
4. Normal thorax.</t>
  </si>
  <si>
    <t xml:space="preserve">Patient Name : Tezzy Duggan, Date of study: Jun 12, 2024
3 images are provided for review
There are no previous radiographs for comparison.
Pulmonary parenchyma: Best identified in the left lateral image, over the accessory and right caudal lungs at the level of the 5tyh intercostal space, is a well-defined, ovoid soft tissue nodule.  This nodule has eccentric, ovoid gas foci at its cranial aspect.  This is suspected to superimposed over the accessory lung lobe and T10 in the ventrodorsal image.  In the ventral periphery of the right cranial lung lobe is a moderate interstitial to alveolar soft tissue pattern.  The lungs are well inflated.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Trachea: The trachea is normal.
Esophagus: The esophagus is not well-identified.
Pleural space: The pleural space is normal.
Musculoskeletal: A metal staple superimposes over the abdomen in the ventrodorsal image.  The remaining included musculoskeletal structures are normal.
</t>
  </si>
  <si>
    <t xml:space="preserve">1. Suspected accessory lung lobe pulmonary nodule and eccentric internal gas.
 - This is most likely due to a neoplasia (primary pulmonary carcinoma versus other such as histiocytic sarcoma or other), versus hematocele such as from prior trauma or least likely occult parasitism (heartworm) or other, or least likely abscess or fungal granuloma.
2. Moderate right cranial lung lobe interstitial to alveolar pattern such as from  evolving bronchopneumonia/aspiration pneumonia, hemorrhage such as from occult coagulopathy, atypical neoplasia such as from lymphomatoid granulomatosis, pulmonary eosinophilia, or unlikely other.
3. Minimal diffuse bronchial pattern due to age-related changes and/or fibrosis from prior disease, or unlikely other.
4. No evidence of sternal lymphadenomegaly in this examination.  </t>
  </si>
  <si>
    <t xml:space="preserve">Computed tomography of the thorax may be beneficial for further evaluation of the suspected accessory lung lobe mass/nodule and for further evaluation of the right cranial lung lobe. Oncologist consultation may be contributory depending on results. Therapy for bronchopneumonia in the interim and empirical therapy/supportive care as needed.  CBC, coagulation testing and serum biochemistry as well as abdominal imaging to screen for occult systemic disease.  Fungal serology may be contributory given reported exposure history, especially if signs fail to improve, change or worsen in the face of therapy for bronchopneumonia.  Monitoring with serial radiographs and consider therapy for 1-2 weeks post radiographic resolution of bronchopneumonia.    </t>
  </si>
  <si>
    <t>Six orthogonal survey radiographs of the thorax and abdomen dated 12th June 2024 are available for review. There are no previous radiographs available for comparison. These images are submitted for assessment of the thorax._x000D_
_x000D_
Thorax: _x000D_
Airway findings: The cervical and thoracic trachea have a normal size, outline and position. The carina, tracheal bifurcation and mainstem bronchi are normal. Cranial pulmonary vessels are superimposed on the caudal trachea and some of the lateral images._x000D_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Abdomen: The stomach contains heterogenous soft tissue opaque material. Little bony material is visible. There is no evidence for intestinal obstruction._x000D_
_x000D_
Musculoskeletal findings: No significant abnormalities are detected.</t>
  </si>
  <si>
    <t>1. No evidence of aspiration, or tracheal or pulmonary foreign body. The bloody foamy material may arise from the oesophagus/upper airway.</t>
  </si>
  <si>
    <t>Continued clinical monitoring is advised, and repeat radiographs as indicated to exclude the onset of aspiration pneumonia.</t>
  </si>
  <si>
    <t>WHOLE-BODY (6 total radiographs for review). Compared to previous examination 05/05/23._x000D_
_x000D_
- The cardiac silhouette and pulmonary vasculature are normal._x000D_
- The pulmonary parenchyma is normal_x000D_
- The trachea, esophagus and remainder of the mediastinum is/are normal._x000D_
- The pleural space and remaining intrathoracic structures are normal._x000D_
- Peritoneal serosal detail is adequate_x000D_
- The stomach contains mild gas and gas-stippled soft-tissue opaque material_x000D_
- The small intestine contains mild multifocal gas and soft-tissue opaque material_x000D_
- The colon contains gas, soft-tissue/fluid and moderate formed fecal material._x000D_
- The liver, spleen, kidneys and urinary bladder are normal._x000D_
- No musculoskeletal abnormalities are noted.</t>
  </si>
  <si>
    <t>1. Normal thorax. Negative examination for evidence of thoracic metastatic neoplasia or contraindication to general anesthesia._x000D_
_x000D_
2. Relatively unremarkable abdomen. No distinct radiopaque urolithiasis. The ill-defined mineral opacities superimposed over the kidneys on the right lateral projection are most likely fortuitous superimposition from the distal tips of the 13th ribs.</t>
  </si>
  <si>
    <t>Four orthogonal survey radiographs of the thorax and abdomen dated 12th June 2024 are available for review. These are compared with previous radiographs dated 9th January 2024. These images are submitted for assessment of the abdomen._x000D_
_x000D_
Abdomen: The stomach contains gas, and has subjectively prominent rugal folds. The small intestines contain a mix of granular soft tissue opaque material and gas, and fluid. The diameter is within upper normal limits. The transverse and descending colon contain poorly formed faeces and gas and have a subjectively thickened wall. The urinary bladder is small. The hepatic silhouette is normal in size with smooth borders. The spleen is normal in shape, size and position. The kidneys are partially obscured by gastrointestinal contents, but the visible aspect are normal. The serosal detail is normal. In the retroperitoneal space there is a tubular mineral opacity, consistent with aortic mineralisation. This was also visible on previous radiographs._x000D_
_x000D_
Musculoskeletal findings: There are multiple in situ mineralised intervertebral discs.</t>
  </si>
  <si>
    <t>1. The overall impression is one of gastroenteritis/colitis.  This may be due to dietary indiscretion, or infectious-inflammatory causes. There is no evidence of a mineral opaque foreign body, or complete mechanical obstruction. Hemorrhagic gastroenteritis is possible._x000D_
2. Aortic mineralisation, which is generally an incidental finding.</t>
  </si>
  <si>
    <t>Supportive management including rehydration, gastroprotectants,  full blood work, faecal analysis if clinically indicated is advised, if not already performed. Consider an abdominal ultrasound. _x000D_
Consider complete bloodwork to evaluate for underlying causes of hypercalcaemia, or dystrophic mineralisation.</t>
  </si>
  <si>
    <t>Opposite lateral and VD views of the thorax are provided for interpretation. There are six images total._x000D_
_x000D_
The heart is within normal size and shape limits. Pulmonary vessels are normal. No pulmonary infiltrates or bronchial thickening are identified. The trachea is unremarkable. In the right lateral views there is a linear opacity superimposed over the liver just caudal to the vena cava. No corresponding shadow is seen in the other views. Is likely represents an incidental finding or artifact. Mineralization within the bile duct or biliary tree cannot be excluded.</t>
  </si>
  <si>
    <t>No findings concerning for active pneumonia are identified._x000D_
_x000D_
No cardiovascular abnormalities are seen.</t>
  </si>
  <si>
    <t>The reported pneumonia appears to have resolved. No further diagnostics or treatments are indicated based on the radiographs.</t>
  </si>
  <si>
    <t>Three radiographs of the thorax, and three views of the abdomen are provided. The cardiac silhouette and pulmonary vessels are normal size. A moderate bronchial pattern is present throughout the lungs. Small round soft tissue density overlying the caudal dorsal heart on the right lateral view is end-on pulmonary vessel. No soft tissue pulmonary nodules. Fat deposition separates the heart and lungs from the sternum on the lateral views, with fat deposition in the cranial mediastinum on the VD projection. Normal tracheal diameter._x000D_
_x000D_
In the abdomen there is a smoothly irregular 7.1 cm soft tissue opaque mass extending ventral to the splenic tail. Normal-sized kidneys and liver. The gastrointestinal tract is mildly filled. No effusion. Several punctate mineral opaque calculi in the urinary bladder.</t>
  </si>
  <si>
    <t>1. Splenic tail mass, concerning for neoplasia such as hemangiosarcoma. Hematoma or hemangioma or next on the differential list._x000D_
2. Punctate cystic calculi, of a size that should be able to pass successfully._x000D_
3. Bronchial pattern is most likely normal age-related change. Allergic bronchitis could also cause this appearance but is felt to be very unlikely in the absence of associated respiratory signs. Otherwise normal thorax.</t>
  </si>
  <si>
    <t>Recommend abdominal ultrasound to rule out additional intra-abdominal lesions which may preclude surgical intervention.</t>
  </si>
  <si>
    <t xml:space="preserve">
1.The evaluation has detected soft tissue pulmonary nodules and pleural fluid._x000D_
2.Minimal cardiomegaly has been detected but Heart Failure is NOT suspected._x000D_
3.PULMONARY NODULES or NODULAR PATTERN; PLEURAL EFFUSION or PLEURAL FISSURE LINES; SEVERE INTERSTITIAL TO ALVEOLAR PATTERN; MODERATE BRONCHIAL PATTERN; DYNAMIC AIRWAY DISEASE._x000D_
4.Based on the AI airway/pulmonary findings, the probability of this patient having clinically detectable respiratory signs is VERY HIGH (&gt;75%)_x000D_
5.If this AI evaluation is inconsistent with your assessment or the clinical picture, a Vetology AI overread may be beneficial._x000D_
6.In older dogs, a pulmonary mass or pulmonary nodules, pulmonary hemorrhage, pleural effusion or PTE are primary considerations._x000D_
7.In the ABSENCE of respiratory signs, lung lobe collapse or severe atelectasis secondary to anesthesia or deep sedation could artifactually create this appearance.</t>
  </si>
  <si>
    <t>Four orthogonal thoracic radiographs dated 12th June 2024 are available for review. There are no previous radiographs available for comparison. _x000D_
_x000D_
Airway findings: A smoothly marginated soft tissue opacity is variably present overlying the dorsal aspect of the trachea at the thoracic inlet. This opacity reduces approximately  70% of the dorsoventral diameter of the trachea at inspiration. The intrathoracic trachea is normal. Throughout the pulmonary parenchyma there is a minimal bronchointerstitial opacification._x000D_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The patient is overweight._x000D_
_x000D_
Included abdomen: There is minimal hepatomegaly.</t>
  </si>
  <si>
    <t>The dorsal attenuation of the trachea is consistent with tracheomalacia, and/or redundant trachealis membrane. The extent of attenuation would be expected to cause coughing._x000D_
The minimal bronchointerstitial opacification is likely combination of body habitus and normal ageing, however considering history, allergic bronchitis, chronic bacterial /viral bronchitis +/- parasitic bronchitis should also be considered. Less likely are hyperardenocorticism, neoplasia (such a lymphoma) or idiopathic pulmonary fibrosis.</t>
  </si>
  <si>
    <t>Consider further evaluation for airway collapse (fluoroscopy vs. CT with virtual bronchoscopy). Alternatively consider medical management of tracheomalacia. Consider surgical consultation depending on clinical progression. _x000D_
Respiratory workup including CBC, serum chemistry, urinalysis, Baermann faecal testing, 4DX, +/- respiratory panel as indicated may be considered.  Alternatively, diagnostic /empirical therapy for lower airway disease, empirical deworming, and removal of allergens and environmental irritants (i.e. smoke, dust, perfumes, etc.) can be considered.</t>
  </si>
  <si>
    <t xml:space="preserve">
1.Based on the AI airway/pulmonary findings, the probability of this patient having clinically detectable respiratory signs is LOW to MEDIUM (25%-50%)_x000D_
2.Are respiratory signs present? If YES._x000D_
3.Are respiratory signs present? If YES._x000D_
4.Are respiratory signs present? If YES._x000D_
5.Are respiratory signs present? If NO._x000D_
6.Are respiratory signs present? If NO._x000D_
7.MINIMAL to MILD INTERSTITIAL TO ALVEOLAR INFILTRATE; MILD BRONCHIAL PATTERN; MINIMAL PERIHILAR INFILTRATE._x000D_
8.MILD BRONCHOINTERSTITIAL PULMONARY PATTERN; MILD DYNAMIC AIRWAY DISEASE; ATELECTASIS or less likely, pneumonia._x000D_
9.MILD BRONCHOINTERSTITIAL PULMONARY PATTERN; MILD DYNAMIC AIRWAY DISEASE; MINIMAL PERIHILAR INFILTRATE._x000D_
10.Based on these AI airway/pulmonary findings, the probability of this patient having clinically detectable respiratory signs is MEDIUM (50%)_x000D_
11.Are respiratory signs present? If NO_x000D_
12.The cardiac silhouette size is normal._x000D_
13.There is no evidence of PLEURAL EFFUSION.</t>
  </si>
  <si>
    <t>THORAX and ABDOMEN (3 radiographs for review). Compared to 07/28/23._x000D_
_x000D_
- There is mild left-sided cardiomegaly, which is characterized by straightening of the caudal cardiac margin and dorsal displacement of the caudal aspect of the thoracic trachea. The pulmonary vasculature is normal._x000D_
- The cardiac silhouette and pulmonary vasculature are normal._x000D_
- The pulmonary parenchyma is normal_x000D_
- The trachea, esophagus and remainder of the mediastinum is/are normal._x000D_
- The pleural space and remaining intrathoracic structures are normal._x000D_
- Peritoneal serosal detail is adequate_x000D_
- The stomach contains mild gas and gas-stippled soft-tissue opaque material_x000D_
- The small intestine contains mild multifocal gas and soft-tissue opaque material_x000D_
- The colon contains gas, soft-tissue/fluid and mild formed fecal material._x000D_
- The liver, spleen, kidneys and urinary bladder are normal._x000D_
- L5-6 mineralized material dorsal to the disc space, superimposed over the vertebral canal.</t>
  </si>
  <si>
    <t>1. Mild left-sided cardiomegaly, without pulmonary vasculature congestion or congestive heart failure. Most likely compatible with degeneration of the mitral valve. Consider careful cardiac auscultation and echocardiography/ECG for further assessment._x000D_
_x000D_
2. Prior/chronic L5-6 extruded intervertebral disc.</t>
  </si>
  <si>
    <t xml:space="preserve">
1.MINIMAL TO MILD BRONCHOINTERSTITIAL PULMONRAY PATTERN; MILD PERIHILAR PATTERN._x000D_
2.Based on the AI airway/pulmonary findings, the probability of this patient having clinically detectable respiratory signs is LOW (25%)_x000D_
3.Are respiratory signs present? If YES._x000D_
4.Are respiratory signs present? If NO._x000D_
5.The cardiac silhouette size is normal._x000D_
6.There is no evidence of DYNAMIC AIRWAY COLLAPSE or BRONCHIECTASIS or PULMONARY NODULES.</t>
  </si>
  <si>
    <t>Patient Name: Benny Bloch, Date of study: Jun 12, 2024
Thorax and abdomen: 10 images are provided for review (6 lateral, 4 VD). 
There are no previous radiographs for comparison.
Findings:
Pulmonary parenchyma: There is a large spherical soft tissue opaque mass in the caudal thorax. The mass is approximately 6.5 cm in length/diameter and is thought to be in the right caudal lung lobe. The remainder of the pulmonary parenchyma is within normal limits.
Musculoskeletal: The mid aspect of the right 11th rib is widened with smoothly marginated periosteal reaction. There is mild periosteal reaction on the right 10th rib. The proximal aspect of the right 11th rib is indistinct on several views. There is mild spondylosis deformans of the cranial thoracic spine.
Cardiac silhouette: The cardiac silhouette is normal in size and shape.
Pulmonary vessels: The pulmonary arteries and veins are normal.
Pleural space: The pleural space is within normal limits.
Mediastinum: The mediastinum is normal in width and opacity. There is no evidence of intrathoracic lymphadenopathy.
Trachea: The trachea is normal in diameter and course.
Esophagus: The region of the esophagus is within normal limits.
Gastrointestinal tract: The stomach is normal in size and position. The small intestines are diffusely within normal limits of diameter.
Liver: The liver is normal in size and margination.
Spleen: The spleen is within normal limits and is smoothly marginated.
Urinary: The kidneys are normal in size, shape, and margination. The urinary bladder is small in size and normal in opacity.
Peritoneal space: There is adequate serosal detail.</t>
  </si>
  <si>
    <t>1. Large soft tissue opaque mass in the right caudal thorax. A right caudal lung lobe mass is prioritized, however a primary rib lesion or pleural mass cannot be excluded. This is likely contributing to the reported new cough. 
2. Right 10th and 11th rib periostitis vs. metastasis with suspected lysis of the 11th rib.</t>
  </si>
  <si>
    <t xml:space="preserve">Computed tomography (vs. ultrasound) for further evaluation and tissue sampling via fine needle aspirate/biopsy for definitive diagnosis and to guide treatment. 
</t>
  </si>
  <si>
    <t>THORAX (3 total radiographs for review). Compare to 09/02/23._x000D_
_x000D_
- An endotracheal tube is present in situ._x000D_
- Unstructured interstitial pattern in the left cranial lung lobe._x000D_
- The cardiac silhouette and pulmonary vasculature are normal._x000D_
- Soft-tissue opaque band dorsally overlying the trachea at the thoracic inlet._x000D_
- The pleural space and remaining intrathoracic structures are normal._x000D_
- Mild hepatomegaly, with rounded margins.</t>
  </si>
  <si>
    <t>1. Negative examination for evidence of thoracic metastatic neoplasia._x000D_
_x000D_
2. Left cranial lung lobe unstructured interstitial pattern. May be atelectasis secondary to anesthesia/recumbency, however could also represent pneumonia._x000D_
_x000D_
3. Mild generalized hepatomegaly. Most likely representing vacuolar (metabolic) hepatopathy. Hepatic congestion, hepatitis or neoplasia are possible, but less likely._x000D_
_x000D_
4. Likely incidental overlying tracheal band. Tracheal collapse is less likely.</t>
  </si>
  <si>
    <t>Patient name: Augusta Davis
THORAX (3 views, 4 images; [3 lateral, 1 VD])
Images are dated June 12, 2024.
There are no previous radiographs for comparison. 
Airway/Pulmonary: The lungs are adequately inflated.  Pulmonary parenchymal opacity is diffusely normal.  No distinct soft tissue pulmonary nodules are detected. Tracheal and mainstem bronchial diameter is normal. 
Cardiovascular: The cardiac silhouette is normal in size and shape.  Pulmonary vessels are normal in width. 
Mediastinum: No lymph node enlargement is detected.  The caudal vena cava is normal in height.  
Pleural space: No pleural effusion is seen. 
Cranial abdomen:  The stomach contains a small volume of gas and fluid plus dependent mineral contents.  Visible portions of the liver, spleen, kidneys, small intestine, and colon are within normal limits. 
Musculoskeletal: Nodular mineralization of the costochondral cartilage is present.  Mild smooth new bone formation is detected along the ventral aspect of vertebral bodies T9-T10 and T12-L2, variably bridging the intervertebral disc spaces.</t>
  </si>
  <si>
    <t>1) Normal geriatric thorax without evidence of intra-thoracic neoplasia. _x000D_
2) Incidental non-obstructive gastric mineral contents.  _x000D_
3) Multifocal thoracolumbar spondylosis deformans.</t>
  </si>
  <si>
    <t>Consider routine geriatric blood work screening +/- abdominal imaging as further staging workup.</t>
  </si>
  <si>
    <t>3 views of the thorax are presented for review.  The cardiovascular structures are normal.  There is a diffuse interstitial pulmonary pattern that is considered appropriate for the age of the patient.  No pulmonary nodules or enlarged intrathoracic lymph nodes are seen.  The pleural and mediastinal structures are normal.  Cranial abdominal detail is adequate.  There is narrowing of the intervertebral disc spaces and spondylosis deformans at T11-L4.  A mineralized mass is seen in the subcutaneous tissues along the left ventral thorax.</t>
  </si>
  <si>
    <t>Radiographically normal thorax for patient of this age.  Thoracolumbar changes consistent with chronic intervertebral disc herniations.</t>
  </si>
  <si>
    <t>Three orthogonal radiographs of the abdomen dated 12th June 2024 are available for review. There are no previous radiographs available for comparison. _x000D_
_x000D_
Intra-abdominal findings: The hepatic silhouette is mildly enlarged with smooth borders. The stomach is mildly dilated with a mixture of foamy soft tissue opaque material and gas. The gastric axis is normal. There is some gas in the pylorus on the left lateral image. A spherical conglomerate of soft tissue opaque material is visible in the pylorus on the ventrodorsal image. The pylorus is distended in the right lateral image. The  small intestines are caudally displaced, homogenous in size, containing gas and fluid/soft tissue opaque material. The descending colon is empty. The urinary bladder is small. The spleen and kidneys are normal. The serosal detail is normal._x000D_
_x000D_
Extra-abdominal findings: No significant abnormalities are detected._x000D_
_x000D_
Included thorax: No significant abnormalities are detected.</t>
  </si>
  <si>
    <t>1. The food material in the pylorus may be transient normal ingesta, however a partial pyloric outflow obstruction by non-radiopaque foreign material must be considered. The relative distension of the stomach may indicate chronic outflow obstruction, depending on time since last feeding._x000D_
2. Hepatomegaly: This is a radiographic nonspecific finding, and has metabolic (fat deposition, diabetes mellitus), infectious-inflammatory (hepatitis-viral-parasitic), infiltrative origins (nodular hyperplasia-round cell infiltration/lymphoma-adenoma-adenocarcinoma) or less likely hemodynamic (right heart failure) origins.</t>
  </si>
  <si>
    <t>Supportive management including rehydration, gastroprotectants,  full blood work, faecal analysis if clinically indicated is advised, if not already performed. Repeat 3-view post fasting radiographs depending on clinical progression or consider an abdominal ultrasound or an upper GI contrast study.</t>
  </si>
  <si>
    <t xml:space="preserve">
1.The evaluation has a strong suspicion of pulmonary nodules or mass lesion being present._x000D_
2.The cardiac silhouette size is normal._x000D_
3.There is no evidence of ALVEOLAR PATTERN, PERIHILAR INFILTRATE or DYNAMIC AIRWAY COLLAPSE or BRONCHIECTASIS._x000D_
4.Pleural fissure lines or small volume pleural effusion has been detected. In a mildly to moderately overweight animal, excessive pericardial fat can artifactually mimic the result of mild pleural effusion._x000D_
5.A minimal bronchial pattern has been detected.</t>
  </si>
  <si>
    <t xml:space="preserve">Patient Name : Parche Uribe, Date of study: Jun 12, 2024
3 images are provided for review
Canine Thorax (3 Images) - 2 Lateral, 1 Vd
There are no previous radiographs for comparison.
Pulmonary parenchyma: A mild diffuse bronchial pattern is present.
Pulmonary vasculature: The pulmonary vasculature is subjectively normal in size and tapers in the periphery of the lungs.
Cardiac silhouette: The cardiac silhouette has a flattened caudodorsal margin in the lateral images.  Mild rounded increased soft tissue is suspected in the region of the left atrium in the ventrodorsal image.
Mediastinum: The cranial mediastinum is normal.
Trachea: A soft tissue band partially superimposes over the dorsal aspect of the cervical trachea.  The trachea is otherwise normal.
Esophagus: The esophagus is not well-identified.
Pleural space: The pleural space is normal.
Musculoskeletal: The included musculoskeletal structures are normal.
</t>
  </si>
  <si>
    <t>1. Mild left atrial enlargement.
- The primary differential diagnosis is chronic mitral valvular disease and insufficiency.
- There is no evidence of left-sided congestive heart failure.
2. Mild diffuse bronchial pattern.  
- Differential diagnoses include fibrosis from prior disease, age-related changes, or infectious/immune-mediated lower airway disease such as from bordetella spp., mycoplasma spp., or inhaled allergen/irritant, or a combination of these.
3. Dorsal redundant tracheal membrane versus superimposed normal structures, with/without underlying collapsing airway disease.</t>
  </si>
  <si>
    <t>Echocardiography, ECG, and blood pressure for further evaluation. Empirical therapy and supportive care in the interim as needed, and consider airway sampling/respiratory PCR panel. Consider routine blood work to screen for occult systemic disease if not recently performed. Monitoring as directed, or sooner if signs acutely change, fail to improve or worsen.</t>
  </si>
  <si>
    <t xml:space="preserve">
1.MILD BROCHIAL/BRONCHOINTERSTITIAL PULMONARY PATTERN; MINIMAL PERIHILAR INFILTRATE._x000D_
2.MINIMAL INTERSTITIAL PATTERN; MINIMAL PERIHILAR INFILTRATE._x000D_
3.Based on these AI airway/pulmonary findings, the probability of this patient having clinically detectable respiratory signs is LOW (25%)_x000D_
4.Based on these AI airway/pulmonary findings, the probability of this patient having clinically detectable respiratorysigns is LOW (25%)_x000D_
5.A mild bronchointerstitial pulmonary pattern and minimal perihilar infiltrate have been detected._x000D_
6.Are respiratory signs present? If YES._x000D_
7.Are respiratory signs present? If YES._x000D_
8.Are respiratory signs present? If NO._x000D_
9.A minimal to mild bronchointerstitial pulmonary pattern has been detected._x000D_
10.Mild cardiomegaly has been detected but Heart Failure is NOT suspected._x000D_
11.There is no evidence of PULMONARY NODULES._x000D_
12.Are respiratory signs present? If NO.</t>
  </si>
  <si>
    <t xml:space="preserve">Patient Name : Pappy Hupp, Date of study: Jun 12, 2024
3 images are provided for review
There are no previous radiographs for comparison.
Pulmonary parenchyma: A minimal diffuse bronchial pattern is present.
Pulmonary vasculature: The pulmonary vasculature is subjectively normal in size and tapers in the periphery of the lungs.
Cardiac silhouette: The cardiac silhouette is normal in size and shape.
Mediastinum: The cranial mediastinum is normal.  The caudal vena cava is small in both lateral images relative to the aorta.
Trachea: The trachea is normal.
Esophagus: The esophagus is not well-identified.
Pleural space: The pleural space is normal.
Musculoskeletal: The included musculoskeletal structures are normal.
</t>
  </si>
  <si>
    <t>1. Minimal diffuse bronchial pattern. 
- Differential diagnoses include fibrosis from prior disease, age-related changes, or unlikely chronic lower airway disease such as from infectious/inflammatory lower airway disease or immune-mediated/infectious tracheobronchitis.
2. Small caudal vena cava such as from hypovolemia/dehydration or less likely artifact.</t>
  </si>
  <si>
    <t xml:space="preserve">No obvious evidence of airway obstruction is identified.  Consider sedated laryngeal examination and routine blood work for further evaluation.  Abdominal imaging to screen for occult systemic disease may be contributory.  Empirical therapy and supportive care in the interim as needed.  </t>
  </si>
  <si>
    <t>Three radiographs of the thorax/abdomen are provided. There is equivocal visibility of the left atrium on the VD projection, with no enlargement on the lateral views. Cardiac to thoracic ratio and pulmonary vessel size is normal. No abnormalities in the pulmonary parenchyma or pleural space. Normal tracheal diameter._x000D_
_x000D_
In the abdomen the liver is prominent with rounded caudoventral margins. Normal size spleen and kidneys. Punctate nephroliths are likely incidental. Formed feces fills the distal colon, and the cecum is gas dilated. The stomach and small bowel are mildly filled. There is a smoothly ovoid mineral opaque 0.8 cm structure in the caudoventral left abdomen. This appears to extend ventral to the urinary bladder on the left lateral view. Mineral opacity overlying the L3-4, L4-5, L5-6 intervertebral foramina, of doubtful clinical significance today.</t>
  </si>
  <si>
    <t>1. Prominent liver with rounded margins most consistent with steroid hepatopathy. Distended gallbladder may be contributing to the rounded contour. A hepatic mass lesion (cyst, neoplasia) is not definitively ruled out._x000D_
2. Small mineral density in the caudal abdomen is most likely incidental granuloma. A cystic calculus is given much lesser consideration._x000D_
3. Normal thorax.</t>
  </si>
  <si>
    <t xml:space="preserve">
1.There is no evidence of BRONCHITIS, ALVEOLAR PATTERN, PULMONARY NODULES or PLEURAL EFFUSION._x000D_
2.A mild perihilar infiltrate has been detected._x000D_
3.Mild cardiomegaly has been detected but Heart Failure is NOT suspected.</t>
  </si>
  <si>
    <t>A ventral dorsal and right lateral radiograph of the thorax are provided and compared to images dated May 15, 2024. The cardiac silhouette and pulmonary vessels are normal size and shape. There are no abnormalities in the pulmonary parenchyma. The bronchointerstitial pattern and nodular appearance seen on the previous study is no longer present. No pleural effusion. Normal tracheal diameter.</t>
  </si>
  <si>
    <t>Normal thorax. The bronchointerstitial and nodular pattern is completely resolved, confirming the pattern was bronchopneumonia +/- pulmonary abscesses or bronchial mucous plugs.</t>
  </si>
  <si>
    <t>Patient name: Lumos Attebery
THORAX (3 views, 3 images; [2 lateral, 1 VD])
Images are dated June 12, 2024.
There are no previous radiographs for comparison. 
The patient is rotated with respect to the x-ray beam in all views, more severe in the lateral images.  
Airway/Pulmonary: The lungs are adequately inflated.  Pulmonary parenchymal opacity is diffusely normal.  No distinct soft tissue pulmonary nodules are detected.  Tracheal and mainstem bronchial diameter is normal. 
Cardiovascular: The cardiac silhouette is normal in size and shape.  Pulmonary vessels are normal in width. 
Mediastinum: No lymph node enlargement is detected.  The caudal vena cava is normal in height.  
Pleural space: Thin pleural fissure lines are detected but no pleural effusion is seen. 
Cranial abdomen: Visible portions of the liver, spleen, kidneys, stomach, small intestine, and colon are within normal limits. 
Musculoskeletal:  Mild smooth new bone formation is detected along the ventral aspect of vertebral bodies T6-T7 and T10-T11, bridging the intervertebral disc space.</t>
  </si>
  <si>
    <t>1) Normal thorax without evidence of intra-thoracic neoplasia/metastasis.</t>
  </si>
  <si>
    <t>Consider abdominal imaging and routine geriatric blood work screening as further staging workup.</t>
  </si>
  <si>
    <t>Three radiographs of the thorax/abdomen are provided. The cardiac silhouette is normal size and shape. The left caudal pulmonary artery is enlarged. There is a small area of severe interstitial pattern overlying the cardiac apex on the right lateral view, seen to the left of the cardiac apex on the VD projection. No other pulmonary parenchymal abnormalities are appreciated. No pleural effusion. Adequate tracheal diameter. In the abdomen the liver is prominent with smooth margins. Normal-sized spleen and left kidney. The right kidney is obscured. The gastrointestinal tract is moderately filled. No radiopaque urolithiasis.
(amended on 06/13/2024 06:34)</t>
  </si>
  <si>
    <t>1. Enlarged left caudal pulmonary artery consistent with canine heartworm disease._x000D_
2. Severe interstitial pattern in the caudoventral left lungs, most likely aspiration pneumonia. Thromboembolic insult is not definitively ruled out._x000D_
3. Mild hepatomegaly, consider venous congestion or steroid hepatopathy primarily. Acute hepatic inflammation or neoplasia are next on the differential list. This should be correlated with history and blood work.</t>
  </si>
  <si>
    <t>Recommend a CBC. If the patient is febrile or has elevated white blood cell count, antibiotics would be recommended.
(amended on 06/13/2024 06:34)
The images were reviewed as the patient is panting incessantly and there was concern for CHF. Additional history of heart murmur 3/6, is on Pred and Doxy from the EC._x000D_
_x000D_
There is no convincing evidence of pulmonary edema to suggest heart failure. The perihilar region is relatively clear on the lateral views, and pulmonary vessels are adequately visible on the VD projection. The increased opacity to the left of the cardiac apex on the VD projection is felt to represent the focal severe interstitial pattern that is overlying the cardiac apex on the right lateral view. This area is felt to be either aspiration pneumonia or thromboembolic insult secondary to heartworm disease. If respiratory signs do not improve, consider repeating the thoracic radiographs, administering a single dose of Lasix, monitoring for rapid clinical and radiographic improvement.</t>
  </si>
  <si>
    <t xml:space="preserve">
1.In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2.In the PRESENCE of respiratory signs, low grade active pneumonitis (allergic, bacterial, parasitic (including heartworm disease), inhaled allergen or toxin) or upper airway disease causing pulmonary hypoinflation and/or recurrent microaspiration may be more likely._x000D_
3.Severe cardiomegaly has been detected but Heart Failure is NOT suspected._x000D_
4.There is no evidence of PULMONARY NODULES._x000D_
5.MILD BRONCHOINTERSTITIAL PULMONARY PATTERN; MINIMAL to MILD PERIHILAR PATTERN._x000D_
6.Based on the AI airway/pulmonary findings, the probability of this patient having clinically detectable respiratory signs is LOW (25%)</t>
  </si>
  <si>
    <t>THORAX (5 total radiographs for review). Compared to 02/22/24._x000D_
_x000D_
- Diffuse, bilateral, moderate bronchointerstitial pattern._x000D_
- Impression of mild right-sided cardiomegaly, with rounding of the right cardiac margin._x000D_
- Mild left-sided cardiomegaly, with straightening of the caudal cardiac margin and dorsal displacement of the caudal aspect of the thoracic trachea._x000D_
- The pulmonary vasculature is normal._x000D_
- The trachea, esophagus and remainder of the mediastinum is/are normal._x000D_
- The pleural space and remaining intrathoracic structures are normal._x000D_
- The liver is moderately enlarged, with rounded margins.</t>
  </si>
  <si>
    <t>1. Diffuse, moderate bronchointerstitial pulmonary pattern with impression of right-sided cardiomegaly raises concern for chronic lower airway/airspace disease (e.g. chronic bronchitis +/- interstitial fibrosis) with secondary cor pulmonale (cardiac remodeling) from chronic pulmonary hypertension. This patient may benefit from treatment for lower airway disease, thoracic CT with lower airway sampling and echocardiogram/cardiologist consultation for further assessment._x000D_
_x000D_
2. Mild left-sided cardiomegaly, without pulmonary vasculature congestion or congestive heart failure. Most likely compatible with degeneration of the mitral valve. Consider careful cardiac auscultation and echocardiography/ECG for further assessment._x000D_
_x000D_
3. Moderate generalized hepatomegaly. Most likely representing vacuolar (metabolic) hepatopathy. Hepatic congestion, hepatitis or neoplasia are possible, but less likely.</t>
  </si>
  <si>
    <t>A three view study of the thorax is provided for interpretation._x000D_
_x000D_
Severe heart enlargement is identified. The shape of the heart is consistent with left atrial and left ventricular dilation. The presence of right atrial dilation also cannot be excluded. The pulmonary vessels are unremarkable. No pulmonary infiltrates are identified. There is moderate to severe dynamic narrowing of the trachea. The caudal lobe bronchi appear narrowed in the left lateral view (which is end expiratory) The cranial abdomen is unremarkable.</t>
  </si>
  <si>
    <t>There is severe left sided cardiomegaly. However, no changes concerning for pulmonary edema as a cause for the cough are seen in this study._x000D_
The appearance of the trachea is compatible with tracheal collapse as a likely explanation for the coughing._x000D_
Dynamic narrowing of caudal lobe bronchi secondary to the severe cardiomegaly is also suspected to be a contributor to the cough.</t>
  </si>
  <si>
    <t>Continuation of the current cardiac regimen is recommended._x000D_
Symptomatic therapy for the cough is recommended.</t>
  </si>
  <si>
    <t xml:space="preserve">
1.In the ABSENCE of respiratory signs, a false positive result due to age-related changes, secondary to pulmonary hypoinflation +/- concurrent, non-clinical chronic minimal to mild bronchointerstitial lung disease or false positive result from technique or edge-enhanced image processing would be most likely._x000D_
2.In the PRESENCE of respiratory signs, low grade active pneumonitis (allergic, bacterial, parasitic (including heartworm disease), inhaled allergen or toxin) or upper airway disease causing pulmonary hypoinflation and/or recurrent microaspiration may be more likely._x000D_
3.Severe cardiomegaly has been detected but Heart Failure is NOT suspected._x000D_
4.Are respiratory signs present? If NO._x000D_
5.Are respiratory signs present? If YES._x000D_
6.MODERATE DYNAMIC AIRWAY DISEASE; MILD BRONCHOINTERSTITIAL PULMONARY PATTERN +/- PULMONARY HYPOINFLATION._x000D_
7.MILD BRONCHOINTERSTITIAL PULMONARY PATTERN; MINIMAL to MILD PERIHILAR PATTERN._x000D_
8.Based on these AI airway/pulmonary findings, the probability of this patient having clinically detectable respiratory signs is MEDIUM (50%)_x000D_
9.Based on the AI airway/pulmonary findings, the probability of this patient having clinically detectable respiratory signs is LOW (25%)_x000D_
10.AI linked dynamic airway treatment: https://platform.v2.vetology.net/doc/canine-tracheal-collapse-treatment</t>
  </si>
  <si>
    <t>Patient name:  Shadow Bailey
ABDOMEN (3 views; 3 images, [2 Lateral, 1 VD]) 
Images are dated June 12, 2024.
Images of the thorax are included but were not evaluated.  
There are no previous radiographs for comparison. 
Liver: The liver is mildly enlarged but retains smooth margins.
Spleen: The spleen is normal in size with smooth margins.  A rounded soft tissue bulge is observed along the ventral margin of the splenic tail on the right lateral image.   
Kidneys and urinary bladder: Both kidneys are normal in size and shape with smooth margins. The urinary bladder is mildly fluid distended. No radiopaque urinary calculi are detected. 
GI: The stomach contains a moderate to large volume of gas and coarse granular soft tissue contents.  Addition thick soft tissue bands are detected in the gastric fundus. No gastric enlargement is seen.  Variably the small intestines contain fluid, gas, or finely granular soft tissue digesta while maintaining normal diameter and distribution. No distinct radiopaque gastrointestinal foreign material is detected. Gas and formed feces are noted in the colon. The colon is normal in position.
Abdominal detail: Serosal detail is adequate. 
MSK: A metallic mushroom shaped structure (ballistic) is seen along the ventrolateral margin of the right iliac wing.  Other visible musculoskeletal structures are within normal limits. 
Caudal thorax: No abnormalities are detected in the visible cardiopulmonary structures of the thorax.</t>
  </si>
  <si>
    <t>1) Small splenic mass arising from tail.  Differentials include lymphoid hyperplasia, extra-medullary hematopoiesis, neoplasia (hemangiosarcoma versus other) or hematoma.
2) Majority of gastric contents consistent with food but soft tissue band structures may still represent intended ingesta (e.g. elongated /shaped dog treat) but foreign material cannot be ruled out.  No evidence of obstruction.   
3) Mild hepatomegaly.  This is a non-specific finding with many differentials including: vacuolar hyperplasia, infection/inflammation, endocrine/metabolic disease, or neoplasia. 
4) Incidental right sublumbar ballistic foreign body (pellet), likely incidental and historic.</t>
  </si>
  <si>
    <t>Abdominal ultrasonography for further evaluation of the spleen. If a splenic mass is confirmed, histopathology via splenectomy may be necessary for a definitive diagnosis. Consider coagulation testing if not recently performed.
Cardiac work-up (ECG, blood pressure, and echocardiogram) to further evaluate cause of collapse.</t>
  </si>
  <si>
    <t>Thoracic and abdominal radiographs parentheses 6 images) dated June 12, 2024._x000D_
_x000D_
_x000D_
There is evidence of pleural effusion and a ruptured diaphragm and herniation of the liver into the pleural space. The stomach is cranially displaced but appears to remain within the peritoneal space proper and contains a small amount of gas. The splenic tail is suspected to be partially herniated or is at the precipice between the peritoneal space and pleural space. The splenic head is not identified. There is a wideband of soft-tissue opacity associated with the right lateral thoracic body wall. Aside from the dorsal deviation of the cardiac silhouette caused by these changes, the cardiac silhouette is unremarkable, as are the pulmonary vasculature and great vessels. There is reduced aeration of the pulmonary parenchyma due to the pathology. The unstructured interstitial pattern in the right hemithoracic region could represent superimposed pleural effusion vs. pulmonary contusions. No rib fractures are identified. Dorsal caudal thoracic and lumbar soft tissue swelling is present in association with emphysema and multiple middle staples. Small intestine is empty aside from a small amount of gas. The colon contains normal stool and has a normal course. Both kidneys are normal in size and shape. The urinary bladder is only partially visible and appears mildly distended fluid opacity. Retroperitoneal and peritoneal detail are adequate. No regional lymphadenopathy is evident. The seam is present in the lateral abdominal body wall.</t>
  </si>
  <si>
    <t>1. Traumatic diaphragmatic hernia with herniation of the liver and likely part of the spleen into the pleural space._x000D_
2. Mild pleural effusion likely secondary to hemorrhage and trauma from the hernia. Direct bite wound trauma penetrating into the pleural space cannot be completely ruled out but is not radiographically appreciable._x000D_
3. Body wall trauma and emphysema._x000D_
4. No evidence of direct peritoneal trauma or peritonitis.</t>
  </si>
  <si>
    <t>Thoracocentesis for fluid analysis and cytology. _x000D_
Surgical diaphragmatic repair.</t>
  </si>
  <si>
    <t>Opposite lateral and VD views of the thorax and abdomen are provided. There are 12 images total._x000D_
_x000D_
Thorax: Bronchial markings are increased consistent with age related change. No pulmonary nodules or thoracic mass lesions are seen. There is an unusual linear shadow superimposed over the cranial right thorax in the VD views. The appearance is suggestive of a pleural fissure line but location is more cranial expected. This may represent a thin pleural fissure line or superimposition artifact. A very faint pleural fissure line is seen in the right caudal thorax in one of the VD views but not others, this is likely incidental. There is subtle increased opacity around the right side of the cardiac silhouette in the VD views consistent with pericardial fat. The heart is within normal size and shape limits._x000D_
Multiple variably sized subcutaneous masses are seen along the ventral thorax._x000D_
_x000D_
Abdomen: There is a subtle but suspicious bulge in the dorsal contour of the liver in the right lateral view. The appearance is concerning for a nodule/small mass bulging the capsule of the liver. The other abdominal organs are within normal size and shape limits. Serosal detail in the abdomen is normal._x000D_
_x000D_
There is moderate to severe spondylosis deformans involving most of the lumbar spine and the cranial thoracic spine. No destructive bone lesions or active productive bone lesions are identified.</t>
  </si>
  <si>
    <t>The thoracic changes described are within the limits of age related change. No findings of significant clinical concern are seen in the thorax. There are subcutaneous masses on the ventral thorax consistent with the history. Potential for a lipoma vs. soft tissue tumor cannot be definitively determined from the radiographs._x000D_
_x000D_
There is concern about the contour the liver in the right lateral view. A hepatic nodule/small mass should be ruled out. Follow up imaging is recommended.</t>
  </si>
  <si>
    <t>Ultrasound evaluation of the liver is recommended._x000D_
_x000D_
FNA of the more prominent subcutaneous masses in the ventral thoracic region is recommended for cytologic evaluation.</t>
  </si>
  <si>
    <t xml:space="preserve">
1.MILD BRONCHIAL PATTERN; MILD PERIHILAR PATTERN._x000D_
2.Based on these AI airway/pulmonary findings, the probability of this patient having clinically detectable respiratorysigns is LOW (25%)_x000D_
3.Are respiratory signs present? If YES._x000D_
4.The cardiac silhouette size is normal._x000D_
5.There is no evidence of DYNAMIC AIRWAY COLLAPSE or BRONCHIECTASIS._x000D_
6.Are respiratory signs present? If NO.</t>
  </si>
  <si>
    <t>5 views of the thorax and abdomen are submitted for review.  The cardiac silhouette is normal in size and shape.  The pulmonary vasculature is normal in size and tapers as it extends into the periphery.  No significant pulmonary parenchymal abnormalities are noted.  No intrathoracic lymphadenopathy or pleural effusion is seen. The trachea is normal in diameter._x000D_
In the abdomen, the stomach contains a mild to moderate amount of food-like material.  The small bowel and colon are within normal limits.  The liver and spleen are normal in size, shape, and margination.  The bilateral renal silhouettes are within normal limits.  The urinary bladder is unremarkable.  Serosal detail is normal._x000D_
No definitive osseous lesions seen.</t>
  </si>
  <si>
    <t>Radiographically normal thorax with no evidence of pulmonary metastatic disease or intrathoracic lymphadenopathy._x000D_
Radiographically normal abdomen.</t>
  </si>
  <si>
    <t xml:space="preserve">Patient Name : mousse park, Date of study: Jun 12, 2024
3 images are provided for review
There are no previous radiographs for comparison.
Bones/Joints:  The left ulnar distal physis is widened relative to the right ulna and the radial physes. The margins of the left distal ulnar physis are smooth and well-defined.  The olecranon apophysis is not well-identified in the left ulna, but is well-identified in the right ulna.    The left humeroulnar-joint may be widened in the lateral image.  The right elbow joint is normal.  The shoulder joints are normal.  The manus is normal.
Soft tissues:  The included soft tissues are subjectively symmetrical and normal.
</t>
  </si>
  <si>
    <t>1. Widened left distal ulnar physis such as from atypical physitis or unlikely congenital anomaly, or unlikely prior trauma or artifact.
2. Possible premature closure of left proximal ulnar apophysis such as from prior trauma or less likely artifact from obliquity.
3. Possible left elbow joint incongruity versus artifact from positioning.
4. No left elbow osteoarthrosis is identified.
5. Normal right elbow.</t>
  </si>
  <si>
    <t xml:space="preserve">Consider computed tomography of the antebrachiums and orthopedist consultation for further evaluation.  Monitoring with serial radiographs of the left antebrachium/elbow with comparison images of the right limb may be contributory.  Empirical therapy and supportive care in the interim as needed.  Monitoring as directed, or sooner if signs acutely change, fail to improve or worsen.  </t>
  </si>
  <si>
    <t xml:space="preserve">
1.A mild perihilar infiltrate has been detected._x000D_
2.The cardiac silhouette size is normal._x000D_
3.There is no evidence of BRONCHITIS, ALVEOLAR PATTERN, DYNAMIC AIRWAY COLLAPSE or BRONCHIECTASIS or PULMONARY NODULES._x000D_
4.Pleural fissure lines or small volume pleural effusion has been detected. In a mildly to moderately overweight animal, excessive pericardial fat can artifactually mimic the result of mild pleural effusion.</t>
  </si>
  <si>
    <t>Opposite lateral and VD views of the thorax and abdomen are provided. Previous radiographs are available for comparison._x000D_
_x000D_
The mild cardiomegaly seen in the previous study dated 8-18-21 is less prominent in the current radiographs.. Sizes considered borderline. No pulmonary infiltrates or bronchial thickening are identified. No tracheal abnormalities are seen._x000D_
_x000D_
There is a wire in the cranial abdomen that was also present in previous radiographs. This is presumed incidental. No abnormalities are identified involving the GI tract. There is a small quantity of normal appearing fecal material in the descending colon and rectum. The appearance is not suggestive of constipation. No mass effect is seen in the sublumbar region or pelvic canal. Mild hepatomegaly is present, which was also seen in previous radiographs. No mass lesions or loss of detail are seen in the abdomen._x000D_
_x000D_
There is severe narrowing and moderate spondylosis involving L4-05 disc space. This has progressed relative to the previous study dated 8-18-21. There is also severe narrowing and mild spondylosis at L1-L2 which is a new finding. There is moderate narrowing at T12-T13, which was also present previously. No destructive bone lesions are seen.</t>
  </si>
  <si>
    <t>1) There is no evidence of constipation or other anatomic abnormalities associated with the colon or pelvic canal region that would explain the primary complaint._x000D_
_x000D_
2) There is evidence of chronic disc degeneration involving the thoracolumbar spine, which has progressed over the last few years._x000D_
_x000D_
3) No significant cardiopulmonary abnormalities are identified._x000D_
_x000D_
4) There is persistent mild hepatomegaly.</t>
  </si>
  <si>
    <t>The cause of the presenting complaint is not apparent in the radiographs. A soft tissue lesion such as a mass or polyp within the rectum or bladder not visible in the radiographs should still be ruled out.</t>
  </si>
  <si>
    <t xml:space="preserve">
1.A mild to moderate bronchointerstitial pulmonary pattern has been detected._x000D_
2.A mild perihilar infiltrate has been detected._x000D_
3.Mild cardiomegaly has been detected but Heart Failure is NOT suspected.</t>
  </si>
  <si>
    <t>WHOLE-BODY (7 total radiographs for review). Compared to previous examination dated 10/16/23._x000D_
_x000D_
- The previously described multifocal alveolar pulmonary pattern has resolved. Today the lungs are well inflated and normal._x000D_
- There remains a mild diffuse bronchopulmonary pattern present._x000D_
- The cardiovascular structures are normal._x000D_
- There is again a soft tissue opaque band in the cervical region narrowing the  tracheal diameter._x000D_
- The remaining included intrathoracic structures are normal._x000D_
- Peritoneal serosal detail is adequate_x000D_
- The liver is mildly enlarged, with rounded margins._x000D_
- The stomach contains mild gas and gas-stippled soft-tissue opaque material_x000D_
- The small intestine contains mild multifocal gas and soft-tissue opaque material_x000D_
- The colon contains gas, soft-tissue/fluid and mild formed fecal material._x000D_
- The spleen, kidneys and urinary bladder are normal._x000D_
- Mild bilateral coxofemoral osteoarthritis.</t>
  </si>
  <si>
    <t>1. Resolved multifocal alveolar pulmonary pattern, likely having prior represented bronchopneumonia as described clinically._x000D_
_x000D_
2. Static, unchanged diffuse bronchial pulmonary pattern which may represent chronic lower airway disease e.g. chronic bronchitis however can be a normal age-related airway change in dogs. This may be a main contributor to the patients reported chronic coughing._x000D_
_x000D_
3. The appearance of the trachea at the level of the cervical/thoracic inlet region can be compatible with tracheal collapse secondary to chondromalacia however this is an atypical pathology for a patient as large as the reported signalment._x000D_
_x000D_
4. Mild generalized hepatomegaly. Most likely representing vacuolar (metabolic) hepatopathy. Hepatic congestion, hepatitis or neoplasia are possible, but less likely._x000D_
_x000D_
5. Mild bilateral coxofemoral osteoarthritis.</t>
  </si>
  <si>
    <t>Four radiographs of the thorax and two views of the distal left thoracic limb are provided. The cardiac silhouette and pulmonary vessels are normal size and shape. Mild bronchial markings are normal for the age of this patient. There is no pleural effusion or soft tissue pulmonary nodules. Normal cranial mediastinal width and tracheal diameter. In the left thoracic limb, there is a poorly delineated round 4.9 cm soft tissue opaque mass in the distal antebrachium. Subsequent severe lysis of the distal radial diaphysis through epiphysis, as well as lysis of the adjacent ulna and proximal row of carpal bones. There is no remaining distal radius, with minimal remaining proximal row of carpal bones. Diffuse reduced bone opacity in the remainder of the distal limb consistent with disuse atrophy.</t>
  </si>
  <si>
    <t>1. Aggressive lytic mass in the distal left antebrachium and proximal carpus, consistent with malignant neoplasia originating from soft tissue. Bone origin neoplasia is next on the differential list._x000D_
2. Normal thorax.</t>
  </si>
  <si>
    <t>Recommend cytology/histopathology of the left thoracic limb lesion for a definitive diagnosis. With the severe osseous lysis, amputation is recommended.</t>
  </si>
  <si>
    <t xml:space="preserve">Patient Name : Puggles Padilla, Date of study: Jun 12, 2024
3 images are provided for review
Canine Thorax (3 Images) - 2 Lateral, 1 Vd
There are no previous radiographs for comparison.  Ungloved human digits primary beam.  
Pulmonary parenchyma: A minimal to mild diffuse bronchial pattern is present.  The lungs are mildly hypoinflated in the lateral images.
Pulmonary vasculature: The pulmonary vasculature is subjectively normal in size and tapers in the periphery of the lungs.
Cardiac silhouette: The cardiac silhouette is is mildly flattened at its caudodorsal margin.  Mild rounded increased soft tissue is present in the region of the left atrium in the ventrodorsal image.
Mediastinum: The cranial mediastinum is normal.
Trachea: The trachea is normal.
Esophagus: The esophagus is not well-identified.
Pleural space: A thin pleural fissure line that does not widen in the periphery of the lungs is present between the right middle and caudal lung lobes.  
Musculoskeletal: The included musculoskeletal structures are normal.
</t>
  </si>
  <si>
    <t>1. Mild left atrial enlargement such as from myxomatous mitral valvular disease or unlikely other.
- There is no evidence of left-sided congestive heart failure.  
2. Mild diffuse bronchial pulmonary pattern.  
- Differential diagnoses include fibrosis from prior disease, age-related changes, or unlikely chronic lower airway disease such as from infectious/immune-mediated lower airway disease, or unlikely other.
3. Thin pleural fissure line from tangential beam artifact or unlikely other.</t>
  </si>
  <si>
    <t xml:space="preserve">Echocardiography for further evaluation, especially if a murmur is later identified.  Empirical therapy and supportive care for cough in the interim as needed.  Consider respiratory PCR panel or airway sampling for further evaluation, especially if clinical signs fail to improve, change or worsen.  Monitoring as directed or sooner if signs fail to improve or worsen. </t>
  </si>
  <si>
    <t xml:space="preserve">
1.Are respiratory signs present? If YES._x000D_
2.Are respiratory signs present? If NO._x000D_
3.MILD BRONCHOINTERSTITIAL PULMONARY PATTERN; MILD DYNAMIC AIRWAY DISEASE; ATELECTASIS or less likely, pneumonia._x000D_
4.Based on these AI airway/pulmonary findings, the probability of this patient having clinically detectable respiratory signs is MEDIUM (50%)_x000D_
5.The cardiac silhouette size is normal.</t>
  </si>
  <si>
    <t>Opposite lateral and ventrodorsal thoracic radiographs (3 images) dated June 12, 2024._x000D_
_x000D_
_x000D_
The cardiac silhouette,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evident._x000D_
The liver is enlarged. The stomach contains a small volume of gas. Cranial peritoneal detail is normal._x000D_
No aggressive or clinically significant osseous pathology is identified.</t>
  </si>
  <si>
    <t>1. Unremarkable thorax. The cause for the coughing is not radiographically apparent. Rule out upper airway causes (ex: pharyngitis/laryngitis, postnasal drip from rhinitis, dynamic upper airway collapse, everted laryngeal saccules, less likely a mass) vs. dynamic lower airway collapse/chondromalacia not captured in this study vs. less likely tracheitis or mild bronchitis that is insensitive to radiographic detection._x000D_
2. Normal cardiovascular structures. The cause for the murmur is not radiographically apparent. Rule out valvular disease that has yet to result in gross structural changes to the heart vs. a benign or physiologic flow murmur._x000D_
3. Moderate hepatomegaly. Rule out a benign metabolic/vacuolar hepatopathy vs. inflammatory or infiltrative neoplastic conditions.</t>
  </si>
  <si>
    <t>Sedated upper airway exam, pharyngeal PCR swab infectious panel, +/- fluoroscopic airway study. If normal:_x000D_
Airway sampling may be needed for definitive diagnosis (bronchoalveolar lavage or transtracheal wash).  Heartworm testing and fecal parasite screening (float and Baermann) +/- empirical deworming.  Empirical antibiotic or anti-inflammatory steroidal therapy is reasonable to consider.  Internal medicine consultation if the patient remains clinical despite treatment and the cause remains unknown._x000D_
_x000D_
Echocardiogram to elucidate the cause for the murmur._x000D_
_x000D_
Hepatic lab work and ultrasound to further assess the hepatomegaly.</t>
  </si>
  <si>
    <t xml:space="preserve">
1.There is no evidence of BRONCHITIS, ALVEOLAR PATTERN, PULMONARY NODULES or PLEURAL EFFUSION._x000D_
2.A minimal perihilar infiltrate has been detected._x000D_
3.Mild dynamic airway disease has been detected._x000D_
4.Minimal cardiomegaly has been detected but Heart Failure is NOT suspected.</t>
  </si>
  <si>
    <t>Patient Name: Jasmine Ozier, Date of study: Jun 12, 2024
Thorax and abdomen: 3 images are provided for review (2 lateral, 1 VD).
The thorax is compared to November 27, 2023. 
Findings:
Cardiac silhouette: There is moderate progressive left-sided cardiomegaly (VHS 11.2, previously 10.2). The region of the left atrium is rounded. The cardiac silhouette is increased in height causing further dorsal displacement of the trachea.
Pulmonary vessels: The pulmonary arteries and veins remain normal in size and are symmetrical.
Pulmonary parenchyma: The lungs are underinflated which creates a mild caudodorsal distributed bronchointerstitial pulmonary pattern. The lungs are otherwise normal with no evidence of pulmonary nodules, masses, or cardiogenic pulmonary edema.
Pleural space: The pleural space remains normal.
Mediastinum: The mediastinum is normal in width and opacity, unchanged.
Trachea: The trachea is normal in course and diameter.
Esophagus: The region of the esophagus remains unremarkable.
Gastrointestinal tract: The stomach is small in size and normal in position. The small intestines are diffusely within normal limits of diameter and are primarily soft tissue opaque. There is formed feces and gas within the colon.
Liver: Similar to previous, the liver remains mildly enlarged.
Spleen: The spleen is normal in size with smooth margins.
Urinary: The visible margins of the kidneys are normal. The urinary bladder is mildly distended and normal in opacity.
Peritoneal space: There is adequate serosal detail.
Musculoskeletal: There is unchanged moderate spondylosis deformans of the mid to cranial thoracic spine.</t>
  </si>
  <si>
    <t xml:space="preserve">1. Moderate progressive left-sided cardiomegaly. The primary differential remains unchanged: myxomatous mitral valve disease. There is no evidence of heart failure.
-The enlarged left atrium may be compressing the left caudal mainstem bronchus leading to the reported cough.
2. There is a mild bronchointerstitial pulmonary pattern which is most likely secondary to pulmonary underinflation. Age-related changes, pulmonary fibrosis from prior disease, or chronic bronchitis cannot be excluded.
3. Unchanged mild hepatomegaly.  This is a nonspecific finding, differentials include metabolic disease, endocrine disease, inflammation, and less likely, infiltrative neoplasia.  </t>
  </si>
  <si>
    <t>Echocardiography, EKG, and blood pressure are recommended to further evaluate the heart. If coughing worsens, sleeping respiratory rate increases, or respiratory distress develops, recheck three-view thoracic radiographs would be recommended.</t>
  </si>
  <si>
    <t xml:space="preserve">
1.Based on these AI airway/pulmonary findings, the probability of this patient having clinically detectable respiratory signs is MEDIUM to HIGH (50-75%)._x000D_
2.A mild alveolar and more diffuse interstitial pulmonary pattern has been identified._x000D_
3.A mild interstitial to alveolar infiltrate has been detected._x000D_
4.Mild dynamic airway disease has been detected._x000D_
5.Severe cardiomegaly has been detected but Heart Failure is NOT suspected._x000D_
6.Are respiratory signs present: If YES._x000D_
7.Are respiratory signs present: If NO._x000D_
8.SEVERE BRONCHIAL PATTERN; MILD INTERSTITIAL PULMONARY PATTERN.</t>
  </si>
  <si>
    <t>A three view thoracoabdominal study is provided for interpretation._x000D_
_x000D_
The cardiopulmonary structures are within normal limits. No tracheal or esophageal abnormalities are identified._x000D_
_x000D_
There is a small quantity of soft tissue dense ingesta in the stomach. Most is amorphous, some is semi formed. No discrete foreign objects are identified. The volume of small intestinal gas is mildly increased overall. No dilation of the stomach or intestine is seen. The other abdominal organs are unremarkable. Serosal detail is normal.</t>
  </si>
  <si>
    <t>The appearance of the content within the stomach is compatible with food. Radiolucent gastric foreign material cannot be entirely excluded._x000D_
_x000D_
The mild increase in small intestinal gas is within the limits of what might be seen as a benign variant but can also be associated with enteritis._x000D_
No foreign bodies or obstructive pattern are identified.</t>
  </si>
  <si>
    <t>Gastroenteritis would be the most likely explanation for the clinical complaint. Dietary causes should be ruled out. Infectious causes would be less likely but cannot be excluded._x000D_
Persistent radiolucent gastric foreign material also cannot be ruled out on the basis of these radiographs._x000D_
_x000D_
Endoscopy is recommended if possible. If this is not an option, a contrast gastrogram after fasting could be considered to rule out persistent gastric foreign material.</t>
  </si>
  <si>
    <t xml:space="preserve">Patient Name : Beast Wainscott, Date of study: Jun 12, 2024
6 images are provided for review
There are no previous radiographs for comparison.
Pulmonary parenchyma: A mild to moderate diffuse interstitial pulmonary pattern is present.  The lungs are moderately hypoinflated in the lateral images, where this pattern is most severe.  a mild diffuse bronchial pulmonary pattern is present.  
Pulmonary vasculature: The pulmonary vasculature is subjectively normal in size and tapers in the periphery of the lungs.
Cardiac silhouette: The cardiac silhouette is normal in size and shape.
Mediastinum: The cranial mediastinum is moderately widened, mildly more severe on the left, in the ventrodorsal image.  
Trachea: A soft tissue band partially superimposes over the dorsal aspect of the trachea.
Esophagus: The esophagus is not well-identified.
Pleural space: The pleural space is normal.
Musculoskeletal: The included musculoskeletal structures are normal.
</t>
  </si>
  <si>
    <t>1. Mild-moderate diffuse interstitial and mild diffuse bronchial pulmonary patterns, likely exacerbated by pulmonary hypoinflation. 
 - Differential diagnoses include non-specific pneumonitis (such as from eosinophilic pneumonitis, or unlikely infectious/immune-mediated interstitial pneumonitis) or unlikely atypical evolving neoplasia (such as lymphosarcoma or other round cell neoplasm), or other.
2. Cranial mediastinal widening due to fat deposition and/or lymphadenopathy such as from evolving systemic neoplasia (lymphosarcoma, thymoma, ectopic thyroid carcinoma versus other) or unlikely other.
3. Dorsal redundant tracheal membrane with/without underlying collapsing airway disease versus superimposed normal structures.</t>
  </si>
  <si>
    <t>CBC/serum biochemistry, if not already performed, and consider thoracic computed tomography for further evaluation of the lungs and cranial mediastinum. Ultrasonography of the cranial mediastinum may also be contributory. Tissue sampling of cranial mediastinal lymphadenomegaly/mass if confirmed.  Abdominal imaging to screen for occult systemic disease. Empirical therapy and supportive care for possible infectious/immune-mediated airway diseases contributing to current clinical signs. Monitoring as directed, or sooner if clinical signs acutely change, fail to improve or worsen.</t>
  </si>
  <si>
    <t xml:space="preserve">
1.Are respiratory signs present? If NO._x000D_
2.PULMONARY NODULES or NODULAR PATTERN; MODERATE TO SEVERE INTERSTITIAL TO ALVEOLAR PATTERN; PLEURAL EFFUSION; BRONCHITIS; PERIHILAR INFILTRATE._x000D_
3.Based on the AI airway/pulmonary findings, the probability of this patient having clinically detectable respiratory signs is VERY HIGH (&gt;75%)_x000D_
4.The evaluation has a strong suspicion of soft tissue pulmonary nodules or mass lesion being present._x000D_
5.Are respiratory signs present? If YES._x000D_
6.Severe cardiomegaly has been detected but Heart Failure is NOT suspected.</t>
  </si>
  <si>
    <t>THORAX (3 total radiographs for review). A previous examination is available for comparison from 04/26/24._x000D_
_x000D_
- Likely incidental soft-tissue opaque band dorsally overlying the trachea at the level of the thoracic inlet._x000D_
- The cardiac silhouette and pulmonary vasculature are normal._x000D_
- The pulmonary parenchyma is normal_x000D_
- The trachea, esophagus and remainder of the mediastinum is/are normal._x000D_
- The pleural space and remaining intrathoracic structures are normal._x000D_
- The liver remains mildly enlarged, with rounded margins._x000D_
- The remaining cranial abdominal structures and included musculoskeletal structures are normal.</t>
  </si>
  <si>
    <t>1. Normal thorax. Negative examination for evidence of thoracic metastatic neoplasia._x000D_
_x000D_
2. Similar, minimal generalized hepatomegaly. Most likely representing vacuolar (metabolic) hepatopathy. Hepatic congestion, hepatitis or neoplasia are possible, but less likely.</t>
  </si>
  <si>
    <t xml:space="preserve">
1.PLEURAL EFFUSION or less likely, OVERLYING SKIN FOLDS MIMICKING PLEURAL FLUID; PULMONARY NODULAR PATTERN likely due to END ON PULMONARY VESSELS, PROMINENT COSTOCHONDRAL JUNCTIONS or OVERLYING CUTANEOUS NODULES; MILD BRONCHIAL PATTERN._x000D_
2.Based on these AI airway/pulmonary findings, the probability of this patient having clinically detectable respiratory signs is HIGH (75%)_x000D_
3.PULMONARY NODULAR PATTERN; MINIMAL BRONCHOINTERSTITIAL PULMONARY PATTERN._x000D_
4.Based on these AI airway/pulmonary findings, the probability of this patient having clinically detectable respiratory signs is MEDIUM (50%)_x000D_
5.Are respiratory signs present. If YES._x000D_
6.Pleural fissure lines or moderate to severe pleural effusion has been detected._x000D_
7.The evaluation has a strong suspicion of pulmonary nodules or mass lesion being present._x000D_
8.A mild bronchial pattern has also been detected._x000D_
9.The evaluation has come up positive for a pulmonary nodular pattern._x000D_
10.The cardiac silhouette size is normal._x000D_
11.There is no evidence of PERIHILAR INFILTRATE or DYNAMIC AIRWAY COLLAPSE or BRONCHIECTASIS._x000D_
12.Are respiratory signs present. If NO.</t>
  </si>
  <si>
    <t>Opposite lateral and ventrodorsal thoracic and abdominal radiographs (6 images) dated June 12, 2024._x000D_
_x000D_
_x000D_
The cardiac silhouette and great vessels are normal. The pulmonary vessels are small in size.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evident._x000D_
_x000D_
The liver and spleen are normal in size and shape. The stomach contains a mild volume of gas and fluid. The pyloric antrum and duodenum are gas-filled on the left lateral view. The small intestine has a mild and unremarkable variation in diameter with most segments empty/collapsed or containing a small amount of fluid, and the small bowel has broad ropelike turns in its course to give it a subjectively turgid appearance The cecum contains gas. The colon is empty/collapsed. Both kidneys are normal in size and shape, and retroperitoneal detail is normal. The urinary bladder is small and fluid opaque. Retroperitoneal and peritoneal detail are normal. No regional lymphadenopathy is evident._x000D_
_x000D_
No aggressive or clinically significant osseous pathology is identified.</t>
  </si>
  <si>
    <t>1. Gastroenteritis._x000D_
2. Radiographically unremarkable kidneys. This does not rule out acute kidney injury or chronic renal disease._x000D_
3. Small pulmonary vessels are suggestive of dehydration/hypovolemia. The remainder of the thorax is unremarkable.</t>
  </si>
  <si>
    <t>Urinalysis and urine culture via cystocentesis, 4Dx, blood pressure evaluation, and leptospirosis testing._x000D_
Hospitalized supportive care with fluids, antiemetics, omeprazole/pantoprazole/bland diet._x000D_
Recheck renal values once euhydrate for comparison._x000D_
Abdominal ultrasound could also be considered.</t>
  </si>
  <si>
    <t>THORAX (3 total radiographs for review)._x000D_
_x000D_
- The cardiac silhouette and pulmonary vasculature are normal._x000D_
- The pulmonary parenchyma is normal_x000D_
- The trachea, esophagus and remainder of the mediastinum is/are normal._x000D_
- The pleural space and remaining intrathoracic structures are normal._x000D_
- The cranial abdominal structures are normal._x000D_
- There is spondylosis deformans in the mid- and caudal thoracic region, where it is bridging.</t>
  </si>
  <si>
    <t>1. Normal thorax. Negative examination for evidence of thoracic metastatic neoplasia or contraindication to general anesthesia._x000D_
_x000D_
2. Mild multifocal spondylosis deformans.</t>
  </si>
  <si>
    <t xml:space="preserve">Patient Name : Lady Bug Reid, Date of study: Jun 12, 2024
3 images are provided for review
There are no previous radiographs for comparison.
Pulmonary parenchyma: A moderate to severe interstitial pattern is present in the caudal lungs.  This is borderline alveolar in the ventrodorsal images.A mild diffuse interstitial and mild diffuse bronchial pattern are also present.  
Pulmonary vasculature: The pulmonary vasculature is obscured in the caudal lung lobes.  Pulmonary venous enlargement is suspected in the lateral images.  
Cardiac silhouette: The cardiac silhouette is moderately enlarged and tall, occupying greater than 2/3 the height of the thorax. The trachea is dorsally displaced. The caudodorsal margin of the cardiac silhouette is enlarged. Rounded increased soft tissue is present in the region of the left atrium in the ventrodorsal image. 
Mediastinum: The cranial mediastinum is normal.
Trachea: The trachea is normal.
Esophagus: The esophagus is not well-identified.
Pleural space: A thin pleural fissure line that does not widen in the periphery is present between the right middle and caudal lung in the ventrodorsal image.  
Musculoskeletal: Multifocal thoracolumbar spondylosis deformans is present.  The remaining included musculoskeletal structures are normal.
</t>
  </si>
  <si>
    <t xml:space="preserve">1. Moderate-severe interstitial to alveolar pulmonary pattern is most likely due to left-sided congestive heart failure.
 2. Moderate left-sided cardiomegaly such as from dilated cardiomyopathy or unlikely other, given reported breed (Doberman).
3.Thin pleural fissure line between right middle/caudal lung lobes due to scant pleural fluid versus tangential beam artifact or pleural thickening/folding.  
4. Minimal-mild diffuse bronchial and interstitial pulmonary pattern due to evolving cardiogenic edema, fibrosis from prior disease, age-related changes, or unlikely other.
</t>
  </si>
  <si>
    <t xml:space="preserve">Diuretic therapy, oxygen therapy, and repeat 3- or 4-view thoracic radiographs in 4-6 hours to monitor for progression/resolution.  Echocardiography, eCG, blood pressure and routine blood work/urinalysis once stable if not recently performed.  Monitoring as directed, or sooner if acute cardiopulmonary signs manifest in the interim.  </t>
  </si>
  <si>
    <t xml:space="preserve">
1.SEVERE INTERSTITIAL TO ALVEOLAR PATTERN; MODERATE BRONCHIAL PATTERN; MODERATE DYNAMIC AIRWAY DISEASE._x000D_
2.Based on these AI airway/pulmonary findings, the probability of this patient having clinically detectable repsiratory signs is VERY HIGH (&gt;75%)_x000D_
3.Are respiratory signs present? If YES._x000D_
4.Are respiratory signs present? If NO._x000D_
5.The evaluation has a strong suspicion of pulmonary nodules or mass lesion being present._x000D_
6.A severe perihilar infiltrate has been detected._x000D_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t>
  </si>
  <si>
    <t xml:space="preserve">Patient Name: Chloe Mclean, Date of study: Jun 12, 2024
3 images are provided for review (1 VD and 2 Laterals)
There are no previous radiographs for comparison.
Image evaluation: The lungs are hypoinflated on all projections. The thorax is rotated on the right lateral projection which impacts evaluation. 
THORAX:
Airway/pulmonary parenchyma: Pulmonary hypoinflation is present along with a diffuse bronchial/peribronchial pattern, most severe in the caudodorsal thorax. A focal alveolar infiltrate overlies the cranioventral aspect of the diaphragm on the right lateral projection. The visible trachea is normal. 
Cardiovascular: Obliquity affects evaluation of the heart size and margin on the right lateral projection. On the VD projection, cardiac size is towards the upper limits of normal however this could be normal for the juvenile age. The pulmonary vasculature and CVC appear normal. 
Mediastinum: Mild widening of the cranial mediastinum is present on the VD projection along with a distinct triangular soft tissue opacity left of midline consistent with a visible thymic shadow. 
Pleural space and diaphragm: Scant pleural fluid is present with a pleural fissure line on the VD projection and rounding to the caudal lung tips. 
Cranial abdomen: The liver is minimally enlarged but retains a smooth margin.
Msk: Periarticular osteophyte formation affects at least one of the elbows. </t>
  </si>
  <si>
    <t xml:space="preserve">1) Given the dog's age and breed, primary considerations are viral pneumonitis with secondary ventrally distributed pleuropneumonia vs. less likely, upper airway partial obstruction resulting in recurrent microaspiration. Also consider heartworm disease in this dog given the cardiac size at the upper limits of normal and caudodorsal distribution of the pulmonary infiltrate.
2) Visible thymus considered normal for patient age. 
3) Cardiac size which is also considered normal for patient age but as mentioned above, heartworm disease cannot be excluded. </t>
  </si>
  <si>
    <t>Rule out heartworm disease prior to initiating treatment for pneumonia along with empirical deworming if not already performed. Recheck thoracic radiographs in 5-7 days, sooner if clinically indicated.</t>
  </si>
  <si>
    <t xml:space="preserve">
1.Are respiratory signs present? If NO._x000D_
2.MINIMAL to MILD DIFFUSE, MIXED BRONCHOINTERSTITIAL PULMONARY PATTERN with ATELECTASIS or less likely, pneumonia._x000D_
3.Probability these AI pulmonary findings will accompany clinically detectable respiratory signs: LOW (25%)_x000D_
4.Are respiratory signs present? If YES._x000D_
5.The cardiac silhouette size is normal._x000D_
6.There is no evidence of DYNAMIC AIRWAY COLLAPSE or BRONCHIECTASIS or PULMONARY NODULES.</t>
  </si>
  <si>
    <t>WHOLE-BODY (3 total radiographs for review)._x000D_
_x000D_
- Mild, diffuse bronchial pattern with a few thickened pleural fissures._x000D_
- The cardiac silhouette and pulmonary vasculature are normal._x000D_
- The trachea, esophagus and remainder of the mediastinum is/are normal._x000D_
- The remaining intrathoracic structures are normal._x000D_
- Peritoneal serosal detail is adequate_x000D_
- The stomach contains mild gas and gas-stippled soft-tissue opaque material_x000D_
- The small intestine contains mild multifocal gas and soft-tissue opaque material_x000D_
- The colon contains gas, soft-tissue/fluid and moderate formed fecal material._x000D_
- The liver, spleen, kidneys and urinary bladder are normal._x000D_
- Moderate multifocal spondylosis deformans.</t>
  </si>
  <si>
    <t>1. A discrete radiographic cause or secondary sequelae for the reported anemia is not clearly identified. The abdomen has a post-prandial appearance and can be within normal variation. In the thorax, there is a mild diffuse bronchial pattern with few thickened pleural fissures, most likely representing age-related lower airway changes, however a component of chronic bronchitis is possible, especially if there is a history of abnormal respiratory sounds, wheezing and/or coughing._x000D_
_x000D_
If further evaluation is desired, abdominal ultrasound and/or whole-body CT might be considered</t>
  </si>
  <si>
    <t xml:space="preserve">Patient Name : Whiskey Scott, Date of study: Jun 12, 2024
3 images are provided for review
There are no previous radiographs for comparison.  The right lateral image is severely oblique.
Pulmonary parenchyma: A minimal to mild diffuse bronchial pulmonary pattern is present.  
Pulmonary vasculature: The pulmonary vasculature is subjectively normal in size and tapers as expected in the periphery of the lungs.  
Cardiac silhouette: The cardiac silhouette is severely enlarged and tall, occupying greater than 2/3 the height of the thorax. The trachea is dorsally displaced. The caudodorsal margin of the cardiac silhouette is flattened. Rounded increased soft tissue is present in the region of the left atrium in the ventrodorsal image. A soft tissue bulge is at the 2-3 o'clock position of the cardiac silhouette (left auricular appendage). The cardiac silhouette is widened and occupies the width of at least four intercostal spaces. The cardiac silhouette is convex in the region of the right atrium (9-11 o'clock position).  In the ventrodorsal image, increased soft tissue is suspected in the 1-2 o'clock position, in the area of the main pulmonary artery.
Mediastinum: The cranial mediastinum is normal.
Trachea: The trachea is normal.
Esophagus: The esophagus is not well-identified.
Pleural space: Thin pleural fissure lines that do not widen in the periphery of the lung are identified between the right cranial/middle and subsegments of the left cranial lung lobes in the ventrodorsal image.
Musculoskeletal: The included musculoskeletal structures are normal.
</t>
  </si>
  <si>
    <t>1. Severe generalized cardiomegaly and possible main pulmonary arterial enlargement.
- Given the age of the patient, pulmonic stenosis with/without additional congenital anomaly (atrial/ventricular septal defect, mitral/tricuspid valve dysplasia, etc.), or unlikely dilated cardiomyopathy or acquired valvular disease are considered.
- There is no obvious evidence of pulmonary arterial enlargement, such as from heartworm disease. 
 - There is no evidence of pulmonary edema on this examination.
2. Minimal-mild diffuse bronchial pattern due to fibrosis from prior disease, age-related changes, or unlikely underlying lower airway disease.
3. Thin pleural fissure lines due to tangential beam artifact or pleural thickening/folding, versus evolving/scant pleural fluid.</t>
  </si>
  <si>
    <t xml:space="preserve">Echocardiography, ECG and blood pressure, as well as routine blood work and urinalysis.  If signs of dyspnea manifest, oxygen therapy, diuretic therapy, and repeat thoracic radiographs after 4-6 hours for monitoring the lungs.  Empirical therapy/supportive care for cough in the interim as needed, especially given possible exposure to other animals in recent history, which may complicate the clinical presentation.  Monitoring as directed, or sooner if signs acutely change or worsen.  </t>
  </si>
  <si>
    <t xml:space="preserve">
1.Are respiratory signs present? If YES._x000D_
2.Are respiratory signs present? If NO._x000D_
3.PLEURAL EFFUSION or PLEURAL FISSURE LINES; MODERATE INTERSITIAL TO ALVEOLAR PATTERN; MODERATE DYNAMIC AIRWAY COLLAPSE; MINIMAL PERIHILAR INFILTRATE._x000D_
4.Based on these AI airway/pulmonary findings, the probability of this patient having clinically detectable respiratory signs is HIGH (75%)_x000D_
5.Mild cardiomegaly has been detected but Heart Failure is NOT suspected.</t>
  </si>
  <si>
    <t>Patient Name: Morty Hofmann, Date of study: Jun 12, 2024
Thorax and abdomen: 7 images are provided for review (3 thoracic, 4 abdominal). 
There are no previous radiographs for comparison.
Findings:
Cardiac silhouette: The cardiac silhouette is normal in size and shape.
Pulmonary vessels: The pulmonary arteries and veins are normal. Vessels in the caudal subsegment of the left cranial lung are not identified.
Pulmonary parenchyma: There is an alveolar pattern in the caudal subsegment of the left cranial lung lobe. The remainder of the pulmonary parenchyma is normal.
Pleural space: The pleural space is within normal limits.
Mediastinum: The mediastinum is normal in width and opacity. There is no evidence of intrathoracic lymphadenopathy.
Trachea: The trachea is normal in diameter and course.
Esophagus: There is a small volume of transient gas in the cranial thoracic esophagus. The caudal thoracic esophagus contains a small volume of fluid on the left lateral view.
Gastrointestinal tract: The stomach contains a small volume of gas and is normal in position. The duodenum is gas-filled on the left lateral and VD views. The small intestines are diffusely within normal limits of size. The colon contains formed feces and gas.
Liver: The liver is normal in size and shape.
Spleen: The spleen is unremarkable.
Urinary: The visible margins of the kidneys are normal. The urinary bladder is moderately distended and normal in opacity.
Peritoneal space: There is adequate serosal detail.
Musculoskeletal: The skeletal and superficial soft tissue structures are within normal limits.</t>
  </si>
  <si>
    <t>1. Alveolar pattern in the caudal subsegment of the left cranial lung lobe, consistent with pneumonia (bronchopneumonia versus aspiration). An inhaled foreign body cannot be excluded.
2. Normal cardiovascular structures.
3. Unremarkable abdomen.</t>
  </si>
  <si>
    <t>Continued antibiotic therapy for pneumonia is recommended. Airway sampling (respiratory PCR, lavage, wash) could be considered to guide treatment. Repeat three view thoracic radiographs are recommended following additional treatment.</t>
  </si>
  <si>
    <t>WHOLE-BODY (6 total radiographs for review)._x000D_
_x000D_
- Soft-tissue opaque band dorsally overlying the tracheal in the cervical/thoracic inlet regions._x000D_
- Mild diffuse bronchial pattern._x000D_
- Rounding of the cardiac silhouette, particularly the cranial and right margins._x000D_
- Pulmonary vasculature is normal._x000D_
- The pleural space and remaining intrathoracic structures are normal._x000D_
- Peritoneal serosal detail is adequate_x000D_
- The liver is moderately enlarged, with rounded margins._x000D_
- Small, filamentous wire-like foreign body in the left cranioventral abdomen._x000D_
- The stomach contains mild gas and gas-stippled soft-tissue opaque material_x000D_
- The small intestine contains mild multifocal gas and soft-tissue opaque material_x000D_
- The colon contains gas, soft-tissue/fluid and mild formed fecal material._x000D_
- The spleen, kidneys and urinary bladder are normal._x000D_
- Mild multifocal spondylosis deformans.</t>
  </si>
  <si>
    <t>1. In this case, the patient=ZZ91=s coughing is suspected to most likely be due to a combination of chronic lower airway disease (e.g. bronchitis) +/- tracheal collapse. The heart enlargement noted feels mostly right-sided, and for this reason I would consider secondary cardiac remodeling due to chronic pulmonary hypertension (cor pulmonale) although tricuspid valve disease is also possible. I would recommend considering treating this patient for chronic lower airway disease, ruling out tracheal collapse and potentially performing a thoracic CT or internist consultation for further assessment. Echocardiogram and cardiologist consultation are also likely indicated._x000D_
_x000D_
2. No evidence of pulmonary metastatic neoplasia (reported mammary masses)_x000D_
_x000D_
3. Moderate generalized hepatomegaly. Most likely representing vacuolar (metabolic) hepatopathy. Hepatic congestion, hepatitis or neoplasia are possible, but less likely._x000D_
_x000D_
4. Likely incidental left cranioventral abdominal wire-like peritoneal foreign body.</t>
  </si>
  <si>
    <t>Three orthogonal thoracic radiographs dated 12th June 2024 are available for review. There are no previous radiographs available for comparison. _x000D_
_x000D_
Airway findings: The thoracic trachea is undulating, with narrowing at the tracheal inlet. Throughout the lung parenchyma there is a mild to moderate bronchointerstitial opacification. No nodules or masses are seen._x000D_
_x000D_
Cardiovascular findings: There is a large smoothly marginated soft tissue opacity contiguous with the caudal dorsal border of the cardiac silhouette. A soft tissue opacity is superimposed on the caudal cardiac silhouette in the dorsoventral image.  The overall cardiac silhouette is still within normal limits. The pulmonary vessels as well as the mainstem vasculature are normal._x000D_
_x000D_
Mediastinum and pleural space: There are thin pleural fissure lines present._x000D_
_x000D_
Musculoskeletal findings: The patient is obese._x000D_
_x000D_
Included abdomen: There is moderate hepatomegaly with smooth borders.</t>
  </si>
  <si>
    <t>1. Left atrial dilation. This is most likely due to mixoid degeneration of the mitral valve. There is no evidence for cardiac insufficiency. _x000D_
2. The dorsal attenuation of the trachea is consistent with tracheomalacia, and/or redundant trachealis membrane. The extent of attenuation could cause coughing._x000D_
3. Dynamic mainstem bronchial compression due to the left atrial dilation causing coughing is also possible._x000D_
4. Diffuse mild bronchointerstitial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The interstitial component is most likely due to body habitus. Cardiogenic pulmonary oedema is possible.</t>
  </si>
  <si>
    <t>Radiography is insensitive for early cardiac insufficiency, therefore ECG, blood pressure measurements, and echocardiography may be considered for further evaluation, or baseline measurements._x000D_
Consider evaluation for airway collapse (fluoroscopy vs. right lateral inspiratory and expiratory radiographs vs. CT with virtual bronchoscopy). Alternatively consider medical management. Consider surgical consultation depending on clinical progression. _x000D_
Obesity predisposes for airway collapse, and reduction of thoracic volume (pickwickian syndrome), reducing pulmonary clearance, therefore weight management is advised._x000D_
 Respiratory workup including CBC, serum chemistry, urinalysis, Baermann faecal testing, 4DX, +/- respiratory panel as indicated may be considered.</t>
  </si>
  <si>
    <t xml:space="preserve">
1.MODERATE INTERSTITIAL TO ALVEOLAR INFILTRATE; CONCURRENT MODERATE BRONCHIAL PATTERN; MILD PERIHILAR INFILTRATE._x000D_
2.MODERATE BRONCHOINTERSTITIAL PULMONARY PATTERN; ALVEOLAR INFILTRATE or ATELECTASIS; DYNAMIC AIRWAY DISEASE._x000D_
3.Based on the AI airway/pulmonary findings, the probability of this patient having clinically detectable respiratorysigns is MEDIUM to HIGH (50-75%)_x000D_
4.Based on these AI airway/pulmonary findings, the probability of this patient having clinically detectable respiratory signs is HIGH (75%)_x000D_
5.Are respiratory signs present? If YES._x000D_
6.AI linked bacterial pneumonia treatment in dogs: https://platform.v2.vetology.net/doc/pneumonia-in-dogs-and-cats_x000D_
7.Are respiratory signs present? If YES._x000D_
8.Are respiratory signs present? If NO._x000D_
9.Are respiratory signs present? If NO._x000D_
10.Moderate cardiomegaly has been detected but Heart Failure is NOT suspected.</t>
  </si>
  <si>
    <t>Orthogonal radiographs of the thorax/abdomen, two views of the pelvis, and two lateral stifle views are provided. The cardiac silhouette and pulmonary vessels are normal size. Increased opacity overlying the left thorax on the VD projection is due to fat deposition and mild rotation. No abnormalities in the pulmonary parenchyma or pleural space. Normal tracheal diameter. In the abdomen there is no effusion or organomegaly. The gastrointestinal tract is minimally filled. No radiopaque cystic calculi. Normal lumbar spine. The coxofemoral joints are congruent. Both patellas are medially displaced. Right pelvic limb musculature is mildly reduced. There is stifle degenerative change on both of the lateral stifle views. The 2nd view is of the left stifle. The 1st view does not include the laterality marker, and laterality is uncertain. There is increased opacity overlying the cranial aspect of the stifle on both lateral views, although there is obliquity present. No popliteal lymphadenomegaly.</t>
  </si>
  <si>
    <t>1. Bilateral medial patellar luxation and stifle osteoarthrosis. No other definitive stifle abnormalities. Increased opacity overlying the cranial aspect of the stifle joints is concerning for cruciate ligament insult, however could be due to rotation. No coxofemoral joint abnormalities._x000D_
2. Normal abdomen and thorax.</t>
  </si>
  <si>
    <t>If discomfort is localized to the stifle and there is palpable stifle instability, surgical stabilization would be recommended.</t>
  </si>
  <si>
    <t>Opposite lateral and ventrodorsal thoracic and abdominal radiographs (6 images) dated June 12, 2024._x000D_
_x000D_
_x000D_
The cardiac silhouette, pulmonary vasculature, and great vessels are within normal limits. The pulmonary parenchyma is unremarkable with no nodules, infiltrates, or other pathology detected. The pleural space and diaphragm are normal. No mediastinal abnormalities are appreciated. The trachea is normal in diameter and course with gas filling its lumen. No intrathoracic lymphadenopathy is evident._x000D_
The liver is unremarkable in size and shape. There is the impression of a cluster of ovoid mineral foci superimposed with ventral liver on the right lateral view=ZZ90= this is suspected to represent gallbladder cholelithiasis. The spleen is unremarkable in size and shape=ZZ90= there is a rounded margin superimposed with the cranial aspect of the splenic tail on the right lateral view=ZZ90= this may represent incidental splenic folding, a superimposed small bowel segment, or less likely nodule. The stomach contains a mild volume of gas and fluid. The small intestine is unremarkable in size, course, and content. The cecum primarily contains gas. The colon contains formed stool and has a normal course. Both kidneys are normal in size and shape. The urinary bladder is small and fluid opaque. Retroperitoneal and peritoneal detail are normal. No regional lymphadenopathy is evident._x000D_
No aggressive or clinically significant osseous pathology is identified.</t>
  </si>
  <si>
    <t>1. Normal cardiovascular structures. The cause for the murmur is not radiographically apparent. Rule out valvular disease that has yet to result in gross structural changes to the heart vs. a benign or physiologic flow murmur._x000D_
2. Normal thorax with no radiographic contraindications to anesthesia._x000D_
3. Suspect gallbladder cholelithiasis. This is typically considered an incidental finding. 4. Rounded margin superimposed with the cranial aspect of the splenic tail on the right lateral view is suspected represent incidental splenic folding or a superimposed small bowel segment. A splenic nodule is considered less likely but cannot be completely ruled out.</t>
  </si>
  <si>
    <t>Consider a cardiac sparing anesthetic protocol (ex: CRIs of an opioid, benzodiazepine, and low-dose ketamine +/- etomidate to minimize propofol and inhalant use). _x000D_
An echocardiogram is needed to elucidate the cause for the murmur._x000D_
Focal splenic ultrasound to confirm or rule out nodular changes.</t>
  </si>
  <si>
    <t>Patient Name: BEAUX ingram, Date of study: Jun 12, 2024
8 images are provided for review
There are no previous radiographs for comparison.
The VD projection is likely mislabeled for laterality. 
Abdomen:
Liver: The liver is mildly to moderately enlarged but retains a smooth margin. 
Spleen: The spleen is moderately enlarged but retains a smooth margin. 
Kidneys and urinary bladder: On the VD projection, the left kidney is well visualized due to surrounding fat. Left renal size is at the upper limits of normal. On the lateral projection, the left kidney is obscured by the bowel. The right kidney is obscured on all projections. The urinary bladder is small. 
GI: The majority of the small bowel is displaced into the caudal abdomen. Several small bowel loops are gas filled and have a rigid appearance, particularly the small bowel in the mid-abdomen on the lateral projection and the descending duodenum on the VD projection. The gastric rugae appear thickened. No gastric foreign body is noted. The small bowel is diffusely gas- and fluid filled with max:min ratio of approximately 1.5. The colon is normal. 
Mesentery: Peripheral abdominal detail is normal. A mass effect is present in the mid-abdomen resulting in small bowel displacement away from the mid-abdomen on the lateral projections.
Caudal thorax: The CVC is normal to slightly small. The cranial portion of the descending aorta is mildly dilated which can be associated with systemic hypertension. 
Msk: The ventral sacral margin is not visualized through S1. The ventral aspect of S2 appears irregular. The dorsal spinous processes of the caudal sacrum have a lucent/lytic appearance. On the VD projection, the SI regions have a mottled appearance with the mottled appearance also involving the right iliac wing. Sclerosis affects the right iliac body on the VD projection. 
Caudal abdominal fat accumulations are present in the paralumbar region on the VD projection. These fat opacities are asymmetric in appearance with the presumed right side (side opposite the R marker) having a wispy appearance suggestive of fluid within the tissues. Caudal to this region on the right, there is potential bowel herniation into the right inguinal region. This appearance of potential bowel herniation does not persist on any of the lateral projections.
(amended on 06/13/2024 13:20)
There is questionable lysis affecting the cranial lumbar vertebrae on the lateral projection.</t>
  </si>
  <si>
    <t>1) Hepatosplenomegaly. Suspected sacral lytic lesion. Rule out disseminated histiocytic sarcoma vs. other neoplastic process affecting these three sites.
2) Mid-abdominal mass effect. DDx: secondary to splenomegaly and/or mesenteric lymphadenopathy. 
3) Suspected gastritis +/- enteritis. 
4) Paralumbar fat accumulations. These are likely incidental and the appearance to the right paralumbar fat may represent inflammation or fluid associated with the lytic sacral process. Liposarcoma causing the suspected sacral lysis is considered unlikely.
5) Only left kidney visible. DDx: right kidney obscured by overlying bowel vs. previous nephrectomy vs. aplasia or hypoplasia.
(amended on 06/13/2024 13:20)
1a) Multiple myeloma is another consideration for the lytic bone lesion and hepatosplenomegaly.</t>
  </si>
  <si>
    <t>Further evaluation of the sacrum to confirm a lytic lesion. Ultrasound evaluation of the sacrum could be performed at the time of abdominal ultrasound +/- FNAs or biopsies of the liver and spleen or abdominal and pelvic CT with contrast followed by FNAs or biopsies as warranted based on imaging findings.
(amended on 06/13/2024 13:13)
Remember the potential mislabeled laterality on the VD projection when evaluating for a sacral lesion.</t>
  </si>
  <si>
    <t>Four orthogonal thoracic radiographs dated 12th June 2024 are available for review. These are compared with previous radiographs dated 6th May 2023 and 18th April 2023._x000D_
_x000D_
Airway findings: The cervical and thoracic trachea have a normal size, outline and position. The carina, tracheal bifurcation and mainstem bronchi are normal. There is a mild caudal dorsal bronchial pattern._x000D_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No significant abnormalities are detected._x000D_
_x000D_
Included abdomen: Surgical staples are present in the hilar region of the liver consistent with gallbladder removal.</t>
  </si>
  <si>
    <t>1. Normal heart. The size and shape of the cardiac silhouette is comparable to previous radiographs. The murmur reported is most likely a physiologic murmur, or a compensated valvular disease such as myxoid degeneration of the mitral valve. _x000D_
2. Diffuse mild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t>
  </si>
  <si>
    <t>In absence of clinical signs indicative of cardiac disease, conservative management may be considered, alternatively with an acute onset murmur, and signs of exercise intolerance, echocardiography may be considered._x000D_
Correlate with palpation testing for upper respiratory disease. Respiratory workup including CBC, serum chemistry, urinalysis, Baermann faecal testing, 4DX, +/- respiratory panel as indicated may be considered.</t>
  </si>
  <si>
    <t>A dorsoventral and right lateral radiograph of the thorax are provided. The cardiac silhouette is normal size for this breed. Pulmonary vessels are normal size. There is diffuse increased lung opacity throughout, worst in the caudodorsal lungs. No pleural effusion. Focal increased opacity overlying the mid heart on the lateral view is likely incidental pleural fissure line. Normal tracheal diameter. Mild breed-related congenital vertebral malformations, incidental.</t>
  </si>
  <si>
    <t>Severe interstitial pattern that is worst in the caudodorsal lungs. Noncardiogenic pulmonary edema (hyperthermia/heat stroke, upper airway obstruction/brachycephalic airway disease, choking) is the most likely cause for this distribution pattern. Bronchopneumonia is given secondary consideration.</t>
  </si>
  <si>
    <t>Recommend a CBC, blood chemistry profile, empiric antibiotics, and supportive care.</t>
  </si>
  <si>
    <t xml:space="preserve">
1.Are respiratory signs present? If NO._x000D_
2.SEVERE INTERSTITIAL TO ALVEOLAR PATTERN; SEVERE BRONCHIAL PATTERN; SEVERE DYNAMIC AIRWAY DISEASE._x000D_
3.Based on these AI airway/pulmonary findings, the probability of this patient having clinically detectable respiratory signs is VERY HIGH (&gt;75%)_x000D_
4.Are respiratory signs present? If YES._x000D_
5.A moderate perihilar infitlrate has been detected._x000D_
6.The evaluation has a strong suspicion of pulmonary nodules or mass lesion being present._x000D_
7.Pleural fissure lines or moderate to severe pleural effusion has been detected. An overlying skin fold or in an obese animal, excessive pericardial fat could artifactually mimic the result of severe pleural effusion._x000D_
8.Severe cardiomegaly has been detected but Heart Failure is NOT suspected.</t>
  </si>
  <si>
    <t>Six orthogonal thoracic radiographs dated 12th June 2024 are available for review. There are no previous radiographs available for comparison. _x000D_
_x000D_
Airway findings: The thorax is well inflated in the images. The trachea has a normal position, shape and size. The carina and tracheal bifurcation are normal. There is a mild diffuse bronchial pattern, with caudal dorsal emphasis.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 _x000D_
_x000D_
Mediastinum and pleural space: No significant abnormalities are detected. _x000D_
_x000D_
Musculoskeletal findings:  No significant abnormalities are detected. _x000D_
_x000D_
Included abdomen: No significant abnormalities are detected.</t>
  </si>
  <si>
    <t>Three radiographs of the thorax are provided. There is moderate left-sided cardiomegaly. The right heart is also increased in convexity. Dorsal deviation of the caudal thoracic trachea and mainstem bronchi. The left mainstem bronchus is compressed. Pulmonary vessels are normal size. No abnormalities in the pulmonary parenchyma. Redundant dorsal trachealis membrane causes severe narrowed cervical trachea. In the cranial abdomen there are several small mineral densities overlying the ventral right liver consistent with choleliths, typically incidental. Narrowed T12-13 intervertebral disc space, also likely incidental.</t>
  </si>
  <si>
    <t>1. Moderate, predominantly left-sided cardiomegaly consistent with acquired mitral and tricuspid valve disease. There is no pulmonary venous congestion or pulmonary edema, however there is mainstem bronchial compression._x000D_
2. Dynamic cervical tracheal collapse, likely contributing to the cough.</t>
  </si>
  <si>
    <t>Recommend symptomatic treatment for the cough, utilization of a body harness in place of a neck lead, and echocardiogram.</t>
  </si>
  <si>
    <t xml:space="preserve">
1.Pleural fissure lines or small volume pleural effusion has been detected. In a mildly overweight animal, excessive pericardial fat can artifactually mimic the result of minimal pleural effusion._x000D_
2.Severe cardiomegaly has been detected but Heart Failure is NOT suspected._x000D_
3.Are respiratory signs present? If NO._x000D_
4.MODERATE DYNAMIC AIRWAY DISEASE; MODERATE INTERSTITIAL TO ALVEOLAR INFILTRATE, MILD BRONCHIAL PATTERN, MILD PERIHILAR INFILTRATE._x000D_
5.Based on these AI airway/pulmonary findings, the probability of this patient having clinically detectable respiratory signs is MEDIUM (50%)_x000D_
6.Are respiratory signs present? If YES.</t>
  </si>
  <si>
    <t>Eight orthogonal thoracic and lateral cervical radiographs dated left of June 2024 are available for review. There are no previous radiographs available for comparison. _x000D_
_x000D_
Airway findings: There is a poorly marginated soft tissue mass effect in the region of the larynx, with poor outline of the laryngeal cartilages. The cervical and thoracic trachea have a normal size, outline and position. The carina, tracheal bifurcation and mainstem bronchi are normal. Throughout the lung parenchyma there is a mild bronchointerstitial opacification. Mainstem bronchial mineralisation is present._x000D_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The patient is morbidly obese._x000D_
_x000D_
Included abdomen: No significant abnormalities are detected.</t>
  </si>
  <si>
    <t>1. Laryngeal paralaryngeal mass effect: A paralaryngeal mass such as a thyroid adenoma, adenocarcinoma is prioritised. A laryngeal neoplasm should be considered. A paralaryngeal abscess is also possible. Cellulitis secondary to a penetrating injury is also possible._x000D_
2. Bronchointerstitial opacification consistent with body habitus and normal ageing.
(amended on 06/12/2024 20:31)
Considering laryngeal paralysis as a possibility.</t>
  </si>
  <si>
    <t>Musculoskeletal ultrasound or contrast enhanced CT of the laryngeal region, as well as thorax is advised. FNA of any visible masses.
(amended on 06/12/2024 20:31)
Upper airway examination/endoscopy is also advised.</t>
  </si>
  <si>
    <t>Three orthogonal thoracic radiographs dated 11th June 2024 are available for review. There are no previous radiographs available for comparison. _x000D_
_x000D_
Airway findings: The cervical and thoracic trachea have a normal size, outline and position. The carina, tracheal bifurcation and mainstem bronchi are normal. There is a mild mainly caudal dorsal bronchial opacification. No nodules or masses are seen._x000D_
_x000D_
Cardiovascular findings: The cardiac silhouette is normal in shape, size and margination. The cranial and caudal pulmonary vasculature is normal. The caudal vena cava is normal. The aorta and mainstem pulmonary artery have a normal outline in the vd/dv l image._x000D_
_x000D_
Mediastinum and pleural space: No significant abnormalities are detected._x000D_
_x000D_
Musculoskeletal findings: The patient is mildly overweight. There are dorsal subcutaneous gas lucencies consistent with subcutaneous injection. There is T12-13 intervertebral disc collapse with ventral spondylosis deformans._x000D_
_x000D_
Included abdomen: No significant abnormalities are detected.</t>
  </si>
  <si>
    <t>Diffuse mild bronchial pattern: Primary consideration should be given to normal ageing/fibrosis from previous disease. Allergic bronchitis, chronic bacterial /viral bronchitis +/- parasitic bronchitis should also be considered. Less likely are hyperardenocorticism, neoplasia (such a lymphoma) or idiopathic pulmonary fibrosis.  _x000D_
The popping sounds described may be related to an upper airway abnormality as reported.</t>
  </si>
  <si>
    <t xml:space="preserve">
1.There is no evidence of PLEURAL EFFUSION._x000D_
2.A mild bronchointerstitial pulmonary pattern and minimal perihilar infiltrate have been detected._x000D_
3.Mild cardiomegaly has been detected but Heart Failure is NOT suspected.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</si>
</sst>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left" vertical="top" wrapText="1"/>
    </xf>
    <xf numFmtId="0" fontId="0" fillId="0" borderId="0" xfId="0"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001"/>
  <sheetViews>
    <sheetView tabSelected="1" workbookViewId="0">
      <selection activeCell="I2" sqref="I2"/>
    </sheetView>
  </sheetViews>
  <sheetFormatPr defaultRowHeight="15"/>
  <cols>
    <col min="4" max="7" width="34" customWidth="1"/>
    <col min="8" max="10" width="36.42578125" customWidth="1"/>
  </cols>
  <sheetData>
    <row r="1" spans="1:31" ht="1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ht="409.5">
      <c r="A2" s="2">
        <v>2771776</v>
      </c>
      <c r="B2" s="2">
        <f>HYPERLINK("https://platform.v2.vetology.net/cases/2771776/screening-report/1?type=pdf&amp;v=v6&amp;scorecard=1&amp;secret_key=BX%25IJ%24%2F65ieZ%29f6", 2771776)</f>
        <v>2771776</v>
      </c>
      <c r="C2" s="2">
        <f>HYPERLINK("https://platform.v2.vetology.net/report/v/final/"&amp;2771776, 2771776)</f>
        <v>2771776</v>
      </c>
      <c r="D2" s="2" t="s">
        <v>31</v>
      </c>
      <c r="E2" s="2" t="s">
        <v>32</v>
      </c>
      <c r="F2" s="2" t="s">
        <v>33</v>
      </c>
      <c r="G2" s="2" t="s">
        <v>34</v>
      </c>
      <c r="H2" s="2" t="s">
        <v>35</v>
      </c>
      <c r="I2" s="2" t="s">
        <v>36</v>
      </c>
      <c r="J2" s="2" t="s">
        <v>37</v>
      </c>
      <c r="K2" s="2" t="s">
        <v>38</v>
      </c>
      <c r="L2" s="2" t="s">
        <v>38</v>
      </c>
      <c r="M2" s="2" t="s">
        <v>38</v>
      </c>
      <c r="N2" s="2" t="s">
        <v>38</v>
      </c>
      <c r="O2" s="2" t="s">
        <v>38</v>
      </c>
      <c r="P2" s="2" t="s">
        <v>38</v>
      </c>
      <c r="Q2" s="2" t="s">
        <v>39</v>
      </c>
      <c r="R2" s="2" t="s">
        <v>38</v>
      </c>
      <c r="S2" s="2" t="s">
        <v>38</v>
      </c>
      <c r="T2" s="2" t="s">
        <v>38</v>
      </c>
      <c r="U2" s="2" t="s">
        <v>39</v>
      </c>
      <c r="V2" s="2" t="s">
        <v>38</v>
      </c>
      <c r="W2" s="2" t="s">
        <v>38</v>
      </c>
      <c r="X2" s="2" t="s">
        <v>38</v>
      </c>
      <c r="Y2" s="2" t="s">
        <v>38</v>
      </c>
      <c r="Z2" s="2" t="s">
        <v>38</v>
      </c>
      <c r="AA2" s="2" t="s">
        <v>38</v>
      </c>
      <c r="AB2" s="2" t="s">
        <v>38</v>
      </c>
      <c r="AC2" s="2" t="s">
        <v>38</v>
      </c>
      <c r="AD2" s="2" t="s">
        <v>38</v>
      </c>
      <c r="AE2" s="2" t="s">
        <v>40</v>
      </c>
    </row>
    <row r="3" spans="1:31" ht="409.5">
      <c r="A3" s="2">
        <v>2771700</v>
      </c>
      <c r="B3" s="2">
        <f>HYPERLINK("https://platform.v2.vetology.net/cases/2771700/screening-report/1?type=pdf&amp;v=v6&amp;scorecard=1&amp;secret_key=BX%25IJ%24%2F65ieZ%29f6", 2771700)</f>
        <v>2771700</v>
      </c>
      <c r="C3" s="2">
        <f>HYPERLINK("https://platform.v2.vetology.net/report/v/final/"&amp;2771700, 2771700)</f>
        <v>2771700</v>
      </c>
      <c r="D3" s="2" t="s">
        <v>41</v>
      </c>
      <c r="E3" s="2" t="s">
        <v>42</v>
      </c>
      <c r="F3" s="2" t="s">
        <v>43</v>
      </c>
      <c r="G3" s="2" t="s">
        <v>44</v>
      </c>
      <c r="H3" s="2" t="s">
        <v>45</v>
      </c>
      <c r="I3" s="2" t="s">
        <v>46</v>
      </c>
      <c r="J3" s="2"/>
      <c r="K3" s="2" t="s">
        <v>39</v>
      </c>
      <c r="L3" s="2" t="s">
        <v>39</v>
      </c>
      <c r="M3" s="2" t="s">
        <v>39</v>
      </c>
      <c r="N3" s="2" t="s">
        <v>39</v>
      </c>
      <c r="O3" s="2" t="s">
        <v>39</v>
      </c>
      <c r="P3" s="2" t="s">
        <v>39</v>
      </c>
      <c r="Q3" s="2" t="s">
        <v>39</v>
      </c>
      <c r="R3" s="2" t="s">
        <v>38</v>
      </c>
      <c r="S3" s="2" t="s">
        <v>39</v>
      </c>
      <c r="T3" s="2" t="s">
        <v>38</v>
      </c>
      <c r="U3" s="2" t="s">
        <v>39</v>
      </c>
      <c r="V3" s="2" t="s">
        <v>39</v>
      </c>
      <c r="W3" s="2" t="s">
        <v>39</v>
      </c>
      <c r="X3" s="2" t="s">
        <v>39</v>
      </c>
      <c r="Y3" s="2" t="s">
        <v>39</v>
      </c>
      <c r="Z3" s="2" t="s">
        <v>39</v>
      </c>
      <c r="AA3" s="2" t="s">
        <v>39</v>
      </c>
      <c r="AB3" s="2" t="s">
        <v>39</v>
      </c>
      <c r="AC3" s="2" t="s">
        <v>38</v>
      </c>
      <c r="AD3" s="2" t="s">
        <v>39</v>
      </c>
      <c r="AE3" s="2" t="s">
        <v>39</v>
      </c>
    </row>
    <row r="4" spans="1:31" ht="409.5">
      <c r="A4" s="2">
        <v>2771679</v>
      </c>
      <c r="B4" s="2">
        <f>HYPERLINK("https://platform.v2.vetology.net/cases/2771679/screening-report/1?type=pdf&amp;v=v6&amp;scorecard=1&amp;secret_key=BX%25IJ%24%2F65ieZ%29f6", 2771679)</f>
        <v>2771679</v>
      </c>
      <c r="C4" s="2">
        <f>HYPERLINK("https://platform.v2.vetology.net/report/v/final/"&amp;2771679, 2771679)</f>
        <v>2771679</v>
      </c>
      <c r="D4" s="2" t="s">
        <v>47</v>
      </c>
      <c r="E4" s="2" t="s">
        <v>48</v>
      </c>
      <c r="F4" s="2" t="s">
        <v>43</v>
      </c>
      <c r="G4" s="2" t="s">
        <v>44</v>
      </c>
      <c r="H4" s="2" t="s">
        <v>49</v>
      </c>
      <c r="I4" s="2" t="s">
        <v>36</v>
      </c>
      <c r="J4" s="2" t="s">
        <v>37</v>
      </c>
      <c r="K4" s="2" t="s">
        <v>38</v>
      </c>
      <c r="L4" s="2" t="s">
        <v>38</v>
      </c>
      <c r="M4" s="2" t="s">
        <v>38</v>
      </c>
      <c r="N4" s="2" t="s">
        <v>38</v>
      </c>
      <c r="O4" s="2" t="s">
        <v>38</v>
      </c>
      <c r="P4" s="2" t="s">
        <v>38</v>
      </c>
      <c r="Q4" s="2" t="s">
        <v>39</v>
      </c>
      <c r="R4" s="2" t="s">
        <v>39</v>
      </c>
      <c r="S4" s="2" t="s">
        <v>38</v>
      </c>
      <c r="T4" s="2" t="s">
        <v>38</v>
      </c>
      <c r="U4" s="2" t="s">
        <v>38</v>
      </c>
      <c r="V4" s="2" t="s">
        <v>38</v>
      </c>
      <c r="W4" s="2" t="s">
        <v>38</v>
      </c>
      <c r="X4" s="2" t="s">
        <v>38</v>
      </c>
      <c r="Y4" s="2" t="s">
        <v>38</v>
      </c>
      <c r="Z4" s="2" t="s">
        <v>38</v>
      </c>
      <c r="AA4" s="2" t="s">
        <v>39</v>
      </c>
      <c r="AB4" s="2" t="s">
        <v>38</v>
      </c>
      <c r="AC4" s="2" t="s">
        <v>38</v>
      </c>
      <c r="AD4" s="2" t="s">
        <v>38</v>
      </c>
      <c r="AE4" s="2" t="s">
        <v>39</v>
      </c>
    </row>
    <row r="5" spans="1:31" ht="409.5">
      <c r="A5" s="2">
        <v>2771608</v>
      </c>
      <c r="B5" s="2">
        <f>HYPERLINK("https://platform.v2.vetology.net/cases/2771608/screening-report/1?type=pdf&amp;v=v6&amp;scorecard=1&amp;secret_key=BX%25IJ%24%2F65ieZ%29f6", 2771608)</f>
        <v>2771608</v>
      </c>
      <c r="C5" s="2">
        <f>HYPERLINK("https://platform.v2.vetology.net/report/v/final/"&amp;2771608, 2771608)</f>
        <v>2771608</v>
      </c>
      <c r="D5" s="2" t="s">
        <v>50</v>
      </c>
      <c r="E5" s="2" t="s">
        <v>51</v>
      </c>
      <c r="F5" s="2" t="s">
        <v>52</v>
      </c>
      <c r="G5" s="2" t="s">
        <v>53</v>
      </c>
      <c r="H5" s="2" t="s">
        <v>54</v>
      </c>
      <c r="I5" s="2" t="s">
        <v>36</v>
      </c>
      <c r="J5" s="2" t="s">
        <v>37</v>
      </c>
      <c r="K5" s="2" t="s">
        <v>38</v>
      </c>
      <c r="L5" s="2" t="s">
        <v>39</v>
      </c>
      <c r="M5" s="2" t="s">
        <v>38</v>
      </c>
      <c r="N5" s="2" t="s">
        <v>38</v>
      </c>
      <c r="O5" s="2" t="s">
        <v>39</v>
      </c>
      <c r="P5" s="2" t="s">
        <v>38</v>
      </c>
      <c r="Q5" s="2" t="s">
        <v>39</v>
      </c>
      <c r="R5" s="2" t="s">
        <v>38</v>
      </c>
      <c r="S5" s="2" t="s">
        <v>38</v>
      </c>
      <c r="T5" s="2" t="s">
        <v>38</v>
      </c>
      <c r="U5" s="2" t="s">
        <v>39</v>
      </c>
      <c r="V5" s="2" t="s">
        <v>38</v>
      </c>
      <c r="W5" s="2" t="s">
        <v>38</v>
      </c>
      <c r="X5" s="2" t="s">
        <v>39</v>
      </c>
      <c r="Y5" s="2" t="s">
        <v>38</v>
      </c>
      <c r="Z5" s="2" t="s">
        <v>38</v>
      </c>
      <c r="AA5" s="2" t="s">
        <v>38</v>
      </c>
      <c r="AB5" s="2" t="s">
        <v>38</v>
      </c>
      <c r="AC5" s="2" t="s">
        <v>38</v>
      </c>
      <c r="AD5" s="2" t="s">
        <v>38</v>
      </c>
      <c r="AE5" s="2" t="s">
        <v>40</v>
      </c>
    </row>
    <row r="6" spans="1:31" ht="409.5">
      <c r="A6" s="2">
        <v>2771606</v>
      </c>
      <c r="B6" s="2">
        <f>HYPERLINK("https://platform.v2.vetology.net/cases/2771606/screening-report/1?type=pdf&amp;v=v6&amp;scorecard=1&amp;secret_key=BX%25IJ%24%2F65ieZ%29f6", 2771606)</f>
        <v>2771606</v>
      </c>
      <c r="C6" s="2">
        <f>HYPERLINK("https://platform.v2.vetology.net/report/v/final/"&amp;2771606, 2771606)</f>
        <v>2771606</v>
      </c>
      <c r="D6" s="2" t="s">
        <v>55</v>
      </c>
      <c r="E6" s="2" t="s">
        <v>56</v>
      </c>
      <c r="F6" s="2" t="s">
        <v>57</v>
      </c>
      <c r="G6" s="2" t="s">
        <v>44</v>
      </c>
      <c r="H6" s="2" t="s">
        <v>58</v>
      </c>
      <c r="I6" s="2" t="s">
        <v>59</v>
      </c>
      <c r="J6" s="2" t="s">
        <v>37</v>
      </c>
      <c r="K6" s="2" t="s">
        <v>39</v>
      </c>
      <c r="L6" s="2" t="s">
        <v>39</v>
      </c>
      <c r="M6" s="2" t="s">
        <v>39</v>
      </c>
      <c r="N6" s="2" t="s">
        <v>39</v>
      </c>
      <c r="O6" s="2" t="s">
        <v>39</v>
      </c>
      <c r="P6" s="2" t="s">
        <v>39</v>
      </c>
      <c r="Q6" s="2" t="s">
        <v>39</v>
      </c>
      <c r="R6" s="2" t="s">
        <v>38</v>
      </c>
      <c r="S6" s="2" t="s">
        <v>38</v>
      </c>
      <c r="T6" s="2" t="s">
        <v>38</v>
      </c>
      <c r="U6" s="2" t="s">
        <v>39</v>
      </c>
      <c r="V6" s="2" t="s">
        <v>39</v>
      </c>
      <c r="W6" s="2" t="s">
        <v>38</v>
      </c>
      <c r="X6" s="2" t="s">
        <v>39</v>
      </c>
      <c r="Y6" s="2" t="s">
        <v>39</v>
      </c>
      <c r="Z6" s="2" t="s">
        <v>38</v>
      </c>
      <c r="AA6" s="2" t="s">
        <v>39</v>
      </c>
      <c r="AB6" s="2" t="s">
        <v>39</v>
      </c>
      <c r="AC6" s="2" t="s">
        <v>38</v>
      </c>
      <c r="AD6" s="2" t="s">
        <v>38</v>
      </c>
      <c r="AE6" s="2" t="s">
        <v>40</v>
      </c>
    </row>
    <row r="7" spans="1:31" ht="409.5">
      <c r="A7" s="2">
        <v>2771599</v>
      </c>
      <c r="B7" s="2">
        <f>HYPERLINK("https://platform.v2.vetology.net/cases/2771599/screening-report/1?type=pdf&amp;v=v6&amp;scorecard=1&amp;secret_key=BX%25IJ%24%2F65ieZ%29f6", 2771599)</f>
        <v>2771599</v>
      </c>
      <c r="C7" s="2">
        <f>HYPERLINK("https://platform.v2.vetology.net/report/v/final/"&amp;2771599, 2771599)</f>
        <v>2771599</v>
      </c>
      <c r="D7" s="2" t="s">
        <v>60</v>
      </c>
      <c r="E7" s="2" t="s">
        <v>61</v>
      </c>
      <c r="F7" s="2" t="s">
        <v>43</v>
      </c>
      <c r="G7" s="2" t="s">
        <v>44</v>
      </c>
      <c r="H7" s="2" t="s">
        <v>62</v>
      </c>
      <c r="I7" s="2" t="s">
        <v>46</v>
      </c>
      <c r="J7" s="2"/>
      <c r="K7" s="2" t="s">
        <v>39</v>
      </c>
      <c r="L7" s="2" t="s">
        <v>39</v>
      </c>
      <c r="M7" s="2" t="s">
        <v>39</v>
      </c>
      <c r="N7" s="2" t="s">
        <v>39</v>
      </c>
      <c r="O7" s="2" t="s">
        <v>39</v>
      </c>
      <c r="P7" s="2" t="s">
        <v>39</v>
      </c>
      <c r="Q7" s="2" t="s">
        <v>39</v>
      </c>
      <c r="R7" s="2" t="s">
        <v>38</v>
      </c>
      <c r="S7" s="2" t="s">
        <v>38</v>
      </c>
      <c r="T7" s="2" t="s">
        <v>39</v>
      </c>
      <c r="U7" s="2" t="s">
        <v>39</v>
      </c>
      <c r="V7" s="2" t="s">
        <v>39</v>
      </c>
      <c r="W7" s="2" t="s">
        <v>38</v>
      </c>
      <c r="X7" s="2" t="s">
        <v>39</v>
      </c>
      <c r="Y7" s="2" t="s">
        <v>39</v>
      </c>
      <c r="Z7" s="2" t="s">
        <v>38</v>
      </c>
      <c r="AA7" s="2" t="s">
        <v>39</v>
      </c>
      <c r="AB7" s="2" t="s">
        <v>39</v>
      </c>
      <c r="AC7" s="2" t="s">
        <v>38</v>
      </c>
      <c r="AD7" s="2" t="s">
        <v>39</v>
      </c>
      <c r="AE7" s="2" t="s">
        <v>39</v>
      </c>
    </row>
    <row r="8" spans="1:31" ht="409.5">
      <c r="A8" s="2">
        <v>2771473</v>
      </c>
      <c r="B8" s="2">
        <f>HYPERLINK("https://platform.v2.vetology.net/cases/2771473/screening-report/1?type=pdf&amp;v=v6&amp;scorecard=1&amp;secret_key=BX%25IJ%24%2F65ieZ%29f6", 2771473)</f>
        <v>2771473</v>
      </c>
      <c r="C8" s="2">
        <f>HYPERLINK("https://platform.v2.vetology.net/report/v/final/"&amp;2771473, 2771473)</f>
        <v>2771473</v>
      </c>
      <c r="D8" s="2" t="s">
        <v>63</v>
      </c>
      <c r="E8" s="2" t="s">
        <v>64</v>
      </c>
      <c r="F8" s="2" t="s">
        <v>65</v>
      </c>
      <c r="G8" s="2" t="s">
        <v>53</v>
      </c>
      <c r="H8" s="2" t="s">
        <v>66</v>
      </c>
      <c r="I8" s="2" t="s">
        <v>36</v>
      </c>
      <c r="J8" s="2" t="s">
        <v>37</v>
      </c>
      <c r="K8" s="2" t="s">
        <v>39</v>
      </c>
      <c r="L8" s="2" t="s">
        <v>39</v>
      </c>
      <c r="M8" s="2" t="s">
        <v>38</v>
      </c>
      <c r="N8" s="2" t="s">
        <v>39</v>
      </c>
      <c r="O8" s="2" t="s">
        <v>38</v>
      </c>
      <c r="P8" s="2" t="s">
        <v>39</v>
      </c>
      <c r="Q8" s="2" t="s">
        <v>39</v>
      </c>
      <c r="R8" s="2" t="s">
        <v>39</v>
      </c>
      <c r="S8" s="2" t="s">
        <v>39</v>
      </c>
      <c r="T8" s="2" t="s">
        <v>39</v>
      </c>
      <c r="U8" s="2" t="s">
        <v>39</v>
      </c>
      <c r="V8" s="2" t="s">
        <v>39</v>
      </c>
      <c r="W8" s="2" t="s">
        <v>39</v>
      </c>
      <c r="X8" s="2" t="s">
        <v>39</v>
      </c>
      <c r="Y8" s="2" t="s">
        <v>39</v>
      </c>
      <c r="Z8" s="2" t="s">
        <v>38</v>
      </c>
      <c r="AA8" s="2" t="s">
        <v>39</v>
      </c>
      <c r="AB8" s="2" t="s">
        <v>39</v>
      </c>
      <c r="AC8" s="2" t="s">
        <v>38</v>
      </c>
      <c r="AD8" s="2" t="s">
        <v>39</v>
      </c>
      <c r="AE8" s="2" t="s">
        <v>39</v>
      </c>
    </row>
    <row r="9" spans="1:31" ht="409.5">
      <c r="A9" s="2">
        <v>2771467</v>
      </c>
      <c r="B9" s="2">
        <f>HYPERLINK("https://platform.v2.vetology.net/cases/2771467/screening-report/1?type=pdf&amp;v=v6&amp;scorecard=1&amp;secret_key=BX%25IJ%24%2F65ieZ%29f6", 2771467)</f>
        <v>2771467</v>
      </c>
      <c r="C9" s="2">
        <f>HYPERLINK("https://platform.v2.vetology.net/report/v/final/"&amp;2771467, 2771467)</f>
        <v>2771467</v>
      </c>
      <c r="D9" s="2" t="s">
        <v>67</v>
      </c>
      <c r="E9" s="2" t="s">
        <v>68</v>
      </c>
      <c r="F9" s="2" t="s">
        <v>43</v>
      </c>
      <c r="G9" s="2" t="s">
        <v>44</v>
      </c>
      <c r="H9" s="2" t="s">
        <v>69</v>
      </c>
      <c r="I9" s="2" t="s">
        <v>46</v>
      </c>
      <c r="J9" s="2"/>
      <c r="K9" s="2" t="s">
        <v>39</v>
      </c>
      <c r="L9" s="2" t="s">
        <v>39</v>
      </c>
      <c r="M9" s="2" t="s">
        <v>39</v>
      </c>
      <c r="N9" s="2" t="s">
        <v>39</v>
      </c>
      <c r="O9" s="2" t="s">
        <v>39</v>
      </c>
      <c r="P9" s="2" t="s">
        <v>39</v>
      </c>
      <c r="Q9" s="2" t="s">
        <v>39</v>
      </c>
      <c r="R9" s="2" t="s">
        <v>39</v>
      </c>
      <c r="S9" s="2" t="s">
        <v>39</v>
      </c>
      <c r="T9" s="2" t="s">
        <v>39</v>
      </c>
      <c r="U9" s="2" t="s">
        <v>39</v>
      </c>
      <c r="V9" s="2" t="s">
        <v>39</v>
      </c>
      <c r="W9" s="2" t="s">
        <v>39</v>
      </c>
      <c r="X9" s="2" t="s">
        <v>39</v>
      </c>
      <c r="Y9" s="2" t="s">
        <v>39</v>
      </c>
      <c r="Z9" s="2" t="s">
        <v>39</v>
      </c>
      <c r="AA9" s="2" t="s">
        <v>39</v>
      </c>
      <c r="AB9" s="2" t="s">
        <v>39</v>
      </c>
      <c r="AC9" s="2" t="s">
        <v>39</v>
      </c>
      <c r="AD9" s="2" t="s">
        <v>39</v>
      </c>
      <c r="AE9" s="2" t="s">
        <v>39</v>
      </c>
    </row>
    <row r="10" spans="1:31" ht="409.5">
      <c r="A10" s="2">
        <v>2771464</v>
      </c>
      <c r="B10" s="2">
        <f>HYPERLINK("https://platform.v2.vetology.net/cases/2771464/screening-report/1?type=pdf&amp;v=v6&amp;scorecard=1&amp;secret_key=BX%25IJ%24%2F65ieZ%29f6", 2771464)</f>
        <v>2771464</v>
      </c>
      <c r="C10" s="2">
        <f>HYPERLINK("https://platform.v2.vetology.net/report/v/final/"&amp;2771464, 2771464)</f>
        <v>2771464</v>
      </c>
      <c r="D10" s="2" t="s">
        <v>70</v>
      </c>
      <c r="E10" s="2" t="s">
        <v>71</v>
      </c>
      <c r="F10" s="2" t="s">
        <v>43</v>
      </c>
      <c r="G10" s="2" t="s">
        <v>44</v>
      </c>
      <c r="H10" s="2" t="s">
        <v>72</v>
      </c>
      <c r="I10" s="2" t="s">
        <v>73</v>
      </c>
      <c r="J10" s="2" t="s">
        <v>74</v>
      </c>
      <c r="K10" s="2" t="s">
        <v>38</v>
      </c>
      <c r="L10" s="2" t="s">
        <v>38</v>
      </c>
      <c r="M10" s="2" t="s">
        <v>38</v>
      </c>
      <c r="N10" s="2" t="s">
        <v>38</v>
      </c>
      <c r="O10" s="2" t="s">
        <v>38</v>
      </c>
      <c r="P10" s="2" t="s">
        <v>38</v>
      </c>
      <c r="Q10" s="2" t="s">
        <v>38</v>
      </c>
      <c r="R10" s="2" t="s">
        <v>38</v>
      </c>
      <c r="S10" s="2" t="s">
        <v>38</v>
      </c>
      <c r="T10" s="2" t="s">
        <v>38</v>
      </c>
      <c r="U10" s="2" t="s">
        <v>38</v>
      </c>
      <c r="V10" s="2" t="s">
        <v>38</v>
      </c>
      <c r="W10" s="2" t="s">
        <v>38</v>
      </c>
      <c r="X10" s="2" t="s">
        <v>38</v>
      </c>
      <c r="Y10" s="2" t="s">
        <v>38</v>
      </c>
      <c r="Z10" s="2" t="s">
        <v>38</v>
      </c>
      <c r="AA10" s="2" t="s">
        <v>38</v>
      </c>
      <c r="AB10" s="2" t="s">
        <v>38</v>
      </c>
      <c r="AC10" s="2" t="s">
        <v>38</v>
      </c>
      <c r="AD10" s="2" t="s">
        <v>38</v>
      </c>
      <c r="AE10" s="2" t="s">
        <v>40</v>
      </c>
    </row>
    <row r="11" spans="1:31" ht="409.5">
      <c r="A11" s="2">
        <v>2771417</v>
      </c>
      <c r="B11" s="2">
        <f>HYPERLINK("https://platform.v2.vetology.net/cases/2771417/screening-report/1?type=pdf&amp;v=v6&amp;scorecard=1&amp;secret_key=BX%25IJ%24%2F65ieZ%29f6", 2771417)</f>
        <v>2771417</v>
      </c>
      <c r="C11" s="2">
        <f>HYPERLINK("https://platform.v2.vetology.net/report/v/final/"&amp;2771417, 2771417)</f>
        <v>2771417</v>
      </c>
      <c r="D11" s="2" t="s">
        <v>75</v>
      </c>
      <c r="E11" s="2" t="s">
        <v>76</v>
      </c>
      <c r="F11" s="2" t="s">
        <v>77</v>
      </c>
      <c r="G11" s="2" t="s">
        <v>53</v>
      </c>
      <c r="H11" s="2" t="s">
        <v>78</v>
      </c>
      <c r="I11" s="2" t="s">
        <v>73</v>
      </c>
      <c r="J11" s="2" t="s">
        <v>74</v>
      </c>
      <c r="K11" s="2" t="s">
        <v>38</v>
      </c>
      <c r="L11" s="2" t="s">
        <v>38</v>
      </c>
      <c r="M11" s="2" t="s">
        <v>38</v>
      </c>
      <c r="N11" s="2" t="s">
        <v>38</v>
      </c>
      <c r="O11" s="2" t="s">
        <v>38</v>
      </c>
      <c r="P11" s="2" t="s">
        <v>38</v>
      </c>
      <c r="Q11" s="2" t="s">
        <v>38</v>
      </c>
      <c r="R11" s="2" t="s">
        <v>38</v>
      </c>
      <c r="S11" s="2" t="s">
        <v>38</v>
      </c>
      <c r="T11" s="2" t="s">
        <v>38</v>
      </c>
      <c r="U11" s="2" t="s">
        <v>38</v>
      </c>
      <c r="V11" s="2" t="s">
        <v>38</v>
      </c>
      <c r="W11" s="2" t="s">
        <v>38</v>
      </c>
      <c r="X11" s="2" t="s">
        <v>38</v>
      </c>
      <c r="Y11" s="2" t="s">
        <v>38</v>
      </c>
      <c r="Z11" s="2" t="s">
        <v>38</v>
      </c>
      <c r="AA11" s="2" t="s">
        <v>38</v>
      </c>
      <c r="AB11" s="2" t="s">
        <v>38</v>
      </c>
      <c r="AC11" s="2" t="s">
        <v>38</v>
      </c>
      <c r="AD11" s="2" t="s">
        <v>38</v>
      </c>
      <c r="AE11" s="2" t="s">
        <v>40</v>
      </c>
    </row>
    <row r="12" spans="1:31" ht="409.5">
      <c r="A12" s="2">
        <v>2771369</v>
      </c>
      <c r="B12" s="2">
        <f>HYPERLINK("https://platform.v2.vetology.net/cases/2771369/screening-report/1?type=pdf&amp;v=v6&amp;scorecard=1&amp;secret_key=BX%25IJ%24%2F65ieZ%29f6", 2771369)</f>
        <v>2771369</v>
      </c>
      <c r="C12" s="2">
        <f>HYPERLINK("https://platform.v2.vetology.net/report/v/final/"&amp;2771369, 2771369)</f>
        <v>2771369</v>
      </c>
      <c r="D12" s="2" t="s">
        <v>79</v>
      </c>
      <c r="E12" s="2" t="s">
        <v>80</v>
      </c>
      <c r="F12" s="2"/>
      <c r="G12" s="2" t="s">
        <v>81</v>
      </c>
      <c r="H12" s="2" t="s">
        <v>82</v>
      </c>
      <c r="I12" s="2" t="s">
        <v>59</v>
      </c>
      <c r="J12" s="2" t="s">
        <v>37</v>
      </c>
      <c r="K12" s="2" t="s">
        <v>39</v>
      </c>
      <c r="L12" s="2" t="s">
        <v>39</v>
      </c>
      <c r="M12" s="2" t="s">
        <v>39</v>
      </c>
      <c r="N12" s="2" t="s">
        <v>39</v>
      </c>
      <c r="O12" s="2" t="s">
        <v>39</v>
      </c>
      <c r="P12" s="2" t="s">
        <v>39</v>
      </c>
      <c r="Q12" s="2" t="s">
        <v>39</v>
      </c>
      <c r="R12" s="2" t="s">
        <v>39</v>
      </c>
      <c r="S12" s="2" t="s">
        <v>38</v>
      </c>
      <c r="T12" s="2" t="s">
        <v>39</v>
      </c>
      <c r="U12" s="2" t="s">
        <v>39</v>
      </c>
      <c r="V12" s="2" t="s">
        <v>38</v>
      </c>
      <c r="W12" s="2" t="s">
        <v>39</v>
      </c>
      <c r="X12" s="2" t="s">
        <v>39</v>
      </c>
      <c r="Y12" s="2" t="s">
        <v>39</v>
      </c>
      <c r="Z12" s="2" t="s">
        <v>38</v>
      </c>
      <c r="AA12" s="2" t="s">
        <v>38</v>
      </c>
      <c r="AB12" s="2" t="s">
        <v>39</v>
      </c>
      <c r="AC12" s="2" t="s">
        <v>38</v>
      </c>
      <c r="AD12" s="2" t="s">
        <v>38</v>
      </c>
      <c r="AE12" s="2" t="s">
        <v>39</v>
      </c>
    </row>
    <row r="13" spans="1:31" ht="409.5">
      <c r="A13" s="2">
        <v>2771335</v>
      </c>
      <c r="B13" s="2">
        <f>HYPERLINK("https://platform.v2.vetology.net/cases/2771335/screening-report/1?type=pdf&amp;v=v6&amp;scorecard=1&amp;secret_key=BX%25IJ%24%2F65ieZ%29f6", 2771335)</f>
        <v>2771335</v>
      </c>
      <c r="C13" s="2">
        <f>HYPERLINK("https://platform.v2.vetology.net/report/v/final/"&amp;2771335, 2771335)</f>
        <v>2771335</v>
      </c>
      <c r="D13" s="2" t="s">
        <v>83</v>
      </c>
      <c r="E13" s="2" t="s">
        <v>84</v>
      </c>
      <c r="F13" s="2" t="s">
        <v>43</v>
      </c>
      <c r="G13" s="2" t="s">
        <v>44</v>
      </c>
      <c r="H13" s="2" t="s">
        <v>69</v>
      </c>
      <c r="I13" s="2" t="s">
        <v>46</v>
      </c>
      <c r="J13" s="2"/>
      <c r="K13" s="2" t="s">
        <v>39</v>
      </c>
      <c r="L13" s="2" t="s">
        <v>39</v>
      </c>
      <c r="M13" s="2" t="s">
        <v>39</v>
      </c>
      <c r="N13" s="2" t="s">
        <v>39</v>
      </c>
      <c r="O13" s="2" t="s">
        <v>39</v>
      </c>
      <c r="P13" s="2" t="s">
        <v>39</v>
      </c>
      <c r="Q13" s="2" t="s">
        <v>39</v>
      </c>
      <c r="R13" s="2" t="s">
        <v>39</v>
      </c>
      <c r="S13" s="2" t="s">
        <v>39</v>
      </c>
      <c r="T13" s="2" t="s">
        <v>39</v>
      </c>
      <c r="U13" s="2" t="s">
        <v>39</v>
      </c>
      <c r="V13" s="2" t="s">
        <v>39</v>
      </c>
      <c r="W13" s="2" t="s">
        <v>39</v>
      </c>
      <c r="X13" s="2" t="s">
        <v>39</v>
      </c>
      <c r="Y13" s="2" t="s">
        <v>39</v>
      </c>
      <c r="Z13" s="2" t="s">
        <v>39</v>
      </c>
      <c r="AA13" s="2" t="s">
        <v>39</v>
      </c>
      <c r="AB13" s="2" t="s">
        <v>39</v>
      </c>
      <c r="AC13" s="2" t="s">
        <v>39</v>
      </c>
      <c r="AD13" s="2" t="s">
        <v>38</v>
      </c>
      <c r="AE13" s="2" t="s">
        <v>40</v>
      </c>
    </row>
    <row r="14" spans="1:31" ht="409.5">
      <c r="A14" s="2">
        <v>2771331</v>
      </c>
      <c r="B14" s="2">
        <f>HYPERLINK("https://platform.v2.vetology.net/cases/2771331/screening-report/1?type=pdf&amp;v=v6&amp;scorecard=1&amp;secret_key=BX%25IJ%24%2F65ieZ%29f6", 2771331)</f>
        <v>2771331</v>
      </c>
      <c r="C14" s="2">
        <f>HYPERLINK("https://platform.v2.vetology.net/report/v/final/"&amp;2771331, 2771331)</f>
        <v>2771331</v>
      </c>
      <c r="D14" s="2" t="s">
        <v>85</v>
      </c>
      <c r="E14" s="2" t="s">
        <v>86</v>
      </c>
      <c r="F14" s="2" t="s">
        <v>87</v>
      </c>
      <c r="G14" s="2" t="s">
        <v>53</v>
      </c>
      <c r="H14" s="2" t="s">
        <v>45</v>
      </c>
      <c r="I14" s="2" t="s">
        <v>46</v>
      </c>
      <c r="J14" s="2"/>
      <c r="K14" s="2" t="s">
        <v>39</v>
      </c>
      <c r="L14" s="2" t="s">
        <v>39</v>
      </c>
      <c r="M14" s="2" t="s">
        <v>39</v>
      </c>
      <c r="N14" s="2" t="s">
        <v>39</v>
      </c>
      <c r="O14" s="2" t="s">
        <v>39</v>
      </c>
      <c r="P14" s="2" t="s">
        <v>39</v>
      </c>
      <c r="Q14" s="2" t="s">
        <v>39</v>
      </c>
      <c r="R14" s="2" t="s">
        <v>38</v>
      </c>
      <c r="S14" s="2" t="s">
        <v>39</v>
      </c>
      <c r="T14" s="2" t="s">
        <v>39</v>
      </c>
      <c r="U14" s="2" t="s">
        <v>39</v>
      </c>
      <c r="V14" s="2" t="s">
        <v>39</v>
      </c>
      <c r="W14" s="2" t="s">
        <v>38</v>
      </c>
      <c r="X14" s="2" t="s">
        <v>39</v>
      </c>
      <c r="Y14" s="2" t="s">
        <v>39</v>
      </c>
      <c r="Z14" s="2" t="s">
        <v>38</v>
      </c>
      <c r="AA14" s="2" t="s">
        <v>39</v>
      </c>
      <c r="AB14" s="2" t="s">
        <v>39</v>
      </c>
      <c r="AC14" s="2" t="s">
        <v>38</v>
      </c>
      <c r="AD14" s="2" t="s">
        <v>38</v>
      </c>
      <c r="AE14" s="2" t="s">
        <v>39</v>
      </c>
    </row>
    <row r="15" spans="1:31" ht="409.5">
      <c r="A15" s="2">
        <v>2771323</v>
      </c>
      <c r="B15" s="2">
        <f>HYPERLINK("https://platform.v2.vetology.net/cases/2771323/screening-report/1?type=pdf&amp;v=v6&amp;scorecard=1&amp;secret_key=BX%25IJ%24%2F65ieZ%29f6", 2771323)</f>
        <v>2771323</v>
      </c>
      <c r="C15" s="2">
        <f>HYPERLINK("https://platform.v2.vetology.net/report/v/final/"&amp;2771323, 2771323)</f>
        <v>2771323</v>
      </c>
      <c r="D15" s="2" t="s">
        <v>88</v>
      </c>
      <c r="E15" s="2" t="s">
        <v>89</v>
      </c>
      <c r="F15" s="2" t="s">
        <v>43</v>
      </c>
      <c r="G15" s="2" t="s">
        <v>44</v>
      </c>
      <c r="H15" s="2" t="s">
        <v>90</v>
      </c>
      <c r="I15" s="2" t="s">
        <v>36</v>
      </c>
      <c r="J15" s="2" t="s">
        <v>37</v>
      </c>
      <c r="K15" s="2" t="s">
        <v>38</v>
      </c>
      <c r="L15" s="2" t="s">
        <v>38</v>
      </c>
      <c r="M15" s="2" t="s">
        <v>39</v>
      </c>
      <c r="N15" s="2" t="s">
        <v>39</v>
      </c>
      <c r="O15" s="2" t="s">
        <v>38</v>
      </c>
      <c r="P15" s="2" t="s">
        <v>39</v>
      </c>
      <c r="Q15" s="2" t="s">
        <v>39</v>
      </c>
      <c r="R15" s="2" t="s">
        <v>38</v>
      </c>
      <c r="S15" s="2" t="s">
        <v>39</v>
      </c>
      <c r="T15" s="2" t="s">
        <v>39</v>
      </c>
      <c r="U15" s="2" t="s">
        <v>38</v>
      </c>
      <c r="V15" s="2" t="s">
        <v>38</v>
      </c>
      <c r="W15" s="2" t="s">
        <v>38</v>
      </c>
      <c r="X15" s="2" t="s">
        <v>39</v>
      </c>
      <c r="Y15" s="2" t="s">
        <v>39</v>
      </c>
      <c r="Z15" s="2" t="s">
        <v>39</v>
      </c>
      <c r="AA15" s="2" t="s">
        <v>39</v>
      </c>
      <c r="AB15" s="2" t="s">
        <v>39</v>
      </c>
      <c r="AC15" s="2" t="s">
        <v>38</v>
      </c>
      <c r="AD15" s="2" t="s">
        <v>38</v>
      </c>
      <c r="AE15" s="2" t="s">
        <v>39</v>
      </c>
    </row>
    <row r="16" spans="1:31" ht="409.5">
      <c r="A16" s="2">
        <v>2771299</v>
      </c>
      <c r="B16" s="2">
        <f>HYPERLINK("https://platform.v2.vetology.net/cases/2771299/screening-report/1?type=pdf&amp;v=v6&amp;scorecard=1&amp;secret_key=BX%25IJ%24%2F65ieZ%29f6", 2771299)</f>
        <v>2771299</v>
      </c>
      <c r="C16" s="2">
        <f>HYPERLINK("https://platform.v2.vetology.net/report/v/final/"&amp;2771299, 2771299)</f>
        <v>2771299</v>
      </c>
      <c r="D16" s="2" t="s">
        <v>91</v>
      </c>
      <c r="E16" s="2" t="s">
        <v>92</v>
      </c>
      <c r="F16" s="2" t="s">
        <v>43</v>
      </c>
      <c r="G16" s="2" t="s">
        <v>44</v>
      </c>
      <c r="H16" s="2" t="s">
        <v>93</v>
      </c>
      <c r="I16" s="2" t="s">
        <v>59</v>
      </c>
      <c r="J16" s="2" t="s">
        <v>37</v>
      </c>
      <c r="K16" s="2" t="s">
        <v>38</v>
      </c>
      <c r="L16" s="2" t="s">
        <v>39</v>
      </c>
      <c r="M16" s="2" t="s">
        <v>39</v>
      </c>
      <c r="N16" s="2" t="s">
        <v>38</v>
      </c>
      <c r="O16" s="2" t="s">
        <v>39</v>
      </c>
      <c r="P16" s="2" t="s">
        <v>39</v>
      </c>
      <c r="Q16" s="2" t="s">
        <v>39</v>
      </c>
      <c r="R16" s="2" t="s">
        <v>39</v>
      </c>
      <c r="S16" s="2" t="s">
        <v>39</v>
      </c>
      <c r="T16" s="2" t="s">
        <v>38</v>
      </c>
      <c r="U16" s="2" t="s">
        <v>38</v>
      </c>
      <c r="V16" s="2" t="s">
        <v>38</v>
      </c>
      <c r="W16" s="2" t="s">
        <v>39</v>
      </c>
      <c r="X16" s="2" t="s">
        <v>39</v>
      </c>
      <c r="Y16" s="2" t="s">
        <v>39</v>
      </c>
      <c r="Z16" s="2" t="s">
        <v>39</v>
      </c>
      <c r="AA16" s="2" t="s">
        <v>39</v>
      </c>
      <c r="AB16" s="2" t="s">
        <v>39</v>
      </c>
      <c r="AC16" s="2" t="s">
        <v>39</v>
      </c>
      <c r="AD16" s="2" t="s">
        <v>39</v>
      </c>
      <c r="AE16" s="2" t="s">
        <v>40</v>
      </c>
    </row>
    <row r="17" spans="1:31" ht="409.5">
      <c r="A17" s="2">
        <v>2771263</v>
      </c>
      <c r="B17" s="2">
        <f>HYPERLINK("https://platform.v2.vetology.net/cases/2771263/screening-report/1?type=pdf&amp;v=v6&amp;scorecard=1&amp;secret_key=BX%25IJ%24%2F65ieZ%29f6", 2771263)</f>
        <v>2771263</v>
      </c>
      <c r="C17" s="2">
        <f>HYPERLINK("https://platform.v2.vetology.net/report/v/final/"&amp;2771263, 2771263)</f>
        <v>2771263</v>
      </c>
      <c r="D17" s="2" t="s">
        <v>94</v>
      </c>
      <c r="E17" s="2" t="s">
        <v>95</v>
      </c>
      <c r="F17" s="2" t="s">
        <v>96</v>
      </c>
      <c r="G17" s="2" t="s">
        <v>53</v>
      </c>
      <c r="H17" s="2" t="s">
        <v>97</v>
      </c>
      <c r="I17" s="2" t="s">
        <v>59</v>
      </c>
      <c r="J17" s="2" t="s">
        <v>37</v>
      </c>
      <c r="K17" s="2" t="s">
        <v>38</v>
      </c>
      <c r="L17" s="2" t="s">
        <v>39</v>
      </c>
      <c r="M17" s="2" t="s">
        <v>39</v>
      </c>
      <c r="N17" s="2" t="s">
        <v>39</v>
      </c>
      <c r="O17" s="2" t="s">
        <v>39</v>
      </c>
      <c r="P17" s="2" t="s">
        <v>39</v>
      </c>
      <c r="Q17" s="2" t="s">
        <v>39</v>
      </c>
      <c r="R17" s="2" t="s">
        <v>39</v>
      </c>
      <c r="S17" s="2" t="s">
        <v>38</v>
      </c>
      <c r="T17" s="2" t="s">
        <v>39</v>
      </c>
      <c r="U17" s="2" t="s">
        <v>38</v>
      </c>
      <c r="V17" s="2" t="s">
        <v>38</v>
      </c>
      <c r="W17" s="2" t="s">
        <v>39</v>
      </c>
      <c r="X17" s="2" t="s">
        <v>39</v>
      </c>
      <c r="Y17" s="2" t="s">
        <v>39</v>
      </c>
      <c r="Z17" s="2" t="s">
        <v>39</v>
      </c>
      <c r="AA17" s="2" t="s">
        <v>39</v>
      </c>
      <c r="AB17" s="2" t="s">
        <v>39</v>
      </c>
      <c r="AC17" s="2" t="s">
        <v>39</v>
      </c>
      <c r="AD17" s="2" t="s">
        <v>39</v>
      </c>
      <c r="AE17" s="2" t="s">
        <v>39</v>
      </c>
    </row>
    <row r="18" spans="1:31" ht="409.5">
      <c r="A18" s="2">
        <v>2771183</v>
      </c>
      <c r="B18" s="2">
        <f>HYPERLINK("https://platform.v2.vetology.net/cases/2771183/screening-report/1?type=pdf&amp;v=v6&amp;scorecard=1&amp;secret_key=BX%25IJ%24%2F65ieZ%29f6", 2771183)</f>
        <v>2771183</v>
      </c>
      <c r="C18" s="2">
        <f>HYPERLINK("https://platform.v2.vetology.net/report/v/final/"&amp;2771183, 2771183)</f>
        <v>2771183</v>
      </c>
      <c r="D18" s="2" t="s">
        <v>98</v>
      </c>
      <c r="E18" s="2" t="s">
        <v>99</v>
      </c>
      <c r="F18" s="2"/>
      <c r="G18" s="2" t="s">
        <v>100</v>
      </c>
      <c r="H18" s="2" t="s">
        <v>69</v>
      </c>
      <c r="I18" s="2" t="s">
        <v>46</v>
      </c>
      <c r="J18" s="2"/>
      <c r="K18" s="2" t="s">
        <v>39</v>
      </c>
      <c r="L18" s="2" t="s">
        <v>39</v>
      </c>
      <c r="M18" s="2" t="s">
        <v>39</v>
      </c>
      <c r="N18" s="2" t="s">
        <v>39</v>
      </c>
      <c r="O18" s="2" t="s">
        <v>39</v>
      </c>
      <c r="P18" s="2" t="s">
        <v>39</v>
      </c>
      <c r="Q18" s="2" t="s">
        <v>39</v>
      </c>
      <c r="R18" s="2" t="s">
        <v>39</v>
      </c>
      <c r="S18" s="2" t="s">
        <v>39</v>
      </c>
      <c r="T18" s="2" t="s">
        <v>39</v>
      </c>
      <c r="U18" s="2" t="s">
        <v>39</v>
      </c>
      <c r="V18" s="2" t="s">
        <v>39</v>
      </c>
      <c r="W18" s="2" t="s">
        <v>38</v>
      </c>
      <c r="X18" s="2" t="s">
        <v>39</v>
      </c>
      <c r="Y18" s="2" t="s">
        <v>39</v>
      </c>
      <c r="Z18" s="2" t="s">
        <v>39</v>
      </c>
      <c r="AA18" s="2" t="s">
        <v>39</v>
      </c>
      <c r="AB18" s="2" t="s">
        <v>39</v>
      </c>
      <c r="AC18" s="2" t="s">
        <v>38</v>
      </c>
      <c r="AD18" s="2" t="s">
        <v>39</v>
      </c>
      <c r="AE18" s="2" t="s">
        <v>39</v>
      </c>
    </row>
    <row r="19" spans="1:31" ht="409.5">
      <c r="A19" s="2">
        <v>2771177</v>
      </c>
      <c r="B19" s="2">
        <f>HYPERLINK("https://platform.v2.vetology.net/cases/2771177/screening-report/1?type=pdf&amp;v=v6&amp;scorecard=1&amp;secret_key=BX%25IJ%24%2F65ieZ%29f6", 2771177)</f>
        <v>2771177</v>
      </c>
      <c r="C19" s="2">
        <f>HYPERLINK("https://platform.v2.vetology.net/report/v/final/"&amp;2771177, 2771177)</f>
        <v>2771177</v>
      </c>
      <c r="D19" s="2" t="s">
        <v>101</v>
      </c>
      <c r="E19" s="2" t="s">
        <v>102</v>
      </c>
      <c r="F19" s="2" t="s">
        <v>103</v>
      </c>
      <c r="G19" s="2" t="s">
        <v>53</v>
      </c>
      <c r="H19" s="2" t="s">
        <v>69</v>
      </c>
      <c r="I19" s="2" t="s">
        <v>46</v>
      </c>
      <c r="J19" s="2"/>
      <c r="K19" s="2" t="s">
        <v>39</v>
      </c>
      <c r="L19" s="2" t="s">
        <v>39</v>
      </c>
      <c r="M19" s="2" t="s">
        <v>39</v>
      </c>
      <c r="N19" s="2" t="s">
        <v>39</v>
      </c>
      <c r="O19" s="2" t="s">
        <v>39</v>
      </c>
      <c r="P19" s="2" t="s">
        <v>39</v>
      </c>
      <c r="Q19" s="2" t="s">
        <v>39</v>
      </c>
      <c r="R19" s="2" t="s">
        <v>39</v>
      </c>
      <c r="S19" s="2" t="s">
        <v>39</v>
      </c>
      <c r="T19" s="2" t="s">
        <v>38</v>
      </c>
      <c r="U19" s="2" t="s">
        <v>39</v>
      </c>
      <c r="V19" s="2" t="s">
        <v>39</v>
      </c>
      <c r="W19" s="2" t="s">
        <v>39</v>
      </c>
      <c r="X19" s="2" t="s">
        <v>39</v>
      </c>
      <c r="Y19" s="2" t="s">
        <v>39</v>
      </c>
      <c r="Z19" s="2" t="s">
        <v>39</v>
      </c>
      <c r="AA19" s="2" t="s">
        <v>39</v>
      </c>
      <c r="AB19" s="2" t="s">
        <v>39</v>
      </c>
      <c r="AC19" s="2" t="s">
        <v>39</v>
      </c>
      <c r="AD19" s="2" t="s">
        <v>39</v>
      </c>
      <c r="AE19" s="2" t="s">
        <v>39</v>
      </c>
    </row>
    <row r="20" spans="1:31" ht="409.5">
      <c r="A20" s="2">
        <v>2771129</v>
      </c>
      <c r="B20" s="2">
        <f>HYPERLINK("https://platform.v2.vetology.net/cases/2771129/screening-report/1?type=pdf&amp;v=v6&amp;scorecard=1&amp;secret_key=BX%25IJ%24%2F65ieZ%29f6", 2771129)</f>
        <v>2771129</v>
      </c>
      <c r="C20" s="2">
        <f>HYPERLINK("https://platform.v2.vetology.net/report/v/final/"&amp;2771129, 2771129)</f>
        <v>2771129</v>
      </c>
      <c r="D20" s="2" t="s">
        <v>104</v>
      </c>
      <c r="E20" s="2" t="s">
        <v>105</v>
      </c>
      <c r="F20" s="2" t="s">
        <v>106</v>
      </c>
      <c r="G20" s="2" t="s">
        <v>53</v>
      </c>
      <c r="H20" s="2" t="s">
        <v>107</v>
      </c>
      <c r="I20" s="2" t="s">
        <v>36</v>
      </c>
      <c r="J20" s="2" t="s">
        <v>37</v>
      </c>
      <c r="K20" s="2" t="s">
        <v>38</v>
      </c>
      <c r="L20" s="2" t="s">
        <v>39</v>
      </c>
      <c r="M20" s="2" t="s">
        <v>38</v>
      </c>
      <c r="N20" s="2" t="s">
        <v>38</v>
      </c>
      <c r="O20" s="2" t="s">
        <v>39</v>
      </c>
      <c r="P20" s="2" t="s">
        <v>39</v>
      </c>
      <c r="Q20" s="2" t="s">
        <v>39</v>
      </c>
      <c r="R20" s="2" t="s">
        <v>38</v>
      </c>
      <c r="S20" s="2" t="s">
        <v>38</v>
      </c>
      <c r="T20" s="2" t="s">
        <v>38</v>
      </c>
      <c r="U20" s="2" t="s">
        <v>39</v>
      </c>
      <c r="V20" s="2" t="s">
        <v>39</v>
      </c>
      <c r="W20" s="2" t="s">
        <v>39</v>
      </c>
      <c r="X20" s="2" t="s">
        <v>39</v>
      </c>
      <c r="Y20" s="2" t="s">
        <v>39</v>
      </c>
      <c r="Z20" s="2" t="s">
        <v>38</v>
      </c>
      <c r="AA20" s="2" t="s">
        <v>39</v>
      </c>
      <c r="AB20" s="2" t="s">
        <v>39</v>
      </c>
      <c r="AC20" s="2" t="s">
        <v>38</v>
      </c>
      <c r="AD20" s="2" t="s">
        <v>39</v>
      </c>
      <c r="AE20" s="2" t="s">
        <v>39</v>
      </c>
    </row>
    <row r="21" spans="1:31" ht="409.5">
      <c r="A21" s="2">
        <v>2771120</v>
      </c>
      <c r="B21" s="2">
        <f>HYPERLINK("https://platform.v2.vetology.net/cases/2771120/screening-report/1?type=pdf&amp;v=v6&amp;scorecard=1&amp;secret_key=BX%25IJ%24%2F65ieZ%29f6", 2771120)</f>
        <v>2771120</v>
      </c>
      <c r="C21" s="2">
        <f>HYPERLINK("https://platform.v2.vetology.net/report/v/final/"&amp;2771120, 2771120)</f>
        <v>2771120</v>
      </c>
      <c r="D21" s="2" t="s">
        <v>108</v>
      </c>
      <c r="E21" s="2" t="s">
        <v>109</v>
      </c>
      <c r="F21" s="2" t="s">
        <v>110</v>
      </c>
      <c r="G21" s="2" t="s">
        <v>111</v>
      </c>
      <c r="H21" s="2" t="s">
        <v>112</v>
      </c>
      <c r="I21" s="2" t="s">
        <v>36</v>
      </c>
      <c r="J21" s="2" t="s">
        <v>37</v>
      </c>
      <c r="K21" s="2" t="s">
        <v>38</v>
      </c>
      <c r="L21" s="2" t="s">
        <v>38</v>
      </c>
      <c r="M21" s="2" t="s">
        <v>39</v>
      </c>
      <c r="N21" s="2" t="s">
        <v>38</v>
      </c>
      <c r="O21" s="2" t="s">
        <v>38</v>
      </c>
      <c r="P21" s="2" t="s">
        <v>38</v>
      </c>
      <c r="Q21" s="2" t="s">
        <v>39</v>
      </c>
      <c r="R21" s="2" t="s">
        <v>39</v>
      </c>
      <c r="S21" s="2" t="s">
        <v>38</v>
      </c>
      <c r="T21" s="2" t="s">
        <v>38</v>
      </c>
      <c r="U21" s="2" t="s">
        <v>38</v>
      </c>
      <c r="V21" s="2" t="s">
        <v>38</v>
      </c>
      <c r="W21" s="2" t="s">
        <v>39</v>
      </c>
      <c r="X21" s="2" t="s">
        <v>39</v>
      </c>
      <c r="Y21" s="2" t="s">
        <v>39</v>
      </c>
      <c r="Z21" s="2" t="s">
        <v>39</v>
      </c>
      <c r="AA21" s="2" t="s">
        <v>38</v>
      </c>
      <c r="AB21" s="2" t="s">
        <v>39</v>
      </c>
      <c r="AC21" s="2" t="s">
        <v>38</v>
      </c>
      <c r="AD21" s="2" t="s">
        <v>38</v>
      </c>
      <c r="AE21" s="2"/>
    </row>
    <row r="22" spans="1:31" ht="409.5">
      <c r="A22" s="2">
        <v>2771110</v>
      </c>
      <c r="B22" s="2">
        <f>HYPERLINK("https://platform.v2.vetology.net/cases/2771110/screening-report/1?type=pdf&amp;v=v6&amp;scorecard=1&amp;secret_key=BX%25IJ%24%2F65ieZ%29f6", 2771110)</f>
        <v>2771110</v>
      </c>
      <c r="C22" s="2">
        <f>HYPERLINK("https://platform.v2.vetology.net/report/v/final/"&amp;2771110, 2771110)</f>
        <v>2771110</v>
      </c>
      <c r="D22" s="2" t="s">
        <v>113</v>
      </c>
      <c r="E22" s="2" t="s">
        <v>114</v>
      </c>
      <c r="F22" s="2" t="s">
        <v>115</v>
      </c>
      <c r="G22" s="2" t="s">
        <v>53</v>
      </c>
      <c r="H22" s="2" t="s">
        <v>116</v>
      </c>
      <c r="I22" s="2" t="s">
        <v>36</v>
      </c>
      <c r="J22" s="2" t="s">
        <v>37</v>
      </c>
      <c r="K22" s="2" t="s">
        <v>39</v>
      </c>
      <c r="L22" s="2" t="s">
        <v>39</v>
      </c>
      <c r="M22" s="2" t="s">
        <v>38</v>
      </c>
      <c r="N22" s="2" t="s">
        <v>39</v>
      </c>
      <c r="O22" s="2" t="s">
        <v>38</v>
      </c>
      <c r="P22" s="2" t="s">
        <v>39</v>
      </c>
      <c r="Q22" s="2" t="s">
        <v>39</v>
      </c>
      <c r="R22" s="2" t="s">
        <v>39</v>
      </c>
      <c r="S22" s="2" t="s">
        <v>38</v>
      </c>
      <c r="T22" s="2" t="s">
        <v>39</v>
      </c>
      <c r="U22" s="2" t="s">
        <v>39</v>
      </c>
      <c r="V22" s="2" t="s">
        <v>39</v>
      </c>
      <c r="W22" s="2" t="s">
        <v>38</v>
      </c>
      <c r="X22" s="2" t="s">
        <v>39</v>
      </c>
      <c r="Y22" s="2" t="s">
        <v>39</v>
      </c>
      <c r="Z22" s="2" t="s">
        <v>38</v>
      </c>
      <c r="AA22" s="2" t="s">
        <v>39</v>
      </c>
      <c r="AB22" s="2" t="s">
        <v>39</v>
      </c>
      <c r="AC22" s="2" t="s">
        <v>38</v>
      </c>
      <c r="AD22" s="2" t="s">
        <v>38</v>
      </c>
      <c r="AE22" s="2" t="s">
        <v>40</v>
      </c>
    </row>
    <row r="23" spans="1:31" ht="409.5">
      <c r="A23" s="2">
        <v>2770978</v>
      </c>
      <c r="B23" s="2">
        <f>HYPERLINK("https://platform.v2.vetology.net/cases/2770978/screening-report/1?type=pdf&amp;v=v6&amp;scorecard=1&amp;secret_key=BX%25IJ%24%2F65ieZ%29f6", 2770978)</f>
        <v>2770978</v>
      </c>
      <c r="C23" s="2">
        <f>HYPERLINK("https://platform.v2.vetology.net/report/v/final/"&amp;2770978, 2770978)</f>
        <v>2770978</v>
      </c>
      <c r="D23" s="2" t="s">
        <v>117</v>
      </c>
      <c r="E23" s="2" t="s">
        <v>118</v>
      </c>
      <c r="F23" s="2" t="s">
        <v>119</v>
      </c>
      <c r="G23" s="2" t="s">
        <v>111</v>
      </c>
      <c r="H23" s="2" t="s">
        <v>120</v>
      </c>
      <c r="I23" s="2" t="s">
        <v>36</v>
      </c>
      <c r="J23" s="2" t="s">
        <v>37</v>
      </c>
      <c r="K23" s="2" t="s">
        <v>39</v>
      </c>
      <c r="L23" s="2" t="s">
        <v>38</v>
      </c>
      <c r="M23" s="2" t="s">
        <v>38</v>
      </c>
      <c r="N23" s="2" t="s">
        <v>38</v>
      </c>
      <c r="O23" s="2" t="s">
        <v>38</v>
      </c>
      <c r="P23" s="2" t="s">
        <v>39</v>
      </c>
      <c r="Q23" s="2" t="s">
        <v>39</v>
      </c>
      <c r="R23" s="2" t="s">
        <v>38</v>
      </c>
      <c r="S23" s="2" t="s">
        <v>38</v>
      </c>
      <c r="T23" s="2" t="s">
        <v>39</v>
      </c>
      <c r="U23" s="2" t="s">
        <v>39</v>
      </c>
      <c r="V23" s="2" t="s">
        <v>39</v>
      </c>
      <c r="W23" s="2" t="s">
        <v>38</v>
      </c>
      <c r="X23" s="2" t="s">
        <v>39</v>
      </c>
      <c r="Y23" s="2" t="s">
        <v>39</v>
      </c>
      <c r="Z23" s="2" t="s">
        <v>39</v>
      </c>
      <c r="AA23" s="2" t="s">
        <v>38</v>
      </c>
      <c r="AB23" s="2" t="s">
        <v>39</v>
      </c>
      <c r="AC23" s="2" t="s">
        <v>38</v>
      </c>
      <c r="AD23" s="2" t="s">
        <v>39</v>
      </c>
      <c r="AE23" s="2" t="s">
        <v>39</v>
      </c>
    </row>
    <row r="24" spans="1:31" ht="409.5">
      <c r="A24" s="2">
        <v>2770968</v>
      </c>
      <c r="B24" s="2">
        <f>HYPERLINK("https://platform.v2.vetology.net/cases/2770968/screening-report/1?type=pdf&amp;v=v6&amp;scorecard=1&amp;secret_key=BX%25IJ%24%2F65ieZ%29f6", 2770968)</f>
        <v>2770968</v>
      </c>
      <c r="C24" s="2">
        <f>HYPERLINK("https://platform.v2.vetology.net/report/v/final/"&amp;2770968, 2770968)</f>
        <v>2770968</v>
      </c>
      <c r="D24" s="2" t="s">
        <v>121</v>
      </c>
      <c r="E24" s="2" t="s">
        <v>122</v>
      </c>
      <c r="F24" s="2" t="s">
        <v>43</v>
      </c>
      <c r="G24" s="2" t="s">
        <v>100</v>
      </c>
      <c r="H24" s="2" t="s">
        <v>123</v>
      </c>
      <c r="I24" s="2" t="s">
        <v>36</v>
      </c>
      <c r="J24" s="2" t="s">
        <v>37</v>
      </c>
      <c r="K24" s="2" t="s">
        <v>38</v>
      </c>
      <c r="L24" s="2" t="s">
        <v>38</v>
      </c>
      <c r="M24" s="2" t="s">
        <v>38</v>
      </c>
      <c r="N24" s="2" t="s">
        <v>38</v>
      </c>
      <c r="O24" s="2" t="s">
        <v>38</v>
      </c>
      <c r="P24" s="2" t="s">
        <v>39</v>
      </c>
      <c r="Q24" s="2" t="s">
        <v>39</v>
      </c>
      <c r="R24" s="2" t="s">
        <v>38</v>
      </c>
      <c r="S24" s="2" t="s">
        <v>38</v>
      </c>
      <c r="T24" s="2" t="s">
        <v>38</v>
      </c>
      <c r="U24" s="2" t="s">
        <v>38</v>
      </c>
      <c r="V24" s="2" t="s">
        <v>38</v>
      </c>
      <c r="W24" s="2" t="s">
        <v>38</v>
      </c>
      <c r="X24" s="2" t="s">
        <v>39</v>
      </c>
      <c r="Y24" s="2" t="s">
        <v>39</v>
      </c>
      <c r="Z24" s="2" t="s">
        <v>38</v>
      </c>
      <c r="AA24" s="2" t="s">
        <v>38</v>
      </c>
      <c r="AB24" s="2" t="s">
        <v>39</v>
      </c>
      <c r="AC24" s="2" t="s">
        <v>38</v>
      </c>
      <c r="AD24" s="2" t="s">
        <v>38</v>
      </c>
      <c r="AE24" s="2" t="s">
        <v>40</v>
      </c>
    </row>
    <row r="25" spans="1:31" ht="409.5">
      <c r="A25" s="2">
        <v>2770945</v>
      </c>
      <c r="B25" s="2">
        <f>HYPERLINK("https://platform.v2.vetology.net/cases/2770945/screening-report/1?type=pdf&amp;v=v6&amp;scorecard=1&amp;secret_key=BX%25IJ%24%2F65ieZ%29f6", 2770945)</f>
        <v>2770945</v>
      </c>
      <c r="C25" s="2">
        <f>HYPERLINK("https://platform.v2.vetology.net/report/v/final/"&amp;2770945, 2770945)</f>
        <v>2770945</v>
      </c>
      <c r="D25" s="2" t="s">
        <v>124</v>
      </c>
      <c r="E25" s="2" t="s">
        <v>125</v>
      </c>
      <c r="F25" s="2" t="s">
        <v>126</v>
      </c>
      <c r="G25" s="2" t="s">
        <v>127</v>
      </c>
      <c r="H25" s="2" t="s">
        <v>128</v>
      </c>
      <c r="I25" s="2" t="s">
        <v>129</v>
      </c>
      <c r="J25" s="2" t="s">
        <v>74</v>
      </c>
      <c r="K25" s="2" t="s">
        <v>38</v>
      </c>
      <c r="L25" s="2" t="s">
        <v>38</v>
      </c>
      <c r="M25" s="2" t="s">
        <v>38</v>
      </c>
      <c r="N25" s="2" t="s">
        <v>38</v>
      </c>
      <c r="O25" s="2" t="s">
        <v>38</v>
      </c>
      <c r="P25" s="2" t="s">
        <v>39</v>
      </c>
      <c r="Q25" s="2" t="s">
        <v>38</v>
      </c>
      <c r="R25" s="2" t="s">
        <v>38</v>
      </c>
      <c r="S25" s="2" t="s">
        <v>38</v>
      </c>
      <c r="T25" s="2" t="s">
        <v>38</v>
      </c>
      <c r="U25" s="2" t="s">
        <v>38</v>
      </c>
      <c r="V25" s="2" t="s">
        <v>38</v>
      </c>
      <c r="W25" s="2" t="s">
        <v>38</v>
      </c>
      <c r="X25" s="2" t="s">
        <v>38</v>
      </c>
      <c r="Y25" s="2" t="s">
        <v>38</v>
      </c>
      <c r="Z25" s="2" t="s">
        <v>38</v>
      </c>
      <c r="AA25" s="2" t="s">
        <v>38</v>
      </c>
      <c r="AB25" s="2" t="s">
        <v>38</v>
      </c>
      <c r="AC25" s="2" t="s">
        <v>38</v>
      </c>
      <c r="AD25" s="2" t="s">
        <v>38</v>
      </c>
      <c r="AE25" s="2"/>
    </row>
    <row r="26" spans="1:31" ht="409.5">
      <c r="A26" s="2">
        <v>2770876</v>
      </c>
      <c r="B26" s="2">
        <f>HYPERLINK("https://platform.v2.vetology.net/cases/2770876/screening-report/1?type=pdf&amp;v=v6&amp;scorecard=1&amp;secret_key=BX%25IJ%24%2F65ieZ%29f6", 2770876)</f>
        <v>2770876</v>
      </c>
      <c r="C26" s="2">
        <f>HYPERLINK("https://platform.v2.vetology.net/report/v/final/"&amp;2770876, 2770876)</f>
        <v>2770876</v>
      </c>
      <c r="D26" s="2" t="s">
        <v>130</v>
      </c>
      <c r="E26" s="2" t="s">
        <v>131</v>
      </c>
      <c r="F26" s="2" t="s">
        <v>132</v>
      </c>
      <c r="G26" s="2" t="s">
        <v>127</v>
      </c>
      <c r="H26" s="2" t="s">
        <v>133</v>
      </c>
      <c r="I26" s="2" t="s">
        <v>73</v>
      </c>
      <c r="J26" s="2" t="s">
        <v>74</v>
      </c>
      <c r="K26" s="2" t="s">
        <v>38</v>
      </c>
      <c r="L26" s="2" t="s">
        <v>38</v>
      </c>
      <c r="M26" s="2" t="s">
        <v>38</v>
      </c>
      <c r="N26" s="2" t="s">
        <v>38</v>
      </c>
      <c r="O26" s="2" t="s">
        <v>38</v>
      </c>
      <c r="P26" s="2" t="s">
        <v>38</v>
      </c>
      <c r="Q26" s="2" t="s">
        <v>38</v>
      </c>
      <c r="R26" s="2" t="s">
        <v>38</v>
      </c>
      <c r="S26" s="2" t="s">
        <v>38</v>
      </c>
      <c r="T26" s="2" t="s">
        <v>38</v>
      </c>
      <c r="U26" s="2" t="s">
        <v>39</v>
      </c>
      <c r="V26" s="2" t="s">
        <v>38</v>
      </c>
      <c r="W26" s="2" t="s">
        <v>38</v>
      </c>
      <c r="X26" s="2" t="s">
        <v>38</v>
      </c>
      <c r="Y26" s="2" t="s">
        <v>39</v>
      </c>
      <c r="Z26" s="2" t="s">
        <v>38</v>
      </c>
      <c r="AA26" s="2" t="s">
        <v>39</v>
      </c>
      <c r="AB26" s="2" t="s">
        <v>38</v>
      </c>
      <c r="AC26" s="2" t="s">
        <v>38</v>
      </c>
      <c r="AD26" s="2" t="s">
        <v>39</v>
      </c>
      <c r="AE26" s="2" t="s">
        <v>39</v>
      </c>
    </row>
    <row r="27" spans="1:31" ht="409.5">
      <c r="A27" s="2">
        <v>2770838</v>
      </c>
      <c r="B27" s="2">
        <f>HYPERLINK("https://platform.v2.vetology.net/cases/2770838/screening-report/1?type=pdf&amp;v=v6&amp;scorecard=1&amp;secret_key=BX%25IJ%24%2F65ieZ%29f6", 2770838)</f>
        <v>2770838</v>
      </c>
      <c r="C27" s="2">
        <f>HYPERLINK("https://platform.v2.vetology.net/report/v/final/"&amp;2770838, 2770838)</f>
        <v>2770838</v>
      </c>
      <c r="D27" s="2" t="s">
        <v>134</v>
      </c>
      <c r="E27" s="2" t="s">
        <v>135</v>
      </c>
      <c r="F27" s="2" t="s">
        <v>136</v>
      </c>
      <c r="G27" s="2" t="s">
        <v>111</v>
      </c>
      <c r="H27" s="2" t="s">
        <v>137</v>
      </c>
      <c r="I27" s="2" t="s">
        <v>36</v>
      </c>
      <c r="J27" s="2" t="s">
        <v>37</v>
      </c>
      <c r="K27" s="2" t="s">
        <v>38</v>
      </c>
      <c r="L27" s="2" t="s">
        <v>38</v>
      </c>
      <c r="M27" s="2" t="s">
        <v>38</v>
      </c>
      <c r="N27" s="2" t="s">
        <v>38</v>
      </c>
      <c r="O27" s="2" t="s">
        <v>38</v>
      </c>
      <c r="P27" s="2" t="s">
        <v>38</v>
      </c>
      <c r="Q27" s="2" t="s">
        <v>39</v>
      </c>
      <c r="R27" s="2" t="s">
        <v>38</v>
      </c>
      <c r="S27" s="2" t="s">
        <v>38</v>
      </c>
      <c r="T27" s="2" t="s">
        <v>38</v>
      </c>
      <c r="U27" s="2" t="s">
        <v>38</v>
      </c>
      <c r="V27" s="2" t="s">
        <v>38</v>
      </c>
      <c r="W27" s="2" t="s">
        <v>38</v>
      </c>
      <c r="X27" s="2" t="s">
        <v>39</v>
      </c>
      <c r="Y27" s="2" t="s">
        <v>38</v>
      </c>
      <c r="Z27" s="2" t="s">
        <v>38</v>
      </c>
      <c r="AA27" s="2" t="s">
        <v>38</v>
      </c>
      <c r="AB27" s="2" t="s">
        <v>38</v>
      </c>
      <c r="AC27" s="2" t="s">
        <v>38</v>
      </c>
      <c r="AD27" s="2" t="s">
        <v>38</v>
      </c>
      <c r="AE27" s="2" t="s">
        <v>39</v>
      </c>
    </row>
    <row r="28" spans="1:31" ht="409.5">
      <c r="A28" s="2">
        <v>2770805</v>
      </c>
      <c r="B28" s="2">
        <f>HYPERLINK("https://platform.v2.vetology.net/cases/2770805/screening-report/1?type=pdf&amp;v=v6&amp;scorecard=1&amp;secret_key=BX%25IJ%24%2F65ieZ%29f6", 2770805)</f>
        <v>2770805</v>
      </c>
      <c r="C28" s="2">
        <f>HYPERLINK("https://platform.v2.vetology.net/report/v/final/"&amp;2770805, 2770805)</f>
        <v>2770805</v>
      </c>
      <c r="D28" s="2" t="s">
        <v>138</v>
      </c>
      <c r="E28" s="2" t="s">
        <v>139</v>
      </c>
      <c r="F28" s="2" t="s">
        <v>140</v>
      </c>
      <c r="G28" s="2" t="s">
        <v>111</v>
      </c>
      <c r="H28" s="2" t="s">
        <v>141</v>
      </c>
      <c r="I28" s="2" t="s">
        <v>129</v>
      </c>
      <c r="J28" s="2" t="s">
        <v>74</v>
      </c>
      <c r="K28" s="2" t="s">
        <v>38</v>
      </c>
      <c r="L28" s="2" t="s">
        <v>38</v>
      </c>
      <c r="M28" s="2" t="s">
        <v>38</v>
      </c>
      <c r="N28" s="2" t="s">
        <v>38</v>
      </c>
      <c r="O28" s="2" t="s">
        <v>38</v>
      </c>
      <c r="P28" s="2" t="s">
        <v>38</v>
      </c>
      <c r="Q28" s="2" t="s">
        <v>38</v>
      </c>
      <c r="R28" s="2" t="s">
        <v>38</v>
      </c>
      <c r="S28" s="2" t="s">
        <v>38</v>
      </c>
      <c r="T28" s="2" t="s">
        <v>38</v>
      </c>
      <c r="U28" s="2" t="s">
        <v>38</v>
      </c>
      <c r="V28" s="2" t="s">
        <v>38</v>
      </c>
      <c r="W28" s="2" t="s">
        <v>38</v>
      </c>
      <c r="X28" s="2" t="s">
        <v>38</v>
      </c>
      <c r="Y28" s="2" t="s">
        <v>39</v>
      </c>
      <c r="Z28" s="2" t="s">
        <v>38</v>
      </c>
      <c r="AA28" s="2" t="s">
        <v>38</v>
      </c>
      <c r="AB28" s="2" t="s">
        <v>39</v>
      </c>
      <c r="AC28" s="2" t="s">
        <v>38</v>
      </c>
      <c r="AD28" s="2" t="s">
        <v>38</v>
      </c>
      <c r="AE28" s="2" t="s">
        <v>40</v>
      </c>
    </row>
    <row r="29" spans="1:31" ht="409.5">
      <c r="A29" s="2">
        <v>2770778</v>
      </c>
      <c r="B29" s="2">
        <f>HYPERLINK("https://platform.v2.vetology.net/cases/2770778/screening-report/1?type=pdf&amp;v=v6&amp;scorecard=1&amp;secret_key=BX%25IJ%24%2F65ieZ%29f6", 2770778)</f>
        <v>2770778</v>
      </c>
      <c r="C29" s="2">
        <f>HYPERLINK("https://platform.v2.vetology.net/report/v/final/"&amp;2770778, 2770778)</f>
        <v>2770778</v>
      </c>
      <c r="D29" s="2" t="s">
        <v>142</v>
      </c>
      <c r="E29" s="2" t="s">
        <v>143</v>
      </c>
      <c r="F29" s="2" t="s">
        <v>144</v>
      </c>
      <c r="G29" s="2" t="s">
        <v>145</v>
      </c>
      <c r="H29" s="2" t="s">
        <v>146</v>
      </c>
      <c r="I29" s="2" t="s">
        <v>36</v>
      </c>
      <c r="J29" s="2" t="s">
        <v>37</v>
      </c>
      <c r="K29" s="2" t="s">
        <v>39</v>
      </c>
      <c r="L29" s="2" t="s">
        <v>38</v>
      </c>
      <c r="M29" s="2" t="s">
        <v>38</v>
      </c>
      <c r="N29" s="2" t="s">
        <v>38</v>
      </c>
      <c r="O29" s="2" t="s">
        <v>38</v>
      </c>
      <c r="P29" s="2" t="s">
        <v>38</v>
      </c>
      <c r="Q29" s="2" t="s">
        <v>39</v>
      </c>
      <c r="R29" s="2" t="s">
        <v>38</v>
      </c>
      <c r="S29" s="2" t="s">
        <v>38</v>
      </c>
      <c r="T29" s="2" t="s">
        <v>38</v>
      </c>
      <c r="U29" s="2" t="s">
        <v>39</v>
      </c>
      <c r="V29" s="2" t="s">
        <v>38</v>
      </c>
      <c r="W29" s="2" t="s">
        <v>38</v>
      </c>
      <c r="X29" s="2" t="s">
        <v>39</v>
      </c>
      <c r="Y29" s="2" t="s">
        <v>39</v>
      </c>
      <c r="Z29" s="2" t="s">
        <v>38</v>
      </c>
      <c r="AA29" s="2" t="s">
        <v>38</v>
      </c>
      <c r="AB29" s="2" t="s">
        <v>39</v>
      </c>
      <c r="AC29" s="2" t="s">
        <v>38</v>
      </c>
      <c r="AD29" s="2" t="s">
        <v>38</v>
      </c>
      <c r="AE29" s="2" t="s">
        <v>39</v>
      </c>
    </row>
    <row r="30" spans="1:31" ht="409.5">
      <c r="A30" s="2">
        <v>2770777</v>
      </c>
      <c r="B30" s="2">
        <f>HYPERLINK("https://platform.v2.vetology.net/cases/2770777/screening-report/1?type=pdf&amp;v=v6&amp;scorecard=1&amp;secret_key=BX%25IJ%24%2F65ieZ%29f6", 2770777)</f>
        <v>2770777</v>
      </c>
      <c r="C30" s="2">
        <f>HYPERLINK("https://platform.v2.vetology.net/report/v/final/"&amp;2770777, 2770777)</f>
        <v>2770777</v>
      </c>
      <c r="D30" s="2" t="s">
        <v>147</v>
      </c>
      <c r="E30" s="2" t="s">
        <v>148</v>
      </c>
      <c r="F30" s="2" t="s">
        <v>149</v>
      </c>
      <c r="G30" s="2" t="s">
        <v>53</v>
      </c>
      <c r="H30" s="2" t="s">
        <v>150</v>
      </c>
      <c r="I30" s="2" t="s">
        <v>73</v>
      </c>
      <c r="J30" s="2" t="s">
        <v>74</v>
      </c>
      <c r="K30" s="2" t="s">
        <v>38</v>
      </c>
      <c r="L30" s="2" t="s">
        <v>38</v>
      </c>
      <c r="M30" s="2" t="s">
        <v>38</v>
      </c>
      <c r="N30" s="2" t="s">
        <v>38</v>
      </c>
      <c r="O30" s="2" t="s">
        <v>38</v>
      </c>
      <c r="P30" s="2" t="s">
        <v>38</v>
      </c>
      <c r="Q30" s="2" t="s">
        <v>38</v>
      </c>
      <c r="R30" s="2" t="s">
        <v>38</v>
      </c>
      <c r="S30" s="2" t="s">
        <v>38</v>
      </c>
      <c r="T30" s="2" t="s">
        <v>38</v>
      </c>
      <c r="U30" s="2" t="s">
        <v>38</v>
      </c>
      <c r="V30" s="2" t="s">
        <v>38</v>
      </c>
      <c r="W30" s="2" t="s">
        <v>38</v>
      </c>
      <c r="X30" s="2" t="s">
        <v>38</v>
      </c>
      <c r="Y30" s="2" t="s">
        <v>38</v>
      </c>
      <c r="Z30" s="2" t="s">
        <v>38</v>
      </c>
      <c r="AA30" s="2" t="s">
        <v>38</v>
      </c>
      <c r="AB30" s="2" t="s">
        <v>38</v>
      </c>
      <c r="AC30" s="2" t="s">
        <v>38</v>
      </c>
      <c r="AD30" s="2" t="s">
        <v>38</v>
      </c>
      <c r="AE30" s="2" t="s">
        <v>40</v>
      </c>
    </row>
    <row r="31" spans="1:31" ht="409.5">
      <c r="A31" s="2">
        <v>2770753</v>
      </c>
      <c r="B31" s="2">
        <f>HYPERLINK("https://platform.v2.vetology.net/cases/2770753/screening-report/1?type=pdf&amp;v=v6&amp;scorecard=1&amp;secret_key=BX%25IJ%24%2F65ieZ%29f6", 2770753)</f>
        <v>2770753</v>
      </c>
      <c r="C31" s="2">
        <f>HYPERLINK("https://platform.v2.vetology.net/report/v/final/"&amp;2770753, 2770753)</f>
        <v>2770753</v>
      </c>
      <c r="D31" s="2" t="s">
        <v>151</v>
      </c>
      <c r="E31" s="2" t="s">
        <v>152</v>
      </c>
      <c r="F31" s="2" t="s">
        <v>153</v>
      </c>
      <c r="G31" s="2" t="s">
        <v>53</v>
      </c>
      <c r="H31" s="2" t="s">
        <v>154</v>
      </c>
      <c r="I31" s="2" t="s">
        <v>36</v>
      </c>
      <c r="J31" s="2" t="s">
        <v>37</v>
      </c>
      <c r="K31" s="2" t="s">
        <v>38</v>
      </c>
      <c r="L31" s="2" t="s">
        <v>39</v>
      </c>
      <c r="M31" s="2" t="s">
        <v>39</v>
      </c>
      <c r="N31" s="2" t="s">
        <v>38</v>
      </c>
      <c r="O31" s="2" t="s">
        <v>39</v>
      </c>
      <c r="P31" s="2" t="s">
        <v>39</v>
      </c>
      <c r="Q31" s="2" t="s">
        <v>39</v>
      </c>
      <c r="R31" s="2" t="s">
        <v>38</v>
      </c>
      <c r="S31" s="2" t="s">
        <v>38</v>
      </c>
      <c r="T31" s="2" t="s">
        <v>38</v>
      </c>
      <c r="U31" s="2" t="s">
        <v>38</v>
      </c>
      <c r="V31" s="2" t="s">
        <v>38</v>
      </c>
      <c r="W31" s="2" t="s">
        <v>38</v>
      </c>
      <c r="X31" s="2" t="s">
        <v>38</v>
      </c>
      <c r="Y31" s="2" t="s">
        <v>38</v>
      </c>
      <c r="Z31" s="2" t="s">
        <v>38</v>
      </c>
      <c r="AA31" s="2" t="s">
        <v>38</v>
      </c>
      <c r="AB31" s="2" t="s">
        <v>38</v>
      </c>
      <c r="AC31" s="2" t="s">
        <v>38</v>
      </c>
      <c r="AD31" s="2" t="s">
        <v>38</v>
      </c>
      <c r="AE31" s="2" t="s">
        <v>39</v>
      </c>
    </row>
    <row r="32" spans="1:31" ht="409.5">
      <c r="A32" s="2">
        <v>2770739</v>
      </c>
      <c r="B32" s="2">
        <f>HYPERLINK("https://platform.v2.vetology.net/cases/2770739/screening-report/1?type=pdf&amp;v=v6&amp;scorecard=1&amp;secret_key=BX%25IJ%24%2F65ieZ%29f6", 2770739)</f>
        <v>2770739</v>
      </c>
      <c r="C32" s="2">
        <f>HYPERLINK("https://platform.v2.vetology.net/report/v/final/"&amp;2770739, 2770739)</f>
        <v>2770739</v>
      </c>
      <c r="D32" s="2" t="s">
        <v>155</v>
      </c>
      <c r="E32" s="2" t="s">
        <v>156</v>
      </c>
      <c r="F32" s="2" t="s">
        <v>157</v>
      </c>
      <c r="G32" s="2" t="s">
        <v>53</v>
      </c>
      <c r="H32" s="2" t="s">
        <v>158</v>
      </c>
      <c r="I32" s="2" t="s">
        <v>59</v>
      </c>
      <c r="J32" s="2" t="s">
        <v>37</v>
      </c>
      <c r="K32" s="2" t="s">
        <v>38</v>
      </c>
      <c r="L32" s="2" t="s">
        <v>39</v>
      </c>
      <c r="M32" s="2" t="s">
        <v>39</v>
      </c>
      <c r="N32" s="2" t="s">
        <v>39</v>
      </c>
      <c r="O32" s="2" t="s">
        <v>39</v>
      </c>
      <c r="P32" s="2" t="s">
        <v>39</v>
      </c>
      <c r="Q32" s="2" t="s">
        <v>39</v>
      </c>
      <c r="R32" s="2" t="s">
        <v>39</v>
      </c>
      <c r="S32" s="2" t="s">
        <v>39</v>
      </c>
      <c r="T32" s="2" t="s">
        <v>39</v>
      </c>
      <c r="U32" s="2" t="s">
        <v>38</v>
      </c>
      <c r="V32" s="2" t="s">
        <v>38</v>
      </c>
      <c r="W32" s="2" t="s">
        <v>39</v>
      </c>
      <c r="X32" s="2" t="s">
        <v>39</v>
      </c>
      <c r="Y32" s="2" t="s">
        <v>39</v>
      </c>
      <c r="Z32" s="2" t="s">
        <v>39</v>
      </c>
      <c r="AA32" s="2" t="s">
        <v>39</v>
      </c>
      <c r="AB32" s="2" t="s">
        <v>39</v>
      </c>
      <c r="AC32" s="2" t="s">
        <v>39</v>
      </c>
      <c r="AD32" s="2" t="s">
        <v>39</v>
      </c>
      <c r="AE32" s="2" t="s">
        <v>39</v>
      </c>
    </row>
    <row r="33" spans="1:31" ht="409.5">
      <c r="A33" s="2">
        <v>2770723</v>
      </c>
      <c r="B33" s="2">
        <f>HYPERLINK("https://platform.v2.vetology.net/cases/2770723/screening-report/1?type=pdf&amp;v=v6&amp;scorecard=1&amp;secret_key=BX%25IJ%24%2F65ieZ%29f6", 2770723)</f>
        <v>2770723</v>
      </c>
      <c r="C33" s="2">
        <f>HYPERLINK("https://platform.v2.vetology.net/report/v/final/"&amp;2770723, 2770723)</f>
        <v>2770723</v>
      </c>
      <c r="D33" s="2" t="s">
        <v>159</v>
      </c>
      <c r="E33" s="2" t="s">
        <v>160</v>
      </c>
      <c r="F33" s="2" t="s">
        <v>161</v>
      </c>
      <c r="G33" s="2" t="s">
        <v>111</v>
      </c>
      <c r="H33" s="2" t="s">
        <v>162</v>
      </c>
      <c r="I33" s="2" t="s">
        <v>73</v>
      </c>
      <c r="J33" s="2" t="s">
        <v>74</v>
      </c>
      <c r="K33" s="2" t="s">
        <v>38</v>
      </c>
      <c r="L33" s="2" t="s">
        <v>38</v>
      </c>
      <c r="M33" s="2" t="s">
        <v>38</v>
      </c>
      <c r="N33" s="2" t="s">
        <v>38</v>
      </c>
      <c r="O33" s="2" t="s">
        <v>38</v>
      </c>
      <c r="P33" s="2" t="s">
        <v>38</v>
      </c>
      <c r="Q33" s="2" t="s">
        <v>38</v>
      </c>
      <c r="R33" s="2" t="s">
        <v>38</v>
      </c>
      <c r="S33" s="2" t="s">
        <v>38</v>
      </c>
      <c r="T33" s="2" t="s">
        <v>38</v>
      </c>
      <c r="U33" s="2" t="s">
        <v>38</v>
      </c>
      <c r="V33" s="2" t="s">
        <v>38</v>
      </c>
      <c r="W33" s="2" t="s">
        <v>38</v>
      </c>
      <c r="X33" s="2" t="s">
        <v>38</v>
      </c>
      <c r="Y33" s="2" t="s">
        <v>39</v>
      </c>
      <c r="Z33" s="2" t="s">
        <v>38</v>
      </c>
      <c r="AA33" s="2" t="s">
        <v>38</v>
      </c>
      <c r="AB33" s="2" t="s">
        <v>38</v>
      </c>
      <c r="AC33" s="2" t="s">
        <v>39</v>
      </c>
      <c r="AD33" s="2" t="s">
        <v>38</v>
      </c>
      <c r="AE33" s="2" t="s">
        <v>40</v>
      </c>
    </row>
    <row r="34" spans="1:31" ht="409.5">
      <c r="A34" s="2">
        <v>2770715</v>
      </c>
      <c r="B34" s="2">
        <f>HYPERLINK("https://platform.v2.vetology.net/cases/2770715/screening-report/1?type=pdf&amp;v=v6&amp;scorecard=1&amp;secret_key=BX%25IJ%24%2F65ieZ%29f6", 2770715)</f>
        <v>2770715</v>
      </c>
      <c r="C34" s="2">
        <f>HYPERLINK("https://platform.v2.vetology.net/report/v/final/"&amp;2770715, 2770715)</f>
        <v>2770715</v>
      </c>
      <c r="D34" s="2" t="s">
        <v>163</v>
      </c>
      <c r="E34" s="2" t="s">
        <v>164</v>
      </c>
      <c r="F34" s="2" t="s">
        <v>165</v>
      </c>
      <c r="G34" s="2" t="s">
        <v>127</v>
      </c>
      <c r="H34" s="2" t="s">
        <v>166</v>
      </c>
      <c r="I34" s="2" t="s">
        <v>36</v>
      </c>
      <c r="J34" s="2" t="s">
        <v>37</v>
      </c>
      <c r="K34" s="2" t="s">
        <v>39</v>
      </c>
      <c r="L34" s="2" t="s">
        <v>39</v>
      </c>
      <c r="M34" s="2" t="s">
        <v>38</v>
      </c>
      <c r="N34" s="2" t="s">
        <v>39</v>
      </c>
      <c r="O34" s="2" t="s">
        <v>38</v>
      </c>
      <c r="P34" s="2" t="s">
        <v>39</v>
      </c>
      <c r="Q34" s="2" t="s">
        <v>39</v>
      </c>
      <c r="R34" s="2" t="s">
        <v>38</v>
      </c>
      <c r="S34" s="2" t="s">
        <v>38</v>
      </c>
      <c r="T34" s="2" t="s">
        <v>38</v>
      </c>
      <c r="U34" s="2" t="s">
        <v>39</v>
      </c>
      <c r="V34" s="2" t="s">
        <v>39</v>
      </c>
      <c r="W34" s="2" t="s">
        <v>38</v>
      </c>
      <c r="X34" s="2" t="s">
        <v>39</v>
      </c>
      <c r="Y34" s="2" t="s">
        <v>39</v>
      </c>
      <c r="Z34" s="2" t="s">
        <v>38</v>
      </c>
      <c r="AA34" s="2" t="s">
        <v>39</v>
      </c>
      <c r="AB34" s="2" t="s">
        <v>39</v>
      </c>
      <c r="AC34" s="2" t="s">
        <v>38</v>
      </c>
      <c r="AD34" s="2" t="s">
        <v>39</v>
      </c>
      <c r="AE34" s="2" t="s">
        <v>39</v>
      </c>
    </row>
    <row r="35" spans="1:31" ht="409.5">
      <c r="A35" s="2">
        <v>2770702</v>
      </c>
      <c r="B35" s="2">
        <f>HYPERLINK("https://platform.v2.vetology.net/cases/2770702/screening-report/1?type=pdf&amp;v=v6&amp;scorecard=1&amp;secret_key=BX%25IJ%24%2F65ieZ%29f6", 2770702)</f>
        <v>2770702</v>
      </c>
      <c r="C35" s="2">
        <f>HYPERLINK("https://platform.v2.vetology.net/report/v/final/"&amp;2770702, 2770702)</f>
        <v>2770702</v>
      </c>
      <c r="D35" s="2" t="s">
        <v>167</v>
      </c>
      <c r="E35" s="2" t="s">
        <v>168</v>
      </c>
      <c r="F35" s="2" t="s">
        <v>169</v>
      </c>
      <c r="G35" s="2" t="s">
        <v>170</v>
      </c>
      <c r="H35" s="2" t="s">
        <v>171</v>
      </c>
      <c r="I35" s="2" t="s">
        <v>36</v>
      </c>
      <c r="J35" s="2" t="s">
        <v>37</v>
      </c>
      <c r="K35" s="2" t="s">
        <v>39</v>
      </c>
      <c r="L35" s="2" t="s">
        <v>38</v>
      </c>
      <c r="M35" s="2" t="s">
        <v>38</v>
      </c>
      <c r="N35" s="2" t="s">
        <v>38</v>
      </c>
      <c r="O35" s="2" t="s">
        <v>39</v>
      </c>
      <c r="P35" s="2" t="s">
        <v>39</v>
      </c>
      <c r="Q35" s="2" t="s">
        <v>39</v>
      </c>
      <c r="R35" s="2" t="s">
        <v>38</v>
      </c>
      <c r="S35" s="2" t="s">
        <v>38</v>
      </c>
      <c r="T35" s="2" t="s">
        <v>39</v>
      </c>
      <c r="U35" s="2" t="s">
        <v>39</v>
      </c>
      <c r="V35" s="2" t="s">
        <v>39</v>
      </c>
      <c r="W35" s="2" t="s">
        <v>38</v>
      </c>
      <c r="X35" s="2" t="s">
        <v>39</v>
      </c>
      <c r="Y35" s="2" t="s">
        <v>39</v>
      </c>
      <c r="Z35" s="2" t="s">
        <v>38</v>
      </c>
      <c r="AA35" s="2" t="s">
        <v>38</v>
      </c>
      <c r="AB35" s="2" t="s">
        <v>39</v>
      </c>
      <c r="AC35" s="2" t="s">
        <v>38</v>
      </c>
      <c r="AD35" s="2" t="s">
        <v>38</v>
      </c>
      <c r="AE35" s="2" t="s">
        <v>39</v>
      </c>
    </row>
    <row r="36" spans="1:31" ht="409.5">
      <c r="A36" s="2">
        <v>2770696</v>
      </c>
      <c r="B36" s="2">
        <f>HYPERLINK("https://platform.v2.vetology.net/cases/2770696/screening-report/1?type=pdf&amp;v=v6&amp;scorecard=1&amp;secret_key=BX%25IJ%24%2F65ieZ%29f6", 2770696)</f>
        <v>2770696</v>
      </c>
      <c r="C36" s="2">
        <f>HYPERLINK("https://platform.v2.vetology.net/report/v/final/"&amp;2770696, 2770696)</f>
        <v>2770696</v>
      </c>
      <c r="D36" s="2" t="s">
        <v>172</v>
      </c>
      <c r="E36" s="2" t="s">
        <v>173</v>
      </c>
      <c r="F36" s="2" t="s">
        <v>174</v>
      </c>
      <c r="G36" s="2" t="s">
        <v>170</v>
      </c>
      <c r="H36" s="2" t="s">
        <v>175</v>
      </c>
      <c r="I36" s="2" t="s">
        <v>36</v>
      </c>
      <c r="J36" s="2" t="s">
        <v>37</v>
      </c>
      <c r="K36" s="2" t="s">
        <v>39</v>
      </c>
      <c r="L36" s="2" t="s">
        <v>38</v>
      </c>
      <c r="M36" s="2" t="s">
        <v>39</v>
      </c>
      <c r="N36" s="2" t="s">
        <v>38</v>
      </c>
      <c r="O36" s="2" t="s">
        <v>38</v>
      </c>
      <c r="P36" s="2" t="s">
        <v>39</v>
      </c>
      <c r="Q36" s="2" t="s">
        <v>39</v>
      </c>
      <c r="R36" s="2" t="s">
        <v>38</v>
      </c>
      <c r="S36" s="2" t="s">
        <v>39</v>
      </c>
      <c r="T36" s="2" t="s">
        <v>39</v>
      </c>
      <c r="U36" s="2" t="s">
        <v>39</v>
      </c>
      <c r="V36" s="2" t="s">
        <v>39</v>
      </c>
      <c r="W36" s="2" t="s">
        <v>38</v>
      </c>
      <c r="X36" s="2" t="s">
        <v>39</v>
      </c>
      <c r="Y36" s="2" t="s">
        <v>39</v>
      </c>
      <c r="Z36" s="2" t="s">
        <v>39</v>
      </c>
      <c r="AA36" s="2" t="s">
        <v>39</v>
      </c>
      <c r="AB36" s="2" t="s">
        <v>39</v>
      </c>
      <c r="AC36" s="2" t="s">
        <v>38</v>
      </c>
      <c r="AD36" s="2" t="s">
        <v>39</v>
      </c>
      <c r="AE36" s="2" t="s">
        <v>39</v>
      </c>
    </row>
    <row r="37" spans="1:31" ht="409.5">
      <c r="A37" s="2">
        <v>2770688</v>
      </c>
      <c r="B37" s="2">
        <f>HYPERLINK("https://platform.v2.vetology.net/cases/2770688/screening-report/1?type=pdf&amp;v=v6&amp;scorecard=1&amp;secret_key=BX%25IJ%24%2F65ieZ%29f6", 2770688)</f>
        <v>2770688</v>
      </c>
      <c r="C37" s="2">
        <f>HYPERLINK("https://platform.v2.vetology.net/report/v/final/"&amp;2770688, 2770688)</f>
        <v>2770688</v>
      </c>
      <c r="D37" s="2" t="s">
        <v>176</v>
      </c>
      <c r="E37" s="2" t="s">
        <v>177</v>
      </c>
      <c r="F37" s="2" t="s">
        <v>178</v>
      </c>
      <c r="G37" s="2" t="s">
        <v>53</v>
      </c>
      <c r="H37" s="2" t="s">
        <v>179</v>
      </c>
      <c r="I37" s="2" t="s">
        <v>129</v>
      </c>
      <c r="J37" s="2" t="s">
        <v>74</v>
      </c>
      <c r="K37" s="2" t="s">
        <v>39</v>
      </c>
      <c r="L37" s="2" t="s">
        <v>38</v>
      </c>
      <c r="M37" s="2" t="s">
        <v>38</v>
      </c>
      <c r="N37" s="2" t="s">
        <v>38</v>
      </c>
      <c r="O37" s="2" t="s">
        <v>38</v>
      </c>
      <c r="P37" s="2" t="s">
        <v>38</v>
      </c>
      <c r="Q37" s="2" t="s">
        <v>38</v>
      </c>
      <c r="R37" s="2" t="s">
        <v>38</v>
      </c>
      <c r="S37" s="2" t="s">
        <v>38</v>
      </c>
      <c r="T37" s="2" t="s">
        <v>38</v>
      </c>
      <c r="U37" s="2" t="s">
        <v>39</v>
      </c>
      <c r="V37" s="2" t="s">
        <v>39</v>
      </c>
      <c r="W37" s="2" t="s">
        <v>38</v>
      </c>
      <c r="X37" s="2" t="s">
        <v>38</v>
      </c>
      <c r="Y37" s="2" t="s">
        <v>38</v>
      </c>
      <c r="Z37" s="2" t="s">
        <v>38</v>
      </c>
      <c r="AA37" s="2" t="s">
        <v>38</v>
      </c>
      <c r="AB37" s="2" t="s">
        <v>38</v>
      </c>
      <c r="AC37" s="2" t="s">
        <v>38</v>
      </c>
      <c r="AD37" s="2" t="s">
        <v>38</v>
      </c>
      <c r="AE37" s="2" t="s">
        <v>40</v>
      </c>
    </row>
    <row r="38" spans="1:31" ht="409.5">
      <c r="A38" s="2">
        <v>2770679</v>
      </c>
      <c r="B38" s="2">
        <f>HYPERLINK("https://platform.v2.vetology.net/cases/2770679/screening-report/1?type=pdf&amp;v=v6&amp;scorecard=1&amp;secret_key=BX%25IJ%24%2F65ieZ%29f6", 2770679)</f>
        <v>2770679</v>
      </c>
      <c r="C38" s="2">
        <f>HYPERLINK("https://platform.v2.vetology.net/report/v/final/"&amp;2770679, 2770679)</f>
        <v>2770679</v>
      </c>
      <c r="D38" s="2" t="s">
        <v>180</v>
      </c>
      <c r="E38" s="2" t="s">
        <v>181</v>
      </c>
      <c r="F38" s="2" t="s">
        <v>43</v>
      </c>
      <c r="G38" s="2" t="s">
        <v>100</v>
      </c>
      <c r="H38" s="2" t="s">
        <v>182</v>
      </c>
      <c r="I38" s="2" t="s">
        <v>46</v>
      </c>
      <c r="J38" s="2"/>
      <c r="K38" s="2" t="s">
        <v>38</v>
      </c>
      <c r="L38" s="2" t="s">
        <v>39</v>
      </c>
      <c r="M38" s="2" t="s">
        <v>39</v>
      </c>
      <c r="N38" s="2" t="s">
        <v>39</v>
      </c>
      <c r="O38" s="2" t="s">
        <v>39</v>
      </c>
      <c r="P38" s="2" t="s">
        <v>39</v>
      </c>
      <c r="Q38" s="2" t="s">
        <v>39</v>
      </c>
      <c r="R38" s="2" t="s">
        <v>38</v>
      </c>
      <c r="S38" s="2" t="s">
        <v>39</v>
      </c>
      <c r="T38" s="2" t="s">
        <v>38</v>
      </c>
      <c r="U38" s="2" t="s">
        <v>39</v>
      </c>
      <c r="V38" s="2" t="s">
        <v>39</v>
      </c>
      <c r="W38" s="2" t="s">
        <v>38</v>
      </c>
      <c r="X38" s="2" t="s">
        <v>39</v>
      </c>
      <c r="Y38" s="2" t="s">
        <v>39</v>
      </c>
      <c r="Z38" s="2" t="s">
        <v>39</v>
      </c>
      <c r="AA38" s="2" t="s">
        <v>39</v>
      </c>
      <c r="AB38" s="2" t="s">
        <v>39</v>
      </c>
      <c r="AC38" s="2" t="s">
        <v>39</v>
      </c>
      <c r="AD38" s="2" t="s">
        <v>38</v>
      </c>
      <c r="AE38" s="2" t="s">
        <v>39</v>
      </c>
    </row>
    <row r="39" spans="1:31" ht="409.5">
      <c r="A39" s="2">
        <v>2770665</v>
      </c>
      <c r="B39" s="2">
        <f>HYPERLINK("https://platform.v2.vetology.net/cases/2770665/screening-report/1?type=pdf&amp;v=v6&amp;scorecard=1&amp;secret_key=BX%25IJ%24%2F65ieZ%29f6", 2770665)</f>
        <v>2770665</v>
      </c>
      <c r="C39" s="2">
        <f>HYPERLINK("https://platform.v2.vetology.net/report/v/final/"&amp;2770665, 2770665)</f>
        <v>2770665</v>
      </c>
      <c r="D39" s="2" t="s">
        <v>183</v>
      </c>
      <c r="E39" s="2" t="s">
        <v>184</v>
      </c>
      <c r="F39" s="2" t="s">
        <v>185</v>
      </c>
      <c r="G39" s="2" t="s">
        <v>170</v>
      </c>
      <c r="H39" s="2" t="s">
        <v>45</v>
      </c>
      <c r="I39" s="2" t="s">
        <v>46</v>
      </c>
      <c r="J39" s="2"/>
      <c r="K39" s="2" t="s">
        <v>39</v>
      </c>
      <c r="L39" s="2" t="s">
        <v>39</v>
      </c>
      <c r="M39" s="2" t="s">
        <v>39</v>
      </c>
      <c r="N39" s="2" t="s">
        <v>39</v>
      </c>
      <c r="O39" s="2" t="s">
        <v>39</v>
      </c>
      <c r="P39" s="2" t="s">
        <v>39</v>
      </c>
      <c r="Q39" s="2" t="s">
        <v>39</v>
      </c>
      <c r="R39" s="2" t="s">
        <v>38</v>
      </c>
      <c r="S39" s="2" t="s">
        <v>39</v>
      </c>
      <c r="T39" s="2" t="s">
        <v>39</v>
      </c>
      <c r="U39" s="2" t="s">
        <v>39</v>
      </c>
      <c r="V39" s="2" t="s">
        <v>39</v>
      </c>
      <c r="W39" s="2" t="s">
        <v>39</v>
      </c>
      <c r="X39" s="2" t="s">
        <v>39</v>
      </c>
      <c r="Y39" s="2" t="s">
        <v>39</v>
      </c>
      <c r="Z39" s="2" t="s">
        <v>39</v>
      </c>
      <c r="AA39" s="2" t="s">
        <v>39</v>
      </c>
      <c r="AB39" s="2" t="s">
        <v>39</v>
      </c>
      <c r="AC39" s="2" t="s">
        <v>38</v>
      </c>
      <c r="AD39" s="2" t="s">
        <v>39</v>
      </c>
      <c r="AE39" s="2" t="s">
        <v>40</v>
      </c>
    </row>
    <row r="40" spans="1:31" ht="409.5">
      <c r="A40" s="2">
        <v>2770663</v>
      </c>
      <c r="B40" s="2">
        <f>HYPERLINK("https://platform.v2.vetology.net/cases/2770663/screening-report/1?type=pdf&amp;v=v6&amp;scorecard=1&amp;secret_key=BX%25IJ%24%2F65ieZ%29f6", 2770663)</f>
        <v>2770663</v>
      </c>
      <c r="C40" s="2">
        <f>HYPERLINK("https://platform.v2.vetology.net/report/v/final/"&amp;2770663, 2770663)</f>
        <v>2770663</v>
      </c>
      <c r="D40" s="2" t="s">
        <v>186</v>
      </c>
      <c r="E40" s="2" t="s">
        <v>187</v>
      </c>
      <c r="F40" s="2" t="s">
        <v>188</v>
      </c>
      <c r="G40" s="2" t="s">
        <v>53</v>
      </c>
      <c r="H40" s="2" t="s">
        <v>189</v>
      </c>
      <c r="I40" s="2" t="s">
        <v>129</v>
      </c>
      <c r="J40" s="2" t="s">
        <v>74</v>
      </c>
      <c r="K40" s="2" t="s">
        <v>39</v>
      </c>
      <c r="L40" s="2" t="s">
        <v>38</v>
      </c>
      <c r="M40" s="2" t="s">
        <v>38</v>
      </c>
      <c r="N40" s="2" t="s">
        <v>38</v>
      </c>
      <c r="O40" s="2" t="s">
        <v>38</v>
      </c>
      <c r="P40" s="2" t="s">
        <v>38</v>
      </c>
      <c r="Q40" s="2" t="s">
        <v>38</v>
      </c>
      <c r="R40" s="2" t="s">
        <v>38</v>
      </c>
      <c r="S40" s="2" t="s">
        <v>38</v>
      </c>
      <c r="T40" s="2" t="s">
        <v>38</v>
      </c>
      <c r="U40" s="2" t="s">
        <v>39</v>
      </c>
      <c r="V40" s="2" t="s">
        <v>38</v>
      </c>
      <c r="W40" s="2" t="s">
        <v>38</v>
      </c>
      <c r="X40" s="2" t="s">
        <v>38</v>
      </c>
      <c r="Y40" s="2" t="s">
        <v>38</v>
      </c>
      <c r="Z40" s="2" t="s">
        <v>38</v>
      </c>
      <c r="AA40" s="2" t="s">
        <v>39</v>
      </c>
      <c r="AB40" s="2" t="s">
        <v>38</v>
      </c>
      <c r="AC40" s="2" t="s">
        <v>38</v>
      </c>
      <c r="AD40" s="2" t="s">
        <v>38</v>
      </c>
      <c r="AE40" s="2" t="s">
        <v>40</v>
      </c>
    </row>
    <row r="41" spans="1:31" ht="409.5">
      <c r="A41" s="2">
        <v>2770649</v>
      </c>
      <c r="B41" s="2">
        <f>HYPERLINK("https://platform.v2.vetology.net/cases/2770649/screening-report/1?type=pdf&amp;v=v6&amp;scorecard=1&amp;secret_key=BX%25IJ%24%2F65ieZ%29f6", 2770649)</f>
        <v>2770649</v>
      </c>
      <c r="C41" s="2">
        <f>HYPERLINK("https://platform.v2.vetology.net/report/v/final/"&amp;2770649, 2770649)</f>
        <v>2770649</v>
      </c>
      <c r="D41" s="2" t="s">
        <v>190</v>
      </c>
      <c r="E41" s="2" t="s">
        <v>191</v>
      </c>
      <c r="F41" s="2" t="s">
        <v>192</v>
      </c>
      <c r="G41" s="2" t="s">
        <v>111</v>
      </c>
      <c r="H41" s="2" t="s">
        <v>193</v>
      </c>
      <c r="I41" s="2" t="s">
        <v>36</v>
      </c>
      <c r="J41" s="2" t="s">
        <v>37</v>
      </c>
      <c r="K41" s="2" t="s">
        <v>38</v>
      </c>
      <c r="L41" s="2" t="s">
        <v>39</v>
      </c>
      <c r="M41" s="2" t="s">
        <v>38</v>
      </c>
      <c r="N41" s="2" t="s">
        <v>38</v>
      </c>
      <c r="O41" s="2" t="s">
        <v>38</v>
      </c>
      <c r="P41" s="2" t="s">
        <v>39</v>
      </c>
      <c r="Q41" s="2" t="s">
        <v>39</v>
      </c>
      <c r="R41" s="2" t="s">
        <v>38</v>
      </c>
      <c r="S41" s="2" t="s">
        <v>38</v>
      </c>
      <c r="T41" s="2" t="s">
        <v>39</v>
      </c>
      <c r="U41" s="2" t="s">
        <v>38</v>
      </c>
      <c r="V41" s="2" t="s">
        <v>38</v>
      </c>
      <c r="W41" s="2" t="s">
        <v>38</v>
      </c>
      <c r="X41" s="2" t="s">
        <v>39</v>
      </c>
      <c r="Y41" s="2" t="s">
        <v>39</v>
      </c>
      <c r="Z41" s="2" t="s">
        <v>38</v>
      </c>
      <c r="AA41" s="2" t="s">
        <v>39</v>
      </c>
      <c r="AB41" s="2" t="s">
        <v>39</v>
      </c>
      <c r="AC41" s="2" t="s">
        <v>38</v>
      </c>
      <c r="AD41" s="2" t="s">
        <v>38</v>
      </c>
      <c r="AE41" s="2" t="s">
        <v>40</v>
      </c>
    </row>
    <row r="42" spans="1:31" ht="409.5">
      <c r="A42" s="2">
        <v>2770624</v>
      </c>
      <c r="B42" s="2">
        <f>HYPERLINK("https://platform.v2.vetology.net/cases/2770624/screening-report/1?type=pdf&amp;v=v6&amp;scorecard=1&amp;secret_key=BX%25IJ%24%2F65ieZ%29f6", 2770624)</f>
        <v>2770624</v>
      </c>
      <c r="C42" s="2">
        <f>HYPERLINK("https://platform.v2.vetology.net/report/v/final/"&amp;2770624, 2770624)</f>
        <v>2770624</v>
      </c>
      <c r="D42" s="2" t="s">
        <v>194</v>
      </c>
      <c r="E42" s="2" t="s">
        <v>195</v>
      </c>
      <c r="F42" s="2" t="s">
        <v>196</v>
      </c>
      <c r="G42" s="2" t="s">
        <v>53</v>
      </c>
      <c r="H42" s="2" t="s">
        <v>197</v>
      </c>
      <c r="I42" s="2" t="s">
        <v>36</v>
      </c>
      <c r="J42" s="2" t="s">
        <v>37</v>
      </c>
      <c r="K42" s="2" t="s">
        <v>38</v>
      </c>
      <c r="L42" s="2" t="s">
        <v>39</v>
      </c>
      <c r="M42" s="2" t="s">
        <v>38</v>
      </c>
      <c r="N42" s="2" t="s">
        <v>39</v>
      </c>
      <c r="O42" s="2" t="s">
        <v>38</v>
      </c>
      <c r="P42" s="2" t="s">
        <v>39</v>
      </c>
      <c r="Q42" s="2" t="s">
        <v>39</v>
      </c>
      <c r="R42" s="2" t="s">
        <v>38</v>
      </c>
      <c r="S42" s="2" t="s">
        <v>39</v>
      </c>
      <c r="T42" s="2" t="s">
        <v>39</v>
      </c>
      <c r="U42" s="2" t="s">
        <v>38</v>
      </c>
      <c r="V42" s="2" t="s">
        <v>38</v>
      </c>
      <c r="W42" s="2" t="s">
        <v>38</v>
      </c>
      <c r="X42" s="2" t="s">
        <v>38</v>
      </c>
      <c r="Y42" s="2" t="s">
        <v>39</v>
      </c>
      <c r="Z42" s="2" t="s">
        <v>39</v>
      </c>
      <c r="AA42" s="2" t="s">
        <v>38</v>
      </c>
      <c r="AB42" s="2" t="s">
        <v>39</v>
      </c>
      <c r="AC42" s="2" t="s">
        <v>38</v>
      </c>
      <c r="AD42" s="2" t="s">
        <v>39</v>
      </c>
      <c r="AE42" s="2" t="s">
        <v>40</v>
      </c>
    </row>
    <row r="43" spans="1:31" ht="409.5">
      <c r="A43" s="2">
        <v>2770602</v>
      </c>
      <c r="B43" s="2">
        <f>HYPERLINK("https://platform.v2.vetology.net/cases/2770602/screening-report/1?type=pdf&amp;v=v6&amp;scorecard=1&amp;secret_key=BX%25IJ%24%2F65ieZ%29f6", 2770602)</f>
        <v>2770602</v>
      </c>
      <c r="C43" s="2">
        <f>HYPERLINK("https://platform.v2.vetology.net/report/v/final/"&amp;2770602, 2770602)</f>
        <v>2770602</v>
      </c>
      <c r="D43" s="2" t="s">
        <v>198</v>
      </c>
      <c r="E43" s="2" t="s">
        <v>199</v>
      </c>
      <c r="F43" s="2" t="s">
        <v>200</v>
      </c>
      <c r="G43" s="2" t="s">
        <v>170</v>
      </c>
      <c r="H43" s="2" t="s">
        <v>201</v>
      </c>
      <c r="I43" s="2" t="s">
        <v>36</v>
      </c>
      <c r="J43" s="2" t="s">
        <v>37</v>
      </c>
      <c r="K43" s="2" t="s">
        <v>39</v>
      </c>
      <c r="L43" s="2" t="s">
        <v>39</v>
      </c>
      <c r="M43" s="2" t="s">
        <v>38</v>
      </c>
      <c r="N43" s="2" t="s">
        <v>38</v>
      </c>
      <c r="O43" s="2" t="s">
        <v>39</v>
      </c>
      <c r="P43" s="2" t="s">
        <v>39</v>
      </c>
      <c r="Q43" s="2" t="s">
        <v>39</v>
      </c>
      <c r="R43" s="2" t="s">
        <v>39</v>
      </c>
      <c r="S43" s="2" t="s">
        <v>39</v>
      </c>
      <c r="T43" s="2" t="s">
        <v>38</v>
      </c>
      <c r="U43" s="2" t="s">
        <v>39</v>
      </c>
      <c r="V43" s="2" t="s">
        <v>39</v>
      </c>
      <c r="W43" s="2" t="s">
        <v>38</v>
      </c>
      <c r="X43" s="2" t="s">
        <v>38</v>
      </c>
      <c r="Y43" s="2" t="s">
        <v>39</v>
      </c>
      <c r="Z43" s="2" t="s">
        <v>39</v>
      </c>
      <c r="AA43" s="2" t="s">
        <v>39</v>
      </c>
      <c r="AB43" s="2" t="s">
        <v>38</v>
      </c>
      <c r="AC43" s="2" t="s">
        <v>39</v>
      </c>
      <c r="AD43" s="2" t="s">
        <v>39</v>
      </c>
      <c r="AE43" s="2" t="s">
        <v>39</v>
      </c>
    </row>
    <row r="44" spans="1:31" ht="409.5">
      <c r="A44" s="2">
        <v>2770597</v>
      </c>
      <c r="B44" s="2">
        <f>HYPERLINK("https://platform.v2.vetology.net/cases/2770597/screening-report/1?type=pdf&amp;v=v6&amp;scorecard=1&amp;secret_key=BX%25IJ%24%2F65ieZ%29f6", 2770597)</f>
        <v>2770597</v>
      </c>
      <c r="C44" s="2">
        <f>HYPERLINK("https://platform.v2.vetology.net/report/v/final/"&amp;2770597, 2770597)</f>
        <v>2770597</v>
      </c>
      <c r="D44" s="2" t="s">
        <v>202</v>
      </c>
      <c r="E44" s="2" t="s">
        <v>203</v>
      </c>
      <c r="F44" s="2"/>
      <c r="G44" s="2" t="s">
        <v>100</v>
      </c>
      <c r="H44" s="2" t="s">
        <v>158</v>
      </c>
      <c r="I44" s="2" t="s">
        <v>59</v>
      </c>
      <c r="J44" s="2" t="s">
        <v>37</v>
      </c>
      <c r="K44" s="2" t="s">
        <v>38</v>
      </c>
      <c r="L44" s="2" t="s">
        <v>39</v>
      </c>
      <c r="M44" s="2" t="s">
        <v>39</v>
      </c>
      <c r="N44" s="2" t="s">
        <v>39</v>
      </c>
      <c r="O44" s="2" t="s">
        <v>39</v>
      </c>
      <c r="P44" s="2" t="s">
        <v>39</v>
      </c>
      <c r="Q44" s="2" t="s">
        <v>39</v>
      </c>
      <c r="R44" s="2" t="s">
        <v>39</v>
      </c>
      <c r="S44" s="2" t="s">
        <v>39</v>
      </c>
      <c r="T44" s="2" t="s">
        <v>39</v>
      </c>
      <c r="U44" s="2" t="s">
        <v>38</v>
      </c>
      <c r="V44" s="2" t="s">
        <v>38</v>
      </c>
      <c r="W44" s="2" t="s">
        <v>38</v>
      </c>
      <c r="X44" s="2" t="s">
        <v>39</v>
      </c>
      <c r="Y44" s="2" t="s">
        <v>39</v>
      </c>
      <c r="Z44" s="2" t="s">
        <v>38</v>
      </c>
      <c r="AA44" s="2" t="s">
        <v>39</v>
      </c>
      <c r="AB44" s="2" t="s">
        <v>39</v>
      </c>
      <c r="AC44" s="2" t="s">
        <v>38</v>
      </c>
      <c r="AD44" s="2" t="s">
        <v>39</v>
      </c>
      <c r="AE44" s="2" t="s">
        <v>39</v>
      </c>
    </row>
    <row r="45" spans="1:31" ht="409.5">
      <c r="A45" s="2">
        <v>2770568</v>
      </c>
      <c r="B45" s="2">
        <f>HYPERLINK("https://platform.v2.vetology.net/cases/2770568/screening-report/1?type=pdf&amp;v=v6&amp;scorecard=1&amp;secret_key=BX%25IJ%24%2F65ieZ%29f6", 2770568)</f>
        <v>2770568</v>
      </c>
      <c r="C45" s="2">
        <f>HYPERLINK("https://platform.v2.vetology.net/report/v/final/"&amp;2770568, 2770568)</f>
        <v>2770568</v>
      </c>
      <c r="D45" s="2" t="s">
        <v>204</v>
      </c>
      <c r="E45" s="2" t="s">
        <v>205</v>
      </c>
      <c r="F45" s="2" t="s">
        <v>206</v>
      </c>
      <c r="G45" s="2" t="s">
        <v>53</v>
      </c>
      <c r="H45" s="2" t="s">
        <v>158</v>
      </c>
      <c r="I45" s="2" t="s">
        <v>59</v>
      </c>
      <c r="J45" s="2" t="s">
        <v>37</v>
      </c>
      <c r="K45" s="2" t="s">
        <v>38</v>
      </c>
      <c r="L45" s="2" t="s">
        <v>39</v>
      </c>
      <c r="M45" s="2" t="s">
        <v>39</v>
      </c>
      <c r="N45" s="2" t="s">
        <v>39</v>
      </c>
      <c r="O45" s="2" t="s">
        <v>39</v>
      </c>
      <c r="P45" s="2" t="s">
        <v>39</v>
      </c>
      <c r="Q45" s="2" t="s">
        <v>39</v>
      </c>
      <c r="R45" s="2" t="s">
        <v>39</v>
      </c>
      <c r="S45" s="2" t="s">
        <v>39</v>
      </c>
      <c r="T45" s="2" t="s">
        <v>39</v>
      </c>
      <c r="U45" s="2" t="s">
        <v>39</v>
      </c>
      <c r="V45" s="2" t="s">
        <v>39</v>
      </c>
      <c r="W45" s="2" t="s">
        <v>39</v>
      </c>
      <c r="X45" s="2" t="s">
        <v>39</v>
      </c>
      <c r="Y45" s="2" t="s">
        <v>39</v>
      </c>
      <c r="Z45" s="2" t="s">
        <v>39</v>
      </c>
      <c r="AA45" s="2" t="s">
        <v>39</v>
      </c>
      <c r="AB45" s="2" t="s">
        <v>39</v>
      </c>
      <c r="AC45" s="2" t="s">
        <v>38</v>
      </c>
      <c r="AD45" s="2" t="s">
        <v>39</v>
      </c>
      <c r="AE45" s="2" t="s">
        <v>39</v>
      </c>
    </row>
    <row r="46" spans="1:31" ht="409.5">
      <c r="A46" s="2">
        <v>2770565</v>
      </c>
      <c r="B46" s="2">
        <f>HYPERLINK("https://platform.v2.vetology.net/cases/2770565/screening-report/1?type=pdf&amp;v=v6&amp;scorecard=1&amp;secret_key=BX%25IJ%24%2F65ieZ%29f6", 2770565)</f>
        <v>2770565</v>
      </c>
      <c r="C46" s="2">
        <f>HYPERLINK("https://platform.v2.vetology.net/report/v/final/"&amp;2770565, 2770565)</f>
        <v>2770565</v>
      </c>
      <c r="D46" s="2" t="s">
        <v>207</v>
      </c>
      <c r="E46" s="2" t="s">
        <v>208</v>
      </c>
      <c r="F46" s="2" t="s">
        <v>209</v>
      </c>
      <c r="G46" s="2" t="s">
        <v>53</v>
      </c>
      <c r="H46" s="2" t="s">
        <v>210</v>
      </c>
      <c r="I46" s="2" t="s">
        <v>36</v>
      </c>
      <c r="J46" s="2" t="s">
        <v>37</v>
      </c>
      <c r="K46" s="2" t="s">
        <v>39</v>
      </c>
      <c r="L46" s="2" t="s">
        <v>38</v>
      </c>
      <c r="M46" s="2" t="s">
        <v>38</v>
      </c>
      <c r="N46" s="2" t="s">
        <v>38</v>
      </c>
      <c r="O46" s="2" t="s">
        <v>38</v>
      </c>
      <c r="P46" s="2" t="s">
        <v>39</v>
      </c>
      <c r="Q46" s="2" t="s">
        <v>39</v>
      </c>
      <c r="R46" s="2" t="s">
        <v>38</v>
      </c>
      <c r="S46" s="2" t="s">
        <v>39</v>
      </c>
      <c r="T46" s="2" t="s">
        <v>39</v>
      </c>
      <c r="U46" s="2" t="s">
        <v>39</v>
      </c>
      <c r="V46" s="2" t="s">
        <v>39</v>
      </c>
      <c r="W46" s="2" t="s">
        <v>38</v>
      </c>
      <c r="X46" s="2" t="s">
        <v>39</v>
      </c>
      <c r="Y46" s="2" t="s">
        <v>39</v>
      </c>
      <c r="Z46" s="2" t="s">
        <v>38</v>
      </c>
      <c r="AA46" s="2" t="s">
        <v>38</v>
      </c>
      <c r="AB46" s="2" t="s">
        <v>39</v>
      </c>
      <c r="AC46" s="2" t="s">
        <v>38</v>
      </c>
      <c r="AD46" s="2" t="s">
        <v>39</v>
      </c>
      <c r="AE46" s="2" t="s">
        <v>39</v>
      </c>
    </row>
    <row r="47" spans="1:31" ht="409.5">
      <c r="A47" s="2">
        <v>2770536</v>
      </c>
      <c r="B47" s="2">
        <f>HYPERLINK("https://platform.v2.vetology.net/cases/2770536/screening-report/1?type=pdf&amp;v=v6&amp;scorecard=1&amp;secret_key=BX%25IJ%24%2F65ieZ%29f6", 2770536)</f>
        <v>2770536</v>
      </c>
      <c r="C47" s="2">
        <f>HYPERLINK("https://platform.v2.vetology.net/report/v/final/"&amp;2770536, 2770536)</f>
        <v>2770536</v>
      </c>
      <c r="D47" s="2" t="s">
        <v>211</v>
      </c>
      <c r="E47" s="2" t="s">
        <v>212</v>
      </c>
      <c r="F47" s="2" t="s">
        <v>213</v>
      </c>
      <c r="G47" s="2" t="s">
        <v>53</v>
      </c>
      <c r="H47" s="2" t="s">
        <v>214</v>
      </c>
      <c r="I47" s="2" t="s">
        <v>36</v>
      </c>
      <c r="J47" s="2" t="s">
        <v>37</v>
      </c>
      <c r="K47" s="2" t="s">
        <v>38</v>
      </c>
      <c r="L47" s="2" t="s">
        <v>38</v>
      </c>
      <c r="M47" s="2" t="s">
        <v>38</v>
      </c>
      <c r="N47" s="2" t="s">
        <v>38</v>
      </c>
      <c r="O47" s="2" t="s">
        <v>38</v>
      </c>
      <c r="P47" s="2" t="s">
        <v>39</v>
      </c>
      <c r="Q47" s="2" t="s">
        <v>39</v>
      </c>
      <c r="R47" s="2" t="s">
        <v>38</v>
      </c>
      <c r="S47" s="2" t="s">
        <v>38</v>
      </c>
      <c r="T47" s="2" t="s">
        <v>39</v>
      </c>
      <c r="U47" s="2" t="s">
        <v>38</v>
      </c>
      <c r="V47" s="2" t="s">
        <v>38</v>
      </c>
      <c r="W47" s="2" t="s">
        <v>38</v>
      </c>
      <c r="X47" s="2" t="s">
        <v>39</v>
      </c>
      <c r="Y47" s="2" t="s">
        <v>39</v>
      </c>
      <c r="Z47" s="2" t="s">
        <v>38</v>
      </c>
      <c r="AA47" s="2" t="s">
        <v>38</v>
      </c>
      <c r="AB47" s="2" t="s">
        <v>39</v>
      </c>
      <c r="AC47" s="2" t="s">
        <v>38</v>
      </c>
      <c r="AD47" s="2" t="s">
        <v>38</v>
      </c>
      <c r="AE47" s="2" t="s">
        <v>39</v>
      </c>
    </row>
    <row r="48" spans="1:31" ht="409.5">
      <c r="A48" s="2">
        <v>2770522</v>
      </c>
      <c r="B48" s="2">
        <f>HYPERLINK("https://platform.v2.vetology.net/cases/2770522/screening-report/1?type=pdf&amp;v=v6&amp;scorecard=1&amp;secret_key=BX%25IJ%24%2F65ieZ%29f6", 2770522)</f>
        <v>2770522</v>
      </c>
      <c r="C48" s="2">
        <f>HYPERLINK("https://platform.v2.vetology.net/report/v/final/"&amp;2770522, 2770522)</f>
        <v>2770522</v>
      </c>
      <c r="D48" s="2" t="s">
        <v>215</v>
      </c>
      <c r="E48" s="2" t="s">
        <v>216</v>
      </c>
      <c r="F48" s="2" t="s">
        <v>217</v>
      </c>
      <c r="G48" s="2" t="s">
        <v>170</v>
      </c>
      <c r="H48" s="2" t="s">
        <v>218</v>
      </c>
      <c r="I48" s="2" t="s">
        <v>36</v>
      </c>
      <c r="J48" s="2" t="s">
        <v>37</v>
      </c>
      <c r="K48" s="2" t="s">
        <v>38</v>
      </c>
      <c r="L48" s="2" t="s">
        <v>38</v>
      </c>
      <c r="M48" s="2" t="s">
        <v>38</v>
      </c>
      <c r="N48" s="2" t="s">
        <v>38</v>
      </c>
      <c r="O48" s="2" t="s">
        <v>38</v>
      </c>
      <c r="P48" s="2" t="s">
        <v>39</v>
      </c>
      <c r="Q48" s="2" t="s">
        <v>39</v>
      </c>
      <c r="R48" s="2" t="s">
        <v>39</v>
      </c>
      <c r="S48" s="2" t="s">
        <v>38</v>
      </c>
      <c r="T48" s="2" t="s">
        <v>39</v>
      </c>
      <c r="U48" s="2" t="s">
        <v>39</v>
      </c>
      <c r="V48" s="2" t="s">
        <v>38</v>
      </c>
      <c r="W48" s="2" t="s">
        <v>39</v>
      </c>
      <c r="X48" s="2" t="s">
        <v>39</v>
      </c>
      <c r="Y48" s="2" t="s">
        <v>39</v>
      </c>
      <c r="Z48" s="2" t="s">
        <v>38</v>
      </c>
      <c r="AA48" s="2" t="s">
        <v>39</v>
      </c>
      <c r="AB48" s="2" t="s">
        <v>39</v>
      </c>
      <c r="AC48" s="2" t="s">
        <v>38</v>
      </c>
      <c r="AD48" s="2" t="s">
        <v>39</v>
      </c>
      <c r="AE48" s="2" t="s">
        <v>40</v>
      </c>
    </row>
    <row r="49" spans="1:31" ht="409.5">
      <c r="A49" s="2">
        <v>2770516</v>
      </c>
      <c r="B49" s="2">
        <f>HYPERLINK("https://platform.v2.vetology.net/cases/2770516/screening-report/1?type=pdf&amp;v=v6&amp;scorecard=1&amp;secret_key=BX%25IJ%24%2F65ieZ%29f6", 2770516)</f>
        <v>2770516</v>
      </c>
      <c r="C49" s="2">
        <f>HYPERLINK("https://platform.v2.vetology.net/report/v/final/"&amp;2770516, 2770516)</f>
        <v>2770516</v>
      </c>
      <c r="D49" s="2" t="s">
        <v>219</v>
      </c>
      <c r="E49" s="2" t="s">
        <v>220</v>
      </c>
      <c r="F49" s="2" t="s">
        <v>221</v>
      </c>
      <c r="G49" s="2" t="s">
        <v>53</v>
      </c>
      <c r="H49" s="2" t="s">
        <v>222</v>
      </c>
      <c r="I49" s="2" t="s">
        <v>36</v>
      </c>
      <c r="J49" s="2" t="s">
        <v>37</v>
      </c>
      <c r="K49" s="2" t="s">
        <v>39</v>
      </c>
      <c r="L49" s="2" t="s">
        <v>39</v>
      </c>
      <c r="M49" s="2" t="s">
        <v>38</v>
      </c>
      <c r="N49" s="2" t="s">
        <v>38</v>
      </c>
      <c r="O49" s="2" t="s">
        <v>38</v>
      </c>
      <c r="P49" s="2" t="s">
        <v>39</v>
      </c>
      <c r="Q49" s="2" t="s">
        <v>39</v>
      </c>
      <c r="R49" s="2" t="s">
        <v>38</v>
      </c>
      <c r="S49" s="2" t="s">
        <v>38</v>
      </c>
      <c r="T49" s="2" t="s">
        <v>38</v>
      </c>
      <c r="U49" s="2" t="s">
        <v>39</v>
      </c>
      <c r="V49" s="2" t="s">
        <v>39</v>
      </c>
      <c r="W49" s="2" t="s">
        <v>38</v>
      </c>
      <c r="X49" s="2" t="s">
        <v>39</v>
      </c>
      <c r="Y49" s="2" t="s">
        <v>39</v>
      </c>
      <c r="Z49" s="2" t="s">
        <v>38</v>
      </c>
      <c r="AA49" s="2" t="s">
        <v>38</v>
      </c>
      <c r="AB49" s="2" t="s">
        <v>39</v>
      </c>
      <c r="AC49" s="2" t="s">
        <v>38</v>
      </c>
      <c r="AD49" s="2" t="s">
        <v>38</v>
      </c>
      <c r="AE49" s="2" t="s">
        <v>39</v>
      </c>
    </row>
    <row r="50" spans="1:31" ht="409.5">
      <c r="A50" s="2">
        <v>2770500</v>
      </c>
      <c r="B50" s="2">
        <f>HYPERLINK("https://platform.v2.vetology.net/cases/2770500/screening-report/1?type=pdf&amp;v=v6&amp;scorecard=1&amp;secret_key=BX%25IJ%24%2F65ieZ%29f6", 2770500)</f>
        <v>2770500</v>
      </c>
      <c r="C50" s="2">
        <f>HYPERLINK("https://platform.v2.vetology.net/report/v/final/"&amp;2770500, 2770500)</f>
        <v>2770500</v>
      </c>
      <c r="D50" s="2" t="s">
        <v>223</v>
      </c>
      <c r="E50" s="2" t="s">
        <v>224</v>
      </c>
      <c r="F50" s="2" t="s">
        <v>225</v>
      </c>
      <c r="G50" s="2" t="s">
        <v>53</v>
      </c>
      <c r="H50" s="2" t="s">
        <v>226</v>
      </c>
      <c r="I50" s="2" t="s">
        <v>36</v>
      </c>
      <c r="J50" s="2" t="s">
        <v>37</v>
      </c>
      <c r="K50" s="2" t="s">
        <v>39</v>
      </c>
      <c r="L50" s="2" t="s">
        <v>39</v>
      </c>
      <c r="M50" s="2" t="s">
        <v>38</v>
      </c>
      <c r="N50" s="2" t="s">
        <v>38</v>
      </c>
      <c r="O50" s="2" t="s">
        <v>38</v>
      </c>
      <c r="P50" s="2" t="s">
        <v>39</v>
      </c>
      <c r="Q50" s="2" t="s">
        <v>39</v>
      </c>
      <c r="R50" s="2" t="s">
        <v>39</v>
      </c>
      <c r="S50" s="2" t="s">
        <v>38</v>
      </c>
      <c r="T50" s="2" t="s">
        <v>38</v>
      </c>
      <c r="U50" s="2" t="s">
        <v>39</v>
      </c>
      <c r="V50" s="2" t="s">
        <v>39</v>
      </c>
      <c r="W50" s="2" t="s">
        <v>38</v>
      </c>
      <c r="X50" s="2" t="s">
        <v>39</v>
      </c>
      <c r="Y50" s="2" t="s">
        <v>39</v>
      </c>
      <c r="Z50" s="2" t="s">
        <v>38</v>
      </c>
      <c r="AA50" s="2" t="s">
        <v>39</v>
      </c>
      <c r="AB50" s="2" t="s">
        <v>39</v>
      </c>
      <c r="AC50" s="2" t="s">
        <v>38</v>
      </c>
      <c r="AD50" s="2" t="s">
        <v>38</v>
      </c>
      <c r="AE50" s="2" t="s">
        <v>40</v>
      </c>
    </row>
    <row r="51" spans="1:31" ht="409.5">
      <c r="A51" s="2">
        <v>2770467</v>
      </c>
      <c r="B51" s="2">
        <f>HYPERLINK("https://platform.v2.vetology.net/cases/2770467/screening-report/1?type=pdf&amp;v=v6&amp;scorecard=1&amp;secret_key=BX%25IJ%24%2F65ieZ%29f6", 2770467)</f>
        <v>2770467</v>
      </c>
      <c r="C51" s="2">
        <f>HYPERLINK("https://platform.v2.vetology.net/report/v/final/"&amp;2770467, 2770467)</f>
        <v>2770467</v>
      </c>
      <c r="D51" s="2" t="s">
        <v>227</v>
      </c>
      <c r="E51" s="2" t="s">
        <v>228</v>
      </c>
      <c r="F51" s="2" t="s">
        <v>229</v>
      </c>
      <c r="G51" s="2" t="s">
        <v>170</v>
      </c>
      <c r="H51" s="2" t="s">
        <v>69</v>
      </c>
      <c r="I51" s="2" t="s">
        <v>46</v>
      </c>
      <c r="J51" s="2"/>
      <c r="K51" s="2" t="s">
        <v>39</v>
      </c>
      <c r="L51" s="2" t="s">
        <v>39</v>
      </c>
      <c r="M51" s="2" t="s">
        <v>39</v>
      </c>
      <c r="N51" s="2" t="s">
        <v>39</v>
      </c>
      <c r="O51" s="2" t="s">
        <v>39</v>
      </c>
      <c r="P51" s="2" t="s">
        <v>39</v>
      </c>
      <c r="Q51" s="2" t="s">
        <v>39</v>
      </c>
      <c r="R51" s="2" t="s">
        <v>39</v>
      </c>
      <c r="S51" s="2" t="s">
        <v>39</v>
      </c>
      <c r="T51" s="2" t="s">
        <v>39</v>
      </c>
      <c r="U51" s="2" t="s">
        <v>39</v>
      </c>
      <c r="V51" s="2" t="s">
        <v>39</v>
      </c>
      <c r="W51" s="2" t="s">
        <v>39</v>
      </c>
      <c r="X51" s="2" t="s">
        <v>39</v>
      </c>
      <c r="Y51" s="2" t="s">
        <v>39</v>
      </c>
      <c r="Z51" s="2" t="s">
        <v>39</v>
      </c>
      <c r="AA51" s="2" t="s">
        <v>39</v>
      </c>
      <c r="AB51" s="2" t="s">
        <v>39</v>
      </c>
      <c r="AC51" s="2" t="s">
        <v>39</v>
      </c>
      <c r="AD51" s="2" t="s">
        <v>39</v>
      </c>
      <c r="AE51" s="2" t="s">
        <v>39</v>
      </c>
    </row>
    <row r="52" spans="1:31" ht="409.5">
      <c r="A52" s="2">
        <v>2770419</v>
      </c>
      <c r="B52" s="2">
        <f>HYPERLINK("https://platform.v2.vetology.net/cases/2770419/screening-report/1?type=pdf&amp;v=v6&amp;scorecard=1&amp;secret_key=BX%25IJ%24%2F65ieZ%29f6", 2770419)</f>
        <v>2770419</v>
      </c>
      <c r="C52" s="2">
        <f>HYPERLINK("https://platform.v2.vetology.net/report/v/final/"&amp;2770419, 2770419)</f>
        <v>2770419</v>
      </c>
      <c r="D52" s="2" t="s">
        <v>230</v>
      </c>
      <c r="E52" s="2" t="s">
        <v>231</v>
      </c>
      <c r="F52" s="2" t="s">
        <v>232</v>
      </c>
      <c r="G52" s="2" t="s">
        <v>34</v>
      </c>
      <c r="H52" s="2" t="s">
        <v>69</v>
      </c>
      <c r="I52" s="2" t="s">
        <v>46</v>
      </c>
      <c r="J52" s="2"/>
      <c r="K52" s="2" t="s">
        <v>39</v>
      </c>
      <c r="L52" s="2" t="s">
        <v>39</v>
      </c>
      <c r="M52" s="2" t="s">
        <v>39</v>
      </c>
      <c r="N52" s="2" t="s">
        <v>39</v>
      </c>
      <c r="O52" s="2" t="s">
        <v>38</v>
      </c>
      <c r="P52" s="2" t="s">
        <v>39</v>
      </c>
      <c r="Q52" s="2" t="s">
        <v>39</v>
      </c>
      <c r="R52" s="2" t="s">
        <v>39</v>
      </c>
      <c r="S52" s="2" t="s">
        <v>39</v>
      </c>
      <c r="T52" s="2" t="s">
        <v>39</v>
      </c>
      <c r="U52" s="2" t="s">
        <v>39</v>
      </c>
      <c r="V52" s="2" t="s">
        <v>39</v>
      </c>
      <c r="W52" s="2" t="s">
        <v>38</v>
      </c>
      <c r="X52" s="2" t="s">
        <v>39</v>
      </c>
      <c r="Y52" s="2" t="s">
        <v>39</v>
      </c>
      <c r="Z52" s="2" t="s">
        <v>39</v>
      </c>
      <c r="AA52" s="2" t="s">
        <v>39</v>
      </c>
      <c r="AB52" s="2" t="s">
        <v>39</v>
      </c>
      <c r="AC52" s="2" t="s">
        <v>38</v>
      </c>
      <c r="AD52" s="2" t="s">
        <v>38</v>
      </c>
      <c r="AE52" s="2" t="s">
        <v>39</v>
      </c>
    </row>
    <row r="53" spans="1:31" ht="409.5">
      <c r="A53" s="2">
        <v>2770381</v>
      </c>
      <c r="B53" s="2">
        <f>HYPERLINK("https://platform.v2.vetology.net/cases/2770381/screening-report/1?type=pdf&amp;v=v6&amp;scorecard=1&amp;secret_key=BX%25IJ%24%2F65ieZ%29f6", 2770381)</f>
        <v>2770381</v>
      </c>
      <c r="C53" s="2">
        <f>HYPERLINK("https://platform.v2.vetology.net/report/v/final/"&amp;2770381, 2770381)</f>
        <v>2770381</v>
      </c>
      <c r="D53" s="2" t="s">
        <v>233</v>
      </c>
      <c r="E53" s="2" t="s">
        <v>234</v>
      </c>
      <c r="F53" s="2" t="s">
        <v>235</v>
      </c>
      <c r="G53" s="2" t="s">
        <v>34</v>
      </c>
      <c r="H53" s="2" t="s">
        <v>236</v>
      </c>
      <c r="I53" s="2" t="s">
        <v>36</v>
      </c>
      <c r="J53" s="2" t="s">
        <v>37</v>
      </c>
      <c r="K53" s="2" t="s">
        <v>38</v>
      </c>
      <c r="L53" s="2" t="s">
        <v>38</v>
      </c>
      <c r="M53" s="2" t="s">
        <v>38</v>
      </c>
      <c r="N53" s="2" t="s">
        <v>39</v>
      </c>
      <c r="O53" s="2" t="s">
        <v>38</v>
      </c>
      <c r="P53" s="2" t="s">
        <v>39</v>
      </c>
      <c r="Q53" s="2" t="s">
        <v>39</v>
      </c>
      <c r="R53" s="2" t="s">
        <v>38</v>
      </c>
      <c r="S53" s="2" t="s">
        <v>38</v>
      </c>
      <c r="T53" s="2" t="s">
        <v>39</v>
      </c>
      <c r="U53" s="2" t="s">
        <v>38</v>
      </c>
      <c r="V53" s="2" t="s">
        <v>38</v>
      </c>
      <c r="W53" s="2" t="s">
        <v>39</v>
      </c>
      <c r="X53" s="2" t="s">
        <v>39</v>
      </c>
      <c r="Y53" s="2" t="s">
        <v>39</v>
      </c>
      <c r="Z53" s="2" t="s">
        <v>38</v>
      </c>
      <c r="AA53" s="2" t="s">
        <v>39</v>
      </c>
      <c r="AB53" s="2" t="s">
        <v>39</v>
      </c>
      <c r="AC53" s="2" t="s">
        <v>38</v>
      </c>
      <c r="AD53" s="2" t="s">
        <v>38</v>
      </c>
      <c r="AE53" s="2" t="s">
        <v>40</v>
      </c>
    </row>
    <row r="54" spans="1:31" ht="409.5">
      <c r="A54" s="2">
        <v>2770360</v>
      </c>
      <c r="B54" s="2">
        <f>HYPERLINK("https://platform.v2.vetology.net/cases/2770360/screening-report/1?type=pdf&amp;v=v6&amp;scorecard=1&amp;secret_key=BX%25IJ%24%2F65ieZ%29f6", 2770360)</f>
        <v>2770360</v>
      </c>
      <c r="C54" s="2">
        <f>HYPERLINK("https://platform.v2.vetology.net/report/v/final/"&amp;2770360, 2770360)</f>
        <v>2770360</v>
      </c>
      <c r="D54" s="2" t="s">
        <v>237</v>
      </c>
      <c r="E54" s="2" t="s">
        <v>238</v>
      </c>
      <c r="F54" s="2" t="s">
        <v>239</v>
      </c>
      <c r="G54" s="2" t="s">
        <v>34</v>
      </c>
      <c r="H54" s="2" t="s">
        <v>240</v>
      </c>
      <c r="I54" s="2" t="s">
        <v>129</v>
      </c>
      <c r="J54" s="2" t="s">
        <v>74</v>
      </c>
      <c r="K54" s="2" t="s">
        <v>39</v>
      </c>
      <c r="L54" s="2" t="s">
        <v>39</v>
      </c>
      <c r="M54" s="2" t="s">
        <v>38</v>
      </c>
      <c r="N54" s="2" t="s">
        <v>39</v>
      </c>
      <c r="O54" s="2" t="s">
        <v>38</v>
      </c>
      <c r="P54" s="2" t="s">
        <v>38</v>
      </c>
      <c r="Q54" s="2" t="s">
        <v>38</v>
      </c>
      <c r="R54" s="2" t="s">
        <v>39</v>
      </c>
      <c r="S54" s="2" t="s">
        <v>39</v>
      </c>
      <c r="T54" s="2" t="s">
        <v>38</v>
      </c>
      <c r="U54" s="2" t="s">
        <v>39</v>
      </c>
      <c r="V54" s="2" t="s">
        <v>39</v>
      </c>
      <c r="W54" s="2" t="s">
        <v>39</v>
      </c>
      <c r="X54" s="2" t="s">
        <v>38</v>
      </c>
      <c r="Y54" s="2" t="s">
        <v>39</v>
      </c>
      <c r="Z54" s="2" t="s">
        <v>38</v>
      </c>
      <c r="AA54" s="2" t="s">
        <v>39</v>
      </c>
      <c r="AB54" s="2" t="s">
        <v>38</v>
      </c>
      <c r="AC54" s="2" t="s">
        <v>39</v>
      </c>
      <c r="AD54" s="2" t="s">
        <v>38</v>
      </c>
      <c r="AE54" s="2" t="s">
        <v>40</v>
      </c>
    </row>
    <row r="55" spans="1:31" ht="409.5">
      <c r="A55" s="2">
        <v>2770359</v>
      </c>
      <c r="B55" s="2">
        <f>HYPERLINK("https://platform.v2.vetology.net/cases/2770359/screening-report/1?type=pdf&amp;v=v6&amp;scorecard=1&amp;secret_key=BX%25IJ%24%2F65ieZ%29f6", 2770359)</f>
        <v>2770359</v>
      </c>
      <c r="C55" s="2">
        <f>HYPERLINK("https://platform.v2.vetology.net/report/v/final/"&amp;2770359, 2770359)</f>
        <v>2770359</v>
      </c>
      <c r="D55" s="2" t="s">
        <v>241</v>
      </c>
      <c r="E55" s="2" t="s">
        <v>242</v>
      </c>
      <c r="F55" s="2" t="s">
        <v>243</v>
      </c>
      <c r="G55" s="2" t="s">
        <v>127</v>
      </c>
      <c r="H55" s="2" t="s">
        <v>244</v>
      </c>
      <c r="I55" s="2" t="s">
        <v>129</v>
      </c>
      <c r="J55" s="2" t="s">
        <v>74</v>
      </c>
      <c r="K55" s="2" t="s">
        <v>39</v>
      </c>
      <c r="L55" s="2" t="s">
        <v>39</v>
      </c>
      <c r="M55" s="2" t="s">
        <v>38</v>
      </c>
      <c r="N55" s="2" t="s">
        <v>39</v>
      </c>
      <c r="O55" s="2" t="s">
        <v>39</v>
      </c>
      <c r="P55" s="2" t="s">
        <v>38</v>
      </c>
      <c r="Q55" s="2" t="s">
        <v>38</v>
      </c>
      <c r="R55" s="2" t="s">
        <v>39</v>
      </c>
      <c r="S55" s="2" t="s">
        <v>39</v>
      </c>
      <c r="T55" s="2" t="s">
        <v>38</v>
      </c>
      <c r="U55" s="2" t="s">
        <v>39</v>
      </c>
      <c r="V55" s="2" t="s">
        <v>39</v>
      </c>
      <c r="W55" s="2" t="s">
        <v>38</v>
      </c>
      <c r="X55" s="2" t="s">
        <v>38</v>
      </c>
      <c r="Y55" s="2" t="s">
        <v>39</v>
      </c>
      <c r="Z55" s="2" t="s">
        <v>38</v>
      </c>
      <c r="AA55" s="2" t="s">
        <v>39</v>
      </c>
      <c r="AB55" s="2" t="s">
        <v>39</v>
      </c>
      <c r="AC55" s="2" t="s">
        <v>39</v>
      </c>
      <c r="AD55" s="2" t="s">
        <v>39</v>
      </c>
      <c r="AE55" s="2" t="s">
        <v>40</v>
      </c>
    </row>
    <row r="56" spans="1:31" ht="409.5">
      <c r="A56" s="2">
        <v>2770319</v>
      </c>
      <c r="B56" s="2">
        <f>HYPERLINK("https://platform.v2.vetology.net/cases/2770319/screening-report/1?type=pdf&amp;v=v6&amp;scorecard=1&amp;secret_key=BX%25IJ%24%2F65ieZ%29f6", 2770319)</f>
        <v>2770319</v>
      </c>
      <c r="C56" s="2">
        <f>HYPERLINK("https://platform.v2.vetology.net/report/v/final/"&amp;2770319, 2770319)</f>
        <v>2770319</v>
      </c>
      <c r="D56" s="2" t="s">
        <v>245</v>
      </c>
      <c r="E56" s="2" t="s">
        <v>246</v>
      </c>
      <c r="F56" s="2" t="s">
        <v>247</v>
      </c>
      <c r="G56" s="2" t="s">
        <v>127</v>
      </c>
      <c r="H56" s="2" t="s">
        <v>45</v>
      </c>
      <c r="I56" s="2" t="s">
        <v>46</v>
      </c>
      <c r="J56" s="2"/>
      <c r="K56" s="2" t="s">
        <v>39</v>
      </c>
      <c r="L56" s="2" t="s">
        <v>39</v>
      </c>
      <c r="M56" s="2" t="s">
        <v>39</v>
      </c>
      <c r="N56" s="2" t="s">
        <v>39</v>
      </c>
      <c r="O56" s="2" t="s">
        <v>39</v>
      </c>
      <c r="P56" s="2" t="s">
        <v>39</v>
      </c>
      <c r="Q56" s="2" t="s">
        <v>39</v>
      </c>
      <c r="R56" s="2" t="s">
        <v>38</v>
      </c>
      <c r="S56" s="2" t="s">
        <v>39</v>
      </c>
      <c r="T56" s="2" t="s">
        <v>39</v>
      </c>
      <c r="U56" s="2" t="s">
        <v>39</v>
      </c>
      <c r="V56" s="2" t="s">
        <v>39</v>
      </c>
      <c r="W56" s="2" t="s">
        <v>39</v>
      </c>
      <c r="X56" s="2" t="s">
        <v>39</v>
      </c>
      <c r="Y56" s="2" t="s">
        <v>39</v>
      </c>
      <c r="Z56" s="2" t="s">
        <v>39</v>
      </c>
      <c r="AA56" s="2" t="s">
        <v>39</v>
      </c>
      <c r="AB56" s="2" t="s">
        <v>39</v>
      </c>
      <c r="AC56" s="2" t="s">
        <v>39</v>
      </c>
      <c r="AD56" s="2" t="s">
        <v>38</v>
      </c>
      <c r="AE56" s="2" t="s">
        <v>39</v>
      </c>
    </row>
    <row r="57" spans="1:31" ht="409.5">
      <c r="A57" s="2">
        <v>2770309</v>
      </c>
      <c r="B57" s="2">
        <f>HYPERLINK("https://platform.v2.vetology.net/cases/2770309/screening-report/1?type=pdf&amp;v=v6&amp;scorecard=1&amp;secret_key=BX%25IJ%24%2F65ieZ%29f6", 2770309)</f>
        <v>2770309</v>
      </c>
      <c r="C57" s="2">
        <f>HYPERLINK("https://platform.v2.vetology.net/report/v/final/"&amp;2770309, 2770309)</f>
        <v>2770309</v>
      </c>
      <c r="D57" s="2" t="s">
        <v>248</v>
      </c>
      <c r="E57" s="2" t="s">
        <v>249</v>
      </c>
      <c r="F57" s="2" t="s">
        <v>250</v>
      </c>
      <c r="G57" s="2" t="s">
        <v>251</v>
      </c>
      <c r="H57" s="2" t="s">
        <v>252</v>
      </c>
      <c r="I57" s="2" t="s">
        <v>36</v>
      </c>
      <c r="J57" s="2" t="s">
        <v>37</v>
      </c>
      <c r="K57" s="2" t="s">
        <v>38</v>
      </c>
      <c r="L57" s="2" t="s">
        <v>38</v>
      </c>
      <c r="M57" s="2" t="s">
        <v>39</v>
      </c>
      <c r="N57" s="2" t="s">
        <v>39</v>
      </c>
      <c r="O57" s="2" t="s">
        <v>38</v>
      </c>
      <c r="P57" s="2" t="s">
        <v>39</v>
      </c>
      <c r="Q57" s="2" t="s">
        <v>39</v>
      </c>
      <c r="R57" s="2" t="s">
        <v>38</v>
      </c>
      <c r="S57" s="2" t="s">
        <v>38</v>
      </c>
      <c r="T57" s="2" t="s">
        <v>39</v>
      </c>
      <c r="U57" s="2" t="s">
        <v>38</v>
      </c>
      <c r="V57" s="2" t="s">
        <v>38</v>
      </c>
      <c r="W57" s="2" t="s">
        <v>39</v>
      </c>
      <c r="X57" s="2" t="s">
        <v>39</v>
      </c>
      <c r="Y57" s="2" t="s">
        <v>39</v>
      </c>
      <c r="Z57" s="2" t="s">
        <v>38</v>
      </c>
      <c r="AA57" s="2" t="s">
        <v>38</v>
      </c>
      <c r="AB57" s="2" t="s">
        <v>39</v>
      </c>
      <c r="AC57" s="2" t="s">
        <v>38</v>
      </c>
      <c r="AD57" s="2" t="s">
        <v>38</v>
      </c>
      <c r="AE57" s="2" t="s">
        <v>39</v>
      </c>
    </row>
    <row r="58" spans="1:31" ht="409.5">
      <c r="A58" s="2">
        <v>2770305</v>
      </c>
      <c r="B58" s="2">
        <f>HYPERLINK("https://platform.v2.vetology.net/cases/2770305/screening-report/1?type=pdf&amp;v=v6&amp;scorecard=1&amp;secret_key=BX%25IJ%24%2F65ieZ%29f6", 2770305)</f>
        <v>2770305</v>
      </c>
      <c r="C58" s="2">
        <f>HYPERLINK("https://platform.v2.vetology.net/report/v/final/"&amp;2770305, 2770305)</f>
        <v>2770305</v>
      </c>
      <c r="D58" s="2" t="s">
        <v>253</v>
      </c>
      <c r="E58" s="2" t="s">
        <v>254</v>
      </c>
      <c r="F58" s="2" t="s">
        <v>255</v>
      </c>
      <c r="G58" s="2" t="s">
        <v>34</v>
      </c>
      <c r="H58" s="2" t="s">
        <v>256</v>
      </c>
      <c r="I58" s="2" t="s">
        <v>257</v>
      </c>
      <c r="J58" s="2" t="s">
        <v>74</v>
      </c>
      <c r="K58" s="2" t="s">
        <v>38</v>
      </c>
      <c r="L58" s="2" t="s">
        <v>38</v>
      </c>
      <c r="M58" s="2" t="s">
        <v>38</v>
      </c>
      <c r="N58" s="2" t="s">
        <v>38</v>
      </c>
      <c r="O58" s="2" t="s">
        <v>38</v>
      </c>
      <c r="P58" s="2" t="s">
        <v>38</v>
      </c>
      <c r="Q58" s="2" t="s">
        <v>38</v>
      </c>
      <c r="R58" s="2" t="s">
        <v>38</v>
      </c>
      <c r="S58" s="2" t="s">
        <v>38</v>
      </c>
      <c r="T58" s="2" t="s">
        <v>38</v>
      </c>
      <c r="U58" s="2" t="s">
        <v>38</v>
      </c>
      <c r="V58" s="2" t="s">
        <v>38</v>
      </c>
      <c r="W58" s="2" t="s">
        <v>38</v>
      </c>
      <c r="X58" s="2" t="s">
        <v>39</v>
      </c>
      <c r="Y58" s="2" t="s">
        <v>38</v>
      </c>
      <c r="Z58" s="2" t="s">
        <v>38</v>
      </c>
      <c r="AA58" s="2" t="s">
        <v>38</v>
      </c>
      <c r="AB58" s="2" t="s">
        <v>39</v>
      </c>
      <c r="AC58" s="2" t="s">
        <v>38</v>
      </c>
      <c r="AD58" s="2" t="s">
        <v>38</v>
      </c>
      <c r="AE58" s="2" t="s">
        <v>39</v>
      </c>
    </row>
    <row r="59" spans="1:31" ht="409.5">
      <c r="A59" s="2">
        <v>2770250</v>
      </c>
      <c r="B59" s="2">
        <f>HYPERLINK("https://platform.v2.vetology.net/cases/2770250/screening-report/1?type=pdf&amp;v=v6&amp;scorecard=1&amp;secret_key=BX%25IJ%24%2F65ieZ%29f6", 2770250)</f>
        <v>2770250</v>
      </c>
      <c r="C59" s="2">
        <f>HYPERLINK("https://platform.v2.vetology.net/report/v/final/"&amp;2770250, 2770250)</f>
        <v>2770250</v>
      </c>
      <c r="D59" s="2" t="s">
        <v>258</v>
      </c>
      <c r="E59" s="2" t="s">
        <v>259</v>
      </c>
      <c r="F59" s="2" t="s">
        <v>260</v>
      </c>
      <c r="G59" s="2" t="s">
        <v>34</v>
      </c>
      <c r="H59" s="2" t="s">
        <v>261</v>
      </c>
      <c r="I59" s="2" t="s">
        <v>73</v>
      </c>
      <c r="J59" s="2" t="s">
        <v>74</v>
      </c>
      <c r="K59" s="2" t="s">
        <v>38</v>
      </c>
      <c r="L59" s="2" t="s">
        <v>38</v>
      </c>
      <c r="M59" s="2" t="s">
        <v>38</v>
      </c>
      <c r="N59" s="2" t="s">
        <v>38</v>
      </c>
      <c r="O59" s="2" t="s">
        <v>38</v>
      </c>
      <c r="P59" s="2" t="s">
        <v>38</v>
      </c>
      <c r="Q59" s="2" t="s">
        <v>38</v>
      </c>
      <c r="R59" s="2" t="s">
        <v>38</v>
      </c>
      <c r="S59" s="2" t="s">
        <v>38</v>
      </c>
      <c r="T59" s="2" t="s">
        <v>38</v>
      </c>
      <c r="U59" s="2" t="s">
        <v>38</v>
      </c>
      <c r="V59" s="2" t="s">
        <v>38</v>
      </c>
      <c r="W59" s="2" t="s">
        <v>38</v>
      </c>
      <c r="X59" s="2" t="s">
        <v>38</v>
      </c>
      <c r="Y59" s="2" t="s">
        <v>39</v>
      </c>
      <c r="Z59" s="2" t="s">
        <v>38</v>
      </c>
      <c r="AA59" s="2" t="s">
        <v>38</v>
      </c>
      <c r="AB59" s="2" t="s">
        <v>38</v>
      </c>
      <c r="AC59" s="2" t="s">
        <v>38</v>
      </c>
      <c r="AD59" s="2" t="s">
        <v>39</v>
      </c>
      <c r="AE59" s="2" t="s">
        <v>39</v>
      </c>
    </row>
    <row r="60" spans="1:31" ht="409.5">
      <c r="A60" s="2">
        <v>2770237</v>
      </c>
      <c r="B60" s="2">
        <f>HYPERLINK("https://platform.v2.vetology.net/cases/2770237/screening-report/1?type=pdf&amp;v=v6&amp;scorecard=1&amp;secret_key=BX%25IJ%24%2F65ieZ%29f6", 2770237)</f>
        <v>2770237</v>
      </c>
      <c r="C60" s="2">
        <f>HYPERLINK("https://platform.v2.vetology.net/report/v/final/"&amp;2770237, 2770237)</f>
        <v>2770237</v>
      </c>
      <c r="D60" s="2" t="s">
        <v>262</v>
      </c>
      <c r="E60" s="2" t="s">
        <v>263</v>
      </c>
      <c r="F60" s="2" t="s">
        <v>264</v>
      </c>
      <c r="G60" s="2" t="s">
        <v>127</v>
      </c>
      <c r="H60" s="2" t="s">
        <v>265</v>
      </c>
      <c r="I60" s="2" t="s">
        <v>36</v>
      </c>
      <c r="J60" s="2" t="s">
        <v>37</v>
      </c>
      <c r="K60" s="2" t="s">
        <v>39</v>
      </c>
      <c r="L60" s="2" t="s">
        <v>39</v>
      </c>
      <c r="M60" s="2" t="s">
        <v>38</v>
      </c>
      <c r="N60" s="2" t="s">
        <v>39</v>
      </c>
      <c r="O60" s="2" t="s">
        <v>39</v>
      </c>
      <c r="P60" s="2" t="s">
        <v>39</v>
      </c>
      <c r="Q60" s="2" t="s">
        <v>39</v>
      </c>
      <c r="R60" s="2" t="s">
        <v>39</v>
      </c>
      <c r="S60" s="2" t="s">
        <v>39</v>
      </c>
      <c r="T60" s="2" t="s">
        <v>38</v>
      </c>
      <c r="U60" s="2" t="s">
        <v>39</v>
      </c>
      <c r="V60" s="2" t="s">
        <v>39</v>
      </c>
      <c r="W60" s="2" t="s">
        <v>39</v>
      </c>
      <c r="X60" s="2" t="s">
        <v>39</v>
      </c>
      <c r="Y60" s="2" t="s">
        <v>39</v>
      </c>
      <c r="Z60" s="2" t="s">
        <v>39</v>
      </c>
      <c r="AA60" s="2" t="s">
        <v>39</v>
      </c>
      <c r="AB60" s="2" t="s">
        <v>39</v>
      </c>
      <c r="AC60" s="2" t="s">
        <v>39</v>
      </c>
      <c r="AD60" s="2" t="s">
        <v>38</v>
      </c>
      <c r="AE60" s="2" t="s">
        <v>40</v>
      </c>
    </row>
    <row r="61" spans="1:31" ht="409.5">
      <c r="A61" s="2">
        <v>2770177</v>
      </c>
      <c r="B61" s="2">
        <f>HYPERLINK("https://platform.v2.vetology.net/cases/2770177/screening-report/1?type=pdf&amp;v=v6&amp;scorecard=1&amp;secret_key=BX%25IJ%24%2F65ieZ%29f6", 2770177)</f>
        <v>2770177</v>
      </c>
      <c r="C61" s="2">
        <f>HYPERLINK("https://platform.v2.vetology.net/report/v/final/"&amp;2770177, 2770177)</f>
        <v>2770177</v>
      </c>
      <c r="D61" s="2" t="s">
        <v>266</v>
      </c>
      <c r="E61" s="2" t="s">
        <v>267</v>
      </c>
      <c r="F61" s="2" t="s">
        <v>268</v>
      </c>
      <c r="G61" s="2" t="s">
        <v>44</v>
      </c>
      <c r="H61" s="2" t="s">
        <v>269</v>
      </c>
      <c r="I61" s="2" t="s">
        <v>73</v>
      </c>
      <c r="J61" s="2" t="s">
        <v>74</v>
      </c>
      <c r="K61" s="2" t="s">
        <v>38</v>
      </c>
      <c r="L61" s="2" t="s">
        <v>38</v>
      </c>
      <c r="M61" s="2" t="s">
        <v>38</v>
      </c>
      <c r="N61" s="2" t="s">
        <v>38</v>
      </c>
      <c r="O61" s="2" t="s">
        <v>38</v>
      </c>
      <c r="P61" s="2" t="s">
        <v>38</v>
      </c>
      <c r="Q61" s="2" t="s">
        <v>38</v>
      </c>
      <c r="R61" s="2" t="s">
        <v>38</v>
      </c>
      <c r="S61" s="2" t="s">
        <v>38</v>
      </c>
      <c r="T61" s="2" t="s">
        <v>38</v>
      </c>
      <c r="U61" s="2" t="s">
        <v>38</v>
      </c>
      <c r="V61" s="2" t="s">
        <v>38</v>
      </c>
      <c r="W61" s="2" t="s">
        <v>38</v>
      </c>
      <c r="X61" s="2" t="s">
        <v>38</v>
      </c>
      <c r="Y61" s="2" t="s">
        <v>39</v>
      </c>
      <c r="Z61" s="2" t="s">
        <v>38</v>
      </c>
      <c r="AA61" s="2" t="s">
        <v>38</v>
      </c>
      <c r="AB61" s="2" t="s">
        <v>38</v>
      </c>
      <c r="AC61" s="2" t="s">
        <v>38</v>
      </c>
      <c r="AD61" s="2" t="s">
        <v>39</v>
      </c>
      <c r="AE61" s="2" t="s">
        <v>40</v>
      </c>
    </row>
    <row r="62" spans="1:31" ht="409.5">
      <c r="A62" s="2">
        <v>2770172</v>
      </c>
      <c r="B62" s="2">
        <f>HYPERLINK("https://platform.v2.vetology.net/cases/2770172/screening-report/1?type=pdf&amp;v=v6&amp;scorecard=1&amp;secret_key=BX%25IJ%24%2F65ieZ%29f6", 2770172)</f>
        <v>2770172</v>
      </c>
      <c r="C62" s="2">
        <f>HYPERLINK("https://platform.v2.vetology.net/report/v/final/"&amp;2770172, 2770172)</f>
        <v>2770172</v>
      </c>
      <c r="D62" s="2" t="s">
        <v>270</v>
      </c>
      <c r="E62" s="2" t="s">
        <v>271</v>
      </c>
      <c r="F62" s="2" t="s">
        <v>272</v>
      </c>
      <c r="G62" s="2" t="s">
        <v>127</v>
      </c>
      <c r="H62" s="2" t="s">
        <v>273</v>
      </c>
      <c r="I62" s="2" t="s">
        <v>46</v>
      </c>
      <c r="J62" s="2"/>
      <c r="K62" s="2" t="s">
        <v>39</v>
      </c>
      <c r="L62" s="2" t="s">
        <v>39</v>
      </c>
      <c r="M62" s="2" t="s">
        <v>39</v>
      </c>
      <c r="N62" s="2" t="s">
        <v>39</v>
      </c>
      <c r="O62" s="2" t="s">
        <v>39</v>
      </c>
      <c r="P62" s="2" t="s">
        <v>39</v>
      </c>
      <c r="Q62" s="2" t="s">
        <v>39</v>
      </c>
      <c r="R62" s="2" t="s">
        <v>39</v>
      </c>
      <c r="S62" s="2" t="s">
        <v>38</v>
      </c>
      <c r="T62" s="2" t="s">
        <v>39</v>
      </c>
      <c r="U62" s="2" t="s">
        <v>39</v>
      </c>
      <c r="V62" s="2" t="s">
        <v>38</v>
      </c>
      <c r="W62" s="2" t="s">
        <v>39</v>
      </c>
      <c r="X62" s="2" t="s">
        <v>39</v>
      </c>
      <c r="Y62" s="2" t="s">
        <v>39</v>
      </c>
      <c r="Z62" s="2" t="s">
        <v>38</v>
      </c>
      <c r="AA62" s="2" t="s">
        <v>38</v>
      </c>
      <c r="AB62" s="2" t="s">
        <v>39</v>
      </c>
      <c r="AC62" s="2" t="s">
        <v>38</v>
      </c>
      <c r="AD62" s="2" t="s">
        <v>38</v>
      </c>
      <c r="AE62" s="2" t="s">
        <v>40</v>
      </c>
    </row>
    <row r="63" spans="1:31" ht="409.5">
      <c r="A63" s="2">
        <v>2770141</v>
      </c>
      <c r="B63" s="2">
        <f>HYPERLINK("https://platform.v2.vetology.net/cases/2770141/screening-report/1?type=pdf&amp;v=v6&amp;scorecard=1&amp;secret_key=BX%25IJ%24%2F65ieZ%29f6", 2770141)</f>
        <v>2770141</v>
      </c>
      <c r="C63" s="2">
        <f>HYPERLINK("https://platform.v2.vetology.net/report/v/final/"&amp;2770141, 2770141)</f>
        <v>2770141</v>
      </c>
      <c r="D63" s="2" t="s">
        <v>274</v>
      </c>
      <c r="E63" s="2" t="s">
        <v>275</v>
      </c>
      <c r="F63" s="2" t="s">
        <v>276</v>
      </c>
      <c r="G63" s="2" t="s">
        <v>170</v>
      </c>
      <c r="H63" s="2" t="s">
        <v>277</v>
      </c>
      <c r="I63" s="2" t="s">
        <v>46</v>
      </c>
      <c r="J63" s="2"/>
      <c r="K63" s="2" t="s">
        <v>39</v>
      </c>
      <c r="L63" s="2" t="s">
        <v>38</v>
      </c>
      <c r="M63" s="2" t="s">
        <v>39</v>
      </c>
      <c r="N63" s="2" t="s">
        <v>39</v>
      </c>
      <c r="O63" s="2" t="s">
        <v>39</v>
      </c>
      <c r="P63" s="2" t="s">
        <v>39</v>
      </c>
      <c r="Q63" s="2" t="s">
        <v>39</v>
      </c>
      <c r="R63" s="2" t="s">
        <v>39</v>
      </c>
      <c r="S63" s="2" t="s">
        <v>39</v>
      </c>
      <c r="T63" s="2" t="s">
        <v>39</v>
      </c>
      <c r="U63" s="2" t="s">
        <v>39</v>
      </c>
      <c r="V63" s="2" t="s">
        <v>39</v>
      </c>
      <c r="W63" s="2" t="s">
        <v>39</v>
      </c>
      <c r="X63" s="2" t="s">
        <v>39</v>
      </c>
      <c r="Y63" s="2" t="s">
        <v>39</v>
      </c>
      <c r="Z63" s="2" t="s">
        <v>38</v>
      </c>
      <c r="AA63" s="2" t="s">
        <v>39</v>
      </c>
      <c r="AB63" s="2" t="s">
        <v>39</v>
      </c>
      <c r="AC63" s="2" t="s">
        <v>38</v>
      </c>
      <c r="AD63" s="2" t="s">
        <v>38</v>
      </c>
      <c r="AE63" s="2" t="s">
        <v>39</v>
      </c>
    </row>
    <row r="64" spans="1:31" ht="409.5">
      <c r="A64" s="2">
        <v>2770131</v>
      </c>
      <c r="B64" s="2">
        <f>HYPERLINK("https://platform.v2.vetology.net/cases/2770131/screening-report/1?type=pdf&amp;v=v6&amp;scorecard=1&amp;secret_key=BX%25IJ%24%2F65ieZ%29f6", 2770131)</f>
        <v>2770131</v>
      </c>
      <c r="C64" s="2">
        <f>HYPERLINK("https://platform.v2.vetology.net/report/v/final/"&amp;2770131, 2770131)</f>
        <v>2770131</v>
      </c>
      <c r="D64" s="2" t="s">
        <v>278</v>
      </c>
      <c r="E64" s="2" t="s">
        <v>279</v>
      </c>
      <c r="F64" s="2" t="s">
        <v>280</v>
      </c>
      <c r="G64" s="2" t="s">
        <v>170</v>
      </c>
      <c r="H64" s="2" t="s">
        <v>281</v>
      </c>
      <c r="I64" s="2" t="s">
        <v>73</v>
      </c>
      <c r="J64" s="2" t="s">
        <v>74</v>
      </c>
      <c r="K64" s="2" t="s">
        <v>38</v>
      </c>
      <c r="L64" s="2" t="s">
        <v>38</v>
      </c>
      <c r="M64" s="2" t="s">
        <v>38</v>
      </c>
      <c r="N64" s="2" t="s">
        <v>38</v>
      </c>
      <c r="O64" s="2" t="s">
        <v>38</v>
      </c>
      <c r="P64" s="2" t="s">
        <v>38</v>
      </c>
      <c r="Q64" s="2" t="s">
        <v>38</v>
      </c>
      <c r="R64" s="2" t="s">
        <v>38</v>
      </c>
      <c r="S64" s="2" t="s">
        <v>38</v>
      </c>
      <c r="T64" s="2" t="s">
        <v>38</v>
      </c>
      <c r="U64" s="2" t="s">
        <v>38</v>
      </c>
      <c r="V64" s="2" t="s">
        <v>38</v>
      </c>
      <c r="W64" s="2" t="s">
        <v>38</v>
      </c>
      <c r="X64" s="2" t="s">
        <v>38</v>
      </c>
      <c r="Y64" s="2" t="s">
        <v>39</v>
      </c>
      <c r="Z64" s="2" t="s">
        <v>38</v>
      </c>
      <c r="AA64" s="2" t="s">
        <v>38</v>
      </c>
      <c r="AB64" s="2" t="s">
        <v>39</v>
      </c>
      <c r="AC64" s="2" t="s">
        <v>38</v>
      </c>
      <c r="AD64" s="2" t="s">
        <v>39</v>
      </c>
      <c r="AE64" s="2" t="s">
        <v>39</v>
      </c>
    </row>
    <row r="65" spans="1:31" ht="409.5">
      <c r="A65" s="2">
        <v>2770114</v>
      </c>
      <c r="B65" s="2">
        <f>HYPERLINK("https://platform.v2.vetology.net/cases/2770114/screening-report/1?type=pdf&amp;v=v6&amp;scorecard=1&amp;secret_key=BX%25IJ%24%2F65ieZ%29f6", 2770114)</f>
        <v>2770114</v>
      </c>
      <c r="C65" s="2">
        <f>HYPERLINK("https://platform.v2.vetology.net/report/v/final/"&amp;2770114, 2770114)</f>
        <v>2770114</v>
      </c>
      <c r="D65" s="2" t="s">
        <v>282</v>
      </c>
      <c r="E65" s="2" t="s">
        <v>283</v>
      </c>
      <c r="F65" s="2" t="s">
        <v>43</v>
      </c>
      <c r="G65" s="2" t="s">
        <v>44</v>
      </c>
      <c r="H65" s="2" t="s">
        <v>284</v>
      </c>
      <c r="I65" s="2" t="s">
        <v>36</v>
      </c>
      <c r="J65" s="2" t="s">
        <v>37</v>
      </c>
      <c r="K65" s="2" t="s">
        <v>38</v>
      </c>
      <c r="L65" s="2" t="s">
        <v>38</v>
      </c>
      <c r="M65" s="2" t="s">
        <v>38</v>
      </c>
      <c r="N65" s="2" t="s">
        <v>38</v>
      </c>
      <c r="O65" s="2" t="s">
        <v>38</v>
      </c>
      <c r="P65" s="2" t="s">
        <v>38</v>
      </c>
      <c r="Q65" s="2" t="s">
        <v>39</v>
      </c>
      <c r="R65" s="2" t="s">
        <v>38</v>
      </c>
      <c r="S65" s="2" t="s">
        <v>38</v>
      </c>
      <c r="T65" s="2" t="s">
        <v>39</v>
      </c>
      <c r="U65" s="2" t="s">
        <v>39</v>
      </c>
      <c r="V65" s="2" t="s">
        <v>38</v>
      </c>
      <c r="W65" s="2" t="s">
        <v>38</v>
      </c>
      <c r="X65" s="2" t="s">
        <v>39</v>
      </c>
      <c r="Y65" s="2" t="s">
        <v>39</v>
      </c>
      <c r="Z65" s="2" t="s">
        <v>39</v>
      </c>
      <c r="AA65" s="2" t="s">
        <v>38</v>
      </c>
      <c r="AB65" s="2" t="s">
        <v>39</v>
      </c>
      <c r="AC65" s="2" t="s">
        <v>38</v>
      </c>
      <c r="AD65" s="2" t="s">
        <v>38</v>
      </c>
      <c r="AE65" s="2" t="s">
        <v>39</v>
      </c>
    </row>
    <row r="66" spans="1:31" ht="409.5">
      <c r="A66" s="2">
        <v>2770106</v>
      </c>
      <c r="B66" s="2">
        <f>HYPERLINK("https://platform.v2.vetology.net/cases/2770106/screening-report/1?type=pdf&amp;v=v6&amp;scorecard=1&amp;secret_key=BX%25IJ%24%2F65ieZ%29f6", 2770106)</f>
        <v>2770106</v>
      </c>
      <c r="C66" s="2">
        <f>HYPERLINK("https://platform.v2.vetology.net/report/v/final/"&amp;2770106, 2770106)</f>
        <v>2770106</v>
      </c>
      <c r="D66" s="2" t="s">
        <v>285</v>
      </c>
      <c r="E66" s="2" t="s">
        <v>286</v>
      </c>
      <c r="F66" s="2" t="s">
        <v>43</v>
      </c>
      <c r="G66" s="2" t="s">
        <v>44</v>
      </c>
      <c r="H66" s="2" t="s">
        <v>287</v>
      </c>
      <c r="I66" s="2" t="s">
        <v>36</v>
      </c>
      <c r="J66" s="2" t="s">
        <v>37</v>
      </c>
      <c r="K66" s="2" t="s">
        <v>38</v>
      </c>
      <c r="L66" s="2" t="s">
        <v>38</v>
      </c>
      <c r="M66" s="2" t="s">
        <v>39</v>
      </c>
      <c r="N66" s="2" t="s">
        <v>38</v>
      </c>
      <c r="O66" s="2" t="s">
        <v>38</v>
      </c>
      <c r="P66" s="2" t="s">
        <v>39</v>
      </c>
      <c r="Q66" s="2" t="s">
        <v>39</v>
      </c>
      <c r="R66" s="2" t="s">
        <v>39</v>
      </c>
      <c r="S66" s="2" t="s">
        <v>39</v>
      </c>
      <c r="T66" s="2" t="s">
        <v>39</v>
      </c>
      <c r="U66" s="2" t="s">
        <v>38</v>
      </c>
      <c r="V66" s="2" t="s">
        <v>38</v>
      </c>
      <c r="W66" s="2" t="s">
        <v>38</v>
      </c>
      <c r="X66" s="2" t="s">
        <v>39</v>
      </c>
      <c r="Y66" s="2" t="s">
        <v>39</v>
      </c>
      <c r="Z66" s="2" t="s">
        <v>38</v>
      </c>
      <c r="AA66" s="2" t="s">
        <v>38</v>
      </c>
      <c r="AB66" s="2" t="s">
        <v>39</v>
      </c>
      <c r="AC66" s="2" t="s">
        <v>38</v>
      </c>
      <c r="AD66" s="2" t="s">
        <v>38</v>
      </c>
      <c r="AE66" s="2" t="s">
        <v>40</v>
      </c>
    </row>
    <row r="67" spans="1:31" ht="409.5">
      <c r="A67" s="2">
        <v>2770090</v>
      </c>
      <c r="B67" s="2">
        <f>HYPERLINK("https://platform.v2.vetology.net/cases/2770090/screening-report/1?type=pdf&amp;v=v6&amp;scorecard=1&amp;secret_key=BX%25IJ%24%2F65ieZ%29f6", 2770090)</f>
        <v>2770090</v>
      </c>
      <c r="C67" s="2">
        <f>HYPERLINK("https://platform.v2.vetology.net/report/v/final/"&amp;2770090, 2770090)</f>
        <v>2770090</v>
      </c>
      <c r="D67" s="2" t="s">
        <v>288</v>
      </c>
      <c r="E67" s="2" t="s">
        <v>289</v>
      </c>
      <c r="F67" s="2" t="s">
        <v>290</v>
      </c>
      <c r="G67" s="2" t="s">
        <v>170</v>
      </c>
      <c r="H67" s="2" t="s">
        <v>291</v>
      </c>
      <c r="I67" s="2" t="s">
        <v>73</v>
      </c>
      <c r="J67" s="2" t="s">
        <v>74</v>
      </c>
      <c r="K67" s="2" t="s">
        <v>38</v>
      </c>
      <c r="L67" s="2" t="s">
        <v>38</v>
      </c>
      <c r="M67" s="2" t="s">
        <v>38</v>
      </c>
      <c r="N67" s="2" t="s">
        <v>38</v>
      </c>
      <c r="O67" s="2" t="s">
        <v>38</v>
      </c>
      <c r="P67" s="2" t="s">
        <v>38</v>
      </c>
      <c r="Q67" s="2" t="s">
        <v>38</v>
      </c>
      <c r="R67" s="2" t="s">
        <v>38</v>
      </c>
      <c r="S67" s="2" t="s">
        <v>38</v>
      </c>
      <c r="T67" s="2" t="s">
        <v>38</v>
      </c>
      <c r="U67" s="2" t="s">
        <v>38</v>
      </c>
      <c r="V67" s="2" t="s">
        <v>38</v>
      </c>
      <c r="W67" s="2" t="s">
        <v>38</v>
      </c>
      <c r="X67" s="2" t="s">
        <v>39</v>
      </c>
      <c r="Y67" s="2" t="s">
        <v>38</v>
      </c>
      <c r="Z67" s="2" t="s">
        <v>38</v>
      </c>
      <c r="AA67" s="2" t="s">
        <v>38</v>
      </c>
      <c r="AB67" s="2" t="s">
        <v>39</v>
      </c>
      <c r="AC67" s="2" t="s">
        <v>38</v>
      </c>
      <c r="AD67" s="2" t="s">
        <v>39</v>
      </c>
      <c r="AE67" s="2" t="s">
        <v>40</v>
      </c>
    </row>
    <row r="68" spans="1:31" ht="409.5">
      <c r="A68" s="2">
        <v>2770046</v>
      </c>
      <c r="B68" s="2">
        <f>HYPERLINK("https://platform.v2.vetology.net/cases/2770046/screening-report/1?type=pdf&amp;v=v6&amp;scorecard=1&amp;secret_key=BX%25IJ%24%2F65ieZ%29f6", 2770046)</f>
        <v>2770046</v>
      </c>
      <c r="C68" s="2">
        <f>HYPERLINK("https://platform.v2.vetology.net/report/v/final/"&amp;2770046, 2770046)</f>
        <v>2770046</v>
      </c>
      <c r="D68" s="2" t="s">
        <v>292</v>
      </c>
      <c r="E68" s="2" t="s">
        <v>293</v>
      </c>
      <c r="F68" s="2" t="s">
        <v>294</v>
      </c>
      <c r="G68" s="2" t="s">
        <v>170</v>
      </c>
      <c r="H68" s="2" t="s">
        <v>295</v>
      </c>
      <c r="I68" s="2" t="s">
        <v>36</v>
      </c>
      <c r="J68" s="2" t="s">
        <v>37</v>
      </c>
      <c r="K68" s="2" t="s">
        <v>38</v>
      </c>
      <c r="L68" s="2" t="s">
        <v>39</v>
      </c>
      <c r="M68" s="2" t="s">
        <v>38</v>
      </c>
      <c r="N68" s="2" t="s">
        <v>38</v>
      </c>
      <c r="O68" s="2" t="s">
        <v>38</v>
      </c>
      <c r="P68" s="2" t="s">
        <v>39</v>
      </c>
      <c r="Q68" s="2" t="s">
        <v>39</v>
      </c>
      <c r="R68" s="2" t="s">
        <v>38</v>
      </c>
      <c r="S68" s="2" t="s">
        <v>39</v>
      </c>
      <c r="T68" s="2" t="s">
        <v>38</v>
      </c>
      <c r="U68" s="2" t="s">
        <v>38</v>
      </c>
      <c r="V68" s="2" t="s">
        <v>38</v>
      </c>
      <c r="W68" s="2" t="s">
        <v>38</v>
      </c>
      <c r="X68" s="2" t="s">
        <v>39</v>
      </c>
      <c r="Y68" s="2" t="s">
        <v>39</v>
      </c>
      <c r="Z68" s="2" t="s">
        <v>38</v>
      </c>
      <c r="AA68" s="2" t="s">
        <v>38</v>
      </c>
      <c r="AB68" s="2" t="s">
        <v>39</v>
      </c>
      <c r="AC68" s="2" t="s">
        <v>38</v>
      </c>
      <c r="AD68" s="2" t="s">
        <v>39</v>
      </c>
      <c r="AE68" s="2" t="s">
        <v>40</v>
      </c>
    </row>
    <row r="69" spans="1:31" ht="409.5">
      <c r="A69" s="2">
        <v>2770044</v>
      </c>
      <c r="B69" s="2">
        <f>HYPERLINK("https://platform.v2.vetology.net/cases/2770044/screening-report/1?type=pdf&amp;v=v6&amp;scorecard=1&amp;secret_key=BX%25IJ%24%2F65ieZ%29f6", 2770044)</f>
        <v>2770044</v>
      </c>
      <c r="C69" s="2">
        <f>HYPERLINK("https://platform.v2.vetology.net/report/v/final/"&amp;2770044, 2770044)</f>
        <v>2770044</v>
      </c>
      <c r="D69" s="2" t="s">
        <v>296</v>
      </c>
      <c r="E69" s="2" t="s">
        <v>297</v>
      </c>
      <c r="F69" s="2" t="s">
        <v>43</v>
      </c>
      <c r="G69" s="2" t="s">
        <v>44</v>
      </c>
      <c r="H69" s="2" t="s">
        <v>298</v>
      </c>
      <c r="I69" s="2" t="s">
        <v>73</v>
      </c>
      <c r="J69" s="2" t="s">
        <v>74</v>
      </c>
      <c r="K69" s="2" t="s">
        <v>38</v>
      </c>
      <c r="L69" s="2" t="s">
        <v>38</v>
      </c>
      <c r="M69" s="2" t="s">
        <v>38</v>
      </c>
      <c r="N69" s="2" t="s">
        <v>38</v>
      </c>
      <c r="O69" s="2" t="s">
        <v>38</v>
      </c>
      <c r="P69" s="2" t="s">
        <v>38</v>
      </c>
      <c r="Q69" s="2" t="s">
        <v>38</v>
      </c>
      <c r="R69" s="2" t="s">
        <v>38</v>
      </c>
      <c r="S69" s="2" t="s">
        <v>38</v>
      </c>
      <c r="T69" s="2" t="s">
        <v>38</v>
      </c>
      <c r="U69" s="2" t="s">
        <v>38</v>
      </c>
      <c r="V69" s="2" t="s">
        <v>38</v>
      </c>
      <c r="W69" s="2" t="s">
        <v>38</v>
      </c>
      <c r="X69" s="2" t="s">
        <v>38</v>
      </c>
      <c r="Y69" s="2" t="s">
        <v>39</v>
      </c>
      <c r="Z69" s="2" t="s">
        <v>38</v>
      </c>
      <c r="AA69" s="2" t="s">
        <v>38</v>
      </c>
      <c r="AB69" s="2" t="s">
        <v>38</v>
      </c>
      <c r="AC69" s="2" t="s">
        <v>38</v>
      </c>
      <c r="AD69" s="2" t="s">
        <v>38</v>
      </c>
      <c r="AE69" s="2" t="s">
        <v>40</v>
      </c>
    </row>
    <row r="70" spans="1:31" ht="409.5">
      <c r="A70" s="2">
        <v>2770040</v>
      </c>
      <c r="B70" s="2">
        <f>HYPERLINK("https://platform.v2.vetology.net/cases/2770040/screening-report/1?type=pdf&amp;v=v6&amp;scorecard=1&amp;secret_key=BX%25IJ%24%2F65ieZ%29f6", 2770040)</f>
        <v>2770040</v>
      </c>
      <c r="C70" s="2">
        <f>HYPERLINK("https://platform.v2.vetology.net/report/v/final/"&amp;2770040, 2770040)</f>
        <v>2770040</v>
      </c>
      <c r="D70" s="2" t="s">
        <v>299</v>
      </c>
      <c r="E70" s="2" t="s">
        <v>300</v>
      </c>
      <c r="F70" s="2" t="s">
        <v>301</v>
      </c>
      <c r="G70" s="2" t="s">
        <v>53</v>
      </c>
      <c r="H70" s="2" t="s">
        <v>158</v>
      </c>
      <c r="I70" s="2" t="s">
        <v>59</v>
      </c>
      <c r="J70" s="2" t="s">
        <v>37</v>
      </c>
      <c r="K70" s="2" t="s">
        <v>38</v>
      </c>
      <c r="L70" s="2" t="s">
        <v>39</v>
      </c>
      <c r="M70" s="2" t="s">
        <v>39</v>
      </c>
      <c r="N70" s="2" t="s">
        <v>39</v>
      </c>
      <c r="O70" s="2" t="s">
        <v>39</v>
      </c>
      <c r="P70" s="2" t="s">
        <v>39</v>
      </c>
      <c r="Q70" s="2" t="s">
        <v>39</v>
      </c>
      <c r="R70" s="2" t="s">
        <v>39</v>
      </c>
      <c r="S70" s="2" t="s">
        <v>39</v>
      </c>
      <c r="T70" s="2" t="s">
        <v>39</v>
      </c>
      <c r="U70" s="2" t="s">
        <v>38</v>
      </c>
      <c r="V70" s="2" t="s">
        <v>38</v>
      </c>
      <c r="W70" s="2" t="s">
        <v>38</v>
      </c>
      <c r="X70" s="2" t="s">
        <v>39</v>
      </c>
      <c r="Y70" s="2" t="s">
        <v>39</v>
      </c>
      <c r="Z70" s="2" t="s">
        <v>39</v>
      </c>
      <c r="AA70" s="2" t="s">
        <v>38</v>
      </c>
      <c r="AB70" s="2" t="s">
        <v>39</v>
      </c>
      <c r="AC70" s="2" t="s">
        <v>38</v>
      </c>
      <c r="AD70" s="2" t="s">
        <v>39</v>
      </c>
      <c r="AE70" s="2" t="s">
        <v>40</v>
      </c>
    </row>
    <row r="71" spans="1:31" ht="409.5">
      <c r="A71" s="2">
        <v>2769990</v>
      </c>
      <c r="B71" s="2">
        <f>HYPERLINK("https://platform.v2.vetology.net/cases/2769990/screening-report/1?type=pdf&amp;v=v6&amp;scorecard=1&amp;secret_key=BX%25IJ%24%2F65ieZ%29f6", 2769990)</f>
        <v>2769990</v>
      </c>
      <c r="C71" s="2">
        <f>HYPERLINK("https://platform.v2.vetology.net/report/v/final/"&amp;2769990, 2769990)</f>
        <v>2769990</v>
      </c>
      <c r="D71" s="2" t="s">
        <v>302</v>
      </c>
      <c r="E71" s="2" t="s">
        <v>99</v>
      </c>
      <c r="F71" s="2"/>
      <c r="G71" s="2" t="s">
        <v>100</v>
      </c>
      <c r="H71" s="2" t="s">
        <v>158</v>
      </c>
      <c r="I71" s="2" t="s">
        <v>59</v>
      </c>
      <c r="J71" s="2" t="s">
        <v>37</v>
      </c>
      <c r="K71" s="2" t="s">
        <v>38</v>
      </c>
      <c r="L71" s="2" t="s">
        <v>39</v>
      </c>
      <c r="M71" s="2" t="s">
        <v>39</v>
      </c>
      <c r="N71" s="2" t="s">
        <v>39</v>
      </c>
      <c r="O71" s="2" t="s">
        <v>39</v>
      </c>
      <c r="P71" s="2" t="s">
        <v>39</v>
      </c>
      <c r="Q71" s="2" t="s">
        <v>39</v>
      </c>
      <c r="R71" s="2" t="s">
        <v>39</v>
      </c>
      <c r="S71" s="2" t="s">
        <v>39</v>
      </c>
      <c r="T71" s="2" t="s">
        <v>39</v>
      </c>
      <c r="U71" s="2" t="s">
        <v>38</v>
      </c>
      <c r="V71" s="2" t="s">
        <v>38</v>
      </c>
      <c r="W71" s="2" t="s">
        <v>39</v>
      </c>
      <c r="X71" s="2" t="s">
        <v>39</v>
      </c>
      <c r="Y71" s="2" t="s">
        <v>39</v>
      </c>
      <c r="Z71" s="2" t="s">
        <v>39</v>
      </c>
      <c r="AA71" s="2" t="s">
        <v>39</v>
      </c>
      <c r="AB71" s="2" t="s">
        <v>39</v>
      </c>
      <c r="AC71" s="2" t="s">
        <v>39</v>
      </c>
      <c r="AD71" s="2" t="s">
        <v>39</v>
      </c>
      <c r="AE71" s="2" t="s">
        <v>39</v>
      </c>
    </row>
    <row r="72" spans="1:31" ht="409.5">
      <c r="A72" s="2">
        <v>2769945</v>
      </c>
      <c r="B72" s="2">
        <f>HYPERLINK("https://platform.v2.vetology.net/cases/2769945/screening-report/1?type=pdf&amp;v=v6&amp;scorecard=1&amp;secret_key=BX%25IJ%24%2F65ieZ%29f6", 2769945)</f>
        <v>2769945</v>
      </c>
      <c r="C72" s="2">
        <f>HYPERLINK("https://platform.v2.vetology.net/report/v/final/"&amp;2769945, 2769945)</f>
        <v>2769945</v>
      </c>
      <c r="D72" s="2" t="s">
        <v>303</v>
      </c>
      <c r="E72" s="2" t="s">
        <v>304</v>
      </c>
      <c r="F72" s="2"/>
      <c r="G72" s="2" t="s">
        <v>81</v>
      </c>
      <c r="H72" s="2" t="s">
        <v>45</v>
      </c>
      <c r="I72" s="2" t="s">
        <v>46</v>
      </c>
      <c r="J72" s="2"/>
      <c r="K72" s="2" t="s">
        <v>39</v>
      </c>
      <c r="L72" s="2" t="s">
        <v>39</v>
      </c>
      <c r="M72" s="2" t="s">
        <v>39</v>
      </c>
      <c r="N72" s="2" t="s">
        <v>39</v>
      </c>
      <c r="O72" s="2" t="s">
        <v>39</v>
      </c>
      <c r="P72" s="2" t="s">
        <v>39</v>
      </c>
      <c r="Q72" s="2" t="s">
        <v>39</v>
      </c>
      <c r="R72" s="2" t="s">
        <v>38</v>
      </c>
      <c r="S72" s="2" t="s">
        <v>39</v>
      </c>
      <c r="T72" s="2" t="s">
        <v>39</v>
      </c>
      <c r="U72" s="2" t="s">
        <v>39</v>
      </c>
      <c r="V72" s="2" t="s">
        <v>39</v>
      </c>
      <c r="W72" s="2" t="s">
        <v>39</v>
      </c>
      <c r="X72" s="2" t="s">
        <v>39</v>
      </c>
      <c r="Y72" s="2" t="s">
        <v>39</v>
      </c>
      <c r="Z72" s="2" t="s">
        <v>39</v>
      </c>
      <c r="AA72" s="2" t="s">
        <v>39</v>
      </c>
      <c r="AB72" s="2" t="s">
        <v>39</v>
      </c>
      <c r="AC72" s="2" t="s">
        <v>39</v>
      </c>
      <c r="AD72" s="2" t="s">
        <v>39</v>
      </c>
      <c r="AE72" s="2" t="s">
        <v>39</v>
      </c>
    </row>
    <row r="73" spans="1:31" ht="409.5">
      <c r="A73" s="2">
        <v>2769912</v>
      </c>
      <c r="B73" s="2">
        <f>HYPERLINK("https://platform.v2.vetology.net/cases/2769912/screening-report/1?type=pdf&amp;v=v6&amp;scorecard=1&amp;secret_key=BX%25IJ%24%2F65ieZ%29f6", 2769912)</f>
        <v>2769912</v>
      </c>
      <c r="C73" s="2">
        <f>HYPERLINK("https://platform.v2.vetology.net/report/v/final/"&amp;2769912, 2769912)</f>
        <v>2769912</v>
      </c>
      <c r="D73" s="2" t="s">
        <v>305</v>
      </c>
      <c r="E73" s="2" t="s">
        <v>306</v>
      </c>
      <c r="F73" s="2" t="s">
        <v>43</v>
      </c>
      <c r="G73" s="2" t="s">
        <v>44</v>
      </c>
      <c r="H73" s="2" t="s">
        <v>307</v>
      </c>
      <c r="I73" s="2" t="s">
        <v>73</v>
      </c>
      <c r="J73" s="2" t="s">
        <v>74</v>
      </c>
      <c r="K73" s="2" t="s">
        <v>38</v>
      </c>
      <c r="L73" s="2" t="s">
        <v>38</v>
      </c>
      <c r="M73" s="2" t="s">
        <v>38</v>
      </c>
      <c r="N73" s="2" t="s">
        <v>38</v>
      </c>
      <c r="O73" s="2" t="s">
        <v>38</v>
      </c>
      <c r="P73" s="2" t="s">
        <v>38</v>
      </c>
      <c r="Q73" s="2" t="s">
        <v>38</v>
      </c>
      <c r="R73" s="2" t="s">
        <v>38</v>
      </c>
      <c r="S73" s="2" t="s">
        <v>38</v>
      </c>
      <c r="T73" s="2" t="s">
        <v>38</v>
      </c>
      <c r="U73" s="2" t="s">
        <v>38</v>
      </c>
      <c r="V73" s="2" t="s">
        <v>38</v>
      </c>
      <c r="W73" s="2" t="s">
        <v>38</v>
      </c>
      <c r="X73" s="2" t="s">
        <v>38</v>
      </c>
      <c r="Y73" s="2" t="s">
        <v>38</v>
      </c>
      <c r="Z73" s="2" t="s">
        <v>38</v>
      </c>
      <c r="AA73" s="2" t="s">
        <v>38</v>
      </c>
      <c r="AB73" s="2" t="s">
        <v>38</v>
      </c>
      <c r="AC73" s="2" t="s">
        <v>38</v>
      </c>
      <c r="AD73" s="2" t="s">
        <v>39</v>
      </c>
      <c r="AE73" s="2" t="s">
        <v>40</v>
      </c>
    </row>
    <row r="74" spans="1:31" ht="409.5">
      <c r="A74" s="2">
        <v>2769884</v>
      </c>
      <c r="B74" s="2">
        <f>HYPERLINK("https://platform.v2.vetology.net/cases/2769884/screening-report/1?type=pdf&amp;v=v6&amp;scorecard=1&amp;secret_key=BX%25IJ%24%2F65ieZ%29f6", 2769884)</f>
        <v>2769884</v>
      </c>
      <c r="C74" s="2">
        <f>HYPERLINK("https://platform.v2.vetology.net/report/v/final/"&amp;2769884, 2769884)</f>
        <v>2769884</v>
      </c>
      <c r="D74" s="2" t="s">
        <v>308</v>
      </c>
      <c r="E74" s="2" t="s">
        <v>309</v>
      </c>
      <c r="F74" s="2" t="s">
        <v>310</v>
      </c>
      <c r="G74" s="2" t="s">
        <v>34</v>
      </c>
      <c r="H74" s="2" t="s">
        <v>69</v>
      </c>
      <c r="I74" s="2" t="s">
        <v>46</v>
      </c>
      <c r="J74" s="2"/>
      <c r="K74" s="2" t="s">
        <v>39</v>
      </c>
      <c r="L74" s="2" t="s">
        <v>39</v>
      </c>
      <c r="M74" s="2" t="s">
        <v>39</v>
      </c>
      <c r="N74" s="2" t="s">
        <v>39</v>
      </c>
      <c r="O74" s="2" t="s">
        <v>39</v>
      </c>
      <c r="P74" s="2" t="s">
        <v>39</v>
      </c>
      <c r="Q74" s="2" t="s">
        <v>39</v>
      </c>
      <c r="R74" s="2" t="s">
        <v>39</v>
      </c>
      <c r="S74" s="2" t="s">
        <v>39</v>
      </c>
      <c r="T74" s="2" t="s">
        <v>39</v>
      </c>
      <c r="U74" s="2" t="s">
        <v>39</v>
      </c>
      <c r="V74" s="2" t="s">
        <v>39</v>
      </c>
      <c r="W74" s="2" t="s">
        <v>38</v>
      </c>
      <c r="X74" s="2" t="s">
        <v>39</v>
      </c>
      <c r="Y74" s="2" t="s">
        <v>39</v>
      </c>
      <c r="Z74" s="2" t="s">
        <v>39</v>
      </c>
      <c r="AA74" s="2" t="s">
        <v>39</v>
      </c>
      <c r="AB74" s="2" t="s">
        <v>39</v>
      </c>
      <c r="AC74" s="2" t="s">
        <v>38</v>
      </c>
      <c r="AD74" s="2" t="s">
        <v>39</v>
      </c>
      <c r="AE74" s="2" t="s">
        <v>40</v>
      </c>
    </row>
    <row r="75" spans="1:31" ht="409.5">
      <c r="A75" s="2">
        <v>2769872</v>
      </c>
      <c r="B75" s="2">
        <f>HYPERLINK("https://platform.v2.vetology.net/cases/2769872/screening-report/1?type=pdf&amp;v=v6&amp;scorecard=1&amp;secret_key=BX%25IJ%24%2F65ieZ%29f6", 2769872)</f>
        <v>2769872</v>
      </c>
      <c r="C75" s="2">
        <f>HYPERLINK("https://platform.v2.vetology.net/report/v/final/"&amp;2769872, 2769872)</f>
        <v>2769872</v>
      </c>
      <c r="D75" s="2" t="s">
        <v>311</v>
      </c>
      <c r="E75" s="2" t="s">
        <v>312</v>
      </c>
      <c r="F75" s="2" t="s">
        <v>313</v>
      </c>
      <c r="G75" s="2" t="s">
        <v>53</v>
      </c>
      <c r="H75" s="2" t="s">
        <v>314</v>
      </c>
      <c r="I75" s="2" t="s">
        <v>257</v>
      </c>
      <c r="J75" s="2" t="s">
        <v>74</v>
      </c>
      <c r="K75" s="2" t="s">
        <v>38</v>
      </c>
      <c r="L75" s="2" t="s">
        <v>38</v>
      </c>
      <c r="M75" s="2" t="s">
        <v>38</v>
      </c>
      <c r="N75" s="2" t="s">
        <v>38</v>
      </c>
      <c r="O75" s="2" t="s">
        <v>38</v>
      </c>
      <c r="P75" s="2" t="s">
        <v>38</v>
      </c>
      <c r="Q75" s="2" t="s">
        <v>38</v>
      </c>
      <c r="R75" s="2" t="s">
        <v>38</v>
      </c>
      <c r="S75" s="2" t="s">
        <v>38</v>
      </c>
      <c r="T75" s="2" t="s">
        <v>38</v>
      </c>
      <c r="U75" s="2" t="s">
        <v>38</v>
      </c>
      <c r="V75" s="2" t="s">
        <v>38</v>
      </c>
      <c r="W75" s="2" t="s">
        <v>38</v>
      </c>
      <c r="X75" s="2" t="s">
        <v>38</v>
      </c>
      <c r="Y75" s="2" t="s">
        <v>38</v>
      </c>
      <c r="Z75" s="2" t="s">
        <v>38</v>
      </c>
      <c r="AA75" s="2" t="s">
        <v>38</v>
      </c>
      <c r="AB75" s="2" t="s">
        <v>38</v>
      </c>
      <c r="AC75" s="2" t="s">
        <v>38</v>
      </c>
      <c r="AD75" s="2" t="s">
        <v>38</v>
      </c>
      <c r="AE75" s="2" t="s">
        <v>40</v>
      </c>
    </row>
    <row r="76" spans="1:31" ht="409.5">
      <c r="A76" s="2">
        <v>2769864</v>
      </c>
      <c r="B76" s="2">
        <f>HYPERLINK("https://platform.v2.vetology.net/cases/2769864/screening-report/1?type=pdf&amp;v=v6&amp;scorecard=1&amp;secret_key=BX%25IJ%24%2F65ieZ%29f6", 2769864)</f>
        <v>2769864</v>
      </c>
      <c r="C76" s="2">
        <f>HYPERLINK("https://platform.v2.vetology.net/report/v/final/"&amp;2769864, 2769864)</f>
        <v>2769864</v>
      </c>
      <c r="D76" s="2" t="s">
        <v>315</v>
      </c>
      <c r="E76" s="2" t="s">
        <v>316</v>
      </c>
      <c r="F76" s="2" t="s">
        <v>317</v>
      </c>
      <c r="G76" s="2" t="s">
        <v>111</v>
      </c>
      <c r="H76" s="2" t="s">
        <v>318</v>
      </c>
      <c r="I76" s="2" t="s">
        <v>73</v>
      </c>
      <c r="J76" s="2" t="s">
        <v>74</v>
      </c>
      <c r="K76" s="2" t="s">
        <v>38</v>
      </c>
      <c r="L76" s="2" t="s">
        <v>38</v>
      </c>
      <c r="M76" s="2" t="s">
        <v>38</v>
      </c>
      <c r="N76" s="2" t="s">
        <v>38</v>
      </c>
      <c r="O76" s="2" t="s">
        <v>38</v>
      </c>
      <c r="P76" s="2" t="s">
        <v>38</v>
      </c>
      <c r="Q76" s="2" t="s">
        <v>38</v>
      </c>
      <c r="R76" s="2" t="s">
        <v>38</v>
      </c>
      <c r="S76" s="2" t="s">
        <v>38</v>
      </c>
      <c r="T76" s="2" t="s">
        <v>38</v>
      </c>
      <c r="U76" s="2" t="s">
        <v>38</v>
      </c>
      <c r="V76" s="2" t="s">
        <v>38</v>
      </c>
      <c r="W76" s="2" t="s">
        <v>38</v>
      </c>
      <c r="X76" s="2" t="s">
        <v>38</v>
      </c>
      <c r="Y76" s="2" t="s">
        <v>38</v>
      </c>
      <c r="Z76" s="2" t="s">
        <v>38</v>
      </c>
      <c r="AA76" s="2" t="s">
        <v>38</v>
      </c>
      <c r="AB76" s="2" t="s">
        <v>38</v>
      </c>
      <c r="AC76" s="2" t="s">
        <v>38</v>
      </c>
      <c r="AD76" s="2" t="s">
        <v>38</v>
      </c>
      <c r="AE76" s="2" t="s">
        <v>40</v>
      </c>
    </row>
    <row r="77" spans="1:31" ht="409.5">
      <c r="A77" s="2">
        <v>2769861</v>
      </c>
      <c r="B77" s="2">
        <f>HYPERLINK("https://platform.v2.vetology.net/cases/2769861/screening-report/1?type=pdf&amp;v=v6&amp;scorecard=1&amp;secret_key=BX%25IJ%24%2F65ieZ%29f6", 2769861)</f>
        <v>2769861</v>
      </c>
      <c r="C77" s="2">
        <f>HYPERLINK("https://platform.v2.vetology.net/report/v/final/"&amp;2769861, 2769861)</f>
        <v>2769861</v>
      </c>
      <c r="D77" s="2" t="s">
        <v>319</v>
      </c>
      <c r="E77" s="2" t="s">
        <v>320</v>
      </c>
      <c r="F77" s="2" t="s">
        <v>321</v>
      </c>
      <c r="G77" s="2" t="s">
        <v>53</v>
      </c>
      <c r="H77" s="2" t="s">
        <v>322</v>
      </c>
      <c r="I77" s="2" t="s">
        <v>36</v>
      </c>
      <c r="J77" s="2" t="s">
        <v>37</v>
      </c>
      <c r="K77" s="2" t="s">
        <v>38</v>
      </c>
      <c r="L77" s="2" t="s">
        <v>38</v>
      </c>
      <c r="M77" s="2" t="s">
        <v>38</v>
      </c>
      <c r="N77" s="2" t="s">
        <v>39</v>
      </c>
      <c r="O77" s="2" t="s">
        <v>38</v>
      </c>
      <c r="P77" s="2" t="s">
        <v>39</v>
      </c>
      <c r="Q77" s="2" t="s">
        <v>39</v>
      </c>
      <c r="R77" s="2" t="s">
        <v>38</v>
      </c>
      <c r="S77" s="2" t="s">
        <v>38</v>
      </c>
      <c r="T77" s="2" t="s">
        <v>39</v>
      </c>
      <c r="U77" s="2" t="s">
        <v>38</v>
      </c>
      <c r="V77" s="2" t="s">
        <v>38</v>
      </c>
      <c r="W77" s="2" t="s">
        <v>38</v>
      </c>
      <c r="X77" s="2" t="s">
        <v>39</v>
      </c>
      <c r="Y77" s="2" t="s">
        <v>38</v>
      </c>
      <c r="Z77" s="2" t="s">
        <v>38</v>
      </c>
      <c r="AA77" s="2" t="s">
        <v>39</v>
      </c>
      <c r="AB77" s="2" t="s">
        <v>39</v>
      </c>
      <c r="AC77" s="2" t="s">
        <v>38</v>
      </c>
      <c r="AD77" s="2" t="s">
        <v>39</v>
      </c>
      <c r="AE77" s="2" t="s">
        <v>40</v>
      </c>
    </row>
    <row r="78" spans="1:31" ht="409.5">
      <c r="A78" s="2">
        <v>2769845</v>
      </c>
      <c r="B78" s="2">
        <f>HYPERLINK("https://platform.v2.vetology.net/cases/2769845/screening-report/1?type=pdf&amp;v=v6&amp;scorecard=1&amp;secret_key=BX%25IJ%24%2F65ieZ%29f6", 2769845)</f>
        <v>2769845</v>
      </c>
      <c r="C78" s="2">
        <f>HYPERLINK("https://platform.v2.vetology.net/report/v/final/"&amp;2769845, 2769845)</f>
        <v>2769845</v>
      </c>
      <c r="D78" s="2" t="s">
        <v>323</v>
      </c>
      <c r="E78" s="2" t="s">
        <v>324</v>
      </c>
      <c r="F78" s="2" t="s">
        <v>325</v>
      </c>
      <c r="G78" s="2" t="s">
        <v>53</v>
      </c>
      <c r="H78" s="2" t="s">
        <v>326</v>
      </c>
      <c r="I78" s="2" t="s">
        <v>73</v>
      </c>
      <c r="J78" s="2" t="s">
        <v>74</v>
      </c>
      <c r="K78" s="2" t="s">
        <v>38</v>
      </c>
      <c r="L78" s="2" t="s">
        <v>38</v>
      </c>
      <c r="M78" s="2" t="s">
        <v>38</v>
      </c>
      <c r="N78" s="2" t="s">
        <v>38</v>
      </c>
      <c r="O78" s="2" t="s">
        <v>38</v>
      </c>
      <c r="P78" s="2" t="s">
        <v>38</v>
      </c>
      <c r="Q78" s="2" t="s">
        <v>38</v>
      </c>
      <c r="R78" s="2" t="s">
        <v>38</v>
      </c>
      <c r="S78" s="2" t="s">
        <v>38</v>
      </c>
      <c r="T78" s="2" t="s">
        <v>38</v>
      </c>
      <c r="U78" s="2" t="s">
        <v>38</v>
      </c>
      <c r="V78" s="2" t="s">
        <v>38</v>
      </c>
      <c r="W78" s="2" t="s">
        <v>38</v>
      </c>
      <c r="X78" s="2" t="s">
        <v>38</v>
      </c>
      <c r="Y78" s="2" t="s">
        <v>39</v>
      </c>
      <c r="Z78" s="2" t="s">
        <v>38</v>
      </c>
      <c r="AA78" s="2" t="s">
        <v>38</v>
      </c>
      <c r="AB78" s="2" t="s">
        <v>38</v>
      </c>
      <c r="AC78" s="2" t="s">
        <v>38</v>
      </c>
      <c r="AD78" s="2" t="s">
        <v>38</v>
      </c>
      <c r="AE78" s="2" t="s">
        <v>39</v>
      </c>
    </row>
    <row r="79" spans="1:31" ht="409.5">
      <c r="A79" s="2">
        <v>2769782</v>
      </c>
      <c r="B79" s="2">
        <f>HYPERLINK("https://platform.v2.vetology.net/cases/2769782/screening-report/1?type=pdf&amp;v=v6&amp;scorecard=1&amp;secret_key=BX%25IJ%24%2F65ieZ%29f6", 2769782)</f>
        <v>2769782</v>
      </c>
      <c r="C79" s="2">
        <f>HYPERLINK("https://platform.v2.vetology.net/report/v/final/"&amp;2769782, 2769782)</f>
        <v>2769782</v>
      </c>
      <c r="D79" s="2" t="s">
        <v>327</v>
      </c>
      <c r="E79" s="2" t="s">
        <v>328</v>
      </c>
      <c r="F79" s="2" t="s">
        <v>329</v>
      </c>
      <c r="G79" s="2" t="s">
        <v>170</v>
      </c>
      <c r="H79" s="2" t="s">
        <v>62</v>
      </c>
      <c r="I79" s="2" t="s">
        <v>46</v>
      </c>
      <c r="J79" s="2"/>
      <c r="K79" s="2" t="s">
        <v>39</v>
      </c>
      <c r="L79" s="2" t="s">
        <v>39</v>
      </c>
      <c r="M79" s="2" t="s">
        <v>39</v>
      </c>
      <c r="N79" s="2" t="s">
        <v>39</v>
      </c>
      <c r="O79" s="2" t="s">
        <v>39</v>
      </c>
      <c r="P79" s="2" t="s">
        <v>39</v>
      </c>
      <c r="Q79" s="2" t="s">
        <v>39</v>
      </c>
      <c r="R79" s="2" t="s">
        <v>38</v>
      </c>
      <c r="S79" s="2" t="s">
        <v>38</v>
      </c>
      <c r="T79" s="2" t="s">
        <v>39</v>
      </c>
      <c r="U79" s="2" t="s">
        <v>39</v>
      </c>
      <c r="V79" s="2" t="s">
        <v>39</v>
      </c>
      <c r="W79" s="2" t="s">
        <v>39</v>
      </c>
      <c r="X79" s="2" t="s">
        <v>39</v>
      </c>
      <c r="Y79" s="2" t="s">
        <v>39</v>
      </c>
      <c r="Z79" s="2" t="s">
        <v>39</v>
      </c>
      <c r="AA79" s="2" t="s">
        <v>39</v>
      </c>
      <c r="AB79" s="2" t="s">
        <v>39</v>
      </c>
      <c r="AC79" s="2" t="s">
        <v>38</v>
      </c>
      <c r="AD79" s="2" t="s">
        <v>38</v>
      </c>
      <c r="AE79" s="2" t="s">
        <v>39</v>
      </c>
    </row>
    <row r="80" spans="1:31" ht="409.5">
      <c r="A80" s="2">
        <v>2769768</v>
      </c>
      <c r="B80" s="2">
        <f>HYPERLINK("https://platform.v2.vetology.net/cases/2769768/screening-report/1?type=pdf&amp;v=v6&amp;scorecard=1&amp;secret_key=BX%25IJ%24%2F65ieZ%29f6", 2769768)</f>
        <v>2769768</v>
      </c>
      <c r="C80" s="2">
        <f>HYPERLINK("https://platform.v2.vetology.net/report/v/final/"&amp;2769768, 2769768)</f>
        <v>2769768</v>
      </c>
      <c r="D80" s="2" t="s">
        <v>330</v>
      </c>
      <c r="E80" s="2" t="s">
        <v>331</v>
      </c>
      <c r="F80" s="2" t="s">
        <v>332</v>
      </c>
      <c r="G80" s="2" t="s">
        <v>100</v>
      </c>
      <c r="H80" s="2" t="s">
        <v>333</v>
      </c>
      <c r="I80" s="2" t="s">
        <v>257</v>
      </c>
      <c r="J80" s="2" t="s">
        <v>74</v>
      </c>
      <c r="K80" s="2" t="s">
        <v>38</v>
      </c>
      <c r="L80" s="2" t="s">
        <v>38</v>
      </c>
      <c r="M80" s="2" t="s">
        <v>38</v>
      </c>
      <c r="N80" s="2" t="s">
        <v>38</v>
      </c>
      <c r="O80" s="2" t="s">
        <v>38</v>
      </c>
      <c r="P80" s="2" t="s">
        <v>38</v>
      </c>
      <c r="Q80" s="2" t="s">
        <v>38</v>
      </c>
      <c r="R80" s="2" t="s">
        <v>38</v>
      </c>
      <c r="S80" s="2" t="s">
        <v>38</v>
      </c>
      <c r="T80" s="2" t="s">
        <v>39</v>
      </c>
      <c r="U80" s="2" t="s">
        <v>38</v>
      </c>
      <c r="V80" s="2" t="s">
        <v>38</v>
      </c>
      <c r="W80" s="2" t="s">
        <v>38</v>
      </c>
      <c r="X80" s="2" t="s">
        <v>38</v>
      </c>
      <c r="Y80" s="2" t="s">
        <v>38</v>
      </c>
      <c r="Z80" s="2" t="s">
        <v>38</v>
      </c>
      <c r="AA80" s="2" t="s">
        <v>38</v>
      </c>
      <c r="AB80" s="2" t="s">
        <v>38</v>
      </c>
      <c r="AC80" s="2" t="s">
        <v>38</v>
      </c>
      <c r="AD80" s="2" t="s">
        <v>38</v>
      </c>
      <c r="AE80" s="2" t="s">
        <v>40</v>
      </c>
    </row>
    <row r="81" spans="1:31" ht="409.5">
      <c r="A81" s="2">
        <v>2769751</v>
      </c>
      <c r="B81" s="2">
        <f>HYPERLINK("https://platform.v2.vetology.net/cases/2769751/screening-report/1?type=pdf&amp;v=v6&amp;scorecard=1&amp;secret_key=BX%25IJ%24%2F65ieZ%29f6", 2769751)</f>
        <v>2769751</v>
      </c>
      <c r="C81" s="2">
        <f>HYPERLINK("https://platform.v2.vetology.net/report/v/final/"&amp;2769751, 2769751)</f>
        <v>2769751</v>
      </c>
      <c r="D81" s="2" t="s">
        <v>334</v>
      </c>
      <c r="E81" s="2" t="s">
        <v>335</v>
      </c>
      <c r="F81" s="2" t="s">
        <v>336</v>
      </c>
      <c r="G81" s="2" t="s">
        <v>170</v>
      </c>
      <c r="H81" s="2" t="s">
        <v>337</v>
      </c>
      <c r="I81" s="2" t="s">
        <v>129</v>
      </c>
      <c r="J81" s="2" t="s">
        <v>74</v>
      </c>
      <c r="K81" s="2" t="s">
        <v>38</v>
      </c>
      <c r="L81" s="2" t="s">
        <v>39</v>
      </c>
      <c r="M81" s="2" t="s">
        <v>38</v>
      </c>
      <c r="N81" s="2" t="s">
        <v>38</v>
      </c>
      <c r="O81" s="2" t="s">
        <v>39</v>
      </c>
      <c r="P81" s="2" t="s">
        <v>39</v>
      </c>
      <c r="Q81" s="2" t="s">
        <v>38</v>
      </c>
      <c r="R81" s="2" t="s">
        <v>39</v>
      </c>
      <c r="S81" s="2" t="s">
        <v>39</v>
      </c>
      <c r="T81" s="2" t="s">
        <v>38</v>
      </c>
      <c r="U81" s="2" t="s">
        <v>38</v>
      </c>
      <c r="V81" s="2" t="s">
        <v>38</v>
      </c>
      <c r="W81" s="2" t="s">
        <v>38</v>
      </c>
      <c r="X81" s="2" t="s">
        <v>38</v>
      </c>
      <c r="Y81" s="2" t="s">
        <v>39</v>
      </c>
      <c r="Z81" s="2" t="s">
        <v>38</v>
      </c>
      <c r="AA81" s="2" t="s">
        <v>38</v>
      </c>
      <c r="AB81" s="2" t="s">
        <v>39</v>
      </c>
      <c r="AC81" s="2" t="s">
        <v>38</v>
      </c>
      <c r="AD81" s="2" t="s">
        <v>39</v>
      </c>
      <c r="AE81" s="2" t="s">
        <v>39</v>
      </c>
    </row>
    <row r="82" spans="1:31" ht="409.5">
      <c r="A82" s="2">
        <v>2769750</v>
      </c>
      <c r="B82" s="2">
        <f>HYPERLINK("https://platform.v2.vetology.net/cases/2769750/screening-report/1?type=pdf&amp;v=v6&amp;scorecard=1&amp;secret_key=BX%25IJ%24%2F65ieZ%29f6", 2769750)</f>
        <v>2769750</v>
      </c>
      <c r="C82" s="2">
        <f>HYPERLINK("https://platform.v2.vetology.net/report/v/final/"&amp;2769750, 2769750)</f>
        <v>2769750</v>
      </c>
      <c r="D82" s="2" t="s">
        <v>338</v>
      </c>
      <c r="E82" s="2" t="s">
        <v>339</v>
      </c>
      <c r="F82" s="2" t="s">
        <v>340</v>
      </c>
      <c r="G82" s="2" t="s">
        <v>170</v>
      </c>
      <c r="H82" s="2" t="s">
        <v>341</v>
      </c>
      <c r="I82" s="2" t="s">
        <v>129</v>
      </c>
      <c r="J82" s="2" t="s">
        <v>74</v>
      </c>
      <c r="K82" s="2" t="s">
        <v>39</v>
      </c>
      <c r="L82" s="2" t="s">
        <v>39</v>
      </c>
      <c r="M82" s="2" t="s">
        <v>38</v>
      </c>
      <c r="N82" s="2" t="s">
        <v>38</v>
      </c>
      <c r="O82" s="2" t="s">
        <v>38</v>
      </c>
      <c r="P82" s="2" t="s">
        <v>38</v>
      </c>
      <c r="Q82" s="2" t="s">
        <v>38</v>
      </c>
      <c r="R82" s="2" t="s">
        <v>39</v>
      </c>
      <c r="S82" s="2" t="s">
        <v>38</v>
      </c>
      <c r="T82" s="2" t="s">
        <v>38</v>
      </c>
      <c r="U82" s="2" t="s">
        <v>39</v>
      </c>
      <c r="V82" s="2" t="s">
        <v>39</v>
      </c>
      <c r="W82" s="2" t="s">
        <v>38</v>
      </c>
      <c r="X82" s="2" t="s">
        <v>38</v>
      </c>
      <c r="Y82" s="2" t="s">
        <v>39</v>
      </c>
      <c r="Z82" s="2" t="s">
        <v>38</v>
      </c>
      <c r="AA82" s="2" t="s">
        <v>38</v>
      </c>
      <c r="AB82" s="2" t="s">
        <v>38</v>
      </c>
      <c r="AC82" s="2" t="s">
        <v>38</v>
      </c>
      <c r="AD82" s="2" t="s">
        <v>38</v>
      </c>
      <c r="AE82" s="2" t="s">
        <v>39</v>
      </c>
    </row>
    <row r="83" spans="1:31" ht="409.5">
      <c r="A83" s="2">
        <v>2769749</v>
      </c>
      <c r="B83" s="2">
        <f>HYPERLINK("https://platform.v2.vetology.net/cases/2769749/screening-report/1?type=pdf&amp;v=v6&amp;scorecard=1&amp;secret_key=BX%25IJ%24%2F65ieZ%29f6", 2769749)</f>
        <v>2769749</v>
      </c>
      <c r="C83" s="2">
        <f>HYPERLINK("https://platform.v2.vetology.net/report/v/final/"&amp;2769749, 2769749)</f>
        <v>2769749</v>
      </c>
      <c r="D83" s="2" t="s">
        <v>302</v>
      </c>
      <c r="E83" s="2" t="s">
        <v>99</v>
      </c>
      <c r="F83" s="2"/>
      <c r="G83" s="2" t="s">
        <v>100</v>
      </c>
      <c r="H83" s="2" t="s">
        <v>69</v>
      </c>
      <c r="I83" s="2" t="s">
        <v>46</v>
      </c>
      <c r="J83" s="2"/>
      <c r="K83" s="2" t="s">
        <v>39</v>
      </c>
      <c r="L83" s="2" t="s">
        <v>39</v>
      </c>
      <c r="M83" s="2" t="s">
        <v>39</v>
      </c>
      <c r="N83" s="2" t="s">
        <v>39</v>
      </c>
      <c r="O83" s="2" t="s">
        <v>39</v>
      </c>
      <c r="P83" s="2" t="s">
        <v>39</v>
      </c>
      <c r="Q83" s="2" t="s">
        <v>39</v>
      </c>
      <c r="R83" s="2" t="s">
        <v>39</v>
      </c>
      <c r="S83" s="2" t="s">
        <v>39</v>
      </c>
      <c r="T83" s="2" t="s">
        <v>39</v>
      </c>
      <c r="U83" s="2" t="s">
        <v>39</v>
      </c>
      <c r="V83" s="2" t="s">
        <v>39</v>
      </c>
      <c r="W83" s="2" t="s">
        <v>38</v>
      </c>
      <c r="X83" s="2" t="s">
        <v>39</v>
      </c>
      <c r="Y83" s="2" t="s">
        <v>39</v>
      </c>
      <c r="Z83" s="2" t="s">
        <v>39</v>
      </c>
      <c r="AA83" s="2" t="s">
        <v>39</v>
      </c>
      <c r="AB83" s="2" t="s">
        <v>39</v>
      </c>
      <c r="AC83" s="2" t="s">
        <v>38</v>
      </c>
      <c r="AD83" s="2" t="s">
        <v>39</v>
      </c>
      <c r="AE83" s="2" t="s">
        <v>39</v>
      </c>
    </row>
    <row r="84" spans="1:31" ht="409.5">
      <c r="A84" s="2">
        <v>2769714</v>
      </c>
      <c r="B84" s="2">
        <f>HYPERLINK("https://platform.v2.vetology.net/cases/2769714/screening-report/1?type=pdf&amp;v=v6&amp;scorecard=1&amp;secret_key=BX%25IJ%24%2F65ieZ%29f6", 2769714)</f>
        <v>2769714</v>
      </c>
      <c r="C84" s="2">
        <f>HYPERLINK("https://platform.v2.vetology.net/report/v/final/"&amp;2769714, 2769714)</f>
        <v>2769714</v>
      </c>
      <c r="D84" s="2" t="s">
        <v>342</v>
      </c>
      <c r="E84" s="2" t="s">
        <v>343</v>
      </c>
      <c r="F84" s="2" t="s">
        <v>344</v>
      </c>
      <c r="G84" s="2" t="s">
        <v>170</v>
      </c>
      <c r="H84" s="2" t="s">
        <v>345</v>
      </c>
      <c r="I84" s="2" t="s">
        <v>36</v>
      </c>
      <c r="J84" s="2" t="s">
        <v>37</v>
      </c>
      <c r="K84" s="2" t="s">
        <v>39</v>
      </c>
      <c r="L84" s="2" t="s">
        <v>38</v>
      </c>
      <c r="M84" s="2" t="s">
        <v>38</v>
      </c>
      <c r="N84" s="2" t="s">
        <v>38</v>
      </c>
      <c r="O84" s="2" t="s">
        <v>38</v>
      </c>
      <c r="P84" s="2" t="s">
        <v>38</v>
      </c>
      <c r="Q84" s="2" t="s">
        <v>39</v>
      </c>
      <c r="R84" s="2" t="s">
        <v>38</v>
      </c>
      <c r="S84" s="2" t="s">
        <v>38</v>
      </c>
      <c r="T84" s="2" t="s">
        <v>38</v>
      </c>
      <c r="U84" s="2" t="s">
        <v>38</v>
      </c>
      <c r="V84" s="2" t="s">
        <v>39</v>
      </c>
      <c r="W84" s="2" t="s">
        <v>38</v>
      </c>
      <c r="X84" s="2" t="s">
        <v>39</v>
      </c>
      <c r="Y84" s="2" t="s">
        <v>38</v>
      </c>
      <c r="Z84" s="2" t="s">
        <v>38</v>
      </c>
      <c r="AA84" s="2" t="s">
        <v>38</v>
      </c>
      <c r="AB84" s="2" t="s">
        <v>39</v>
      </c>
      <c r="AC84" s="2" t="s">
        <v>38</v>
      </c>
      <c r="AD84" s="2" t="s">
        <v>38</v>
      </c>
      <c r="AE84" s="2"/>
    </row>
    <row r="85" spans="1:31" ht="409.5">
      <c r="A85" s="2">
        <v>2769700</v>
      </c>
      <c r="B85" s="2">
        <f>HYPERLINK("https://platform.v2.vetology.net/cases/2769700/screening-report/1?type=pdf&amp;v=v6&amp;scorecard=1&amp;secret_key=BX%25IJ%24%2F65ieZ%29f6", 2769700)</f>
        <v>2769700</v>
      </c>
      <c r="C85" s="2">
        <f>HYPERLINK("https://platform.v2.vetology.net/report/v/final/"&amp;2769700, 2769700)</f>
        <v>2769700</v>
      </c>
      <c r="D85" s="2" t="s">
        <v>346</v>
      </c>
      <c r="E85" s="2" t="s">
        <v>347</v>
      </c>
      <c r="F85" s="2" t="s">
        <v>348</v>
      </c>
      <c r="G85" s="2" t="s">
        <v>53</v>
      </c>
      <c r="H85" s="2" t="s">
        <v>349</v>
      </c>
      <c r="I85" s="2" t="s">
        <v>36</v>
      </c>
      <c r="J85" s="2" t="s">
        <v>37</v>
      </c>
      <c r="K85" s="2" t="s">
        <v>39</v>
      </c>
      <c r="L85" s="2" t="s">
        <v>38</v>
      </c>
      <c r="M85" s="2" t="s">
        <v>39</v>
      </c>
      <c r="N85" s="2" t="s">
        <v>38</v>
      </c>
      <c r="O85" s="2" t="s">
        <v>38</v>
      </c>
      <c r="P85" s="2" t="s">
        <v>39</v>
      </c>
      <c r="Q85" s="2" t="s">
        <v>39</v>
      </c>
      <c r="R85" s="2" t="s">
        <v>38</v>
      </c>
      <c r="S85" s="2" t="s">
        <v>38</v>
      </c>
      <c r="T85" s="2" t="s">
        <v>39</v>
      </c>
      <c r="U85" s="2" t="s">
        <v>39</v>
      </c>
      <c r="V85" s="2" t="s">
        <v>39</v>
      </c>
      <c r="W85" s="2" t="s">
        <v>38</v>
      </c>
      <c r="X85" s="2" t="s">
        <v>39</v>
      </c>
      <c r="Y85" s="2" t="s">
        <v>39</v>
      </c>
      <c r="Z85" s="2" t="s">
        <v>38</v>
      </c>
      <c r="AA85" s="2" t="s">
        <v>38</v>
      </c>
      <c r="AB85" s="2" t="s">
        <v>39</v>
      </c>
      <c r="AC85" s="2" t="s">
        <v>38</v>
      </c>
      <c r="AD85" s="2" t="s">
        <v>38</v>
      </c>
      <c r="AE85" s="2"/>
    </row>
    <row r="86" spans="1:31" ht="409.5">
      <c r="A86" s="2">
        <v>2769694</v>
      </c>
      <c r="B86" s="2">
        <f>HYPERLINK("https://platform.v2.vetology.net/cases/2769694/screening-report/1?type=pdf&amp;v=v6&amp;scorecard=1&amp;secret_key=BX%25IJ%24%2F65ieZ%29f6", 2769694)</f>
        <v>2769694</v>
      </c>
      <c r="C86" s="2">
        <f>HYPERLINK("https://platform.v2.vetology.net/report/v/final/"&amp;2769694, 2769694)</f>
        <v>2769694</v>
      </c>
      <c r="D86" s="2" t="s">
        <v>350</v>
      </c>
      <c r="E86" s="2" t="s">
        <v>351</v>
      </c>
      <c r="F86" s="2" t="s">
        <v>352</v>
      </c>
      <c r="G86" s="2" t="s">
        <v>170</v>
      </c>
      <c r="H86" s="2" t="s">
        <v>353</v>
      </c>
      <c r="I86" s="2" t="s">
        <v>36</v>
      </c>
      <c r="J86" s="2" t="s">
        <v>37</v>
      </c>
      <c r="K86" s="2" t="s">
        <v>39</v>
      </c>
      <c r="L86" s="2" t="s">
        <v>38</v>
      </c>
      <c r="M86" s="2" t="s">
        <v>38</v>
      </c>
      <c r="N86" s="2" t="s">
        <v>38</v>
      </c>
      <c r="O86" s="2" t="s">
        <v>38</v>
      </c>
      <c r="P86" s="2" t="s">
        <v>39</v>
      </c>
      <c r="Q86" s="2" t="s">
        <v>39</v>
      </c>
      <c r="R86" s="2" t="s">
        <v>39</v>
      </c>
      <c r="S86" s="2" t="s">
        <v>38</v>
      </c>
      <c r="T86" s="2" t="s">
        <v>38</v>
      </c>
      <c r="U86" s="2" t="s">
        <v>39</v>
      </c>
      <c r="V86" s="2" t="s">
        <v>39</v>
      </c>
      <c r="W86" s="2" t="s">
        <v>38</v>
      </c>
      <c r="X86" s="2" t="s">
        <v>39</v>
      </c>
      <c r="Y86" s="2" t="s">
        <v>39</v>
      </c>
      <c r="Z86" s="2" t="s">
        <v>38</v>
      </c>
      <c r="AA86" s="2" t="s">
        <v>38</v>
      </c>
      <c r="AB86" s="2" t="s">
        <v>39</v>
      </c>
      <c r="AC86" s="2" t="s">
        <v>38</v>
      </c>
      <c r="AD86" s="2" t="s">
        <v>38</v>
      </c>
      <c r="AE86" s="2" t="s">
        <v>40</v>
      </c>
    </row>
    <row r="87" spans="1:31" ht="409.5">
      <c r="A87" s="2">
        <v>2769655</v>
      </c>
      <c r="B87" s="2">
        <f>HYPERLINK("https://platform.v2.vetology.net/cases/2769655/screening-report/1?type=pdf&amp;v=v6&amp;scorecard=1&amp;secret_key=BX%25IJ%24%2F65ieZ%29f6", 2769655)</f>
        <v>2769655</v>
      </c>
      <c r="C87" s="2">
        <f>HYPERLINK("https://platform.v2.vetology.net/report/v/final/"&amp;2769655, 2769655)</f>
        <v>2769655</v>
      </c>
      <c r="D87" s="2" t="s">
        <v>354</v>
      </c>
      <c r="E87" s="2" t="s">
        <v>355</v>
      </c>
      <c r="F87" s="2" t="s">
        <v>356</v>
      </c>
      <c r="G87" s="2" t="s">
        <v>100</v>
      </c>
      <c r="H87" s="2" t="s">
        <v>357</v>
      </c>
      <c r="I87" s="2" t="s">
        <v>73</v>
      </c>
      <c r="J87" s="2" t="s">
        <v>74</v>
      </c>
      <c r="K87" s="2" t="s">
        <v>38</v>
      </c>
      <c r="L87" s="2" t="s">
        <v>38</v>
      </c>
      <c r="M87" s="2" t="s">
        <v>38</v>
      </c>
      <c r="N87" s="2" t="s">
        <v>38</v>
      </c>
      <c r="O87" s="2" t="s">
        <v>38</v>
      </c>
      <c r="P87" s="2" t="s">
        <v>38</v>
      </c>
      <c r="Q87" s="2" t="s">
        <v>38</v>
      </c>
      <c r="R87" s="2" t="s">
        <v>38</v>
      </c>
      <c r="S87" s="2" t="s">
        <v>38</v>
      </c>
      <c r="T87" s="2" t="s">
        <v>38</v>
      </c>
      <c r="U87" s="2" t="s">
        <v>38</v>
      </c>
      <c r="V87" s="2" t="s">
        <v>38</v>
      </c>
      <c r="W87" s="2" t="s">
        <v>38</v>
      </c>
      <c r="X87" s="2" t="s">
        <v>38</v>
      </c>
      <c r="Y87" s="2" t="s">
        <v>38</v>
      </c>
      <c r="Z87" s="2" t="s">
        <v>38</v>
      </c>
      <c r="AA87" s="2" t="s">
        <v>38</v>
      </c>
      <c r="AB87" s="2" t="s">
        <v>38</v>
      </c>
      <c r="AC87" s="2" t="s">
        <v>38</v>
      </c>
      <c r="AD87" s="2" t="s">
        <v>38</v>
      </c>
      <c r="AE87" s="2" t="s">
        <v>40</v>
      </c>
    </row>
    <row r="88" spans="1:31" ht="409.5">
      <c r="A88" s="2">
        <v>2769622</v>
      </c>
      <c r="B88" s="2">
        <f>HYPERLINK("https://platform.v2.vetology.net/cases/2769622/screening-report/1?type=pdf&amp;v=v6&amp;scorecard=1&amp;secret_key=BX%25IJ%24%2F65ieZ%29f6", 2769622)</f>
        <v>2769622</v>
      </c>
      <c r="C88" s="2">
        <f>HYPERLINK("https://platform.v2.vetology.net/report/v/final/"&amp;2769622, 2769622)</f>
        <v>2769622</v>
      </c>
      <c r="D88" s="2" t="s">
        <v>358</v>
      </c>
      <c r="E88" s="2" t="s">
        <v>359</v>
      </c>
      <c r="F88" s="2"/>
      <c r="G88" s="2" t="s">
        <v>100</v>
      </c>
      <c r="H88" s="2" t="s">
        <v>360</v>
      </c>
      <c r="I88" s="2" t="s">
        <v>36</v>
      </c>
      <c r="J88" s="2" t="s">
        <v>37</v>
      </c>
      <c r="K88" s="2" t="s">
        <v>38</v>
      </c>
      <c r="L88" s="2" t="s">
        <v>38</v>
      </c>
      <c r="M88" s="2" t="s">
        <v>38</v>
      </c>
      <c r="N88" s="2" t="s">
        <v>38</v>
      </c>
      <c r="O88" s="2" t="s">
        <v>38</v>
      </c>
      <c r="P88" s="2" t="s">
        <v>39</v>
      </c>
      <c r="Q88" s="2" t="s">
        <v>39</v>
      </c>
      <c r="R88" s="2" t="s">
        <v>38</v>
      </c>
      <c r="S88" s="2" t="s">
        <v>39</v>
      </c>
      <c r="T88" s="2" t="s">
        <v>38</v>
      </c>
      <c r="U88" s="2" t="s">
        <v>39</v>
      </c>
      <c r="V88" s="2" t="s">
        <v>38</v>
      </c>
      <c r="W88" s="2" t="s">
        <v>38</v>
      </c>
      <c r="X88" s="2" t="s">
        <v>39</v>
      </c>
      <c r="Y88" s="2" t="s">
        <v>39</v>
      </c>
      <c r="Z88" s="2" t="s">
        <v>38</v>
      </c>
      <c r="AA88" s="2" t="s">
        <v>38</v>
      </c>
      <c r="AB88" s="2" t="s">
        <v>39</v>
      </c>
      <c r="AC88" s="2" t="s">
        <v>38</v>
      </c>
      <c r="AD88" s="2" t="s">
        <v>39</v>
      </c>
      <c r="AE88" s="2" t="s">
        <v>39</v>
      </c>
    </row>
    <row r="89" spans="1:31" ht="409.5">
      <c r="A89" s="2">
        <v>2769500</v>
      </c>
      <c r="B89" s="2">
        <f>HYPERLINK("https://platform.v2.vetology.net/cases/2769500/screening-report/1?type=pdf&amp;v=v6&amp;scorecard=1&amp;secret_key=BX%25IJ%24%2F65ieZ%29f6", 2769500)</f>
        <v>2769500</v>
      </c>
      <c r="C89" s="2">
        <f>HYPERLINK("https://platform.v2.vetology.net/report/v/final/"&amp;2769500, 2769500)</f>
        <v>2769500</v>
      </c>
      <c r="D89" s="2" t="s">
        <v>361</v>
      </c>
      <c r="E89" s="2" t="s">
        <v>362</v>
      </c>
      <c r="F89" s="2" t="s">
        <v>363</v>
      </c>
      <c r="G89" s="2" t="s">
        <v>53</v>
      </c>
      <c r="H89" s="2" t="s">
        <v>364</v>
      </c>
      <c r="I89" s="2" t="s">
        <v>36</v>
      </c>
      <c r="J89" s="2" t="s">
        <v>37</v>
      </c>
      <c r="K89" s="2" t="s">
        <v>38</v>
      </c>
      <c r="L89" s="2" t="s">
        <v>38</v>
      </c>
      <c r="M89" s="2" t="s">
        <v>39</v>
      </c>
      <c r="N89" s="2" t="s">
        <v>38</v>
      </c>
      <c r="O89" s="2" t="s">
        <v>38</v>
      </c>
      <c r="P89" s="2" t="s">
        <v>39</v>
      </c>
      <c r="Q89" s="2" t="s">
        <v>39</v>
      </c>
      <c r="R89" s="2" t="s">
        <v>38</v>
      </c>
      <c r="S89" s="2" t="s">
        <v>38</v>
      </c>
      <c r="T89" s="2" t="s">
        <v>38</v>
      </c>
      <c r="U89" s="2" t="s">
        <v>39</v>
      </c>
      <c r="V89" s="2" t="s">
        <v>39</v>
      </c>
      <c r="W89" s="2" t="s">
        <v>39</v>
      </c>
      <c r="X89" s="2" t="s">
        <v>39</v>
      </c>
      <c r="Y89" s="2" t="s">
        <v>38</v>
      </c>
      <c r="Z89" s="2" t="s">
        <v>38</v>
      </c>
      <c r="AA89" s="2" t="s">
        <v>39</v>
      </c>
      <c r="AB89" s="2" t="s">
        <v>39</v>
      </c>
      <c r="AC89" s="2" t="s">
        <v>38</v>
      </c>
      <c r="AD89" s="2" t="s">
        <v>38</v>
      </c>
      <c r="AE89" s="2" t="s">
        <v>39</v>
      </c>
    </row>
    <row r="90" spans="1:31" ht="409.5">
      <c r="A90" s="2">
        <v>2769428</v>
      </c>
      <c r="B90" s="2">
        <f>HYPERLINK("https://platform.v2.vetology.net/cases/2769428/screening-report/1?type=pdf&amp;v=v6&amp;scorecard=1&amp;secret_key=BX%25IJ%24%2F65ieZ%29f6", 2769428)</f>
        <v>2769428</v>
      </c>
      <c r="C90" s="2">
        <f>HYPERLINK("https://platform.v2.vetology.net/report/v/final/"&amp;2769428, 2769428)</f>
        <v>2769428</v>
      </c>
      <c r="D90" s="2" t="s">
        <v>365</v>
      </c>
      <c r="E90" s="2" t="s">
        <v>366</v>
      </c>
      <c r="F90" s="2" t="s">
        <v>43</v>
      </c>
      <c r="G90" s="2" t="s">
        <v>44</v>
      </c>
      <c r="H90" s="2" t="s">
        <v>367</v>
      </c>
      <c r="I90" s="2" t="s">
        <v>36</v>
      </c>
      <c r="J90" s="2" t="s">
        <v>37</v>
      </c>
      <c r="K90" s="2" t="s">
        <v>39</v>
      </c>
      <c r="L90" s="2" t="s">
        <v>39</v>
      </c>
      <c r="M90" s="2" t="s">
        <v>38</v>
      </c>
      <c r="N90" s="2" t="s">
        <v>39</v>
      </c>
      <c r="O90" s="2" t="s">
        <v>39</v>
      </c>
      <c r="P90" s="2" t="s">
        <v>38</v>
      </c>
      <c r="Q90" s="2" t="s">
        <v>39</v>
      </c>
      <c r="R90" s="2" t="s">
        <v>38</v>
      </c>
      <c r="S90" s="2" t="s">
        <v>39</v>
      </c>
      <c r="T90" s="2" t="s">
        <v>39</v>
      </c>
      <c r="U90" s="2" t="s">
        <v>39</v>
      </c>
      <c r="V90" s="2" t="s">
        <v>39</v>
      </c>
      <c r="W90" s="2" t="s">
        <v>38</v>
      </c>
      <c r="X90" s="2" t="s">
        <v>39</v>
      </c>
      <c r="Y90" s="2" t="s">
        <v>39</v>
      </c>
      <c r="Z90" s="2" t="s">
        <v>38</v>
      </c>
      <c r="AA90" s="2" t="s">
        <v>39</v>
      </c>
      <c r="AB90" s="2" t="s">
        <v>39</v>
      </c>
      <c r="AC90" s="2" t="s">
        <v>38</v>
      </c>
      <c r="AD90" s="2" t="s">
        <v>38</v>
      </c>
      <c r="AE90" s="2" t="s">
        <v>39</v>
      </c>
    </row>
    <row r="91" spans="1:31" ht="409.5">
      <c r="A91" s="2">
        <v>2769426</v>
      </c>
      <c r="B91" s="2">
        <f>HYPERLINK("https://platform.v2.vetology.net/cases/2769426/screening-report/1?type=pdf&amp;v=v6&amp;scorecard=1&amp;secret_key=BX%25IJ%24%2F65ieZ%29f6", 2769426)</f>
        <v>2769426</v>
      </c>
      <c r="C91" s="2">
        <f>HYPERLINK("https://platform.v2.vetology.net/report/v/final/"&amp;2769426, 2769426)</f>
        <v>2769426</v>
      </c>
      <c r="D91" s="2" t="s">
        <v>368</v>
      </c>
      <c r="E91" s="2" t="s">
        <v>369</v>
      </c>
      <c r="F91" s="2"/>
      <c r="G91" s="2" t="s">
        <v>81</v>
      </c>
      <c r="H91" s="2" t="s">
        <v>370</v>
      </c>
      <c r="I91" s="2" t="s">
        <v>36</v>
      </c>
      <c r="J91" s="2" t="s">
        <v>37</v>
      </c>
      <c r="K91" s="2" t="s">
        <v>38</v>
      </c>
      <c r="L91" s="2" t="s">
        <v>39</v>
      </c>
      <c r="M91" s="2" t="s">
        <v>38</v>
      </c>
      <c r="N91" s="2" t="s">
        <v>38</v>
      </c>
      <c r="O91" s="2" t="s">
        <v>38</v>
      </c>
      <c r="P91" s="2" t="s">
        <v>39</v>
      </c>
      <c r="Q91" s="2" t="s">
        <v>39</v>
      </c>
      <c r="R91" s="2" t="s">
        <v>38</v>
      </c>
      <c r="S91" s="2" t="s">
        <v>39</v>
      </c>
      <c r="T91" s="2" t="s">
        <v>39</v>
      </c>
      <c r="U91" s="2" t="s">
        <v>38</v>
      </c>
      <c r="V91" s="2" t="s">
        <v>38</v>
      </c>
      <c r="W91" s="2" t="s">
        <v>38</v>
      </c>
      <c r="X91" s="2" t="s">
        <v>39</v>
      </c>
      <c r="Y91" s="2" t="s">
        <v>39</v>
      </c>
      <c r="Z91" s="2" t="s">
        <v>38</v>
      </c>
      <c r="AA91" s="2" t="s">
        <v>38</v>
      </c>
      <c r="AB91" s="2" t="s">
        <v>39</v>
      </c>
      <c r="AC91" s="2" t="s">
        <v>38</v>
      </c>
      <c r="AD91" s="2" t="s">
        <v>39</v>
      </c>
      <c r="AE91" s="2" t="s">
        <v>40</v>
      </c>
    </row>
    <row r="92" spans="1:31" ht="409.5">
      <c r="A92" s="2">
        <v>2769421</v>
      </c>
      <c r="B92" s="2">
        <f>HYPERLINK("https://platform.v2.vetology.net/cases/2769421/screening-report/1?type=pdf&amp;v=v6&amp;scorecard=1&amp;secret_key=BX%25IJ%24%2F65ieZ%29f6", 2769421)</f>
        <v>2769421</v>
      </c>
      <c r="C92" s="2">
        <f>HYPERLINK("https://platform.v2.vetology.net/report/v/final/"&amp;2769421, 2769421)</f>
        <v>2769421</v>
      </c>
      <c r="D92" s="2" t="s">
        <v>371</v>
      </c>
      <c r="E92" s="2" t="s">
        <v>372</v>
      </c>
      <c r="F92" s="2" t="s">
        <v>373</v>
      </c>
      <c r="G92" s="2" t="s">
        <v>53</v>
      </c>
      <c r="H92" s="2" t="s">
        <v>374</v>
      </c>
      <c r="I92" s="2" t="s">
        <v>73</v>
      </c>
      <c r="J92" s="2" t="s">
        <v>74</v>
      </c>
      <c r="K92" s="2" t="s">
        <v>38</v>
      </c>
      <c r="L92" s="2" t="s">
        <v>38</v>
      </c>
      <c r="M92" s="2" t="s">
        <v>38</v>
      </c>
      <c r="N92" s="2" t="s">
        <v>38</v>
      </c>
      <c r="O92" s="2" t="s">
        <v>38</v>
      </c>
      <c r="P92" s="2" t="s">
        <v>38</v>
      </c>
      <c r="Q92" s="2" t="s">
        <v>38</v>
      </c>
      <c r="R92" s="2" t="s">
        <v>39</v>
      </c>
      <c r="S92" s="2" t="s">
        <v>38</v>
      </c>
      <c r="T92" s="2" t="s">
        <v>38</v>
      </c>
      <c r="U92" s="2" t="s">
        <v>38</v>
      </c>
      <c r="V92" s="2" t="s">
        <v>38</v>
      </c>
      <c r="W92" s="2" t="s">
        <v>38</v>
      </c>
      <c r="X92" s="2" t="s">
        <v>38</v>
      </c>
      <c r="Y92" s="2" t="s">
        <v>38</v>
      </c>
      <c r="Z92" s="2" t="s">
        <v>38</v>
      </c>
      <c r="AA92" s="2" t="s">
        <v>38</v>
      </c>
      <c r="AB92" s="2" t="s">
        <v>38</v>
      </c>
      <c r="AC92" s="2" t="s">
        <v>38</v>
      </c>
      <c r="AD92" s="2" t="s">
        <v>38</v>
      </c>
      <c r="AE92" s="2" t="s">
        <v>40</v>
      </c>
    </row>
    <row r="93" spans="1:31" ht="409.5">
      <c r="A93" s="2">
        <v>2769417</v>
      </c>
      <c r="B93" s="2">
        <f>HYPERLINK("https://platform.v2.vetology.net/cases/2769417/screening-report/1?type=pdf&amp;v=v6&amp;scorecard=1&amp;secret_key=BX%25IJ%24%2F65ieZ%29f6", 2769417)</f>
        <v>2769417</v>
      </c>
      <c r="C93" s="2">
        <f>HYPERLINK("https://platform.v2.vetology.net/report/v/final/"&amp;2769417, 2769417)</f>
        <v>2769417</v>
      </c>
      <c r="D93" s="2" t="s">
        <v>375</v>
      </c>
      <c r="E93" s="2" t="s">
        <v>376</v>
      </c>
      <c r="F93" s="2" t="s">
        <v>377</v>
      </c>
      <c r="G93" s="2" t="s">
        <v>53</v>
      </c>
      <c r="H93" s="2" t="s">
        <v>378</v>
      </c>
      <c r="I93" s="2" t="s">
        <v>36</v>
      </c>
      <c r="J93" s="2" t="s">
        <v>37</v>
      </c>
      <c r="K93" s="2" t="s">
        <v>39</v>
      </c>
      <c r="L93" s="2" t="s">
        <v>39</v>
      </c>
      <c r="M93" s="2" t="s">
        <v>38</v>
      </c>
      <c r="N93" s="2" t="s">
        <v>39</v>
      </c>
      <c r="O93" s="2" t="s">
        <v>38</v>
      </c>
      <c r="P93" s="2" t="s">
        <v>39</v>
      </c>
      <c r="Q93" s="2" t="s">
        <v>39</v>
      </c>
      <c r="R93" s="2" t="s">
        <v>39</v>
      </c>
      <c r="S93" s="2" t="s">
        <v>38</v>
      </c>
      <c r="T93" s="2" t="s">
        <v>39</v>
      </c>
      <c r="U93" s="2" t="s">
        <v>39</v>
      </c>
      <c r="V93" s="2" t="s">
        <v>39</v>
      </c>
      <c r="W93" s="2" t="s">
        <v>38</v>
      </c>
      <c r="X93" s="2" t="s">
        <v>39</v>
      </c>
      <c r="Y93" s="2" t="s">
        <v>39</v>
      </c>
      <c r="Z93" s="2" t="s">
        <v>39</v>
      </c>
      <c r="AA93" s="2" t="s">
        <v>38</v>
      </c>
      <c r="AB93" s="2" t="s">
        <v>39</v>
      </c>
      <c r="AC93" s="2" t="s">
        <v>38</v>
      </c>
      <c r="AD93" s="2" t="s">
        <v>39</v>
      </c>
      <c r="AE93" s="2" t="s">
        <v>39</v>
      </c>
    </row>
    <row r="94" spans="1:31" ht="409.5">
      <c r="A94" s="2">
        <v>2769405</v>
      </c>
      <c r="B94" s="2">
        <f>HYPERLINK("https://platform.v2.vetology.net/cases/2769405/screening-report/1?type=pdf&amp;v=v6&amp;scorecard=1&amp;secret_key=BX%25IJ%24%2F65ieZ%29f6", 2769405)</f>
        <v>2769405</v>
      </c>
      <c r="C94" s="2">
        <f>HYPERLINK("https://platform.v2.vetology.net/report/v/final/"&amp;2769405, 2769405)</f>
        <v>2769405</v>
      </c>
      <c r="D94" s="2" t="s">
        <v>379</v>
      </c>
      <c r="E94" s="2" t="s">
        <v>380</v>
      </c>
      <c r="F94" s="2" t="s">
        <v>381</v>
      </c>
      <c r="G94" s="2" t="s">
        <v>127</v>
      </c>
      <c r="H94" s="2" t="s">
        <v>382</v>
      </c>
      <c r="I94" s="2" t="s">
        <v>73</v>
      </c>
      <c r="J94" s="2" t="s">
        <v>74</v>
      </c>
      <c r="K94" s="2" t="s">
        <v>38</v>
      </c>
      <c r="L94" s="2" t="s">
        <v>39</v>
      </c>
      <c r="M94" s="2" t="s">
        <v>38</v>
      </c>
      <c r="N94" s="2" t="s">
        <v>38</v>
      </c>
      <c r="O94" s="2" t="s">
        <v>38</v>
      </c>
      <c r="P94" s="2" t="s">
        <v>38</v>
      </c>
      <c r="Q94" s="2" t="s">
        <v>38</v>
      </c>
      <c r="R94" s="2" t="s">
        <v>39</v>
      </c>
      <c r="S94" s="2" t="s">
        <v>39</v>
      </c>
      <c r="T94" s="2" t="s">
        <v>38</v>
      </c>
      <c r="U94" s="2" t="s">
        <v>39</v>
      </c>
      <c r="V94" s="2" t="s">
        <v>38</v>
      </c>
      <c r="W94" s="2" t="s">
        <v>38</v>
      </c>
      <c r="X94" s="2" t="s">
        <v>38</v>
      </c>
      <c r="Y94" s="2" t="s">
        <v>38</v>
      </c>
      <c r="Z94" s="2" t="s">
        <v>39</v>
      </c>
      <c r="AA94" s="2" t="s">
        <v>38</v>
      </c>
      <c r="AB94" s="2" t="s">
        <v>38</v>
      </c>
      <c r="AC94" s="2" t="s">
        <v>38</v>
      </c>
      <c r="AD94" s="2" t="s">
        <v>39</v>
      </c>
      <c r="AE94" s="2" t="s">
        <v>39</v>
      </c>
    </row>
    <row r="95" spans="1:31" ht="409.5">
      <c r="A95" s="2">
        <v>2769377</v>
      </c>
      <c r="B95" s="2">
        <f>HYPERLINK("https://platform.v2.vetology.net/cases/2769377/screening-report/1?type=pdf&amp;v=v6&amp;scorecard=1&amp;secret_key=BX%25IJ%24%2F65ieZ%29f6", 2769377)</f>
        <v>2769377</v>
      </c>
      <c r="C95" s="2">
        <f>HYPERLINK("https://platform.v2.vetology.net/report/v/final/"&amp;2769377, 2769377)</f>
        <v>2769377</v>
      </c>
      <c r="D95" s="2" t="s">
        <v>383</v>
      </c>
      <c r="E95" s="2" t="s">
        <v>384</v>
      </c>
      <c r="F95" s="2" t="s">
        <v>385</v>
      </c>
      <c r="G95" s="2" t="s">
        <v>53</v>
      </c>
      <c r="H95" s="2" t="s">
        <v>386</v>
      </c>
      <c r="I95" s="2" t="s">
        <v>36</v>
      </c>
      <c r="J95" s="2" t="s">
        <v>37</v>
      </c>
      <c r="K95" s="2" t="s">
        <v>39</v>
      </c>
      <c r="L95" s="2" t="s">
        <v>39</v>
      </c>
      <c r="M95" s="2" t="s">
        <v>38</v>
      </c>
      <c r="N95" s="2" t="s">
        <v>38</v>
      </c>
      <c r="O95" s="2" t="s">
        <v>38</v>
      </c>
      <c r="P95" s="2" t="s">
        <v>39</v>
      </c>
      <c r="Q95" s="2" t="s">
        <v>39</v>
      </c>
      <c r="R95" s="2" t="s">
        <v>38</v>
      </c>
      <c r="S95" s="2" t="s">
        <v>38</v>
      </c>
      <c r="T95" s="2" t="s">
        <v>38</v>
      </c>
      <c r="U95" s="2" t="s">
        <v>38</v>
      </c>
      <c r="V95" s="2" t="s">
        <v>38</v>
      </c>
      <c r="W95" s="2" t="s">
        <v>38</v>
      </c>
      <c r="X95" s="2" t="s">
        <v>39</v>
      </c>
      <c r="Y95" s="2" t="s">
        <v>39</v>
      </c>
      <c r="Z95" s="2" t="s">
        <v>38</v>
      </c>
      <c r="AA95" s="2" t="s">
        <v>39</v>
      </c>
      <c r="AB95" s="2" t="s">
        <v>39</v>
      </c>
      <c r="AC95" s="2" t="s">
        <v>38</v>
      </c>
      <c r="AD95" s="2" t="s">
        <v>38</v>
      </c>
      <c r="AE95" s="2" t="s">
        <v>39</v>
      </c>
    </row>
    <row r="96" spans="1:31" ht="409.5">
      <c r="A96" s="2">
        <v>2769366</v>
      </c>
      <c r="B96" s="2">
        <f>HYPERLINK("https://platform.v2.vetology.net/cases/2769366/screening-report/1?type=pdf&amp;v=v6&amp;scorecard=1&amp;secret_key=BX%25IJ%24%2F65ieZ%29f6", 2769366)</f>
        <v>2769366</v>
      </c>
      <c r="C96" s="2">
        <f>HYPERLINK("https://platform.v2.vetology.net/report/v/final/"&amp;2769366, 2769366)</f>
        <v>2769366</v>
      </c>
      <c r="D96" s="2" t="s">
        <v>387</v>
      </c>
      <c r="E96" s="2" t="s">
        <v>388</v>
      </c>
      <c r="F96" s="2" t="s">
        <v>389</v>
      </c>
      <c r="G96" s="2" t="s">
        <v>170</v>
      </c>
      <c r="H96" s="2" t="s">
        <v>390</v>
      </c>
      <c r="I96" s="2" t="s">
        <v>36</v>
      </c>
      <c r="J96" s="2" t="s">
        <v>37</v>
      </c>
      <c r="K96" s="2" t="s">
        <v>38</v>
      </c>
      <c r="L96" s="2" t="s">
        <v>39</v>
      </c>
      <c r="M96" s="2" t="s">
        <v>38</v>
      </c>
      <c r="N96" s="2" t="s">
        <v>38</v>
      </c>
      <c r="O96" s="2" t="s">
        <v>39</v>
      </c>
      <c r="P96" s="2" t="s">
        <v>39</v>
      </c>
      <c r="Q96" s="2" t="s">
        <v>39</v>
      </c>
      <c r="R96" s="2" t="s">
        <v>38</v>
      </c>
      <c r="S96" s="2" t="s">
        <v>38</v>
      </c>
      <c r="T96" s="2" t="s">
        <v>38</v>
      </c>
      <c r="U96" s="2" t="s">
        <v>38</v>
      </c>
      <c r="V96" s="2" t="s">
        <v>38</v>
      </c>
      <c r="W96" s="2" t="s">
        <v>38</v>
      </c>
      <c r="X96" s="2" t="s">
        <v>39</v>
      </c>
      <c r="Y96" s="2" t="s">
        <v>39</v>
      </c>
      <c r="Z96" s="2" t="s">
        <v>38</v>
      </c>
      <c r="AA96" s="2" t="s">
        <v>38</v>
      </c>
      <c r="AB96" s="2" t="s">
        <v>39</v>
      </c>
      <c r="AC96" s="2" t="s">
        <v>38</v>
      </c>
      <c r="AD96" s="2" t="s">
        <v>38</v>
      </c>
      <c r="AE96" s="2" t="s">
        <v>39</v>
      </c>
    </row>
    <row r="97" spans="1:31" ht="409.5">
      <c r="A97" s="2">
        <v>2769348</v>
      </c>
      <c r="B97" s="2">
        <f>HYPERLINK("https://platform.v2.vetology.net/cases/2769348/screening-report/1?type=pdf&amp;v=v6&amp;scorecard=1&amp;secret_key=BX%25IJ%24%2F65ieZ%29f6", 2769348)</f>
        <v>2769348</v>
      </c>
      <c r="C97" s="2">
        <f>HYPERLINK("https://platform.v2.vetology.net/report/v/final/"&amp;2769348, 2769348)</f>
        <v>2769348</v>
      </c>
      <c r="D97" s="2" t="s">
        <v>391</v>
      </c>
      <c r="E97" s="2" t="s">
        <v>392</v>
      </c>
      <c r="F97" s="2" t="s">
        <v>393</v>
      </c>
      <c r="G97" s="2" t="s">
        <v>100</v>
      </c>
      <c r="H97" s="2" t="s">
        <v>394</v>
      </c>
      <c r="I97" s="2" t="s">
        <v>59</v>
      </c>
      <c r="J97" s="2" t="s">
        <v>37</v>
      </c>
      <c r="K97" s="2" t="s">
        <v>38</v>
      </c>
      <c r="L97" s="2" t="s">
        <v>39</v>
      </c>
      <c r="M97" s="2" t="s">
        <v>39</v>
      </c>
      <c r="N97" s="2" t="s">
        <v>39</v>
      </c>
      <c r="O97" s="2" t="s">
        <v>38</v>
      </c>
      <c r="P97" s="2" t="s">
        <v>39</v>
      </c>
      <c r="Q97" s="2" t="s">
        <v>39</v>
      </c>
      <c r="R97" s="2" t="s">
        <v>39</v>
      </c>
      <c r="S97" s="2" t="s">
        <v>39</v>
      </c>
      <c r="T97" s="2" t="s">
        <v>38</v>
      </c>
      <c r="U97" s="2" t="s">
        <v>38</v>
      </c>
      <c r="V97" s="2" t="s">
        <v>38</v>
      </c>
      <c r="W97" s="2" t="s">
        <v>38</v>
      </c>
      <c r="X97" s="2" t="s">
        <v>39</v>
      </c>
      <c r="Y97" s="2" t="s">
        <v>39</v>
      </c>
      <c r="Z97" s="2" t="s">
        <v>39</v>
      </c>
      <c r="AA97" s="2" t="s">
        <v>38</v>
      </c>
      <c r="AB97" s="2" t="s">
        <v>39</v>
      </c>
      <c r="AC97" s="2" t="s">
        <v>39</v>
      </c>
      <c r="AD97" s="2" t="s">
        <v>39</v>
      </c>
      <c r="AE97" s="2" t="s">
        <v>39</v>
      </c>
    </row>
    <row r="98" spans="1:31" ht="409.5">
      <c r="A98" s="2">
        <v>2769265</v>
      </c>
      <c r="B98" s="2">
        <f>HYPERLINK("https://platform.v2.vetology.net/cases/2769265/screening-report/1?type=pdf&amp;v=v6&amp;scorecard=1&amp;secret_key=BX%25IJ%24%2F65ieZ%29f6", 2769265)</f>
        <v>2769265</v>
      </c>
      <c r="C98" s="2">
        <f>HYPERLINK("https://platform.v2.vetology.net/report/v/final/"&amp;2769265, 2769265)</f>
        <v>2769265</v>
      </c>
      <c r="D98" s="2" t="s">
        <v>395</v>
      </c>
      <c r="E98" s="2" t="s">
        <v>396</v>
      </c>
      <c r="F98" s="2" t="s">
        <v>397</v>
      </c>
      <c r="G98" s="2" t="s">
        <v>170</v>
      </c>
      <c r="H98" s="2" t="s">
        <v>398</v>
      </c>
      <c r="I98" s="2" t="s">
        <v>46</v>
      </c>
      <c r="J98" s="2"/>
      <c r="K98" s="2" t="s">
        <v>38</v>
      </c>
      <c r="L98" s="2" t="s">
        <v>39</v>
      </c>
      <c r="M98" s="2" t="s">
        <v>39</v>
      </c>
      <c r="N98" s="2" t="s">
        <v>39</v>
      </c>
      <c r="O98" s="2" t="s">
        <v>39</v>
      </c>
      <c r="P98" s="2" t="s">
        <v>39</v>
      </c>
      <c r="Q98" s="2" t="s">
        <v>39</v>
      </c>
      <c r="R98" s="2" t="s">
        <v>39</v>
      </c>
      <c r="S98" s="2" t="s">
        <v>39</v>
      </c>
      <c r="T98" s="2" t="s">
        <v>39</v>
      </c>
      <c r="U98" s="2" t="s">
        <v>39</v>
      </c>
      <c r="V98" s="2" t="s">
        <v>38</v>
      </c>
      <c r="W98" s="2" t="s">
        <v>39</v>
      </c>
      <c r="X98" s="2" t="s">
        <v>39</v>
      </c>
      <c r="Y98" s="2" t="s">
        <v>39</v>
      </c>
      <c r="Z98" s="2" t="s">
        <v>39</v>
      </c>
      <c r="AA98" s="2" t="s">
        <v>39</v>
      </c>
      <c r="AB98" s="2" t="s">
        <v>39</v>
      </c>
      <c r="AC98" s="2" t="s">
        <v>39</v>
      </c>
      <c r="AD98" s="2" t="s">
        <v>39</v>
      </c>
      <c r="AE98" s="2" t="s">
        <v>39</v>
      </c>
    </row>
    <row r="99" spans="1:31" ht="409.5">
      <c r="A99" s="2">
        <v>2769210</v>
      </c>
      <c r="B99" s="2">
        <f>HYPERLINK("https://platform.v2.vetology.net/cases/2769210/screening-report/1?type=pdf&amp;v=v6&amp;scorecard=1&amp;secret_key=BX%25IJ%24%2F65ieZ%29f6", 2769210)</f>
        <v>2769210</v>
      </c>
      <c r="C99" s="2">
        <f>HYPERLINK("https://platform.v2.vetology.net/report/v/final/"&amp;2769210, 2769210)</f>
        <v>2769210</v>
      </c>
      <c r="D99" s="2" t="s">
        <v>399</v>
      </c>
      <c r="E99" s="2" t="s">
        <v>400</v>
      </c>
      <c r="F99" s="2" t="s">
        <v>43</v>
      </c>
      <c r="G99" s="2" t="s">
        <v>44</v>
      </c>
      <c r="H99" s="2" t="s">
        <v>222</v>
      </c>
      <c r="I99" s="2" t="s">
        <v>36</v>
      </c>
      <c r="J99" s="2" t="s">
        <v>37</v>
      </c>
      <c r="K99" s="2" t="s">
        <v>39</v>
      </c>
      <c r="L99" s="2" t="s">
        <v>39</v>
      </c>
      <c r="M99" s="2" t="s">
        <v>38</v>
      </c>
      <c r="N99" s="2" t="s">
        <v>38</v>
      </c>
      <c r="O99" s="2" t="s">
        <v>38</v>
      </c>
      <c r="P99" s="2" t="s">
        <v>39</v>
      </c>
      <c r="Q99" s="2" t="s">
        <v>39</v>
      </c>
      <c r="R99" s="2" t="s">
        <v>38</v>
      </c>
      <c r="S99" s="2" t="s">
        <v>38</v>
      </c>
      <c r="T99" s="2" t="s">
        <v>38</v>
      </c>
      <c r="U99" s="2" t="s">
        <v>39</v>
      </c>
      <c r="V99" s="2" t="s">
        <v>39</v>
      </c>
      <c r="W99" s="2" t="s">
        <v>38</v>
      </c>
      <c r="X99" s="2" t="s">
        <v>39</v>
      </c>
      <c r="Y99" s="2" t="s">
        <v>39</v>
      </c>
      <c r="Z99" s="2" t="s">
        <v>38</v>
      </c>
      <c r="AA99" s="2" t="s">
        <v>38</v>
      </c>
      <c r="AB99" s="2" t="s">
        <v>39</v>
      </c>
      <c r="AC99" s="2" t="s">
        <v>38</v>
      </c>
      <c r="AD99" s="2" t="s">
        <v>38</v>
      </c>
      <c r="AE99" s="2" t="s">
        <v>40</v>
      </c>
    </row>
    <row r="100" spans="1:31" ht="409.5">
      <c r="A100" s="2">
        <v>2769193</v>
      </c>
      <c r="B100" s="2">
        <f>HYPERLINK("https://platform.v2.vetology.net/cases/2769193/screening-report/1?type=pdf&amp;v=v6&amp;scorecard=1&amp;secret_key=BX%25IJ%24%2F65ieZ%29f6", 2769193)</f>
        <v>2769193</v>
      </c>
      <c r="C100" s="2">
        <f>HYPERLINK("https://platform.v2.vetology.net/report/v/final/"&amp;2769193, 2769193)</f>
        <v>2769193</v>
      </c>
      <c r="D100" s="2" t="s">
        <v>401</v>
      </c>
      <c r="E100" s="2" t="s">
        <v>402</v>
      </c>
      <c r="F100" s="2" t="s">
        <v>403</v>
      </c>
      <c r="G100" s="2" t="s">
        <v>127</v>
      </c>
      <c r="H100" s="2" t="s">
        <v>404</v>
      </c>
      <c r="I100" s="2" t="s">
        <v>73</v>
      </c>
      <c r="J100" s="2" t="s">
        <v>74</v>
      </c>
      <c r="K100" s="2" t="s">
        <v>38</v>
      </c>
      <c r="L100" s="2" t="s">
        <v>38</v>
      </c>
      <c r="M100" s="2" t="s">
        <v>38</v>
      </c>
      <c r="N100" s="2" t="s">
        <v>38</v>
      </c>
      <c r="O100" s="2" t="s">
        <v>38</v>
      </c>
      <c r="P100" s="2" t="s">
        <v>38</v>
      </c>
      <c r="Q100" s="2" t="s">
        <v>38</v>
      </c>
      <c r="R100" s="2" t="s">
        <v>38</v>
      </c>
      <c r="S100" s="2" t="s">
        <v>38</v>
      </c>
      <c r="T100" s="2" t="s">
        <v>38</v>
      </c>
      <c r="U100" s="2" t="s">
        <v>38</v>
      </c>
      <c r="V100" s="2" t="s">
        <v>38</v>
      </c>
      <c r="W100" s="2" t="s">
        <v>38</v>
      </c>
      <c r="X100" s="2" t="s">
        <v>38</v>
      </c>
      <c r="Y100" s="2" t="s">
        <v>38</v>
      </c>
      <c r="Z100" s="2" t="s">
        <v>38</v>
      </c>
      <c r="AA100" s="2" t="s">
        <v>39</v>
      </c>
      <c r="AB100" s="2" t="s">
        <v>38</v>
      </c>
      <c r="AC100" s="2" t="s">
        <v>38</v>
      </c>
      <c r="AD100" s="2" t="s">
        <v>38</v>
      </c>
      <c r="AE100" s="2"/>
    </row>
    <row r="101" spans="1:31" ht="409.5">
      <c r="A101" s="2">
        <v>2769185</v>
      </c>
      <c r="B101" s="2">
        <f>HYPERLINK("https://platform.v2.vetology.net/cases/2769185/screening-report/1?type=pdf&amp;v=v6&amp;scorecard=1&amp;secret_key=BX%25IJ%24%2F65ieZ%29f6", 2769185)</f>
        <v>2769185</v>
      </c>
      <c r="C101" s="2">
        <f>HYPERLINK("https://platform.v2.vetology.net/report/v/final/"&amp;2769185, 2769185)</f>
        <v>2769185</v>
      </c>
      <c r="D101" s="2" t="s">
        <v>405</v>
      </c>
      <c r="E101" s="2" t="s">
        <v>406</v>
      </c>
      <c r="F101" s="2" t="s">
        <v>407</v>
      </c>
      <c r="G101" s="2" t="s">
        <v>44</v>
      </c>
      <c r="H101" s="2" t="s">
        <v>408</v>
      </c>
      <c r="I101" s="2" t="s">
        <v>36</v>
      </c>
      <c r="J101" s="2" t="s">
        <v>37</v>
      </c>
      <c r="K101" s="2" t="s">
        <v>38</v>
      </c>
      <c r="L101" s="2" t="s">
        <v>39</v>
      </c>
      <c r="M101" s="2" t="s">
        <v>38</v>
      </c>
      <c r="N101" s="2" t="s">
        <v>38</v>
      </c>
      <c r="O101" s="2" t="s">
        <v>38</v>
      </c>
      <c r="P101" s="2" t="s">
        <v>39</v>
      </c>
      <c r="Q101" s="2" t="s">
        <v>39</v>
      </c>
      <c r="R101" s="2" t="s">
        <v>39</v>
      </c>
      <c r="S101" s="2" t="s">
        <v>39</v>
      </c>
      <c r="T101" s="2" t="s">
        <v>39</v>
      </c>
      <c r="U101" s="2" t="s">
        <v>39</v>
      </c>
      <c r="V101" s="2" t="s">
        <v>38</v>
      </c>
      <c r="W101" s="2" t="s">
        <v>39</v>
      </c>
      <c r="X101" s="2" t="s">
        <v>38</v>
      </c>
      <c r="Y101" s="2" t="s">
        <v>39</v>
      </c>
      <c r="Z101" s="2" t="s">
        <v>39</v>
      </c>
      <c r="AA101" s="2" t="s">
        <v>39</v>
      </c>
      <c r="AB101" s="2" t="s">
        <v>39</v>
      </c>
      <c r="AC101" s="2" t="s">
        <v>38</v>
      </c>
      <c r="AD101" s="2" t="s">
        <v>39</v>
      </c>
      <c r="AE101" s="2" t="s">
        <v>40</v>
      </c>
    </row>
    <row r="102" spans="1:31" ht="409.5">
      <c r="A102" s="2">
        <v>2769183</v>
      </c>
      <c r="B102" s="2">
        <f>HYPERLINK("https://platform.v2.vetology.net/cases/2769183/screening-report/1?type=pdf&amp;v=v6&amp;scorecard=1&amp;secret_key=BX%25IJ%24%2F65ieZ%29f6", 2769183)</f>
        <v>2769183</v>
      </c>
      <c r="C102" s="2">
        <f>HYPERLINK("https://platform.v2.vetology.net/report/v/final/"&amp;2769183, 2769183)</f>
        <v>2769183</v>
      </c>
      <c r="D102" s="2" t="s">
        <v>409</v>
      </c>
      <c r="E102" s="2" t="s">
        <v>410</v>
      </c>
      <c r="F102" s="2" t="s">
        <v>43</v>
      </c>
      <c r="G102" s="2" t="s">
        <v>44</v>
      </c>
      <c r="H102" s="2" t="s">
        <v>411</v>
      </c>
      <c r="I102" s="2" t="s">
        <v>73</v>
      </c>
      <c r="J102" s="2" t="s">
        <v>74</v>
      </c>
      <c r="K102" s="2" t="s">
        <v>38</v>
      </c>
      <c r="L102" s="2" t="s">
        <v>38</v>
      </c>
      <c r="M102" s="2" t="s">
        <v>38</v>
      </c>
      <c r="N102" s="2" t="s">
        <v>38</v>
      </c>
      <c r="O102" s="2" t="s">
        <v>38</v>
      </c>
      <c r="P102" s="2" t="s">
        <v>38</v>
      </c>
      <c r="Q102" s="2" t="s">
        <v>38</v>
      </c>
      <c r="R102" s="2" t="s">
        <v>38</v>
      </c>
      <c r="S102" s="2" t="s">
        <v>38</v>
      </c>
      <c r="T102" s="2" t="s">
        <v>38</v>
      </c>
      <c r="U102" s="2" t="s">
        <v>38</v>
      </c>
      <c r="V102" s="2" t="s">
        <v>38</v>
      </c>
      <c r="W102" s="2" t="s">
        <v>38</v>
      </c>
      <c r="X102" s="2" t="s">
        <v>38</v>
      </c>
      <c r="Y102" s="2" t="s">
        <v>38</v>
      </c>
      <c r="Z102" s="2" t="s">
        <v>38</v>
      </c>
      <c r="AA102" s="2" t="s">
        <v>38</v>
      </c>
      <c r="AB102" s="2" t="s">
        <v>38</v>
      </c>
      <c r="AC102" s="2" t="s">
        <v>38</v>
      </c>
      <c r="AD102" s="2" t="s">
        <v>38</v>
      </c>
      <c r="AE102" s="2" t="s">
        <v>40</v>
      </c>
    </row>
    <row r="103" spans="1:31" ht="409.5">
      <c r="A103" s="2">
        <v>2769153</v>
      </c>
      <c r="B103" s="2">
        <f>HYPERLINK("https://platform.v2.vetology.net/cases/2769153/screening-report/1?type=pdf&amp;v=v6&amp;scorecard=1&amp;secret_key=BX%25IJ%24%2F65ieZ%29f6", 2769153)</f>
        <v>2769153</v>
      </c>
      <c r="C103" s="2">
        <f>HYPERLINK("https://platform.v2.vetology.net/report/v/final/"&amp;2769153, 2769153)</f>
        <v>2769153</v>
      </c>
      <c r="D103" s="2" t="s">
        <v>412</v>
      </c>
      <c r="E103" s="2" t="s">
        <v>413</v>
      </c>
      <c r="F103" s="2" t="s">
        <v>414</v>
      </c>
      <c r="G103" s="2" t="s">
        <v>415</v>
      </c>
      <c r="H103" s="2" t="s">
        <v>45</v>
      </c>
      <c r="I103" s="2" t="s">
        <v>46</v>
      </c>
      <c r="J103" s="2"/>
      <c r="K103" s="2" t="s">
        <v>39</v>
      </c>
      <c r="L103" s="2" t="s">
        <v>39</v>
      </c>
      <c r="M103" s="2" t="s">
        <v>39</v>
      </c>
      <c r="N103" s="2" t="s">
        <v>39</v>
      </c>
      <c r="O103" s="2" t="s">
        <v>39</v>
      </c>
      <c r="P103" s="2" t="s">
        <v>39</v>
      </c>
      <c r="Q103" s="2" t="s">
        <v>39</v>
      </c>
      <c r="R103" s="2" t="s">
        <v>38</v>
      </c>
      <c r="S103" s="2" t="s">
        <v>39</v>
      </c>
      <c r="T103" s="2" t="s">
        <v>39</v>
      </c>
      <c r="U103" s="2" t="s">
        <v>39</v>
      </c>
      <c r="V103" s="2" t="s">
        <v>39</v>
      </c>
      <c r="W103" s="2" t="s">
        <v>38</v>
      </c>
      <c r="X103" s="2" t="s">
        <v>39</v>
      </c>
      <c r="Y103" s="2" t="s">
        <v>39</v>
      </c>
      <c r="Z103" s="2" t="s">
        <v>39</v>
      </c>
      <c r="AA103" s="2" t="s">
        <v>39</v>
      </c>
      <c r="AB103" s="2" t="s">
        <v>39</v>
      </c>
      <c r="AC103" s="2" t="s">
        <v>38</v>
      </c>
      <c r="AD103" s="2" t="s">
        <v>39</v>
      </c>
      <c r="AE103" s="2" t="s">
        <v>39</v>
      </c>
    </row>
    <row r="104" spans="1:31" ht="409.5">
      <c r="A104" s="2">
        <v>2769137</v>
      </c>
      <c r="B104" s="2">
        <f>HYPERLINK("https://platform.v2.vetology.net/cases/2769137/screening-report/1?type=pdf&amp;v=v6&amp;scorecard=1&amp;secret_key=BX%25IJ%24%2F65ieZ%29f6", 2769137)</f>
        <v>2769137</v>
      </c>
      <c r="C104" s="2">
        <f>HYPERLINK("https://platform.v2.vetology.net/report/v/final/"&amp;2769137, 2769137)</f>
        <v>2769137</v>
      </c>
      <c r="D104" s="2" t="s">
        <v>416</v>
      </c>
      <c r="E104" s="2" t="s">
        <v>417</v>
      </c>
      <c r="F104" s="2" t="s">
        <v>418</v>
      </c>
      <c r="G104" s="2" t="s">
        <v>127</v>
      </c>
      <c r="H104" s="2" t="s">
        <v>419</v>
      </c>
      <c r="I104" s="2" t="s">
        <v>36</v>
      </c>
      <c r="J104" s="2" t="s">
        <v>37</v>
      </c>
      <c r="K104" s="2" t="s">
        <v>39</v>
      </c>
      <c r="L104" s="2" t="s">
        <v>39</v>
      </c>
      <c r="M104" s="2" t="s">
        <v>38</v>
      </c>
      <c r="N104" s="2" t="s">
        <v>39</v>
      </c>
      <c r="O104" s="2" t="s">
        <v>38</v>
      </c>
      <c r="P104" s="2" t="s">
        <v>39</v>
      </c>
      <c r="Q104" s="2" t="s">
        <v>39</v>
      </c>
      <c r="R104" s="2" t="s">
        <v>38</v>
      </c>
      <c r="S104" s="2" t="s">
        <v>39</v>
      </c>
      <c r="T104" s="2" t="s">
        <v>39</v>
      </c>
      <c r="U104" s="2" t="s">
        <v>39</v>
      </c>
      <c r="V104" s="2" t="s">
        <v>39</v>
      </c>
      <c r="W104" s="2" t="s">
        <v>39</v>
      </c>
      <c r="X104" s="2" t="s">
        <v>39</v>
      </c>
      <c r="Y104" s="2" t="s">
        <v>39</v>
      </c>
      <c r="Z104" s="2" t="s">
        <v>38</v>
      </c>
      <c r="AA104" s="2" t="s">
        <v>39</v>
      </c>
      <c r="AB104" s="2" t="s">
        <v>39</v>
      </c>
      <c r="AC104" s="2" t="s">
        <v>38</v>
      </c>
      <c r="AD104" s="2" t="s">
        <v>39</v>
      </c>
      <c r="AE104" s="2" t="s">
        <v>40</v>
      </c>
    </row>
    <row r="105" spans="1:31" ht="409.5">
      <c r="A105" s="2">
        <v>2769099</v>
      </c>
      <c r="B105" s="2">
        <f>HYPERLINK("https://platform.v2.vetology.net/cases/2769099/screening-report/1?type=pdf&amp;v=v6&amp;scorecard=1&amp;secret_key=BX%25IJ%24%2F65ieZ%29f6", 2769099)</f>
        <v>2769099</v>
      </c>
      <c r="C105" s="2">
        <f>HYPERLINK("https://platform.v2.vetology.net/report/v/final/"&amp;2769099, 2769099)</f>
        <v>2769099</v>
      </c>
      <c r="D105" s="2" t="s">
        <v>420</v>
      </c>
      <c r="E105" s="2" t="s">
        <v>421</v>
      </c>
      <c r="F105" s="2" t="s">
        <v>422</v>
      </c>
      <c r="G105" s="2" t="s">
        <v>34</v>
      </c>
      <c r="H105" s="2" t="s">
        <v>423</v>
      </c>
      <c r="I105" s="2" t="s">
        <v>73</v>
      </c>
      <c r="J105" s="2" t="s">
        <v>74</v>
      </c>
      <c r="K105" s="2" t="s">
        <v>38</v>
      </c>
      <c r="L105" s="2" t="s">
        <v>38</v>
      </c>
      <c r="M105" s="2" t="s">
        <v>38</v>
      </c>
      <c r="N105" s="2" t="s">
        <v>38</v>
      </c>
      <c r="O105" s="2" t="s">
        <v>38</v>
      </c>
      <c r="P105" s="2" t="s">
        <v>38</v>
      </c>
      <c r="Q105" s="2" t="s">
        <v>38</v>
      </c>
      <c r="R105" s="2" t="s">
        <v>38</v>
      </c>
      <c r="S105" s="2" t="s">
        <v>38</v>
      </c>
      <c r="T105" s="2" t="s">
        <v>38</v>
      </c>
      <c r="U105" s="2" t="s">
        <v>38</v>
      </c>
      <c r="V105" s="2" t="s">
        <v>38</v>
      </c>
      <c r="W105" s="2" t="s">
        <v>38</v>
      </c>
      <c r="X105" s="2" t="s">
        <v>38</v>
      </c>
      <c r="Y105" s="2" t="s">
        <v>38</v>
      </c>
      <c r="Z105" s="2" t="s">
        <v>38</v>
      </c>
      <c r="AA105" s="2" t="s">
        <v>38</v>
      </c>
      <c r="AB105" s="2" t="s">
        <v>38</v>
      </c>
      <c r="AC105" s="2" t="s">
        <v>38</v>
      </c>
      <c r="AD105" s="2" t="s">
        <v>38</v>
      </c>
      <c r="AE105" s="2" t="s">
        <v>40</v>
      </c>
    </row>
    <row r="106" spans="1:31" ht="409.5">
      <c r="A106" s="2">
        <v>2769098</v>
      </c>
      <c r="B106" s="2">
        <f>HYPERLINK("https://platform.v2.vetology.net/cases/2769098/screening-report/1?type=pdf&amp;v=v6&amp;scorecard=1&amp;secret_key=BX%25IJ%24%2F65ieZ%29f6", 2769098)</f>
        <v>2769098</v>
      </c>
      <c r="C106" s="2">
        <f>HYPERLINK("https://platform.v2.vetology.net/report/v/final/"&amp;2769098, 2769098)</f>
        <v>2769098</v>
      </c>
      <c r="D106" s="2" t="s">
        <v>424</v>
      </c>
      <c r="E106" s="2" t="s">
        <v>425</v>
      </c>
      <c r="F106" s="2" t="s">
        <v>43</v>
      </c>
      <c r="G106" s="2" t="s">
        <v>44</v>
      </c>
      <c r="H106" s="2" t="s">
        <v>426</v>
      </c>
      <c r="I106" s="2" t="s">
        <v>36</v>
      </c>
      <c r="J106" s="2" t="s">
        <v>37</v>
      </c>
      <c r="K106" s="2" t="s">
        <v>38</v>
      </c>
      <c r="L106" s="2" t="s">
        <v>38</v>
      </c>
      <c r="M106" s="2" t="s">
        <v>38</v>
      </c>
      <c r="N106" s="2" t="s">
        <v>38</v>
      </c>
      <c r="O106" s="2" t="s">
        <v>38</v>
      </c>
      <c r="P106" s="2" t="s">
        <v>38</v>
      </c>
      <c r="Q106" s="2" t="s">
        <v>39</v>
      </c>
      <c r="R106" s="2" t="s">
        <v>38</v>
      </c>
      <c r="S106" s="2" t="s">
        <v>38</v>
      </c>
      <c r="T106" s="2" t="s">
        <v>38</v>
      </c>
      <c r="U106" s="2" t="s">
        <v>39</v>
      </c>
      <c r="V106" s="2" t="s">
        <v>39</v>
      </c>
      <c r="W106" s="2" t="s">
        <v>39</v>
      </c>
      <c r="X106" s="2" t="s">
        <v>39</v>
      </c>
      <c r="Y106" s="2" t="s">
        <v>39</v>
      </c>
      <c r="Z106" s="2" t="s">
        <v>38</v>
      </c>
      <c r="AA106" s="2" t="s">
        <v>38</v>
      </c>
      <c r="AB106" s="2" t="s">
        <v>39</v>
      </c>
      <c r="AC106" s="2" t="s">
        <v>38</v>
      </c>
      <c r="AD106" s="2" t="s">
        <v>39</v>
      </c>
      <c r="AE106" s="2" t="s">
        <v>39</v>
      </c>
    </row>
    <row r="107" spans="1:31" ht="409.5">
      <c r="A107" s="2">
        <v>2769080</v>
      </c>
      <c r="B107" s="2">
        <f>HYPERLINK("https://platform.v2.vetology.net/cases/2769080/screening-report/1?type=pdf&amp;v=v6&amp;scorecard=1&amp;secret_key=BX%25IJ%24%2F65ieZ%29f6", 2769080)</f>
        <v>2769080</v>
      </c>
      <c r="C107" s="2">
        <f>HYPERLINK("https://platform.v2.vetology.net/report/v/final/"&amp;2769080, 2769080)</f>
        <v>2769080</v>
      </c>
      <c r="D107" s="2" t="s">
        <v>427</v>
      </c>
      <c r="E107" s="2" t="s">
        <v>428</v>
      </c>
      <c r="F107" s="2" t="s">
        <v>43</v>
      </c>
      <c r="G107" s="2" t="s">
        <v>100</v>
      </c>
      <c r="H107" s="2" t="s">
        <v>429</v>
      </c>
      <c r="I107" s="2" t="s">
        <v>36</v>
      </c>
      <c r="J107" s="2" t="s">
        <v>37</v>
      </c>
      <c r="K107" s="2" t="s">
        <v>38</v>
      </c>
      <c r="L107" s="2" t="s">
        <v>38</v>
      </c>
      <c r="M107" s="2" t="s">
        <v>38</v>
      </c>
      <c r="N107" s="2" t="s">
        <v>38</v>
      </c>
      <c r="O107" s="2" t="s">
        <v>38</v>
      </c>
      <c r="P107" s="2" t="s">
        <v>39</v>
      </c>
      <c r="Q107" s="2" t="s">
        <v>39</v>
      </c>
      <c r="R107" s="2" t="s">
        <v>38</v>
      </c>
      <c r="S107" s="2" t="s">
        <v>38</v>
      </c>
      <c r="T107" s="2" t="s">
        <v>38</v>
      </c>
      <c r="U107" s="2" t="s">
        <v>38</v>
      </c>
      <c r="V107" s="2" t="s">
        <v>38</v>
      </c>
      <c r="W107" s="2" t="s">
        <v>38</v>
      </c>
      <c r="X107" s="2" t="s">
        <v>39</v>
      </c>
      <c r="Y107" s="2" t="s">
        <v>39</v>
      </c>
      <c r="Z107" s="2" t="s">
        <v>38</v>
      </c>
      <c r="AA107" s="2" t="s">
        <v>38</v>
      </c>
      <c r="AB107" s="2" t="s">
        <v>39</v>
      </c>
      <c r="AC107" s="2" t="s">
        <v>38</v>
      </c>
      <c r="AD107" s="2" t="s">
        <v>38</v>
      </c>
      <c r="AE107" s="2" t="s">
        <v>39</v>
      </c>
    </row>
    <row r="108" spans="1:31" ht="409.5">
      <c r="A108" s="2">
        <v>2769019</v>
      </c>
      <c r="B108" s="2">
        <f>HYPERLINK("https://platform.v2.vetology.net/cases/2769019/screening-report/1?type=pdf&amp;v=v6&amp;scorecard=1&amp;secret_key=BX%25IJ%24%2F65ieZ%29f6", 2769019)</f>
        <v>2769019</v>
      </c>
      <c r="C108" s="2">
        <f>HYPERLINK("https://platform.v2.vetology.net/report/v/final/"&amp;2769019, 2769019)</f>
        <v>2769019</v>
      </c>
      <c r="D108" s="2" t="s">
        <v>430</v>
      </c>
      <c r="E108" s="2" t="s">
        <v>431</v>
      </c>
      <c r="F108" s="2" t="s">
        <v>43</v>
      </c>
      <c r="G108" s="2" t="s">
        <v>44</v>
      </c>
      <c r="H108" s="2" t="s">
        <v>432</v>
      </c>
      <c r="I108" s="2" t="s">
        <v>36</v>
      </c>
      <c r="J108" s="2" t="s">
        <v>37</v>
      </c>
      <c r="K108" s="2" t="s">
        <v>39</v>
      </c>
      <c r="L108" s="2" t="s">
        <v>39</v>
      </c>
      <c r="M108" s="2" t="s">
        <v>39</v>
      </c>
      <c r="N108" s="2" t="s">
        <v>39</v>
      </c>
      <c r="O108" s="2" t="s">
        <v>39</v>
      </c>
      <c r="P108" s="2" t="s">
        <v>38</v>
      </c>
      <c r="Q108" s="2" t="s">
        <v>39</v>
      </c>
      <c r="R108" s="2" t="s">
        <v>39</v>
      </c>
      <c r="S108" s="2" t="s">
        <v>39</v>
      </c>
      <c r="T108" s="2" t="s">
        <v>39</v>
      </c>
      <c r="U108" s="2" t="s">
        <v>39</v>
      </c>
      <c r="V108" s="2" t="s">
        <v>39</v>
      </c>
      <c r="W108" s="2" t="s">
        <v>39</v>
      </c>
      <c r="X108" s="2" t="s">
        <v>39</v>
      </c>
      <c r="Y108" s="2" t="s">
        <v>39</v>
      </c>
      <c r="Z108" s="2" t="s">
        <v>39</v>
      </c>
      <c r="AA108" s="2" t="s">
        <v>39</v>
      </c>
      <c r="AB108" s="2" t="s">
        <v>38</v>
      </c>
      <c r="AC108" s="2" t="s">
        <v>39</v>
      </c>
      <c r="AD108" s="2" t="s">
        <v>38</v>
      </c>
      <c r="AE108" s="2" t="s">
        <v>39</v>
      </c>
    </row>
    <row r="109" spans="1:31" ht="409.5">
      <c r="A109" s="2">
        <v>2769007</v>
      </c>
      <c r="B109" s="2">
        <f>HYPERLINK("https://platform.v2.vetology.net/cases/2769007/screening-report/1?type=pdf&amp;v=v6&amp;scorecard=1&amp;secret_key=BX%25IJ%24%2F65ieZ%29f6", 2769007)</f>
        <v>2769007</v>
      </c>
      <c r="C109" s="2">
        <f>HYPERLINK("https://platform.v2.vetology.net/report/v/final/"&amp;2769007, 2769007)</f>
        <v>2769007</v>
      </c>
      <c r="D109" s="2" t="s">
        <v>433</v>
      </c>
      <c r="E109" s="2" t="s">
        <v>434</v>
      </c>
      <c r="F109" s="2" t="s">
        <v>435</v>
      </c>
      <c r="G109" s="2" t="s">
        <v>53</v>
      </c>
      <c r="H109" s="2" t="s">
        <v>436</v>
      </c>
      <c r="I109" s="2" t="s">
        <v>59</v>
      </c>
      <c r="J109" s="2" t="s">
        <v>37</v>
      </c>
      <c r="K109" s="2" t="s">
        <v>38</v>
      </c>
      <c r="L109" s="2" t="s">
        <v>39</v>
      </c>
      <c r="M109" s="2" t="s">
        <v>39</v>
      </c>
      <c r="N109" s="2" t="s">
        <v>39</v>
      </c>
      <c r="O109" s="2" t="s">
        <v>39</v>
      </c>
      <c r="P109" s="2" t="s">
        <v>39</v>
      </c>
      <c r="Q109" s="2" t="s">
        <v>39</v>
      </c>
      <c r="R109" s="2" t="s">
        <v>38</v>
      </c>
      <c r="S109" s="2" t="s">
        <v>39</v>
      </c>
      <c r="T109" s="2" t="s">
        <v>38</v>
      </c>
      <c r="U109" s="2" t="s">
        <v>39</v>
      </c>
      <c r="V109" s="2" t="s">
        <v>39</v>
      </c>
      <c r="W109" s="2" t="s">
        <v>39</v>
      </c>
      <c r="X109" s="2" t="s">
        <v>39</v>
      </c>
      <c r="Y109" s="2" t="s">
        <v>39</v>
      </c>
      <c r="Z109" s="2" t="s">
        <v>39</v>
      </c>
      <c r="AA109" s="2" t="s">
        <v>39</v>
      </c>
      <c r="AB109" s="2" t="s">
        <v>39</v>
      </c>
      <c r="AC109" s="2" t="s">
        <v>38</v>
      </c>
      <c r="AD109" s="2" t="s">
        <v>38</v>
      </c>
      <c r="AE109" s="2" t="s">
        <v>39</v>
      </c>
    </row>
    <row r="110" spans="1:31" ht="409.5">
      <c r="A110" s="2">
        <v>2769004</v>
      </c>
      <c r="B110" s="2">
        <f>HYPERLINK("https://platform.v2.vetology.net/cases/2769004/screening-report/1?type=pdf&amp;v=v6&amp;scorecard=1&amp;secret_key=BX%25IJ%24%2F65ieZ%29f6", 2769004)</f>
        <v>2769004</v>
      </c>
      <c r="C110" s="2">
        <f>HYPERLINK("https://platform.v2.vetology.net/report/v/final/"&amp;2769004, 2769004)</f>
        <v>2769004</v>
      </c>
      <c r="D110" s="2" t="s">
        <v>437</v>
      </c>
      <c r="E110" s="2" t="s">
        <v>438</v>
      </c>
      <c r="F110" s="2" t="s">
        <v>43</v>
      </c>
      <c r="G110" s="2" t="s">
        <v>44</v>
      </c>
      <c r="H110" s="2" t="s">
        <v>69</v>
      </c>
      <c r="I110" s="2" t="s">
        <v>46</v>
      </c>
      <c r="J110" s="2"/>
      <c r="K110" s="2" t="s">
        <v>39</v>
      </c>
      <c r="L110" s="2" t="s">
        <v>39</v>
      </c>
      <c r="M110" s="2" t="s">
        <v>39</v>
      </c>
      <c r="N110" s="2" t="s">
        <v>39</v>
      </c>
      <c r="O110" s="2" t="s">
        <v>39</v>
      </c>
      <c r="P110" s="2" t="s">
        <v>39</v>
      </c>
      <c r="Q110" s="2" t="s">
        <v>39</v>
      </c>
      <c r="R110" s="2" t="s">
        <v>39</v>
      </c>
      <c r="S110" s="2" t="s">
        <v>39</v>
      </c>
      <c r="T110" s="2" t="s">
        <v>39</v>
      </c>
      <c r="U110" s="2" t="s">
        <v>39</v>
      </c>
      <c r="V110" s="2" t="s">
        <v>39</v>
      </c>
      <c r="W110" s="2" t="s">
        <v>38</v>
      </c>
      <c r="X110" s="2" t="s">
        <v>39</v>
      </c>
      <c r="Y110" s="2" t="s">
        <v>39</v>
      </c>
      <c r="Z110" s="2" t="s">
        <v>39</v>
      </c>
      <c r="AA110" s="2" t="s">
        <v>39</v>
      </c>
      <c r="AB110" s="2" t="s">
        <v>39</v>
      </c>
      <c r="AC110" s="2" t="s">
        <v>38</v>
      </c>
      <c r="AD110" s="2" t="s">
        <v>39</v>
      </c>
      <c r="AE110" s="2"/>
    </row>
    <row r="111" spans="1:31" ht="409.5">
      <c r="A111" s="2">
        <v>2768982</v>
      </c>
      <c r="B111" s="2">
        <f>HYPERLINK("https://platform.v2.vetology.net/cases/2768982/screening-report/1?type=pdf&amp;v=v6&amp;scorecard=1&amp;secret_key=BX%25IJ%24%2F65ieZ%29f6", 2768982)</f>
        <v>2768982</v>
      </c>
      <c r="C111" s="2">
        <f>HYPERLINK("https://platform.v2.vetology.net/report/v/final/"&amp;2768982, 2768982)</f>
        <v>2768982</v>
      </c>
      <c r="D111" s="2" t="s">
        <v>439</v>
      </c>
      <c r="E111" s="2" t="s">
        <v>440</v>
      </c>
      <c r="F111" s="2" t="s">
        <v>43</v>
      </c>
      <c r="G111" s="2" t="s">
        <v>44</v>
      </c>
      <c r="H111" s="2" t="s">
        <v>441</v>
      </c>
      <c r="I111" s="2" t="s">
        <v>36</v>
      </c>
      <c r="J111" s="2" t="s">
        <v>37</v>
      </c>
      <c r="K111" s="2" t="s">
        <v>38</v>
      </c>
      <c r="L111" s="2" t="s">
        <v>38</v>
      </c>
      <c r="M111" s="2" t="s">
        <v>39</v>
      </c>
      <c r="N111" s="2" t="s">
        <v>38</v>
      </c>
      <c r="O111" s="2" t="s">
        <v>38</v>
      </c>
      <c r="P111" s="2" t="s">
        <v>38</v>
      </c>
      <c r="Q111" s="2" t="s">
        <v>39</v>
      </c>
      <c r="R111" s="2" t="s">
        <v>39</v>
      </c>
      <c r="S111" s="2" t="s">
        <v>38</v>
      </c>
      <c r="T111" s="2" t="s">
        <v>39</v>
      </c>
      <c r="U111" s="2" t="s">
        <v>38</v>
      </c>
      <c r="V111" s="2" t="s">
        <v>38</v>
      </c>
      <c r="W111" s="2" t="s">
        <v>39</v>
      </c>
      <c r="X111" s="2" t="s">
        <v>39</v>
      </c>
      <c r="Y111" s="2" t="s">
        <v>39</v>
      </c>
      <c r="Z111" s="2" t="s">
        <v>39</v>
      </c>
      <c r="AA111" s="2" t="s">
        <v>39</v>
      </c>
      <c r="AB111" s="2" t="s">
        <v>39</v>
      </c>
      <c r="AC111" s="2" t="s">
        <v>38</v>
      </c>
      <c r="AD111" s="2" t="s">
        <v>38</v>
      </c>
      <c r="AE111" s="2" t="s">
        <v>40</v>
      </c>
    </row>
    <row r="112" spans="1:31" ht="409.5">
      <c r="A112" s="2">
        <v>2768966</v>
      </c>
      <c r="B112" s="2">
        <f>HYPERLINK("https://platform.v2.vetology.net/cases/2768966/screening-report/1?type=pdf&amp;v=v6&amp;scorecard=1&amp;secret_key=BX%25IJ%24%2F65ieZ%29f6", 2768966)</f>
        <v>2768966</v>
      </c>
      <c r="C112" s="2">
        <f>HYPERLINK("https://platform.v2.vetology.net/report/v/final/"&amp;2768966, 2768966)</f>
        <v>2768966</v>
      </c>
      <c r="D112" s="2" t="s">
        <v>442</v>
      </c>
      <c r="E112" s="2" t="s">
        <v>443</v>
      </c>
      <c r="F112" s="2" t="s">
        <v>444</v>
      </c>
      <c r="G112" s="2" t="s">
        <v>170</v>
      </c>
      <c r="H112" s="2" t="s">
        <v>445</v>
      </c>
      <c r="I112" s="2" t="s">
        <v>36</v>
      </c>
      <c r="J112" s="2" t="s">
        <v>37</v>
      </c>
      <c r="K112" s="2" t="s">
        <v>38</v>
      </c>
      <c r="L112" s="2" t="s">
        <v>38</v>
      </c>
      <c r="M112" s="2" t="s">
        <v>38</v>
      </c>
      <c r="N112" s="2" t="s">
        <v>38</v>
      </c>
      <c r="O112" s="2" t="s">
        <v>38</v>
      </c>
      <c r="P112" s="2" t="s">
        <v>39</v>
      </c>
      <c r="Q112" s="2" t="s">
        <v>39</v>
      </c>
      <c r="R112" s="2" t="s">
        <v>38</v>
      </c>
      <c r="S112" s="2" t="s">
        <v>38</v>
      </c>
      <c r="T112" s="2" t="s">
        <v>39</v>
      </c>
      <c r="U112" s="2" t="s">
        <v>38</v>
      </c>
      <c r="V112" s="2" t="s">
        <v>38</v>
      </c>
      <c r="W112" s="2" t="s">
        <v>38</v>
      </c>
      <c r="X112" s="2" t="s">
        <v>39</v>
      </c>
      <c r="Y112" s="2" t="s">
        <v>39</v>
      </c>
      <c r="Z112" s="2" t="s">
        <v>38</v>
      </c>
      <c r="AA112" s="2" t="s">
        <v>38</v>
      </c>
      <c r="AB112" s="2" t="s">
        <v>39</v>
      </c>
      <c r="AC112" s="2" t="s">
        <v>38</v>
      </c>
      <c r="AD112" s="2" t="s">
        <v>38</v>
      </c>
      <c r="AE112" s="2" t="s">
        <v>39</v>
      </c>
    </row>
    <row r="113" spans="1:31" ht="409.5">
      <c r="A113" s="2">
        <v>2768953</v>
      </c>
      <c r="B113" s="2">
        <f>HYPERLINK("https://platform.v2.vetology.net/cases/2768953/screening-report/1?type=pdf&amp;v=v6&amp;scorecard=1&amp;secret_key=BX%25IJ%24%2F65ieZ%29f6", 2768953)</f>
        <v>2768953</v>
      </c>
      <c r="C113" s="2">
        <f>HYPERLINK("https://platform.v2.vetology.net/report/v/final/"&amp;2768953, 2768953)</f>
        <v>2768953</v>
      </c>
      <c r="D113" s="2" t="s">
        <v>446</v>
      </c>
      <c r="E113" s="2" t="s">
        <v>447</v>
      </c>
      <c r="F113" s="2" t="s">
        <v>448</v>
      </c>
      <c r="G113" s="2" t="s">
        <v>111</v>
      </c>
      <c r="H113" s="2" t="s">
        <v>449</v>
      </c>
      <c r="I113" s="2" t="s">
        <v>36</v>
      </c>
      <c r="J113" s="2" t="s">
        <v>37</v>
      </c>
      <c r="K113" s="2" t="s">
        <v>39</v>
      </c>
      <c r="L113" s="2" t="s">
        <v>38</v>
      </c>
      <c r="M113" s="2" t="s">
        <v>39</v>
      </c>
      <c r="N113" s="2" t="s">
        <v>39</v>
      </c>
      <c r="O113" s="2" t="s">
        <v>39</v>
      </c>
      <c r="P113" s="2" t="s">
        <v>39</v>
      </c>
      <c r="Q113" s="2" t="s">
        <v>39</v>
      </c>
      <c r="R113" s="2" t="s">
        <v>38</v>
      </c>
      <c r="S113" s="2" t="s">
        <v>38</v>
      </c>
      <c r="T113" s="2" t="s">
        <v>38</v>
      </c>
      <c r="U113" s="2" t="s">
        <v>39</v>
      </c>
      <c r="V113" s="2" t="s">
        <v>39</v>
      </c>
      <c r="W113" s="2" t="s">
        <v>38</v>
      </c>
      <c r="X113" s="2" t="s">
        <v>39</v>
      </c>
      <c r="Y113" s="2" t="s">
        <v>39</v>
      </c>
      <c r="Z113" s="2" t="s">
        <v>38</v>
      </c>
      <c r="AA113" s="2" t="s">
        <v>39</v>
      </c>
      <c r="AB113" s="2" t="s">
        <v>39</v>
      </c>
      <c r="AC113" s="2" t="s">
        <v>39</v>
      </c>
      <c r="AD113" s="2" t="s">
        <v>38</v>
      </c>
      <c r="AE113" s="2" t="s">
        <v>39</v>
      </c>
    </row>
    <row r="114" spans="1:31" ht="409.5">
      <c r="A114" s="2">
        <v>2768936</v>
      </c>
      <c r="B114" s="2">
        <f>HYPERLINK("https://platform.v2.vetology.net/cases/2768936/screening-report/1?type=pdf&amp;v=v6&amp;scorecard=1&amp;secret_key=BX%25IJ%24%2F65ieZ%29f6", 2768936)</f>
        <v>2768936</v>
      </c>
      <c r="C114" s="2">
        <f>HYPERLINK("https://platform.v2.vetology.net/report/v/final/"&amp;2768936, 2768936)</f>
        <v>2768936</v>
      </c>
      <c r="D114" s="2" t="s">
        <v>450</v>
      </c>
      <c r="E114" s="2" t="s">
        <v>451</v>
      </c>
      <c r="F114" s="2" t="s">
        <v>452</v>
      </c>
      <c r="G114" s="2" t="s">
        <v>53</v>
      </c>
      <c r="H114" s="2" t="s">
        <v>453</v>
      </c>
      <c r="I114" s="2" t="s">
        <v>129</v>
      </c>
      <c r="J114" s="2" t="s">
        <v>74</v>
      </c>
      <c r="K114" s="2" t="s">
        <v>39</v>
      </c>
      <c r="L114" s="2" t="s">
        <v>39</v>
      </c>
      <c r="M114" s="2" t="s">
        <v>38</v>
      </c>
      <c r="N114" s="2" t="s">
        <v>38</v>
      </c>
      <c r="O114" s="2" t="s">
        <v>38</v>
      </c>
      <c r="P114" s="2" t="s">
        <v>38</v>
      </c>
      <c r="Q114" s="2" t="s">
        <v>38</v>
      </c>
      <c r="R114" s="2" t="s">
        <v>39</v>
      </c>
      <c r="S114" s="2" t="s">
        <v>39</v>
      </c>
      <c r="T114" s="2" t="s">
        <v>38</v>
      </c>
      <c r="U114" s="2" t="s">
        <v>39</v>
      </c>
      <c r="V114" s="2" t="s">
        <v>38</v>
      </c>
      <c r="W114" s="2" t="s">
        <v>38</v>
      </c>
      <c r="X114" s="2" t="s">
        <v>39</v>
      </c>
      <c r="Y114" s="2" t="s">
        <v>38</v>
      </c>
      <c r="Z114" s="2" t="s">
        <v>38</v>
      </c>
      <c r="AA114" s="2" t="s">
        <v>38</v>
      </c>
      <c r="AB114" s="2" t="s">
        <v>38</v>
      </c>
      <c r="AC114" s="2" t="s">
        <v>38</v>
      </c>
      <c r="AD114" s="2" t="s">
        <v>38</v>
      </c>
      <c r="AE114" s="2" t="s">
        <v>40</v>
      </c>
    </row>
    <row r="115" spans="1:31" ht="409.5">
      <c r="A115" s="2">
        <v>2768930</v>
      </c>
      <c r="B115" s="2">
        <f>HYPERLINK("https://platform.v2.vetology.net/cases/2768930/screening-report/1?type=pdf&amp;v=v6&amp;scorecard=1&amp;secret_key=BX%25IJ%24%2F65ieZ%29f6", 2768930)</f>
        <v>2768930</v>
      </c>
      <c r="C115" s="2">
        <f>HYPERLINK("https://platform.v2.vetology.net/report/v/final/"&amp;2768930, 2768930)</f>
        <v>2768930</v>
      </c>
      <c r="D115" s="2" t="s">
        <v>454</v>
      </c>
      <c r="E115" s="2" t="s">
        <v>455</v>
      </c>
      <c r="F115" s="2" t="s">
        <v>174</v>
      </c>
      <c r="G115" s="2" t="s">
        <v>170</v>
      </c>
      <c r="H115" s="2" t="s">
        <v>456</v>
      </c>
      <c r="I115" s="2" t="s">
        <v>36</v>
      </c>
      <c r="J115" s="2" t="s">
        <v>37</v>
      </c>
      <c r="K115" s="2" t="s">
        <v>39</v>
      </c>
      <c r="L115" s="2" t="s">
        <v>38</v>
      </c>
      <c r="M115" s="2" t="s">
        <v>38</v>
      </c>
      <c r="N115" s="2" t="s">
        <v>39</v>
      </c>
      <c r="O115" s="2" t="s">
        <v>39</v>
      </c>
      <c r="P115" s="2" t="s">
        <v>39</v>
      </c>
      <c r="Q115" s="2" t="s">
        <v>39</v>
      </c>
      <c r="R115" s="2" t="s">
        <v>38</v>
      </c>
      <c r="S115" s="2" t="s">
        <v>38</v>
      </c>
      <c r="T115" s="2" t="s">
        <v>39</v>
      </c>
      <c r="U115" s="2" t="s">
        <v>39</v>
      </c>
      <c r="V115" s="2" t="s">
        <v>39</v>
      </c>
      <c r="W115" s="2" t="s">
        <v>38</v>
      </c>
      <c r="X115" s="2" t="s">
        <v>39</v>
      </c>
      <c r="Y115" s="2" t="s">
        <v>39</v>
      </c>
      <c r="Z115" s="2" t="s">
        <v>38</v>
      </c>
      <c r="AA115" s="2" t="s">
        <v>38</v>
      </c>
      <c r="AB115" s="2" t="s">
        <v>39</v>
      </c>
      <c r="AC115" s="2" t="s">
        <v>38</v>
      </c>
      <c r="AD115" s="2" t="s">
        <v>39</v>
      </c>
      <c r="AE115" s="2" t="s">
        <v>39</v>
      </c>
    </row>
    <row r="116" spans="1:31" ht="409.5">
      <c r="A116" s="2">
        <v>2768919</v>
      </c>
      <c r="B116" s="2">
        <f>HYPERLINK("https://platform.v2.vetology.net/cases/2768919/screening-report/1?type=pdf&amp;v=v6&amp;scorecard=1&amp;secret_key=BX%25IJ%24%2F65ieZ%29f6", 2768919)</f>
        <v>2768919</v>
      </c>
      <c r="C116" s="2">
        <f>HYPERLINK("https://platform.v2.vetology.net/report/v/final/"&amp;2768919, 2768919)</f>
        <v>2768919</v>
      </c>
      <c r="D116" s="2" t="s">
        <v>457</v>
      </c>
      <c r="E116" s="2" t="s">
        <v>458</v>
      </c>
      <c r="F116" s="2" t="s">
        <v>459</v>
      </c>
      <c r="G116" s="2" t="s">
        <v>127</v>
      </c>
      <c r="H116" s="2" t="s">
        <v>460</v>
      </c>
      <c r="I116" s="2" t="s">
        <v>36</v>
      </c>
      <c r="J116" s="2" t="s">
        <v>37</v>
      </c>
      <c r="K116" s="2" t="s">
        <v>38</v>
      </c>
      <c r="L116" s="2" t="s">
        <v>38</v>
      </c>
      <c r="M116" s="2" t="s">
        <v>38</v>
      </c>
      <c r="N116" s="2" t="s">
        <v>38</v>
      </c>
      <c r="O116" s="2" t="s">
        <v>38</v>
      </c>
      <c r="P116" s="2" t="s">
        <v>39</v>
      </c>
      <c r="Q116" s="2" t="s">
        <v>39</v>
      </c>
      <c r="R116" s="2" t="s">
        <v>39</v>
      </c>
      <c r="S116" s="2" t="s">
        <v>38</v>
      </c>
      <c r="T116" s="2" t="s">
        <v>39</v>
      </c>
      <c r="U116" s="2" t="s">
        <v>39</v>
      </c>
      <c r="V116" s="2" t="s">
        <v>38</v>
      </c>
      <c r="W116" s="2" t="s">
        <v>38</v>
      </c>
      <c r="X116" s="2" t="s">
        <v>39</v>
      </c>
      <c r="Y116" s="2" t="s">
        <v>39</v>
      </c>
      <c r="Z116" s="2" t="s">
        <v>38</v>
      </c>
      <c r="AA116" s="2" t="s">
        <v>38</v>
      </c>
      <c r="AB116" s="2" t="s">
        <v>39</v>
      </c>
      <c r="AC116" s="2" t="s">
        <v>38</v>
      </c>
      <c r="AD116" s="2" t="s">
        <v>38</v>
      </c>
      <c r="AE116" s="2" t="s">
        <v>39</v>
      </c>
    </row>
    <row r="117" spans="1:31" ht="409.5">
      <c r="A117" s="2">
        <v>2768901</v>
      </c>
      <c r="B117" s="2">
        <f>HYPERLINK("https://platform.v2.vetology.net/cases/2768901/screening-report/1?type=pdf&amp;v=v6&amp;scorecard=1&amp;secret_key=BX%25IJ%24%2F65ieZ%29f6", 2768901)</f>
        <v>2768901</v>
      </c>
      <c r="C117" s="2">
        <f>HYPERLINK("https://platform.v2.vetology.net/report/v/final/"&amp;2768901, 2768901)</f>
        <v>2768901</v>
      </c>
      <c r="D117" s="2" t="s">
        <v>461</v>
      </c>
      <c r="E117" s="2" t="s">
        <v>462</v>
      </c>
      <c r="F117" s="2" t="s">
        <v>463</v>
      </c>
      <c r="G117" s="2" t="s">
        <v>34</v>
      </c>
      <c r="H117" s="2" t="s">
        <v>464</v>
      </c>
      <c r="I117" s="2" t="s">
        <v>73</v>
      </c>
      <c r="J117" s="2" t="s">
        <v>74</v>
      </c>
      <c r="K117" s="2" t="s">
        <v>38</v>
      </c>
      <c r="L117" s="2" t="s">
        <v>38</v>
      </c>
      <c r="M117" s="2" t="s">
        <v>38</v>
      </c>
      <c r="N117" s="2" t="s">
        <v>38</v>
      </c>
      <c r="O117" s="2" t="s">
        <v>38</v>
      </c>
      <c r="P117" s="2" t="s">
        <v>38</v>
      </c>
      <c r="Q117" s="2" t="s">
        <v>38</v>
      </c>
      <c r="R117" s="2" t="s">
        <v>39</v>
      </c>
      <c r="S117" s="2" t="s">
        <v>38</v>
      </c>
      <c r="T117" s="2" t="s">
        <v>38</v>
      </c>
      <c r="U117" s="2" t="s">
        <v>38</v>
      </c>
      <c r="V117" s="2" t="s">
        <v>38</v>
      </c>
      <c r="W117" s="2" t="s">
        <v>38</v>
      </c>
      <c r="X117" s="2" t="s">
        <v>38</v>
      </c>
      <c r="Y117" s="2" t="s">
        <v>39</v>
      </c>
      <c r="Z117" s="2" t="s">
        <v>38</v>
      </c>
      <c r="AA117" s="2" t="s">
        <v>38</v>
      </c>
      <c r="AB117" s="2" t="s">
        <v>38</v>
      </c>
      <c r="AC117" s="2" t="s">
        <v>38</v>
      </c>
      <c r="AD117" s="2" t="s">
        <v>39</v>
      </c>
      <c r="AE117" s="2" t="s">
        <v>40</v>
      </c>
    </row>
    <row r="118" spans="1:31" ht="409.5">
      <c r="A118" s="2">
        <v>2768870</v>
      </c>
      <c r="B118" s="2">
        <f>HYPERLINK("https://platform.v2.vetology.net/cases/2768870/screening-report/1?type=pdf&amp;v=v6&amp;scorecard=1&amp;secret_key=BX%25IJ%24%2F65ieZ%29f6", 2768870)</f>
        <v>2768870</v>
      </c>
      <c r="C118" s="2">
        <f>HYPERLINK("https://platform.v2.vetology.net/report/v/final/"&amp;2768870, 2768870)</f>
        <v>2768870</v>
      </c>
      <c r="D118" s="2" t="s">
        <v>465</v>
      </c>
      <c r="E118" s="2" t="s">
        <v>466</v>
      </c>
      <c r="F118" s="2" t="s">
        <v>467</v>
      </c>
      <c r="G118" s="2" t="s">
        <v>53</v>
      </c>
      <c r="H118" s="2" t="s">
        <v>468</v>
      </c>
      <c r="I118" s="2" t="s">
        <v>73</v>
      </c>
      <c r="J118" s="2" t="s">
        <v>74</v>
      </c>
      <c r="K118" s="2" t="s">
        <v>38</v>
      </c>
      <c r="L118" s="2" t="s">
        <v>38</v>
      </c>
      <c r="M118" s="2" t="s">
        <v>39</v>
      </c>
      <c r="N118" s="2" t="s">
        <v>38</v>
      </c>
      <c r="O118" s="2" t="s">
        <v>39</v>
      </c>
      <c r="P118" s="2" t="s">
        <v>39</v>
      </c>
      <c r="Q118" s="2" t="s">
        <v>38</v>
      </c>
      <c r="R118" s="2" t="s">
        <v>39</v>
      </c>
      <c r="S118" s="2" t="s">
        <v>39</v>
      </c>
      <c r="T118" s="2" t="s">
        <v>38</v>
      </c>
      <c r="U118" s="2" t="s">
        <v>38</v>
      </c>
      <c r="V118" s="2" t="s">
        <v>38</v>
      </c>
      <c r="W118" s="2" t="s">
        <v>38</v>
      </c>
      <c r="X118" s="2" t="s">
        <v>38</v>
      </c>
      <c r="Y118" s="2" t="s">
        <v>39</v>
      </c>
      <c r="Z118" s="2" t="s">
        <v>39</v>
      </c>
      <c r="AA118" s="2" t="s">
        <v>38</v>
      </c>
      <c r="AB118" s="2" t="s">
        <v>38</v>
      </c>
      <c r="AC118" s="2" t="s">
        <v>39</v>
      </c>
      <c r="AD118" s="2" t="s">
        <v>39</v>
      </c>
      <c r="AE118" s="2" t="s">
        <v>39</v>
      </c>
    </row>
    <row r="119" spans="1:31" ht="409.5">
      <c r="A119" s="2">
        <v>2768863</v>
      </c>
      <c r="B119" s="2">
        <f>HYPERLINK("https://platform.v2.vetology.net/cases/2768863/screening-report/1?type=pdf&amp;v=v6&amp;scorecard=1&amp;secret_key=BX%25IJ%24%2F65ieZ%29f6", 2768863)</f>
        <v>2768863</v>
      </c>
      <c r="C119" s="2">
        <f>HYPERLINK("https://platform.v2.vetology.net/report/v/final/"&amp;2768863, 2768863)</f>
        <v>2768863</v>
      </c>
      <c r="D119" s="2" t="s">
        <v>302</v>
      </c>
      <c r="E119" s="2" t="s">
        <v>99</v>
      </c>
      <c r="F119" s="2"/>
      <c r="G119" s="2" t="s">
        <v>100</v>
      </c>
      <c r="H119" s="2" t="s">
        <v>469</v>
      </c>
      <c r="I119" s="2" t="s">
        <v>46</v>
      </c>
      <c r="J119" s="2"/>
      <c r="K119" s="2" t="s">
        <v>39</v>
      </c>
      <c r="L119" s="2" t="s">
        <v>39</v>
      </c>
      <c r="M119" s="2" t="s">
        <v>39</v>
      </c>
      <c r="N119" s="2" t="s">
        <v>39</v>
      </c>
      <c r="O119" s="2" t="s">
        <v>39</v>
      </c>
      <c r="P119" s="2" t="s">
        <v>39</v>
      </c>
      <c r="Q119" s="2" t="s">
        <v>39</v>
      </c>
      <c r="R119" s="2" t="s">
        <v>38</v>
      </c>
      <c r="S119" s="2" t="s">
        <v>39</v>
      </c>
      <c r="T119" s="2" t="s">
        <v>39</v>
      </c>
      <c r="U119" s="2" t="s">
        <v>39</v>
      </c>
      <c r="V119" s="2" t="s">
        <v>39</v>
      </c>
      <c r="W119" s="2" t="s">
        <v>39</v>
      </c>
      <c r="X119" s="2" t="s">
        <v>39</v>
      </c>
      <c r="Y119" s="2" t="s">
        <v>39</v>
      </c>
      <c r="Z119" s="2" t="s">
        <v>39</v>
      </c>
      <c r="AA119" s="2" t="s">
        <v>39</v>
      </c>
      <c r="AB119" s="2" t="s">
        <v>39</v>
      </c>
      <c r="AC119" s="2" t="s">
        <v>38</v>
      </c>
      <c r="AD119" s="2" t="s">
        <v>39</v>
      </c>
      <c r="AE119" s="2" t="s">
        <v>39</v>
      </c>
    </row>
    <row r="120" spans="1:31" ht="409.5">
      <c r="A120" s="2">
        <v>2768848</v>
      </c>
      <c r="B120" s="2">
        <f>HYPERLINK("https://platform.v2.vetology.net/cases/2768848/screening-report/1?type=pdf&amp;v=v6&amp;scorecard=1&amp;secret_key=BX%25IJ%24%2F65ieZ%29f6", 2768848)</f>
        <v>2768848</v>
      </c>
      <c r="C120" s="2">
        <f>HYPERLINK("https://platform.v2.vetology.net/report/v/final/"&amp;2768848, 2768848)</f>
        <v>2768848</v>
      </c>
      <c r="D120" s="2" t="s">
        <v>470</v>
      </c>
      <c r="E120" s="2" t="s">
        <v>471</v>
      </c>
      <c r="F120" s="2" t="s">
        <v>472</v>
      </c>
      <c r="G120" s="2" t="s">
        <v>53</v>
      </c>
      <c r="H120" s="2" t="s">
        <v>45</v>
      </c>
      <c r="I120" s="2" t="s">
        <v>46</v>
      </c>
      <c r="J120" s="2"/>
      <c r="K120" s="2" t="s">
        <v>39</v>
      </c>
      <c r="L120" s="2" t="s">
        <v>39</v>
      </c>
      <c r="M120" s="2" t="s">
        <v>39</v>
      </c>
      <c r="N120" s="2" t="s">
        <v>39</v>
      </c>
      <c r="O120" s="2" t="s">
        <v>38</v>
      </c>
      <c r="P120" s="2" t="s">
        <v>39</v>
      </c>
      <c r="Q120" s="2" t="s">
        <v>39</v>
      </c>
      <c r="R120" s="2" t="s">
        <v>38</v>
      </c>
      <c r="S120" s="2" t="s">
        <v>39</v>
      </c>
      <c r="T120" s="2" t="s">
        <v>39</v>
      </c>
      <c r="U120" s="2" t="s">
        <v>39</v>
      </c>
      <c r="V120" s="2" t="s">
        <v>39</v>
      </c>
      <c r="W120" s="2" t="s">
        <v>38</v>
      </c>
      <c r="X120" s="2" t="s">
        <v>39</v>
      </c>
      <c r="Y120" s="2" t="s">
        <v>39</v>
      </c>
      <c r="Z120" s="2" t="s">
        <v>38</v>
      </c>
      <c r="AA120" s="2" t="s">
        <v>38</v>
      </c>
      <c r="AB120" s="2" t="s">
        <v>39</v>
      </c>
      <c r="AC120" s="2" t="s">
        <v>38</v>
      </c>
      <c r="AD120" s="2" t="s">
        <v>38</v>
      </c>
      <c r="AE120" s="2" t="s">
        <v>39</v>
      </c>
    </row>
    <row r="121" spans="1:31" ht="409.5">
      <c r="A121" s="2">
        <v>2768805</v>
      </c>
      <c r="B121" s="2">
        <f>HYPERLINK("https://platform.v2.vetology.net/cases/2768805/screening-report/1?type=pdf&amp;v=v6&amp;scorecard=1&amp;secret_key=BX%25IJ%24%2F65ieZ%29f6", 2768805)</f>
        <v>2768805</v>
      </c>
      <c r="C121" s="2">
        <f>HYPERLINK("https://platform.v2.vetology.net/report/v/final/"&amp;2768805, 2768805)</f>
        <v>2768805</v>
      </c>
      <c r="D121" s="2" t="s">
        <v>473</v>
      </c>
      <c r="E121" s="2" t="s">
        <v>474</v>
      </c>
      <c r="F121" s="2" t="s">
        <v>475</v>
      </c>
      <c r="G121" s="2" t="s">
        <v>53</v>
      </c>
      <c r="H121" s="2" t="s">
        <v>476</v>
      </c>
      <c r="I121" s="2" t="s">
        <v>36</v>
      </c>
      <c r="J121" s="2" t="s">
        <v>37</v>
      </c>
      <c r="K121" s="2" t="s">
        <v>39</v>
      </c>
      <c r="L121" s="2" t="s">
        <v>38</v>
      </c>
      <c r="M121" s="2" t="s">
        <v>39</v>
      </c>
      <c r="N121" s="2" t="s">
        <v>39</v>
      </c>
      <c r="O121" s="2" t="s">
        <v>39</v>
      </c>
      <c r="P121" s="2" t="s">
        <v>38</v>
      </c>
      <c r="Q121" s="2" t="s">
        <v>39</v>
      </c>
      <c r="R121" s="2" t="s">
        <v>39</v>
      </c>
      <c r="S121" s="2" t="s">
        <v>39</v>
      </c>
      <c r="T121" s="2" t="s">
        <v>38</v>
      </c>
      <c r="U121" s="2" t="s">
        <v>39</v>
      </c>
      <c r="V121" s="2" t="s">
        <v>38</v>
      </c>
      <c r="W121" s="2" t="s">
        <v>39</v>
      </c>
      <c r="X121" s="2" t="s">
        <v>39</v>
      </c>
      <c r="Y121" s="2" t="s">
        <v>39</v>
      </c>
      <c r="Z121" s="2" t="s">
        <v>39</v>
      </c>
      <c r="AA121" s="2" t="s">
        <v>39</v>
      </c>
      <c r="AB121" s="2" t="s">
        <v>39</v>
      </c>
      <c r="AC121" s="2" t="s">
        <v>39</v>
      </c>
      <c r="AD121" s="2" t="s">
        <v>39</v>
      </c>
      <c r="AE121" s="2" t="s">
        <v>39</v>
      </c>
    </row>
    <row r="122" spans="1:31" ht="409.5">
      <c r="A122" s="2">
        <v>2768797</v>
      </c>
      <c r="B122" s="2">
        <f>HYPERLINK("https://platform.v2.vetology.net/cases/2768797/screening-report/1?type=pdf&amp;v=v6&amp;scorecard=1&amp;secret_key=BX%25IJ%24%2F65ieZ%29f6", 2768797)</f>
        <v>2768797</v>
      </c>
      <c r="C122" s="2">
        <f>HYPERLINK("https://platform.v2.vetology.net/report/v/final/"&amp;2768797, 2768797)</f>
        <v>2768797</v>
      </c>
      <c r="D122" s="2" t="s">
        <v>477</v>
      </c>
      <c r="E122" s="2" t="s">
        <v>478</v>
      </c>
      <c r="F122" s="2" t="s">
        <v>479</v>
      </c>
      <c r="G122" s="2" t="s">
        <v>251</v>
      </c>
      <c r="H122" s="2" t="s">
        <v>226</v>
      </c>
      <c r="I122" s="2" t="s">
        <v>36</v>
      </c>
      <c r="J122" s="2" t="s">
        <v>37</v>
      </c>
      <c r="K122" s="2" t="s">
        <v>39</v>
      </c>
      <c r="L122" s="2" t="s">
        <v>39</v>
      </c>
      <c r="M122" s="2" t="s">
        <v>38</v>
      </c>
      <c r="N122" s="2" t="s">
        <v>38</v>
      </c>
      <c r="O122" s="2" t="s">
        <v>38</v>
      </c>
      <c r="P122" s="2" t="s">
        <v>39</v>
      </c>
      <c r="Q122" s="2" t="s">
        <v>39</v>
      </c>
      <c r="R122" s="2" t="s">
        <v>39</v>
      </c>
      <c r="S122" s="2" t="s">
        <v>38</v>
      </c>
      <c r="T122" s="2" t="s">
        <v>38</v>
      </c>
      <c r="U122" s="2" t="s">
        <v>39</v>
      </c>
      <c r="V122" s="2" t="s">
        <v>39</v>
      </c>
      <c r="W122" s="2" t="s">
        <v>39</v>
      </c>
      <c r="X122" s="2" t="s">
        <v>39</v>
      </c>
      <c r="Y122" s="2" t="s">
        <v>39</v>
      </c>
      <c r="Z122" s="2" t="s">
        <v>38</v>
      </c>
      <c r="AA122" s="2" t="s">
        <v>38</v>
      </c>
      <c r="AB122" s="2" t="s">
        <v>39</v>
      </c>
      <c r="AC122" s="2" t="s">
        <v>38</v>
      </c>
      <c r="AD122" s="2" t="s">
        <v>38</v>
      </c>
      <c r="AE122" s="2" t="s">
        <v>39</v>
      </c>
    </row>
    <row r="123" spans="1:31" ht="409.5">
      <c r="A123" s="2">
        <v>2768750</v>
      </c>
      <c r="B123" s="2">
        <f>HYPERLINK("https://platform.v2.vetology.net/cases/2768750/screening-report/1?type=pdf&amp;v=v6&amp;scorecard=1&amp;secret_key=BX%25IJ%24%2F65ieZ%29f6", 2768750)</f>
        <v>2768750</v>
      </c>
      <c r="C123" s="2">
        <f>HYPERLINK("https://platform.v2.vetology.net/report/v/final/"&amp;2768750, 2768750)</f>
        <v>2768750</v>
      </c>
      <c r="D123" s="2" t="s">
        <v>480</v>
      </c>
      <c r="E123" s="2" t="s">
        <v>481</v>
      </c>
      <c r="F123" s="2"/>
      <c r="G123" s="2" t="s">
        <v>100</v>
      </c>
      <c r="H123" s="2" t="s">
        <v>482</v>
      </c>
      <c r="I123" s="2" t="s">
        <v>129</v>
      </c>
      <c r="J123" s="2" t="s">
        <v>74</v>
      </c>
      <c r="K123" s="2" t="s">
        <v>38</v>
      </c>
      <c r="L123" s="2" t="s">
        <v>38</v>
      </c>
      <c r="M123" s="2" t="s">
        <v>38</v>
      </c>
      <c r="N123" s="2" t="s">
        <v>38</v>
      </c>
      <c r="O123" s="2" t="s">
        <v>38</v>
      </c>
      <c r="P123" s="2" t="s">
        <v>38</v>
      </c>
      <c r="Q123" s="2" t="s">
        <v>38</v>
      </c>
      <c r="R123" s="2" t="s">
        <v>38</v>
      </c>
      <c r="S123" s="2" t="s">
        <v>38</v>
      </c>
      <c r="T123" s="2" t="s">
        <v>38</v>
      </c>
      <c r="U123" s="2" t="s">
        <v>38</v>
      </c>
      <c r="V123" s="2" t="s">
        <v>38</v>
      </c>
      <c r="W123" s="2" t="s">
        <v>38</v>
      </c>
      <c r="X123" s="2" t="s">
        <v>38</v>
      </c>
      <c r="Y123" s="2" t="s">
        <v>38</v>
      </c>
      <c r="Z123" s="2" t="s">
        <v>38</v>
      </c>
      <c r="AA123" s="2" t="s">
        <v>38</v>
      </c>
      <c r="AB123" s="2" t="s">
        <v>38</v>
      </c>
      <c r="AC123" s="2" t="s">
        <v>38</v>
      </c>
      <c r="AD123" s="2" t="s">
        <v>38</v>
      </c>
      <c r="AE123" s="2" t="s">
        <v>40</v>
      </c>
    </row>
    <row r="124" spans="1:31" ht="409.5">
      <c r="A124" s="2">
        <v>2768700</v>
      </c>
      <c r="B124" s="2">
        <f>HYPERLINK("https://platform.v2.vetology.net/cases/2768700/screening-report/1?type=pdf&amp;v=v6&amp;scorecard=1&amp;secret_key=BX%25IJ%24%2F65ieZ%29f6", 2768700)</f>
        <v>2768700</v>
      </c>
      <c r="C124" s="2">
        <f>HYPERLINK("https://platform.v2.vetology.net/report/v/final/"&amp;2768700, 2768700)</f>
        <v>2768700</v>
      </c>
      <c r="D124" s="2" t="s">
        <v>483</v>
      </c>
      <c r="E124" s="2" t="s">
        <v>484</v>
      </c>
      <c r="F124" s="2" t="s">
        <v>485</v>
      </c>
      <c r="G124" s="2" t="s">
        <v>127</v>
      </c>
      <c r="H124" s="2" t="s">
        <v>486</v>
      </c>
      <c r="I124" s="2" t="s">
        <v>36</v>
      </c>
      <c r="J124" s="2" t="s">
        <v>37</v>
      </c>
      <c r="K124" s="2" t="s">
        <v>38</v>
      </c>
      <c r="L124" s="2" t="s">
        <v>38</v>
      </c>
      <c r="M124" s="2" t="s">
        <v>38</v>
      </c>
      <c r="N124" s="2" t="s">
        <v>38</v>
      </c>
      <c r="O124" s="2" t="s">
        <v>38</v>
      </c>
      <c r="P124" s="2" t="s">
        <v>39</v>
      </c>
      <c r="Q124" s="2" t="s">
        <v>39</v>
      </c>
      <c r="R124" s="2" t="s">
        <v>38</v>
      </c>
      <c r="S124" s="2" t="s">
        <v>38</v>
      </c>
      <c r="T124" s="2" t="s">
        <v>39</v>
      </c>
      <c r="U124" s="2" t="s">
        <v>38</v>
      </c>
      <c r="V124" s="2" t="s">
        <v>38</v>
      </c>
      <c r="W124" s="2" t="s">
        <v>38</v>
      </c>
      <c r="X124" s="2" t="s">
        <v>39</v>
      </c>
      <c r="Y124" s="2" t="s">
        <v>39</v>
      </c>
      <c r="Z124" s="2" t="s">
        <v>38</v>
      </c>
      <c r="AA124" s="2" t="s">
        <v>38</v>
      </c>
      <c r="AB124" s="2" t="s">
        <v>39</v>
      </c>
      <c r="AC124" s="2" t="s">
        <v>38</v>
      </c>
      <c r="AD124" s="2" t="s">
        <v>38</v>
      </c>
      <c r="AE124" s="2" t="s">
        <v>40</v>
      </c>
    </row>
    <row r="125" spans="1:31" ht="409.5">
      <c r="A125" s="2">
        <v>2768699</v>
      </c>
      <c r="B125" s="2">
        <f>HYPERLINK("https://platform.v2.vetology.net/cases/2768699/screening-report/1?type=pdf&amp;v=v6&amp;scorecard=1&amp;secret_key=BX%25IJ%24%2F65ieZ%29f6", 2768699)</f>
        <v>2768699</v>
      </c>
      <c r="C125" s="2">
        <f>HYPERLINK("https://platform.v2.vetology.net/report/v/final/"&amp;2768699, 2768699)</f>
        <v>2768699</v>
      </c>
      <c r="D125" s="2" t="s">
        <v>487</v>
      </c>
      <c r="E125" s="2" t="s">
        <v>488</v>
      </c>
      <c r="F125" s="2" t="s">
        <v>43</v>
      </c>
      <c r="G125" s="2" t="s">
        <v>100</v>
      </c>
      <c r="H125" s="2" t="s">
        <v>489</v>
      </c>
      <c r="I125" s="2" t="s">
        <v>73</v>
      </c>
      <c r="J125" s="2" t="s">
        <v>74</v>
      </c>
      <c r="K125" s="2" t="s">
        <v>38</v>
      </c>
      <c r="L125" s="2" t="s">
        <v>38</v>
      </c>
      <c r="M125" s="2" t="s">
        <v>38</v>
      </c>
      <c r="N125" s="2" t="s">
        <v>38</v>
      </c>
      <c r="O125" s="2" t="s">
        <v>38</v>
      </c>
      <c r="P125" s="2" t="s">
        <v>38</v>
      </c>
      <c r="Q125" s="2" t="s">
        <v>38</v>
      </c>
      <c r="R125" s="2" t="s">
        <v>38</v>
      </c>
      <c r="S125" s="2" t="s">
        <v>38</v>
      </c>
      <c r="T125" s="2" t="s">
        <v>38</v>
      </c>
      <c r="U125" s="2" t="s">
        <v>38</v>
      </c>
      <c r="V125" s="2" t="s">
        <v>38</v>
      </c>
      <c r="W125" s="2" t="s">
        <v>38</v>
      </c>
      <c r="X125" s="2" t="s">
        <v>38</v>
      </c>
      <c r="Y125" s="2" t="s">
        <v>38</v>
      </c>
      <c r="Z125" s="2" t="s">
        <v>38</v>
      </c>
      <c r="AA125" s="2" t="s">
        <v>38</v>
      </c>
      <c r="AB125" s="2" t="s">
        <v>38</v>
      </c>
      <c r="AC125" s="2" t="s">
        <v>38</v>
      </c>
      <c r="AD125" s="2" t="s">
        <v>39</v>
      </c>
      <c r="AE125" s="2" t="s">
        <v>40</v>
      </c>
    </row>
    <row r="126" spans="1:31" ht="409.5">
      <c r="A126" s="2">
        <v>2768604</v>
      </c>
      <c r="B126" s="2">
        <f>HYPERLINK("https://platform.v2.vetology.net/cases/2768604/screening-report/1?type=pdf&amp;v=v6&amp;scorecard=1&amp;secret_key=BX%25IJ%24%2F65ieZ%29f6", 2768604)</f>
        <v>2768604</v>
      </c>
      <c r="C126" s="2">
        <f>HYPERLINK("https://platform.v2.vetology.net/report/v/final/"&amp;2768604, 2768604)</f>
        <v>2768604</v>
      </c>
      <c r="D126" s="2" t="s">
        <v>490</v>
      </c>
      <c r="E126" s="2" t="s">
        <v>491</v>
      </c>
      <c r="F126" s="2" t="s">
        <v>492</v>
      </c>
      <c r="G126" s="2" t="s">
        <v>53</v>
      </c>
      <c r="H126" s="2" t="s">
        <v>493</v>
      </c>
      <c r="I126" s="2" t="s">
        <v>36</v>
      </c>
      <c r="J126" s="2" t="s">
        <v>37</v>
      </c>
      <c r="K126" s="2" t="s">
        <v>38</v>
      </c>
      <c r="L126" s="2" t="s">
        <v>39</v>
      </c>
      <c r="M126" s="2" t="s">
        <v>38</v>
      </c>
      <c r="N126" s="2" t="s">
        <v>39</v>
      </c>
      <c r="O126" s="2" t="s">
        <v>39</v>
      </c>
      <c r="P126" s="2" t="s">
        <v>39</v>
      </c>
      <c r="Q126" s="2" t="s">
        <v>39</v>
      </c>
      <c r="R126" s="2" t="s">
        <v>39</v>
      </c>
      <c r="S126" s="2" t="s">
        <v>39</v>
      </c>
      <c r="T126" s="2" t="s">
        <v>38</v>
      </c>
      <c r="U126" s="2" t="s">
        <v>38</v>
      </c>
      <c r="V126" s="2" t="s">
        <v>38</v>
      </c>
      <c r="W126" s="2" t="s">
        <v>39</v>
      </c>
      <c r="X126" s="2" t="s">
        <v>39</v>
      </c>
      <c r="Y126" s="2" t="s">
        <v>39</v>
      </c>
      <c r="Z126" s="2" t="s">
        <v>39</v>
      </c>
      <c r="AA126" s="2" t="s">
        <v>38</v>
      </c>
      <c r="AB126" s="2" t="s">
        <v>39</v>
      </c>
      <c r="AC126" s="2" t="s">
        <v>39</v>
      </c>
      <c r="AD126" s="2" t="s">
        <v>39</v>
      </c>
      <c r="AE126" s="2" t="s">
        <v>39</v>
      </c>
    </row>
    <row r="127" spans="1:31" ht="409.5">
      <c r="A127" s="2">
        <v>2768579</v>
      </c>
      <c r="B127" s="2">
        <f>HYPERLINK("https://platform.v2.vetology.net/cases/2768579/screening-report/1?type=pdf&amp;v=v6&amp;scorecard=1&amp;secret_key=BX%25IJ%24%2F65ieZ%29f6", 2768579)</f>
        <v>2768579</v>
      </c>
      <c r="C127" s="2">
        <f>HYPERLINK("https://platform.v2.vetology.net/report/v/final/"&amp;2768579, 2768579)</f>
        <v>2768579</v>
      </c>
      <c r="D127" s="2" t="s">
        <v>494</v>
      </c>
      <c r="E127" s="2" t="s">
        <v>495</v>
      </c>
      <c r="F127" s="2" t="s">
        <v>43</v>
      </c>
      <c r="G127" s="2" t="s">
        <v>100</v>
      </c>
      <c r="H127" s="2" t="s">
        <v>496</v>
      </c>
      <c r="I127" s="2" t="s">
        <v>129</v>
      </c>
      <c r="J127" s="2" t="s">
        <v>74</v>
      </c>
      <c r="K127" s="2" t="s">
        <v>38</v>
      </c>
      <c r="L127" s="2" t="s">
        <v>39</v>
      </c>
      <c r="M127" s="2" t="s">
        <v>38</v>
      </c>
      <c r="N127" s="2" t="s">
        <v>38</v>
      </c>
      <c r="O127" s="2" t="s">
        <v>38</v>
      </c>
      <c r="P127" s="2" t="s">
        <v>38</v>
      </c>
      <c r="Q127" s="2" t="s">
        <v>38</v>
      </c>
      <c r="R127" s="2" t="s">
        <v>38</v>
      </c>
      <c r="S127" s="2" t="s">
        <v>39</v>
      </c>
      <c r="T127" s="2" t="s">
        <v>38</v>
      </c>
      <c r="U127" s="2" t="s">
        <v>39</v>
      </c>
      <c r="V127" s="2" t="s">
        <v>38</v>
      </c>
      <c r="W127" s="2" t="s">
        <v>39</v>
      </c>
      <c r="X127" s="2" t="s">
        <v>39</v>
      </c>
      <c r="Y127" s="2" t="s">
        <v>39</v>
      </c>
      <c r="Z127" s="2" t="s">
        <v>38</v>
      </c>
      <c r="AA127" s="2" t="s">
        <v>39</v>
      </c>
      <c r="AB127" s="2" t="s">
        <v>39</v>
      </c>
      <c r="AC127" s="2" t="s">
        <v>39</v>
      </c>
      <c r="AD127" s="2" t="s">
        <v>38</v>
      </c>
      <c r="AE127" s="2" t="s">
        <v>40</v>
      </c>
    </row>
    <row r="128" spans="1:31" ht="409.5">
      <c r="A128" s="2">
        <v>2768573</v>
      </c>
      <c r="B128" s="2">
        <f>HYPERLINK("https://platform.v2.vetology.net/cases/2768573/screening-report/1?type=pdf&amp;v=v6&amp;scorecard=1&amp;secret_key=BX%25IJ%24%2F65ieZ%29f6", 2768573)</f>
        <v>2768573</v>
      </c>
      <c r="C128" s="2">
        <f>HYPERLINK("https://platform.v2.vetology.net/report/v/final/"&amp;2768573, 2768573)</f>
        <v>2768573</v>
      </c>
      <c r="D128" s="2" t="s">
        <v>497</v>
      </c>
      <c r="E128" s="2" t="s">
        <v>498</v>
      </c>
      <c r="F128" s="2" t="s">
        <v>499</v>
      </c>
      <c r="G128" s="2" t="s">
        <v>111</v>
      </c>
      <c r="H128" s="2" t="s">
        <v>500</v>
      </c>
      <c r="I128" s="2" t="s">
        <v>36</v>
      </c>
      <c r="J128" s="2" t="s">
        <v>37</v>
      </c>
      <c r="K128" s="2" t="s">
        <v>39</v>
      </c>
      <c r="L128" s="2" t="s">
        <v>38</v>
      </c>
      <c r="M128" s="2" t="s">
        <v>38</v>
      </c>
      <c r="N128" s="2" t="s">
        <v>38</v>
      </c>
      <c r="O128" s="2" t="s">
        <v>38</v>
      </c>
      <c r="P128" s="2" t="s">
        <v>38</v>
      </c>
      <c r="Q128" s="2" t="s">
        <v>39</v>
      </c>
      <c r="R128" s="2" t="s">
        <v>38</v>
      </c>
      <c r="S128" s="2" t="s">
        <v>38</v>
      </c>
      <c r="T128" s="2" t="s">
        <v>38</v>
      </c>
      <c r="U128" s="2" t="s">
        <v>39</v>
      </c>
      <c r="V128" s="2" t="s">
        <v>39</v>
      </c>
      <c r="W128" s="2" t="s">
        <v>38</v>
      </c>
      <c r="X128" s="2" t="s">
        <v>39</v>
      </c>
      <c r="Y128" s="2" t="s">
        <v>39</v>
      </c>
      <c r="Z128" s="2" t="s">
        <v>38</v>
      </c>
      <c r="AA128" s="2" t="s">
        <v>38</v>
      </c>
      <c r="AB128" s="2" t="s">
        <v>39</v>
      </c>
      <c r="AC128" s="2" t="s">
        <v>38</v>
      </c>
      <c r="AD128" s="2" t="s">
        <v>38</v>
      </c>
      <c r="AE128" s="2" t="s">
        <v>40</v>
      </c>
    </row>
    <row r="129" spans="1:31" ht="409.5">
      <c r="A129" s="2">
        <v>2768567</v>
      </c>
      <c r="B129" s="2">
        <f>HYPERLINK("https://platform.v2.vetology.net/cases/2768567/screening-report/1?type=pdf&amp;v=v6&amp;scorecard=1&amp;secret_key=BX%25IJ%24%2F65ieZ%29f6", 2768567)</f>
        <v>2768567</v>
      </c>
      <c r="C129" s="2">
        <f>HYPERLINK("https://platform.v2.vetology.net/report/v/final/"&amp;2768567, 2768567)</f>
        <v>2768567</v>
      </c>
      <c r="D129" s="2" t="s">
        <v>501</v>
      </c>
      <c r="E129" s="2" t="s">
        <v>502</v>
      </c>
      <c r="F129" s="2" t="s">
        <v>503</v>
      </c>
      <c r="G129" s="2" t="s">
        <v>111</v>
      </c>
      <c r="H129" s="2" t="s">
        <v>504</v>
      </c>
      <c r="I129" s="2" t="s">
        <v>36</v>
      </c>
      <c r="J129" s="2" t="s">
        <v>37</v>
      </c>
      <c r="K129" s="2" t="s">
        <v>39</v>
      </c>
      <c r="L129" s="2" t="s">
        <v>39</v>
      </c>
      <c r="M129" s="2" t="s">
        <v>38</v>
      </c>
      <c r="N129" s="2" t="s">
        <v>39</v>
      </c>
      <c r="O129" s="2" t="s">
        <v>38</v>
      </c>
      <c r="P129" s="2" t="s">
        <v>38</v>
      </c>
      <c r="Q129" s="2" t="s">
        <v>38</v>
      </c>
      <c r="R129" s="2" t="s">
        <v>39</v>
      </c>
      <c r="S129" s="2" t="s">
        <v>39</v>
      </c>
      <c r="T129" s="2" t="s">
        <v>38</v>
      </c>
      <c r="U129" s="2" t="s">
        <v>39</v>
      </c>
      <c r="V129" s="2" t="s">
        <v>39</v>
      </c>
      <c r="W129" s="2" t="s">
        <v>38</v>
      </c>
      <c r="X129" s="2" t="s">
        <v>39</v>
      </c>
      <c r="Y129" s="2" t="s">
        <v>39</v>
      </c>
      <c r="Z129" s="2" t="s">
        <v>38</v>
      </c>
      <c r="AA129" s="2" t="s">
        <v>38</v>
      </c>
      <c r="AB129" s="2" t="s">
        <v>39</v>
      </c>
      <c r="AC129" s="2" t="s">
        <v>38</v>
      </c>
      <c r="AD129" s="2" t="s">
        <v>39</v>
      </c>
      <c r="AE129" s="2" t="s">
        <v>39</v>
      </c>
    </row>
    <row r="130" spans="1:31" ht="409.5">
      <c r="A130" s="2">
        <v>2768564</v>
      </c>
      <c r="B130" s="2">
        <f>HYPERLINK("https://platform.v2.vetology.net/cases/2768564/screening-report/1?type=pdf&amp;v=v6&amp;scorecard=1&amp;secret_key=BX%25IJ%24%2F65ieZ%29f6", 2768564)</f>
        <v>2768564</v>
      </c>
      <c r="C130" s="2">
        <f>HYPERLINK("https://platform.v2.vetology.net/report/v/final/"&amp;2768564, 2768564)</f>
        <v>2768564</v>
      </c>
      <c r="D130" s="2" t="s">
        <v>505</v>
      </c>
      <c r="E130" s="2" t="s">
        <v>506</v>
      </c>
      <c r="F130" s="2" t="s">
        <v>43</v>
      </c>
      <c r="G130" s="2" t="s">
        <v>507</v>
      </c>
      <c r="H130" s="2" t="s">
        <v>508</v>
      </c>
      <c r="I130" s="2" t="s">
        <v>36</v>
      </c>
      <c r="J130" s="2" t="s">
        <v>37</v>
      </c>
      <c r="K130" s="2" t="s">
        <v>39</v>
      </c>
      <c r="L130" s="2" t="s">
        <v>38</v>
      </c>
      <c r="M130" s="2" t="s">
        <v>38</v>
      </c>
      <c r="N130" s="2" t="s">
        <v>38</v>
      </c>
      <c r="O130" s="2" t="s">
        <v>38</v>
      </c>
      <c r="P130" s="2" t="s">
        <v>38</v>
      </c>
      <c r="Q130" s="2" t="s">
        <v>39</v>
      </c>
      <c r="R130" s="2" t="s">
        <v>38</v>
      </c>
      <c r="S130" s="2" t="s">
        <v>38</v>
      </c>
      <c r="T130" s="2" t="s">
        <v>38</v>
      </c>
      <c r="U130" s="2" t="s">
        <v>39</v>
      </c>
      <c r="V130" s="2" t="s">
        <v>39</v>
      </c>
      <c r="W130" s="2" t="s">
        <v>38</v>
      </c>
      <c r="X130" s="2" t="s">
        <v>39</v>
      </c>
      <c r="Y130" s="2" t="s">
        <v>39</v>
      </c>
      <c r="Z130" s="2" t="s">
        <v>38</v>
      </c>
      <c r="AA130" s="2" t="s">
        <v>38</v>
      </c>
      <c r="AB130" s="2" t="s">
        <v>39</v>
      </c>
      <c r="AC130" s="2" t="s">
        <v>38</v>
      </c>
      <c r="AD130" s="2" t="s">
        <v>38</v>
      </c>
      <c r="AE130" s="2"/>
    </row>
    <row r="131" spans="1:31" ht="409.5">
      <c r="A131" s="2">
        <v>2768545</v>
      </c>
      <c r="B131" s="2">
        <f>HYPERLINK("https://platform.v2.vetology.net/cases/2768545/screening-report/1?type=pdf&amp;v=v6&amp;scorecard=1&amp;secret_key=BX%25IJ%24%2F65ieZ%29f6", 2768545)</f>
        <v>2768545</v>
      </c>
      <c r="C131" s="2">
        <f>HYPERLINK("https://platform.v2.vetology.net/report/v/final/"&amp;2768545, 2768545)</f>
        <v>2768545</v>
      </c>
      <c r="D131" s="2" t="s">
        <v>509</v>
      </c>
      <c r="E131" s="2" t="s">
        <v>510</v>
      </c>
      <c r="F131" s="2" t="s">
        <v>43</v>
      </c>
      <c r="G131" s="2" t="s">
        <v>100</v>
      </c>
      <c r="H131" s="2" t="s">
        <v>511</v>
      </c>
      <c r="I131" s="2" t="s">
        <v>73</v>
      </c>
      <c r="J131" s="2" t="s">
        <v>74</v>
      </c>
      <c r="K131" s="2" t="s">
        <v>38</v>
      </c>
      <c r="L131" s="2" t="s">
        <v>38</v>
      </c>
      <c r="M131" s="2" t="s">
        <v>38</v>
      </c>
      <c r="N131" s="2" t="s">
        <v>38</v>
      </c>
      <c r="O131" s="2" t="s">
        <v>38</v>
      </c>
      <c r="P131" s="2" t="s">
        <v>38</v>
      </c>
      <c r="Q131" s="2" t="s">
        <v>38</v>
      </c>
      <c r="R131" s="2" t="s">
        <v>39</v>
      </c>
      <c r="S131" s="2" t="s">
        <v>39</v>
      </c>
      <c r="T131" s="2" t="s">
        <v>38</v>
      </c>
      <c r="U131" s="2" t="s">
        <v>39</v>
      </c>
      <c r="V131" s="2" t="s">
        <v>38</v>
      </c>
      <c r="W131" s="2" t="s">
        <v>38</v>
      </c>
      <c r="X131" s="2" t="s">
        <v>38</v>
      </c>
      <c r="Y131" s="2" t="s">
        <v>39</v>
      </c>
      <c r="Z131" s="2" t="s">
        <v>38</v>
      </c>
      <c r="AA131" s="2" t="s">
        <v>39</v>
      </c>
      <c r="AB131" s="2" t="s">
        <v>38</v>
      </c>
      <c r="AC131" s="2" t="s">
        <v>38</v>
      </c>
      <c r="AD131" s="2" t="s">
        <v>38</v>
      </c>
      <c r="AE131" s="2" t="s">
        <v>40</v>
      </c>
    </row>
    <row r="132" spans="1:31" ht="409.5">
      <c r="A132" s="2">
        <v>2768544</v>
      </c>
      <c r="B132" s="2">
        <f>HYPERLINK("https://platform.v2.vetology.net/cases/2768544/screening-report/1?type=pdf&amp;v=v6&amp;scorecard=1&amp;secret_key=BX%25IJ%24%2F65ieZ%29f6", 2768544)</f>
        <v>2768544</v>
      </c>
      <c r="C132" s="2">
        <f>HYPERLINK("https://platform.v2.vetology.net/report/v/final/"&amp;2768544, 2768544)</f>
        <v>2768544</v>
      </c>
      <c r="D132" s="2" t="s">
        <v>512</v>
      </c>
      <c r="E132" s="2" t="s">
        <v>513</v>
      </c>
      <c r="F132" s="2" t="s">
        <v>514</v>
      </c>
      <c r="G132" s="2" t="s">
        <v>111</v>
      </c>
      <c r="H132" s="2" t="s">
        <v>515</v>
      </c>
      <c r="I132" s="2" t="s">
        <v>36</v>
      </c>
      <c r="J132" s="2" t="s">
        <v>37</v>
      </c>
      <c r="K132" s="2" t="s">
        <v>39</v>
      </c>
      <c r="L132" s="2" t="s">
        <v>39</v>
      </c>
      <c r="M132" s="2" t="s">
        <v>38</v>
      </c>
      <c r="N132" s="2" t="s">
        <v>39</v>
      </c>
      <c r="O132" s="2" t="s">
        <v>38</v>
      </c>
      <c r="P132" s="2" t="s">
        <v>39</v>
      </c>
      <c r="Q132" s="2" t="s">
        <v>39</v>
      </c>
      <c r="R132" s="2" t="s">
        <v>39</v>
      </c>
      <c r="S132" s="2" t="s">
        <v>39</v>
      </c>
      <c r="T132" s="2" t="s">
        <v>39</v>
      </c>
      <c r="U132" s="2" t="s">
        <v>39</v>
      </c>
      <c r="V132" s="2" t="s">
        <v>38</v>
      </c>
      <c r="W132" s="2" t="s">
        <v>39</v>
      </c>
      <c r="X132" s="2" t="s">
        <v>39</v>
      </c>
      <c r="Y132" s="2" t="s">
        <v>39</v>
      </c>
      <c r="Z132" s="2" t="s">
        <v>38</v>
      </c>
      <c r="AA132" s="2" t="s">
        <v>39</v>
      </c>
      <c r="AB132" s="2" t="s">
        <v>39</v>
      </c>
      <c r="AC132" s="2" t="s">
        <v>38</v>
      </c>
      <c r="AD132" s="2" t="s">
        <v>38</v>
      </c>
      <c r="AE132" s="2" t="s">
        <v>39</v>
      </c>
    </row>
    <row r="133" spans="1:31" ht="409.5">
      <c r="A133" s="2">
        <v>2768499</v>
      </c>
      <c r="B133" s="2">
        <f>HYPERLINK("https://platform.v2.vetology.net/cases/2768499/screening-report/1?type=pdf&amp;v=v6&amp;scorecard=1&amp;secret_key=BX%25IJ%24%2F65ieZ%29f6", 2768499)</f>
        <v>2768499</v>
      </c>
      <c r="C133" s="2">
        <f>HYPERLINK("https://platform.v2.vetology.net/report/v/final/"&amp;2768499, 2768499)</f>
        <v>2768499</v>
      </c>
      <c r="D133" s="2" t="s">
        <v>516</v>
      </c>
      <c r="E133" s="2" t="s">
        <v>517</v>
      </c>
      <c r="F133" s="2" t="s">
        <v>518</v>
      </c>
      <c r="G133" s="2" t="s">
        <v>170</v>
      </c>
      <c r="H133" s="2" t="s">
        <v>519</v>
      </c>
      <c r="I133" s="2" t="s">
        <v>73</v>
      </c>
      <c r="J133" s="2" t="s">
        <v>74</v>
      </c>
      <c r="K133" s="2" t="s">
        <v>38</v>
      </c>
      <c r="L133" s="2" t="s">
        <v>38</v>
      </c>
      <c r="M133" s="2" t="s">
        <v>38</v>
      </c>
      <c r="N133" s="2" t="s">
        <v>38</v>
      </c>
      <c r="O133" s="2" t="s">
        <v>38</v>
      </c>
      <c r="P133" s="2" t="s">
        <v>38</v>
      </c>
      <c r="Q133" s="2" t="s">
        <v>38</v>
      </c>
      <c r="R133" s="2" t="s">
        <v>38</v>
      </c>
      <c r="S133" s="2" t="s">
        <v>38</v>
      </c>
      <c r="T133" s="2" t="s">
        <v>38</v>
      </c>
      <c r="U133" s="2" t="s">
        <v>38</v>
      </c>
      <c r="V133" s="2" t="s">
        <v>38</v>
      </c>
      <c r="W133" s="2" t="s">
        <v>38</v>
      </c>
      <c r="X133" s="2" t="s">
        <v>38</v>
      </c>
      <c r="Y133" s="2" t="s">
        <v>39</v>
      </c>
      <c r="Z133" s="2" t="s">
        <v>38</v>
      </c>
      <c r="AA133" s="2" t="s">
        <v>38</v>
      </c>
      <c r="AB133" s="2" t="s">
        <v>38</v>
      </c>
      <c r="AC133" s="2" t="s">
        <v>38</v>
      </c>
      <c r="AD133" s="2" t="s">
        <v>38</v>
      </c>
      <c r="AE133" s="2" t="s">
        <v>40</v>
      </c>
    </row>
    <row r="134" spans="1:31" ht="409.5">
      <c r="A134" s="2">
        <v>2768496</v>
      </c>
      <c r="B134" s="2">
        <f>HYPERLINK("https://platform.v2.vetology.net/cases/2768496/screening-report/1?type=pdf&amp;v=v6&amp;scorecard=1&amp;secret_key=BX%25IJ%24%2F65ieZ%29f6", 2768496)</f>
        <v>2768496</v>
      </c>
      <c r="C134" s="2">
        <f>HYPERLINK("https://platform.v2.vetology.net/report/v/final/"&amp;2768496, 2768496)</f>
        <v>2768496</v>
      </c>
      <c r="D134" s="2" t="s">
        <v>520</v>
      </c>
      <c r="E134" s="2" t="s">
        <v>521</v>
      </c>
      <c r="F134" s="2" t="s">
        <v>522</v>
      </c>
      <c r="G134" s="2" t="s">
        <v>53</v>
      </c>
      <c r="H134" s="2" t="s">
        <v>273</v>
      </c>
      <c r="I134" s="2" t="s">
        <v>46</v>
      </c>
      <c r="J134" s="2"/>
      <c r="K134" s="2" t="s">
        <v>39</v>
      </c>
      <c r="L134" s="2" t="s">
        <v>39</v>
      </c>
      <c r="M134" s="2" t="s">
        <v>39</v>
      </c>
      <c r="N134" s="2" t="s">
        <v>39</v>
      </c>
      <c r="O134" s="2" t="s">
        <v>39</v>
      </c>
      <c r="P134" s="2" t="s">
        <v>39</v>
      </c>
      <c r="Q134" s="2" t="s">
        <v>38</v>
      </c>
      <c r="R134" s="2" t="s">
        <v>39</v>
      </c>
      <c r="S134" s="2" t="s">
        <v>38</v>
      </c>
      <c r="T134" s="2" t="s">
        <v>38</v>
      </c>
      <c r="U134" s="2" t="s">
        <v>39</v>
      </c>
      <c r="V134" s="2" t="s">
        <v>39</v>
      </c>
      <c r="W134" s="2" t="s">
        <v>39</v>
      </c>
      <c r="X134" s="2" t="s">
        <v>39</v>
      </c>
      <c r="Y134" s="2" t="s">
        <v>39</v>
      </c>
      <c r="Z134" s="2" t="s">
        <v>39</v>
      </c>
      <c r="AA134" s="2" t="s">
        <v>38</v>
      </c>
      <c r="AB134" s="2" t="s">
        <v>39</v>
      </c>
      <c r="AC134" s="2" t="s">
        <v>39</v>
      </c>
      <c r="AD134" s="2" t="s">
        <v>39</v>
      </c>
      <c r="AE134" s="2" t="s">
        <v>39</v>
      </c>
    </row>
    <row r="135" spans="1:31" ht="409.5">
      <c r="A135" s="2">
        <v>2768495</v>
      </c>
      <c r="B135" s="2">
        <f>HYPERLINK("https://platform.v2.vetology.net/cases/2768495/screening-report/1?type=pdf&amp;v=v6&amp;scorecard=1&amp;secret_key=BX%25IJ%24%2F65ieZ%29f6", 2768495)</f>
        <v>2768495</v>
      </c>
      <c r="C135" s="2">
        <f>HYPERLINK("https://platform.v2.vetology.net/report/v/final/"&amp;2768495, 2768495)</f>
        <v>2768495</v>
      </c>
      <c r="D135" s="2" t="s">
        <v>523</v>
      </c>
      <c r="E135" s="2" t="s">
        <v>524</v>
      </c>
      <c r="F135" s="2" t="s">
        <v>525</v>
      </c>
      <c r="G135" s="2" t="s">
        <v>53</v>
      </c>
      <c r="H135" s="2" t="s">
        <v>526</v>
      </c>
      <c r="I135" s="2" t="s">
        <v>46</v>
      </c>
      <c r="J135" s="2"/>
      <c r="K135" s="2" t="s">
        <v>39</v>
      </c>
      <c r="L135" s="2" t="s">
        <v>38</v>
      </c>
      <c r="M135" s="2" t="s">
        <v>39</v>
      </c>
      <c r="N135" s="2" t="s">
        <v>39</v>
      </c>
      <c r="O135" s="2" t="s">
        <v>39</v>
      </c>
      <c r="P135" s="2" t="s">
        <v>39</v>
      </c>
      <c r="Q135" s="2" t="s">
        <v>39</v>
      </c>
      <c r="R135" s="2" t="s">
        <v>39</v>
      </c>
      <c r="S135" s="2" t="s">
        <v>38</v>
      </c>
      <c r="T135" s="2" t="s">
        <v>38</v>
      </c>
      <c r="U135" s="2" t="s">
        <v>39</v>
      </c>
      <c r="V135" s="2" t="s">
        <v>39</v>
      </c>
      <c r="W135" s="2" t="s">
        <v>39</v>
      </c>
      <c r="X135" s="2" t="s">
        <v>39</v>
      </c>
      <c r="Y135" s="2" t="s">
        <v>39</v>
      </c>
      <c r="Z135" s="2" t="s">
        <v>38</v>
      </c>
      <c r="AA135" s="2" t="s">
        <v>39</v>
      </c>
      <c r="AB135" s="2" t="s">
        <v>39</v>
      </c>
      <c r="AC135" s="2" t="s">
        <v>38</v>
      </c>
      <c r="AD135" s="2" t="s">
        <v>38</v>
      </c>
      <c r="AE135" s="2" t="s">
        <v>39</v>
      </c>
    </row>
    <row r="136" spans="1:31" ht="409.5">
      <c r="A136" s="2">
        <v>2768494</v>
      </c>
      <c r="B136" s="2">
        <f>HYPERLINK("https://platform.v2.vetology.net/cases/2768494/screening-report/1?type=pdf&amp;v=v6&amp;scorecard=1&amp;secret_key=BX%25IJ%24%2F65ieZ%29f6", 2768494)</f>
        <v>2768494</v>
      </c>
      <c r="C136" s="2">
        <f>HYPERLINK("https://platform.v2.vetology.net/report/v/final/"&amp;2768494, 2768494)</f>
        <v>2768494</v>
      </c>
      <c r="D136" s="2" t="s">
        <v>527</v>
      </c>
      <c r="E136" s="2" t="s">
        <v>528</v>
      </c>
      <c r="F136" s="2" t="s">
        <v>529</v>
      </c>
      <c r="G136" s="2" t="s">
        <v>44</v>
      </c>
      <c r="H136" s="2" t="s">
        <v>530</v>
      </c>
      <c r="I136" s="2" t="s">
        <v>59</v>
      </c>
      <c r="J136" s="2" t="s">
        <v>37</v>
      </c>
      <c r="K136" s="2" t="s">
        <v>38</v>
      </c>
      <c r="L136" s="2" t="s">
        <v>39</v>
      </c>
      <c r="M136" s="2" t="s">
        <v>39</v>
      </c>
      <c r="N136" s="2" t="s">
        <v>39</v>
      </c>
      <c r="O136" s="2" t="s">
        <v>39</v>
      </c>
      <c r="P136" s="2" t="s">
        <v>39</v>
      </c>
      <c r="Q136" s="2" t="s">
        <v>39</v>
      </c>
      <c r="R136" s="2" t="s">
        <v>39</v>
      </c>
      <c r="S136" s="2" t="s">
        <v>39</v>
      </c>
      <c r="T136" s="2" t="s">
        <v>39</v>
      </c>
      <c r="U136" s="2" t="s">
        <v>38</v>
      </c>
      <c r="V136" s="2" t="s">
        <v>38</v>
      </c>
      <c r="W136" s="2" t="s">
        <v>39</v>
      </c>
      <c r="X136" s="2" t="s">
        <v>39</v>
      </c>
      <c r="Y136" s="2" t="s">
        <v>39</v>
      </c>
      <c r="Z136" s="2" t="s">
        <v>39</v>
      </c>
      <c r="AA136" s="2" t="s">
        <v>39</v>
      </c>
      <c r="AB136" s="2" t="s">
        <v>39</v>
      </c>
      <c r="AC136" s="2" t="s">
        <v>39</v>
      </c>
      <c r="AD136" s="2" t="s">
        <v>39</v>
      </c>
      <c r="AE136" s="2" t="s">
        <v>40</v>
      </c>
    </row>
    <row r="137" spans="1:31" ht="409.5">
      <c r="A137" s="2">
        <v>2768491</v>
      </c>
      <c r="B137" s="2">
        <f>HYPERLINK("https://platform.v2.vetology.net/cases/2768491/screening-report/1?type=pdf&amp;v=v6&amp;scorecard=1&amp;secret_key=BX%25IJ%24%2F65ieZ%29f6", 2768491)</f>
        <v>2768491</v>
      </c>
      <c r="C137" s="2">
        <f>HYPERLINK("https://platform.v2.vetology.net/report/v/final/"&amp;2768491, 2768491)</f>
        <v>2768491</v>
      </c>
      <c r="D137" s="2" t="s">
        <v>531</v>
      </c>
      <c r="E137" s="2" t="s">
        <v>532</v>
      </c>
      <c r="F137" s="2" t="s">
        <v>43</v>
      </c>
      <c r="G137" s="2" t="s">
        <v>44</v>
      </c>
      <c r="H137" s="2" t="s">
        <v>533</v>
      </c>
      <c r="I137" s="2" t="s">
        <v>129</v>
      </c>
      <c r="J137" s="2" t="s">
        <v>74</v>
      </c>
      <c r="K137" s="2" t="s">
        <v>39</v>
      </c>
      <c r="L137" s="2" t="s">
        <v>38</v>
      </c>
      <c r="M137" s="2" t="s">
        <v>38</v>
      </c>
      <c r="N137" s="2" t="s">
        <v>38</v>
      </c>
      <c r="O137" s="2" t="s">
        <v>38</v>
      </c>
      <c r="P137" s="2" t="s">
        <v>39</v>
      </c>
      <c r="Q137" s="2" t="s">
        <v>38</v>
      </c>
      <c r="R137" s="2" t="s">
        <v>38</v>
      </c>
      <c r="S137" s="2" t="s">
        <v>39</v>
      </c>
      <c r="T137" s="2" t="s">
        <v>38</v>
      </c>
      <c r="U137" s="2" t="s">
        <v>39</v>
      </c>
      <c r="V137" s="2" t="s">
        <v>39</v>
      </c>
      <c r="W137" s="2" t="s">
        <v>38</v>
      </c>
      <c r="X137" s="2" t="s">
        <v>38</v>
      </c>
      <c r="Y137" s="2" t="s">
        <v>39</v>
      </c>
      <c r="Z137" s="2" t="s">
        <v>38</v>
      </c>
      <c r="AA137" s="2" t="s">
        <v>38</v>
      </c>
      <c r="AB137" s="2" t="s">
        <v>39</v>
      </c>
      <c r="AC137" s="2" t="s">
        <v>39</v>
      </c>
      <c r="AD137" s="2" t="s">
        <v>39</v>
      </c>
      <c r="AE137" s="2" t="s">
        <v>40</v>
      </c>
    </row>
    <row r="138" spans="1:31" ht="409.5">
      <c r="A138" s="2">
        <v>2768490</v>
      </c>
      <c r="B138" s="2">
        <f>HYPERLINK("https://platform.v2.vetology.net/cases/2768490/screening-report/1?type=pdf&amp;v=v6&amp;scorecard=1&amp;secret_key=BX%25IJ%24%2F65ieZ%29f6", 2768490)</f>
        <v>2768490</v>
      </c>
      <c r="C138" s="2">
        <f>HYPERLINK("https://platform.v2.vetology.net/report/v/final/"&amp;2768490, 2768490)</f>
        <v>2768490</v>
      </c>
      <c r="D138" s="2" t="s">
        <v>534</v>
      </c>
      <c r="E138" s="2" t="s">
        <v>535</v>
      </c>
      <c r="F138" s="2" t="s">
        <v>536</v>
      </c>
      <c r="G138" s="2" t="s">
        <v>111</v>
      </c>
      <c r="H138" s="2" t="s">
        <v>537</v>
      </c>
      <c r="I138" s="2" t="s">
        <v>59</v>
      </c>
      <c r="J138" s="2" t="s">
        <v>37</v>
      </c>
      <c r="K138" s="2" t="s">
        <v>38</v>
      </c>
      <c r="L138" s="2" t="s">
        <v>39</v>
      </c>
      <c r="M138" s="2" t="s">
        <v>39</v>
      </c>
      <c r="N138" s="2" t="s">
        <v>39</v>
      </c>
      <c r="O138" s="2" t="s">
        <v>39</v>
      </c>
      <c r="P138" s="2" t="s">
        <v>39</v>
      </c>
      <c r="Q138" s="2" t="s">
        <v>39</v>
      </c>
      <c r="R138" s="2" t="s">
        <v>39</v>
      </c>
      <c r="S138" s="2" t="s">
        <v>39</v>
      </c>
      <c r="T138" s="2" t="s">
        <v>39</v>
      </c>
      <c r="U138" s="2" t="s">
        <v>38</v>
      </c>
      <c r="V138" s="2" t="s">
        <v>38</v>
      </c>
      <c r="W138" s="2" t="s">
        <v>39</v>
      </c>
      <c r="X138" s="2" t="s">
        <v>39</v>
      </c>
      <c r="Y138" s="2" t="s">
        <v>39</v>
      </c>
      <c r="Z138" s="2" t="s">
        <v>39</v>
      </c>
      <c r="AA138" s="2" t="s">
        <v>39</v>
      </c>
      <c r="AB138" s="2" t="s">
        <v>39</v>
      </c>
      <c r="AC138" s="2" t="s">
        <v>39</v>
      </c>
      <c r="AD138" s="2" t="s">
        <v>39</v>
      </c>
      <c r="AE138" s="2" t="s">
        <v>39</v>
      </c>
    </row>
    <row r="139" spans="1:31" ht="409.5">
      <c r="A139" s="2">
        <v>2768457</v>
      </c>
      <c r="B139" s="2">
        <f>HYPERLINK("https://platform.v2.vetology.net/cases/2768457/screening-report/1?type=pdf&amp;v=v6&amp;scorecard=1&amp;secret_key=BX%25IJ%24%2F65ieZ%29f6", 2768457)</f>
        <v>2768457</v>
      </c>
      <c r="C139" s="2">
        <f>HYPERLINK("https://platform.v2.vetology.net/report/v/final/"&amp;2768457, 2768457)</f>
        <v>2768457</v>
      </c>
      <c r="D139" s="2" t="s">
        <v>538</v>
      </c>
      <c r="E139" s="2" t="s">
        <v>539</v>
      </c>
      <c r="F139" s="2"/>
      <c r="G139" s="2" t="s">
        <v>81</v>
      </c>
      <c r="H139" s="2" t="s">
        <v>66</v>
      </c>
      <c r="I139" s="2" t="s">
        <v>36</v>
      </c>
      <c r="J139" s="2" t="s">
        <v>37</v>
      </c>
      <c r="K139" s="2" t="s">
        <v>39</v>
      </c>
      <c r="L139" s="2" t="s">
        <v>39</v>
      </c>
      <c r="M139" s="2" t="s">
        <v>38</v>
      </c>
      <c r="N139" s="2" t="s">
        <v>39</v>
      </c>
      <c r="O139" s="2" t="s">
        <v>38</v>
      </c>
      <c r="P139" s="2" t="s">
        <v>39</v>
      </c>
      <c r="Q139" s="2" t="s">
        <v>39</v>
      </c>
      <c r="R139" s="2" t="s">
        <v>39</v>
      </c>
      <c r="S139" s="2" t="s">
        <v>39</v>
      </c>
      <c r="T139" s="2" t="s">
        <v>39</v>
      </c>
      <c r="U139" s="2" t="s">
        <v>39</v>
      </c>
      <c r="V139" s="2" t="s">
        <v>38</v>
      </c>
      <c r="W139" s="2" t="s">
        <v>39</v>
      </c>
      <c r="X139" s="2" t="s">
        <v>39</v>
      </c>
      <c r="Y139" s="2" t="s">
        <v>39</v>
      </c>
      <c r="Z139" s="2" t="s">
        <v>38</v>
      </c>
      <c r="AA139" s="2" t="s">
        <v>39</v>
      </c>
      <c r="AB139" s="2" t="s">
        <v>39</v>
      </c>
      <c r="AC139" s="2" t="s">
        <v>38</v>
      </c>
      <c r="AD139" s="2" t="s">
        <v>39</v>
      </c>
      <c r="AE139" s="2" t="s">
        <v>39</v>
      </c>
    </row>
    <row r="140" spans="1:31" ht="409.5">
      <c r="A140" s="2">
        <v>2768451</v>
      </c>
      <c r="B140" s="2">
        <f>HYPERLINK("https://platform.v2.vetology.net/cases/2768451/screening-report/1?type=pdf&amp;v=v6&amp;scorecard=1&amp;secret_key=BX%25IJ%24%2F65ieZ%29f6", 2768451)</f>
        <v>2768451</v>
      </c>
      <c r="C140" s="2">
        <f>HYPERLINK("https://platform.v2.vetology.net/report/v/final/"&amp;2768451, 2768451)</f>
        <v>2768451</v>
      </c>
      <c r="D140" s="2" t="s">
        <v>540</v>
      </c>
      <c r="E140" s="2" t="s">
        <v>541</v>
      </c>
      <c r="F140" s="2" t="s">
        <v>280</v>
      </c>
      <c r="G140" s="2" t="s">
        <v>170</v>
      </c>
      <c r="H140" s="2" t="s">
        <v>542</v>
      </c>
      <c r="I140" s="2" t="s">
        <v>73</v>
      </c>
      <c r="J140" s="2" t="s">
        <v>74</v>
      </c>
      <c r="K140" s="2" t="s">
        <v>38</v>
      </c>
      <c r="L140" s="2" t="s">
        <v>38</v>
      </c>
      <c r="M140" s="2" t="s">
        <v>38</v>
      </c>
      <c r="N140" s="2" t="s">
        <v>38</v>
      </c>
      <c r="O140" s="2" t="s">
        <v>38</v>
      </c>
      <c r="P140" s="2" t="s">
        <v>38</v>
      </c>
      <c r="Q140" s="2" t="s">
        <v>38</v>
      </c>
      <c r="R140" s="2" t="s">
        <v>38</v>
      </c>
      <c r="S140" s="2" t="s">
        <v>38</v>
      </c>
      <c r="T140" s="2" t="s">
        <v>38</v>
      </c>
      <c r="U140" s="2" t="s">
        <v>38</v>
      </c>
      <c r="V140" s="2" t="s">
        <v>38</v>
      </c>
      <c r="W140" s="2" t="s">
        <v>38</v>
      </c>
      <c r="X140" s="2" t="s">
        <v>38</v>
      </c>
      <c r="Y140" s="2" t="s">
        <v>38</v>
      </c>
      <c r="Z140" s="2" t="s">
        <v>38</v>
      </c>
      <c r="AA140" s="2" t="s">
        <v>38</v>
      </c>
      <c r="AB140" s="2" t="s">
        <v>38</v>
      </c>
      <c r="AC140" s="2" t="s">
        <v>38</v>
      </c>
      <c r="AD140" s="2" t="s">
        <v>38</v>
      </c>
      <c r="AE140" s="2" t="s">
        <v>40</v>
      </c>
    </row>
    <row r="141" spans="1:31" ht="409.5">
      <c r="A141" s="2">
        <v>2768410</v>
      </c>
      <c r="B141" s="2">
        <f>HYPERLINK("https://platform.v2.vetology.net/cases/2768410/screening-report/1?type=pdf&amp;v=v6&amp;scorecard=1&amp;secret_key=BX%25IJ%24%2F65ieZ%29f6", 2768410)</f>
        <v>2768410</v>
      </c>
      <c r="C141" s="2">
        <f>HYPERLINK("https://platform.v2.vetology.net/report/v/final/"&amp;2768410, 2768410)</f>
        <v>2768410</v>
      </c>
      <c r="D141" s="2" t="s">
        <v>543</v>
      </c>
      <c r="E141" s="2" t="s">
        <v>544</v>
      </c>
      <c r="F141" s="2" t="s">
        <v>43</v>
      </c>
      <c r="G141" s="2" t="s">
        <v>44</v>
      </c>
      <c r="H141" s="2" t="s">
        <v>545</v>
      </c>
      <c r="I141" s="2" t="s">
        <v>36</v>
      </c>
      <c r="J141" s="2" t="s">
        <v>37</v>
      </c>
      <c r="K141" s="2" t="s">
        <v>39</v>
      </c>
      <c r="L141" s="2" t="s">
        <v>38</v>
      </c>
      <c r="M141" s="2" t="s">
        <v>38</v>
      </c>
      <c r="N141" s="2" t="s">
        <v>38</v>
      </c>
      <c r="O141" s="2" t="s">
        <v>38</v>
      </c>
      <c r="P141" s="2" t="s">
        <v>38</v>
      </c>
      <c r="Q141" s="2" t="s">
        <v>38</v>
      </c>
      <c r="R141" s="2" t="s">
        <v>38</v>
      </c>
      <c r="S141" s="2" t="s">
        <v>38</v>
      </c>
      <c r="T141" s="2" t="s">
        <v>38</v>
      </c>
      <c r="U141" s="2" t="s">
        <v>38</v>
      </c>
      <c r="V141" s="2" t="s">
        <v>38</v>
      </c>
      <c r="W141" s="2" t="s">
        <v>38</v>
      </c>
      <c r="X141" s="2" t="s">
        <v>39</v>
      </c>
      <c r="Y141" s="2" t="s">
        <v>39</v>
      </c>
      <c r="Z141" s="2" t="s">
        <v>38</v>
      </c>
      <c r="AA141" s="2" t="s">
        <v>38</v>
      </c>
      <c r="AB141" s="2" t="s">
        <v>39</v>
      </c>
      <c r="AC141" s="2" t="s">
        <v>38</v>
      </c>
      <c r="AD141" s="2" t="s">
        <v>38</v>
      </c>
      <c r="AE141" s="2"/>
    </row>
    <row r="142" spans="1:31" ht="409.5">
      <c r="A142" s="2">
        <v>2768399</v>
      </c>
      <c r="B142" s="2">
        <f>HYPERLINK("https://platform.v2.vetology.net/cases/2768399/screening-report/1?type=pdf&amp;v=v6&amp;scorecard=1&amp;secret_key=BX%25IJ%24%2F65ieZ%29f6", 2768399)</f>
        <v>2768399</v>
      </c>
      <c r="C142" s="2">
        <f>HYPERLINK("https://platform.v2.vetology.net/report/v/final/"&amp;2768399, 2768399)</f>
        <v>2768399</v>
      </c>
      <c r="D142" s="2" t="s">
        <v>546</v>
      </c>
      <c r="E142" s="2" t="s">
        <v>547</v>
      </c>
      <c r="F142" s="2" t="s">
        <v>548</v>
      </c>
      <c r="G142" s="2" t="s">
        <v>53</v>
      </c>
      <c r="H142" s="2" t="s">
        <v>69</v>
      </c>
      <c r="I142" s="2" t="s">
        <v>46</v>
      </c>
      <c r="J142" s="2"/>
      <c r="K142" s="2" t="s">
        <v>39</v>
      </c>
      <c r="L142" s="2" t="s">
        <v>39</v>
      </c>
      <c r="M142" s="2" t="s">
        <v>39</v>
      </c>
      <c r="N142" s="2" t="s">
        <v>39</v>
      </c>
      <c r="O142" s="2" t="s">
        <v>39</v>
      </c>
      <c r="P142" s="2" t="s">
        <v>39</v>
      </c>
      <c r="Q142" s="2" t="s">
        <v>39</v>
      </c>
      <c r="R142" s="2" t="s">
        <v>39</v>
      </c>
      <c r="S142" s="2" t="s">
        <v>39</v>
      </c>
      <c r="T142" s="2" t="s">
        <v>39</v>
      </c>
      <c r="U142" s="2" t="s">
        <v>39</v>
      </c>
      <c r="V142" s="2" t="s">
        <v>39</v>
      </c>
      <c r="W142" s="2" t="s">
        <v>39</v>
      </c>
      <c r="X142" s="2" t="s">
        <v>39</v>
      </c>
      <c r="Y142" s="2" t="s">
        <v>39</v>
      </c>
      <c r="Z142" s="2" t="s">
        <v>39</v>
      </c>
      <c r="AA142" s="2" t="s">
        <v>39</v>
      </c>
      <c r="AB142" s="2" t="s">
        <v>39</v>
      </c>
      <c r="AC142" s="2" t="s">
        <v>39</v>
      </c>
      <c r="AD142" s="2" t="s">
        <v>38</v>
      </c>
      <c r="AE142" s="2" t="s">
        <v>39</v>
      </c>
    </row>
    <row r="143" spans="1:31" ht="409.5">
      <c r="A143" s="2">
        <v>2768385</v>
      </c>
      <c r="B143" s="2">
        <f>HYPERLINK("https://platform.v2.vetology.net/cases/2768385/screening-report/1?type=pdf&amp;v=v6&amp;scorecard=1&amp;secret_key=BX%25IJ%24%2F65ieZ%29f6", 2768385)</f>
        <v>2768385</v>
      </c>
      <c r="C143" s="2">
        <f>HYPERLINK("https://platform.v2.vetology.net/report/v/final/"&amp;2768385, 2768385)</f>
        <v>2768385</v>
      </c>
      <c r="D143" s="2" t="s">
        <v>549</v>
      </c>
      <c r="E143" s="2" t="s">
        <v>550</v>
      </c>
      <c r="F143" s="2" t="s">
        <v>551</v>
      </c>
      <c r="G143" s="2" t="s">
        <v>44</v>
      </c>
      <c r="H143" s="2" t="s">
        <v>552</v>
      </c>
      <c r="I143" s="2" t="s">
        <v>129</v>
      </c>
      <c r="J143" s="2" t="s">
        <v>74</v>
      </c>
      <c r="K143" s="2" t="s">
        <v>39</v>
      </c>
      <c r="L143" s="2" t="s">
        <v>39</v>
      </c>
      <c r="M143" s="2" t="s">
        <v>38</v>
      </c>
      <c r="N143" s="2" t="s">
        <v>39</v>
      </c>
      <c r="O143" s="2" t="s">
        <v>38</v>
      </c>
      <c r="P143" s="2" t="s">
        <v>38</v>
      </c>
      <c r="Q143" s="2" t="s">
        <v>38</v>
      </c>
      <c r="R143" s="2" t="s">
        <v>38</v>
      </c>
      <c r="S143" s="2" t="s">
        <v>39</v>
      </c>
      <c r="T143" s="2" t="s">
        <v>38</v>
      </c>
      <c r="U143" s="2" t="s">
        <v>39</v>
      </c>
      <c r="V143" s="2" t="s">
        <v>38</v>
      </c>
      <c r="W143" s="2" t="s">
        <v>38</v>
      </c>
      <c r="X143" s="2" t="s">
        <v>38</v>
      </c>
      <c r="Y143" s="2" t="s">
        <v>39</v>
      </c>
      <c r="Z143" s="2" t="s">
        <v>38</v>
      </c>
      <c r="AA143" s="2" t="s">
        <v>38</v>
      </c>
      <c r="AB143" s="2" t="s">
        <v>38</v>
      </c>
      <c r="AC143" s="2" t="s">
        <v>38</v>
      </c>
      <c r="AD143" s="2" t="s">
        <v>38</v>
      </c>
      <c r="AE143" s="2" t="s">
        <v>39</v>
      </c>
    </row>
    <row r="144" spans="1:31" ht="409.5">
      <c r="A144" s="2">
        <v>2768374</v>
      </c>
      <c r="B144" s="2">
        <f>HYPERLINK("https://platform.v2.vetology.net/cases/2768374/screening-report/1?type=pdf&amp;v=v6&amp;scorecard=1&amp;secret_key=BX%25IJ%24%2F65ieZ%29f6", 2768374)</f>
        <v>2768374</v>
      </c>
      <c r="C144" s="2">
        <f>HYPERLINK("https://platform.v2.vetology.net/report/v/final/"&amp;2768374, 2768374)</f>
        <v>2768374</v>
      </c>
      <c r="D144" s="2" t="s">
        <v>553</v>
      </c>
      <c r="E144" s="2" t="s">
        <v>554</v>
      </c>
      <c r="F144" s="2" t="s">
        <v>555</v>
      </c>
      <c r="G144" s="2" t="s">
        <v>556</v>
      </c>
      <c r="H144" s="2" t="s">
        <v>557</v>
      </c>
      <c r="I144" s="2" t="s">
        <v>36</v>
      </c>
      <c r="J144" s="2" t="s">
        <v>37</v>
      </c>
      <c r="K144" s="2" t="s">
        <v>38</v>
      </c>
      <c r="L144" s="2" t="s">
        <v>39</v>
      </c>
      <c r="M144" s="2" t="s">
        <v>39</v>
      </c>
      <c r="N144" s="2" t="s">
        <v>39</v>
      </c>
      <c r="O144" s="2" t="s">
        <v>39</v>
      </c>
      <c r="P144" s="2" t="s">
        <v>39</v>
      </c>
      <c r="Q144" s="2" t="s">
        <v>39</v>
      </c>
      <c r="R144" s="2" t="s">
        <v>38</v>
      </c>
      <c r="S144" s="2" t="s">
        <v>39</v>
      </c>
      <c r="T144" s="2" t="s">
        <v>39</v>
      </c>
      <c r="U144" s="2" t="s">
        <v>38</v>
      </c>
      <c r="V144" s="2" t="s">
        <v>38</v>
      </c>
      <c r="W144" s="2" t="s">
        <v>39</v>
      </c>
      <c r="X144" s="2" t="s">
        <v>39</v>
      </c>
      <c r="Y144" s="2" t="s">
        <v>39</v>
      </c>
      <c r="Z144" s="2" t="s">
        <v>38</v>
      </c>
      <c r="AA144" s="2" t="s">
        <v>39</v>
      </c>
      <c r="AB144" s="2" t="s">
        <v>39</v>
      </c>
      <c r="AC144" s="2" t="s">
        <v>38</v>
      </c>
      <c r="AD144" s="2" t="s">
        <v>38</v>
      </c>
      <c r="AE144" s="2" t="s">
        <v>39</v>
      </c>
    </row>
    <row r="145" spans="1:31" ht="409.5">
      <c r="A145" s="2">
        <v>2768297</v>
      </c>
      <c r="B145" s="2">
        <f>HYPERLINK("https://platform.v2.vetology.net/cases/2768297/screening-report/1?type=pdf&amp;v=v6&amp;scorecard=1&amp;secret_key=BX%25IJ%24%2F65ieZ%29f6", 2768297)</f>
        <v>2768297</v>
      </c>
      <c r="C145" s="2">
        <f>HYPERLINK("https://platform.v2.vetology.net/report/v/final/"&amp;2768297, 2768297)</f>
        <v>2768297</v>
      </c>
      <c r="D145" s="2" t="s">
        <v>558</v>
      </c>
      <c r="E145" s="2" t="s">
        <v>559</v>
      </c>
      <c r="F145" s="2" t="s">
        <v>560</v>
      </c>
      <c r="G145" s="2" t="s">
        <v>34</v>
      </c>
      <c r="H145" s="2" t="s">
        <v>561</v>
      </c>
      <c r="I145" s="2" t="s">
        <v>36</v>
      </c>
      <c r="J145" s="2" t="s">
        <v>37</v>
      </c>
      <c r="K145" s="2" t="s">
        <v>39</v>
      </c>
      <c r="L145" s="2" t="s">
        <v>38</v>
      </c>
      <c r="M145" s="2" t="s">
        <v>38</v>
      </c>
      <c r="N145" s="2" t="s">
        <v>38</v>
      </c>
      <c r="O145" s="2" t="s">
        <v>38</v>
      </c>
      <c r="P145" s="2" t="s">
        <v>39</v>
      </c>
      <c r="Q145" s="2" t="s">
        <v>39</v>
      </c>
      <c r="R145" s="2" t="s">
        <v>38</v>
      </c>
      <c r="S145" s="2" t="s">
        <v>38</v>
      </c>
      <c r="T145" s="2" t="s">
        <v>39</v>
      </c>
      <c r="U145" s="2" t="s">
        <v>39</v>
      </c>
      <c r="V145" s="2" t="s">
        <v>39</v>
      </c>
      <c r="W145" s="2" t="s">
        <v>38</v>
      </c>
      <c r="X145" s="2" t="s">
        <v>39</v>
      </c>
      <c r="Y145" s="2" t="s">
        <v>39</v>
      </c>
      <c r="Z145" s="2" t="s">
        <v>38</v>
      </c>
      <c r="AA145" s="2" t="s">
        <v>38</v>
      </c>
      <c r="AB145" s="2" t="s">
        <v>39</v>
      </c>
      <c r="AC145" s="2" t="s">
        <v>38</v>
      </c>
      <c r="AD145" s="2" t="s">
        <v>38</v>
      </c>
      <c r="AE145" s="2" t="s">
        <v>39</v>
      </c>
    </row>
    <row r="146" spans="1:31" ht="409.5">
      <c r="A146" s="2">
        <v>2768283</v>
      </c>
      <c r="B146" s="2">
        <f>HYPERLINK("https://platform.v2.vetology.net/cases/2768283/screening-report/1?type=pdf&amp;v=v6&amp;scorecard=1&amp;secret_key=BX%25IJ%24%2F65ieZ%29f6", 2768283)</f>
        <v>2768283</v>
      </c>
      <c r="C146" s="2">
        <f>HYPERLINK("https://platform.v2.vetology.net/report/v/final/"&amp;2768283, 2768283)</f>
        <v>2768283</v>
      </c>
      <c r="D146" s="2" t="s">
        <v>562</v>
      </c>
      <c r="E146" s="2" t="s">
        <v>563</v>
      </c>
      <c r="F146" s="2" t="s">
        <v>564</v>
      </c>
      <c r="G146" s="2" t="s">
        <v>53</v>
      </c>
      <c r="H146" s="2" t="s">
        <v>565</v>
      </c>
      <c r="I146" s="2" t="s">
        <v>36</v>
      </c>
      <c r="J146" s="2" t="s">
        <v>37</v>
      </c>
      <c r="K146" s="2" t="s">
        <v>38</v>
      </c>
      <c r="L146" s="2" t="s">
        <v>39</v>
      </c>
      <c r="M146" s="2" t="s">
        <v>39</v>
      </c>
      <c r="N146" s="2" t="s">
        <v>38</v>
      </c>
      <c r="O146" s="2" t="s">
        <v>39</v>
      </c>
      <c r="P146" s="2" t="s">
        <v>39</v>
      </c>
      <c r="Q146" s="2" t="s">
        <v>38</v>
      </c>
      <c r="R146" s="2" t="s">
        <v>39</v>
      </c>
      <c r="S146" s="2" t="s">
        <v>39</v>
      </c>
      <c r="T146" s="2" t="s">
        <v>38</v>
      </c>
      <c r="U146" s="2" t="s">
        <v>38</v>
      </c>
      <c r="V146" s="2" t="s">
        <v>38</v>
      </c>
      <c r="W146" s="2" t="s">
        <v>39</v>
      </c>
      <c r="X146" s="2" t="s">
        <v>39</v>
      </c>
      <c r="Y146" s="2" t="s">
        <v>39</v>
      </c>
      <c r="Z146" s="2" t="s">
        <v>39</v>
      </c>
      <c r="AA146" s="2" t="s">
        <v>39</v>
      </c>
      <c r="AB146" s="2" t="s">
        <v>39</v>
      </c>
      <c r="AC146" s="2" t="s">
        <v>39</v>
      </c>
      <c r="AD146" s="2" t="s">
        <v>39</v>
      </c>
      <c r="AE146" s="2" t="s">
        <v>40</v>
      </c>
    </row>
    <row r="147" spans="1:31" ht="409.5">
      <c r="A147" s="2">
        <v>2768244</v>
      </c>
      <c r="B147" s="2">
        <f>HYPERLINK("https://platform.v2.vetology.net/cases/2768244/screening-report/1?type=pdf&amp;v=v6&amp;scorecard=1&amp;secret_key=BX%25IJ%24%2F65ieZ%29f6", 2768244)</f>
        <v>2768244</v>
      </c>
      <c r="C147" s="2">
        <f>HYPERLINK("https://platform.v2.vetology.net/report/v/final/"&amp;2768244, 2768244)</f>
        <v>2768244</v>
      </c>
      <c r="D147" s="2" t="s">
        <v>566</v>
      </c>
      <c r="E147" s="2" t="s">
        <v>567</v>
      </c>
      <c r="F147" s="2" t="s">
        <v>229</v>
      </c>
      <c r="G147" s="2" t="s">
        <v>170</v>
      </c>
      <c r="H147" s="2" t="s">
        <v>568</v>
      </c>
      <c r="I147" s="2" t="s">
        <v>129</v>
      </c>
      <c r="J147" s="2" t="s">
        <v>74</v>
      </c>
      <c r="K147" s="2" t="s">
        <v>39</v>
      </c>
      <c r="L147" s="2" t="s">
        <v>38</v>
      </c>
      <c r="M147" s="2" t="s">
        <v>39</v>
      </c>
      <c r="N147" s="2" t="s">
        <v>38</v>
      </c>
      <c r="O147" s="2" t="s">
        <v>38</v>
      </c>
      <c r="P147" s="2" t="s">
        <v>38</v>
      </c>
      <c r="Q147" s="2" t="s">
        <v>38</v>
      </c>
      <c r="R147" s="2" t="s">
        <v>39</v>
      </c>
      <c r="S147" s="2" t="s">
        <v>38</v>
      </c>
      <c r="T147" s="2" t="s">
        <v>39</v>
      </c>
      <c r="U147" s="2" t="s">
        <v>39</v>
      </c>
      <c r="V147" s="2" t="s">
        <v>39</v>
      </c>
      <c r="W147" s="2" t="s">
        <v>39</v>
      </c>
      <c r="X147" s="2" t="s">
        <v>39</v>
      </c>
      <c r="Y147" s="2" t="s">
        <v>38</v>
      </c>
      <c r="Z147" s="2" t="s">
        <v>38</v>
      </c>
      <c r="AA147" s="2" t="s">
        <v>39</v>
      </c>
      <c r="AB147" s="2" t="s">
        <v>38</v>
      </c>
      <c r="AC147" s="2" t="s">
        <v>38</v>
      </c>
      <c r="AD147" s="2" t="s">
        <v>38</v>
      </c>
      <c r="AE147" s="2" t="s">
        <v>39</v>
      </c>
    </row>
    <row r="148" spans="1:31" ht="409.5">
      <c r="A148" s="2">
        <v>2768228</v>
      </c>
      <c r="B148" s="2">
        <f>HYPERLINK("https://platform.v2.vetology.net/cases/2768228/screening-report/1?type=pdf&amp;v=v6&amp;scorecard=1&amp;secret_key=BX%25IJ%24%2F65ieZ%29f6", 2768228)</f>
        <v>2768228</v>
      </c>
      <c r="C148" s="2">
        <f>HYPERLINK("https://platform.v2.vetology.net/report/v/final/"&amp;2768228, 2768228)</f>
        <v>2768228</v>
      </c>
      <c r="D148" s="2" t="s">
        <v>569</v>
      </c>
      <c r="E148" s="2" t="s">
        <v>570</v>
      </c>
      <c r="F148" s="2" t="s">
        <v>571</v>
      </c>
      <c r="G148" s="2" t="s">
        <v>127</v>
      </c>
      <c r="H148" s="2" t="s">
        <v>572</v>
      </c>
      <c r="I148" s="2" t="s">
        <v>129</v>
      </c>
      <c r="J148" s="2" t="s">
        <v>74</v>
      </c>
      <c r="K148" s="2" t="s">
        <v>39</v>
      </c>
      <c r="L148" s="2" t="s">
        <v>38</v>
      </c>
      <c r="M148" s="2" t="s">
        <v>38</v>
      </c>
      <c r="N148" s="2" t="s">
        <v>38</v>
      </c>
      <c r="O148" s="2" t="s">
        <v>38</v>
      </c>
      <c r="P148" s="2" t="s">
        <v>38</v>
      </c>
      <c r="Q148" s="2" t="s">
        <v>38</v>
      </c>
      <c r="R148" s="2" t="s">
        <v>38</v>
      </c>
      <c r="S148" s="2" t="s">
        <v>38</v>
      </c>
      <c r="T148" s="2" t="s">
        <v>38</v>
      </c>
      <c r="U148" s="2" t="s">
        <v>39</v>
      </c>
      <c r="V148" s="2" t="s">
        <v>39</v>
      </c>
      <c r="W148" s="2" t="s">
        <v>38</v>
      </c>
      <c r="X148" s="2" t="s">
        <v>38</v>
      </c>
      <c r="Y148" s="2" t="s">
        <v>39</v>
      </c>
      <c r="Z148" s="2" t="s">
        <v>38</v>
      </c>
      <c r="AA148" s="2" t="s">
        <v>38</v>
      </c>
      <c r="AB148" s="2" t="s">
        <v>38</v>
      </c>
      <c r="AC148" s="2" t="s">
        <v>38</v>
      </c>
      <c r="AD148" s="2" t="s">
        <v>39</v>
      </c>
      <c r="AE148" s="2" t="s">
        <v>40</v>
      </c>
    </row>
    <row r="149" spans="1:31" ht="409.5">
      <c r="A149" s="2">
        <v>2768221</v>
      </c>
      <c r="B149" s="2">
        <f>HYPERLINK("https://platform.v2.vetology.net/cases/2768221/screening-report/1?type=pdf&amp;v=v6&amp;scorecard=1&amp;secret_key=BX%25IJ%24%2F65ieZ%29f6", 2768221)</f>
        <v>2768221</v>
      </c>
      <c r="C149" s="2">
        <f>HYPERLINK("https://platform.v2.vetology.net/report/v/final/"&amp;2768221, 2768221)</f>
        <v>2768221</v>
      </c>
      <c r="D149" s="2" t="s">
        <v>573</v>
      </c>
      <c r="E149" s="2" t="s">
        <v>574</v>
      </c>
      <c r="F149" s="2" t="s">
        <v>575</v>
      </c>
      <c r="G149" s="2" t="s">
        <v>34</v>
      </c>
      <c r="H149" s="2" t="s">
        <v>576</v>
      </c>
      <c r="I149" s="2" t="s">
        <v>129</v>
      </c>
      <c r="J149" s="2" t="s">
        <v>74</v>
      </c>
      <c r="K149" s="2" t="s">
        <v>38</v>
      </c>
      <c r="L149" s="2" t="s">
        <v>38</v>
      </c>
      <c r="M149" s="2" t="s">
        <v>38</v>
      </c>
      <c r="N149" s="2" t="s">
        <v>38</v>
      </c>
      <c r="O149" s="2" t="s">
        <v>38</v>
      </c>
      <c r="P149" s="2" t="s">
        <v>38</v>
      </c>
      <c r="Q149" s="2" t="s">
        <v>38</v>
      </c>
      <c r="R149" s="2" t="s">
        <v>38</v>
      </c>
      <c r="S149" s="2" t="s">
        <v>38</v>
      </c>
      <c r="T149" s="2" t="s">
        <v>38</v>
      </c>
      <c r="U149" s="2" t="s">
        <v>39</v>
      </c>
      <c r="V149" s="2" t="s">
        <v>38</v>
      </c>
      <c r="W149" s="2" t="s">
        <v>38</v>
      </c>
      <c r="X149" s="2" t="s">
        <v>38</v>
      </c>
      <c r="Y149" s="2" t="s">
        <v>38</v>
      </c>
      <c r="Z149" s="2" t="s">
        <v>38</v>
      </c>
      <c r="AA149" s="2" t="s">
        <v>38</v>
      </c>
      <c r="AB149" s="2" t="s">
        <v>38</v>
      </c>
      <c r="AC149" s="2" t="s">
        <v>38</v>
      </c>
      <c r="AD149" s="2" t="s">
        <v>38</v>
      </c>
      <c r="AE149" s="2" t="s">
        <v>39</v>
      </c>
    </row>
    <row r="150" spans="1:31" ht="409.5">
      <c r="A150" s="2">
        <v>2768214</v>
      </c>
      <c r="B150" s="2">
        <f>HYPERLINK("https://platform.v2.vetology.net/cases/2768214/screening-report/1?type=pdf&amp;v=v6&amp;scorecard=1&amp;secret_key=BX%25IJ%24%2F65ieZ%29f6", 2768214)</f>
        <v>2768214</v>
      </c>
      <c r="C150" s="2">
        <f>HYPERLINK("https://platform.v2.vetology.net/report/v/final/"&amp;2768214, 2768214)</f>
        <v>2768214</v>
      </c>
      <c r="D150" s="2" t="s">
        <v>577</v>
      </c>
      <c r="E150" s="2" t="s">
        <v>578</v>
      </c>
      <c r="F150" s="2" t="s">
        <v>579</v>
      </c>
      <c r="G150" s="2" t="s">
        <v>34</v>
      </c>
      <c r="H150" s="2" t="s">
        <v>580</v>
      </c>
      <c r="I150" s="2" t="s">
        <v>129</v>
      </c>
      <c r="J150" s="2" t="s">
        <v>74</v>
      </c>
      <c r="K150" s="2" t="s">
        <v>39</v>
      </c>
      <c r="L150" s="2" t="s">
        <v>39</v>
      </c>
      <c r="M150" s="2" t="s">
        <v>39</v>
      </c>
      <c r="N150" s="2" t="s">
        <v>39</v>
      </c>
      <c r="O150" s="2" t="s">
        <v>38</v>
      </c>
      <c r="P150" s="2" t="s">
        <v>38</v>
      </c>
      <c r="Q150" s="2" t="s">
        <v>38</v>
      </c>
      <c r="R150" s="2" t="s">
        <v>38</v>
      </c>
      <c r="S150" s="2" t="s">
        <v>38</v>
      </c>
      <c r="T150" s="2" t="s">
        <v>38</v>
      </c>
      <c r="U150" s="2" t="s">
        <v>39</v>
      </c>
      <c r="V150" s="2" t="s">
        <v>39</v>
      </c>
      <c r="W150" s="2" t="s">
        <v>38</v>
      </c>
      <c r="X150" s="2" t="s">
        <v>39</v>
      </c>
      <c r="Y150" s="2" t="s">
        <v>39</v>
      </c>
      <c r="Z150" s="2" t="s">
        <v>38</v>
      </c>
      <c r="AA150" s="2" t="s">
        <v>38</v>
      </c>
      <c r="AB150" s="2" t="s">
        <v>39</v>
      </c>
      <c r="AC150" s="2" t="s">
        <v>39</v>
      </c>
      <c r="AD150" s="2" t="s">
        <v>38</v>
      </c>
      <c r="AE150" s="2" t="s">
        <v>39</v>
      </c>
    </row>
    <row r="151" spans="1:31" ht="409.5">
      <c r="A151" s="2">
        <v>2768207</v>
      </c>
      <c r="B151" s="2">
        <f>HYPERLINK("https://platform.v2.vetology.net/cases/2768207/screening-report/1?type=pdf&amp;v=v6&amp;scorecard=1&amp;secret_key=BX%25IJ%24%2F65ieZ%29f6", 2768207)</f>
        <v>2768207</v>
      </c>
      <c r="C151" s="2">
        <f>HYPERLINK("https://platform.v2.vetology.net/report/v/final/"&amp;2768207, 2768207)</f>
        <v>2768207</v>
      </c>
      <c r="D151" s="2" t="s">
        <v>581</v>
      </c>
      <c r="E151" s="2" t="s">
        <v>582</v>
      </c>
      <c r="F151" s="2" t="s">
        <v>583</v>
      </c>
      <c r="G151" s="2" t="s">
        <v>34</v>
      </c>
      <c r="H151" s="2" t="s">
        <v>584</v>
      </c>
      <c r="I151" s="2" t="s">
        <v>73</v>
      </c>
      <c r="J151" s="2" t="s">
        <v>74</v>
      </c>
      <c r="K151" s="2" t="s">
        <v>38</v>
      </c>
      <c r="L151" s="2" t="s">
        <v>38</v>
      </c>
      <c r="M151" s="2" t="s">
        <v>38</v>
      </c>
      <c r="N151" s="2" t="s">
        <v>38</v>
      </c>
      <c r="O151" s="2" t="s">
        <v>38</v>
      </c>
      <c r="P151" s="2" t="s">
        <v>38</v>
      </c>
      <c r="Q151" s="2" t="s">
        <v>38</v>
      </c>
      <c r="R151" s="2" t="s">
        <v>38</v>
      </c>
      <c r="S151" s="2" t="s">
        <v>38</v>
      </c>
      <c r="T151" s="2" t="s">
        <v>38</v>
      </c>
      <c r="U151" s="2" t="s">
        <v>39</v>
      </c>
      <c r="V151" s="2" t="s">
        <v>38</v>
      </c>
      <c r="W151" s="2" t="s">
        <v>38</v>
      </c>
      <c r="X151" s="2" t="s">
        <v>38</v>
      </c>
      <c r="Y151" s="2" t="s">
        <v>38</v>
      </c>
      <c r="Z151" s="2" t="s">
        <v>38</v>
      </c>
      <c r="AA151" s="2" t="s">
        <v>38</v>
      </c>
      <c r="AB151" s="2" t="s">
        <v>38</v>
      </c>
      <c r="AC151" s="2" t="s">
        <v>38</v>
      </c>
      <c r="AD151" s="2" t="s">
        <v>39</v>
      </c>
      <c r="AE151" s="2" t="s">
        <v>39</v>
      </c>
    </row>
    <row r="152" spans="1:31" ht="409.5">
      <c r="A152" s="2">
        <v>2768197</v>
      </c>
      <c r="B152" s="2">
        <f>HYPERLINK("https://platform.v2.vetology.net/cases/2768197/screening-report/1?type=pdf&amp;v=v6&amp;scorecard=1&amp;secret_key=BX%25IJ%24%2F65ieZ%29f6", 2768197)</f>
        <v>2768197</v>
      </c>
      <c r="C152" s="2">
        <f>HYPERLINK("https://platform.v2.vetology.net/report/v/final/"&amp;2768197, 2768197)</f>
        <v>2768197</v>
      </c>
      <c r="D152" s="2" t="s">
        <v>585</v>
      </c>
      <c r="E152" s="2" t="s">
        <v>586</v>
      </c>
      <c r="F152" s="2" t="s">
        <v>587</v>
      </c>
      <c r="G152" s="2" t="s">
        <v>127</v>
      </c>
      <c r="H152" s="2" t="s">
        <v>588</v>
      </c>
      <c r="I152" s="2" t="s">
        <v>36</v>
      </c>
      <c r="J152" s="2" t="s">
        <v>37</v>
      </c>
      <c r="K152" s="2" t="s">
        <v>38</v>
      </c>
      <c r="L152" s="2" t="s">
        <v>38</v>
      </c>
      <c r="M152" s="2" t="s">
        <v>38</v>
      </c>
      <c r="N152" s="2" t="s">
        <v>39</v>
      </c>
      <c r="O152" s="2" t="s">
        <v>38</v>
      </c>
      <c r="P152" s="2" t="s">
        <v>39</v>
      </c>
      <c r="Q152" s="2" t="s">
        <v>39</v>
      </c>
      <c r="R152" s="2" t="s">
        <v>38</v>
      </c>
      <c r="S152" s="2" t="s">
        <v>38</v>
      </c>
      <c r="T152" s="2" t="s">
        <v>38</v>
      </c>
      <c r="U152" s="2" t="s">
        <v>38</v>
      </c>
      <c r="V152" s="2" t="s">
        <v>38</v>
      </c>
      <c r="W152" s="2" t="s">
        <v>38</v>
      </c>
      <c r="X152" s="2" t="s">
        <v>39</v>
      </c>
      <c r="Y152" s="2" t="s">
        <v>38</v>
      </c>
      <c r="Z152" s="2" t="s">
        <v>38</v>
      </c>
      <c r="AA152" s="2" t="s">
        <v>38</v>
      </c>
      <c r="AB152" s="2" t="s">
        <v>39</v>
      </c>
      <c r="AC152" s="2" t="s">
        <v>38</v>
      </c>
      <c r="AD152" s="2" t="s">
        <v>38</v>
      </c>
      <c r="AE152" s="2" t="s">
        <v>40</v>
      </c>
    </row>
    <row r="153" spans="1:31" ht="409.5">
      <c r="A153" s="2">
        <v>2768191</v>
      </c>
      <c r="B153" s="2">
        <f>HYPERLINK("https://platform.v2.vetology.net/cases/2768191/screening-report/1?type=pdf&amp;v=v6&amp;scorecard=1&amp;secret_key=BX%25IJ%24%2F65ieZ%29f6", 2768191)</f>
        <v>2768191</v>
      </c>
      <c r="C153" s="2">
        <f>HYPERLINK("https://platform.v2.vetology.net/report/v/final/"&amp;2768191, 2768191)</f>
        <v>2768191</v>
      </c>
      <c r="D153" s="2" t="s">
        <v>589</v>
      </c>
      <c r="E153" s="2" t="s">
        <v>590</v>
      </c>
      <c r="F153" s="2" t="s">
        <v>591</v>
      </c>
      <c r="G153" s="2" t="s">
        <v>44</v>
      </c>
      <c r="H153" s="2" t="s">
        <v>592</v>
      </c>
      <c r="I153" s="2" t="s">
        <v>257</v>
      </c>
      <c r="J153" s="2" t="s">
        <v>74</v>
      </c>
      <c r="K153" s="2" t="s">
        <v>38</v>
      </c>
      <c r="L153" s="2" t="s">
        <v>38</v>
      </c>
      <c r="M153" s="2" t="s">
        <v>38</v>
      </c>
      <c r="N153" s="2" t="s">
        <v>38</v>
      </c>
      <c r="O153" s="2" t="s">
        <v>38</v>
      </c>
      <c r="P153" s="2" t="s">
        <v>38</v>
      </c>
      <c r="Q153" s="2" t="s">
        <v>38</v>
      </c>
      <c r="R153" s="2" t="s">
        <v>38</v>
      </c>
      <c r="S153" s="2" t="s">
        <v>38</v>
      </c>
      <c r="T153" s="2" t="s">
        <v>38</v>
      </c>
      <c r="U153" s="2" t="s">
        <v>38</v>
      </c>
      <c r="V153" s="2" t="s">
        <v>38</v>
      </c>
      <c r="W153" s="2" t="s">
        <v>38</v>
      </c>
      <c r="X153" s="2" t="s">
        <v>38</v>
      </c>
      <c r="Y153" s="2" t="s">
        <v>38</v>
      </c>
      <c r="Z153" s="2" t="s">
        <v>38</v>
      </c>
      <c r="AA153" s="2" t="s">
        <v>38</v>
      </c>
      <c r="AB153" s="2" t="s">
        <v>38</v>
      </c>
      <c r="AC153" s="2" t="s">
        <v>38</v>
      </c>
      <c r="AD153" s="2" t="s">
        <v>38</v>
      </c>
      <c r="AE153" s="2"/>
    </row>
    <row r="154" spans="1:31" ht="409.5">
      <c r="A154" s="2">
        <v>2768131</v>
      </c>
      <c r="B154" s="2">
        <f>HYPERLINK("https://platform.v2.vetology.net/cases/2768131/screening-report/1?type=pdf&amp;v=v6&amp;scorecard=1&amp;secret_key=BX%25IJ%24%2F65ieZ%29f6", 2768131)</f>
        <v>2768131</v>
      </c>
      <c r="C154" s="2">
        <f>HYPERLINK("https://platform.v2.vetology.net/report/v/final/"&amp;2768131, 2768131)</f>
        <v>2768131</v>
      </c>
      <c r="D154" s="2" t="s">
        <v>593</v>
      </c>
      <c r="E154" s="2" t="s">
        <v>594</v>
      </c>
      <c r="F154" s="2" t="s">
        <v>595</v>
      </c>
      <c r="G154" s="2" t="s">
        <v>127</v>
      </c>
      <c r="H154" s="2" t="s">
        <v>69</v>
      </c>
      <c r="I154" s="2" t="s">
        <v>46</v>
      </c>
      <c r="J154" s="2"/>
      <c r="K154" s="2" t="s">
        <v>39</v>
      </c>
      <c r="L154" s="2" t="s">
        <v>39</v>
      </c>
      <c r="M154" s="2" t="s">
        <v>39</v>
      </c>
      <c r="N154" s="2" t="s">
        <v>39</v>
      </c>
      <c r="O154" s="2" t="s">
        <v>39</v>
      </c>
      <c r="P154" s="2" t="s">
        <v>39</v>
      </c>
      <c r="Q154" s="2" t="s">
        <v>39</v>
      </c>
      <c r="R154" s="2" t="s">
        <v>39</v>
      </c>
      <c r="S154" s="2" t="s">
        <v>39</v>
      </c>
      <c r="T154" s="2" t="s">
        <v>39</v>
      </c>
      <c r="U154" s="2" t="s">
        <v>39</v>
      </c>
      <c r="V154" s="2" t="s">
        <v>39</v>
      </c>
      <c r="W154" s="2" t="s">
        <v>39</v>
      </c>
      <c r="X154" s="2" t="s">
        <v>39</v>
      </c>
      <c r="Y154" s="2" t="s">
        <v>39</v>
      </c>
      <c r="Z154" s="2" t="s">
        <v>39</v>
      </c>
      <c r="AA154" s="2" t="s">
        <v>39</v>
      </c>
      <c r="AB154" s="2" t="s">
        <v>39</v>
      </c>
      <c r="AC154" s="2" t="s">
        <v>39</v>
      </c>
      <c r="AD154" s="2" t="s">
        <v>39</v>
      </c>
      <c r="AE154" s="2" t="s">
        <v>39</v>
      </c>
    </row>
    <row r="155" spans="1:31" ht="409.5">
      <c r="A155" s="2">
        <v>2768110</v>
      </c>
      <c r="B155" s="2">
        <f>HYPERLINK("https://platform.v2.vetology.net/cases/2768110/screening-report/1?type=pdf&amp;v=v6&amp;scorecard=1&amp;secret_key=BX%25IJ%24%2F65ieZ%29f6", 2768110)</f>
        <v>2768110</v>
      </c>
      <c r="C155" s="2">
        <f>HYPERLINK("https://platform.v2.vetology.net/report/v/final/"&amp;2768110, 2768110)</f>
        <v>2768110</v>
      </c>
      <c r="D155" s="2" t="s">
        <v>596</v>
      </c>
      <c r="E155" s="2" t="s">
        <v>597</v>
      </c>
      <c r="F155" s="2" t="s">
        <v>598</v>
      </c>
      <c r="G155" s="2" t="s">
        <v>34</v>
      </c>
      <c r="H155" s="2" t="s">
        <v>69</v>
      </c>
      <c r="I155" s="2" t="s">
        <v>46</v>
      </c>
      <c r="J155" s="2"/>
      <c r="K155" s="2" t="s">
        <v>39</v>
      </c>
      <c r="L155" s="2" t="s">
        <v>39</v>
      </c>
      <c r="M155" s="2" t="s">
        <v>39</v>
      </c>
      <c r="N155" s="2" t="s">
        <v>39</v>
      </c>
      <c r="O155" s="2" t="s">
        <v>39</v>
      </c>
      <c r="P155" s="2" t="s">
        <v>39</v>
      </c>
      <c r="Q155" s="2" t="s">
        <v>39</v>
      </c>
      <c r="R155" s="2" t="s">
        <v>39</v>
      </c>
      <c r="S155" s="2" t="s">
        <v>39</v>
      </c>
      <c r="T155" s="2" t="s">
        <v>38</v>
      </c>
      <c r="U155" s="2" t="s">
        <v>38</v>
      </c>
      <c r="V155" s="2" t="s">
        <v>39</v>
      </c>
      <c r="W155" s="2" t="s">
        <v>39</v>
      </c>
      <c r="X155" s="2" t="s">
        <v>39</v>
      </c>
      <c r="Y155" s="2" t="s">
        <v>39</v>
      </c>
      <c r="Z155" s="2" t="s">
        <v>39</v>
      </c>
      <c r="AA155" s="2" t="s">
        <v>39</v>
      </c>
      <c r="AB155" s="2" t="s">
        <v>39</v>
      </c>
      <c r="AC155" s="2" t="s">
        <v>39</v>
      </c>
      <c r="AD155" s="2" t="s">
        <v>39</v>
      </c>
      <c r="AE155" s="2" t="s">
        <v>39</v>
      </c>
    </row>
    <row r="156" spans="1:31" ht="409.5">
      <c r="A156" s="2">
        <v>2768108</v>
      </c>
      <c r="B156" s="2">
        <f>HYPERLINK("https://platform.v2.vetology.net/cases/2768108/screening-report/1?type=pdf&amp;v=v6&amp;scorecard=1&amp;secret_key=BX%25IJ%24%2F65ieZ%29f6", 2768108)</f>
        <v>2768108</v>
      </c>
      <c r="C156" s="2">
        <f>HYPERLINK("https://platform.v2.vetology.net/report/v/final/"&amp;2768108, 2768108)</f>
        <v>2768108</v>
      </c>
      <c r="D156" s="2" t="s">
        <v>599</v>
      </c>
      <c r="E156" s="2" t="s">
        <v>600</v>
      </c>
      <c r="F156" s="2" t="s">
        <v>601</v>
      </c>
      <c r="G156" s="2" t="s">
        <v>53</v>
      </c>
      <c r="H156" s="2" t="s">
        <v>45</v>
      </c>
      <c r="I156" s="2" t="s">
        <v>46</v>
      </c>
      <c r="J156" s="2"/>
      <c r="K156" s="2" t="s">
        <v>39</v>
      </c>
      <c r="L156" s="2" t="s">
        <v>39</v>
      </c>
      <c r="M156" s="2" t="s">
        <v>39</v>
      </c>
      <c r="N156" s="2" t="s">
        <v>39</v>
      </c>
      <c r="O156" s="2" t="s">
        <v>39</v>
      </c>
      <c r="P156" s="2" t="s">
        <v>39</v>
      </c>
      <c r="Q156" s="2" t="s">
        <v>39</v>
      </c>
      <c r="R156" s="2" t="s">
        <v>38</v>
      </c>
      <c r="S156" s="2" t="s">
        <v>39</v>
      </c>
      <c r="T156" s="2" t="s">
        <v>39</v>
      </c>
      <c r="U156" s="2" t="s">
        <v>39</v>
      </c>
      <c r="V156" s="2" t="s">
        <v>39</v>
      </c>
      <c r="W156" s="2" t="s">
        <v>38</v>
      </c>
      <c r="X156" s="2" t="s">
        <v>39</v>
      </c>
      <c r="Y156" s="2" t="s">
        <v>39</v>
      </c>
      <c r="Z156" s="2" t="s">
        <v>39</v>
      </c>
      <c r="AA156" s="2" t="s">
        <v>38</v>
      </c>
      <c r="AB156" s="2" t="s">
        <v>39</v>
      </c>
      <c r="AC156" s="2" t="s">
        <v>38</v>
      </c>
      <c r="AD156" s="2" t="s">
        <v>39</v>
      </c>
      <c r="AE156" s="2" t="s">
        <v>40</v>
      </c>
    </row>
    <row r="157" spans="1:31" ht="409.5">
      <c r="A157" s="2">
        <v>2768102</v>
      </c>
      <c r="B157" s="2">
        <f>HYPERLINK("https://platform.v2.vetology.net/cases/2768102/screening-report/1?type=pdf&amp;v=v6&amp;scorecard=1&amp;secret_key=BX%25IJ%24%2F65ieZ%29f6", 2768102)</f>
        <v>2768102</v>
      </c>
      <c r="C157" s="2">
        <f>HYPERLINK("https://platform.v2.vetology.net/report/v/final/"&amp;2768102, 2768102)</f>
        <v>2768102</v>
      </c>
      <c r="D157" s="2" t="s">
        <v>602</v>
      </c>
      <c r="E157" s="2" t="s">
        <v>603</v>
      </c>
      <c r="F157" s="2" t="s">
        <v>604</v>
      </c>
      <c r="G157" s="2" t="s">
        <v>251</v>
      </c>
      <c r="H157" s="2" t="s">
        <v>605</v>
      </c>
      <c r="I157" s="2" t="s">
        <v>36</v>
      </c>
      <c r="J157" s="2" t="s">
        <v>37</v>
      </c>
      <c r="K157" s="2" t="s">
        <v>39</v>
      </c>
      <c r="L157" s="2" t="s">
        <v>39</v>
      </c>
      <c r="M157" s="2" t="s">
        <v>38</v>
      </c>
      <c r="N157" s="2" t="s">
        <v>39</v>
      </c>
      <c r="O157" s="2" t="s">
        <v>39</v>
      </c>
      <c r="P157" s="2" t="s">
        <v>38</v>
      </c>
      <c r="Q157" s="2" t="s">
        <v>38</v>
      </c>
      <c r="R157" s="2" t="s">
        <v>39</v>
      </c>
      <c r="S157" s="2" t="s">
        <v>39</v>
      </c>
      <c r="T157" s="2" t="s">
        <v>39</v>
      </c>
      <c r="U157" s="2" t="s">
        <v>39</v>
      </c>
      <c r="V157" s="2" t="s">
        <v>39</v>
      </c>
      <c r="W157" s="2" t="s">
        <v>39</v>
      </c>
      <c r="X157" s="2" t="s">
        <v>38</v>
      </c>
      <c r="Y157" s="2" t="s">
        <v>39</v>
      </c>
      <c r="Z157" s="2" t="s">
        <v>39</v>
      </c>
      <c r="AA157" s="2" t="s">
        <v>39</v>
      </c>
      <c r="AB157" s="2" t="s">
        <v>38</v>
      </c>
      <c r="AC157" s="2" t="s">
        <v>38</v>
      </c>
      <c r="AD157" s="2" t="s">
        <v>39</v>
      </c>
      <c r="AE157" s="2" t="s">
        <v>39</v>
      </c>
    </row>
    <row r="158" spans="1:31" ht="409.5">
      <c r="A158" s="2">
        <v>2768088</v>
      </c>
      <c r="B158" s="2">
        <f>HYPERLINK("https://platform.v2.vetology.net/cases/2768088/screening-report/1?type=pdf&amp;v=v6&amp;scorecard=1&amp;secret_key=BX%25IJ%24%2F65ieZ%29f6", 2768088)</f>
        <v>2768088</v>
      </c>
      <c r="C158" s="2">
        <f>HYPERLINK("https://platform.v2.vetology.net/report/v/final/"&amp;2768088, 2768088)</f>
        <v>2768088</v>
      </c>
      <c r="D158" s="2" t="s">
        <v>606</v>
      </c>
      <c r="E158" s="2" t="s">
        <v>607</v>
      </c>
      <c r="F158" s="2" t="s">
        <v>43</v>
      </c>
      <c r="G158" s="2" t="s">
        <v>44</v>
      </c>
      <c r="H158" s="2" t="s">
        <v>69</v>
      </c>
      <c r="I158" s="2" t="s">
        <v>46</v>
      </c>
      <c r="J158" s="2"/>
      <c r="K158" s="2" t="s">
        <v>39</v>
      </c>
      <c r="L158" s="2" t="s">
        <v>39</v>
      </c>
      <c r="M158" s="2" t="s">
        <v>39</v>
      </c>
      <c r="N158" s="2" t="s">
        <v>39</v>
      </c>
      <c r="O158" s="2" t="s">
        <v>39</v>
      </c>
      <c r="P158" s="2" t="s">
        <v>39</v>
      </c>
      <c r="Q158" s="2" t="s">
        <v>39</v>
      </c>
      <c r="R158" s="2" t="s">
        <v>39</v>
      </c>
      <c r="S158" s="2" t="s">
        <v>39</v>
      </c>
      <c r="T158" s="2" t="s">
        <v>39</v>
      </c>
      <c r="U158" s="2" t="s">
        <v>39</v>
      </c>
      <c r="V158" s="2" t="s">
        <v>39</v>
      </c>
      <c r="W158" s="2" t="s">
        <v>38</v>
      </c>
      <c r="X158" s="2" t="s">
        <v>39</v>
      </c>
      <c r="Y158" s="2" t="s">
        <v>39</v>
      </c>
      <c r="Z158" s="2" t="s">
        <v>39</v>
      </c>
      <c r="AA158" s="2" t="s">
        <v>39</v>
      </c>
      <c r="AB158" s="2" t="s">
        <v>39</v>
      </c>
      <c r="AC158" s="2" t="s">
        <v>38</v>
      </c>
      <c r="AD158" s="2" t="s">
        <v>38</v>
      </c>
      <c r="AE158" s="2" t="s">
        <v>39</v>
      </c>
    </row>
    <row r="159" spans="1:31" ht="409.5">
      <c r="A159" s="2">
        <v>2768052</v>
      </c>
      <c r="B159" s="2">
        <f>HYPERLINK("https://platform.v2.vetology.net/cases/2768052/screening-report/1?type=pdf&amp;v=v6&amp;scorecard=1&amp;secret_key=BX%25IJ%24%2F65ieZ%29f6", 2768052)</f>
        <v>2768052</v>
      </c>
      <c r="C159" s="2">
        <f>HYPERLINK("https://platform.v2.vetology.net/report/v/final/"&amp;2768052, 2768052)</f>
        <v>2768052</v>
      </c>
      <c r="D159" s="2" t="s">
        <v>608</v>
      </c>
      <c r="E159" s="2" t="s">
        <v>609</v>
      </c>
      <c r="F159" s="2" t="s">
        <v>610</v>
      </c>
      <c r="G159" s="2" t="s">
        <v>251</v>
      </c>
      <c r="H159" s="2" t="s">
        <v>611</v>
      </c>
      <c r="I159" s="2" t="s">
        <v>46</v>
      </c>
      <c r="J159" s="2"/>
      <c r="K159" s="2" t="s">
        <v>39</v>
      </c>
      <c r="L159" s="2" t="s">
        <v>39</v>
      </c>
      <c r="M159" s="2" t="s">
        <v>39</v>
      </c>
      <c r="N159" s="2" t="s">
        <v>39</v>
      </c>
      <c r="O159" s="2" t="s">
        <v>39</v>
      </c>
      <c r="P159" s="2" t="s">
        <v>39</v>
      </c>
      <c r="Q159" s="2" t="s">
        <v>39</v>
      </c>
      <c r="R159" s="2" t="s">
        <v>39</v>
      </c>
      <c r="S159" s="2" t="s">
        <v>39</v>
      </c>
      <c r="T159" s="2" t="s">
        <v>39</v>
      </c>
      <c r="U159" s="2" t="s">
        <v>38</v>
      </c>
      <c r="V159" s="2" t="s">
        <v>38</v>
      </c>
      <c r="W159" s="2" t="s">
        <v>39</v>
      </c>
      <c r="X159" s="2" t="s">
        <v>39</v>
      </c>
      <c r="Y159" s="2" t="s">
        <v>39</v>
      </c>
      <c r="Z159" s="2" t="s">
        <v>39</v>
      </c>
      <c r="AA159" s="2" t="s">
        <v>39</v>
      </c>
      <c r="AB159" s="2" t="s">
        <v>39</v>
      </c>
      <c r="AC159" s="2" t="s">
        <v>38</v>
      </c>
      <c r="AD159" s="2" t="s">
        <v>38</v>
      </c>
      <c r="AE159" s="2" t="s">
        <v>40</v>
      </c>
    </row>
    <row r="160" spans="1:31" ht="409.5">
      <c r="A160" s="2">
        <v>2768050</v>
      </c>
      <c r="B160" s="2">
        <f>HYPERLINK("https://platform.v2.vetology.net/cases/2768050/screening-report/1?type=pdf&amp;v=v6&amp;scorecard=1&amp;secret_key=BX%25IJ%24%2F65ieZ%29f6", 2768050)</f>
        <v>2768050</v>
      </c>
      <c r="C160" s="2">
        <f>HYPERLINK("https://platform.v2.vetology.net/report/v/final/"&amp;2768050, 2768050)</f>
        <v>2768050</v>
      </c>
      <c r="D160" s="2" t="s">
        <v>612</v>
      </c>
      <c r="E160" s="2" t="s">
        <v>613</v>
      </c>
      <c r="F160" s="2" t="s">
        <v>614</v>
      </c>
      <c r="G160" s="2" t="s">
        <v>251</v>
      </c>
      <c r="H160" s="2" t="s">
        <v>45</v>
      </c>
      <c r="I160" s="2" t="s">
        <v>46</v>
      </c>
      <c r="J160" s="2"/>
      <c r="K160" s="2" t="s">
        <v>39</v>
      </c>
      <c r="L160" s="2" t="s">
        <v>39</v>
      </c>
      <c r="M160" s="2" t="s">
        <v>39</v>
      </c>
      <c r="N160" s="2" t="s">
        <v>39</v>
      </c>
      <c r="O160" s="2" t="s">
        <v>39</v>
      </c>
      <c r="P160" s="2" t="s">
        <v>39</v>
      </c>
      <c r="Q160" s="2" t="s">
        <v>39</v>
      </c>
      <c r="R160" s="2" t="s">
        <v>38</v>
      </c>
      <c r="S160" s="2" t="s">
        <v>39</v>
      </c>
      <c r="T160" s="2" t="s">
        <v>39</v>
      </c>
      <c r="U160" s="2" t="s">
        <v>39</v>
      </c>
      <c r="V160" s="2" t="s">
        <v>39</v>
      </c>
      <c r="W160" s="2" t="s">
        <v>39</v>
      </c>
      <c r="X160" s="2" t="s">
        <v>39</v>
      </c>
      <c r="Y160" s="2" t="s">
        <v>39</v>
      </c>
      <c r="Z160" s="2" t="s">
        <v>39</v>
      </c>
      <c r="AA160" s="2" t="s">
        <v>39</v>
      </c>
      <c r="AB160" s="2" t="s">
        <v>39</v>
      </c>
      <c r="AC160" s="2" t="s">
        <v>38</v>
      </c>
      <c r="AD160" s="2" t="s">
        <v>38</v>
      </c>
      <c r="AE160" s="2" t="s">
        <v>39</v>
      </c>
    </row>
    <row r="161" spans="1:31" ht="409.5">
      <c r="A161" s="2">
        <v>2768013</v>
      </c>
      <c r="B161" s="2">
        <f>HYPERLINK("https://platform.v2.vetology.net/cases/2768013/screening-report/1?type=pdf&amp;v=v6&amp;scorecard=1&amp;secret_key=BX%25IJ%24%2F65ieZ%29f6", 2768013)</f>
        <v>2768013</v>
      </c>
      <c r="C161" s="2">
        <f>HYPERLINK("https://platform.v2.vetology.net/report/v/final/"&amp;2768013, 2768013)</f>
        <v>2768013</v>
      </c>
      <c r="D161" s="2" t="s">
        <v>615</v>
      </c>
      <c r="E161" s="2" t="s">
        <v>616</v>
      </c>
      <c r="F161" s="2" t="s">
        <v>617</v>
      </c>
      <c r="G161" s="2" t="s">
        <v>127</v>
      </c>
      <c r="H161" s="2" t="s">
        <v>618</v>
      </c>
      <c r="I161" s="2" t="s">
        <v>257</v>
      </c>
      <c r="J161" s="2" t="s">
        <v>74</v>
      </c>
      <c r="K161" s="2" t="s">
        <v>38</v>
      </c>
      <c r="L161" s="2" t="s">
        <v>38</v>
      </c>
      <c r="M161" s="2" t="s">
        <v>38</v>
      </c>
      <c r="N161" s="2" t="s">
        <v>38</v>
      </c>
      <c r="O161" s="2" t="s">
        <v>38</v>
      </c>
      <c r="P161" s="2" t="s">
        <v>38</v>
      </c>
      <c r="Q161" s="2" t="s">
        <v>38</v>
      </c>
      <c r="R161" s="2" t="s">
        <v>38</v>
      </c>
      <c r="S161" s="2" t="s">
        <v>38</v>
      </c>
      <c r="T161" s="2" t="s">
        <v>38</v>
      </c>
      <c r="U161" s="2" t="s">
        <v>38</v>
      </c>
      <c r="V161" s="2" t="s">
        <v>38</v>
      </c>
      <c r="W161" s="2" t="s">
        <v>38</v>
      </c>
      <c r="X161" s="2" t="s">
        <v>38</v>
      </c>
      <c r="Y161" s="2" t="s">
        <v>38</v>
      </c>
      <c r="Z161" s="2" t="s">
        <v>38</v>
      </c>
      <c r="AA161" s="2" t="s">
        <v>38</v>
      </c>
      <c r="AB161" s="2" t="s">
        <v>38</v>
      </c>
      <c r="AC161" s="2" t="s">
        <v>38</v>
      </c>
      <c r="AD161" s="2" t="s">
        <v>38</v>
      </c>
      <c r="AE161" s="2" t="s">
        <v>39</v>
      </c>
    </row>
    <row r="162" spans="1:31" ht="409.5">
      <c r="A162" s="2">
        <v>2767980</v>
      </c>
      <c r="B162" s="2">
        <f>HYPERLINK("https://platform.v2.vetology.net/cases/2767980/screening-report/1?type=pdf&amp;v=v6&amp;scorecard=1&amp;secret_key=BX%25IJ%24%2F65ieZ%29f6", 2767980)</f>
        <v>2767980</v>
      </c>
      <c r="C162" s="2">
        <f>HYPERLINK("https://platform.v2.vetology.net/report/v/final/"&amp;2767980, 2767980)</f>
        <v>2767980</v>
      </c>
      <c r="D162" s="2" t="s">
        <v>619</v>
      </c>
      <c r="E162" s="2" t="s">
        <v>620</v>
      </c>
      <c r="F162" s="2" t="s">
        <v>621</v>
      </c>
      <c r="G162" s="2" t="s">
        <v>127</v>
      </c>
      <c r="H162" s="2" t="s">
        <v>622</v>
      </c>
      <c r="I162" s="2" t="s">
        <v>129</v>
      </c>
      <c r="J162" s="2" t="s">
        <v>74</v>
      </c>
      <c r="K162" s="2" t="s">
        <v>38</v>
      </c>
      <c r="L162" s="2" t="s">
        <v>39</v>
      </c>
      <c r="M162" s="2" t="s">
        <v>38</v>
      </c>
      <c r="N162" s="2" t="s">
        <v>38</v>
      </c>
      <c r="O162" s="2" t="s">
        <v>38</v>
      </c>
      <c r="P162" s="2" t="s">
        <v>38</v>
      </c>
      <c r="Q162" s="2" t="s">
        <v>38</v>
      </c>
      <c r="R162" s="2" t="s">
        <v>38</v>
      </c>
      <c r="S162" s="2" t="s">
        <v>39</v>
      </c>
      <c r="T162" s="2" t="s">
        <v>38</v>
      </c>
      <c r="U162" s="2" t="s">
        <v>39</v>
      </c>
      <c r="V162" s="2" t="s">
        <v>39</v>
      </c>
      <c r="W162" s="2" t="s">
        <v>38</v>
      </c>
      <c r="X162" s="2" t="s">
        <v>38</v>
      </c>
      <c r="Y162" s="2" t="s">
        <v>39</v>
      </c>
      <c r="Z162" s="2" t="s">
        <v>38</v>
      </c>
      <c r="AA162" s="2" t="s">
        <v>39</v>
      </c>
      <c r="AB162" s="2" t="s">
        <v>38</v>
      </c>
      <c r="AC162" s="2" t="s">
        <v>38</v>
      </c>
      <c r="AD162" s="2" t="s">
        <v>39</v>
      </c>
      <c r="AE162" s="2" t="s">
        <v>40</v>
      </c>
    </row>
    <row r="163" spans="1:31" ht="409.5">
      <c r="A163" s="2">
        <v>2767979</v>
      </c>
      <c r="B163" s="2">
        <f>HYPERLINK("https://platform.v2.vetology.net/cases/2767979/screening-report/1?type=pdf&amp;v=v6&amp;scorecard=1&amp;secret_key=BX%25IJ%24%2F65ieZ%29f6", 2767979)</f>
        <v>2767979</v>
      </c>
      <c r="C163" s="2">
        <f>HYPERLINK("https://platform.v2.vetology.net/report/v/final/"&amp;2767979, 2767979)</f>
        <v>2767979</v>
      </c>
      <c r="D163" s="2" t="s">
        <v>623</v>
      </c>
      <c r="E163" s="2" t="s">
        <v>624</v>
      </c>
      <c r="F163" s="2" t="s">
        <v>43</v>
      </c>
      <c r="G163" s="2" t="s">
        <v>100</v>
      </c>
      <c r="H163" s="2" t="s">
        <v>625</v>
      </c>
      <c r="I163" s="2" t="s">
        <v>73</v>
      </c>
      <c r="J163" s="2" t="s">
        <v>74</v>
      </c>
      <c r="K163" s="2" t="s">
        <v>38</v>
      </c>
      <c r="L163" s="2" t="s">
        <v>38</v>
      </c>
      <c r="M163" s="2" t="s">
        <v>38</v>
      </c>
      <c r="N163" s="2" t="s">
        <v>38</v>
      </c>
      <c r="O163" s="2" t="s">
        <v>38</v>
      </c>
      <c r="P163" s="2" t="s">
        <v>38</v>
      </c>
      <c r="Q163" s="2" t="s">
        <v>38</v>
      </c>
      <c r="R163" s="2" t="s">
        <v>38</v>
      </c>
      <c r="S163" s="2" t="s">
        <v>38</v>
      </c>
      <c r="T163" s="2" t="s">
        <v>38</v>
      </c>
      <c r="U163" s="2" t="s">
        <v>38</v>
      </c>
      <c r="V163" s="2" t="s">
        <v>38</v>
      </c>
      <c r="W163" s="2" t="s">
        <v>38</v>
      </c>
      <c r="X163" s="2" t="s">
        <v>38</v>
      </c>
      <c r="Y163" s="2" t="s">
        <v>38</v>
      </c>
      <c r="Z163" s="2" t="s">
        <v>38</v>
      </c>
      <c r="AA163" s="2" t="s">
        <v>38</v>
      </c>
      <c r="AB163" s="2" t="s">
        <v>38</v>
      </c>
      <c r="AC163" s="2" t="s">
        <v>38</v>
      </c>
      <c r="AD163" s="2" t="s">
        <v>38</v>
      </c>
      <c r="AE163" s="2" t="s">
        <v>40</v>
      </c>
    </row>
    <row r="164" spans="1:31" ht="409.5">
      <c r="A164" s="2">
        <v>2767978</v>
      </c>
      <c r="B164" s="2">
        <f>HYPERLINK("https://platform.v2.vetology.net/cases/2767978/screening-report/1?type=pdf&amp;v=v6&amp;scorecard=1&amp;secret_key=BX%25IJ%24%2F65ieZ%29f6", 2767978)</f>
        <v>2767978</v>
      </c>
      <c r="C164" s="2">
        <f>HYPERLINK("https://platform.v2.vetology.net/report/v/final/"&amp;2767978, 2767978)</f>
        <v>2767978</v>
      </c>
      <c r="D164" s="2" t="s">
        <v>626</v>
      </c>
      <c r="E164" s="2" t="s">
        <v>627</v>
      </c>
      <c r="F164" s="2"/>
      <c r="G164" s="2" t="s">
        <v>100</v>
      </c>
      <c r="H164" s="2" t="s">
        <v>277</v>
      </c>
      <c r="I164" s="2" t="s">
        <v>46</v>
      </c>
      <c r="J164" s="2"/>
      <c r="K164" s="2" t="s">
        <v>39</v>
      </c>
      <c r="L164" s="2" t="s">
        <v>38</v>
      </c>
      <c r="M164" s="2" t="s">
        <v>39</v>
      </c>
      <c r="N164" s="2" t="s">
        <v>39</v>
      </c>
      <c r="O164" s="2" t="s">
        <v>39</v>
      </c>
      <c r="P164" s="2" t="s">
        <v>39</v>
      </c>
      <c r="Q164" s="2" t="s">
        <v>39</v>
      </c>
      <c r="R164" s="2" t="s">
        <v>39</v>
      </c>
      <c r="S164" s="2" t="s">
        <v>39</v>
      </c>
      <c r="T164" s="2" t="s">
        <v>39</v>
      </c>
      <c r="U164" s="2" t="s">
        <v>39</v>
      </c>
      <c r="V164" s="2" t="s">
        <v>39</v>
      </c>
      <c r="W164" s="2" t="s">
        <v>39</v>
      </c>
      <c r="X164" s="2" t="s">
        <v>39</v>
      </c>
      <c r="Y164" s="2" t="s">
        <v>39</v>
      </c>
      <c r="Z164" s="2" t="s">
        <v>39</v>
      </c>
      <c r="AA164" s="2" t="s">
        <v>39</v>
      </c>
      <c r="AB164" s="2" t="s">
        <v>39</v>
      </c>
      <c r="AC164" s="2" t="s">
        <v>38</v>
      </c>
      <c r="AD164" s="2" t="s">
        <v>39</v>
      </c>
      <c r="AE164" s="2"/>
    </row>
    <row r="165" spans="1:31" ht="409.5">
      <c r="A165" s="2">
        <v>2767967</v>
      </c>
      <c r="B165" s="2">
        <f>HYPERLINK("https://platform.v2.vetology.net/cases/2767967/screening-report/1?type=pdf&amp;v=v6&amp;scorecard=1&amp;secret_key=BX%25IJ%24%2F65ieZ%29f6", 2767967)</f>
        <v>2767967</v>
      </c>
      <c r="C165" s="2">
        <f>HYPERLINK("https://platform.v2.vetology.net/report/v/final/"&amp;2767967, 2767967)</f>
        <v>2767967</v>
      </c>
      <c r="D165" s="2" t="s">
        <v>628</v>
      </c>
      <c r="E165" s="2" t="s">
        <v>629</v>
      </c>
      <c r="F165" s="2" t="s">
        <v>630</v>
      </c>
      <c r="G165" s="2" t="s">
        <v>34</v>
      </c>
      <c r="H165" s="2" t="s">
        <v>631</v>
      </c>
      <c r="I165" s="2" t="s">
        <v>59</v>
      </c>
      <c r="J165" s="2" t="s">
        <v>37</v>
      </c>
      <c r="K165" s="2" t="s">
        <v>38</v>
      </c>
      <c r="L165" s="2" t="s">
        <v>39</v>
      </c>
      <c r="M165" s="2" t="s">
        <v>39</v>
      </c>
      <c r="N165" s="2" t="s">
        <v>38</v>
      </c>
      <c r="O165" s="2" t="s">
        <v>39</v>
      </c>
      <c r="P165" s="2" t="s">
        <v>39</v>
      </c>
      <c r="Q165" s="2" t="s">
        <v>39</v>
      </c>
      <c r="R165" s="2" t="s">
        <v>38</v>
      </c>
      <c r="S165" s="2" t="s">
        <v>38</v>
      </c>
      <c r="T165" s="2" t="s">
        <v>38</v>
      </c>
      <c r="U165" s="2" t="s">
        <v>38</v>
      </c>
      <c r="V165" s="2" t="s">
        <v>38</v>
      </c>
      <c r="W165" s="2" t="s">
        <v>39</v>
      </c>
      <c r="X165" s="2" t="s">
        <v>39</v>
      </c>
      <c r="Y165" s="2" t="s">
        <v>39</v>
      </c>
      <c r="Z165" s="2" t="s">
        <v>38</v>
      </c>
      <c r="AA165" s="2" t="s">
        <v>38</v>
      </c>
      <c r="AB165" s="2" t="s">
        <v>39</v>
      </c>
      <c r="AC165" s="2" t="s">
        <v>38</v>
      </c>
      <c r="AD165" s="2" t="s">
        <v>38</v>
      </c>
      <c r="AE165" s="2" t="s">
        <v>40</v>
      </c>
    </row>
    <row r="166" spans="1:31" ht="409.5">
      <c r="A166" s="2">
        <v>2767963</v>
      </c>
      <c r="B166" s="2">
        <f>HYPERLINK("https://platform.v2.vetology.net/cases/2767963/screening-report/1?type=pdf&amp;v=v6&amp;scorecard=1&amp;secret_key=BX%25IJ%24%2F65ieZ%29f6", 2767963)</f>
        <v>2767963</v>
      </c>
      <c r="C166" s="2">
        <f>HYPERLINK("https://platform.v2.vetology.net/report/v/final/"&amp;2767963, 2767963)</f>
        <v>2767963</v>
      </c>
      <c r="D166" s="2" t="s">
        <v>632</v>
      </c>
      <c r="E166" s="2" t="s">
        <v>633</v>
      </c>
      <c r="F166" s="2" t="s">
        <v>634</v>
      </c>
      <c r="G166" s="2" t="s">
        <v>53</v>
      </c>
      <c r="H166" s="2" t="s">
        <v>635</v>
      </c>
      <c r="I166" s="2" t="s">
        <v>129</v>
      </c>
      <c r="J166" s="2" t="s">
        <v>74</v>
      </c>
      <c r="K166" s="2" t="s">
        <v>38</v>
      </c>
      <c r="L166" s="2" t="s">
        <v>38</v>
      </c>
      <c r="M166" s="2" t="s">
        <v>38</v>
      </c>
      <c r="N166" s="2" t="s">
        <v>38</v>
      </c>
      <c r="O166" s="2" t="s">
        <v>38</v>
      </c>
      <c r="P166" s="2" t="s">
        <v>38</v>
      </c>
      <c r="Q166" s="2" t="s">
        <v>38</v>
      </c>
      <c r="R166" s="2" t="s">
        <v>39</v>
      </c>
      <c r="S166" s="2" t="s">
        <v>39</v>
      </c>
      <c r="T166" s="2" t="s">
        <v>38</v>
      </c>
      <c r="U166" s="2" t="s">
        <v>39</v>
      </c>
      <c r="V166" s="2" t="s">
        <v>39</v>
      </c>
      <c r="W166" s="2" t="s">
        <v>38</v>
      </c>
      <c r="X166" s="2" t="s">
        <v>38</v>
      </c>
      <c r="Y166" s="2" t="s">
        <v>39</v>
      </c>
      <c r="Z166" s="2" t="s">
        <v>38</v>
      </c>
      <c r="AA166" s="2" t="s">
        <v>38</v>
      </c>
      <c r="AB166" s="2" t="s">
        <v>38</v>
      </c>
      <c r="AC166" s="2" t="s">
        <v>38</v>
      </c>
      <c r="AD166" s="2" t="s">
        <v>39</v>
      </c>
      <c r="AE166" s="2" t="s">
        <v>40</v>
      </c>
    </row>
    <row r="167" spans="1:31" ht="409.5">
      <c r="A167" s="2">
        <v>2767932</v>
      </c>
      <c r="B167" s="2">
        <f>HYPERLINK("https://platform.v2.vetology.net/cases/2767932/screening-report/1?type=pdf&amp;v=v6&amp;scorecard=1&amp;secret_key=BX%25IJ%24%2F65ieZ%29f6", 2767932)</f>
        <v>2767932</v>
      </c>
      <c r="C167" s="2">
        <f>HYPERLINK("https://platform.v2.vetology.net/report/v/final/"&amp;2767932, 2767932)</f>
        <v>2767932</v>
      </c>
      <c r="D167" s="2" t="s">
        <v>636</v>
      </c>
      <c r="E167" s="2" t="s">
        <v>637</v>
      </c>
      <c r="F167" s="2" t="s">
        <v>638</v>
      </c>
      <c r="G167" s="2" t="s">
        <v>34</v>
      </c>
      <c r="H167" s="2" t="s">
        <v>419</v>
      </c>
      <c r="I167" s="2" t="s">
        <v>36</v>
      </c>
      <c r="J167" s="2" t="s">
        <v>37</v>
      </c>
      <c r="K167" s="2" t="s">
        <v>39</v>
      </c>
      <c r="L167" s="2" t="s">
        <v>39</v>
      </c>
      <c r="M167" s="2" t="s">
        <v>38</v>
      </c>
      <c r="N167" s="2" t="s">
        <v>39</v>
      </c>
      <c r="O167" s="2" t="s">
        <v>39</v>
      </c>
      <c r="P167" s="2" t="s">
        <v>39</v>
      </c>
      <c r="Q167" s="2" t="s">
        <v>39</v>
      </c>
      <c r="R167" s="2" t="s">
        <v>38</v>
      </c>
      <c r="S167" s="2" t="s">
        <v>39</v>
      </c>
      <c r="T167" s="2" t="s">
        <v>39</v>
      </c>
      <c r="U167" s="2" t="s">
        <v>39</v>
      </c>
      <c r="V167" s="2" t="s">
        <v>39</v>
      </c>
      <c r="W167" s="2" t="s">
        <v>39</v>
      </c>
      <c r="X167" s="2" t="s">
        <v>39</v>
      </c>
      <c r="Y167" s="2" t="s">
        <v>39</v>
      </c>
      <c r="Z167" s="2" t="s">
        <v>38</v>
      </c>
      <c r="AA167" s="2" t="s">
        <v>39</v>
      </c>
      <c r="AB167" s="2" t="s">
        <v>39</v>
      </c>
      <c r="AC167" s="2" t="s">
        <v>38</v>
      </c>
      <c r="AD167" s="2" t="s">
        <v>38</v>
      </c>
      <c r="AE167" s="2" t="s">
        <v>39</v>
      </c>
    </row>
    <row r="168" spans="1:31" ht="409.5">
      <c r="A168" s="2">
        <v>2767906</v>
      </c>
      <c r="B168" s="2">
        <f>HYPERLINK("https://platform.v2.vetology.net/cases/2767906/screening-report/1?type=pdf&amp;v=v6&amp;scorecard=1&amp;secret_key=BX%25IJ%24%2F65ieZ%29f6", 2767906)</f>
        <v>2767906</v>
      </c>
      <c r="C168" s="2">
        <f>HYPERLINK("https://platform.v2.vetology.net/report/v/final/"&amp;2767906, 2767906)</f>
        <v>2767906</v>
      </c>
      <c r="D168" s="2" t="s">
        <v>639</v>
      </c>
      <c r="E168" s="2" t="s">
        <v>640</v>
      </c>
      <c r="F168" s="2" t="s">
        <v>641</v>
      </c>
      <c r="G168" s="2" t="s">
        <v>53</v>
      </c>
      <c r="H168" s="2" t="s">
        <v>642</v>
      </c>
      <c r="I168" s="2" t="s">
        <v>36</v>
      </c>
      <c r="J168" s="2" t="s">
        <v>37</v>
      </c>
      <c r="K168" s="2" t="s">
        <v>39</v>
      </c>
      <c r="L168" s="2" t="s">
        <v>39</v>
      </c>
      <c r="M168" s="2" t="s">
        <v>38</v>
      </c>
      <c r="N168" s="2" t="s">
        <v>39</v>
      </c>
      <c r="O168" s="2" t="s">
        <v>38</v>
      </c>
      <c r="P168" s="2" t="s">
        <v>39</v>
      </c>
      <c r="Q168" s="2" t="s">
        <v>39</v>
      </c>
      <c r="R168" s="2" t="s">
        <v>38</v>
      </c>
      <c r="S168" s="2" t="s">
        <v>38</v>
      </c>
      <c r="T168" s="2" t="s">
        <v>38</v>
      </c>
      <c r="U168" s="2" t="s">
        <v>39</v>
      </c>
      <c r="V168" s="2" t="s">
        <v>39</v>
      </c>
      <c r="W168" s="2" t="s">
        <v>38</v>
      </c>
      <c r="X168" s="2" t="s">
        <v>39</v>
      </c>
      <c r="Y168" s="2" t="s">
        <v>39</v>
      </c>
      <c r="Z168" s="2" t="s">
        <v>38</v>
      </c>
      <c r="AA168" s="2" t="s">
        <v>39</v>
      </c>
      <c r="AB168" s="2" t="s">
        <v>39</v>
      </c>
      <c r="AC168" s="2" t="s">
        <v>38</v>
      </c>
      <c r="AD168" s="2" t="s">
        <v>38</v>
      </c>
      <c r="AE168" s="2" t="s">
        <v>39</v>
      </c>
    </row>
    <row r="169" spans="1:31" ht="409.5">
      <c r="A169" s="2">
        <v>2767894</v>
      </c>
      <c r="B169" s="2">
        <f>HYPERLINK("https://platform.v2.vetology.net/cases/2767894/screening-report/1?type=pdf&amp;v=v6&amp;scorecard=1&amp;secret_key=BX%25IJ%24%2F65ieZ%29f6", 2767894)</f>
        <v>2767894</v>
      </c>
      <c r="C169" s="2">
        <f>HYPERLINK("https://platform.v2.vetology.net/report/v/final/"&amp;2767894, 2767894)</f>
        <v>2767894</v>
      </c>
      <c r="D169" s="2" t="s">
        <v>643</v>
      </c>
      <c r="E169" s="2" t="s">
        <v>644</v>
      </c>
      <c r="F169" s="2" t="s">
        <v>43</v>
      </c>
      <c r="G169" s="2" t="s">
        <v>44</v>
      </c>
      <c r="H169" s="2" t="s">
        <v>611</v>
      </c>
      <c r="I169" s="2" t="s">
        <v>46</v>
      </c>
      <c r="J169" s="2"/>
      <c r="K169" s="2" t="s">
        <v>39</v>
      </c>
      <c r="L169" s="2" t="s">
        <v>39</v>
      </c>
      <c r="M169" s="2" t="s">
        <v>39</v>
      </c>
      <c r="N169" s="2" t="s">
        <v>39</v>
      </c>
      <c r="O169" s="2" t="s">
        <v>39</v>
      </c>
      <c r="P169" s="2" t="s">
        <v>39</v>
      </c>
      <c r="Q169" s="2" t="s">
        <v>39</v>
      </c>
      <c r="R169" s="2" t="s">
        <v>39</v>
      </c>
      <c r="S169" s="2" t="s">
        <v>39</v>
      </c>
      <c r="T169" s="2" t="s">
        <v>39</v>
      </c>
      <c r="U169" s="2" t="s">
        <v>39</v>
      </c>
      <c r="V169" s="2" t="s">
        <v>39</v>
      </c>
      <c r="W169" s="2" t="s">
        <v>39</v>
      </c>
      <c r="X169" s="2" t="s">
        <v>39</v>
      </c>
      <c r="Y169" s="2" t="s">
        <v>39</v>
      </c>
      <c r="Z169" s="2" t="s">
        <v>39</v>
      </c>
      <c r="AA169" s="2" t="s">
        <v>39</v>
      </c>
      <c r="AB169" s="2" t="s">
        <v>39</v>
      </c>
      <c r="AC169" s="2" t="s">
        <v>39</v>
      </c>
      <c r="AD169" s="2" t="s">
        <v>39</v>
      </c>
      <c r="AE169" s="2" t="s">
        <v>39</v>
      </c>
    </row>
    <row r="170" spans="1:31" ht="409.5">
      <c r="A170" s="2">
        <v>2767879</v>
      </c>
      <c r="B170" s="2">
        <f>HYPERLINK("https://platform.v2.vetology.net/cases/2767879/screening-report/1?type=pdf&amp;v=v6&amp;scorecard=1&amp;secret_key=BX%25IJ%24%2F65ieZ%29f6", 2767879)</f>
        <v>2767879</v>
      </c>
      <c r="C170" s="2">
        <f>HYPERLINK("https://platform.v2.vetology.net/report/v/final/"&amp;2767879, 2767879)</f>
        <v>2767879</v>
      </c>
      <c r="D170" s="2" t="s">
        <v>645</v>
      </c>
      <c r="E170" s="2" t="s">
        <v>646</v>
      </c>
      <c r="F170" s="2" t="s">
        <v>647</v>
      </c>
      <c r="G170" s="2" t="s">
        <v>251</v>
      </c>
      <c r="H170" s="2" t="s">
        <v>648</v>
      </c>
      <c r="I170" s="2" t="s">
        <v>36</v>
      </c>
      <c r="J170" s="2" t="s">
        <v>37</v>
      </c>
      <c r="K170" s="2" t="s">
        <v>38</v>
      </c>
      <c r="L170" s="2" t="s">
        <v>38</v>
      </c>
      <c r="M170" s="2" t="s">
        <v>38</v>
      </c>
      <c r="N170" s="2" t="s">
        <v>38</v>
      </c>
      <c r="O170" s="2" t="s">
        <v>38</v>
      </c>
      <c r="P170" s="2" t="s">
        <v>39</v>
      </c>
      <c r="Q170" s="2" t="s">
        <v>39</v>
      </c>
      <c r="R170" s="2" t="s">
        <v>38</v>
      </c>
      <c r="S170" s="2" t="s">
        <v>38</v>
      </c>
      <c r="T170" s="2" t="s">
        <v>39</v>
      </c>
      <c r="U170" s="2" t="s">
        <v>39</v>
      </c>
      <c r="V170" s="2" t="s">
        <v>39</v>
      </c>
      <c r="W170" s="2" t="s">
        <v>39</v>
      </c>
      <c r="X170" s="2" t="s">
        <v>39</v>
      </c>
      <c r="Y170" s="2" t="s">
        <v>39</v>
      </c>
      <c r="Z170" s="2" t="s">
        <v>38</v>
      </c>
      <c r="AA170" s="2" t="s">
        <v>39</v>
      </c>
      <c r="AB170" s="2" t="s">
        <v>39</v>
      </c>
      <c r="AC170" s="2" t="s">
        <v>38</v>
      </c>
      <c r="AD170" s="2" t="s">
        <v>39</v>
      </c>
      <c r="AE170" s="2" t="s">
        <v>39</v>
      </c>
    </row>
    <row r="171" spans="1:31" ht="409.5">
      <c r="A171" s="2">
        <v>2767862</v>
      </c>
      <c r="B171" s="2">
        <f>HYPERLINK("https://platform.v2.vetology.net/cases/2767862/screening-report/1?type=pdf&amp;v=v6&amp;scorecard=1&amp;secret_key=BX%25IJ%24%2F65ieZ%29f6", 2767862)</f>
        <v>2767862</v>
      </c>
      <c r="C171" s="2">
        <f>HYPERLINK("https://platform.v2.vetology.net/report/v/final/"&amp;2767862, 2767862)</f>
        <v>2767862</v>
      </c>
      <c r="D171" s="2" t="s">
        <v>649</v>
      </c>
      <c r="E171" s="2" t="s">
        <v>650</v>
      </c>
      <c r="F171" s="2" t="s">
        <v>651</v>
      </c>
      <c r="G171" s="2" t="s">
        <v>170</v>
      </c>
      <c r="H171" s="2" t="s">
        <v>611</v>
      </c>
      <c r="I171" s="2" t="s">
        <v>46</v>
      </c>
      <c r="J171" s="2"/>
      <c r="K171" s="2" t="s">
        <v>39</v>
      </c>
      <c r="L171" s="2" t="s">
        <v>39</v>
      </c>
      <c r="M171" s="2" t="s">
        <v>39</v>
      </c>
      <c r="N171" s="2" t="s">
        <v>39</v>
      </c>
      <c r="O171" s="2" t="s">
        <v>39</v>
      </c>
      <c r="P171" s="2" t="s">
        <v>39</v>
      </c>
      <c r="Q171" s="2" t="s">
        <v>39</v>
      </c>
      <c r="R171" s="2" t="s">
        <v>39</v>
      </c>
      <c r="S171" s="2" t="s">
        <v>39</v>
      </c>
      <c r="T171" s="2" t="s">
        <v>39</v>
      </c>
      <c r="U171" s="2" t="s">
        <v>39</v>
      </c>
      <c r="V171" s="2" t="s">
        <v>39</v>
      </c>
      <c r="W171" s="2" t="s">
        <v>39</v>
      </c>
      <c r="X171" s="2" t="s">
        <v>39</v>
      </c>
      <c r="Y171" s="2" t="s">
        <v>39</v>
      </c>
      <c r="Z171" s="2" t="s">
        <v>39</v>
      </c>
      <c r="AA171" s="2" t="s">
        <v>39</v>
      </c>
      <c r="AB171" s="2" t="s">
        <v>39</v>
      </c>
      <c r="AC171" s="2" t="s">
        <v>39</v>
      </c>
      <c r="AD171" s="2" t="s">
        <v>39</v>
      </c>
      <c r="AE171" s="2" t="s">
        <v>39</v>
      </c>
    </row>
    <row r="172" spans="1:31" ht="409.5">
      <c r="A172" s="2">
        <v>2767842</v>
      </c>
      <c r="B172" s="2">
        <f>HYPERLINK("https://platform.v2.vetology.net/cases/2767842/screening-report/1?type=pdf&amp;v=v6&amp;scorecard=1&amp;secret_key=BX%25IJ%24%2F65ieZ%29f6", 2767842)</f>
        <v>2767842</v>
      </c>
      <c r="C172" s="2">
        <f>HYPERLINK("https://platform.v2.vetology.net/report/v/final/"&amp;2767842, 2767842)</f>
        <v>2767842</v>
      </c>
      <c r="D172" s="2" t="s">
        <v>652</v>
      </c>
      <c r="E172" s="2" t="s">
        <v>653</v>
      </c>
      <c r="F172" s="2" t="s">
        <v>654</v>
      </c>
      <c r="G172" s="2" t="s">
        <v>170</v>
      </c>
      <c r="H172" s="2" t="s">
        <v>526</v>
      </c>
      <c r="I172" s="2" t="s">
        <v>46</v>
      </c>
      <c r="J172" s="2"/>
      <c r="K172" s="2" t="s">
        <v>39</v>
      </c>
      <c r="L172" s="2" t="s">
        <v>38</v>
      </c>
      <c r="M172" s="2" t="s">
        <v>39</v>
      </c>
      <c r="N172" s="2" t="s">
        <v>39</v>
      </c>
      <c r="O172" s="2" t="s">
        <v>39</v>
      </c>
      <c r="P172" s="2" t="s">
        <v>39</v>
      </c>
      <c r="Q172" s="2" t="s">
        <v>39</v>
      </c>
      <c r="R172" s="2" t="s">
        <v>39</v>
      </c>
      <c r="S172" s="2" t="s">
        <v>38</v>
      </c>
      <c r="T172" s="2" t="s">
        <v>38</v>
      </c>
      <c r="U172" s="2" t="s">
        <v>39</v>
      </c>
      <c r="V172" s="2" t="s">
        <v>39</v>
      </c>
      <c r="W172" s="2" t="s">
        <v>38</v>
      </c>
      <c r="X172" s="2" t="s">
        <v>39</v>
      </c>
      <c r="Y172" s="2" t="s">
        <v>39</v>
      </c>
      <c r="Z172" s="2" t="s">
        <v>39</v>
      </c>
      <c r="AA172" s="2" t="s">
        <v>39</v>
      </c>
      <c r="AB172" s="2" t="s">
        <v>39</v>
      </c>
      <c r="AC172" s="2" t="s">
        <v>39</v>
      </c>
      <c r="AD172" s="2" t="s">
        <v>39</v>
      </c>
      <c r="AE172" s="2" t="s">
        <v>39</v>
      </c>
    </row>
    <row r="173" spans="1:31" ht="409.5">
      <c r="A173" s="2">
        <v>2767835</v>
      </c>
      <c r="B173" s="2">
        <f>HYPERLINK("https://platform.v2.vetology.net/cases/2767835/screening-report/1?type=pdf&amp;v=v6&amp;scorecard=1&amp;secret_key=BX%25IJ%24%2F65ieZ%29f6", 2767835)</f>
        <v>2767835</v>
      </c>
      <c r="C173" s="2">
        <f>HYPERLINK("https://platform.v2.vetology.net/report/v/final/"&amp;2767835, 2767835)</f>
        <v>2767835</v>
      </c>
      <c r="D173" s="2" t="s">
        <v>655</v>
      </c>
      <c r="E173" s="2" t="s">
        <v>656</v>
      </c>
      <c r="F173" s="2" t="s">
        <v>657</v>
      </c>
      <c r="G173" s="2" t="s">
        <v>34</v>
      </c>
      <c r="H173" s="2" t="s">
        <v>611</v>
      </c>
      <c r="I173" s="2" t="s">
        <v>46</v>
      </c>
      <c r="J173" s="2"/>
      <c r="K173" s="2" t="s">
        <v>39</v>
      </c>
      <c r="L173" s="2" t="s">
        <v>39</v>
      </c>
      <c r="M173" s="2" t="s">
        <v>39</v>
      </c>
      <c r="N173" s="2" t="s">
        <v>39</v>
      </c>
      <c r="O173" s="2" t="s">
        <v>39</v>
      </c>
      <c r="P173" s="2" t="s">
        <v>39</v>
      </c>
      <c r="Q173" s="2" t="s">
        <v>39</v>
      </c>
      <c r="R173" s="2" t="s">
        <v>39</v>
      </c>
      <c r="S173" s="2" t="s">
        <v>39</v>
      </c>
      <c r="T173" s="2" t="s">
        <v>39</v>
      </c>
      <c r="U173" s="2" t="s">
        <v>39</v>
      </c>
      <c r="V173" s="2" t="s">
        <v>39</v>
      </c>
      <c r="W173" s="2" t="s">
        <v>39</v>
      </c>
      <c r="X173" s="2" t="s">
        <v>39</v>
      </c>
      <c r="Y173" s="2" t="s">
        <v>39</v>
      </c>
      <c r="Z173" s="2" t="s">
        <v>39</v>
      </c>
      <c r="AA173" s="2" t="s">
        <v>38</v>
      </c>
      <c r="AB173" s="2" t="s">
        <v>39</v>
      </c>
      <c r="AC173" s="2" t="s">
        <v>38</v>
      </c>
      <c r="AD173" s="2" t="s">
        <v>38</v>
      </c>
      <c r="AE173" s="2" t="s">
        <v>39</v>
      </c>
    </row>
    <row r="174" spans="1:31" ht="409.5">
      <c r="A174" s="2">
        <v>2767778</v>
      </c>
      <c r="B174" s="2">
        <f>HYPERLINK("https://platform.v2.vetology.net/cases/2767778/screening-report/1?type=pdf&amp;v=v6&amp;scorecard=1&amp;secret_key=BX%25IJ%24%2F65ieZ%29f6", 2767778)</f>
        <v>2767778</v>
      </c>
      <c r="C174" s="2">
        <f>HYPERLINK("https://platform.v2.vetology.net/report/v/final/"&amp;2767778, 2767778)</f>
        <v>2767778</v>
      </c>
      <c r="D174" s="2" t="s">
        <v>658</v>
      </c>
      <c r="E174" s="2" t="s">
        <v>659</v>
      </c>
      <c r="F174" s="2" t="s">
        <v>660</v>
      </c>
      <c r="G174" s="2" t="s">
        <v>170</v>
      </c>
      <c r="H174" s="2" t="s">
        <v>661</v>
      </c>
      <c r="I174" s="2" t="s">
        <v>73</v>
      </c>
      <c r="J174" s="2" t="s">
        <v>74</v>
      </c>
      <c r="K174" s="2" t="s">
        <v>38</v>
      </c>
      <c r="L174" s="2" t="s">
        <v>38</v>
      </c>
      <c r="M174" s="2" t="s">
        <v>38</v>
      </c>
      <c r="N174" s="2" t="s">
        <v>38</v>
      </c>
      <c r="O174" s="2" t="s">
        <v>38</v>
      </c>
      <c r="P174" s="2" t="s">
        <v>38</v>
      </c>
      <c r="Q174" s="2" t="s">
        <v>38</v>
      </c>
      <c r="R174" s="2" t="s">
        <v>38</v>
      </c>
      <c r="S174" s="2" t="s">
        <v>38</v>
      </c>
      <c r="T174" s="2" t="s">
        <v>39</v>
      </c>
      <c r="U174" s="2" t="s">
        <v>38</v>
      </c>
      <c r="V174" s="2" t="s">
        <v>38</v>
      </c>
      <c r="W174" s="2" t="s">
        <v>38</v>
      </c>
      <c r="X174" s="2" t="s">
        <v>38</v>
      </c>
      <c r="Y174" s="2" t="s">
        <v>39</v>
      </c>
      <c r="Z174" s="2" t="s">
        <v>38</v>
      </c>
      <c r="AA174" s="2" t="s">
        <v>38</v>
      </c>
      <c r="AB174" s="2" t="s">
        <v>39</v>
      </c>
      <c r="AC174" s="2" t="s">
        <v>39</v>
      </c>
      <c r="AD174" s="2" t="s">
        <v>39</v>
      </c>
      <c r="AE174" s="2" t="s">
        <v>39</v>
      </c>
    </row>
    <row r="175" spans="1:31" ht="409.5">
      <c r="A175" s="2">
        <v>2767672</v>
      </c>
      <c r="B175" s="2">
        <f>HYPERLINK("https://platform.v2.vetology.net/cases/2767672/screening-report/1?type=pdf&amp;v=v6&amp;scorecard=1&amp;secret_key=BX%25IJ%24%2F65ieZ%29f6", 2767672)</f>
        <v>2767672</v>
      </c>
      <c r="C175" s="2">
        <f>HYPERLINK("https://platform.v2.vetology.net/report/v/final/"&amp;2767672, 2767672)</f>
        <v>2767672</v>
      </c>
      <c r="D175" s="2" t="s">
        <v>662</v>
      </c>
      <c r="E175" s="2" t="s">
        <v>663</v>
      </c>
      <c r="F175" s="2" t="s">
        <v>492</v>
      </c>
      <c r="G175" s="2" t="s">
        <v>53</v>
      </c>
      <c r="H175" s="2" t="s">
        <v>664</v>
      </c>
      <c r="I175" s="2" t="s">
        <v>73</v>
      </c>
      <c r="J175" s="2" t="s">
        <v>74</v>
      </c>
      <c r="K175" s="2" t="s">
        <v>38</v>
      </c>
      <c r="L175" s="2" t="s">
        <v>38</v>
      </c>
      <c r="M175" s="2" t="s">
        <v>38</v>
      </c>
      <c r="N175" s="2" t="s">
        <v>38</v>
      </c>
      <c r="O175" s="2" t="s">
        <v>38</v>
      </c>
      <c r="P175" s="2" t="s">
        <v>39</v>
      </c>
      <c r="Q175" s="2" t="s">
        <v>38</v>
      </c>
      <c r="R175" s="2" t="s">
        <v>38</v>
      </c>
      <c r="S175" s="2" t="s">
        <v>38</v>
      </c>
      <c r="T175" s="2" t="s">
        <v>39</v>
      </c>
      <c r="U175" s="2" t="s">
        <v>38</v>
      </c>
      <c r="V175" s="2" t="s">
        <v>38</v>
      </c>
      <c r="W175" s="2" t="s">
        <v>38</v>
      </c>
      <c r="X175" s="2" t="s">
        <v>38</v>
      </c>
      <c r="Y175" s="2" t="s">
        <v>39</v>
      </c>
      <c r="Z175" s="2" t="s">
        <v>38</v>
      </c>
      <c r="AA175" s="2" t="s">
        <v>38</v>
      </c>
      <c r="AB175" s="2" t="s">
        <v>38</v>
      </c>
      <c r="AC175" s="2" t="s">
        <v>38</v>
      </c>
      <c r="AD175" s="2" t="s">
        <v>39</v>
      </c>
      <c r="AE175" s="2" t="s">
        <v>40</v>
      </c>
    </row>
    <row r="176" spans="1:31" ht="409.5">
      <c r="A176" s="2">
        <v>2767620</v>
      </c>
      <c r="B176" s="2">
        <f>HYPERLINK("https://platform.v2.vetology.net/cases/2767620/screening-report/1?type=pdf&amp;v=v6&amp;scorecard=1&amp;secret_key=BX%25IJ%24%2F65ieZ%29f6", 2767620)</f>
        <v>2767620</v>
      </c>
      <c r="C176" s="2">
        <f>HYPERLINK("https://platform.v2.vetology.net/report/v/final/"&amp;2767620, 2767620)</f>
        <v>2767620</v>
      </c>
      <c r="D176" s="2" t="s">
        <v>665</v>
      </c>
      <c r="E176" s="2" t="s">
        <v>666</v>
      </c>
      <c r="F176" s="2" t="s">
        <v>667</v>
      </c>
      <c r="G176" s="2" t="s">
        <v>53</v>
      </c>
      <c r="H176" s="2" t="s">
        <v>668</v>
      </c>
      <c r="I176" s="2" t="s">
        <v>36</v>
      </c>
      <c r="J176" s="2" t="s">
        <v>37</v>
      </c>
      <c r="K176" s="2" t="s">
        <v>39</v>
      </c>
      <c r="L176" s="2" t="s">
        <v>38</v>
      </c>
      <c r="M176" s="2" t="s">
        <v>39</v>
      </c>
      <c r="N176" s="2" t="s">
        <v>39</v>
      </c>
      <c r="O176" s="2" t="s">
        <v>38</v>
      </c>
      <c r="P176" s="2" t="s">
        <v>39</v>
      </c>
      <c r="Q176" s="2" t="s">
        <v>39</v>
      </c>
      <c r="R176" s="2" t="s">
        <v>38</v>
      </c>
      <c r="S176" s="2" t="s">
        <v>39</v>
      </c>
      <c r="T176" s="2" t="s">
        <v>39</v>
      </c>
      <c r="U176" s="2" t="s">
        <v>39</v>
      </c>
      <c r="V176" s="2" t="s">
        <v>39</v>
      </c>
      <c r="W176" s="2" t="s">
        <v>38</v>
      </c>
      <c r="X176" s="2" t="s">
        <v>39</v>
      </c>
      <c r="Y176" s="2" t="s">
        <v>39</v>
      </c>
      <c r="Z176" s="2" t="s">
        <v>38</v>
      </c>
      <c r="AA176" s="2" t="s">
        <v>39</v>
      </c>
      <c r="AB176" s="2" t="s">
        <v>39</v>
      </c>
      <c r="AC176" s="2" t="s">
        <v>38</v>
      </c>
      <c r="AD176" s="2" t="s">
        <v>38</v>
      </c>
      <c r="AE176" s="2" t="s">
        <v>40</v>
      </c>
    </row>
    <row r="177" spans="1:31" ht="409.5">
      <c r="A177" s="2">
        <v>2767609</v>
      </c>
      <c r="B177" s="2">
        <f>HYPERLINK("https://platform.v2.vetology.net/cases/2767609/screening-report/1?type=pdf&amp;v=v6&amp;scorecard=1&amp;secret_key=BX%25IJ%24%2F65ieZ%29f6", 2767609)</f>
        <v>2767609</v>
      </c>
      <c r="C177" s="2">
        <f>HYPERLINK("https://platform.v2.vetology.net/report/v/final/"&amp;2767609, 2767609)</f>
        <v>2767609</v>
      </c>
      <c r="D177" s="2" t="s">
        <v>669</v>
      </c>
      <c r="E177" s="2" t="s">
        <v>670</v>
      </c>
      <c r="F177" s="2" t="s">
        <v>671</v>
      </c>
      <c r="G177" s="2" t="s">
        <v>53</v>
      </c>
      <c r="H177" s="2" t="s">
        <v>69</v>
      </c>
      <c r="I177" s="2" t="s">
        <v>46</v>
      </c>
      <c r="J177" s="2"/>
      <c r="K177" s="2" t="s">
        <v>39</v>
      </c>
      <c r="L177" s="2" t="s">
        <v>39</v>
      </c>
      <c r="M177" s="2" t="s">
        <v>39</v>
      </c>
      <c r="N177" s="2" t="s">
        <v>39</v>
      </c>
      <c r="O177" s="2" t="s">
        <v>39</v>
      </c>
      <c r="P177" s="2" t="s">
        <v>39</v>
      </c>
      <c r="Q177" s="2" t="s">
        <v>39</v>
      </c>
      <c r="R177" s="2" t="s">
        <v>39</v>
      </c>
      <c r="S177" s="2" t="s">
        <v>39</v>
      </c>
      <c r="T177" s="2" t="s">
        <v>39</v>
      </c>
      <c r="U177" s="2" t="s">
        <v>39</v>
      </c>
      <c r="V177" s="2" t="s">
        <v>39</v>
      </c>
      <c r="W177" s="2" t="s">
        <v>39</v>
      </c>
      <c r="X177" s="2" t="s">
        <v>39</v>
      </c>
      <c r="Y177" s="2" t="s">
        <v>39</v>
      </c>
      <c r="Z177" s="2" t="s">
        <v>39</v>
      </c>
      <c r="AA177" s="2" t="s">
        <v>39</v>
      </c>
      <c r="AB177" s="2" t="s">
        <v>39</v>
      </c>
      <c r="AC177" s="2" t="s">
        <v>39</v>
      </c>
      <c r="AD177" s="2" t="s">
        <v>39</v>
      </c>
      <c r="AE177" s="2" t="s">
        <v>39</v>
      </c>
    </row>
    <row r="178" spans="1:31" ht="409.5">
      <c r="A178" s="2">
        <v>2767583</v>
      </c>
      <c r="B178" s="2">
        <f>HYPERLINK("https://platform.v2.vetology.net/cases/2767583/screening-report/1?type=pdf&amp;v=v6&amp;scorecard=1&amp;secret_key=BX%25IJ%24%2F65ieZ%29f6", 2767583)</f>
        <v>2767583</v>
      </c>
      <c r="C178" s="2">
        <f>HYPERLINK("https://platform.v2.vetology.net/report/v/final/"&amp;2767583, 2767583)</f>
        <v>2767583</v>
      </c>
      <c r="D178" s="2" t="s">
        <v>672</v>
      </c>
      <c r="E178" s="2" t="s">
        <v>673</v>
      </c>
      <c r="F178" s="2" t="s">
        <v>674</v>
      </c>
      <c r="G178" s="2" t="s">
        <v>556</v>
      </c>
      <c r="H178" s="2" t="s">
        <v>675</v>
      </c>
      <c r="I178" s="2" t="s">
        <v>36</v>
      </c>
      <c r="J178" s="2" t="s">
        <v>37</v>
      </c>
      <c r="K178" s="2" t="s">
        <v>38</v>
      </c>
      <c r="L178" s="2" t="s">
        <v>38</v>
      </c>
      <c r="M178" s="2" t="s">
        <v>38</v>
      </c>
      <c r="N178" s="2" t="s">
        <v>38</v>
      </c>
      <c r="O178" s="2" t="s">
        <v>38</v>
      </c>
      <c r="P178" s="2" t="s">
        <v>39</v>
      </c>
      <c r="Q178" s="2" t="s">
        <v>39</v>
      </c>
      <c r="R178" s="2" t="s">
        <v>38</v>
      </c>
      <c r="S178" s="2" t="s">
        <v>38</v>
      </c>
      <c r="T178" s="2" t="s">
        <v>38</v>
      </c>
      <c r="U178" s="2" t="s">
        <v>39</v>
      </c>
      <c r="V178" s="2" t="s">
        <v>38</v>
      </c>
      <c r="W178" s="2" t="s">
        <v>38</v>
      </c>
      <c r="X178" s="2" t="s">
        <v>38</v>
      </c>
      <c r="Y178" s="2" t="s">
        <v>38</v>
      </c>
      <c r="Z178" s="2" t="s">
        <v>38</v>
      </c>
      <c r="AA178" s="2" t="s">
        <v>39</v>
      </c>
      <c r="AB178" s="2" t="s">
        <v>39</v>
      </c>
      <c r="AC178" s="2" t="s">
        <v>38</v>
      </c>
      <c r="AD178" s="2" t="s">
        <v>38</v>
      </c>
      <c r="AE178" s="2" t="s">
        <v>40</v>
      </c>
    </row>
    <row r="179" spans="1:31" ht="409.5">
      <c r="A179" s="2">
        <v>2767576</v>
      </c>
      <c r="B179" s="2">
        <f>HYPERLINK("https://platform.v2.vetology.net/cases/2767576/screening-report/1?type=pdf&amp;v=v6&amp;scorecard=1&amp;secret_key=BX%25IJ%24%2F65ieZ%29f6", 2767576)</f>
        <v>2767576</v>
      </c>
      <c r="C179" s="2">
        <f>HYPERLINK("https://platform.v2.vetology.net/report/v/final/"&amp;2767576, 2767576)</f>
        <v>2767576</v>
      </c>
      <c r="D179" s="2" t="s">
        <v>676</v>
      </c>
      <c r="E179" s="2" t="s">
        <v>677</v>
      </c>
      <c r="F179" s="2" t="s">
        <v>678</v>
      </c>
      <c r="G179" s="2" t="s">
        <v>145</v>
      </c>
      <c r="H179" s="2" t="s">
        <v>679</v>
      </c>
      <c r="I179" s="2" t="s">
        <v>73</v>
      </c>
      <c r="J179" s="2" t="s">
        <v>74</v>
      </c>
      <c r="K179" s="2" t="s">
        <v>38</v>
      </c>
      <c r="L179" s="2" t="s">
        <v>38</v>
      </c>
      <c r="M179" s="2" t="s">
        <v>38</v>
      </c>
      <c r="N179" s="2" t="s">
        <v>38</v>
      </c>
      <c r="O179" s="2" t="s">
        <v>38</v>
      </c>
      <c r="P179" s="2" t="s">
        <v>38</v>
      </c>
      <c r="Q179" s="2" t="s">
        <v>38</v>
      </c>
      <c r="R179" s="2" t="s">
        <v>38</v>
      </c>
      <c r="S179" s="2" t="s">
        <v>39</v>
      </c>
      <c r="T179" s="2" t="s">
        <v>38</v>
      </c>
      <c r="U179" s="2" t="s">
        <v>38</v>
      </c>
      <c r="V179" s="2" t="s">
        <v>38</v>
      </c>
      <c r="W179" s="2" t="s">
        <v>38</v>
      </c>
      <c r="X179" s="2" t="s">
        <v>38</v>
      </c>
      <c r="Y179" s="2" t="s">
        <v>39</v>
      </c>
      <c r="Z179" s="2" t="s">
        <v>38</v>
      </c>
      <c r="AA179" s="2" t="s">
        <v>38</v>
      </c>
      <c r="AB179" s="2" t="s">
        <v>38</v>
      </c>
      <c r="AC179" s="2" t="s">
        <v>38</v>
      </c>
      <c r="AD179" s="2" t="s">
        <v>39</v>
      </c>
      <c r="AE179" s="2" t="s">
        <v>40</v>
      </c>
    </row>
    <row r="180" spans="1:31" ht="409.5">
      <c r="A180" s="2">
        <v>2767534</v>
      </c>
      <c r="B180" s="2">
        <f>HYPERLINK("https://platform.v2.vetology.net/cases/2767534/screening-report/1?type=pdf&amp;v=v6&amp;scorecard=1&amp;secret_key=BX%25IJ%24%2F65ieZ%29f6", 2767534)</f>
        <v>2767534</v>
      </c>
      <c r="C180" s="2">
        <f>HYPERLINK("https://platform.v2.vetology.net/report/v/final/"&amp;2767534, 2767534)</f>
        <v>2767534</v>
      </c>
      <c r="D180" s="2" t="s">
        <v>680</v>
      </c>
      <c r="E180" s="2" t="s">
        <v>681</v>
      </c>
      <c r="F180" s="2" t="s">
        <v>682</v>
      </c>
      <c r="G180" s="2" t="s">
        <v>53</v>
      </c>
      <c r="H180" s="2" t="s">
        <v>683</v>
      </c>
      <c r="I180" s="2" t="s">
        <v>684</v>
      </c>
      <c r="J180" s="2" t="s">
        <v>74</v>
      </c>
      <c r="K180" s="2" t="s">
        <v>38</v>
      </c>
      <c r="L180" s="2" t="s">
        <v>39</v>
      </c>
      <c r="M180" s="2" t="s">
        <v>39</v>
      </c>
      <c r="N180" s="2" t="s">
        <v>39</v>
      </c>
      <c r="O180" s="2" t="s">
        <v>39</v>
      </c>
      <c r="P180" s="2" t="s">
        <v>39</v>
      </c>
      <c r="Q180" s="2" t="s">
        <v>38</v>
      </c>
      <c r="R180" s="2" t="s">
        <v>39</v>
      </c>
      <c r="S180" s="2" t="s">
        <v>39</v>
      </c>
      <c r="T180" s="2" t="s">
        <v>39</v>
      </c>
      <c r="U180" s="2" t="s">
        <v>39</v>
      </c>
      <c r="V180" s="2" t="s">
        <v>39</v>
      </c>
      <c r="W180" s="2" t="s">
        <v>39</v>
      </c>
      <c r="X180" s="2" t="s">
        <v>39</v>
      </c>
      <c r="Y180" s="2" t="s">
        <v>39</v>
      </c>
      <c r="Z180" s="2" t="s">
        <v>39</v>
      </c>
      <c r="AA180" s="2" t="s">
        <v>39</v>
      </c>
      <c r="AB180" s="2" t="s">
        <v>39</v>
      </c>
      <c r="AC180" s="2" t="s">
        <v>39</v>
      </c>
      <c r="AD180" s="2" t="s">
        <v>39</v>
      </c>
      <c r="AE180" s="2" t="s">
        <v>39</v>
      </c>
    </row>
    <row r="181" spans="1:31" ht="409.5">
      <c r="A181" s="2">
        <v>2767532</v>
      </c>
      <c r="B181" s="2">
        <f>HYPERLINK("https://platform.v2.vetology.net/cases/2767532/screening-report/1?type=pdf&amp;v=v6&amp;scorecard=1&amp;secret_key=BX%25IJ%24%2F65ieZ%29f6", 2767532)</f>
        <v>2767532</v>
      </c>
      <c r="C181" s="2">
        <f>HYPERLINK("https://platform.v2.vetology.net/report/v/final/"&amp;2767532, 2767532)</f>
        <v>2767532</v>
      </c>
      <c r="D181" s="2" t="s">
        <v>685</v>
      </c>
      <c r="E181" s="2" t="s">
        <v>686</v>
      </c>
      <c r="F181" s="2" t="s">
        <v>687</v>
      </c>
      <c r="G181" s="2" t="s">
        <v>53</v>
      </c>
      <c r="H181" s="2" t="s">
        <v>530</v>
      </c>
      <c r="I181" s="2" t="s">
        <v>59</v>
      </c>
      <c r="J181" s="2" t="s">
        <v>37</v>
      </c>
      <c r="K181" s="2" t="s">
        <v>38</v>
      </c>
      <c r="L181" s="2" t="s">
        <v>39</v>
      </c>
      <c r="M181" s="2" t="s">
        <v>39</v>
      </c>
      <c r="N181" s="2" t="s">
        <v>39</v>
      </c>
      <c r="O181" s="2" t="s">
        <v>39</v>
      </c>
      <c r="P181" s="2" t="s">
        <v>39</v>
      </c>
      <c r="Q181" s="2" t="s">
        <v>39</v>
      </c>
      <c r="R181" s="2" t="s">
        <v>39</v>
      </c>
      <c r="S181" s="2" t="s">
        <v>39</v>
      </c>
      <c r="T181" s="2" t="s">
        <v>38</v>
      </c>
      <c r="U181" s="2" t="s">
        <v>38</v>
      </c>
      <c r="V181" s="2" t="s">
        <v>38</v>
      </c>
      <c r="W181" s="2" t="s">
        <v>38</v>
      </c>
      <c r="X181" s="2" t="s">
        <v>39</v>
      </c>
      <c r="Y181" s="2" t="s">
        <v>39</v>
      </c>
      <c r="Z181" s="2" t="s">
        <v>38</v>
      </c>
      <c r="AA181" s="2" t="s">
        <v>39</v>
      </c>
      <c r="AB181" s="2" t="s">
        <v>39</v>
      </c>
      <c r="AC181" s="2" t="s">
        <v>38</v>
      </c>
      <c r="AD181" s="2" t="s">
        <v>39</v>
      </c>
      <c r="AE181" s="2" t="s">
        <v>39</v>
      </c>
    </row>
    <row r="182" spans="1:31" ht="409.5">
      <c r="A182" s="2">
        <v>2767475</v>
      </c>
      <c r="B182" s="2">
        <f>HYPERLINK("https://platform.v2.vetology.net/cases/2767475/screening-report/1?type=pdf&amp;v=v6&amp;scorecard=1&amp;secret_key=BX%25IJ%24%2F65ieZ%29f6", 2767475)</f>
        <v>2767475</v>
      </c>
      <c r="C182" s="2">
        <f>HYPERLINK("https://platform.v2.vetology.net/report/v/final/"&amp;2767475, 2767475)</f>
        <v>2767475</v>
      </c>
      <c r="D182" s="2" t="s">
        <v>688</v>
      </c>
      <c r="E182" s="2" t="s">
        <v>689</v>
      </c>
      <c r="F182" s="2" t="s">
        <v>690</v>
      </c>
      <c r="G182" s="2" t="s">
        <v>53</v>
      </c>
      <c r="H182" s="2" t="s">
        <v>691</v>
      </c>
      <c r="I182" s="2" t="s">
        <v>36</v>
      </c>
      <c r="J182" s="2" t="s">
        <v>37</v>
      </c>
      <c r="K182" s="2" t="s">
        <v>38</v>
      </c>
      <c r="L182" s="2" t="s">
        <v>39</v>
      </c>
      <c r="M182" s="2" t="s">
        <v>38</v>
      </c>
      <c r="N182" s="2" t="s">
        <v>39</v>
      </c>
      <c r="O182" s="2" t="s">
        <v>39</v>
      </c>
      <c r="P182" s="2" t="s">
        <v>39</v>
      </c>
      <c r="Q182" s="2" t="s">
        <v>39</v>
      </c>
      <c r="R182" s="2" t="s">
        <v>38</v>
      </c>
      <c r="S182" s="2" t="s">
        <v>38</v>
      </c>
      <c r="T182" s="2" t="s">
        <v>38</v>
      </c>
      <c r="U182" s="2" t="s">
        <v>39</v>
      </c>
      <c r="V182" s="2" t="s">
        <v>38</v>
      </c>
      <c r="W182" s="2" t="s">
        <v>38</v>
      </c>
      <c r="X182" s="2" t="s">
        <v>39</v>
      </c>
      <c r="Y182" s="2" t="s">
        <v>38</v>
      </c>
      <c r="Z182" s="2" t="s">
        <v>38</v>
      </c>
      <c r="AA182" s="2" t="s">
        <v>38</v>
      </c>
      <c r="AB182" s="2" t="s">
        <v>39</v>
      </c>
      <c r="AC182" s="2" t="s">
        <v>38</v>
      </c>
      <c r="AD182" s="2" t="s">
        <v>38</v>
      </c>
      <c r="AE182" s="2" t="s">
        <v>40</v>
      </c>
    </row>
    <row r="183" spans="1:31" ht="409.5">
      <c r="A183" s="2">
        <v>2767460</v>
      </c>
      <c r="B183" s="2">
        <f>HYPERLINK("https://platform.v2.vetology.net/cases/2767460/screening-report/1?type=pdf&amp;v=v6&amp;scorecard=1&amp;secret_key=BX%25IJ%24%2F65ieZ%29f6", 2767460)</f>
        <v>2767460</v>
      </c>
      <c r="C183" s="2">
        <f>HYPERLINK("https://platform.v2.vetology.net/report/v/final/"&amp;2767460, 2767460)</f>
        <v>2767460</v>
      </c>
      <c r="D183" s="2" t="s">
        <v>692</v>
      </c>
      <c r="E183" s="2" t="s">
        <v>693</v>
      </c>
      <c r="F183" s="2" t="s">
        <v>694</v>
      </c>
      <c r="G183" s="2" t="s">
        <v>34</v>
      </c>
      <c r="H183" s="2" t="s">
        <v>695</v>
      </c>
      <c r="I183" s="2" t="s">
        <v>73</v>
      </c>
      <c r="J183" s="2" t="s">
        <v>74</v>
      </c>
      <c r="K183" s="2" t="s">
        <v>38</v>
      </c>
      <c r="L183" s="2" t="s">
        <v>38</v>
      </c>
      <c r="M183" s="2" t="s">
        <v>38</v>
      </c>
      <c r="N183" s="2" t="s">
        <v>38</v>
      </c>
      <c r="O183" s="2" t="s">
        <v>38</v>
      </c>
      <c r="P183" s="2" t="s">
        <v>38</v>
      </c>
      <c r="Q183" s="2" t="s">
        <v>38</v>
      </c>
      <c r="R183" s="2" t="s">
        <v>38</v>
      </c>
      <c r="S183" s="2" t="s">
        <v>38</v>
      </c>
      <c r="T183" s="2" t="s">
        <v>38</v>
      </c>
      <c r="U183" s="2" t="s">
        <v>38</v>
      </c>
      <c r="V183" s="2" t="s">
        <v>38</v>
      </c>
      <c r="W183" s="2" t="s">
        <v>38</v>
      </c>
      <c r="X183" s="2" t="s">
        <v>38</v>
      </c>
      <c r="Y183" s="2" t="s">
        <v>38</v>
      </c>
      <c r="Z183" s="2" t="s">
        <v>38</v>
      </c>
      <c r="AA183" s="2" t="s">
        <v>38</v>
      </c>
      <c r="AB183" s="2" t="s">
        <v>38</v>
      </c>
      <c r="AC183" s="2" t="s">
        <v>38</v>
      </c>
      <c r="AD183" s="2" t="s">
        <v>38</v>
      </c>
      <c r="AE183" s="2" t="s">
        <v>39</v>
      </c>
    </row>
    <row r="184" spans="1:31" ht="409.5">
      <c r="A184" s="2">
        <v>2767439</v>
      </c>
      <c r="B184" s="2">
        <f>HYPERLINK("https://platform.v2.vetology.net/cases/2767439/screening-report/1?type=pdf&amp;v=v6&amp;scorecard=1&amp;secret_key=BX%25IJ%24%2F65ieZ%29f6", 2767439)</f>
        <v>2767439</v>
      </c>
      <c r="C184" s="2">
        <f>HYPERLINK("https://platform.v2.vetology.net/report/v/final/"&amp;2767439, 2767439)</f>
        <v>2767439</v>
      </c>
      <c r="D184" s="2" t="s">
        <v>696</v>
      </c>
      <c r="E184" s="2" t="s">
        <v>697</v>
      </c>
      <c r="F184" s="2" t="s">
        <v>698</v>
      </c>
      <c r="G184" s="2" t="s">
        <v>34</v>
      </c>
      <c r="H184" s="2" t="s">
        <v>398</v>
      </c>
      <c r="I184" s="2" t="s">
        <v>46</v>
      </c>
      <c r="J184" s="2"/>
      <c r="K184" s="2" t="s">
        <v>38</v>
      </c>
      <c r="L184" s="2" t="s">
        <v>39</v>
      </c>
      <c r="M184" s="2" t="s">
        <v>39</v>
      </c>
      <c r="N184" s="2" t="s">
        <v>39</v>
      </c>
      <c r="O184" s="2" t="s">
        <v>39</v>
      </c>
      <c r="P184" s="2" t="s">
        <v>39</v>
      </c>
      <c r="Q184" s="2" t="s">
        <v>39</v>
      </c>
      <c r="R184" s="2" t="s">
        <v>39</v>
      </c>
      <c r="S184" s="2" t="s">
        <v>39</v>
      </c>
      <c r="T184" s="2" t="s">
        <v>39</v>
      </c>
      <c r="U184" s="2" t="s">
        <v>39</v>
      </c>
      <c r="V184" s="2" t="s">
        <v>39</v>
      </c>
      <c r="W184" s="2" t="s">
        <v>39</v>
      </c>
      <c r="X184" s="2" t="s">
        <v>39</v>
      </c>
      <c r="Y184" s="2" t="s">
        <v>39</v>
      </c>
      <c r="Z184" s="2" t="s">
        <v>39</v>
      </c>
      <c r="AA184" s="2" t="s">
        <v>39</v>
      </c>
      <c r="AB184" s="2" t="s">
        <v>39</v>
      </c>
      <c r="AC184" s="2" t="s">
        <v>39</v>
      </c>
      <c r="AD184" s="2" t="s">
        <v>39</v>
      </c>
      <c r="AE184" s="2" t="s">
        <v>39</v>
      </c>
    </row>
    <row r="185" spans="1:31" ht="409.5">
      <c r="A185" s="2">
        <v>2767432</v>
      </c>
      <c r="B185" s="2">
        <f>HYPERLINK("https://platform.v2.vetology.net/cases/2767432/screening-report/1?type=pdf&amp;v=v6&amp;scorecard=1&amp;secret_key=BX%25IJ%24%2F65ieZ%29f6", 2767432)</f>
        <v>2767432</v>
      </c>
      <c r="C185" s="2">
        <f>HYPERLINK("https://platform.v2.vetology.net/report/v/final/"&amp;2767432, 2767432)</f>
        <v>2767432</v>
      </c>
      <c r="D185" s="2" t="s">
        <v>699</v>
      </c>
      <c r="E185" s="2" t="s">
        <v>700</v>
      </c>
      <c r="F185" s="2" t="s">
        <v>43</v>
      </c>
      <c r="G185" s="2" t="s">
        <v>44</v>
      </c>
      <c r="H185" s="2" t="s">
        <v>701</v>
      </c>
      <c r="I185" s="2" t="s">
        <v>73</v>
      </c>
      <c r="J185" s="2" t="s">
        <v>74</v>
      </c>
      <c r="K185" s="2" t="s">
        <v>38</v>
      </c>
      <c r="L185" s="2" t="s">
        <v>38</v>
      </c>
      <c r="M185" s="2" t="s">
        <v>38</v>
      </c>
      <c r="N185" s="2" t="s">
        <v>38</v>
      </c>
      <c r="O185" s="2" t="s">
        <v>38</v>
      </c>
      <c r="P185" s="2" t="s">
        <v>38</v>
      </c>
      <c r="Q185" s="2" t="s">
        <v>38</v>
      </c>
      <c r="R185" s="2" t="s">
        <v>38</v>
      </c>
      <c r="S185" s="2" t="s">
        <v>38</v>
      </c>
      <c r="T185" s="2" t="s">
        <v>38</v>
      </c>
      <c r="U185" s="2" t="s">
        <v>38</v>
      </c>
      <c r="V185" s="2" t="s">
        <v>38</v>
      </c>
      <c r="W185" s="2" t="s">
        <v>38</v>
      </c>
      <c r="X185" s="2" t="s">
        <v>38</v>
      </c>
      <c r="Y185" s="2" t="s">
        <v>38</v>
      </c>
      <c r="Z185" s="2" t="s">
        <v>38</v>
      </c>
      <c r="AA185" s="2" t="s">
        <v>38</v>
      </c>
      <c r="AB185" s="2" t="s">
        <v>38</v>
      </c>
      <c r="AC185" s="2" t="s">
        <v>38</v>
      </c>
      <c r="AD185" s="2" t="s">
        <v>38</v>
      </c>
      <c r="AE185" s="2" t="s">
        <v>40</v>
      </c>
    </row>
    <row r="186" spans="1:31" ht="409.5">
      <c r="A186" s="2">
        <v>2767415</v>
      </c>
      <c r="B186" s="2">
        <f>HYPERLINK("https://platform.v2.vetology.net/cases/2767415/screening-report/1?type=pdf&amp;v=v6&amp;scorecard=1&amp;secret_key=BX%25IJ%24%2F65ieZ%29f6", 2767415)</f>
        <v>2767415</v>
      </c>
      <c r="C186" s="2">
        <f>HYPERLINK("https://platform.v2.vetology.net/report/v/final/"&amp;2767415, 2767415)</f>
        <v>2767415</v>
      </c>
      <c r="D186" s="2" t="s">
        <v>702</v>
      </c>
      <c r="E186" s="2" t="s">
        <v>703</v>
      </c>
      <c r="F186" s="2" t="s">
        <v>43</v>
      </c>
      <c r="G186" s="2" t="s">
        <v>44</v>
      </c>
      <c r="H186" s="2" t="s">
        <v>704</v>
      </c>
      <c r="I186" s="2" t="s">
        <v>73</v>
      </c>
      <c r="J186" s="2" t="s">
        <v>74</v>
      </c>
      <c r="K186" s="2" t="s">
        <v>38</v>
      </c>
      <c r="L186" s="2" t="s">
        <v>38</v>
      </c>
      <c r="M186" s="2" t="s">
        <v>39</v>
      </c>
      <c r="N186" s="2" t="s">
        <v>38</v>
      </c>
      <c r="O186" s="2" t="s">
        <v>38</v>
      </c>
      <c r="P186" s="2" t="s">
        <v>39</v>
      </c>
      <c r="Q186" s="2" t="s">
        <v>38</v>
      </c>
      <c r="R186" s="2" t="s">
        <v>38</v>
      </c>
      <c r="S186" s="2" t="s">
        <v>38</v>
      </c>
      <c r="T186" s="2" t="s">
        <v>39</v>
      </c>
      <c r="U186" s="2" t="s">
        <v>38</v>
      </c>
      <c r="V186" s="2" t="s">
        <v>38</v>
      </c>
      <c r="W186" s="2" t="s">
        <v>39</v>
      </c>
      <c r="X186" s="2" t="s">
        <v>39</v>
      </c>
      <c r="Y186" s="2" t="s">
        <v>39</v>
      </c>
      <c r="Z186" s="2" t="s">
        <v>38</v>
      </c>
      <c r="AA186" s="2" t="s">
        <v>38</v>
      </c>
      <c r="AB186" s="2" t="s">
        <v>39</v>
      </c>
      <c r="AC186" s="2" t="s">
        <v>39</v>
      </c>
      <c r="AD186" s="2" t="s">
        <v>39</v>
      </c>
      <c r="AE186" s="2" t="s">
        <v>39</v>
      </c>
    </row>
    <row r="187" spans="1:31" ht="409.5">
      <c r="A187" s="2">
        <v>2767353</v>
      </c>
      <c r="B187" s="2">
        <f>HYPERLINK("https://platform.v2.vetology.net/cases/2767353/screening-report/1?type=pdf&amp;v=v6&amp;scorecard=1&amp;secret_key=BX%25IJ%24%2F65ieZ%29f6", 2767353)</f>
        <v>2767353</v>
      </c>
      <c r="C187" s="2">
        <f>HYPERLINK("https://platform.v2.vetology.net/report/v/final/"&amp;2767353, 2767353)</f>
        <v>2767353</v>
      </c>
      <c r="D187" s="2" t="s">
        <v>705</v>
      </c>
      <c r="E187" s="2" t="s">
        <v>706</v>
      </c>
      <c r="F187" s="2" t="s">
        <v>707</v>
      </c>
      <c r="G187" s="2" t="s">
        <v>127</v>
      </c>
      <c r="H187" s="2" t="s">
        <v>708</v>
      </c>
      <c r="I187" s="2" t="s">
        <v>36</v>
      </c>
      <c r="J187" s="2" t="s">
        <v>37</v>
      </c>
      <c r="K187" s="2" t="s">
        <v>38</v>
      </c>
      <c r="L187" s="2" t="s">
        <v>38</v>
      </c>
      <c r="M187" s="2" t="s">
        <v>39</v>
      </c>
      <c r="N187" s="2" t="s">
        <v>38</v>
      </c>
      <c r="O187" s="2" t="s">
        <v>38</v>
      </c>
      <c r="P187" s="2" t="s">
        <v>39</v>
      </c>
      <c r="Q187" s="2" t="s">
        <v>39</v>
      </c>
      <c r="R187" s="2" t="s">
        <v>39</v>
      </c>
      <c r="S187" s="2" t="s">
        <v>39</v>
      </c>
      <c r="T187" s="2" t="s">
        <v>39</v>
      </c>
      <c r="U187" s="2" t="s">
        <v>38</v>
      </c>
      <c r="V187" s="2" t="s">
        <v>38</v>
      </c>
      <c r="W187" s="2" t="s">
        <v>38</v>
      </c>
      <c r="X187" s="2" t="s">
        <v>39</v>
      </c>
      <c r="Y187" s="2" t="s">
        <v>38</v>
      </c>
      <c r="Z187" s="2" t="s">
        <v>39</v>
      </c>
      <c r="AA187" s="2" t="s">
        <v>39</v>
      </c>
      <c r="AB187" s="2" t="s">
        <v>38</v>
      </c>
      <c r="AC187" s="2" t="s">
        <v>38</v>
      </c>
      <c r="AD187" s="2" t="s">
        <v>38</v>
      </c>
      <c r="AE187" s="2" t="s">
        <v>39</v>
      </c>
    </row>
    <row r="188" spans="1:31" ht="409.5">
      <c r="A188" s="2">
        <v>2767348</v>
      </c>
      <c r="B188" s="2">
        <f>HYPERLINK("https://platform.v2.vetology.net/cases/2767348/screening-report/1?type=pdf&amp;v=v6&amp;scorecard=1&amp;secret_key=BX%25IJ%24%2F65ieZ%29f6", 2767348)</f>
        <v>2767348</v>
      </c>
      <c r="C188" s="2">
        <f>HYPERLINK("https://platform.v2.vetology.net/report/v/final/"&amp;2767348, 2767348)</f>
        <v>2767348</v>
      </c>
      <c r="D188" s="2" t="s">
        <v>709</v>
      </c>
      <c r="E188" s="2" t="s">
        <v>710</v>
      </c>
      <c r="F188" s="2" t="s">
        <v>711</v>
      </c>
      <c r="G188" s="2" t="s">
        <v>170</v>
      </c>
      <c r="H188" s="2" t="s">
        <v>712</v>
      </c>
      <c r="I188" s="2" t="s">
        <v>36</v>
      </c>
      <c r="J188" s="2" t="s">
        <v>37</v>
      </c>
      <c r="K188" s="2" t="s">
        <v>39</v>
      </c>
      <c r="L188" s="2" t="s">
        <v>38</v>
      </c>
      <c r="M188" s="2" t="s">
        <v>38</v>
      </c>
      <c r="N188" s="2" t="s">
        <v>39</v>
      </c>
      <c r="O188" s="2" t="s">
        <v>39</v>
      </c>
      <c r="P188" s="2" t="s">
        <v>39</v>
      </c>
      <c r="Q188" s="2" t="s">
        <v>39</v>
      </c>
      <c r="R188" s="2" t="s">
        <v>39</v>
      </c>
      <c r="S188" s="2" t="s">
        <v>39</v>
      </c>
      <c r="T188" s="2" t="s">
        <v>39</v>
      </c>
      <c r="U188" s="2" t="s">
        <v>39</v>
      </c>
      <c r="V188" s="2" t="s">
        <v>39</v>
      </c>
      <c r="W188" s="2" t="s">
        <v>39</v>
      </c>
      <c r="X188" s="2" t="s">
        <v>39</v>
      </c>
      <c r="Y188" s="2" t="s">
        <v>39</v>
      </c>
      <c r="Z188" s="2" t="s">
        <v>39</v>
      </c>
      <c r="AA188" s="2" t="s">
        <v>39</v>
      </c>
      <c r="AB188" s="2" t="s">
        <v>39</v>
      </c>
      <c r="AC188" s="2" t="s">
        <v>39</v>
      </c>
      <c r="AD188" s="2" t="s">
        <v>38</v>
      </c>
      <c r="AE188" s="2" t="s">
        <v>40</v>
      </c>
    </row>
    <row r="189" spans="1:31" ht="409.5">
      <c r="A189" s="2">
        <v>2767301</v>
      </c>
      <c r="B189" s="2">
        <f>HYPERLINK("https://platform.v2.vetology.net/cases/2767301/screening-report/1?type=pdf&amp;v=v6&amp;scorecard=1&amp;secret_key=BX%25IJ%24%2F65ieZ%29f6", 2767301)</f>
        <v>2767301</v>
      </c>
      <c r="C189" s="2">
        <f>HYPERLINK("https://platform.v2.vetology.net/report/v/final/"&amp;2767301, 2767301)</f>
        <v>2767301</v>
      </c>
      <c r="D189" s="2" t="s">
        <v>713</v>
      </c>
      <c r="E189" s="2" t="s">
        <v>714</v>
      </c>
      <c r="F189" s="2" t="s">
        <v>715</v>
      </c>
      <c r="G189" s="2" t="s">
        <v>34</v>
      </c>
      <c r="H189" s="2" t="s">
        <v>716</v>
      </c>
      <c r="I189" s="2" t="s">
        <v>36</v>
      </c>
      <c r="J189" s="2" t="s">
        <v>37</v>
      </c>
      <c r="K189" s="2" t="s">
        <v>38</v>
      </c>
      <c r="L189" s="2" t="s">
        <v>38</v>
      </c>
      <c r="M189" s="2" t="s">
        <v>39</v>
      </c>
      <c r="N189" s="2" t="s">
        <v>38</v>
      </c>
      <c r="O189" s="2" t="s">
        <v>38</v>
      </c>
      <c r="P189" s="2" t="s">
        <v>39</v>
      </c>
      <c r="Q189" s="2" t="s">
        <v>39</v>
      </c>
      <c r="R189" s="2" t="s">
        <v>38</v>
      </c>
      <c r="S189" s="2" t="s">
        <v>38</v>
      </c>
      <c r="T189" s="2" t="s">
        <v>39</v>
      </c>
      <c r="U189" s="2" t="s">
        <v>38</v>
      </c>
      <c r="V189" s="2" t="s">
        <v>38</v>
      </c>
      <c r="W189" s="2" t="s">
        <v>38</v>
      </c>
      <c r="X189" s="2" t="s">
        <v>39</v>
      </c>
      <c r="Y189" s="2" t="s">
        <v>39</v>
      </c>
      <c r="Z189" s="2" t="s">
        <v>38</v>
      </c>
      <c r="AA189" s="2" t="s">
        <v>39</v>
      </c>
      <c r="AB189" s="2" t="s">
        <v>39</v>
      </c>
      <c r="AC189" s="2" t="s">
        <v>38</v>
      </c>
      <c r="AD189" s="2" t="s">
        <v>38</v>
      </c>
      <c r="AE189" s="2" t="s">
        <v>39</v>
      </c>
    </row>
    <row r="190" spans="1:31" ht="409.5">
      <c r="A190" s="2">
        <v>2767275</v>
      </c>
      <c r="B190" s="2">
        <f>HYPERLINK("https://platform.v2.vetology.net/cases/2767275/screening-report/1?type=pdf&amp;v=v6&amp;scorecard=1&amp;secret_key=BX%25IJ%24%2F65ieZ%29f6", 2767275)</f>
        <v>2767275</v>
      </c>
      <c r="C190" s="2">
        <f>HYPERLINK("https://platform.v2.vetology.net/report/v/final/"&amp;2767275, 2767275)</f>
        <v>2767275</v>
      </c>
      <c r="D190" s="2" t="s">
        <v>717</v>
      </c>
      <c r="E190" s="2" t="s">
        <v>718</v>
      </c>
      <c r="F190" s="2" t="s">
        <v>719</v>
      </c>
      <c r="G190" s="2" t="s">
        <v>53</v>
      </c>
      <c r="H190" s="2" t="s">
        <v>720</v>
      </c>
      <c r="I190" s="2" t="s">
        <v>36</v>
      </c>
      <c r="J190" s="2" t="s">
        <v>37</v>
      </c>
      <c r="K190" s="2" t="s">
        <v>38</v>
      </c>
      <c r="L190" s="2" t="s">
        <v>38</v>
      </c>
      <c r="M190" s="2" t="s">
        <v>39</v>
      </c>
      <c r="N190" s="2" t="s">
        <v>38</v>
      </c>
      <c r="O190" s="2" t="s">
        <v>38</v>
      </c>
      <c r="P190" s="2" t="s">
        <v>38</v>
      </c>
      <c r="Q190" s="2" t="s">
        <v>39</v>
      </c>
      <c r="R190" s="2" t="s">
        <v>39</v>
      </c>
      <c r="S190" s="2" t="s">
        <v>38</v>
      </c>
      <c r="T190" s="2" t="s">
        <v>38</v>
      </c>
      <c r="U190" s="2" t="s">
        <v>38</v>
      </c>
      <c r="V190" s="2" t="s">
        <v>38</v>
      </c>
      <c r="W190" s="2" t="s">
        <v>38</v>
      </c>
      <c r="X190" s="2" t="s">
        <v>39</v>
      </c>
      <c r="Y190" s="2" t="s">
        <v>38</v>
      </c>
      <c r="Z190" s="2" t="s">
        <v>38</v>
      </c>
      <c r="AA190" s="2" t="s">
        <v>38</v>
      </c>
      <c r="AB190" s="2" t="s">
        <v>39</v>
      </c>
      <c r="AC190" s="2" t="s">
        <v>38</v>
      </c>
      <c r="AD190" s="2" t="s">
        <v>38</v>
      </c>
      <c r="AE190" s="2" t="s">
        <v>39</v>
      </c>
    </row>
    <row r="191" spans="1:31" ht="409.5">
      <c r="A191" s="2">
        <v>2767268</v>
      </c>
      <c r="B191" s="2">
        <f>HYPERLINK("https://platform.v2.vetology.net/cases/2767268/screening-report/1?type=pdf&amp;v=v6&amp;scorecard=1&amp;secret_key=BX%25IJ%24%2F65ieZ%29f6", 2767268)</f>
        <v>2767268</v>
      </c>
      <c r="C191" s="2">
        <f>HYPERLINK("https://platform.v2.vetology.net/report/v/final/"&amp;2767268, 2767268)</f>
        <v>2767268</v>
      </c>
      <c r="D191" s="2" t="s">
        <v>721</v>
      </c>
      <c r="E191" s="2" t="s">
        <v>722</v>
      </c>
      <c r="F191" s="2" t="s">
        <v>723</v>
      </c>
      <c r="G191" s="2" t="s">
        <v>127</v>
      </c>
      <c r="H191" s="2" t="s">
        <v>724</v>
      </c>
      <c r="I191" s="2" t="s">
        <v>73</v>
      </c>
      <c r="J191" s="2" t="s">
        <v>74</v>
      </c>
      <c r="K191" s="2" t="s">
        <v>38</v>
      </c>
      <c r="L191" s="2" t="s">
        <v>38</v>
      </c>
      <c r="M191" s="2" t="s">
        <v>38</v>
      </c>
      <c r="N191" s="2" t="s">
        <v>38</v>
      </c>
      <c r="O191" s="2" t="s">
        <v>38</v>
      </c>
      <c r="P191" s="2" t="s">
        <v>38</v>
      </c>
      <c r="Q191" s="2" t="s">
        <v>38</v>
      </c>
      <c r="R191" s="2" t="s">
        <v>38</v>
      </c>
      <c r="S191" s="2" t="s">
        <v>38</v>
      </c>
      <c r="T191" s="2" t="s">
        <v>38</v>
      </c>
      <c r="U191" s="2" t="s">
        <v>39</v>
      </c>
      <c r="V191" s="2" t="s">
        <v>38</v>
      </c>
      <c r="W191" s="2" t="s">
        <v>38</v>
      </c>
      <c r="X191" s="2" t="s">
        <v>38</v>
      </c>
      <c r="Y191" s="2" t="s">
        <v>39</v>
      </c>
      <c r="Z191" s="2" t="s">
        <v>38</v>
      </c>
      <c r="AA191" s="2" t="s">
        <v>39</v>
      </c>
      <c r="AB191" s="2" t="s">
        <v>38</v>
      </c>
      <c r="AC191" s="2" t="s">
        <v>38</v>
      </c>
      <c r="AD191" s="2" t="s">
        <v>38</v>
      </c>
      <c r="AE191" s="2" t="s">
        <v>39</v>
      </c>
    </row>
    <row r="192" spans="1:31" ht="409.5">
      <c r="A192" s="2">
        <v>2767234</v>
      </c>
      <c r="B192" s="2">
        <f>HYPERLINK("https://platform.v2.vetology.net/cases/2767234/screening-report/1?type=pdf&amp;v=v6&amp;scorecard=1&amp;secret_key=BX%25IJ%24%2F65ieZ%29f6", 2767234)</f>
        <v>2767234</v>
      </c>
      <c r="C192" s="2">
        <f>HYPERLINK("https://platform.v2.vetology.net/report/v/final/"&amp;2767234, 2767234)</f>
        <v>2767234</v>
      </c>
      <c r="D192" s="2" t="s">
        <v>725</v>
      </c>
      <c r="E192" s="2" t="s">
        <v>726</v>
      </c>
      <c r="F192" s="2" t="s">
        <v>727</v>
      </c>
      <c r="G192" s="2" t="s">
        <v>170</v>
      </c>
      <c r="H192" s="2" t="s">
        <v>728</v>
      </c>
      <c r="I192" s="2" t="s">
        <v>36</v>
      </c>
      <c r="J192" s="2" t="s">
        <v>37</v>
      </c>
      <c r="K192" s="2" t="s">
        <v>39</v>
      </c>
      <c r="L192" s="2" t="s">
        <v>39</v>
      </c>
      <c r="M192" s="2" t="s">
        <v>38</v>
      </c>
      <c r="N192" s="2" t="s">
        <v>39</v>
      </c>
      <c r="O192" s="2" t="s">
        <v>39</v>
      </c>
      <c r="P192" s="2" t="s">
        <v>39</v>
      </c>
      <c r="Q192" s="2" t="s">
        <v>39</v>
      </c>
      <c r="R192" s="2" t="s">
        <v>39</v>
      </c>
      <c r="S192" s="2" t="s">
        <v>38</v>
      </c>
      <c r="T192" s="2" t="s">
        <v>39</v>
      </c>
      <c r="U192" s="2" t="s">
        <v>39</v>
      </c>
      <c r="V192" s="2" t="s">
        <v>38</v>
      </c>
      <c r="W192" s="2" t="s">
        <v>38</v>
      </c>
      <c r="X192" s="2" t="s">
        <v>39</v>
      </c>
      <c r="Y192" s="2" t="s">
        <v>39</v>
      </c>
      <c r="Z192" s="2" t="s">
        <v>39</v>
      </c>
      <c r="AA192" s="2" t="s">
        <v>39</v>
      </c>
      <c r="AB192" s="2" t="s">
        <v>39</v>
      </c>
      <c r="AC192" s="2" t="s">
        <v>38</v>
      </c>
      <c r="AD192" s="2" t="s">
        <v>38</v>
      </c>
      <c r="AE192" s="2" t="s">
        <v>39</v>
      </c>
    </row>
    <row r="193" spans="1:31" ht="409.5">
      <c r="A193" s="2">
        <v>2767219</v>
      </c>
      <c r="B193" s="2">
        <f>HYPERLINK("https://platform.v2.vetology.net/cases/2767219/screening-report/1?type=pdf&amp;v=v6&amp;scorecard=1&amp;secret_key=BX%25IJ%24%2F65ieZ%29f6", 2767219)</f>
        <v>2767219</v>
      </c>
      <c r="C193" s="2">
        <f>HYPERLINK("https://platform.v2.vetology.net/report/v/final/"&amp;2767219, 2767219)</f>
        <v>2767219</v>
      </c>
      <c r="D193" s="2" t="s">
        <v>729</v>
      </c>
      <c r="E193" s="2" t="s">
        <v>730</v>
      </c>
      <c r="F193" s="2" t="s">
        <v>174</v>
      </c>
      <c r="G193" s="2" t="s">
        <v>170</v>
      </c>
      <c r="H193" s="2" t="s">
        <v>731</v>
      </c>
      <c r="I193" s="2" t="s">
        <v>59</v>
      </c>
      <c r="J193" s="2" t="s">
        <v>37</v>
      </c>
      <c r="K193" s="2" t="s">
        <v>38</v>
      </c>
      <c r="L193" s="2" t="s">
        <v>39</v>
      </c>
      <c r="M193" s="2" t="s">
        <v>39</v>
      </c>
      <c r="N193" s="2" t="s">
        <v>39</v>
      </c>
      <c r="O193" s="2" t="s">
        <v>39</v>
      </c>
      <c r="P193" s="2" t="s">
        <v>39</v>
      </c>
      <c r="Q193" s="2" t="s">
        <v>39</v>
      </c>
      <c r="R193" s="2" t="s">
        <v>39</v>
      </c>
      <c r="S193" s="2" t="s">
        <v>39</v>
      </c>
      <c r="T193" s="2" t="s">
        <v>39</v>
      </c>
      <c r="U193" s="2" t="s">
        <v>38</v>
      </c>
      <c r="V193" s="2" t="s">
        <v>38</v>
      </c>
      <c r="W193" s="2" t="s">
        <v>39</v>
      </c>
      <c r="X193" s="2" t="s">
        <v>39</v>
      </c>
      <c r="Y193" s="2" t="s">
        <v>39</v>
      </c>
      <c r="Z193" s="2" t="s">
        <v>39</v>
      </c>
      <c r="AA193" s="2" t="s">
        <v>39</v>
      </c>
      <c r="AB193" s="2" t="s">
        <v>39</v>
      </c>
      <c r="AC193" s="2" t="s">
        <v>38</v>
      </c>
      <c r="AD193" s="2" t="s">
        <v>39</v>
      </c>
      <c r="AE193" s="2" t="s">
        <v>39</v>
      </c>
    </row>
    <row r="194" spans="1:31" ht="409.5">
      <c r="A194" s="2">
        <v>2767217</v>
      </c>
      <c r="B194" s="2">
        <f>HYPERLINK("https://platform.v2.vetology.net/cases/2767217/screening-report/1?type=pdf&amp;v=v6&amp;scorecard=1&amp;secret_key=BX%25IJ%24%2F65ieZ%29f6", 2767217)</f>
        <v>2767217</v>
      </c>
      <c r="C194" s="2">
        <f>HYPERLINK("https://platform.v2.vetology.net/report/v/final/"&amp;2767217, 2767217)</f>
        <v>2767217</v>
      </c>
      <c r="D194" s="2" t="s">
        <v>732</v>
      </c>
      <c r="E194" s="2" t="s">
        <v>733</v>
      </c>
      <c r="F194" s="2" t="s">
        <v>734</v>
      </c>
      <c r="G194" s="2" t="s">
        <v>170</v>
      </c>
      <c r="H194" s="2" t="s">
        <v>735</v>
      </c>
      <c r="I194" s="2" t="s">
        <v>36</v>
      </c>
      <c r="J194" s="2" t="s">
        <v>37</v>
      </c>
      <c r="K194" s="2" t="s">
        <v>38</v>
      </c>
      <c r="L194" s="2" t="s">
        <v>38</v>
      </c>
      <c r="M194" s="2" t="s">
        <v>38</v>
      </c>
      <c r="N194" s="2" t="s">
        <v>38</v>
      </c>
      <c r="O194" s="2" t="s">
        <v>38</v>
      </c>
      <c r="P194" s="2" t="s">
        <v>38</v>
      </c>
      <c r="Q194" s="2" t="s">
        <v>39</v>
      </c>
      <c r="R194" s="2" t="s">
        <v>38</v>
      </c>
      <c r="S194" s="2" t="s">
        <v>38</v>
      </c>
      <c r="T194" s="2" t="s">
        <v>38</v>
      </c>
      <c r="U194" s="2" t="s">
        <v>38</v>
      </c>
      <c r="V194" s="2" t="s">
        <v>38</v>
      </c>
      <c r="W194" s="2" t="s">
        <v>38</v>
      </c>
      <c r="X194" s="2" t="s">
        <v>38</v>
      </c>
      <c r="Y194" s="2" t="s">
        <v>38</v>
      </c>
      <c r="Z194" s="2" t="s">
        <v>38</v>
      </c>
      <c r="AA194" s="2" t="s">
        <v>38</v>
      </c>
      <c r="AB194" s="2" t="s">
        <v>38</v>
      </c>
      <c r="AC194" s="2" t="s">
        <v>38</v>
      </c>
      <c r="AD194" s="2" t="s">
        <v>38</v>
      </c>
      <c r="AE194" s="2" t="s">
        <v>39</v>
      </c>
    </row>
    <row r="195" spans="1:31" ht="409.5">
      <c r="A195" s="2">
        <v>2767210</v>
      </c>
      <c r="B195" s="2">
        <f>HYPERLINK("https://platform.v2.vetology.net/cases/2767210/screening-report/1?type=pdf&amp;v=v6&amp;scorecard=1&amp;secret_key=BX%25IJ%24%2F65ieZ%29f6", 2767210)</f>
        <v>2767210</v>
      </c>
      <c r="C195" s="2">
        <f>HYPERLINK("https://platform.v2.vetology.net/report/v/final/"&amp;2767210, 2767210)</f>
        <v>2767210</v>
      </c>
      <c r="D195" s="2" t="s">
        <v>736</v>
      </c>
      <c r="E195" s="2" t="s">
        <v>737</v>
      </c>
      <c r="F195" s="2" t="s">
        <v>738</v>
      </c>
      <c r="G195" s="2" t="s">
        <v>34</v>
      </c>
      <c r="H195" s="2" t="s">
        <v>739</v>
      </c>
      <c r="I195" s="2" t="s">
        <v>73</v>
      </c>
      <c r="J195" s="2" t="s">
        <v>74</v>
      </c>
      <c r="K195" s="2" t="s">
        <v>38</v>
      </c>
      <c r="L195" s="2" t="s">
        <v>39</v>
      </c>
      <c r="M195" s="2" t="s">
        <v>38</v>
      </c>
      <c r="N195" s="2" t="s">
        <v>38</v>
      </c>
      <c r="O195" s="2" t="s">
        <v>38</v>
      </c>
      <c r="P195" s="2" t="s">
        <v>39</v>
      </c>
      <c r="Q195" s="2" t="s">
        <v>38</v>
      </c>
      <c r="R195" s="2" t="s">
        <v>39</v>
      </c>
      <c r="S195" s="2" t="s">
        <v>39</v>
      </c>
      <c r="T195" s="2" t="s">
        <v>38</v>
      </c>
      <c r="U195" s="2" t="s">
        <v>38</v>
      </c>
      <c r="V195" s="2" t="s">
        <v>38</v>
      </c>
      <c r="W195" s="2" t="s">
        <v>38</v>
      </c>
      <c r="X195" s="2" t="s">
        <v>39</v>
      </c>
      <c r="Y195" s="2" t="s">
        <v>38</v>
      </c>
      <c r="Z195" s="2" t="s">
        <v>39</v>
      </c>
      <c r="AA195" s="2" t="s">
        <v>39</v>
      </c>
      <c r="AB195" s="2" t="s">
        <v>38</v>
      </c>
      <c r="AC195" s="2" t="s">
        <v>38</v>
      </c>
      <c r="AD195" s="2" t="s">
        <v>39</v>
      </c>
      <c r="AE195" s="2" t="s">
        <v>39</v>
      </c>
    </row>
    <row r="196" spans="1:31" ht="409.5">
      <c r="A196" s="2">
        <v>2767204</v>
      </c>
      <c r="B196" s="2">
        <f>HYPERLINK("https://platform.v2.vetology.net/cases/2767204/screening-report/1?type=pdf&amp;v=v6&amp;scorecard=1&amp;secret_key=BX%25IJ%24%2F65ieZ%29f6", 2767204)</f>
        <v>2767204</v>
      </c>
      <c r="C196" s="2">
        <f>HYPERLINK("https://platform.v2.vetology.net/report/v/final/"&amp;2767204, 2767204)</f>
        <v>2767204</v>
      </c>
      <c r="D196" s="2" t="s">
        <v>740</v>
      </c>
      <c r="E196" s="2" t="s">
        <v>741</v>
      </c>
      <c r="F196" s="2" t="s">
        <v>742</v>
      </c>
      <c r="G196" s="2" t="s">
        <v>170</v>
      </c>
      <c r="H196" s="2" t="s">
        <v>743</v>
      </c>
      <c r="I196" s="2" t="s">
        <v>36</v>
      </c>
      <c r="J196" s="2" t="s">
        <v>37</v>
      </c>
      <c r="K196" s="2" t="s">
        <v>38</v>
      </c>
      <c r="L196" s="2" t="s">
        <v>38</v>
      </c>
      <c r="M196" s="2" t="s">
        <v>38</v>
      </c>
      <c r="N196" s="2" t="s">
        <v>38</v>
      </c>
      <c r="O196" s="2" t="s">
        <v>38</v>
      </c>
      <c r="P196" s="2" t="s">
        <v>38</v>
      </c>
      <c r="Q196" s="2" t="s">
        <v>39</v>
      </c>
      <c r="R196" s="2" t="s">
        <v>38</v>
      </c>
      <c r="S196" s="2" t="s">
        <v>38</v>
      </c>
      <c r="T196" s="2" t="s">
        <v>38</v>
      </c>
      <c r="U196" s="2" t="s">
        <v>39</v>
      </c>
      <c r="V196" s="2" t="s">
        <v>38</v>
      </c>
      <c r="W196" s="2" t="s">
        <v>38</v>
      </c>
      <c r="X196" s="2" t="s">
        <v>38</v>
      </c>
      <c r="Y196" s="2" t="s">
        <v>38</v>
      </c>
      <c r="Z196" s="2" t="s">
        <v>38</v>
      </c>
      <c r="AA196" s="2" t="s">
        <v>38</v>
      </c>
      <c r="AB196" s="2" t="s">
        <v>39</v>
      </c>
      <c r="AC196" s="2" t="s">
        <v>38</v>
      </c>
      <c r="AD196" s="2" t="s">
        <v>38</v>
      </c>
      <c r="AE196" s="2" t="s">
        <v>40</v>
      </c>
    </row>
    <row r="197" spans="1:31" ht="409.5">
      <c r="A197" s="2">
        <v>2767197</v>
      </c>
      <c r="B197" s="2">
        <f>HYPERLINK("https://platform.v2.vetology.net/cases/2767197/screening-report/1?type=pdf&amp;v=v6&amp;scorecard=1&amp;secret_key=BX%25IJ%24%2F65ieZ%29f6", 2767197)</f>
        <v>2767197</v>
      </c>
      <c r="C197" s="2">
        <f>HYPERLINK("https://platform.v2.vetology.net/report/v/final/"&amp;2767197, 2767197)</f>
        <v>2767197</v>
      </c>
      <c r="D197" s="2" t="s">
        <v>744</v>
      </c>
      <c r="E197" s="2" t="s">
        <v>745</v>
      </c>
      <c r="F197" s="2" t="s">
        <v>746</v>
      </c>
      <c r="G197" s="2" t="s">
        <v>44</v>
      </c>
      <c r="H197" s="2" t="s">
        <v>747</v>
      </c>
      <c r="I197" s="2" t="s">
        <v>46</v>
      </c>
      <c r="J197" s="2"/>
      <c r="K197" s="2" t="s">
        <v>39</v>
      </c>
      <c r="L197" s="2" t="s">
        <v>39</v>
      </c>
      <c r="M197" s="2" t="s">
        <v>39</v>
      </c>
      <c r="N197" s="2" t="s">
        <v>39</v>
      </c>
      <c r="O197" s="2" t="s">
        <v>39</v>
      </c>
      <c r="P197" s="2" t="s">
        <v>39</v>
      </c>
      <c r="Q197" s="2" t="s">
        <v>39</v>
      </c>
      <c r="R197" s="2" t="s">
        <v>39</v>
      </c>
      <c r="S197" s="2" t="s">
        <v>38</v>
      </c>
      <c r="T197" s="2" t="s">
        <v>38</v>
      </c>
      <c r="U197" s="2" t="s">
        <v>39</v>
      </c>
      <c r="V197" s="2" t="s">
        <v>39</v>
      </c>
      <c r="W197" s="2" t="s">
        <v>38</v>
      </c>
      <c r="X197" s="2" t="s">
        <v>39</v>
      </c>
      <c r="Y197" s="2" t="s">
        <v>39</v>
      </c>
      <c r="Z197" s="2" t="s">
        <v>38</v>
      </c>
      <c r="AA197" s="2" t="s">
        <v>38</v>
      </c>
      <c r="AB197" s="2" t="s">
        <v>39</v>
      </c>
      <c r="AC197" s="2" t="s">
        <v>38</v>
      </c>
      <c r="AD197" s="2" t="s">
        <v>38</v>
      </c>
      <c r="AE197" s="2" t="s">
        <v>39</v>
      </c>
    </row>
    <row r="198" spans="1:31" ht="409.5">
      <c r="A198" s="2">
        <v>2767189</v>
      </c>
      <c r="B198" s="2">
        <f>HYPERLINK("https://platform.v2.vetology.net/cases/2767189/screening-report/1?type=pdf&amp;v=v6&amp;scorecard=1&amp;secret_key=BX%25IJ%24%2F65ieZ%29f6", 2767189)</f>
        <v>2767189</v>
      </c>
      <c r="C198" s="2">
        <f>HYPERLINK("https://platform.v2.vetology.net/report/v/final/"&amp;2767189, 2767189)</f>
        <v>2767189</v>
      </c>
      <c r="D198" s="2" t="s">
        <v>748</v>
      </c>
      <c r="E198" s="2" t="s">
        <v>749</v>
      </c>
      <c r="F198" s="2" t="s">
        <v>750</v>
      </c>
      <c r="G198" s="2" t="s">
        <v>53</v>
      </c>
      <c r="H198" s="2" t="s">
        <v>751</v>
      </c>
      <c r="I198" s="2" t="s">
        <v>36</v>
      </c>
      <c r="J198" s="2" t="s">
        <v>37</v>
      </c>
      <c r="K198" s="2" t="s">
        <v>38</v>
      </c>
      <c r="L198" s="2" t="s">
        <v>38</v>
      </c>
      <c r="M198" s="2" t="s">
        <v>38</v>
      </c>
      <c r="N198" s="2" t="s">
        <v>38</v>
      </c>
      <c r="O198" s="2" t="s">
        <v>38</v>
      </c>
      <c r="P198" s="2" t="s">
        <v>39</v>
      </c>
      <c r="Q198" s="2" t="s">
        <v>39</v>
      </c>
      <c r="R198" s="2" t="s">
        <v>38</v>
      </c>
      <c r="S198" s="2" t="s">
        <v>38</v>
      </c>
      <c r="T198" s="2" t="s">
        <v>39</v>
      </c>
      <c r="U198" s="2" t="s">
        <v>38</v>
      </c>
      <c r="V198" s="2" t="s">
        <v>38</v>
      </c>
      <c r="W198" s="2" t="s">
        <v>39</v>
      </c>
      <c r="X198" s="2" t="s">
        <v>39</v>
      </c>
      <c r="Y198" s="2" t="s">
        <v>38</v>
      </c>
      <c r="Z198" s="2" t="s">
        <v>38</v>
      </c>
      <c r="AA198" s="2" t="s">
        <v>38</v>
      </c>
      <c r="AB198" s="2" t="s">
        <v>39</v>
      </c>
      <c r="AC198" s="2" t="s">
        <v>38</v>
      </c>
      <c r="AD198" s="2" t="s">
        <v>38</v>
      </c>
      <c r="AE198" s="2" t="s">
        <v>39</v>
      </c>
    </row>
    <row r="199" spans="1:31" ht="409.5">
      <c r="A199" s="2">
        <v>2767184</v>
      </c>
      <c r="B199" s="2">
        <f>HYPERLINK("https://platform.v2.vetology.net/cases/2767184/screening-report/1?type=pdf&amp;v=v6&amp;scorecard=1&amp;secret_key=BX%25IJ%24%2F65ieZ%29f6", 2767184)</f>
        <v>2767184</v>
      </c>
      <c r="C199" s="2">
        <f>HYPERLINK("https://platform.v2.vetology.net/report/v/final/"&amp;2767184, 2767184)</f>
        <v>2767184</v>
      </c>
      <c r="D199" s="2" t="s">
        <v>752</v>
      </c>
      <c r="E199" s="2" t="s">
        <v>753</v>
      </c>
      <c r="F199" s="2" t="s">
        <v>754</v>
      </c>
      <c r="G199" s="2" t="s">
        <v>53</v>
      </c>
      <c r="H199" s="2" t="s">
        <v>755</v>
      </c>
      <c r="I199" s="2" t="s">
        <v>36</v>
      </c>
      <c r="J199" s="2" t="s">
        <v>37</v>
      </c>
      <c r="K199" s="2" t="s">
        <v>39</v>
      </c>
      <c r="L199" s="2" t="s">
        <v>38</v>
      </c>
      <c r="M199" s="2" t="s">
        <v>38</v>
      </c>
      <c r="N199" s="2" t="s">
        <v>39</v>
      </c>
      <c r="O199" s="2" t="s">
        <v>38</v>
      </c>
      <c r="P199" s="2" t="s">
        <v>39</v>
      </c>
      <c r="Q199" s="2" t="s">
        <v>39</v>
      </c>
      <c r="R199" s="2" t="s">
        <v>39</v>
      </c>
      <c r="S199" s="2" t="s">
        <v>38</v>
      </c>
      <c r="T199" s="2" t="s">
        <v>39</v>
      </c>
      <c r="U199" s="2" t="s">
        <v>39</v>
      </c>
      <c r="V199" s="2" t="s">
        <v>39</v>
      </c>
      <c r="W199" s="2" t="s">
        <v>39</v>
      </c>
      <c r="X199" s="2" t="s">
        <v>39</v>
      </c>
      <c r="Y199" s="2" t="s">
        <v>39</v>
      </c>
      <c r="Z199" s="2" t="s">
        <v>39</v>
      </c>
      <c r="AA199" s="2" t="s">
        <v>39</v>
      </c>
      <c r="AB199" s="2" t="s">
        <v>39</v>
      </c>
      <c r="AC199" s="2" t="s">
        <v>39</v>
      </c>
      <c r="AD199" s="2" t="s">
        <v>38</v>
      </c>
      <c r="AE199" s="2" t="s">
        <v>40</v>
      </c>
    </row>
    <row r="200" spans="1:31" ht="409.5">
      <c r="A200" s="2">
        <v>2767151</v>
      </c>
      <c r="B200" s="2">
        <f>HYPERLINK("https://platform.v2.vetology.net/cases/2767151/screening-report/1?type=pdf&amp;v=v6&amp;scorecard=1&amp;secret_key=BX%25IJ%24%2F65ieZ%29f6", 2767151)</f>
        <v>2767151</v>
      </c>
      <c r="C200" s="2">
        <f>HYPERLINK("https://platform.v2.vetology.net/report/v/final/"&amp;2767151, 2767151)</f>
        <v>2767151</v>
      </c>
      <c r="D200" s="2" t="s">
        <v>756</v>
      </c>
      <c r="E200" s="2" t="s">
        <v>757</v>
      </c>
      <c r="F200" s="2" t="s">
        <v>43</v>
      </c>
      <c r="G200" s="2" t="s">
        <v>44</v>
      </c>
      <c r="H200" s="2" t="s">
        <v>758</v>
      </c>
      <c r="I200" s="2" t="s">
        <v>36</v>
      </c>
      <c r="J200" s="2" t="s">
        <v>37</v>
      </c>
      <c r="K200" s="2" t="s">
        <v>38</v>
      </c>
      <c r="L200" s="2" t="s">
        <v>39</v>
      </c>
      <c r="M200" s="2" t="s">
        <v>38</v>
      </c>
      <c r="N200" s="2" t="s">
        <v>39</v>
      </c>
      <c r="O200" s="2" t="s">
        <v>39</v>
      </c>
      <c r="P200" s="2" t="s">
        <v>39</v>
      </c>
      <c r="Q200" s="2" t="s">
        <v>39</v>
      </c>
      <c r="R200" s="2" t="s">
        <v>39</v>
      </c>
      <c r="S200" s="2" t="s">
        <v>39</v>
      </c>
      <c r="T200" s="2" t="s">
        <v>39</v>
      </c>
      <c r="U200" s="2" t="s">
        <v>38</v>
      </c>
      <c r="V200" s="2" t="s">
        <v>38</v>
      </c>
      <c r="W200" s="2" t="s">
        <v>39</v>
      </c>
      <c r="X200" s="2" t="s">
        <v>39</v>
      </c>
      <c r="Y200" s="2" t="s">
        <v>39</v>
      </c>
      <c r="Z200" s="2" t="s">
        <v>39</v>
      </c>
      <c r="AA200" s="2" t="s">
        <v>39</v>
      </c>
      <c r="AB200" s="2" t="s">
        <v>39</v>
      </c>
      <c r="AC200" s="2" t="s">
        <v>39</v>
      </c>
      <c r="AD200" s="2" t="s">
        <v>39</v>
      </c>
      <c r="AE200" s="2" t="s">
        <v>39</v>
      </c>
    </row>
    <row r="201" spans="1:31" ht="409.5">
      <c r="A201" s="2">
        <v>2767147</v>
      </c>
      <c r="B201" s="2">
        <f>HYPERLINK("https://platform.v2.vetology.net/cases/2767147/screening-report/1?type=pdf&amp;v=v6&amp;scorecard=1&amp;secret_key=BX%25IJ%24%2F65ieZ%29f6", 2767147)</f>
        <v>2767147</v>
      </c>
      <c r="C201" s="2">
        <f>HYPERLINK("https://platform.v2.vetology.net/report/v/final/"&amp;2767147, 2767147)</f>
        <v>2767147</v>
      </c>
      <c r="D201" s="2" t="s">
        <v>759</v>
      </c>
      <c r="E201" s="2" t="s">
        <v>760</v>
      </c>
      <c r="F201" s="2" t="s">
        <v>761</v>
      </c>
      <c r="G201" s="2" t="s">
        <v>34</v>
      </c>
      <c r="H201" s="2" t="s">
        <v>69</v>
      </c>
      <c r="I201" s="2" t="s">
        <v>46</v>
      </c>
      <c r="J201" s="2"/>
      <c r="K201" s="2" t="s">
        <v>39</v>
      </c>
      <c r="L201" s="2" t="s">
        <v>39</v>
      </c>
      <c r="M201" s="2" t="s">
        <v>39</v>
      </c>
      <c r="N201" s="2" t="s">
        <v>39</v>
      </c>
      <c r="O201" s="2" t="s">
        <v>39</v>
      </c>
      <c r="P201" s="2" t="s">
        <v>39</v>
      </c>
      <c r="Q201" s="2" t="s">
        <v>39</v>
      </c>
      <c r="R201" s="2" t="s">
        <v>39</v>
      </c>
      <c r="S201" s="2" t="s">
        <v>39</v>
      </c>
      <c r="T201" s="2" t="s">
        <v>39</v>
      </c>
      <c r="U201" s="2" t="s">
        <v>39</v>
      </c>
      <c r="V201" s="2" t="s">
        <v>39</v>
      </c>
      <c r="W201" s="2" t="s">
        <v>39</v>
      </c>
      <c r="X201" s="2" t="s">
        <v>39</v>
      </c>
      <c r="Y201" s="2" t="s">
        <v>39</v>
      </c>
      <c r="Z201" s="2" t="s">
        <v>39</v>
      </c>
      <c r="AA201" s="2" t="s">
        <v>39</v>
      </c>
      <c r="AB201" s="2" t="s">
        <v>39</v>
      </c>
      <c r="AC201" s="2" t="s">
        <v>38</v>
      </c>
      <c r="AD201" s="2" t="s">
        <v>39</v>
      </c>
      <c r="AE201" s="2" t="s">
        <v>39</v>
      </c>
    </row>
    <row r="202" spans="1:31" ht="409.5">
      <c r="A202" s="2">
        <v>2767108</v>
      </c>
      <c r="B202" s="2">
        <f>HYPERLINK("https://platform.v2.vetology.net/cases/2767108/screening-report/1?type=pdf&amp;v=v6&amp;scorecard=1&amp;secret_key=BX%25IJ%24%2F65ieZ%29f6", 2767108)</f>
        <v>2767108</v>
      </c>
      <c r="C202" s="2">
        <f>HYPERLINK("https://platform.v2.vetology.net/report/v/final/"&amp;2767108, 2767108)</f>
        <v>2767108</v>
      </c>
      <c r="D202" s="2" t="s">
        <v>762</v>
      </c>
      <c r="E202" s="2" t="s">
        <v>763</v>
      </c>
      <c r="F202" s="2" t="s">
        <v>764</v>
      </c>
      <c r="G202" s="2" t="s">
        <v>127</v>
      </c>
      <c r="H202" s="2" t="s">
        <v>765</v>
      </c>
      <c r="I202" s="2" t="s">
        <v>36</v>
      </c>
      <c r="J202" s="2" t="s">
        <v>37</v>
      </c>
      <c r="K202" s="2" t="s">
        <v>38</v>
      </c>
      <c r="L202" s="2" t="s">
        <v>38</v>
      </c>
      <c r="M202" s="2" t="s">
        <v>38</v>
      </c>
      <c r="N202" s="2" t="s">
        <v>38</v>
      </c>
      <c r="O202" s="2" t="s">
        <v>38</v>
      </c>
      <c r="P202" s="2" t="s">
        <v>39</v>
      </c>
      <c r="Q202" s="2" t="s">
        <v>38</v>
      </c>
      <c r="R202" s="2" t="s">
        <v>38</v>
      </c>
      <c r="S202" s="2" t="s">
        <v>38</v>
      </c>
      <c r="T202" s="2" t="s">
        <v>39</v>
      </c>
      <c r="U202" s="2" t="s">
        <v>39</v>
      </c>
      <c r="V202" s="2" t="s">
        <v>38</v>
      </c>
      <c r="W202" s="2" t="s">
        <v>38</v>
      </c>
      <c r="X202" s="2" t="s">
        <v>39</v>
      </c>
      <c r="Y202" s="2" t="s">
        <v>39</v>
      </c>
      <c r="Z202" s="2" t="s">
        <v>38</v>
      </c>
      <c r="AA202" s="2" t="s">
        <v>38</v>
      </c>
      <c r="AB202" s="2" t="s">
        <v>39</v>
      </c>
      <c r="AC202" s="2" t="s">
        <v>38</v>
      </c>
      <c r="AD202" s="2" t="s">
        <v>38</v>
      </c>
      <c r="AE202" s="2" t="s">
        <v>40</v>
      </c>
    </row>
    <row r="203" spans="1:31" ht="409.5">
      <c r="A203" s="2">
        <v>2767102</v>
      </c>
      <c r="B203" s="2">
        <f>HYPERLINK("https://platform.v2.vetology.net/cases/2767102/screening-report/1?type=pdf&amp;v=v6&amp;scorecard=1&amp;secret_key=BX%25IJ%24%2F65ieZ%29f6", 2767102)</f>
        <v>2767102</v>
      </c>
      <c r="C203" s="2">
        <f>HYPERLINK("https://platform.v2.vetology.net/report/v/final/"&amp;2767102, 2767102)</f>
        <v>2767102</v>
      </c>
      <c r="D203" s="2" t="s">
        <v>766</v>
      </c>
      <c r="E203" s="2" t="s">
        <v>767</v>
      </c>
      <c r="F203" s="2" t="s">
        <v>768</v>
      </c>
      <c r="G203" s="2" t="s">
        <v>127</v>
      </c>
      <c r="H203" s="2" t="s">
        <v>769</v>
      </c>
      <c r="I203" s="2" t="s">
        <v>36</v>
      </c>
      <c r="J203" s="2" t="s">
        <v>37</v>
      </c>
      <c r="K203" s="2" t="s">
        <v>38</v>
      </c>
      <c r="L203" s="2" t="s">
        <v>38</v>
      </c>
      <c r="M203" s="2" t="s">
        <v>38</v>
      </c>
      <c r="N203" s="2" t="s">
        <v>39</v>
      </c>
      <c r="O203" s="2" t="s">
        <v>38</v>
      </c>
      <c r="P203" s="2" t="s">
        <v>39</v>
      </c>
      <c r="Q203" s="2" t="s">
        <v>39</v>
      </c>
      <c r="R203" s="2" t="s">
        <v>39</v>
      </c>
      <c r="S203" s="2" t="s">
        <v>39</v>
      </c>
      <c r="T203" s="2" t="s">
        <v>39</v>
      </c>
      <c r="U203" s="2" t="s">
        <v>38</v>
      </c>
      <c r="V203" s="2" t="s">
        <v>38</v>
      </c>
      <c r="W203" s="2" t="s">
        <v>38</v>
      </c>
      <c r="X203" s="2" t="s">
        <v>39</v>
      </c>
      <c r="Y203" s="2" t="s">
        <v>39</v>
      </c>
      <c r="Z203" s="2" t="s">
        <v>39</v>
      </c>
      <c r="AA203" s="2" t="s">
        <v>38</v>
      </c>
      <c r="AB203" s="2" t="s">
        <v>39</v>
      </c>
      <c r="AC203" s="2" t="s">
        <v>38</v>
      </c>
      <c r="AD203" s="2" t="s">
        <v>38</v>
      </c>
      <c r="AE203" s="2" t="s">
        <v>40</v>
      </c>
    </row>
    <row r="204" spans="1:31" ht="409.5">
      <c r="A204" s="2">
        <v>2767079</v>
      </c>
      <c r="B204" s="2">
        <f>HYPERLINK("https://platform.v2.vetology.net/cases/2767079/screening-report/1?type=pdf&amp;v=v6&amp;scorecard=1&amp;secret_key=BX%25IJ%24%2F65ieZ%29f6", 2767079)</f>
        <v>2767079</v>
      </c>
      <c r="C204" s="2">
        <f>HYPERLINK("https://platform.v2.vetology.net/report/v/final/"&amp;2767079, 2767079)</f>
        <v>2767079</v>
      </c>
      <c r="D204" s="2" t="s">
        <v>770</v>
      </c>
      <c r="E204" s="2" t="s">
        <v>771</v>
      </c>
      <c r="F204" s="2" t="s">
        <v>43</v>
      </c>
      <c r="G204" s="2" t="s">
        <v>44</v>
      </c>
      <c r="H204" s="2" t="s">
        <v>69</v>
      </c>
      <c r="I204" s="2" t="s">
        <v>46</v>
      </c>
      <c r="J204" s="2"/>
      <c r="K204" s="2" t="s">
        <v>39</v>
      </c>
      <c r="L204" s="2" t="s">
        <v>39</v>
      </c>
      <c r="M204" s="2" t="s">
        <v>39</v>
      </c>
      <c r="N204" s="2" t="s">
        <v>39</v>
      </c>
      <c r="O204" s="2" t="s">
        <v>38</v>
      </c>
      <c r="P204" s="2" t="s">
        <v>39</v>
      </c>
      <c r="Q204" s="2" t="s">
        <v>39</v>
      </c>
      <c r="R204" s="2" t="s">
        <v>39</v>
      </c>
      <c r="S204" s="2" t="s">
        <v>39</v>
      </c>
      <c r="T204" s="2" t="s">
        <v>39</v>
      </c>
      <c r="U204" s="2" t="s">
        <v>39</v>
      </c>
      <c r="V204" s="2" t="s">
        <v>39</v>
      </c>
      <c r="W204" s="2" t="s">
        <v>39</v>
      </c>
      <c r="X204" s="2" t="s">
        <v>39</v>
      </c>
      <c r="Y204" s="2" t="s">
        <v>39</v>
      </c>
      <c r="Z204" s="2" t="s">
        <v>39</v>
      </c>
      <c r="AA204" s="2" t="s">
        <v>39</v>
      </c>
      <c r="AB204" s="2" t="s">
        <v>39</v>
      </c>
      <c r="AC204" s="2" t="s">
        <v>38</v>
      </c>
      <c r="AD204" s="2" t="s">
        <v>39</v>
      </c>
      <c r="AE204" s="2" t="s">
        <v>40</v>
      </c>
    </row>
    <row r="205" spans="1:31" ht="409.5">
      <c r="A205" s="2">
        <v>2767064</v>
      </c>
      <c r="B205" s="2">
        <f>HYPERLINK("https://platform.v2.vetology.net/cases/2767064/screening-report/1?type=pdf&amp;v=v6&amp;scorecard=1&amp;secret_key=BX%25IJ%24%2F65ieZ%29f6", 2767064)</f>
        <v>2767064</v>
      </c>
      <c r="C205" s="2">
        <f>HYPERLINK("https://platform.v2.vetology.net/report/v/final/"&amp;2767064, 2767064)</f>
        <v>2767064</v>
      </c>
      <c r="D205" s="2" t="s">
        <v>772</v>
      </c>
      <c r="E205" s="2" t="s">
        <v>773</v>
      </c>
      <c r="F205" s="2" t="s">
        <v>774</v>
      </c>
      <c r="G205" s="2" t="s">
        <v>170</v>
      </c>
      <c r="H205" s="2" t="s">
        <v>775</v>
      </c>
      <c r="I205" s="2" t="s">
        <v>36</v>
      </c>
      <c r="J205" s="2" t="s">
        <v>37</v>
      </c>
      <c r="K205" s="2" t="s">
        <v>38</v>
      </c>
      <c r="L205" s="2" t="s">
        <v>39</v>
      </c>
      <c r="M205" s="2" t="s">
        <v>38</v>
      </c>
      <c r="N205" s="2" t="s">
        <v>39</v>
      </c>
      <c r="O205" s="2" t="s">
        <v>39</v>
      </c>
      <c r="P205" s="2" t="s">
        <v>39</v>
      </c>
      <c r="Q205" s="2" t="s">
        <v>39</v>
      </c>
      <c r="R205" s="2" t="s">
        <v>39</v>
      </c>
      <c r="S205" s="2" t="s">
        <v>39</v>
      </c>
      <c r="T205" s="2" t="s">
        <v>39</v>
      </c>
      <c r="U205" s="2" t="s">
        <v>38</v>
      </c>
      <c r="V205" s="2" t="s">
        <v>38</v>
      </c>
      <c r="W205" s="2" t="s">
        <v>38</v>
      </c>
      <c r="X205" s="2" t="s">
        <v>39</v>
      </c>
      <c r="Y205" s="2" t="s">
        <v>39</v>
      </c>
      <c r="Z205" s="2" t="s">
        <v>39</v>
      </c>
      <c r="AA205" s="2" t="s">
        <v>39</v>
      </c>
      <c r="AB205" s="2" t="s">
        <v>39</v>
      </c>
      <c r="AC205" s="2" t="s">
        <v>38</v>
      </c>
      <c r="AD205" s="2" t="s">
        <v>39</v>
      </c>
      <c r="AE205" s="2" t="s">
        <v>40</v>
      </c>
    </row>
    <row r="206" spans="1:31" ht="409.5">
      <c r="A206" s="2">
        <v>2767019</v>
      </c>
      <c r="B206" s="2">
        <f>HYPERLINK("https://platform.v2.vetology.net/cases/2767019/screening-report/1?type=pdf&amp;v=v6&amp;scorecard=1&amp;secret_key=BX%25IJ%24%2F65ieZ%29f6", 2767019)</f>
        <v>2767019</v>
      </c>
      <c r="C206" s="2">
        <f>HYPERLINK("https://platform.v2.vetology.net/report/v/final/"&amp;2767019, 2767019)</f>
        <v>2767019</v>
      </c>
      <c r="D206" s="2" t="s">
        <v>776</v>
      </c>
      <c r="E206" s="2" t="s">
        <v>777</v>
      </c>
      <c r="F206" s="2" t="s">
        <v>778</v>
      </c>
      <c r="G206" s="2" t="s">
        <v>34</v>
      </c>
      <c r="H206" s="2" t="s">
        <v>69</v>
      </c>
      <c r="I206" s="2" t="s">
        <v>46</v>
      </c>
      <c r="J206" s="2"/>
      <c r="K206" s="2" t="s">
        <v>39</v>
      </c>
      <c r="L206" s="2" t="s">
        <v>39</v>
      </c>
      <c r="M206" s="2" t="s">
        <v>39</v>
      </c>
      <c r="N206" s="2" t="s">
        <v>39</v>
      </c>
      <c r="O206" s="2" t="s">
        <v>39</v>
      </c>
      <c r="P206" s="2" t="s">
        <v>39</v>
      </c>
      <c r="Q206" s="2" t="s">
        <v>39</v>
      </c>
      <c r="R206" s="2" t="s">
        <v>39</v>
      </c>
      <c r="S206" s="2" t="s">
        <v>39</v>
      </c>
      <c r="T206" s="2" t="s">
        <v>39</v>
      </c>
      <c r="U206" s="2" t="s">
        <v>39</v>
      </c>
      <c r="V206" s="2" t="s">
        <v>39</v>
      </c>
      <c r="W206" s="2" t="s">
        <v>39</v>
      </c>
      <c r="X206" s="2" t="s">
        <v>39</v>
      </c>
      <c r="Y206" s="2" t="s">
        <v>39</v>
      </c>
      <c r="Z206" s="2" t="s">
        <v>39</v>
      </c>
      <c r="AA206" s="2" t="s">
        <v>39</v>
      </c>
      <c r="AB206" s="2" t="s">
        <v>39</v>
      </c>
      <c r="AC206" s="2" t="s">
        <v>39</v>
      </c>
      <c r="AD206" s="2" t="s">
        <v>39</v>
      </c>
      <c r="AE206" s="2" t="s">
        <v>39</v>
      </c>
    </row>
    <row r="207" spans="1:31" ht="409.5">
      <c r="A207" s="2">
        <v>2766979</v>
      </c>
      <c r="B207" s="2">
        <f>HYPERLINK("https://platform.v2.vetology.net/cases/2766979/screening-report/1?type=pdf&amp;v=v6&amp;scorecard=1&amp;secret_key=BX%25IJ%24%2F65ieZ%29f6", 2766979)</f>
        <v>2766979</v>
      </c>
      <c r="C207" s="2">
        <f>HYPERLINK("https://platform.v2.vetology.net/report/v/final/"&amp;2766979, 2766979)</f>
        <v>2766979</v>
      </c>
      <c r="D207" s="2" t="s">
        <v>779</v>
      </c>
      <c r="E207" s="2" t="s">
        <v>780</v>
      </c>
      <c r="F207" s="2"/>
      <c r="G207" s="2" t="s">
        <v>81</v>
      </c>
      <c r="H207" s="2" t="s">
        <v>781</v>
      </c>
      <c r="I207" s="2" t="s">
        <v>129</v>
      </c>
      <c r="J207" s="2" t="s">
        <v>74</v>
      </c>
      <c r="K207" s="2" t="s">
        <v>39</v>
      </c>
      <c r="L207" s="2" t="s">
        <v>38</v>
      </c>
      <c r="M207" s="2" t="s">
        <v>38</v>
      </c>
      <c r="N207" s="2" t="s">
        <v>38</v>
      </c>
      <c r="O207" s="2" t="s">
        <v>38</v>
      </c>
      <c r="P207" s="2" t="s">
        <v>38</v>
      </c>
      <c r="Q207" s="2" t="s">
        <v>38</v>
      </c>
      <c r="R207" s="2" t="s">
        <v>38</v>
      </c>
      <c r="S207" s="2" t="s">
        <v>38</v>
      </c>
      <c r="T207" s="2" t="s">
        <v>38</v>
      </c>
      <c r="U207" s="2" t="s">
        <v>39</v>
      </c>
      <c r="V207" s="2" t="s">
        <v>38</v>
      </c>
      <c r="W207" s="2" t="s">
        <v>38</v>
      </c>
      <c r="X207" s="2" t="s">
        <v>38</v>
      </c>
      <c r="Y207" s="2" t="s">
        <v>39</v>
      </c>
      <c r="Z207" s="2" t="s">
        <v>38</v>
      </c>
      <c r="AA207" s="2" t="s">
        <v>38</v>
      </c>
      <c r="AB207" s="2" t="s">
        <v>38</v>
      </c>
      <c r="AC207" s="2" t="s">
        <v>38</v>
      </c>
      <c r="AD207" s="2" t="s">
        <v>38</v>
      </c>
      <c r="AE207" s="2" t="s">
        <v>40</v>
      </c>
    </row>
    <row r="208" spans="1:31" ht="409.5">
      <c r="A208" s="2">
        <v>2766945</v>
      </c>
      <c r="B208" s="2">
        <f>HYPERLINK("https://platform.v2.vetology.net/cases/2766945/screening-report/1?type=pdf&amp;v=v6&amp;scorecard=1&amp;secret_key=BX%25IJ%24%2F65ieZ%29f6", 2766945)</f>
        <v>2766945</v>
      </c>
      <c r="C208" s="2">
        <f>HYPERLINK("https://platform.v2.vetology.net/report/v/final/"&amp;2766945, 2766945)</f>
        <v>2766945</v>
      </c>
      <c r="D208" s="2" t="s">
        <v>782</v>
      </c>
      <c r="E208" s="2" t="s">
        <v>783</v>
      </c>
      <c r="F208" s="2" t="s">
        <v>784</v>
      </c>
      <c r="G208" s="2" t="s">
        <v>170</v>
      </c>
      <c r="H208" s="2" t="s">
        <v>69</v>
      </c>
      <c r="I208" s="2" t="s">
        <v>46</v>
      </c>
      <c r="J208" s="2"/>
      <c r="K208" s="2" t="s">
        <v>39</v>
      </c>
      <c r="L208" s="2" t="s">
        <v>39</v>
      </c>
      <c r="M208" s="2" t="s">
        <v>39</v>
      </c>
      <c r="N208" s="2" t="s">
        <v>39</v>
      </c>
      <c r="O208" s="2" t="s">
        <v>39</v>
      </c>
      <c r="P208" s="2" t="s">
        <v>39</v>
      </c>
      <c r="Q208" s="2" t="s">
        <v>39</v>
      </c>
      <c r="R208" s="2" t="s">
        <v>39</v>
      </c>
      <c r="S208" s="2" t="s">
        <v>39</v>
      </c>
      <c r="T208" s="2" t="s">
        <v>39</v>
      </c>
      <c r="U208" s="2" t="s">
        <v>39</v>
      </c>
      <c r="V208" s="2" t="s">
        <v>39</v>
      </c>
      <c r="W208" s="2" t="s">
        <v>39</v>
      </c>
      <c r="X208" s="2" t="s">
        <v>38</v>
      </c>
      <c r="Y208" s="2" t="s">
        <v>39</v>
      </c>
      <c r="Z208" s="2" t="s">
        <v>39</v>
      </c>
      <c r="AA208" s="2" t="s">
        <v>39</v>
      </c>
      <c r="AB208" s="2" t="s">
        <v>38</v>
      </c>
      <c r="AC208" s="2" t="s">
        <v>39</v>
      </c>
      <c r="AD208" s="2" t="s">
        <v>39</v>
      </c>
      <c r="AE208" s="2" t="s">
        <v>39</v>
      </c>
    </row>
    <row r="209" spans="1:31" ht="409.5">
      <c r="A209" s="2">
        <v>2766909</v>
      </c>
      <c r="B209" s="2">
        <f>HYPERLINK("https://platform.v2.vetology.net/cases/2766909/screening-report/1?type=pdf&amp;v=v6&amp;scorecard=1&amp;secret_key=BX%25IJ%24%2F65ieZ%29f6", 2766909)</f>
        <v>2766909</v>
      </c>
      <c r="C209" s="2">
        <f>HYPERLINK("https://platform.v2.vetology.net/report/v/final/"&amp;2766909, 2766909)</f>
        <v>2766909</v>
      </c>
      <c r="D209" s="2" t="s">
        <v>785</v>
      </c>
      <c r="E209" s="2" t="s">
        <v>786</v>
      </c>
      <c r="F209" s="2" t="s">
        <v>787</v>
      </c>
      <c r="G209" s="2" t="s">
        <v>100</v>
      </c>
      <c r="H209" s="2" t="s">
        <v>788</v>
      </c>
      <c r="I209" s="2" t="s">
        <v>36</v>
      </c>
      <c r="J209" s="2" t="s">
        <v>37</v>
      </c>
      <c r="K209" s="2" t="s">
        <v>38</v>
      </c>
      <c r="L209" s="2" t="s">
        <v>38</v>
      </c>
      <c r="M209" s="2" t="s">
        <v>38</v>
      </c>
      <c r="N209" s="2" t="s">
        <v>38</v>
      </c>
      <c r="O209" s="2" t="s">
        <v>38</v>
      </c>
      <c r="P209" s="2" t="s">
        <v>39</v>
      </c>
      <c r="Q209" s="2" t="s">
        <v>39</v>
      </c>
      <c r="R209" s="2" t="s">
        <v>39</v>
      </c>
      <c r="S209" s="2" t="s">
        <v>38</v>
      </c>
      <c r="T209" s="2" t="s">
        <v>39</v>
      </c>
      <c r="U209" s="2" t="s">
        <v>39</v>
      </c>
      <c r="V209" s="2" t="s">
        <v>39</v>
      </c>
      <c r="W209" s="2" t="s">
        <v>39</v>
      </c>
      <c r="X209" s="2" t="s">
        <v>39</v>
      </c>
      <c r="Y209" s="2" t="s">
        <v>39</v>
      </c>
      <c r="Z209" s="2" t="s">
        <v>39</v>
      </c>
      <c r="AA209" s="2" t="s">
        <v>38</v>
      </c>
      <c r="AB209" s="2" t="s">
        <v>39</v>
      </c>
      <c r="AC209" s="2" t="s">
        <v>38</v>
      </c>
      <c r="AD209" s="2" t="s">
        <v>38</v>
      </c>
      <c r="AE209" s="2"/>
    </row>
    <row r="210" spans="1:31" ht="409.5">
      <c r="A210" s="2">
        <v>2766905</v>
      </c>
      <c r="B210" s="2">
        <f>HYPERLINK("https://platform.v2.vetology.net/cases/2766905/screening-report/1?type=pdf&amp;v=v6&amp;scorecard=1&amp;secret_key=BX%25IJ%24%2F65ieZ%29f6", 2766905)</f>
        <v>2766905</v>
      </c>
      <c r="C210" s="2">
        <f>HYPERLINK("https://platform.v2.vetology.net/report/v/final/"&amp;2766905, 2766905)</f>
        <v>2766905</v>
      </c>
      <c r="D210" s="2" t="s">
        <v>789</v>
      </c>
      <c r="E210" s="2" t="s">
        <v>790</v>
      </c>
      <c r="F210" s="2" t="s">
        <v>791</v>
      </c>
      <c r="G210" s="2" t="s">
        <v>44</v>
      </c>
      <c r="H210" s="2" t="s">
        <v>69</v>
      </c>
      <c r="I210" s="2" t="s">
        <v>46</v>
      </c>
      <c r="J210" s="2"/>
      <c r="K210" s="2" t="s">
        <v>39</v>
      </c>
      <c r="L210" s="2" t="s">
        <v>39</v>
      </c>
      <c r="M210" s="2" t="s">
        <v>39</v>
      </c>
      <c r="N210" s="2" t="s">
        <v>39</v>
      </c>
      <c r="O210" s="2" t="s">
        <v>39</v>
      </c>
      <c r="P210" s="2" t="s">
        <v>39</v>
      </c>
      <c r="Q210" s="2" t="s">
        <v>39</v>
      </c>
      <c r="R210" s="2" t="s">
        <v>39</v>
      </c>
      <c r="S210" s="2" t="s">
        <v>39</v>
      </c>
      <c r="T210" s="2" t="s">
        <v>39</v>
      </c>
      <c r="U210" s="2" t="s">
        <v>39</v>
      </c>
      <c r="V210" s="2" t="s">
        <v>39</v>
      </c>
      <c r="W210" s="2" t="s">
        <v>39</v>
      </c>
      <c r="X210" s="2" t="s">
        <v>39</v>
      </c>
      <c r="Y210" s="2" t="s">
        <v>39</v>
      </c>
      <c r="Z210" s="2" t="s">
        <v>39</v>
      </c>
      <c r="AA210" s="2" t="s">
        <v>39</v>
      </c>
      <c r="AB210" s="2" t="s">
        <v>39</v>
      </c>
      <c r="AC210" s="2" t="s">
        <v>38</v>
      </c>
      <c r="AD210" s="2" t="s">
        <v>39</v>
      </c>
      <c r="AE210" s="2" t="s">
        <v>40</v>
      </c>
    </row>
    <row r="211" spans="1:31" ht="409.5">
      <c r="A211" s="2">
        <v>2766876</v>
      </c>
      <c r="B211" s="2">
        <f>HYPERLINK("https://platform.v2.vetology.net/cases/2766876/screening-report/1?type=pdf&amp;v=v6&amp;scorecard=1&amp;secret_key=BX%25IJ%24%2F65ieZ%29f6", 2766876)</f>
        <v>2766876</v>
      </c>
      <c r="C211" s="2">
        <f>HYPERLINK("https://platform.v2.vetology.net/report/v/final/"&amp;2766876, 2766876)</f>
        <v>2766876</v>
      </c>
      <c r="D211" s="2" t="s">
        <v>792</v>
      </c>
      <c r="E211" s="2" t="s">
        <v>793</v>
      </c>
      <c r="F211" s="2" t="s">
        <v>463</v>
      </c>
      <c r="G211" s="2" t="s">
        <v>34</v>
      </c>
      <c r="H211" s="2" t="s">
        <v>794</v>
      </c>
      <c r="I211" s="2" t="s">
        <v>36</v>
      </c>
      <c r="J211" s="2" t="s">
        <v>37</v>
      </c>
      <c r="K211" s="2" t="s">
        <v>39</v>
      </c>
      <c r="L211" s="2" t="s">
        <v>39</v>
      </c>
      <c r="M211" s="2" t="s">
        <v>38</v>
      </c>
      <c r="N211" s="2" t="s">
        <v>39</v>
      </c>
      <c r="O211" s="2" t="s">
        <v>39</v>
      </c>
      <c r="P211" s="2" t="s">
        <v>39</v>
      </c>
      <c r="Q211" s="2" t="s">
        <v>39</v>
      </c>
      <c r="R211" s="2" t="s">
        <v>38</v>
      </c>
      <c r="S211" s="2" t="s">
        <v>38</v>
      </c>
      <c r="T211" s="2" t="s">
        <v>38</v>
      </c>
      <c r="U211" s="2" t="s">
        <v>39</v>
      </c>
      <c r="V211" s="2" t="s">
        <v>38</v>
      </c>
      <c r="W211" s="2" t="s">
        <v>38</v>
      </c>
      <c r="X211" s="2" t="s">
        <v>39</v>
      </c>
      <c r="Y211" s="2" t="s">
        <v>39</v>
      </c>
      <c r="Z211" s="2" t="s">
        <v>38</v>
      </c>
      <c r="AA211" s="2" t="s">
        <v>39</v>
      </c>
      <c r="AB211" s="2" t="s">
        <v>39</v>
      </c>
      <c r="AC211" s="2" t="s">
        <v>38</v>
      </c>
      <c r="AD211" s="2" t="s">
        <v>38</v>
      </c>
      <c r="AE211" s="2" t="s">
        <v>39</v>
      </c>
    </row>
    <row r="212" spans="1:31" ht="409.5">
      <c r="A212" s="2">
        <v>2766874</v>
      </c>
      <c r="B212" s="2">
        <f>HYPERLINK("https://platform.v2.vetology.net/cases/2766874/screening-report/1?type=pdf&amp;v=v6&amp;scorecard=1&amp;secret_key=BX%25IJ%24%2F65ieZ%29f6", 2766874)</f>
        <v>2766874</v>
      </c>
      <c r="C212" s="2">
        <f>HYPERLINK("https://platform.v2.vetology.net/report/v/final/"&amp;2766874, 2766874)</f>
        <v>2766874</v>
      </c>
      <c r="D212" s="2" t="s">
        <v>795</v>
      </c>
      <c r="E212" s="2" t="s">
        <v>796</v>
      </c>
      <c r="F212" s="2"/>
      <c r="G212" s="2" t="s">
        <v>100</v>
      </c>
      <c r="H212" s="2" t="s">
        <v>797</v>
      </c>
      <c r="I212" s="2" t="s">
        <v>59</v>
      </c>
      <c r="J212" s="2" t="s">
        <v>37</v>
      </c>
      <c r="K212" s="2" t="s">
        <v>38</v>
      </c>
      <c r="L212" s="2" t="s">
        <v>39</v>
      </c>
      <c r="M212" s="2" t="s">
        <v>39</v>
      </c>
      <c r="N212" s="2" t="s">
        <v>39</v>
      </c>
      <c r="O212" s="2" t="s">
        <v>39</v>
      </c>
      <c r="P212" s="2" t="s">
        <v>39</v>
      </c>
      <c r="Q212" s="2" t="s">
        <v>39</v>
      </c>
      <c r="R212" s="2" t="s">
        <v>38</v>
      </c>
      <c r="S212" s="2" t="s">
        <v>39</v>
      </c>
      <c r="T212" s="2" t="s">
        <v>39</v>
      </c>
      <c r="U212" s="2" t="s">
        <v>38</v>
      </c>
      <c r="V212" s="2" t="s">
        <v>39</v>
      </c>
      <c r="W212" s="2" t="s">
        <v>39</v>
      </c>
      <c r="X212" s="2" t="s">
        <v>39</v>
      </c>
      <c r="Y212" s="2" t="s">
        <v>39</v>
      </c>
      <c r="Z212" s="2" t="s">
        <v>39</v>
      </c>
      <c r="AA212" s="2" t="s">
        <v>39</v>
      </c>
      <c r="AB212" s="2" t="s">
        <v>39</v>
      </c>
      <c r="AC212" s="2" t="s">
        <v>38</v>
      </c>
      <c r="AD212" s="2" t="s">
        <v>39</v>
      </c>
      <c r="AE212" s="2" t="s">
        <v>39</v>
      </c>
    </row>
    <row r="213" spans="1:31" ht="409.5">
      <c r="A213" s="2">
        <v>2766849</v>
      </c>
      <c r="B213" s="2">
        <f>HYPERLINK("https://platform.v2.vetology.net/cases/2766849/screening-report/1?type=pdf&amp;v=v6&amp;scorecard=1&amp;secret_key=BX%25IJ%24%2F65ieZ%29f6", 2766849)</f>
        <v>2766849</v>
      </c>
      <c r="C213" s="2">
        <f>HYPERLINK("https://platform.v2.vetology.net/report/v/final/"&amp;2766849, 2766849)</f>
        <v>2766849</v>
      </c>
      <c r="D213" s="2" t="s">
        <v>798</v>
      </c>
      <c r="E213" s="2" t="s">
        <v>799</v>
      </c>
      <c r="F213" s="2" t="s">
        <v>800</v>
      </c>
      <c r="G213" s="2" t="s">
        <v>556</v>
      </c>
      <c r="H213" s="2" t="s">
        <v>801</v>
      </c>
      <c r="I213" s="2" t="s">
        <v>59</v>
      </c>
      <c r="J213" s="2" t="s">
        <v>37</v>
      </c>
      <c r="K213" s="2" t="s">
        <v>38</v>
      </c>
      <c r="L213" s="2" t="s">
        <v>39</v>
      </c>
      <c r="M213" s="2" t="s">
        <v>39</v>
      </c>
      <c r="N213" s="2" t="s">
        <v>39</v>
      </c>
      <c r="O213" s="2" t="s">
        <v>39</v>
      </c>
      <c r="P213" s="2" t="s">
        <v>39</v>
      </c>
      <c r="Q213" s="2" t="s">
        <v>39</v>
      </c>
      <c r="R213" s="2" t="s">
        <v>38</v>
      </c>
      <c r="S213" s="2" t="s">
        <v>39</v>
      </c>
      <c r="T213" s="2" t="s">
        <v>39</v>
      </c>
      <c r="U213" s="2" t="s">
        <v>38</v>
      </c>
      <c r="V213" s="2" t="s">
        <v>38</v>
      </c>
      <c r="W213" s="2" t="s">
        <v>38</v>
      </c>
      <c r="X213" s="2" t="s">
        <v>39</v>
      </c>
      <c r="Y213" s="2" t="s">
        <v>39</v>
      </c>
      <c r="Z213" s="2" t="s">
        <v>38</v>
      </c>
      <c r="AA213" s="2" t="s">
        <v>39</v>
      </c>
      <c r="AB213" s="2" t="s">
        <v>39</v>
      </c>
      <c r="AC213" s="2" t="s">
        <v>38</v>
      </c>
      <c r="AD213" s="2" t="s">
        <v>39</v>
      </c>
      <c r="AE213" s="2" t="s">
        <v>39</v>
      </c>
    </row>
    <row r="214" spans="1:31" ht="409.5">
      <c r="A214" s="2">
        <v>2766843</v>
      </c>
      <c r="B214" s="2">
        <f>HYPERLINK("https://platform.v2.vetology.net/cases/2766843/screening-report/1?type=pdf&amp;v=v6&amp;scorecard=1&amp;secret_key=BX%25IJ%24%2F65ieZ%29f6", 2766843)</f>
        <v>2766843</v>
      </c>
      <c r="C214" s="2">
        <f>HYPERLINK("https://platform.v2.vetology.net/report/v/final/"&amp;2766843, 2766843)</f>
        <v>2766843</v>
      </c>
      <c r="D214" s="2" t="s">
        <v>802</v>
      </c>
      <c r="E214" s="2" t="s">
        <v>803</v>
      </c>
      <c r="F214" s="2" t="s">
        <v>804</v>
      </c>
      <c r="G214" s="2" t="s">
        <v>34</v>
      </c>
      <c r="H214" s="2" t="s">
        <v>561</v>
      </c>
      <c r="I214" s="2" t="s">
        <v>36</v>
      </c>
      <c r="J214" s="2" t="s">
        <v>37</v>
      </c>
      <c r="K214" s="2" t="s">
        <v>39</v>
      </c>
      <c r="L214" s="2" t="s">
        <v>38</v>
      </c>
      <c r="M214" s="2" t="s">
        <v>38</v>
      </c>
      <c r="N214" s="2" t="s">
        <v>38</v>
      </c>
      <c r="O214" s="2" t="s">
        <v>38</v>
      </c>
      <c r="P214" s="2" t="s">
        <v>39</v>
      </c>
      <c r="Q214" s="2" t="s">
        <v>39</v>
      </c>
      <c r="R214" s="2" t="s">
        <v>38</v>
      </c>
      <c r="S214" s="2" t="s">
        <v>38</v>
      </c>
      <c r="T214" s="2" t="s">
        <v>39</v>
      </c>
      <c r="U214" s="2" t="s">
        <v>38</v>
      </c>
      <c r="V214" s="2" t="s">
        <v>39</v>
      </c>
      <c r="W214" s="2" t="s">
        <v>38</v>
      </c>
      <c r="X214" s="2" t="s">
        <v>39</v>
      </c>
      <c r="Y214" s="2" t="s">
        <v>39</v>
      </c>
      <c r="Z214" s="2" t="s">
        <v>38</v>
      </c>
      <c r="AA214" s="2" t="s">
        <v>39</v>
      </c>
      <c r="AB214" s="2" t="s">
        <v>39</v>
      </c>
      <c r="AC214" s="2" t="s">
        <v>38</v>
      </c>
      <c r="AD214" s="2" t="s">
        <v>39</v>
      </c>
      <c r="AE214" s="2"/>
    </row>
    <row r="215" spans="1:31" ht="409.5">
      <c r="A215" s="2">
        <v>2766792</v>
      </c>
      <c r="B215" s="2">
        <f>HYPERLINK("https://platform.v2.vetology.net/cases/2766792/screening-report/1?type=pdf&amp;v=v6&amp;scorecard=1&amp;secret_key=BX%25IJ%24%2F65ieZ%29f6", 2766792)</f>
        <v>2766792</v>
      </c>
      <c r="C215" s="2">
        <f>HYPERLINK("https://platform.v2.vetology.net/report/v/final/"&amp;2766792, 2766792)</f>
        <v>2766792</v>
      </c>
      <c r="D215" s="2" t="s">
        <v>805</v>
      </c>
      <c r="E215" s="2" t="s">
        <v>806</v>
      </c>
      <c r="F215" s="2" t="s">
        <v>807</v>
      </c>
      <c r="G215" s="2" t="s">
        <v>170</v>
      </c>
      <c r="H215" s="2" t="s">
        <v>808</v>
      </c>
      <c r="I215" s="2" t="s">
        <v>73</v>
      </c>
      <c r="J215" s="2" t="s">
        <v>74</v>
      </c>
      <c r="K215" s="2" t="s">
        <v>38</v>
      </c>
      <c r="L215" s="2" t="s">
        <v>38</v>
      </c>
      <c r="M215" s="2" t="s">
        <v>38</v>
      </c>
      <c r="N215" s="2" t="s">
        <v>38</v>
      </c>
      <c r="O215" s="2" t="s">
        <v>38</v>
      </c>
      <c r="P215" s="2" t="s">
        <v>38</v>
      </c>
      <c r="Q215" s="2" t="s">
        <v>38</v>
      </c>
      <c r="R215" s="2" t="s">
        <v>38</v>
      </c>
      <c r="S215" s="2" t="s">
        <v>38</v>
      </c>
      <c r="T215" s="2" t="s">
        <v>38</v>
      </c>
      <c r="U215" s="2" t="s">
        <v>38</v>
      </c>
      <c r="V215" s="2" t="s">
        <v>38</v>
      </c>
      <c r="W215" s="2" t="s">
        <v>38</v>
      </c>
      <c r="X215" s="2" t="s">
        <v>38</v>
      </c>
      <c r="Y215" s="2" t="s">
        <v>39</v>
      </c>
      <c r="Z215" s="2" t="s">
        <v>38</v>
      </c>
      <c r="AA215" s="2" t="s">
        <v>38</v>
      </c>
      <c r="AB215" s="2" t="s">
        <v>38</v>
      </c>
      <c r="AC215" s="2" t="s">
        <v>38</v>
      </c>
      <c r="AD215" s="2" t="s">
        <v>38</v>
      </c>
      <c r="AE215" s="2" t="s">
        <v>40</v>
      </c>
    </row>
    <row r="216" spans="1:31" ht="409.5">
      <c r="A216" s="2">
        <v>2766769</v>
      </c>
      <c r="B216" s="2">
        <f>HYPERLINK("https://platform.v2.vetology.net/cases/2766769/screening-report/1?type=pdf&amp;v=v6&amp;scorecard=1&amp;secret_key=BX%25IJ%24%2F65ieZ%29f6", 2766769)</f>
        <v>2766769</v>
      </c>
      <c r="C216" s="2">
        <f>HYPERLINK("https://platform.v2.vetology.net/report/v/final/"&amp;2766769, 2766769)</f>
        <v>2766769</v>
      </c>
      <c r="D216" s="2" t="s">
        <v>809</v>
      </c>
      <c r="E216" s="2" t="s">
        <v>810</v>
      </c>
      <c r="F216" s="2" t="s">
        <v>811</v>
      </c>
      <c r="G216" s="2" t="s">
        <v>170</v>
      </c>
      <c r="H216" s="2" t="s">
        <v>812</v>
      </c>
      <c r="I216" s="2" t="s">
        <v>813</v>
      </c>
      <c r="J216" s="2" t="s">
        <v>37</v>
      </c>
      <c r="K216" s="2" t="s">
        <v>39</v>
      </c>
      <c r="L216" s="2" t="s">
        <v>39</v>
      </c>
      <c r="M216" s="2" t="s">
        <v>39</v>
      </c>
      <c r="N216" s="2" t="s">
        <v>39</v>
      </c>
      <c r="O216" s="2" t="s">
        <v>39</v>
      </c>
      <c r="P216" s="2" t="s">
        <v>39</v>
      </c>
      <c r="Q216" s="2" t="s">
        <v>39</v>
      </c>
      <c r="R216" s="2" t="s">
        <v>38</v>
      </c>
      <c r="S216" s="2" t="s">
        <v>39</v>
      </c>
      <c r="T216" s="2" t="s">
        <v>39</v>
      </c>
      <c r="U216" s="2" t="s">
        <v>39</v>
      </c>
      <c r="V216" s="2" t="s">
        <v>39</v>
      </c>
      <c r="W216" s="2" t="s">
        <v>38</v>
      </c>
      <c r="X216" s="2" t="s">
        <v>39</v>
      </c>
      <c r="Y216" s="2" t="s">
        <v>39</v>
      </c>
      <c r="Z216" s="2" t="s">
        <v>38</v>
      </c>
      <c r="AA216" s="2" t="s">
        <v>39</v>
      </c>
      <c r="AB216" s="2" t="s">
        <v>39</v>
      </c>
      <c r="AC216" s="2" t="s">
        <v>38</v>
      </c>
      <c r="AD216" s="2" t="s">
        <v>38</v>
      </c>
      <c r="AE216" s="2" t="s">
        <v>39</v>
      </c>
    </row>
    <row r="217" spans="1:31" ht="409.5">
      <c r="A217" s="2">
        <v>2766757</v>
      </c>
      <c r="B217" s="2">
        <f>HYPERLINK("https://platform.v2.vetology.net/cases/2766757/screening-report/1?type=pdf&amp;v=v6&amp;scorecard=1&amp;secret_key=BX%25IJ%24%2F65ieZ%29f6", 2766757)</f>
        <v>2766757</v>
      </c>
      <c r="C217" s="2">
        <f>HYPERLINK("https://platform.v2.vetology.net/report/v/final/"&amp;2766757, 2766757)</f>
        <v>2766757</v>
      </c>
      <c r="D217" s="2" t="s">
        <v>814</v>
      </c>
      <c r="E217" s="2" t="s">
        <v>815</v>
      </c>
      <c r="F217" s="2"/>
      <c r="G217" s="2" t="s">
        <v>100</v>
      </c>
      <c r="H217" s="2" t="s">
        <v>816</v>
      </c>
      <c r="I217" s="2" t="s">
        <v>36</v>
      </c>
      <c r="J217" s="2" t="s">
        <v>37</v>
      </c>
      <c r="K217" s="2" t="s">
        <v>38</v>
      </c>
      <c r="L217" s="2" t="s">
        <v>38</v>
      </c>
      <c r="M217" s="2" t="s">
        <v>38</v>
      </c>
      <c r="N217" s="2" t="s">
        <v>38</v>
      </c>
      <c r="O217" s="2" t="s">
        <v>38</v>
      </c>
      <c r="P217" s="2" t="s">
        <v>39</v>
      </c>
      <c r="Q217" s="2" t="s">
        <v>39</v>
      </c>
      <c r="R217" s="2" t="s">
        <v>38</v>
      </c>
      <c r="S217" s="2" t="s">
        <v>38</v>
      </c>
      <c r="T217" s="2" t="s">
        <v>39</v>
      </c>
      <c r="U217" s="2" t="s">
        <v>38</v>
      </c>
      <c r="V217" s="2" t="s">
        <v>38</v>
      </c>
      <c r="W217" s="2" t="s">
        <v>38</v>
      </c>
      <c r="X217" s="2" t="s">
        <v>39</v>
      </c>
      <c r="Y217" s="2" t="s">
        <v>38</v>
      </c>
      <c r="Z217" s="2" t="s">
        <v>38</v>
      </c>
      <c r="AA217" s="2" t="s">
        <v>38</v>
      </c>
      <c r="AB217" s="2" t="s">
        <v>39</v>
      </c>
      <c r="AC217" s="2" t="s">
        <v>38</v>
      </c>
      <c r="AD217" s="2" t="s">
        <v>38</v>
      </c>
      <c r="AE217" s="2" t="s">
        <v>40</v>
      </c>
    </row>
    <row r="218" spans="1:31" ht="409.5">
      <c r="A218" s="2">
        <v>2766749</v>
      </c>
      <c r="B218" s="2">
        <f>HYPERLINK("https://platform.v2.vetology.net/cases/2766749/screening-report/1?type=pdf&amp;v=v6&amp;scorecard=1&amp;secret_key=BX%25IJ%24%2F65ieZ%29f6", 2766749)</f>
        <v>2766749</v>
      </c>
      <c r="C218" s="2">
        <f>HYPERLINK("https://platform.v2.vetology.net/report/v/final/"&amp;2766749, 2766749)</f>
        <v>2766749</v>
      </c>
      <c r="D218" s="2" t="s">
        <v>817</v>
      </c>
      <c r="E218" s="2" t="s">
        <v>818</v>
      </c>
      <c r="F218" s="2" t="s">
        <v>819</v>
      </c>
      <c r="G218" s="2" t="s">
        <v>53</v>
      </c>
      <c r="H218" s="2" t="s">
        <v>820</v>
      </c>
      <c r="I218" s="2" t="s">
        <v>73</v>
      </c>
      <c r="J218" s="2" t="s">
        <v>74</v>
      </c>
      <c r="K218" s="2" t="s">
        <v>38</v>
      </c>
      <c r="L218" s="2" t="s">
        <v>39</v>
      </c>
      <c r="M218" s="2" t="s">
        <v>39</v>
      </c>
      <c r="N218" s="2" t="s">
        <v>39</v>
      </c>
      <c r="O218" s="2" t="s">
        <v>39</v>
      </c>
      <c r="P218" s="2" t="s">
        <v>38</v>
      </c>
      <c r="Q218" s="2" t="s">
        <v>38</v>
      </c>
      <c r="R218" s="2" t="s">
        <v>39</v>
      </c>
      <c r="S218" s="2" t="s">
        <v>38</v>
      </c>
      <c r="T218" s="2" t="s">
        <v>38</v>
      </c>
      <c r="U218" s="2" t="s">
        <v>38</v>
      </c>
      <c r="V218" s="2" t="s">
        <v>38</v>
      </c>
      <c r="W218" s="2" t="s">
        <v>39</v>
      </c>
      <c r="X218" s="2" t="s">
        <v>38</v>
      </c>
      <c r="Y218" s="2" t="s">
        <v>39</v>
      </c>
      <c r="Z218" s="2" t="s">
        <v>39</v>
      </c>
      <c r="AA218" s="2" t="s">
        <v>38</v>
      </c>
      <c r="AB218" s="2" t="s">
        <v>38</v>
      </c>
      <c r="AC218" s="2" t="s">
        <v>38</v>
      </c>
      <c r="AD218" s="2" t="s">
        <v>39</v>
      </c>
      <c r="AE218" s="2" t="s">
        <v>39</v>
      </c>
    </row>
    <row r="219" spans="1:31" ht="409.5">
      <c r="A219" s="2">
        <v>2766562</v>
      </c>
      <c r="B219" s="2">
        <f>HYPERLINK("https://platform.v2.vetology.net/cases/2766562/screening-report/1?type=pdf&amp;v=v6&amp;scorecard=1&amp;secret_key=BX%25IJ%24%2F65ieZ%29f6", 2766562)</f>
        <v>2766562</v>
      </c>
      <c r="C219" s="2">
        <f>HYPERLINK("https://platform.v2.vetology.net/report/v/final/"&amp;2766562, 2766562)</f>
        <v>2766562</v>
      </c>
      <c r="D219" s="2" t="s">
        <v>821</v>
      </c>
      <c r="E219" s="2" t="s">
        <v>822</v>
      </c>
      <c r="F219" s="2" t="s">
        <v>823</v>
      </c>
      <c r="G219" s="2" t="s">
        <v>824</v>
      </c>
      <c r="H219" s="2" t="s">
        <v>69</v>
      </c>
      <c r="I219" s="2" t="s">
        <v>46</v>
      </c>
      <c r="J219" s="2"/>
      <c r="K219" s="2" t="s">
        <v>39</v>
      </c>
      <c r="L219" s="2" t="s">
        <v>39</v>
      </c>
      <c r="M219" s="2" t="s">
        <v>39</v>
      </c>
      <c r="N219" s="2" t="s">
        <v>39</v>
      </c>
      <c r="O219" s="2" t="s">
        <v>39</v>
      </c>
      <c r="P219" s="2" t="s">
        <v>39</v>
      </c>
      <c r="Q219" s="2" t="s">
        <v>39</v>
      </c>
      <c r="R219" s="2" t="s">
        <v>39</v>
      </c>
      <c r="S219" s="2" t="s">
        <v>39</v>
      </c>
      <c r="T219" s="2" t="s">
        <v>39</v>
      </c>
      <c r="U219" s="2" t="s">
        <v>39</v>
      </c>
      <c r="V219" s="2" t="s">
        <v>39</v>
      </c>
      <c r="W219" s="2" t="s">
        <v>39</v>
      </c>
      <c r="X219" s="2" t="s">
        <v>39</v>
      </c>
      <c r="Y219" s="2" t="s">
        <v>39</v>
      </c>
      <c r="Z219" s="2" t="s">
        <v>39</v>
      </c>
      <c r="AA219" s="2" t="s">
        <v>39</v>
      </c>
      <c r="AB219" s="2" t="s">
        <v>39</v>
      </c>
      <c r="AC219" s="2" t="s">
        <v>38</v>
      </c>
      <c r="AD219" s="2" t="s">
        <v>38</v>
      </c>
      <c r="AE219" s="2" t="s">
        <v>39</v>
      </c>
    </row>
    <row r="220" spans="1:31" ht="409.5">
      <c r="A220" s="2">
        <v>2766537</v>
      </c>
      <c r="B220" s="2">
        <f>HYPERLINK("https://platform.v2.vetology.net/cases/2766537/screening-report/1?type=pdf&amp;v=v6&amp;scorecard=1&amp;secret_key=BX%25IJ%24%2F65ieZ%29f6", 2766537)</f>
        <v>2766537</v>
      </c>
      <c r="C220" s="2">
        <f>HYPERLINK("https://platform.v2.vetology.net/report/v/final/"&amp;2766537, 2766537)</f>
        <v>2766537</v>
      </c>
      <c r="D220" s="2" t="s">
        <v>825</v>
      </c>
      <c r="E220" s="2" t="s">
        <v>826</v>
      </c>
      <c r="F220" s="2" t="s">
        <v>827</v>
      </c>
      <c r="G220" s="2" t="s">
        <v>824</v>
      </c>
      <c r="H220" s="2" t="s">
        <v>828</v>
      </c>
      <c r="I220" s="2" t="s">
        <v>36</v>
      </c>
      <c r="J220" s="2" t="s">
        <v>37</v>
      </c>
      <c r="K220" s="2" t="s">
        <v>39</v>
      </c>
      <c r="L220" s="2" t="s">
        <v>38</v>
      </c>
      <c r="M220" s="2" t="s">
        <v>39</v>
      </c>
      <c r="N220" s="2" t="s">
        <v>39</v>
      </c>
      <c r="O220" s="2" t="s">
        <v>39</v>
      </c>
      <c r="P220" s="2" t="s">
        <v>39</v>
      </c>
      <c r="Q220" s="2" t="s">
        <v>39</v>
      </c>
      <c r="R220" s="2" t="s">
        <v>39</v>
      </c>
      <c r="S220" s="2" t="s">
        <v>39</v>
      </c>
      <c r="T220" s="2" t="s">
        <v>38</v>
      </c>
      <c r="U220" s="2" t="s">
        <v>39</v>
      </c>
      <c r="V220" s="2" t="s">
        <v>39</v>
      </c>
      <c r="W220" s="2" t="s">
        <v>38</v>
      </c>
      <c r="X220" s="2" t="s">
        <v>39</v>
      </c>
      <c r="Y220" s="2" t="s">
        <v>39</v>
      </c>
      <c r="Z220" s="2" t="s">
        <v>39</v>
      </c>
      <c r="AA220" s="2" t="s">
        <v>39</v>
      </c>
      <c r="AB220" s="2" t="s">
        <v>39</v>
      </c>
      <c r="AC220" s="2" t="s">
        <v>39</v>
      </c>
      <c r="AD220" s="2" t="s">
        <v>39</v>
      </c>
      <c r="AE220" s="2" t="s">
        <v>39</v>
      </c>
    </row>
    <row r="221" spans="1:31" ht="409.5">
      <c r="A221" s="2">
        <v>2766485</v>
      </c>
      <c r="B221" s="2">
        <f>HYPERLINK("https://platform.v2.vetology.net/cases/2766485/screening-report/1?type=pdf&amp;v=v6&amp;scorecard=1&amp;secret_key=BX%25IJ%24%2F65ieZ%29f6", 2766485)</f>
        <v>2766485</v>
      </c>
      <c r="C221" s="2">
        <f>HYPERLINK("https://platform.v2.vetology.net/report/v/final/"&amp;2766485, 2766485)</f>
        <v>2766485</v>
      </c>
      <c r="D221" s="2" t="s">
        <v>829</v>
      </c>
      <c r="E221" s="2" t="s">
        <v>830</v>
      </c>
      <c r="F221" s="2" t="s">
        <v>831</v>
      </c>
      <c r="G221" s="2" t="s">
        <v>111</v>
      </c>
      <c r="H221" s="2" t="s">
        <v>832</v>
      </c>
      <c r="I221" s="2" t="s">
        <v>73</v>
      </c>
      <c r="J221" s="2" t="s">
        <v>74</v>
      </c>
      <c r="K221" s="2" t="s">
        <v>38</v>
      </c>
      <c r="L221" s="2" t="s">
        <v>39</v>
      </c>
      <c r="M221" s="2" t="s">
        <v>38</v>
      </c>
      <c r="N221" s="2" t="s">
        <v>38</v>
      </c>
      <c r="O221" s="2" t="s">
        <v>38</v>
      </c>
      <c r="P221" s="2" t="s">
        <v>38</v>
      </c>
      <c r="Q221" s="2" t="s">
        <v>38</v>
      </c>
      <c r="R221" s="2" t="s">
        <v>39</v>
      </c>
      <c r="S221" s="2" t="s">
        <v>38</v>
      </c>
      <c r="T221" s="2" t="s">
        <v>38</v>
      </c>
      <c r="U221" s="2" t="s">
        <v>38</v>
      </c>
      <c r="V221" s="2" t="s">
        <v>38</v>
      </c>
      <c r="W221" s="2" t="s">
        <v>38</v>
      </c>
      <c r="X221" s="2" t="s">
        <v>38</v>
      </c>
      <c r="Y221" s="2" t="s">
        <v>39</v>
      </c>
      <c r="Z221" s="2" t="s">
        <v>38</v>
      </c>
      <c r="AA221" s="2" t="s">
        <v>38</v>
      </c>
      <c r="AB221" s="2" t="s">
        <v>38</v>
      </c>
      <c r="AC221" s="2" t="s">
        <v>38</v>
      </c>
      <c r="AD221" s="2" t="s">
        <v>38</v>
      </c>
      <c r="AE221" s="2" t="s">
        <v>39</v>
      </c>
    </row>
    <row r="222" spans="1:31" ht="409.5">
      <c r="A222" s="2">
        <v>2766476</v>
      </c>
      <c r="B222" s="2">
        <f>HYPERLINK("https://platform.v2.vetology.net/cases/2766476/screening-report/1?type=pdf&amp;v=v6&amp;scorecard=1&amp;secret_key=BX%25IJ%24%2F65ieZ%29f6", 2766476)</f>
        <v>2766476</v>
      </c>
      <c r="C222" s="2">
        <f>HYPERLINK("https://platform.v2.vetology.net/report/v/final/"&amp;2766476, 2766476)</f>
        <v>2766476</v>
      </c>
      <c r="D222" s="2" t="s">
        <v>833</v>
      </c>
      <c r="E222" s="2" t="s">
        <v>834</v>
      </c>
      <c r="F222" s="2" t="s">
        <v>43</v>
      </c>
      <c r="G222" s="2" t="s">
        <v>44</v>
      </c>
      <c r="H222" s="2" t="s">
        <v>116</v>
      </c>
      <c r="I222" s="2" t="s">
        <v>36</v>
      </c>
      <c r="J222" s="2" t="s">
        <v>37</v>
      </c>
      <c r="K222" s="2" t="s">
        <v>39</v>
      </c>
      <c r="L222" s="2" t="s">
        <v>39</v>
      </c>
      <c r="M222" s="2" t="s">
        <v>39</v>
      </c>
      <c r="N222" s="2" t="s">
        <v>39</v>
      </c>
      <c r="O222" s="2" t="s">
        <v>39</v>
      </c>
      <c r="P222" s="2" t="s">
        <v>39</v>
      </c>
      <c r="Q222" s="2" t="s">
        <v>39</v>
      </c>
      <c r="R222" s="2" t="s">
        <v>39</v>
      </c>
      <c r="S222" s="2" t="s">
        <v>38</v>
      </c>
      <c r="T222" s="2" t="s">
        <v>38</v>
      </c>
      <c r="U222" s="2" t="s">
        <v>39</v>
      </c>
      <c r="V222" s="2" t="s">
        <v>39</v>
      </c>
      <c r="W222" s="2" t="s">
        <v>38</v>
      </c>
      <c r="X222" s="2" t="s">
        <v>39</v>
      </c>
      <c r="Y222" s="2" t="s">
        <v>39</v>
      </c>
      <c r="Z222" s="2" t="s">
        <v>39</v>
      </c>
      <c r="AA222" s="2" t="s">
        <v>38</v>
      </c>
      <c r="AB222" s="2" t="s">
        <v>39</v>
      </c>
      <c r="AC222" s="2" t="s">
        <v>38</v>
      </c>
      <c r="AD222" s="2" t="s">
        <v>39</v>
      </c>
      <c r="AE222" s="2" t="s">
        <v>40</v>
      </c>
    </row>
    <row r="223" spans="1:31" ht="409.5">
      <c r="A223" s="2">
        <v>2766474</v>
      </c>
      <c r="B223" s="2">
        <f>HYPERLINK("https://platform.v2.vetology.net/cases/2766474/screening-report/1?type=pdf&amp;v=v6&amp;scorecard=1&amp;secret_key=BX%25IJ%24%2F65ieZ%29f6", 2766474)</f>
        <v>2766474</v>
      </c>
      <c r="C223" s="2">
        <f>HYPERLINK("https://platform.v2.vetology.net/report/v/final/"&amp;2766474, 2766474)</f>
        <v>2766474</v>
      </c>
      <c r="D223" s="2" t="s">
        <v>835</v>
      </c>
      <c r="E223" s="2" t="s">
        <v>836</v>
      </c>
      <c r="F223" s="2" t="s">
        <v>43</v>
      </c>
      <c r="G223" s="2" t="s">
        <v>44</v>
      </c>
      <c r="H223" s="2" t="s">
        <v>837</v>
      </c>
      <c r="I223" s="2" t="s">
        <v>36</v>
      </c>
      <c r="J223" s="2" t="s">
        <v>37</v>
      </c>
      <c r="K223" s="2" t="s">
        <v>39</v>
      </c>
      <c r="L223" s="2" t="s">
        <v>38</v>
      </c>
      <c r="M223" s="2" t="s">
        <v>39</v>
      </c>
      <c r="N223" s="2" t="s">
        <v>39</v>
      </c>
      <c r="O223" s="2" t="s">
        <v>39</v>
      </c>
      <c r="P223" s="2" t="s">
        <v>39</v>
      </c>
      <c r="Q223" s="2" t="s">
        <v>39</v>
      </c>
      <c r="R223" s="2" t="s">
        <v>38</v>
      </c>
      <c r="S223" s="2" t="s">
        <v>38</v>
      </c>
      <c r="T223" s="2" t="s">
        <v>39</v>
      </c>
      <c r="U223" s="2" t="s">
        <v>38</v>
      </c>
      <c r="V223" s="2" t="s">
        <v>39</v>
      </c>
      <c r="W223" s="2" t="s">
        <v>39</v>
      </c>
      <c r="X223" s="2" t="s">
        <v>39</v>
      </c>
      <c r="Y223" s="2" t="s">
        <v>39</v>
      </c>
      <c r="Z223" s="2" t="s">
        <v>38</v>
      </c>
      <c r="AA223" s="2" t="s">
        <v>39</v>
      </c>
      <c r="AB223" s="2" t="s">
        <v>39</v>
      </c>
      <c r="AC223" s="2" t="s">
        <v>39</v>
      </c>
      <c r="AD223" s="2" t="s">
        <v>38</v>
      </c>
      <c r="AE223" s="2"/>
    </row>
    <row r="224" spans="1:31" ht="409.5">
      <c r="A224" s="2">
        <v>2766449</v>
      </c>
      <c r="B224" s="2">
        <f>HYPERLINK("https://platform.v2.vetology.net/cases/2766449/screening-report/1?type=pdf&amp;v=v6&amp;scorecard=1&amp;secret_key=BX%25IJ%24%2F65ieZ%29f6", 2766449)</f>
        <v>2766449</v>
      </c>
      <c r="C224" s="2">
        <f>HYPERLINK("https://platform.v2.vetology.net/report/v/final/"&amp;2766449, 2766449)</f>
        <v>2766449</v>
      </c>
      <c r="D224" s="2" t="s">
        <v>838</v>
      </c>
      <c r="E224" s="2" t="s">
        <v>839</v>
      </c>
      <c r="F224" s="2" t="s">
        <v>840</v>
      </c>
      <c r="G224" s="2" t="s">
        <v>170</v>
      </c>
      <c r="H224" s="2" t="s">
        <v>841</v>
      </c>
      <c r="I224" s="2" t="s">
        <v>36</v>
      </c>
      <c r="J224" s="2" t="s">
        <v>37</v>
      </c>
      <c r="K224" s="2" t="s">
        <v>38</v>
      </c>
      <c r="L224" s="2" t="s">
        <v>38</v>
      </c>
      <c r="M224" s="2" t="s">
        <v>38</v>
      </c>
      <c r="N224" s="2" t="s">
        <v>38</v>
      </c>
      <c r="O224" s="2" t="s">
        <v>38</v>
      </c>
      <c r="P224" s="2" t="s">
        <v>38</v>
      </c>
      <c r="Q224" s="2" t="s">
        <v>38</v>
      </c>
      <c r="R224" s="2" t="s">
        <v>39</v>
      </c>
      <c r="S224" s="2" t="s">
        <v>38</v>
      </c>
      <c r="T224" s="2" t="s">
        <v>39</v>
      </c>
      <c r="U224" s="2" t="s">
        <v>39</v>
      </c>
      <c r="V224" s="2" t="s">
        <v>38</v>
      </c>
      <c r="W224" s="2" t="s">
        <v>38</v>
      </c>
      <c r="X224" s="2" t="s">
        <v>38</v>
      </c>
      <c r="Y224" s="2" t="s">
        <v>39</v>
      </c>
      <c r="Z224" s="2" t="s">
        <v>38</v>
      </c>
      <c r="AA224" s="2" t="s">
        <v>39</v>
      </c>
      <c r="AB224" s="2" t="s">
        <v>39</v>
      </c>
      <c r="AC224" s="2" t="s">
        <v>38</v>
      </c>
      <c r="AD224" s="2" t="s">
        <v>38</v>
      </c>
      <c r="AE224" s="2" t="s">
        <v>40</v>
      </c>
    </row>
    <row r="225" spans="1:31" ht="409.5">
      <c r="A225" s="2">
        <v>2766440</v>
      </c>
      <c r="B225" s="2">
        <f>HYPERLINK("https://platform.v2.vetology.net/cases/2766440/screening-report/1?type=pdf&amp;v=v6&amp;scorecard=1&amp;secret_key=BX%25IJ%24%2F65ieZ%29f6", 2766440)</f>
        <v>2766440</v>
      </c>
      <c r="C225" s="2">
        <f>HYPERLINK("https://platform.v2.vetology.net/report/v/final/"&amp;2766440, 2766440)</f>
        <v>2766440</v>
      </c>
      <c r="D225" s="2" t="s">
        <v>842</v>
      </c>
      <c r="E225" s="2" t="s">
        <v>843</v>
      </c>
      <c r="F225" s="2" t="s">
        <v>844</v>
      </c>
      <c r="G225" s="2" t="s">
        <v>53</v>
      </c>
      <c r="H225" s="2" t="s">
        <v>845</v>
      </c>
      <c r="I225" s="2" t="s">
        <v>129</v>
      </c>
      <c r="J225" s="2" t="s">
        <v>74</v>
      </c>
      <c r="K225" s="2" t="s">
        <v>39</v>
      </c>
      <c r="L225" s="2" t="s">
        <v>38</v>
      </c>
      <c r="M225" s="2" t="s">
        <v>38</v>
      </c>
      <c r="N225" s="2" t="s">
        <v>38</v>
      </c>
      <c r="O225" s="2" t="s">
        <v>38</v>
      </c>
      <c r="P225" s="2" t="s">
        <v>38</v>
      </c>
      <c r="Q225" s="2" t="s">
        <v>38</v>
      </c>
      <c r="R225" s="2" t="s">
        <v>38</v>
      </c>
      <c r="S225" s="2" t="s">
        <v>38</v>
      </c>
      <c r="T225" s="2" t="s">
        <v>38</v>
      </c>
      <c r="U225" s="2" t="s">
        <v>39</v>
      </c>
      <c r="V225" s="2" t="s">
        <v>39</v>
      </c>
      <c r="W225" s="2" t="s">
        <v>38</v>
      </c>
      <c r="X225" s="2" t="s">
        <v>38</v>
      </c>
      <c r="Y225" s="2" t="s">
        <v>38</v>
      </c>
      <c r="Z225" s="2" t="s">
        <v>38</v>
      </c>
      <c r="AA225" s="2" t="s">
        <v>38</v>
      </c>
      <c r="AB225" s="2" t="s">
        <v>38</v>
      </c>
      <c r="AC225" s="2" t="s">
        <v>38</v>
      </c>
      <c r="AD225" s="2" t="s">
        <v>39</v>
      </c>
      <c r="AE225" s="2" t="s">
        <v>40</v>
      </c>
    </row>
    <row r="226" spans="1:31" ht="409.5">
      <c r="A226" s="2">
        <v>2766436</v>
      </c>
      <c r="B226" s="2">
        <f>HYPERLINK("https://platform.v2.vetology.net/cases/2766436/screening-report/1?type=pdf&amp;v=v6&amp;scorecard=1&amp;secret_key=BX%25IJ%24%2F65ieZ%29f6", 2766436)</f>
        <v>2766436</v>
      </c>
      <c r="C226" s="2">
        <f>HYPERLINK("https://platform.v2.vetology.net/report/v/final/"&amp;2766436, 2766436)</f>
        <v>2766436</v>
      </c>
      <c r="D226" s="2" t="s">
        <v>846</v>
      </c>
      <c r="E226" s="2" t="s">
        <v>847</v>
      </c>
      <c r="F226" s="2" t="s">
        <v>43</v>
      </c>
      <c r="G226" s="2" t="s">
        <v>44</v>
      </c>
      <c r="H226" s="2" t="s">
        <v>848</v>
      </c>
      <c r="I226" s="2" t="s">
        <v>684</v>
      </c>
      <c r="J226" s="2" t="s">
        <v>74</v>
      </c>
      <c r="K226" s="2" t="s">
        <v>39</v>
      </c>
      <c r="L226" s="2" t="s">
        <v>39</v>
      </c>
      <c r="M226" s="2" t="s">
        <v>39</v>
      </c>
      <c r="N226" s="2" t="s">
        <v>39</v>
      </c>
      <c r="O226" s="2" t="s">
        <v>39</v>
      </c>
      <c r="P226" s="2" t="s">
        <v>38</v>
      </c>
      <c r="Q226" s="2" t="s">
        <v>38</v>
      </c>
      <c r="R226" s="2" t="s">
        <v>39</v>
      </c>
      <c r="S226" s="2" t="s">
        <v>39</v>
      </c>
      <c r="T226" s="2" t="s">
        <v>39</v>
      </c>
      <c r="U226" s="2" t="s">
        <v>39</v>
      </c>
      <c r="V226" s="2" t="s">
        <v>38</v>
      </c>
      <c r="W226" s="2" t="s">
        <v>39</v>
      </c>
      <c r="X226" s="2" t="s">
        <v>38</v>
      </c>
      <c r="Y226" s="2" t="s">
        <v>39</v>
      </c>
      <c r="Z226" s="2" t="s">
        <v>39</v>
      </c>
      <c r="AA226" s="2" t="s">
        <v>39</v>
      </c>
      <c r="AB226" s="2" t="s">
        <v>38</v>
      </c>
      <c r="AC226" s="2" t="s">
        <v>38</v>
      </c>
      <c r="AD226" s="2" t="s">
        <v>39</v>
      </c>
      <c r="AE226" s="2" t="s">
        <v>40</v>
      </c>
    </row>
    <row r="227" spans="1:31" ht="409.5">
      <c r="A227" s="2">
        <v>2766431</v>
      </c>
      <c r="B227" s="2">
        <f>HYPERLINK("https://platform.v2.vetology.net/cases/2766431/screening-report/1?type=pdf&amp;v=v6&amp;scorecard=1&amp;secret_key=BX%25IJ%24%2F65ieZ%29f6", 2766431)</f>
        <v>2766431</v>
      </c>
      <c r="C227" s="2">
        <f>HYPERLINK("https://platform.v2.vetology.net/report/v/final/"&amp;2766431, 2766431)</f>
        <v>2766431</v>
      </c>
      <c r="D227" s="2" t="s">
        <v>849</v>
      </c>
      <c r="E227" s="2" t="s">
        <v>850</v>
      </c>
      <c r="F227" s="2" t="s">
        <v>851</v>
      </c>
      <c r="G227" s="2" t="s">
        <v>111</v>
      </c>
      <c r="H227" s="2" t="s">
        <v>852</v>
      </c>
      <c r="I227" s="2" t="s">
        <v>36</v>
      </c>
      <c r="J227" s="2" t="s">
        <v>37</v>
      </c>
      <c r="K227" s="2" t="s">
        <v>39</v>
      </c>
      <c r="L227" s="2" t="s">
        <v>38</v>
      </c>
      <c r="M227" s="2" t="s">
        <v>38</v>
      </c>
      <c r="N227" s="2" t="s">
        <v>39</v>
      </c>
      <c r="O227" s="2" t="s">
        <v>38</v>
      </c>
      <c r="P227" s="2" t="s">
        <v>39</v>
      </c>
      <c r="Q227" s="2" t="s">
        <v>39</v>
      </c>
      <c r="R227" s="2" t="s">
        <v>38</v>
      </c>
      <c r="S227" s="2" t="s">
        <v>38</v>
      </c>
      <c r="T227" s="2" t="s">
        <v>39</v>
      </c>
      <c r="U227" s="2" t="s">
        <v>39</v>
      </c>
      <c r="V227" s="2" t="s">
        <v>39</v>
      </c>
      <c r="W227" s="2" t="s">
        <v>39</v>
      </c>
      <c r="X227" s="2" t="s">
        <v>39</v>
      </c>
      <c r="Y227" s="2" t="s">
        <v>39</v>
      </c>
      <c r="Z227" s="2" t="s">
        <v>38</v>
      </c>
      <c r="AA227" s="2" t="s">
        <v>39</v>
      </c>
      <c r="AB227" s="2" t="s">
        <v>39</v>
      </c>
      <c r="AC227" s="2" t="s">
        <v>38</v>
      </c>
      <c r="AD227" s="2" t="s">
        <v>38</v>
      </c>
      <c r="AE227" s="2" t="s">
        <v>39</v>
      </c>
    </row>
    <row r="228" spans="1:31" ht="409.5">
      <c r="A228" s="2">
        <v>2766412</v>
      </c>
      <c r="B228" s="2">
        <f>HYPERLINK("https://platform.v2.vetology.net/cases/2766412/screening-report/1?type=pdf&amp;v=v6&amp;scorecard=1&amp;secret_key=BX%25IJ%24%2F65ieZ%29f6", 2766412)</f>
        <v>2766412</v>
      </c>
      <c r="C228" s="2">
        <f>HYPERLINK("https://platform.v2.vetology.net/report/v/final/"&amp;2766412, 2766412)</f>
        <v>2766412</v>
      </c>
      <c r="D228" s="2" t="s">
        <v>853</v>
      </c>
      <c r="E228" s="2" t="s">
        <v>854</v>
      </c>
      <c r="F228" s="2" t="s">
        <v>855</v>
      </c>
      <c r="G228" s="2" t="s">
        <v>111</v>
      </c>
      <c r="H228" s="2" t="s">
        <v>394</v>
      </c>
      <c r="I228" s="2" t="s">
        <v>59</v>
      </c>
      <c r="J228" s="2" t="s">
        <v>37</v>
      </c>
      <c r="K228" s="2" t="s">
        <v>38</v>
      </c>
      <c r="L228" s="2" t="s">
        <v>39</v>
      </c>
      <c r="M228" s="2" t="s">
        <v>39</v>
      </c>
      <c r="N228" s="2" t="s">
        <v>39</v>
      </c>
      <c r="O228" s="2" t="s">
        <v>39</v>
      </c>
      <c r="P228" s="2" t="s">
        <v>39</v>
      </c>
      <c r="Q228" s="2" t="s">
        <v>39</v>
      </c>
      <c r="R228" s="2" t="s">
        <v>39</v>
      </c>
      <c r="S228" s="2" t="s">
        <v>39</v>
      </c>
      <c r="T228" s="2" t="s">
        <v>39</v>
      </c>
      <c r="U228" s="2" t="s">
        <v>39</v>
      </c>
      <c r="V228" s="2" t="s">
        <v>38</v>
      </c>
      <c r="W228" s="2" t="s">
        <v>39</v>
      </c>
      <c r="X228" s="2" t="s">
        <v>39</v>
      </c>
      <c r="Y228" s="2" t="s">
        <v>39</v>
      </c>
      <c r="Z228" s="2" t="s">
        <v>39</v>
      </c>
      <c r="AA228" s="2" t="s">
        <v>39</v>
      </c>
      <c r="AB228" s="2" t="s">
        <v>39</v>
      </c>
      <c r="AC228" s="2" t="s">
        <v>38</v>
      </c>
      <c r="AD228" s="2" t="s">
        <v>39</v>
      </c>
      <c r="AE228" s="2" t="s">
        <v>40</v>
      </c>
    </row>
    <row r="229" spans="1:31" ht="409.5">
      <c r="A229" s="2">
        <v>2766344</v>
      </c>
      <c r="B229" s="2">
        <f>HYPERLINK("https://platform.v2.vetology.net/cases/2766344/screening-report/1?type=pdf&amp;v=v6&amp;scorecard=1&amp;secret_key=BX%25IJ%24%2F65ieZ%29f6", 2766344)</f>
        <v>2766344</v>
      </c>
      <c r="C229" s="2">
        <f>HYPERLINK("https://platform.v2.vetology.net/report/v/final/"&amp;2766344, 2766344)</f>
        <v>2766344</v>
      </c>
      <c r="D229" s="2" t="s">
        <v>856</v>
      </c>
      <c r="E229" s="2" t="s">
        <v>857</v>
      </c>
      <c r="F229" s="2" t="s">
        <v>858</v>
      </c>
      <c r="G229" s="2" t="s">
        <v>111</v>
      </c>
      <c r="H229" s="2" t="s">
        <v>859</v>
      </c>
      <c r="I229" s="2" t="s">
        <v>36</v>
      </c>
      <c r="J229" s="2" t="s">
        <v>37</v>
      </c>
      <c r="K229" s="2" t="s">
        <v>39</v>
      </c>
      <c r="L229" s="2" t="s">
        <v>38</v>
      </c>
      <c r="M229" s="2" t="s">
        <v>39</v>
      </c>
      <c r="N229" s="2" t="s">
        <v>38</v>
      </c>
      <c r="O229" s="2" t="s">
        <v>38</v>
      </c>
      <c r="P229" s="2" t="s">
        <v>39</v>
      </c>
      <c r="Q229" s="2" t="s">
        <v>39</v>
      </c>
      <c r="R229" s="2" t="s">
        <v>38</v>
      </c>
      <c r="S229" s="2" t="s">
        <v>38</v>
      </c>
      <c r="T229" s="2" t="s">
        <v>39</v>
      </c>
      <c r="U229" s="2" t="s">
        <v>39</v>
      </c>
      <c r="V229" s="2" t="s">
        <v>38</v>
      </c>
      <c r="W229" s="2" t="s">
        <v>38</v>
      </c>
      <c r="X229" s="2" t="s">
        <v>39</v>
      </c>
      <c r="Y229" s="2" t="s">
        <v>39</v>
      </c>
      <c r="Z229" s="2" t="s">
        <v>39</v>
      </c>
      <c r="AA229" s="2" t="s">
        <v>38</v>
      </c>
      <c r="AB229" s="2" t="s">
        <v>39</v>
      </c>
      <c r="AC229" s="2" t="s">
        <v>38</v>
      </c>
      <c r="AD229" s="2" t="s">
        <v>38</v>
      </c>
      <c r="AE229" s="2" t="s">
        <v>39</v>
      </c>
    </row>
    <row r="230" spans="1:31" ht="409.5">
      <c r="A230" s="2">
        <v>2766334</v>
      </c>
      <c r="B230" s="2">
        <f>HYPERLINK("https://platform.v2.vetology.net/cases/2766334/screening-report/1?type=pdf&amp;v=v6&amp;scorecard=1&amp;secret_key=BX%25IJ%24%2F65ieZ%29f6", 2766334)</f>
        <v>2766334</v>
      </c>
      <c r="C230" s="2">
        <f>HYPERLINK("https://platform.v2.vetology.net/report/v/final/"&amp;2766334, 2766334)</f>
        <v>2766334</v>
      </c>
      <c r="D230" s="2" t="s">
        <v>860</v>
      </c>
      <c r="E230" s="2" t="s">
        <v>861</v>
      </c>
      <c r="F230" s="2" t="s">
        <v>43</v>
      </c>
      <c r="G230" s="2" t="s">
        <v>44</v>
      </c>
      <c r="H230" s="2" t="s">
        <v>797</v>
      </c>
      <c r="I230" s="2" t="s">
        <v>59</v>
      </c>
      <c r="J230" s="2" t="s">
        <v>37</v>
      </c>
      <c r="K230" s="2" t="s">
        <v>38</v>
      </c>
      <c r="L230" s="2" t="s">
        <v>39</v>
      </c>
      <c r="M230" s="2" t="s">
        <v>39</v>
      </c>
      <c r="N230" s="2" t="s">
        <v>39</v>
      </c>
      <c r="O230" s="2" t="s">
        <v>38</v>
      </c>
      <c r="P230" s="2" t="s">
        <v>39</v>
      </c>
      <c r="Q230" s="2" t="s">
        <v>39</v>
      </c>
      <c r="R230" s="2" t="s">
        <v>38</v>
      </c>
      <c r="S230" s="2" t="s">
        <v>39</v>
      </c>
      <c r="T230" s="2" t="s">
        <v>39</v>
      </c>
      <c r="U230" s="2" t="s">
        <v>38</v>
      </c>
      <c r="V230" s="2" t="s">
        <v>38</v>
      </c>
      <c r="W230" s="2" t="s">
        <v>39</v>
      </c>
      <c r="X230" s="2" t="s">
        <v>39</v>
      </c>
      <c r="Y230" s="2" t="s">
        <v>39</v>
      </c>
      <c r="Z230" s="2" t="s">
        <v>39</v>
      </c>
      <c r="AA230" s="2" t="s">
        <v>39</v>
      </c>
      <c r="AB230" s="2" t="s">
        <v>39</v>
      </c>
      <c r="AC230" s="2" t="s">
        <v>38</v>
      </c>
      <c r="AD230" s="2" t="s">
        <v>39</v>
      </c>
      <c r="AE230" s="2" t="s">
        <v>40</v>
      </c>
    </row>
    <row r="231" spans="1:31" ht="409.5">
      <c r="A231" s="2">
        <v>2766326</v>
      </c>
      <c r="B231" s="2">
        <f>HYPERLINK("https://platform.v2.vetology.net/cases/2766326/screening-report/1?type=pdf&amp;v=v6&amp;scorecard=1&amp;secret_key=BX%25IJ%24%2F65ieZ%29f6", 2766326)</f>
        <v>2766326</v>
      </c>
      <c r="C231" s="2">
        <f>HYPERLINK("https://platform.v2.vetology.net/report/v/final/"&amp;2766326, 2766326)</f>
        <v>2766326</v>
      </c>
      <c r="D231" s="2" t="s">
        <v>862</v>
      </c>
      <c r="E231" s="2" t="s">
        <v>863</v>
      </c>
      <c r="F231" s="2" t="s">
        <v>864</v>
      </c>
      <c r="G231" s="2" t="s">
        <v>170</v>
      </c>
      <c r="H231" s="2" t="s">
        <v>865</v>
      </c>
      <c r="I231" s="2" t="s">
        <v>73</v>
      </c>
      <c r="J231" s="2" t="s">
        <v>74</v>
      </c>
      <c r="K231" s="2" t="s">
        <v>38</v>
      </c>
      <c r="L231" s="2" t="s">
        <v>38</v>
      </c>
      <c r="M231" s="2" t="s">
        <v>38</v>
      </c>
      <c r="N231" s="2" t="s">
        <v>38</v>
      </c>
      <c r="O231" s="2" t="s">
        <v>38</v>
      </c>
      <c r="P231" s="2" t="s">
        <v>38</v>
      </c>
      <c r="Q231" s="2" t="s">
        <v>38</v>
      </c>
      <c r="R231" s="2" t="s">
        <v>38</v>
      </c>
      <c r="S231" s="2" t="s">
        <v>38</v>
      </c>
      <c r="T231" s="2" t="s">
        <v>38</v>
      </c>
      <c r="U231" s="2" t="s">
        <v>38</v>
      </c>
      <c r="V231" s="2" t="s">
        <v>38</v>
      </c>
      <c r="W231" s="2" t="s">
        <v>38</v>
      </c>
      <c r="X231" s="2" t="s">
        <v>38</v>
      </c>
      <c r="Y231" s="2" t="s">
        <v>38</v>
      </c>
      <c r="Z231" s="2" t="s">
        <v>38</v>
      </c>
      <c r="AA231" s="2" t="s">
        <v>38</v>
      </c>
      <c r="AB231" s="2" t="s">
        <v>38</v>
      </c>
      <c r="AC231" s="2" t="s">
        <v>38</v>
      </c>
      <c r="AD231" s="2" t="s">
        <v>39</v>
      </c>
      <c r="AE231" s="2" t="s">
        <v>40</v>
      </c>
    </row>
    <row r="232" spans="1:31" ht="409.5">
      <c r="A232" s="2">
        <v>2766308</v>
      </c>
      <c r="B232" s="2">
        <f>HYPERLINK("https://platform.v2.vetology.net/cases/2766308/screening-report/1?type=pdf&amp;v=v6&amp;scorecard=1&amp;secret_key=BX%25IJ%24%2F65ieZ%29f6", 2766308)</f>
        <v>2766308</v>
      </c>
      <c r="C232" s="2">
        <f>HYPERLINK("https://platform.v2.vetology.net/report/v/final/"&amp;2766308, 2766308)</f>
        <v>2766308</v>
      </c>
      <c r="D232" s="2" t="s">
        <v>866</v>
      </c>
      <c r="E232" s="2" t="s">
        <v>867</v>
      </c>
      <c r="F232" s="2" t="s">
        <v>868</v>
      </c>
      <c r="G232" s="2" t="s">
        <v>111</v>
      </c>
      <c r="H232" s="2" t="s">
        <v>869</v>
      </c>
      <c r="I232" s="2" t="s">
        <v>73</v>
      </c>
      <c r="J232" s="2" t="s">
        <v>74</v>
      </c>
      <c r="K232" s="2" t="s">
        <v>38</v>
      </c>
      <c r="L232" s="2" t="s">
        <v>38</v>
      </c>
      <c r="M232" s="2" t="s">
        <v>38</v>
      </c>
      <c r="N232" s="2" t="s">
        <v>38</v>
      </c>
      <c r="O232" s="2" t="s">
        <v>38</v>
      </c>
      <c r="P232" s="2" t="s">
        <v>38</v>
      </c>
      <c r="Q232" s="2" t="s">
        <v>38</v>
      </c>
      <c r="R232" s="2" t="s">
        <v>39</v>
      </c>
      <c r="S232" s="2" t="s">
        <v>38</v>
      </c>
      <c r="T232" s="2" t="s">
        <v>38</v>
      </c>
      <c r="U232" s="2" t="s">
        <v>38</v>
      </c>
      <c r="V232" s="2" t="s">
        <v>38</v>
      </c>
      <c r="W232" s="2" t="s">
        <v>38</v>
      </c>
      <c r="X232" s="2" t="s">
        <v>38</v>
      </c>
      <c r="Y232" s="2" t="s">
        <v>39</v>
      </c>
      <c r="Z232" s="2" t="s">
        <v>38</v>
      </c>
      <c r="AA232" s="2" t="s">
        <v>38</v>
      </c>
      <c r="AB232" s="2" t="s">
        <v>38</v>
      </c>
      <c r="AC232" s="2" t="s">
        <v>38</v>
      </c>
      <c r="AD232" s="2" t="s">
        <v>38</v>
      </c>
      <c r="AE232" s="2" t="s">
        <v>40</v>
      </c>
    </row>
    <row r="233" spans="1:31" ht="409.5">
      <c r="A233" s="2">
        <v>2766285</v>
      </c>
      <c r="B233" s="2">
        <f>HYPERLINK("https://platform.v2.vetology.net/cases/2766285/screening-report/1?type=pdf&amp;v=v6&amp;scorecard=1&amp;secret_key=BX%25IJ%24%2F65ieZ%29f6", 2766285)</f>
        <v>2766285</v>
      </c>
      <c r="C233" s="2">
        <f>HYPERLINK("https://platform.v2.vetology.net/report/v/final/"&amp;2766285, 2766285)</f>
        <v>2766285</v>
      </c>
      <c r="D233" s="2" t="s">
        <v>870</v>
      </c>
      <c r="E233" s="2" t="s">
        <v>871</v>
      </c>
      <c r="F233" s="2" t="s">
        <v>872</v>
      </c>
      <c r="G233" s="2" t="s">
        <v>53</v>
      </c>
      <c r="H233" s="2" t="s">
        <v>158</v>
      </c>
      <c r="I233" s="2" t="s">
        <v>59</v>
      </c>
      <c r="J233" s="2" t="s">
        <v>37</v>
      </c>
      <c r="K233" s="2" t="s">
        <v>38</v>
      </c>
      <c r="L233" s="2" t="s">
        <v>39</v>
      </c>
      <c r="M233" s="2" t="s">
        <v>39</v>
      </c>
      <c r="N233" s="2" t="s">
        <v>39</v>
      </c>
      <c r="O233" s="2" t="s">
        <v>39</v>
      </c>
      <c r="P233" s="2" t="s">
        <v>39</v>
      </c>
      <c r="Q233" s="2" t="s">
        <v>39</v>
      </c>
      <c r="R233" s="2" t="s">
        <v>39</v>
      </c>
      <c r="S233" s="2" t="s">
        <v>39</v>
      </c>
      <c r="T233" s="2" t="s">
        <v>39</v>
      </c>
      <c r="U233" s="2" t="s">
        <v>39</v>
      </c>
      <c r="V233" s="2" t="s">
        <v>38</v>
      </c>
      <c r="W233" s="2" t="s">
        <v>39</v>
      </c>
      <c r="X233" s="2" t="s">
        <v>39</v>
      </c>
      <c r="Y233" s="2" t="s">
        <v>39</v>
      </c>
      <c r="Z233" s="2" t="s">
        <v>39</v>
      </c>
      <c r="AA233" s="2" t="s">
        <v>39</v>
      </c>
      <c r="AB233" s="2" t="s">
        <v>39</v>
      </c>
      <c r="AC233" s="2" t="s">
        <v>39</v>
      </c>
      <c r="AD233" s="2" t="s">
        <v>39</v>
      </c>
      <c r="AE233" s="2" t="s">
        <v>39</v>
      </c>
    </row>
    <row r="234" spans="1:31" ht="409.5">
      <c r="A234" s="2">
        <v>2766241</v>
      </c>
      <c r="B234" s="2">
        <f>HYPERLINK("https://platform.v2.vetology.net/cases/2766241/screening-report/1?type=pdf&amp;v=v6&amp;scorecard=1&amp;secret_key=BX%25IJ%24%2F65ieZ%29f6", 2766241)</f>
        <v>2766241</v>
      </c>
      <c r="C234" s="2">
        <f>HYPERLINK("https://platform.v2.vetology.net/report/v/final/"&amp;2766241, 2766241)</f>
        <v>2766241</v>
      </c>
      <c r="D234" s="2" t="s">
        <v>873</v>
      </c>
      <c r="E234" s="2" t="s">
        <v>874</v>
      </c>
      <c r="F234" s="2" t="s">
        <v>43</v>
      </c>
      <c r="G234" s="2" t="s">
        <v>44</v>
      </c>
      <c r="H234" s="2" t="s">
        <v>797</v>
      </c>
      <c r="I234" s="2" t="s">
        <v>59</v>
      </c>
      <c r="J234" s="2" t="s">
        <v>37</v>
      </c>
      <c r="K234" s="2" t="s">
        <v>38</v>
      </c>
      <c r="L234" s="2" t="s">
        <v>39</v>
      </c>
      <c r="M234" s="2" t="s">
        <v>39</v>
      </c>
      <c r="N234" s="2" t="s">
        <v>39</v>
      </c>
      <c r="O234" s="2" t="s">
        <v>39</v>
      </c>
      <c r="P234" s="2" t="s">
        <v>39</v>
      </c>
      <c r="Q234" s="2" t="s">
        <v>39</v>
      </c>
      <c r="R234" s="2" t="s">
        <v>38</v>
      </c>
      <c r="S234" s="2" t="s">
        <v>39</v>
      </c>
      <c r="T234" s="2" t="s">
        <v>39</v>
      </c>
      <c r="U234" s="2" t="s">
        <v>38</v>
      </c>
      <c r="V234" s="2" t="s">
        <v>38</v>
      </c>
      <c r="W234" s="2" t="s">
        <v>39</v>
      </c>
      <c r="X234" s="2" t="s">
        <v>39</v>
      </c>
      <c r="Y234" s="2" t="s">
        <v>39</v>
      </c>
      <c r="Z234" s="2" t="s">
        <v>39</v>
      </c>
      <c r="AA234" s="2" t="s">
        <v>39</v>
      </c>
      <c r="AB234" s="2" t="s">
        <v>39</v>
      </c>
      <c r="AC234" s="2" t="s">
        <v>38</v>
      </c>
      <c r="AD234" s="2" t="s">
        <v>38</v>
      </c>
      <c r="AE234" s="2"/>
    </row>
    <row r="235" spans="1:31" ht="409.5">
      <c r="A235" s="2">
        <v>2766200</v>
      </c>
      <c r="B235" s="2">
        <f>HYPERLINK("https://platform.v2.vetology.net/cases/2766200/screening-report/1?type=pdf&amp;v=v6&amp;scorecard=1&amp;secret_key=BX%25IJ%24%2F65ieZ%29f6", 2766200)</f>
        <v>2766200</v>
      </c>
      <c r="C235" s="2">
        <f>HYPERLINK("https://platform.v2.vetology.net/report/v/final/"&amp;2766200, 2766200)</f>
        <v>2766200</v>
      </c>
      <c r="D235" s="2" t="s">
        <v>875</v>
      </c>
      <c r="E235" s="2" t="s">
        <v>876</v>
      </c>
      <c r="F235" s="2" t="s">
        <v>877</v>
      </c>
      <c r="G235" s="2" t="s">
        <v>34</v>
      </c>
      <c r="H235" s="2" t="s">
        <v>878</v>
      </c>
      <c r="I235" s="2" t="s">
        <v>73</v>
      </c>
      <c r="J235" s="2" t="s">
        <v>74</v>
      </c>
      <c r="K235" s="2" t="s">
        <v>38</v>
      </c>
      <c r="L235" s="2" t="s">
        <v>38</v>
      </c>
      <c r="M235" s="2" t="s">
        <v>38</v>
      </c>
      <c r="N235" s="2" t="s">
        <v>38</v>
      </c>
      <c r="O235" s="2" t="s">
        <v>38</v>
      </c>
      <c r="P235" s="2" t="s">
        <v>38</v>
      </c>
      <c r="Q235" s="2" t="s">
        <v>38</v>
      </c>
      <c r="R235" s="2" t="s">
        <v>38</v>
      </c>
      <c r="S235" s="2" t="s">
        <v>38</v>
      </c>
      <c r="T235" s="2" t="s">
        <v>38</v>
      </c>
      <c r="U235" s="2" t="s">
        <v>38</v>
      </c>
      <c r="V235" s="2" t="s">
        <v>38</v>
      </c>
      <c r="W235" s="2" t="s">
        <v>38</v>
      </c>
      <c r="X235" s="2" t="s">
        <v>38</v>
      </c>
      <c r="Y235" s="2" t="s">
        <v>38</v>
      </c>
      <c r="Z235" s="2" t="s">
        <v>38</v>
      </c>
      <c r="AA235" s="2" t="s">
        <v>38</v>
      </c>
      <c r="AB235" s="2" t="s">
        <v>39</v>
      </c>
      <c r="AC235" s="2" t="s">
        <v>38</v>
      </c>
      <c r="AD235" s="2" t="s">
        <v>38</v>
      </c>
      <c r="AE235" s="2" t="s">
        <v>39</v>
      </c>
    </row>
    <row r="236" spans="1:31" ht="409.5">
      <c r="A236" s="2">
        <v>2766185</v>
      </c>
      <c r="B236" s="2">
        <f>HYPERLINK("https://platform.v2.vetology.net/cases/2766185/screening-report/1?type=pdf&amp;v=v6&amp;scorecard=1&amp;secret_key=BX%25IJ%24%2F65ieZ%29f6", 2766185)</f>
        <v>2766185</v>
      </c>
      <c r="C236" s="2">
        <f>HYPERLINK("https://platform.v2.vetology.net/report/v/final/"&amp;2766185, 2766185)</f>
        <v>2766185</v>
      </c>
      <c r="D236" s="2" t="s">
        <v>879</v>
      </c>
      <c r="E236" s="2" t="s">
        <v>880</v>
      </c>
      <c r="F236" s="2" t="s">
        <v>881</v>
      </c>
      <c r="G236" s="2" t="s">
        <v>170</v>
      </c>
      <c r="H236" s="2" t="s">
        <v>69</v>
      </c>
      <c r="I236" s="2" t="s">
        <v>46</v>
      </c>
      <c r="J236" s="2"/>
      <c r="K236" s="2" t="s">
        <v>39</v>
      </c>
      <c r="L236" s="2" t="s">
        <v>39</v>
      </c>
      <c r="M236" s="2" t="s">
        <v>39</v>
      </c>
      <c r="N236" s="2" t="s">
        <v>39</v>
      </c>
      <c r="O236" s="2" t="s">
        <v>39</v>
      </c>
      <c r="P236" s="2" t="s">
        <v>39</v>
      </c>
      <c r="Q236" s="2" t="s">
        <v>39</v>
      </c>
      <c r="R236" s="2" t="s">
        <v>39</v>
      </c>
      <c r="S236" s="2" t="s">
        <v>39</v>
      </c>
      <c r="T236" s="2" t="s">
        <v>39</v>
      </c>
      <c r="U236" s="2" t="s">
        <v>39</v>
      </c>
      <c r="V236" s="2" t="s">
        <v>39</v>
      </c>
      <c r="W236" s="2" t="s">
        <v>39</v>
      </c>
      <c r="X236" s="2" t="s">
        <v>39</v>
      </c>
      <c r="Y236" s="2" t="s">
        <v>39</v>
      </c>
      <c r="Z236" s="2" t="s">
        <v>38</v>
      </c>
      <c r="AA236" s="2" t="s">
        <v>39</v>
      </c>
      <c r="AB236" s="2" t="s">
        <v>39</v>
      </c>
      <c r="AC236" s="2" t="s">
        <v>39</v>
      </c>
      <c r="AD236" s="2" t="s">
        <v>39</v>
      </c>
      <c r="AE236" s="2" t="s">
        <v>39</v>
      </c>
    </row>
    <row r="237" spans="1:31" ht="409.5">
      <c r="A237" s="2">
        <v>2766129</v>
      </c>
      <c r="B237" s="2">
        <f>HYPERLINK("https://platform.v2.vetology.net/cases/2766129/screening-report/1?type=pdf&amp;v=v6&amp;scorecard=1&amp;secret_key=BX%25IJ%24%2F65ieZ%29f6", 2766129)</f>
        <v>2766129</v>
      </c>
      <c r="C237" s="2">
        <f>HYPERLINK("https://platform.v2.vetology.net/report/v/final/"&amp;2766129, 2766129)</f>
        <v>2766129</v>
      </c>
      <c r="D237" s="2" t="s">
        <v>882</v>
      </c>
      <c r="E237" s="2" t="s">
        <v>883</v>
      </c>
      <c r="F237" s="2" t="s">
        <v>174</v>
      </c>
      <c r="G237" s="2" t="s">
        <v>170</v>
      </c>
      <c r="H237" s="2" t="s">
        <v>884</v>
      </c>
      <c r="I237" s="2" t="s">
        <v>36</v>
      </c>
      <c r="J237" s="2" t="s">
        <v>37</v>
      </c>
      <c r="K237" s="2" t="s">
        <v>38</v>
      </c>
      <c r="L237" s="2" t="s">
        <v>39</v>
      </c>
      <c r="M237" s="2" t="s">
        <v>38</v>
      </c>
      <c r="N237" s="2" t="s">
        <v>39</v>
      </c>
      <c r="O237" s="2" t="s">
        <v>38</v>
      </c>
      <c r="P237" s="2" t="s">
        <v>39</v>
      </c>
      <c r="Q237" s="2" t="s">
        <v>39</v>
      </c>
      <c r="R237" s="2" t="s">
        <v>39</v>
      </c>
      <c r="S237" s="2" t="s">
        <v>39</v>
      </c>
      <c r="T237" s="2" t="s">
        <v>39</v>
      </c>
      <c r="U237" s="2" t="s">
        <v>39</v>
      </c>
      <c r="V237" s="2" t="s">
        <v>39</v>
      </c>
      <c r="W237" s="2" t="s">
        <v>39</v>
      </c>
      <c r="X237" s="2" t="s">
        <v>39</v>
      </c>
      <c r="Y237" s="2" t="s">
        <v>39</v>
      </c>
      <c r="Z237" s="2" t="s">
        <v>39</v>
      </c>
      <c r="AA237" s="2" t="s">
        <v>39</v>
      </c>
      <c r="AB237" s="2" t="s">
        <v>39</v>
      </c>
      <c r="AC237" s="2" t="s">
        <v>38</v>
      </c>
      <c r="AD237" s="2" t="s">
        <v>38</v>
      </c>
      <c r="AE237" s="2" t="s">
        <v>39</v>
      </c>
    </row>
    <row r="238" spans="1:31" ht="409.5">
      <c r="A238" s="2">
        <v>2766000</v>
      </c>
      <c r="B238" s="2">
        <f>HYPERLINK("https://platform.v2.vetology.net/cases/2766000/screening-report/1?type=pdf&amp;v=v6&amp;scorecard=1&amp;secret_key=BX%25IJ%24%2F65ieZ%29f6", 2766000)</f>
        <v>2766000</v>
      </c>
      <c r="C238" s="2">
        <f>HYPERLINK("https://platform.v2.vetology.net/report/v/final/"&amp;2766000, 2766000)</f>
        <v>2766000</v>
      </c>
      <c r="D238" s="2" t="s">
        <v>885</v>
      </c>
      <c r="E238" s="2" t="s">
        <v>886</v>
      </c>
      <c r="F238" s="2" t="s">
        <v>887</v>
      </c>
      <c r="G238" s="2" t="s">
        <v>53</v>
      </c>
      <c r="H238" s="2" t="s">
        <v>888</v>
      </c>
      <c r="I238" s="2" t="s">
        <v>36</v>
      </c>
      <c r="J238" s="2" t="s">
        <v>37</v>
      </c>
      <c r="K238" s="2" t="s">
        <v>39</v>
      </c>
      <c r="L238" s="2" t="s">
        <v>39</v>
      </c>
      <c r="M238" s="2" t="s">
        <v>38</v>
      </c>
      <c r="N238" s="2" t="s">
        <v>38</v>
      </c>
      <c r="O238" s="2" t="s">
        <v>38</v>
      </c>
      <c r="P238" s="2" t="s">
        <v>39</v>
      </c>
      <c r="Q238" s="2" t="s">
        <v>39</v>
      </c>
      <c r="R238" s="2" t="s">
        <v>38</v>
      </c>
      <c r="S238" s="2" t="s">
        <v>39</v>
      </c>
      <c r="T238" s="2" t="s">
        <v>38</v>
      </c>
      <c r="U238" s="2" t="s">
        <v>39</v>
      </c>
      <c r="V238" s="2" t="s">
        <v>38</v>
      </c>
      <c r="W238" s="2" t="s">
        <v>38</v>
      </c>
      <c r="X238" s="2" t="s">
        <v>39</v>
      </c>
      <c r="Y238" s="2" t="s">
        <v>39</v>
      </c>
      <c r="Z238" s="2" t="s">
        <v>39</v>
      </c>
      <c r="AA238" s="2" t="s">
        <v>39</v>
      </c>
      <c r="AB238" s="2" t="s">
        <v>39</v>
      </c>
      <c r="AC238" s="2" t="s">
        <v>38</v>
      </c>
      <c r="AD238" s="2" t="s">
        <v>38</v>
      </c>
      <c r="AE238" s="2" t="s">
        <v>39</v>
      </c>
    </row>
    <row r="239" spans="1:31" ht="409.5">
      <c r="A239" s="2">
        <v>2765992</v>
      </c>
      <c r="B239" s="2">
        <f>HYPERLINK("https://platform.v2.vetology.net/cases/2765992/screening-report/1?type=pdf&amp;v=v6&amp;scorecard=1&amp;secret_key=BX%25IJ%24%2F65ieZ%29f6", 2765992)</f>
        <v>2765992</v>
      </c>
      <c r="C239" s="2">
        <f>HYPERLINK("https://platform.v2.vetology.net/report/v/final/"&amp;2765992, 2765992)</f>
        <v>2765992</v>
      </c>
      <c r="D239" s="2" t="s">
        <v>889</v>
      </c>
      <c r="E239" s="2" t="s">
        <v>890</v>
      </c>
      <c r="F239" s="2"/>
      <c r="G239" s="2" t="s">
        <v>81</v>
      </c>
      <c r="H239" s="2" t="s">
        <v>891</v>
      </c>
      <c r="I239" s="2" t="s">
        <v>73</v>
      </c>
      <c r="J239" s="2" t="s">
        <v>74</v>
      </c>
      <c r="K239" s="2" t="s">
        <v>38</v>
      </c>
      <c r="L239" s="2" t="s">
        <v>38</v>
      </c>
      <c r="M239" s="2" t="s">
        <v>38</v>
      </c>
      <c r="N239" s="2" t="s">
        <v>38</v>
      </c>
      <c r="O239" s="2" t="s">
        <v>38</v>
      </c>
      <c r="P239" s="2" t="s">
        <v>38</v>
      </c>
      <c r="Q239" s="2" t="s">
        <v>38</v>
      </c>
      <c r="R239" s="2" t="s">
        <v>39</v>
      </c>
      <c r="S239" s="2" t="s">
        <v>38</v>
      </c>
      <c r="T239" s="2" t="s">
        <v>38</v>
      </c>
      <c r="U239" s="2" t="s">
        <v>39</v>
      </c>
      <c r="V239" s="2" t="s">
        <v>38</v>
      </c>
      <c r="W239" s="2" t="s">
        <v>38</v>
      </c>
      <c r="X239" s="2" t="s">
        <v>38</v>
      </c>
      <c r="Y239" s="2" t="s">
        <v>38</v>
      </c>
      <c r="Z239" s="2" t="s">
        <v>38</v>
      </c>
      <c r="AA239" s="2" t="s">
        <v>38</v>
      </c>
      <c r="AB239" s="2" t="s">
        <v>38</v>
      </c>
      <c r="AC239" s="2" t="s">
        <v>38</v>
      </c>
      <c r="AD239" s="2" t="s">
        <v>39</v>
      </c>
      <c r="AE239" s="2" t="s">
        <v>40</v>
      </c>
    </row>
    <row r="240" spans="1:31" ht="409.5">
      <c r="A240" s="2">
        <v>2765991</v>
      </c>
      <c r="B240" s="2">
        <f>HYPERLINK("https://platform.v2.vetology.net/cases/2765991/screening-report/1?type=pdf&amp;v=v6&amp;scorecard=1&amp;secret_key=BX%25IJ%24%2F65ieZ%29f6", 2765991)</f>
        <v>2765991</v>
      </c>
      <c r="C240" s="2">
        <f>HYPERLINK("https://platform.v2.vetology.net/report/v/final/"&amp;2765991, 2765991)</f>
        <v>2765991</v>
      </c>
      <c r="D240" s="2" t="s">
        <v>892</v>
      </c>
      <c r="E240" s="2" t="s">
        <v>893</v>
      </c>
      <c r="F240" s="2" t="s">
        <v>894</v>
      </c>
      <c r="G240" s="2" t="s">
        <v>53</v>
      </c>
      <c r="H240" s="2" t="s">
        <v>895</v>
      </c>
      <c r="I240" s="2" t="s">
        <v>36</v>
      </c>
      <c r="J240" s="2" t="s">
        <v>37</v>
      </c>
      <c r="K240" s="2" t="s">
        <v>39</v>
      </c>
      <c r="L240" s="2" t="s">
        <v>38</v>
      </c>
      <c r="M240" s="2" t="s">
        <v>38</v>
      </c>
      <c r="N240" s="2" t="s">
        <v>38</v>
      </c>
      <c r="O240" s="2" t="s">
        <v>38</v>
      </c>
      <c r="P240" s="2" t="s">
        <v>39</v>
      </c>
      <c r="Q240" s="2" t="s">
        <v>39</v>
      </c>
      <c r="R240" s="2" t="s">
        <v>38</v>
      </c>
      <c r="S240" s="2" t="s">
        <v>38</v>
      </c>
      <c r="T240" s="2" t="s">
        <v>38</v>
      </c>
      <c r="U240" s="2" t="s">
        <v>39</v>
      </c>
      <c r="V240" s="2" t="s">
        <v>39</v>
      </c>
      <c r="W240" s="2" t="s">
        <v>38</v>
      </c>
      <c r="X240" s="2" t="s">
        <v>39</v>
      </c>
      <c r="Y240" s="2" t="s">
        <v>38</v>
      </c>
      <c r="Z240" s="2" t="s">
        <v>38</v>
      </c>
      <c r="AA240" s="2" t="s">
        <v>38</v>
      </c>
      <c r="AB240" s="2" t="s">
        <v>39</v>
      </c>
      <c r="AC240" s="2" t="s">
        <v>38</v>
      </c>
      <c r="AD240" s="2" t="s">
        <v>38</v>
      </c>
      <c r="AE240" s="2" t="s">
        <v>39</v>
      </c>
    </row>
    <row r="241" spans="1:31" ht="409.5">
      <c r="A241" s="2">
        <v>2765990</v>
      </c>
      <c r="B241" s="2">
        <f>HYPERLINK("https://platform.v2.vetology.net/cases/2765990/screening-report/1?type=pdf&amp;v=v6&amp;scorecard=1&amp;secret_key=BX%25IJ%24%2F65ieZ%29f6", 2765990)</f>
        <v>2765990</v>
      </c>
      <c r="C241" s="2">
        <f>HYPERLINK("https://platform.v2.vetology.net/report/v/final/"&amp;2765990, 2765990)</f>
        <v>2765990</v>
      </c>
      <c r="D241" s="2" t="s">
        <v>896</v>
      </c>
      <c r="E241" s="2" t="s">
        <v>897</v>
      </c>
      <c r="F241" s="2"/>
      <c r="G241" s="2" t="s">
        <v>81</v>
      </c>
      <c r="H241" s="2" t="s">
        <v>898</v>
      </c>
      <c r="I241" s="2" t="s">
        <v>73</v>
      </c>
      <c r="J241" s="2" t="s">
        <v>74</v>
      </c>
      <c r="K241" s="2" t="s">
        <v>38</v>
      </c>
      <c r="L241" s="2" t="s">
        <v>39</v>
      </c>
      <c r="M241" s="2" t="s">
        <v>38</v>
      </c>
      <c r="N241" s="2" t="s">
        <v>38</v>
      </c>
      <c r="O241" s="2" t="s">
        <v>38</v>
      </c>
      <c r="P241" s="2" t="s">
        <v>38</v>
      </c>
      <c r="Q241" s="2" t="s">
        <v>38</v>
      </c>
      <c r="R241" s="2" t="s">
        <v>39</v>
      </c>
      <c r="S241" s="2" t="s">
        <v>38</v>
      </c>
      <c r="T241" s="2" t="s">
        <v>38</v>
      </c>
      <c r="U241" s="2" t="s">
        <v>39</v>
      </c>
      <c r="V241" s="2" t="s">
        <v>38</v>
      </c>
      <c r="W241" s="2" t="s">
        <v>38</v>
      </c>
      <c r="X241" s="2" t="s">
        <v>38</v>
      </c>
      <c r="Y241" s="2" t="s">
        <v>39</v>
      </c>
      <c r="Z241" s="2" t="s">
        <v>38</v>
      </c>
      <c r="AA241" s="2" t="s">
        <v>38</v>
      </c>
      <c r="AB241" s="2" t="s">
        <v>38</v>
      </c>
      <c r="AC241" s="2" t="s">
        <v>38</v>
      </c>
      <c r="AD241" s="2" t="s">
        <v>39</v>
      </c>
      <c r="AE241" s="2" t="s">
        <v>40</v>
      </c>
    </row>
    <row r="242" spans="1:31" ht="409.5">
      <c r="A242" s="2">
        <v>2765917</v>
      </c>
      <c r="B242" s="2">
        <f>HYPERLINK("https://platform.v2.vetology.net/cases/2765917/screening-report/1?type=pdf&amp;v=v6&amp;scorecard=1&amp;secret_key=BX%25IJ%24%2F65ieZ%29f6", 2765917)</f>
        <v>2765917</v>
      </c>
      <c r="C242" s="2">
        <f>HYPERLINK("https://platform.v2.vetology.net/report/v/final/"&amp;2765917, 2765917)</f>
        <v>2765917</v>
      </c>
      <c r="D242" s="2" t="s">
        <v>899</v>
      </c>
      <c r="E242" s="2" t="s">
        <v>900</v>
      </c>
      <c r="F242" s="2" t="s">
        <v>901</v>
      </c>
      <c r="G242" s="2" t="s">
        <v>251</v>
      </c>
      <c r="H242" s="2" t="s">
        <v>902</v>
      </c>
      <c r="I242" s="2" t="s">
        <v>73</v>
      </c>
      <c r="J242" s="2" t="s">
        <v>74</v>
      </c>
      <c r="K242" s="2" t="s">
        <v>38</v>
      </c>
      <c r="L242" s="2" t="s">
        <v>38</v>
      </c>
      <c r="M242" s="2" t="s">
        <v>38</v>
      </c>
      <c r="N242" s="2" t="s">
        <v>38</v>
      </c>
      <c r="O242" s="2" t="s">
        <v>38</v>
      </c>
      <c r="P242" s="2" t="s">
        <v>38</v>
      </c>
      <c r="Q242" s="2" t="s">
        <v>38</v>
      </c>
      <c r="R242" s="2" t="s">
        <v>38</v>
      </c>
      <c r="S242" s="2" t="s">
        <v>38</v>
      </c>
      <c r="T242" s="2" t="s">
        <v>38</v>
      </c>
      <c r="U242" s="2" t="s">
        <v>38</v>
      </c>
      <c r="V242" s="2" t="s">
        <v>38</v>
      </c>
      <c r="W242" s="2" t="s">
        <v>38</v>
      </c>
      <c r="X242" s="2" t="s">
        <v>38</v>
      </c>
      <c r="Y242" s="2" t="s">
        <v>38</v>
      </c>
      <c r="Z242" s="2" t="s">
        <v>38</v>
      </c>
      <c r="AA242" s="2" t="s">
        <v>38</v>
      </c>
      <c r="AB242" s="2" t="s">
        <v>38</v>
      </c>
      <c r="AC242" s="2" t="s">
        <v>38</v>
      </c>
      <c r="AD242" s="2" t="s">
        <v>39</v>
      </c>
      <c r="AE242" s="2" t="s">
        <v>40</v>
      </c>
    </row>
    <row r="243" spans="1:31" ht="409.5">
      <c r="A243" s="2">
        <v>2765904</v>
      </c>
      <c r="B243" s="2">
        <f>HYPERLINK("https://platform.v2.vetology.net/cases/2765904/screening-report/1?type=pdf&amp;v=v6&amp;scorecard=1&amp;secret_key=BX%25IJ%24%2F65ieZ%29f6", 2765904)</f>
        <v>2765904</v>
      </c>
      <c r="C243" s="2">
        <f>HYPERLINK("https://platform.v2.vetology.net/report/v/final/"&amp;2765904, 2765904)</f>
        <v>2765904</v>
      </c>
      <c r="D243" s="2" t="s">
        <v>903</v>
      </c>
      <c r="E243" s="2" t="s">
        <v>904</v>
      </c>
      <c r="F243" s="2" t="s">
        <v>905</v>
      </c>
      <c r="G243" s="2" t="s">
        <v>111</v>
      </c>
      <c r="H243" s="2" t="s">
        <v>273</v>
      </c>
      <c r="I243" s="2" t="s">
        <v>46</v>
      </c>
      <c r="J243" s="2"/>
      <c r="K243" s="2" t="s">
        <v>39</v>
      </c>
      <c r="L243" s="2" t="s">
        <v>39</v>
      </c>
      <c r="M243" s="2" t="s">
        <v>39</v>
      </c>
      <c r="N243" s="2" t="s">
        <v>39</v>
      </c>
      <c r="O243" s="2" t="s">
        <v>38</v>
      </c>
      <c r="P243" s="2" t="s">
        <v>39</v>
      </c>
      <c r="Q243" s="2" t="s">
        <v>39</v>
      </c>
      <c r="R243" s="2" t="s">
        <v>39</v>
      </c>
      <c r="S243" s="2" t="s">
        <v>38</v>
      </c>
      <c r="T243" s="2" t="s">
        <v>39</v>
      </c>
      <c r="U243" s="2" t="s">
        <v>39</v>
      </c>
      <c r="V243" s="2" t="s">
        <v>39</v>
      </c>
      <c r="W243" s="2" t="s">
        <v>39</v>
      </c>
      <c r="X243" s="2" t="s">
        <v>39</v>
      </c>
      <c r="Y243" s="2" t="s">
        <v>39</v>
      </c>
      <c r="Z243" s="2" t="s">
        <v>38</v>
      </c>
      <c r="AA243" s="2" t="s">
        <v>39</v>
      </c>
      <c r="AB243" s="2" t="s">
        <v>39</v>
      </c>
      <c r="AC243" s="2" t="s">
        <v>38</v>
      </c>
      <c r="AD243" s="2" t="s">
        <v>38</v>
      </c>
      <c r="AE243" s="2" t="s">
        <v>39</v>
      </c>
    </row>
    <row r="244" spans="1:31" ht="409.5">
      <c r="A244" s="2">
        <v>2765866</v>
      </c>
      <c r="B244" s="2">
        <f>HYPERLINK("https://platform.v2.vetology.net/cases/2765866/screening-report/1?type=pdf&amp;v=v6&amp;scorecard=1&amp;secret_key=BX%25IJ%24%2F65ieZ%29f6", 2765866)</f>
        <v>2765866</v>
      </c>
      <c r="C244" s="2">
        <f>HYPERLINK("https://platform.v2.vetology.net/report/v/final/"&amp;2765866, 2765866)</f>
        <v>2765866</v>
      </c>
      <c r="D244" s="2" t="s">
        <v>906</v>
      </c>
      <c r="E244" s="2" t="s">
        <v>907</v>
      </c>
      <c r="F244" s="2" t="s">
        <v>908</v>
      </c>
      <c r="G244" s="2" t="s">
        <v>556</v>
      </c>
      <c r="H244" s="2" t="s">
        <v>69</v>
      </c>
      <c r="I244" s="2" t="s">
        <v>46</v>
      </c>
      <c r="J244" s="2"/>
      <c r="K244" s="2" t="s">
        <v>39</v>
      </c>
      <c r="L244" s="2" t="s">
        <v>39</v>
      </c>
      <c r="M244" s="2" t="s">
        <v>39</v>
      </c>
      <c r="N244" s="2" t="s">
        <v>39</v>
      </c>
      <c r="O244" s="2" t="s">
        <v>38</v>
      </c>
      <c r="P244" s="2" t="s">
        <v>39</v>
      </c>
      <c r="Q244" s="2" t="s">
        <v>39</v>
      </c>
      <c r="R244" s="2" t="s">
        <v>39</v>
      </c>
      <c r="S244" s="2" t="s">
        <v>39</v>
      </c>
      <c r="T244" s="2" t="s">
        <v>39</v>
      </c>
      <c r="U244" s="2" t="s">
        <v>39</v>
      </c>
      <c r="V244" s="2" t="s">
        <v>39</v>
      </c>
      <c r="W244" s="2" t="s">
        <v>38</v>
      </c>
      <c r="X244" s="2" t="s">
        <v>38</v>
      </c>
      <c r="Y244" s="2" t="s">
        <v>39</v>
      </c>
      <c r="Z244" s="2" t="s">
        <v>39</v>
      </c>
      <c r="AA244" s="2" t="s">
        <v>39</v>
      </c>
      <c r="AB244" s="2" t="s">
        <v>38</v>
      </c>
      <c r="AC244" s="2" t="s">
        <v>39</v>
      </c>
      <c r="AD244" s="2" t="s">
        <v>38</v>
      </c>
      <c r="AE244" s="2"/>
    </row>
    <row r="245" spans="1:31" ht="409.5">
      <c r="A245" s="2">
        <v>2765859</v>
      </c>
      <c r="B245" s="2">
        <f>HYPERLINK("https://platform.v2.vetology.net/cases/2765859/screening-report/1?type=pdf&amp;v=v6&amp;scorecard=1&amp;secret_key=BX%25IJ%24%2F65ieZ%29f6", 2765859)</f>
        <v>2765859</v>
      </c>
      <c r="C245" s="2">
        <f>HYPERLINK("https://platform.v2.vetology.net/report/v/final/"&amp;2765859, 2765859)</f>
        <v>2765859</v>
      </c>
      <c r="D245" s="2" t="s">
        <v>909</v>
      </c>
      <c r="E245" s="2" t="s">
        <v>910</v>
      </c>
      <c r="F245" s="2" t="s">
        <v>43</v>
      </c>
      <c r="G245" s="2" t="s">
        <v>44</v>
      </c>
      <c r="H245" s="2" t="s">
        <v>911</v>
      </c>
      <c r="I245" s="2" t="s">
        <v>73</v>
      </c>
      <c r="J245" s="2" t="s">
        <v>74</v>
      </c>
      <c r="K245" s="2" t="s">
        <v>38</v>
      </c>
      <c r="L245" s="2" t="s">
        <v>38</v>
      </c>
      <c r="M245" s="2" t="s">
        <v>38</v>
      </c>
      <c r="N245" s="2" t="s">
        <v>38</v>
      </c>
      <c r="O245" s="2" t="s">
        <v>38</v>
      </c>
      <c r="P245" s="2" t="s">
        <v>38</v>
      </c>
      <c r="Q245" s="2" t="s">
        <v>38</v>
      </c>
      <c r="R245" s="2" t="s">
        <v>38</v>
      </c>
      <c r="S245" s="2" t="s">
        <v>39</v>
      </c>
      <c r="T245" s="2" t="s">
        <v>38</v>
      </c>
      <c r="U245" s="2" t="s">
        <v>38</v>
      </c>
      <c r="V245" s="2" t="s">
        <v>38</v>
      </c>
      <c r="W245" s="2" t="s">
        <v>38</v>
      </c>
      <c r="X245" s="2" t="s">
        <v>38</v>
      </c>
      <c r="Y245" s="2" t="s">
        <v>39</v>
      </c>
      <c r="Z245" s="2" t="s">
        <v>38</v>
      </c>
      <c r="AA245" s="2" t="s">
        <v>38</v>
      </c>
      <c r="AB245" s="2" t="s">
        <v>38</v>
      </c>
      <c r="AC245" s="2" t="s">
        <v>38</v>
      </c>
      <c r="AD245" s="2" t="s">
        <v>38</v>
      </c>
      <c r="AE245" s="2" t="s">
        <v>40</v>
      </c>
    </row>
    <row r="246" spans="1:31" ht="409.5">
      <c r="A246" s="2">
        <v>2765773</v>
      </c>
      <c r="B246" s="2">
        <f>HYPERLINK("https://platform.v2.vetology.net/cases/2765773/screening-report/1?type=pdf&amp;v=v6&amp;scorecard=1&amp;secret_key=BX%25IJ%24%2F65ieZ%29f6", 2765773)</f>
        <v>2765773</v>
      </c>
      <c r="C246" s="2">
        <f>HYPERLINK("https://platform.v2.vetology.net/report/v/final/"&amp;2765773, 2765773)</f>
        <v>2765773</v>
      </c>
      <c r="D246" s="2" t="s">
        <v>912</v>
      </c>
      <c r="E246" s="2" t="s">
        <v>913</v>
      </c>
      <c r="F246" s="2" t="s">
        <v>914</v>
      </c>
      <c r="G246" s="2" t="s">
        <v>170</v>
      </c>
      <c r="H246" s="2" t="s">
        <v>69</v>
      </c>
      <c r="I246" s="2" t="s">
        <v>46</v>
      </c>
      <c r="J246" s="2"/>
      <c r="K246" s="2" t="s">
        <v>39</v>
      </c>
      <c r="L246" s="2" t="s">
        <v>39</v>
      </c>
      <c r="M246" s="2" t="s">
        <v>39</v>
      </c>
      <c r="N246" s="2" t="s">
        <v>39</v>
      </c>
      <c r="O246" s="2" t="s">
        <v>39</v>
      </c>
      <c r="P246" s="2" t="s">
        <v>39</v>
      </c>
      <c r="Q246" s="2" t="s">
        <v>39</v>
      </c>
      <c r="R246" s="2" t="s">
        <v>39</v>
      </c>
      <c r="S246" s="2" t="s">
        <v>39</v>
      </c>
      <c r="T246" s="2" t="s">
        <v>39</v>
      </c>
      <c r="U246" s="2" t="s">
        <v>39</v>
      </c>
      <c r="V246" s="2" t="s">
        <v>39</v>
      </c>
      <c r="W246" s="2" t="s">
        <v>39</v>
      </c>
      <c r="X246" s="2" t="s">
        <v>39</v>
      </c>
      <c r="Y246" s="2" t="s">
        <v>39</v>
      </c>
      <c r="Z246" s="2" t="s">
        <v>39</v>
      </c>
      <c r="AA246" s="2" t="s">
        <v>39</v>
      </c>
      <c r="AB246" s="2" t="s">
        <v>39</v>
      </c>
      <c r="AC246" s="2" t="s">
        <v>38</v>
      </c>
      <c r="AD246" s="2" t="s">
        <v>39</v>
      </c>
      <c r="AE246" s="2" t="s">
        <v>40</v>
      </c>
    </row>
    <row r="247" spans="1:31" ht="409.5">
      <c r="A247" s="2">
        <v>2765760</v>
      </c>
      <c r="B247" s="2">
        <f>HYPERLINK("https://platform.v2.vetology.net/cases/2765760/screening-report/1?type=pdf&amp;v=v6&amp;scorecard=1&amp;secret_key=BX%25IJ%24%2F65ieZ%29f6", 2765760)</f>
        <v>2765760</v>
      </c>
      <c r="C247" s="2">
        <f>HYPERLINK("https://platform.v2.vetology.net/report/v/final/"&amp;2765760, 2765760)</f>
        <v>2765760</v>
      </c>
      <c r="D247" s="2" t="s">
        <v>915</v>
      </c>
      <c r="E247" s="2" t="s">
        <v>916</v>
      </c>
      <c r="F247" s="2" t="s">
        <v>917</v>
      </c>
      <c r="G247" s="2" t="s">
        <v>53</v>
      </c>
      <c r="H247" s="2" t="s">
        <v>45</v>
      </c>
      <c r="I247" s="2" t="s">
        <v>46</v>
      </c>
      <c r="J247" s="2"/>
      <c r="K247" s="2" t="s">
        <v>39</v>
      </c>
      <c r="L247" s="2" t="s">
        <v>39</v>
      </c>
      <c r="M247" s="2" t="s">
        <v>39</v>
      </c>
      <c r="N247" s="2" t="s">
        <v>39</v>
      </c>
      <c r="O247" s="2" t="s">
        <v>39</v>
      </c>
      <c r="P247" s="2" t="s">
        <v>39</v>
      </c>
      <c r="Q247" s="2" t="s">
        <v>39</v>
      </c>
      <c r="R247" s="2" t="s">
        <v>38</v>
      </c>
      <c r="S247" s="2" t="s">
        <v>39</v>
      </c>
      <c r="T247" s="2" t="s">
        <v>39</v>
      </c>
      <c r="U247" s="2" t="s">
        <v>39</v>
      </c>
      <c r="V247" s="2" t="s">
        <v>38</v>
      </c>
      <c r="W247" s="2" t="s">
        <v>38</v>
      </c>
      <c r="X247" s="2" t="s">
        <v>39</v>
      </c>
      <c r="Y247" s="2" t="s">
        <v>39</v>
      </c>
      <c r="Z247" s="2" t="s">
        <v>39</v>
      </c>
      <c r="AA247" s="2" t="s">
        <v>39</v>
      </c>
      <c r="AB247" s="2" t="s">
        <v>39</v>
      </c>
      <c r="AC247" s="2" t="s">
        <v>38</v>
      </c>
      <c r="AD247" s="2" t="s">
        <v>38</v>
      </c>
      <c r="AE247" s="2" t="s">
        <v>39</v>
      </c>
    </row>
    <row r="248" spans="1:31" ht="409.5">
      <c r="A248" s="2">
        <v>2765747</v>
      </c>
      <c r="B248" s="2">
        <f>HYPERLINK("https://platform.v2.vetology.net/cases/2765747/screening-report/1?type=pdf&amp;v=v6&amp;scorecard=1&amp;secret_key=BX%25IJ%24%2F65ieZ%29f6", 2765747)</f>
        <v>2765747</v>
      </c>
      <c r="C248" s="2">
        <f>HYPERLINK("https://platform.v2.vetology.net/report/v/final/"&amp;2765747, 2765747)</f>
        <v>2765747</v>
      </c>
      <c r="D248" s="2" t="s">
        <v>918</v>
      </c>
      <c r="E248" s="2" t="s">
        <v>919</v>
      </c>
      <c r="F248" s="2" t="s">
        <v>920</v>
      </c>
      <c r="G248" s="2" t="s">
        <v>170</v>
      </c>
      <c r="H248" s="2" t="s">
        <v>93</v>
      </c>
      <c r="I248" s="2" t="s">
        <v>59</v>
      </c>
      <c r="J248" s="2" t="s">
        <v>37</v>
      </c>
      <c r="K248" s="2" t="s">
        <v>38</v>
      </c>
      <c r="L248" s="2" t="s">
        <v>39</v>
      </c>
      <c r="M248" s="2" t="s">
        <v>39</v>
      </c>
      <c r="N248" s="2" t="s">
        <v>38</v>
      </c>
      <c r="O248" s="2" t="s">
        <v>39</v>
      </c>
      <c r="P248" s="2" t="s">
        <v>39</v>
      </c>
      <c r="Q248" s="2" t="s">
        <v>39</v>
      </c>
      <c r="R248" s="2" t="s">
        <v>39</v>
      </c>
      <c r="S248" s="2" t="s">
        <v>39</v>
      </c>
      <c r="T248" s="2" t="s">
        <v>39</v>
      </c>
      <c r="U248" s="2" t="s">
        <v>38</v>
      </c>
      <c r="V248" s="2" t="s">
        <v>38</v>
      </c>
      <c r="W248" s="2" t="s">
        <v>39</v>
      </c>
      <c r="X248" s="2" t="s">
        <v>39</v>
      </c>
      <c r="Y248" s="2" t="s">
        <v>39</v>
      </c>
      <c r="Z248" s="2" t="s">
        <v>39</v>
      </c>
      <c r="AA248" s="2" t="s">
        <v>39</v>
      </c>
      <c r="AB248" s="2" t="s">
        <v>39</v>
      </c>
      <c r="AC248" s="2" t="s">
        <v>39</v>
      </c>
      <c r="AD248" s="2" t="s">
        <v>39</v>
      </c>
      <c r="AE248" s="2" t="s">
        <v>40</v>
      </c>
    </row>
    <row r="249" spans="1:31" ht="409.5">
      <c r="A249" s="2">
        <v>2765737</v>
      </c>
      <c r="B249" s="2">
        <f>HYPERLINK("https://platform.v2.vetology.net/cases/2765737/screening-report/1?type=pdf&amp;v=v6&amp;scorecard=1&amp;secret_key=BX%25IJ%24%2F65ieZ%29f6", 2765737)</f>
        <v>2765737</v>
      </c>
      <c r="C249" s="2">
        <f>HYPERLINK("https://platform.v2.vetology.net/report/v/final/"&amp;2765737, 2765737)</f>
        <v>2765737</v>
      </c>
      <c r="D249" s="2" t="s">
        <v>921</v>
      </c>
      <c r="E249" s="2" t="s">
        <v>922</v>
      </c>
      <c r="F249" s="2" t="s">
        <v>923</v>
      </c>
      <c r="G249" s="2" t="s">
        <v>170</v>
      </c>
      <c r="H249" s="2" t="s">
        <v>924</v>
      </c>
      <c r="I249" s="2" t="s">
        <v>36</v>
      </c>
      <c r="J249" s="2" t="s">
        <v>37</v>
      </c>
      <c r="K249" s="2" t="s">
        <v>38</v>
      </c>
      <c r="L249" s="2" t="s">
        <v>38</v>
      </c>
      <c r="M249" s="2" t="s">
        <v>38</v>
      </c>
      <c r="N249" s="2" t="s">
        <v>38</v>
      </c>
      <c r="O249" s="2" t="s">
        <v>38</v>
      </c>
      <c r="P249" s="2" t="s">
        <v>38</v>
      </c>
      <c r="Q249" s="2" t="s">
        <v>39</v>
      </c>
      <c r="R249" s="2" t="s">
        <v>38</v>
      </c>
      <c r="S249" s="2" t="s">
        <v>38</v>
      </c>
      <c r="T249" s="2" t="s">
        <v>38</v>
      </c>
      <c r="U249" s="2" t="s">
        <v>38</v>
      </c>
      <c r="V249" s="2" t="s">
        <v>38</v>
      </c>
      <c r="W249" s="2" t="s">
        <v>38</v>
      </c>
      <c r="X249" s="2" t="s">
        <v>38</v>
      </c>
      <c r="Y249" s="2" t="s">
        <v>39</v>
      </c>
      <c r="Z249" s="2" t="s">
        <v>38</v>
      </c>
      <c r="AA249" s="2" t="s">
        <v>38</v>
      </c>
      <c r="AB249" s="2" t="s">
        <v>39</v>
      </c>
      <c r="AC249" s="2" t="s">
        <v>38</v>
      </c>
      <c r="AD249" s="2" t="s">
        <v>38</v>
      </c>
      <c r="AE249" s="2" t="s">
        <v>40</v>
      </c>
    </row>
    <row r="250" spans="1:31" ht="409.5">
      <c r="A250" s="2">
        <v>2765715</v>
      </c>
      <c r="B250" s="2">
        <f>HYPERLINK("https://platform.v2.vetology.net/cases/2765715/screening-report/1?type=pdf&amp;v=v6&amp;scorecard=1&amp;secret_key=BX%25IJ%24%2F65ieZ%29f6", 2765715)</f>
        <v>2765715</v>
      </c>
      <c r="C250" s="2">
        <f>HYPERLINK("https://platform.v2.vetology.net/report/v/final/"&amp;2765715, 2765715)</f>
        <v>2765715</v>
      </c>
      <c r="D250" s="2" t="s">
        <v>925</v>
      </c>
      <c r="E250" s="2" t="s">
        <v>926</v>
      </c>
      <c r="F250" s="2" t="s">
        <v>927</v>
      </c>
      <c r="G250" s="2" t="s">
        <v>127</v>
      </c>
      <c r="H250" s="2" t="s">
        <v>928</v>
      </c>
      <c r="I250" s="2" t="s">
        <v>36</v>
      </c>
      <c r="J250" s="2" t="s">
        <v>37</v>
      </c>
      <c r="K250" s="2" t="s">
        <v>38</v>
      </c>
      <c r="L250" s="2" t="s">
        <v>38</v>
      </c>
      <c r="M250" s="2" t="s">
        <v>38</v>
      </c>
      <c r="N250" s="2" t="s">
        <v>38</v>
      </c>
      <c r="O250" s="2" t="s">
        <v>38</v>
      </c>
      <c r="P250" s="2" t="s">
        <v>39</v>
      </c>
      <c r="Q250" s="2" t="s">
        <v>39</v>
      </c>
      <c r="R250" s="2" t="s">
        <v>38</v>
      </c>
      <c r="S250" s="2" t="s">
        <v>38</v>
      </c>
      <c r="T250" s="2" t="s">
        <v>39</v>
      </c>
      <c r="U250" s="2" t="s">
        <v>38</v>
      </c>
      <c r="V250" s="2" t="s">
        <v>38</v>
      </c>
      <c r="W250" s="2" t="s">
        <v>38</v>
      </c>
      <c r="X250" s="2" t="s">
        <v>39</v>
      </c>
      <c r="Y250" s="2" t="s">
        <v>39</v>
      </c>
      <c r="Z250" s="2" t="s">
        <v>38</v>
      </c>
      <c r="AA250" s="2" t="s">
        <v>38</v>
      </c>
      <c r="AB250" s="2" t="s">
        <v>39</v>
      </c>
      <c r="AC250" s="2" t="s">
        <v>38</v>
      </c>
      <c r="AD250" s="2" t="s">
        <v>38</v>
      </c>
      <c r="AE250" s="2" t="s">
        <v>39</v>
      </c>
    </row>
    <row r="251" spans="1:31" ht="409.5">
      <c r="A251" s="2">
        <v>2765647</v>
      </c>
      <c r="B251" s="2">
        <f>HYPERLINK("https://platform.v2.vetology.net/cases/2765647/screening-report/1?type=pdf&amp;v=v6&amp;scorecard=1&amp;secret_key=BX%25IJ%24%2F65ieZ%29f6", 2765647)</f>
        <v>2765647</v>
      </c>
      <c r="C251" s="2">
        <f>HYPERLINK("https://platform.v2.vetology.net/report/v/final/"&amp;2765647, 2765647)</f>
        <v>2765647</v>
      </c>
      <c r="D251" s="2" t="s">
        <v>929</v>
      </c>
      <c r="E251" s="2" t="s">
        <v>930</v>
      </c>
      <c r="F251" s="2" t="s">
        <v>931</v>
      </c>
      <c r="G251" s="2" t="s">
        <v>53</v>
      </c>
      <c r="H251" s="2" t="s">
        <v>222</v>
      </c>
      <c r="I251" s="2" t="s">
        <v>36</v>
      </c>
      <c r="J251" s="2" t="s">
        <v>37</v>
      </c>
      <c r="K251" s="2" t="s">
        <v>39</v>
      </c>
      <c r="L251" s="2" t="s">
        <v>39</v>
      </c>
      <c r="M251" s="2" t="s">
        <v>38</v>
      </c>
      <c r="N251" s="2" t="s">
        <v>38</v>
      </c>
      <c r="O251" s="2" t="s">
        <v>38</v>
      </c>
      <c r="P251" s="2" t="s">
        <v>39</v>
      </c>
      <c r="Q251" s="2" t="s">
        <v>39</v>
      </c>
      <c r="R251" s="2" t="s">
        <v>38</v>
      </c>
      <c r="S251" s="2" t="s">
        <v>38</v>
      </c>
      <c r="T251" s="2" t="s">
        <v>39</v>
      </c>
      <c r="U251" s="2" t="s">
        <v>39</v>
      </c>
      <c r="V251" s="2" t="s">
        <v>39</v>
      </c>
      <c r="W251" s="2" t="s">
        <v>38</v>
      </c>
      <c r="X251" s="2" t="s">
        <v>39</v>
      </c>
      <c r="Y251" s="2" t="s">
        <v>39</v>
      </c>
      <c r="Z251" s="2" t="s">
        <v>38</v>
      </c>
      <c r="AA251" s="2" t="s">
        <v>39</v>
      </c>
      <c r="AB251" s="2" t="s">
        <v>39</v>
      </c>
      <c r="AC251" s="2" t="s">
        <v>38</v>
      </c>
      <c r="AD251" s="2" t="s">
        <v>39</v>
      </c>
      <c r="AE251" s="2" t="s">
        <v>39</v>
      </c>
    </row>
    <row r="252" spans="1:31" ht="409.5">
      <c r="A252" s="2">
        <v>2765589</v>
      </c>
      <c r="B252" s="2">
        <f>HYPERLINK("https://platform.v2.vetology.net/cases/2765589/screening-report/1?type=pdf&amp;v=v6&amp;scorecard=1&amp;secret_key=BX%25IJ%24%2F65ieZ%29f6", 2765589)</f>
        <v>2765589</v>
      </c>
      <c r="C252" s="2">
        <f>HYPERLINK("https://platform.v2.vetology.net/report/v/final/"&amp;2765589, 2765589)</f>
        <v>2765589</v>
      </c>
      <c r="D252" s="2" t="s">
        <v>932</v>
      </c>
      <c r="E252" s="2" t="s">
        <v>933</v>
      </c>
      <c r="F252" s="2" t="s">
        <v>43</v>
      </c>
      <c r="G252" s="2" t="s">
        <v>44</v>
      </c>
      <c r="H252" s="2" t="s">
        <v>934</v>
      </c>
      <c r="I252" s="2" t="s">
        <v>73</v>
      </c>
      <c r="J252" s="2" t="s">
        <v>74</v>
      </c>
      <c r="K252" s="2" t="s">
        <v>38</v>
      </c>
      <c r="L252" s="2" t="s">
        <v>38</v>
      </c>
      <c r="M252" s="2" t="s">
        <v>38</v>
      </c>
      <c r="N252" s="2" t="s">
        <v>38</v>
      </c>
      <c r="O252" s="2" t="s">
        <v>38</v>
      </c>
      <c r="P252" s="2" t="s">
        <v>39</v>
      </c>
      <c r="Q252" s="2" t="s">
        <v>38</v>
      </c>
      <c r="R252" s="2" t="s">
        <v>38</v>
      </c>
      <c r="S252" s="2" t="s">
        <v>38</v>
      </c>
      <c r="T252" s="2" t="s">
        <v>38</v>
      </c>
      <c r="U252" s="2" t="s">
        <v>39</v>
      </c>
      <c r="V252" s="2" t="s">
        <v>38</v>
      </c>
      <c r="W252" s="2" t="s">
        <v>38</v>
      </c>
      <c r="X252" s="2" t="s">
        <v>39</v>
      </c>
      <c r="Y252" s="2" t="s">
        <v>39</v>
      </c>
      <c r="Z252" s="2" t="s">
        <v>38</v>
      </c>
      <c r="AA252" s="2" t="s">
        <v>38</v>
      </c>
      <c r="AB252" s="2" t="s">
        <v>39</v>
      </c>
      <c r="AC252" s="2" t="s">
        <v>38</v>
      </c>
      <c r="AD252" s="2" t="s">
        <v>38</v>
      </c>
      <c r="AE252" s="2" t="s">
        <v>40</v>
      </c>
    </row>
    <row r="253" spans="1:31" ht="409.5">
      <c r="A253" s="2">
        <v>2765546</v>
      </c>
      <c r="B253" s="2">
        <f>HYPERLINK("https://platform.v2.vetology.net/cases/2765546/screening-report/1?type=pdf&amp;v=v6&amp;scorecard=1&amp;secret_key=BX%25IJ%24%2F65ieZ%29f6", 2765546)</f>
        <v>2765546</v>
      </c>
      <c r="C253" s="2">
        <f>HYPERLINK("https://platform.v2.vetology.net/report/v/final/"&amp;2765546, 2765546)</f>
        <v>2765546</v>
      </c>
      <c r="D253" s="2" t="s">
        <v>935</v>
      </c>
      <c r="E253" s="2" t="s">
        <v>936</v>
      </c>
      <c r="F253" s="2" t="s">
        <v>937</v>
      </c>
      <c r="G253" s="2" t="s">
        <v>251</v>
      </c>
      <c r="H253" s="2" t="s">
        <v>45</v>
      </c>
      <c r="I253" s="2" t="s">
        <v>46</v>
      </c>
      <c r="J253" s="2"/>
      <c r="K253" s="2" t="s">
        <v>39</v>
      </c>
      <c r="L253" s="2" t="s">
        <v>39</v>
      </c>
      <c r="M253" s="2" t="s">
        <v>39</v>
      </c>
      <c r="N253" s="2" t="s">
        <v>39</v>
      </c>
      <c r="O253" s="2" t="s">
        <v>39</v>
      </c>
      <c r="P253" s="2" t="s">
        <v>39</v>
      </c>
      <c r="Q253" s="2" t="s">
        <v>39</v>
      </c>
      <c r="R253" s="2" t="s">
        <v>38</v>
      </c>
      <c r="S253" s="2" t="s">
        <v>39</v>
      </c>
      <c r="T253" s="2" t="s">
        <v>39</v>
      </c>
      <c r="U253" s="2" t="s">
        <v>38</v>
      </c>
      <c r="V253" s="2" t="s">
        <v>38</v>
      </c>
      <c r="W253" s="2" t="s">
        <v>39</v>
      </c>
      <c r="X253" s="2" t="s">
        <v>39</v>
      </c>
      <c r="Y253" s="2" t="s">
        <v>39</v>
      </c>
      <c r="Z253" s="2" t="s">
        <v>39</v>
      </c>
      <c r="AA253" s="2" t="s">
        <v>39</v>
      </c>
      <c r="AB253" s="2" t="s">
        <v>39</v>
      </c>
      <c r="AC253" s="2" t="s">
        <v>38</v>
      </c>
      <c r="AD253" s="2" t="s">
        <v>39</v>
      </c>
      <c r="AE253" s="2" t="s">
        <v>39</v>
      </c>
    </row>
    <row r="254" spans="1:31" ht="409.5">
      <c r="A254" s="2">
        <v>2765483</v>
      </c>
      <c r="B254" s="2">
        <f>HYPERLINK("https://platform.v2.vetology.net/cases/2765483/screening-report/1?type=pdf&amp;v=v6&amp;scorecard=1&amp;secret_key=BX%25IJ%24%2F65ieZ%29f6", 2765483)</f>
        <v>2765483</v>
      </c>
      <c r="C254" s="2">
        <f>HYPERLINK("https://platform.v2.vetology.net/report/v/final/"&amp;2765483, 2765483)</f>
        <v>2765483</v>
      </c>
      <c r="D254" s="2" t="s">
        <v>938</v>
      </c>
      <c r="E254" s="2" t="s">
        <v>939</v>
      </c>
      <c r="F254" s="2" t="s">
        <v>43</v>
      </c>
      <c r="G254" s="2" t="s">
        <v>44</v>
      </c>
      <c r="H254" s="2" t="s">
        <v>940</v>
      </c>
      <c r="I254" s="2" t="s">
        <v>73</v>
      </c>
      <c r="J254" s="2" t="s">
        <v>74</v>
      </c>
      <c r="K254" s="2" t="s">
        <v>38</v>
      </c>
      <c r="L254" s="2" t="s">
        <v>38</v>
      </c>
      <c r="M254" s="2" t="s">
        <v>38</v>
      </c>
      <c r="N254" s="2" t="s">
        <v>38</v>
      </c>
      <c r="O254" s="2" t="s">
        <v>38</v>
      </c>
      <c r="P254" s="2" t="s">
        <v>38</v>
      </c>
      <c r="Q254" s="2" t="s">
        <v>38</v>
      </c>
      <c r="R254" s="2" t="s">
        <v>39</v>
      </c>
      <c r="S254" s="2" t="s">
        <v>38</v>
      </c>
      <c r="T254" s="2" t="s">
        <v>38</v>
      </c>
      <c r="U254" s="2" t="s">
        <v>38</v>
      </c>
      <c r="V254" s="2" t="s">
        <v>38</v>
      </c>
      <c r="W254" s="2" t="s">
        <v>38</v>
      </c>
      <c r="X254" s="2" t="s">
        <v>38</v>
      </c>
      <c r="Y254" s="2" t="s">
        <v>38</v>
      </c>
      <c r="Z254" s="2" t="s">
        <v>39</v>
      </c>
      <c r="AA254" s="2" t="s">
        <v>38</v>
      </c>
      <c r="AB254" s="2" t="s">
        <v>38</v>
      </c>
      <c r="AC254" s="2" t="s">
        <v>38</v>
      </c>
      <c r="AD254" s="2" t="s">
        <v>38</v>
      </c>
      <c r="AE254" s="2" t="s">
        <v>40</v>
      </c>
    </row>
    <row r="255" spans="1:31" ht="409.5">
      <c r="A255" s="2">
        <v>2765446</v>
      </c>
      <c r="B255" s="2">
        <f>HYPERLINK("https://platform.v2.vetology.net/cases/2765446/screening-report/1?type=pdf&amp;v=v6&amp;scorecard=1&amp;secret_key=BX%25IJ%24%2F65ieZ%29f6", 2765446)</f>
        <v>2765446</v>
      </c>
      <c r="C255" s="2">
        <f>HYPERLINK("https://platform.v2.vetology.net/report/v/final/"&amp;2765446, 2765446)</f>
        <v>2765446</v>
      </c>
      <c r="D255" s="2" t="s">
        <v>941</v>
      </c>
      <c r="E255" s="2" t="s">
        <v>942</v>
      </c>
      <c r="F255" s="2" t="s">
        <v>43</v>
      </c>
      <c r="G255" s="2" t="s">
        <v>44</v>
      </c>
      <c r="H255" s="2" t="s">
        <v>69</v>
      </c>
      <c r="I255" s="2" t="s">
        <v>46</v>
      </c>
      <c r="J255" s="2"/>
      <c r="K255" s="2" t="s">
        <v>39</v>
      </c>
      <c r="L255" s="2" t="s">
        <v>39</v>
      </c>
      <c r="M255" s="2" t="s">
        <v>39</v>
      </c>
      <c r="N255" s="2" t="s">
        <v>39</v>
      </c>
      <c r="O255" s="2" t="s">
        <v>39</v>
      </c>
      <c r="P255" s="2" t="s">
        <v>39</v>
      </c>
      <c r="Q255" s="2" t="s">
        <v>39</v>
      </c>
      <c r="R255" s="2" t="s">
        <v>39</v>
      </c>
      <c r="S255" s="2" t="s">
        <v>39</v>
      </c>
      <c r="T255" s="2" t="s">
        <v>38</v>
      </c>
      <c r="U255" s="2" t="s">
        <v>39</v>
      </c>
      <c r="V255" s="2" t="s">
        <v>39</v>
      </c>
      <c r="W255" s="2" t="s">
        <v>38</v>
      </c>
      <c r="X255" s="2" t="s">
        <v>39</v>
      </c>
      <c r="Y255" s="2" t="s">
        <v>39</v>
      </c>
      <c r="Z255" s="2" t="s">
        <v>39</v>
      </c>
      <c r="AA255" s="2" t="s">
        <v>39</v>
      </c>
      <c r="AB255" s="2" t="s">
        <v>39</v>
      </c>
      <c r="AC255" s="2" t="s">
        <v>39</v>
      </c>
      <c r="AD255" s="2" t="s">
        <v>39</v>
      </c>
      <c r="AE255" s="2" t="s">
        <v>40</v>
      </c>
    </row>
    <row r="256" spans="1:31" ht="409.5">
      <c r="A256" s="2">
        <v>2765429</v>
      </c>
      <c r="B256" s="2">
        <f>HYPERLINK("https://platform.v2.vetology.net/cases/2765429/screening-report/1?type=pdf&amp;v=v6&amp;scorecard=1&amp;secret_key=BX%25IJ%24%2F65ieZ%29f6", 2765429)</f>
        <v>2765429</v>
      </c>
      <c r="C256" s="2">
        <f>HYPERLINK("https://platform.v2.vetology.net/report/v/final/"&amp;2765429, 2765429)</f>
        <v>2765429</v>
      </c>
      <c r="D256" s="2" t="s">
        <v>943</v>
      </c>
      <c r="E256" s="2" t="s">
        <v>944</v>
      </c>
      <c r="F256" s="2" t="s">
        <v>945</v>
      </c>
      <c r="G256" s="2" t="s">
        <v>53</v>
      </c>
      <c r="H256" s="2" t="s">
        <v>946</v>
      </c>
      <c r="I256" s="2" t="s">
        <v>257</v>
      </c>
      <c r="J256" s="2" t="s">
        <v>74</v>
      </c>
      <c r="K256" s="2" t="s">
        <v>38</v>
      </c>
      <c r="L256" s="2" t="s">
        <v>38</v>
      </c>
      <c r="M256" s="2" t="s">
        <v>38</v>
      </c>
      <c r="N256" s="2" t="s">
        <v>38</v>
      </c>
      <c r="O256" s="2" t="s">
        <v>38</v>
      </c>
      <c r="P256" s="2" t="s">
        <v>38</v>
      </c>
      <c r="Q256" s="2" t="s">
        <v>38</v>
      </c>
      <c r="R256" s="2" t="s">
        <v>38</v>
      </c>
      <c r="S256" s="2" t="s">
        <v>38</v>
      </c>
      <c r="T256" s="2" t="s">
        <v>38</v>
      </c>
      <c r="U256" s="2" t="s">
        <v>38</v>
      </c>
      <c r="V256" s="2" t="s">
        <v>38</v>
      </c>
      <c r="W256" s="2" t="s">
        <v>38</v>
      </c>
      <c r="X256" s="2" t="s">
        <v>38</v>
      </c>
      <c r="Y256" s="2" t="s">
        <v>38</v>
      </c>
      <c r="Z256" s="2" t="s">
        <v>38</v>
      </c>
      <c r="AA256" s="2" t="s">
        <v>38</v>
      </c>
      <c r="AB256" s="2" t="s">
        <v>38</v>
      </c>
      <c r="AC256" s="2" t="s">
        <v>38</v>
      </c>
      <c r="AD256" s="2" t="s">
        <v>38</v>
      </c>
      <c r="AE256" s="2" t="s">
        <v>39</v>
      </c>
    </row>
    <row r="257" spans="1:31" ht="409.5">
      <c r="A257" s="2">
        <v>2765425</v>
      </c>
      <c r="B257" s="2">
        <f>HYPERLINK("https://platform.v2.vetology.net/cases/2765425/screening-report/1?type=pdf&amp;v=v6&amp;scorecard=1&amp;secret_key=BX%25IJ%24%2F65ieZ%29f6", 2765425)</f>
        <v>2765425</v>
      </c>
      <c r="C257" s="2">
        <f>HYPERLINK("https://platform.v2.vetology.net/report/v/final/"&amp;2765425, 2765425)</f>
        <v>2765425</v>
      </c>
      <c r="D257" s="2" t="s">
        <v>302</v>
      </c>
      <c r="E257" s="2" t="s">
        <v>99</v>
      </c>
      <c r="F257" s="2"/>
      <c r="G257" s="2" t="s">
        <v>100</v>
      </c>
      <c r="H257" s="2" t="s">
        <v>947</v>
      </c>
      <c r="I257" s="2" t="s">
        <v>59</v>
      </c>
      <c r="J257" s="2" t="s">
        <v>37</v>
      </c>
      <c r="K257" s="2" t="s">
        <v>38</v>
      </c>
      <c r="L257" s="2" t="s">
        <v>39</v>
      </c>
      <c r="M257" s="2" t="s">
        <v>39</v>
      </c>
      <c r="N257" s="2" t="s">
        <v>39</v>
      </c>
      <c r="O257" s="2" t="s">
        <v>39</v>
      </c>
      <c r="P257" s="2" t="s">
        <v>39</v>
      </c>
      <c r="Q257" s="2" t="s">
        <v>39</v>
      </c>
      <c r="R257" s="2" t="s">
        <v>38</v>
      </c>
      <c r="S257" s="2" t="s">
        <v>38</v>
      </c>
      <c r="T257" s="2" t="s">
        <v>38</v>
      </c>
      <c r="U257" s="2" t="s">
        <v>38</v>
      </c>
      <c r="V257" s="2" t="s">
        <v>38</v>
      </c>
      <c r="W257" s="2" t="s">
        <v>39</v>
      </c>
      <c r="X257" s="2" t="s">
        <v>39</v>
      </c>
      <c r="Y257" s="2" t="s">
        <v>39</v>
      </c>
      <c r="Z257" s="2" t="s">
        <v>39</v>
      </c>
      <c r="AA257" s="2" t="s">
        <v>39</v>
      </c>
      <c r="AB257" s="2" t="s">
        <v>39</v>
      </c>
      <c r="AC257" s="2" t="s">
        <v>38</v>
      </c>
      <c r="AD257" s="2" t="s">
        <v>38</v>
      </c>
      <c r="AE257" s="2" t="s">
        <v>39</v>
      </c>
    </row>
    <row r="258" spans="1:31" ht="409.5">
      <c r="A258" s="2">
        <v>2765402</v>
      </c>
      <c r="B258" s="2">
        <f>HYPERLINK("https://platform.v2.vetology.net/cases/2765402/screening-report/1?type=pdf&amp;v=v6&amp;scorecard=1&amp;secret_key=BX%25IJ%24%2F65ieZ%29f6", 2765402)</f>
        <v>2765402</v>
      </c>
      <c r="C258" s="2">
        <f>HYPERLINK("https://platform.v2.vetology.net/report/v/final/"&amp;2765402, 2765402)</f>
        <v>2765402</v>
      </c>
      <c r="D258" s="2" t="s">
        <v>948</v>
      </c>
      <c r="E258" s="2" t="s">
        <v>949</v>
      </c>
      <c r="F258" s="2" t="s">
        <v>950</v>
      </c>
      <c r="G258" s="2" t="s">
        <v>100</v>
      </c>
      <c r="H258" s="2" t="s">
        <v>951</v>
      </c>
      <c r="I258" s="2" t="s">
        <v>59</v>
      </c>
      <c r="J258" s="2" t="s">
        <v>37</v>
      </c>
      <c r="K258" s="2" t="s">
        <v>39</v>
      </c>
      <c r="L258" s="2" t="s">
        <v>39</v>
      </c>
      <c r="M258" s="2" t="s">
        <v>39</v>
      </c>
      <c r="N258" s="2" t="s">
        <v>38</v>
      </c>
      <c r="O258" s="2" t="s">
        <v>39</v>
      </c>
      <c r="P258" s="2" t="s">
        <v>38</v>
      </c>
      <c r="Q258" s="2" t="s">
        <v>39</v>
      </c>
      <c r="R258" s="2" t="s">
        <v>39</v>
      </c>
      <c r="S258" s="2" t="s">
        <v>39</v>
      </c>
      <c r="T258" s="2" t="s">
        <v>39</v>
      </c>
      <c r="U258" s="2" t="s">
        <v>39</v>
      </c>
      <c r="V258" s="2" t="s">
        <v>39</v>
      </c>
      <c r="W258" s="2" t="s">
        <v>39</v>
      </c>
      <c r="X258" s="2" t="s">
        <v>39</v>
      </c>
      <c r="Y258" s="2" t="s">
        <v>39</v>
      </c>
      <c r="Z258" s="2" t="s">
        <v>39</v>
      </c>
      <c r="AA258" s="2" t="s">
        <v>39</v>
      </c>
      <c r="AB258" s="2" t="s">
        <v>39</v>
      </c>
      <c r="AC258" s="2" t="s">
        <v>38</v>
      </c>
      <c r="AD258" s="2" t="s">
        <v>38</v>
      </c>
      <c r="AE258" s="2"/>
    </row>
    <row r="259" spans="1:31" ht="409.5">
      <c r="A259" s="2">
        <v>2765378</v>
      </c>
      <c r="B259" s="2">
        <f>HYPERLINK("https://platform.v2.vetology.net/cases/2765378/screening-report/1?type=pdf&amp;v=v6&amp;scorecard=1&amp;secret_key=BX%25IJ%24%2F65ieZ%29f6", 2765378)</f>
        <v>2765378</v>
      </c>
      <c r="C259" s="2">
        <f>HYPERLINK("https://platform.v2.vetology.net/report/v/final/"&amp;2765378, 2765378)</f>
        <v>2765378</v>
      </c>
      <c r="D259" s="2" t="s">
        <v>952</v>
      </c>
      <c r="E259" s="2" t="s">
        <v>953</v>
      </c>
      <c r="F259" s="2" t="s">
        <v>954</v>
      </c>
      <c r="G259" s="2" t="s">
        <v>170</v>
      </c>
      <c r="H259" s="2" t="s">
        <v>955</v>
      </c>
      <c r="I259" s="2" t="s">
        <v>36</v>
      </c>
      <c r="J259" s="2" t="s">
        <v>37</v>
      </c>
      <c r="K259" s="2" t="s">
        <v>38</v>
      </c>
      <c r="L259" s="2" t="s">
        <v>38</v>
      </c>
      <c r="M259" s="2" t="s">
        <v>38</v>
      </c>
      <c r="N259" s="2" t="s">
        <v>38</v>
      </c>
      <c r="O259" s="2" t="s">
        <v>38</v>
      </c>
      <c r="P259" s="2" t="s">
        <v>39</v>
      </c>
      <c r="Q259" s="2" t="s">
        <v>39</v>
      </c>
      <c r="R259" s="2" t="s">
        <v>38</v>
      </c>
      <c r="S259" s="2" t="s">
        <v>38</v>
      </c>
      <c r="T259" s="2" t="s">
        <v>39</v>
      </c>
      <c r="U259" s="2" t="s">
        <v>38</v>
      </c>
      <c r="V259" s="2" t="s">
        <v>39</v>
      </c>
      <c r="W259" s="2" t="s">
        <v>38</v>
      </c>
      <c r="X259" s="2" t="s">
        <v>39</v>
      </c>
      <c r="Y259" s="2" t="s">
        <v>38</v>
      </c>
      <c r="Z259" s="2" t="s">
        <v>38</v>
      </c>
      <c r="AA259" s="2" t="s">
        <v>38</v>
      </c>
      <c r="AB259" s="2" t="s">
        <v>39</v>
      </c>
      <c r="AC259" s="2" t="s">
        <v>38</v>
      </c>
      <c r="AD259" s="2" t="s">
        <v>38</v>
      </c>
      <c r="AE259" s="2" t="s">
        <v>39</v>
      </c>
    </row>
    <row r="260" spans="1:31" ht="409.5">
      <c r="A260" s="2">
        <v>2765364</v>
      </c>
      <c r="B260" s="2">
        <f>HYPERLINK("https://platform.v2.vetology.net/cases/2765364/screening-report/1?type=pdf&amp;v=v6&amp;scorecard=1&amp;secret_key=BX%25IJ%24%2F65ieZ%29f6", 2765364)</f>
        <v>2765364</v>
      </c>
      <c r="C260" s="2">
        <f>HYPERLINK("https://platform.v2.vetology.net/report/v/final/"&amp;2765364, 2765364)</f>
        <v>2765364</v>
      </c>
      <c r="D260" s="2" t="s">
        <v>956</v>
      </c>
      <c r="E260" s="2" t="s">
        <v>957</v>
      </c>
      <c r="F260" s="2" t="s">
        <v>958</v>
      </c>
      <c r="G260" s="2" t="s">
        <v>556</v>
      </c>
      <c r="H260" s="2" t="s">
        <v>959</v>
      </c>
      <c r="I260" s="2" t="s">
        <v>129</v>
      </c>
      <c r="J260" s="2" t="s">
        <v>74</v>
      </c>
      <c r="K260" s="2" t="s">
        <v>38</v>
      </c>
      <c r="L260" s="2" t="s">
        <v>39</v>
      </c>
      <c r="M260" s="2" t="s">
        <v>38</v>
      </c>
      <c r="N260" s="2" t="s">
        <v>38</v>
      </c>
      <c r="O260" s="2" t="s">
        <v>38</v>
      </c>
      <c r="P260" s="2" t="s">
        <v>38</v>
      </c>
      <c r="Q260" s="2" t="s">
        <v>38</v>
      </c>
      <c r="R260" s="2" t="s">
        <v>38</v>
      </c>
      <c r="S260" s="2" t="s">
        <v>38</v>
      </c>
      <c r="T260" s="2" t="s">
        <v>38</v>
      </c>
      <c r="U260" s="2" t="s">
        <v>39</v>
      </c>
      <c r="V260" s="2" t="s">
        <v>38</v>
      </c>
      <c r="W260" s="2" t="s">
        <v>38</v>
      </c>
      <c r="X260" s="2" t="s">
        <v>38</v>
      </c>
      <c r="Y260" s="2" t="s">
        <v>38</v>
      </c>
      <c r="Z260" s="2" t="s">
        <v>38</v>
      </c>
      <c r="AA260" s="2" t="s">
        <v>38</v>
      </c>
      <c r="AB260" s="2" t="s">
        <v>38</v>
      </c>
      <c r="AC260" s="2" t="s">
        <v>38</v>
      </c>
      <c r="AD260" s="2" t="s">
        <v>38</v>
      </c>
      <c r="AE260" s="2" t="s">
        <v>40</v>
      </c>
    </row>
    <row r="261" spans="1:31" ht="409.5">
      <c r="A261" s="2">
        <v>2765355</v>
      </c>
      <c r="B261" s="2">
        <f>HYPERLINK("https://platform.v2.vetology.net/cases/2765355/screening-report/1?type=pdf&amp;v=v6&amp;scorecard=1&amp;secret_key=BX%25IJ%24%2F65ieZ%29f6", 2765355)</f>
        <v>2765355</v>
      </c>
      <c r="C261" s="2">
        <f>HYPERLINK("https://platform.v2.vetology.net/report/v/final/"&amp;2765355, 2765355)</f>
        <v>2765355</v>
      </c>
      <c r="D261" s="2" t="s">
        <v>960</v>
      </c>
      <c r="E261" s="2" t="s">
        <v>961</v>
      </c>
      <c r="F261" s="2" t="s">
        <v>962</v>
      </c>
      <c r="G261" s="2" t="s">
        <v>127</v>
      </c>
      <c r="H261" s="2" t="s">
        <v>963</v>
      </c>
      <c r="I261" s="2" t="s">
        <v>73</v>
      </c>
      <c r="J261" s="2" t="s">
        <v>74</v>
      </c>
      <c r="K261" s="2" t="s">
        <v>38</v>
      </c>
      <c r="L261" s="2" t="s">
        <v>38</v>
      </c>
      <c r="M261" s="2" t="s">
        <v>38</v>
      </c>
      <c r="N261" s="2" t="s">
        <v>38</v>
      </c>
      <c r="O261" s="2" t="s">
        <v>38</v>
      </c>
      <c r="P261" s="2" t="s">
        <v>38</v>
      </c>
      <c r="Q261" s="2" t="s">
        <v>38</v>
      </c>
      <c r="R261" s="2" t="s">
        <v>39</v>
      </c>
      <c r="S261" s="2" t="s">
        <v>38</v>
      </c>
      <c r="T261" s="2" t="s">
        <v>38</v>
      </c>
      <c r="U261" s="2" t="s">
        <v>39</v>
      </c>
      <c r="V261" s="2" t="s">
        <v>38</v>
      </c>
      <c r="W261" s="2" t="s">
        <v>38</v>
      </c>
      <c r="X261" s="2" t="s">
        <v>38</v>
      </c>
      <c r="Y261" s="2" t="s">
        <v>39</v>
      </c>
      <c r="Z261" s="2" t="s">
        <v>38</v>
      </c>
      <c r="AA261" s="2" t="s">
        <v>38</v>
      </c>
      <c r="AB261" s="2" t="s">
        <v>38</v>
      </c>
      <c r="AC261" s="2" t="s">
        <v>38</v>
      </c>
      <c r="AD261" s="2" t="s">
        <v>38</v>
      </c>
      <c r="AE261" s="2" t="s">
        <v>40</v>
      </c>
    </row>
    <row r="262" spans="1:31" ht="409.5">
      <c r="A262" s="2">
        <v>2765338</v>
      </c>
      <c r="B262" s="2">
        <f>HYPERLINK("https://platform.v2.vetology.net/cases/2765338/screening-report/1?type=pdf&amp;v=v6&amp;scorecard=1&amp;secret_key=BX%25IJ%24%2F65ieZ%29f6", 2765338)</f>
        <v>2765338</v>
      </c>
      <c r="C262" s="2">
        <f>HYPERLINK("https://platform.v2.vetology.net/report/v/final/"&amp;2765338, 2765338)</f>
        <v>2765338</v>
      </c>
      <c r="D262" s="2" t="s">
        <v>964</v>
      </c>
      <c r="E262" s="2" t="s">
        <v>965</v>
      </c>
      <c r="F262" s="2" t="s">
        <v>966</v>
      </c>
      <c r="G262" s="2" t="s">
        <v>170</v>
      </c>
      <c r="H262" s="2" t="s">
        <v>967</v>
      </c>
      <c r="I262" s="2" t="s">
        <v>36</v>
      </c>
      <c r="J262" s="2" t="s">
        <v>37</v>
      </c>
      <c r="K262" s="2" t="s">
        <v>38</v>
      </c>
      <c r="L262" s="2" t="s">
        <v>39</v>
      </c>
      <c r="M262" s="2" t="s">
        <v>38</v>
      </c>
      <c r="N262" s="2" t="s">
        <v>38</v>
      </c>
      <c r="O262" s="2" t="s">
        <v>38</v>
      </c>
      <c r="P262" s="2" t="s">
        <v>39</v>
      </c>
      <c r="Q262" s="2" t="s">
        <v>39</v>
      </c>
      <c r="R262" s="2" t="s">
        <v>38</v>
      </c>
      <c r="S262" s="2" t="s">
        <v>39</v>
      </c>
      <c r="T262" s="2" t="s">
        <v>39</v>
      </c>
      <c r="U262" s="2" t="s">
        <v>38</v>
      </c>
      <c r="V262" s="2" t="s">
        <v>38</v>
      </c>
      <c r="W262" s="2" t="s">
        <v>38</v>
      </c>
      <c r="X262" s="2" t="s">
        <v>39</v>
      </c>
      <c r="Y262" s="2" t="s">
        <v>39</v>
      </c>
      <c r="Z262" s="2" t="s">
        <v>38</v>
      </c>
      <c r="AA262" s="2" t="s">
        <v>38</v>
      </c>
      <c r="AB262" s="2" t="s">
        <v>39</v>
      </c>
      <c r="AC262" s="2" t="s">
        <v>38</v>
      </c>
      <c r="AD262" s="2" t="s">
        <v>38</v>
      </c>
      <c r="AE262" s="2" t="s">
        <v>40</v>
      </c>
    </row>
    <row r="263" spans="1:31" ht="409.5">
      <c r="A263" s="2">
        <v>2765310</v>
      </c>
      <c r="B263" s="2">
        <f>HYPERLINK("https://platform.v2.vetology.net/cases/2765310/screening-report/1?type=pdf&amp;v=v6&amp;scorecard=1&amp;secret_key=BX%25IJ%24%2F65ieZ%29f6", 2765310)</f>
        <v>2765310</v>
      </c>
      <c r="C263" s="2">
        <f>HYPERLINK("https://platform.v2.vetology.net/report/v/final/"&amp;2765310, 2765310)</f>
        <v>2765310</v>
      </c>
      <c r="D263" s="2" t="s">
        <v>968</v>
      </c>
      <c r="E263" s="2" t="s">
        <v>969</v>
      </c>
      <c r="F263" s="2" t="s">
        <v>787</v>
      </c>
      <c r="G263" s="2" t="s">
        <v>100</v>
      </c>
      <c r="H263" s="2" t="s">
        <v>970</v>
      </c>
      <c r="I263" s="2" t="s">
        <v>36</v>
      </c>
      <c r="J263" s="2" t="s">
        <v>37</v>
      </c>
      <c r="K263" s="2" t="s">
        <v>39</v>
      </c>
      <c r="L263" s="2" t="s">
        <v>38</v>
      </c>
      <c r="M263" s="2" t="s">
        <v>39</v>
      </c>
      <c r="N263" s="2" t="s">
        <v>39</v>
      </c>
      <c r="O263" s="2" t="s">
        <v>38</v>
      </c>
      <c r="P263" s="2" t="s">
        <v>39</v>
      </c>
      <c r="Q263" s="2" t="s">
        <v>39</v>
      </c>
      <c r="R263" s="2" t="s">
        <v>38</v>
      </c>
      <c r="S263" s="2" t="s">
        <v>39</v>
      </c>
      <c r="T263" s="2" t="s">
        <v>38</v>
      </c>
      <c r="U263" s="2" t="s">
        <v>39</v>
      </c>
      <c r="V263" s="2" t="s">
        <v>38</v>
      </c>
      <c r="W263" s="2" t="s">
        <v>39</v>
      </c>
      <c r="X263" s="2" t="s">
        <v>39</v>
      </c>
      <c r="Y263" s="2" t="s">
        <v>39</v>
      </c>
      <c r="Z263" s="2" t="s">
        <v>39</v>
      </c>
      <c r="AA263" s="2" t="s">
        <v>38</v>
      </c>
      <c r="AB263" s="2" t="s">
        <v>39</v>
      </c>
      <c r="AC263" s="2" t="s">
        <v>38</v>
      </c>
      <c r="AD263" s="2" t="s">
        <v>38</v>
      </c>
      <c r="AE263" s="2" t="s">
        <v>39</v>
      </c>
    </row>
    <row r="264" spans="1:31" ht="409.5">
      <c r="A264" s="2">
        <v>2765304</v>
      </c>
      <c r="B264" s="2">
        <f>HYPERLINK("https://platform.v2.vetology.net/cases/2765304/screening-report/1?type=pdf&amp;v=v6&amp;scorecard=1&amp;secret_key=BX%25IJ%24%2F65ieZ%29f6", 2765304)</f>
        <v>2765304</v>
      </c>
      <c r="C264" s="2">
        <f>HYPERLINK("https://platform.v2.vetology.net/report/v/final/"&amp;2765304, 2765304)</f>
        <v>2765304</v>
      </c>
      <c r="D264" s="2" t="s">
        <v>971</v>
      </c>
      <c r="E264" s="2" t="s">
        <v>972</v>
      </c>
      <c r="F264" s="2" t="s">
        <v>973</v>
      </c>
      <c r="G264" s="2" t="s">
        <v>53</v>
      </c>
      <c r="H264" s="2" t="s">
        <v>69</v>
      </c>
      <c r="I264" s="2" t="s">
        <v>46</v>
      </c>
      <c r="J264" s="2"/>
      <c r="K264" s="2" t="s">
        <v>39</v>
      </c>
      <c r="L264" s="2" t="s">
        <v>39</v>
      </c>
      <c r="M264" s="2" t="s">
        <v>39</v>
      </c>
      <c r="N264" s="2" t="s">
        <v>39</v>
      </c>
      <c r="O264" s="2" t="s">
        <v>39</v>
      </c>
      <c r="P264" s="2" t="s">
        <v>39</v>
      </c>
      <c r="Q264" s="2" t="s">
        <v>39</v>
      </c>
      <c r="R264" s="2" t="s">
        <v>39</v>
      </c>
      <c r="S264" s="2" t="s">
        <v>39</v>
      </c>
      <c r="T264" s="2" t="s">
        <v>39</v>
      </c>
      <c r="U264" s="2" t="s">
        <v>39</v>
      </c>
      <c r="V264" s="2" t="s">
        <v>39</v>
      </c>
      <c r="W264" s="2" t="s">
        <v>39</v>
      </c>
      <c r="X264" s="2" t="s">
        <v>39</v>
      </c>
      <c r="Y264" s="2" t="s">
        <v>39</v>
      </c>
      <c r="Z264" s="2" t="s">
        <v>39</v>
      </c>
      <c r="AA264" s="2" t="s">
        <v>39</v>
      </c>
      <c r="AB264" s="2" t="s">
        <v>39</v>
      </c>
      <c r="AC264" s="2" t="s">
        <v>39</v>
      </c>
      <c r="AD264" s="2" t="s">
        <v>39</v>
      </c>
      <c r="AE264" s="2"/>
    </row>
    <row r="265" spans="1:31" ht="409.5">
      <c r="A265" s="2">
        <v>2765297</v>
      </c>
      <c r="B265" s="2">
        <f>HYPERLINK("https://platform.v2.vetology.net/cases/2765297/screening-report/1?type=pdf&amp;v=v6&amp;scorecard=1&amp;secret_key=BX%25IJ%24%2F65ieZ%29f6", 2765297)</f>
        <v>2765297</v>
      </c>
      <c r="C265" s="2">
        <f>HYPERLINK("https://platform.v2.vetology.net/report/v/final/"&amp;2765297, 2765297)</f>
        <v>2765297</v>
      </c>
      <c r="D265" s="2" t="s">
        <v>974</v>
      </c>
      <c r="E265" s="2" t="s">
        <v>975</v>
      </c>
      <c r="F265" s="2" t="s">
        <v>976</v>
      </c>
      <c r="G265" s="2" t="s">
        <v>53</v>
      </c>
      <c r="H265" s="2" t="s">
        <v>977</v>
      </c>
      <c r="I265" s="2" t="s">
        <v>36</v>
      </c>
      <c r="J265" s="2" t="s">
        <v>37</v>
      </c>
      <c r="K265" s="2" t="s">
        <v>38</v>
      </c>
      <c r="L265" s="2" t="s">
        <v>38</v>
      </c>
      <c r="M265" s="2" t="s">
        <v>38</v>
      </c>
      <c r="N265" s="2" t="s">
        <v>38</v>
      </c>
      <c r="O265" s="2" t="s">
        <v>38</v>
      </c>
      <c r="P265" s="2" t="s">
        <v>39</v>
      </c>
      <c r="Q265" s="2" t="s">
        <v>39</v>
      </c>
      <c r="R265" s="2" t="s">
        <v>38</v>
      </c>
      <c r="S265" s="2" t="s">
        <v>38</v>
      </c>
      <c r="T265" s="2" t="s">
        <v>38</v>
      </c>
      <c r="U265" s="2" t="s">
        <v>38</v>
      </c>
      <c r="V265" s="2" t="s">
        <v>38</v>
      </c>
      <c r="W265" s="2" t="s">
        <v>38</v>
      </c>
      <c r="X265" s="2" t="s">
        <v>39</v>
      </c>
      <c r="Y265" s="2" t="s">
        <v>38</v>
      </c>
      <c r="Z265" s="2" t="s">
        <v>38</v>
      </c>
      <c r="AA265" s="2" t="s">
        <v>38</v>
      </c>
      <c r="AB265" s="2" t="s">
        <v>39</v>
      </c>
      <c r="AC265" s="2" t="s">
        <v>38</v>
      </c>
      <c r="AD265" s="2" t="s">
        <v>38</v>
      </c>
      <c r="AE265" s="2" t="s">
        <v>39</v>
      </c>
    </row>
    <row r="266" spans="1:31" ht="409.5">
      <c r="A266" s="2">
        <v>2765296</v>
      </c>
      <c r="B266" s="2">
        <f>HYPERLINK("https://platform.v2.vetology.net/cases/2765296/screening-report/1?type=pdf&amp;v=v6&amp;scorecard=1&amp;secret_key=BX%25IJ%24%2F65ieZ%29f6", 2765296)</f>
        <v>2765296</v>
      </c>
      <c r="C266" s="2">
        <f>HYPERLINK("https://platform.v2.vetology.net/report/v/final/"&amp;2765296, 2765296)</f>
        <v>2765296</v>
      </c>
      <c r="D266" s="2" t="s">
        <v>978</v>
      </c>
      <c r="E266" s="2" t="s">
        <v>979</v>
      </c>
      <c r="F266" s="2" t="s">
        <v>980</v>
      </c>
      <c r="G266" s="2" t="s">
        <v>170</v>
      </c>
      <c r="H266" s="2" t="s">
        <v>981</v>
      </c>
      <c r="I266" s="2" t="s">
        <v>36</v>
      </c>
      <c r="J266" s="2" t="s">
        <v>37</v>
      </c>
      <c r="K266" s="2" t="s">
        <v>38</v>
      </c>
      <c r="L266" s="2" t="s">
        <v>38</v>
      </c>
      <c r="M266" s="2" t="s">
        <v>38</v>
      </c>
      <c r="N266" s="2" t="s">
        <v>38</v>
      </c>
      <c r="O266" s="2" t="s">
        <v>38</v>
      </c>
      <c r="P266" s="2" t="s">
        <v>38</v>
      </c>
      <c r="Q266" s="2" t="s">
        <v>39</v>
      </c>
      <c r="R266" s="2" t="s">
        <v>38</v>
      </c>
      <c r="S266" s="2" t="s">
        <v>38</v>
      </c>
      <c r="T266" s="2" t="s">
        <v>38</v>
      </c>
      <c r="U266" s="2" t="s">
        <v>38</v>
      </c>
      <c r="V266" s="2" t="s">
        <v>38</v>
      </c>
      <c r="W266" s="2" t="s">
        <v>38</v>
      </c>
      <c r="X266" s="2" t="s">
        <v>39</v>
      </c>
      <c r="Y266" s="2" t="s">
        <v>38</v>
      </c>
      <c r="Z266" s="2" t="s">
        <v>38</v>
      </c>
      <c r="AA266" s="2" t="s">
        <v>38</v>
      </c>
      <c r="AB266" s="2" t="s">
        <v>39</v>
      </c>
      <c r="AC266" s="2" t="s">
        <v>38</v>
      </c>
      <c r="AD266" s="2" t="s">
        <v>38</v>
      </c>
      <c r="AE266" s="2" t="s">
        <v>39</v>
      </c>
    </row>
    <row r="267" spans="1:31" ht="409.5">
      <c r="A267" s="2">
        <v>2765259</v>
      </c>
      <c r="B267" s="2">
        <f>HYPERLINK("https://platform.v2.vetology.net/cases/2765259/screening-report/1?type=pdf&amp;v=v6&amp;scorecard=1&amp;secret_key=BX%25IJ%24%2F65ieZ%29f6", 2765259)</f>
        <v>2765259</v>
      </c>
      <c r="C267" s="2">
        <f>HYPERLINK("https://platform.v2.vetology.net/report/v/final/"&amp;2765259, 2765259)</f>
        <v>2765259</v>
      </c>
      <c r="D267" s="2" t="s">
        <v>982</v>
      </c>
      <c r="E267" s="2" t="s">
        <v>983</v>
      </c>
      <c r="F267" s="2" t="s">
        <v>984</v>
      </c>
      <c r="G267" s="2" t="s">
        <v>170</v>
      </c>
      <c r="H267" s="2" t="s">
        <v>419</v>
      </c>
      <c r="I267" s="2" t="s">
        <v>36</v>
      </c>
      <c r="J267" s="2" t="s">
        <v>37</v>
      </c>
      <c r="K267" s="2" t="s">
        <v>39</v>
      </c>
      <c r="L267" s="2" t="s">
        <v>39</v>
      </c>
      <c r="M267" s="2" t="s">
        <v>38</v>
      </c>
      <c r="N267" s="2" t="s">
        <v>39</v>
      </c>
      <c r="O267" s="2" t="s">
        <v>38</v>
      </c>
      <c r="P267" s="2" t="s">
        <v>39</v>
      </c>
      <c r="Q267" s="2" t="s">
        <v>39</v>
      </c>
      <c r="R267" s="2" t="s">
        <v>38</v>
      </c>
      <c r="S267" s="2" t="s">
        <v>39</v>
      </c>
      <c r="T267" s="2" t="s">
        <v>39</v>
      </c>
      <c r="U267" s="2" t="s">
        <v>39</v>
      </c>
      <c r="V267" s="2" t="s">
        <v>39</v>
      </c>
      <c r="W267" s="2" t="s">
        <v>39</v>
      </c>
      <c r="X267" s="2" t="s">
        <v>39</v>
      </c>
      <c r="Y267" s="2" t="s">
        <v>39</v>
      </c>
      <c r="Z267" s="2" t="s">
        <v>38</v>
      </c>
      <c r="AA267" s="2" t="s">
        <v>38</v>
      </c>
      <c r="AB267" s="2" t="s">
        <v>39</v>
      </c>
      <c r="AC267" s="2" t="s">
        <v>38</v>
      </c>
      <c r="AD267" s="2" t="s">
        <v>38</v>
      </c>
      <c r="AE267" s="2" t="s">
        <v>39</v>
      </c>
    </row>
    <row r="268" spans="1:31" ht="409.5">
      <c r="A268" s="2">
        <v>2765230</v>
      </c>
      <c r="B268" s="2">
        <f>HYPERLINK("https://platform.v2.vetology.net/cases/2765230/screening-report/1?type=pdf&amp;v=v6&amp;scorecard=1&amp;secret_key=BX%25IJ%24%2F65ieZ%29f6", 2765230)</f>
        <v>2765230</v>
      </c>
      <c r="C268" s="2">
        <f>HYPERLINK("https://platform.v2.vetology.net/report/v/final/"&amp;2765230, 2765230)</f>
        <v>2765230</v>
      </c>
      <c r="D268" s="2" t="s">
        <v>985</v>
      </c>
      <c r="E268" s="2" t="s">
        <v>986</v>
      </c>
      <c r="F268" s="2" t="s">
        <v>280</v>
      </c>
      <c r="G268" s="2" t="s">
        <v>170</v>
      </c>
      <c r="H268" s="2" t="s">
        <v>987</v>
      </c>
      <c r="I268" s="2" t="s">
        <v>73</v>
      </c>
      <c r="J268" s="2" t="s">
        <v>74</v>
      </c>
      <c r="K268" s="2" t="s">
        <v>38</v>
      </c>
      <c r="L268" s="2" t="s">
        <v>38</v>
      </c>
      <c r="M268" s="2" t="s">
        <v>38</v>
      </c>
      <c r="N268" s="2" t="s">
        <v>38</v>
      </c>
      <c r="O268" s="2" t="s">
        <v>38</v>
      </c>
      <c r="P268" s="2" t="s">
        <v>38</v>
      </c>
      <c r="Q268" s="2" t="s">
        <v>38</v>
      </c>
      <c r="R268" s="2" t="s">
        <v>38</v>
      </c>
      <c r="S268" s="2" t="s">
        <v>38</v>
      </c>
      <c r="T268" s="2" t="s">
        <v>38</v>
      </c>
      <c r="U268" s="2" t="s">
        <v>38</v>
      </c>
      <c r="V268" s="2" t="s">
        <v>38</v>
      </c>
      <c r="W268" s="2" t="s">
        <v>38</v>
      </c>
      <c r="X268" s="2" t="s">
        <v>38</v>
      </c>
      <c r="Y268" s="2" t="s">
        <v>39</v>
      </c>
      <c r="Z268" s="2" t="s">
        <v>38</v>
      </c>
      <c r="AA268" s="2" t="s">
        <v>38</v>
      </c>
      <c r="AB268" s="2" t="s">
        <v>39</v>
      </c>
      <c r="AC268" s="2" t="s">
        <v>38</v>
      </c>
      <c r="AD268" s="2" t="s">
        <v>38</v>
      </c>
      <c r="AE268" s="2" t="s">
        <v>40</v>
      </c>
    </row>
    <row r="269" spans="1:31" ht="409.5">
      <c r="A269" s="2">
        <v>2765227</v>
      </c>
      <c r="B269" s="2">
        <f>HYPERLINK("https://platform.v2.vetology.net/cases/2765227/screening-report/1?type=pdf&amp;v=v6&amp;scorecard=1&amp;secret_key=BX%25IJ%24%2F65ieZ%29f6", 2765227)</f>
        <v>2765227</v>
      </c>
      <c r="C269" s="2">
        <f>HYPERLINK("https://platform.v2.vetology.net/report/v/final/"&amp;2765227, 2765227)</f>
        <v>2765227</v>
      </c>
      <c r="D269" s="2" t="s">
        <v>988</v>
      </c>
      <c r="E269" s="2" t="s">
        <v>989</v>
      </c>
      <c r="F269" s="2" t="s">
        <v>990</v>
      </c>
      <c r="G269" s="2" t="s">
        <v>100</v>
      </c>
      <c r="H269" s="2" t="s">
        <v>888</v>
      </c>
      <c r="I269" s="2" t="s">
        <v>36</v>
      </c>
      <c r="J269" s="2" t="s">
        <v>37</v>
      </c>
      <c r="K269" s="2" t="s">
        <v>39</v>
      </c>
      <c r="L269" s="2" t="s">
        <v>39</v>
      </c>
      <c r="M269" s="2" t="s">
        <v>38</v>
      </c>
      <c r="N269" s="2" t="s">
        <v>38</v>
      </c>
      <c r="O269" s="2" t="s">
        <v>38</v>
      </c>
      <c r="P269" s="2" t="s">
        <v>39</v>
      </c>
      <c r="Q269" s="2" t="s">
        <v>39</v>
      </c>
      <c r="R269" s="2" t="s">
        <v>38</v>
      </c>
      <c r="S269" s="2" t="s">
        <v>39</v>
      </c>
      <c r="T269" s="2" t="s">
        <v>39</v>
      </c>
      <c r="U269" s="2" t="s">
        <v>39</v>
      </c>
      <c r="V269" s="2" t="s">
        <v>38</v>
      </c>
      <c r="W269" s="2" t="s">
        <v>38</v>
      </c>
      <c r="X269" s="2" t="s">
        <v>39</v>
      </c>
      <c r="Y269" s="2" t="s">
        <v>39</v>
      </c>
      <c r="Z269" s="2" t="s">
        <v>39</v>
      </c>
      <c r="AA269" s="2" t="s">
        <v>38</v>
      </c>
      <c r="AB269" s="2" t="s">
        <v>39</v>
      </c>
      <c r="AC269" s="2" t="s">
        <v>38</v>
      </c>
      <c r="AD269" s="2" t="s">
        <v>39</v>
      </c>
      <c r="AE269" s="2" t="s">
        <v>39</v>
      </c>
    </row>
    <row r="270" spans="1:31" ht="409.5">
      <c r="A270" s="2">
        <v>2765173</v>
      </c>
      <c r="B270" s="2">
        <f>HYPERLINK("https://platform.v2.vetology.net/cases/2765173/screening-report/1?type=pdf&amp;v=v6&amp;scorecard=1&amp;secret_key=BX%25IJ%24%2F65ieZ%29f6", 2765173)</f>
        <v>2765173</v>
      </c>
      <c r="C270" s="2">
        <f>HYPERLINK("https://platform.v2.vetology.net/report/v/final/"&amp;2765173, 2765173)</f>
        <v>2765173</v>
      </c>
      <c r="D270" s="2" t="s">
        <v>991</v>
      </c>
      <c r="E270" s="2" t="s">
        <v>992</v>
      </c>
      <c r="F270" s="2" t="s">
        <v>993</v>
      </c>
      <c r="G270" s="2" t="s">
        <v>100</v>
      </c>
      <c r="H270" s="2" t="s">
        <v>994</v>
      </c>
      <c r="I270" s="2" t="s">
        <v>36</v>
      </c>
      <c r="J270" s="2" t="s">
        <v>37</v>
      </c>
      <c r="K270" s="2" t="s">
        <v>39</v>
      </c>
      <c r="L270" s="2" t="s">
        <v>38</v>
      </c>
      <c r="M270" s="2" t="s">
        <v>39</v>
      </c>
      <c r="N270" s="2" t="s">
        <v>38</v>
      </c>
      <c r="O270" s="2" t="s">
        <v>38</v>
      </c>
      <c r="P270" s="2" t="s">
        <v>39</v>
      </c>
      <c r="Q270" s="2" t="s">
        <v>39</v>
      </c>
      <c r="R270" s="2" t="s">
        <v>38</v>
      </c>
      <c r="S270" s="2" t="s">
        <v>39</v>
      </c>
      <c r="T270" s="2" t="s">
        <v>39</v>
      </c>
      <c r="U270" s="2" t="s">
        <v>39</v>
      </c>
      <c r="V270" s="2" t="s">
        <v>39</v>
      </c>
      <c r="W270" s="2" t="s">
        <v>38</v>
      </c>
      <c r="X270" s="2" t="s">
        <v>39</v>
      </c>
      <c r="Y270" s="2" t="s">
        <v>38</v>
      </c>
      <c r="Z270" s="2" t="s">
        <v>39</v>
      </c>
      <c r="AA270" s="2" t="s">
        <v>38</v>
      </c>
      <c r="AB270" s="2" t="s">
        <v>39</v>
      </c>
      <c r="AC270" s="2" t="s">
        <v>38</v>
      </c>
      <c r="AD270" s="2" t="s">
        <v>38</v>
      </c>
      <c r="AE270" s="2" t="s">
        <v>39</v>
      </c>
    </row>
    <row r="271" spans="1:31" ht="409.5">
      <c r="A271" s="2">
        <v>2765137</v>
      </c>
      <c r="B271" s="2">
        <f>HYPERLINK("https://platform.v2.vetology.net/cases/2765137/screening-report/1?type=pdf&amp;v=v6&amp;scorecard=1&amp;secret_key=BX%25IJ%24%2F65ieZ%29f6", 2765137)</f>
        <v>2765137</v>
      </c>
      <c r="C271" s="2">
        <f>HYPERLINK("https://platform.v2.vetology.net/report/v/final/"&amp;2765137, 2765137)</f>
        <v>2765137</v>
      </c>
      <c r="D271" s="2" t="s">
        <v>995</v>
      </c>
      <c r="E271" s="2" t="s">
        <v>996</v>
      </c>
      <c r="F271" s="2" t="s">
        <v>997</v>
      </c>
      <c r="G271" s="2" t="s">
        <v>556</v>
      </c>
      <c r="H271" s="2" t="s">
        <v>998</v>
      </c>
      <c r="I271" s="2" t="s">
        <v>36</v>
      </c>
      <c r="J271" s="2" t="s">
        <v>37</v>
      </c>
      <c r="K271" s="2" t="s">
        <v>38</v>
      </c>
      <c r="L271" s="2" t="s">
        <v>38</v>
      </c>
      <c r="M271" s="2" t="s">
        <v>38</v>
      </c>
      <c r="N271" s="2" t="s">
        <v>39</v>
      </c>
      <c r="O271" s="2" t="s">
        <v>38</v>
      </c>
      <c r="P271" s="2" t="s">
        <v>39</v>
      </c>
      <c r="Q271" s="2" t="s">
        <v>39</v>
      </c>
      <c r="R271" s="2" t="s">
        <v>38</v>
      </c>
      <c r="S271" s="2" t="s">
        <v>38</v>
      </c>
      <c r="T271" s="2" t="s">
        <v>39</v>
      </c>
      <c r="U271" s="2" t="s">
        <v>38</v>
      </c>
      <c r="V271" s="2" t="s">
        <v>38</v>
      </c>
      <c r="W271" s="2" t="s">
        <v>39</v>
      </c>
      <c r="X271" s="2" t="s">
        <v>39</v>
      </c>
      <c r="Y271" s="2" t="s">
        <v>39</v>
      </c>
      <c r="Z271" s="2" t="s">
        <v>38</v>
      </c>
      <c r="AA271" s="2" t="s">
        <v>39</v>
      </c>
      <c r="AB271" s="2" t="s">
        <v>39</v>
      </c>
      <c r="AC271" s="2" t="s">
        <v>38</v>
      </c>
      <c r="AD271" s="2" t="s">
        <v>38</v>
      </c>
      <c r="AE271" s="2" t="s">
        <v>39</v>
      </c>
    </row>
    <row r="272" spans="1:31" ht="409.5">
      <c r="A272" s="2">
        <v>2765050</v>
      </c>
      <c r="B272" s="2">
        <f>HYPERLINK("https://platform.v2.vetology.net/cases/2765050/screening-report/1?type=pdf&amp;v=v6&amp;scorecard=1&amp;secret_key=BX%25IJ%24%2F65ieZ%29f6", 2765050)</f>
        <v>2765050</v>
      </c>
      <c r="C272" s="2">
        <f>HYPERLINK("https://platform.v2.vetology.net/report/v/final/"&amp;2765050, 2765050)</f>
        <v>2765050</v>
      </c>
      <c r="D272" s="2" t="s">
        <v>999</v>
      </c>
      <c r="E272" s="2" t="s">
        <v>1000</v>
      </c>
      <c r="F272" s="2" t="s">
        <v>43</v>
      </c>
      <c r="G272" s="2" t="s">
        <v>44</v>
      </c>
      <c r="H272" s="2" t="s">
        <v>1001</v>
      </c>
      <c r="I272" s="2" t="s">
        <v>36</v>
      </c>
      <c r="J272" s="2" t="s">
        <v>37</v>
      </c>
      <c r="K272" s="2" t="s">
        <v>38</v>
      </c>
      <c r="L272" s="2" t="s">
        <v>38</v>
      </c>
      <c r="M272" s="2" t="s">
        <v>39</v>
      </c>
      <c r="N272" s="2" t="s">
        <v>39</v>
      </c>
      <c r="O272" s="2" t="s">
        <v>38</v>
      </c>
      <c r="P272" s="2" t="s">
        <v>39</v>
      </c>
      <c r="Q272" s="2" t="s">
        <v>39</v>
      </c>
      <c r="R272" s="2" t="s">
        <v>38</v>
      </c>
      <c r="S272" s="2" t="s">
        <v>38</v>
      </c>
      <c r="T272" s="2" t="s">
        <v>39</v>
      </c>
      <c r="U272" s="2" t="s">
        <v>38</v>
      </c>
      <c r="V272" s="2" t="s">
        <v>39</v>
      </c>
      <c r="W272" s="2" t="s">
        <v>39</v>
      </c>
      <c r="X272" s="2" t="s">
        <v>39</v>
      </c>
      <c r="Y272" s="2" t="s">
        <v>39</v>
      </c>
      <c r="Z272" s="2" t="s">
        <v>38</v>
      </c>
      <c r="AA272" s="2" t="s">
        <v>38</v>
      </c>
      <c r="AB272" s="2" t="s">
        <v>39</v>
      </c>
      <c r="AC272" s="2" t="s">
        <v>38</v>
      </c>
      <c r="AD272" s="2" t="s">
        <v>38</v>
      </c>
      <c r="AE272" s="2" t="s">
        <v>40</v>
      </c>
    </row>
    <row r="273" spans="1:31" ht="409.5">
      <c r="A273" s="2">
        <v>2765035</v>
      </c>
      <c r="B273" s="2">
        <f>HYPERLINK("https://platform.v2.vetology.net/cases/2765035/screening-report/1?type=pdf&amp;v=v6&amp;scorecard=1&amp;secret_key=BX%25IJ%24%2F65ieZ%29f6", 2765035)</f>
        <v>2765035</v>
      </c>
      <c r="C273" s="2">
        <f>HYPERLINK("https://platform.v2.vetology.net/report/v/final/"&amp;2765035, 2765035)</f>
        <v>2765035</v>
      </c>
      <c r="D273" s="2" t="s">
        <v>1002</v>
      </c>
      <c r="E273" s="2" t="s">
        <v>1003</v>
      </c>
      <c r="F273" s="2"/>
      <c r="G273" s="2" t="s">
        <v>81</v>
      </c>
      <c r="H273" s="2" t="s">
        <v>1004</v>
      </c>
      <c r="I273" s="2" t="s">
        <v>36</v>
      </c>
      <c r="J273" s="2" t="s">
        <v>37</v>
      </c>
      <c r="K273" s="2" t="s">
        <v>38</v>
      </c>
      <c r="L273" s="2" t="s">
        <v>38</v>
      </c>
      <c r="M273" s="2" t="s">
        <v>39</v>
      </c>
      <c r="N273" s="2" t="s">
        <v>39</v>
      </c>
      <c r="O273" s="2" t="s">
        <v>39</v>
      </c>
      <c r="P273" s="2" t="s">
        <v>39</v>
      </c>
      <c r="Q273" s="2" t="s">
        <v>39</v>
      </c>
      <c r="R273" s="2" t="s">
        <v>38</v>
      </c>
      <c r="S273" s="2" t="s">
        <v>38</v>
      </c>
      <c r="T273" s="2" t="s">
        <v>39</v>
      </c>
      <c r="U273" s="2" t="s">
        <v>39</v>
      </c>
      <c r="V273" s="2" t="s">
        <v>38</v>
      </c>
      <c r="W273" s="2" t="s">
        <v>38</v>
      </c>
      <c r="X273" s="2" t="s">
        <v>39</v>
      </c>
      <c r="Y273" s="2" t="s">
        <v>39</v>
      </c>
      <c r="Z273" s="2" t="s">
        <v>38</v>
      </c>
      <c r="AA273" s="2" t="s">
        <v>39</v>
      </c>
      <c r="AB273" s="2" t="s">
        <v>39</v>
      </c>
      <c r="AC273" s="2" t="s">
        <v>38</v>
      </c>
      <c r="AD273" s="2" t="s">
        <v>38</v>
      </c>
      <c r="AE273" s="2" t="s">
        <v>39</v>
      </c>
    </row>
    <row r="274" spans="1:31" ht="409.5">
      <c r="A274" s="2">
        <v>2765034</v>
      </c>
      <c r="B274" s="2">
        <f>HYPERLINK("https://platform.v2.vetology.net/cases/2765034/screening-report/1?type=pdf&amp;v=v6&amp;scorecard=1&amp;secret_key=BX%25IJ%24%2F65ieZ%29f6", 2765034)</f>
        <v>2765034</v>
      </c>
      <c r="C274" s="2">
        <f>HYPERLINK("https://platform.v2.vetology.net/report/v/final/"&amp;2765034, 2765034)</f>
        <v>2765034</v>
      </c>
      <c r="D274" s="2" t="s">
        <v>1005</v>
      </c>
      <c r="E274" s="2" t="s">
        <v>1006</v>
      </c>
      <c r="F274" s="2"/>
      <c r="G274" s="2" t="s">
        <v>81</v>
      </c>
      <c r="H274" s="2" t="s">
        <v>1007</v>
      </c>
      <c r="I274" s="2" t="s">
        <v>36</v>
      </c>
      <c r="J274" s="2" t="s">
        <v>37</v>
      </c>
      <c r="K274" s="2" t="s">
        <v>39</v>
      </c>
      <c r="L274" s="2" t="s">
        <v>38</v>
      </c>
      <c r="M274" s="2" t="s">
        <v>38</v>
      </c>
      <c r="N274" s="2" t="s">
        <v>39</v>
      </c>
      <c r="O274" s="2" t="s">
        <v>38</v>
      </c>
      <c r="P274" s="2" t="s">
        <v>39</v>
      </c>
      <c r="Q274" s="2" t="s">
        <v>39</v>
      </c>
      <c r="R274" s="2" t="s">
        <v>38</v>
      </c>
      <c r="S274" s="2" t="s">
        <v>39</v>
      </c>
      <c r="T274" s="2" t="s">
        <v>39</v>
      </c>
      <c r="U274" s="2" t="s">
        <v>39</v>
      </c>
      <c r="V274" s="2" t="s">
        <v>39</v>
      </c>
      <c r="W274" s="2" t="s">
        <v>38</v>
      </c>
      <c r="X274" s="2" t="s">
        <v>39</v>
      </c>
      <c r="Y274" s="2" t="s">
        <v>39</v>
      </c>
      <c r="Z274" s="2" t="s">
        <v>39</v>
      </c>
      <c r="AA274" s="2" t="s">
        <v>39</v>
      </c>
      <c r="AB274" s="2" t="s">
        <v>39</v>
      </c>
      <c r="AC274" s="2" t="s">
        <v>38</v>
      </c>
      <c r="AD274" s="2" t="s">
        <v>38</v>
      </c>
      <c r="AE274" s="2"/>
    </row>
    <row r="275" spans="1:31" ht="409.5">
      <c r="A275" s="2">
        <v>2765020</v>
      </c>
      <c r="B275" s="2">
        <f>HYPERLINK("https://platform.v2.vetology.net/cases/2765020/screening-report/1?type=pdf&amp;v=v6&amp;scorecard=1&amp;secret_key=BX%25IJ%24%2F65ieZ%29f6", 2765020)</f>
        <v>2765020</v>
      </c>
      <c r="C275" s="2">
        <f>HYPERLINK("https://platform.v2.vetology.net/report/v/final/"&amp;2765020, 2765020)</f>
        <v>2765020</v>
      </c>
      <c r="D275" s="2" t="s">
        <v>1008</v>
      </c>
      <c r="E275" s="2" t="s">
        <v>355</v>
      </c>
      <c r="F275" s="2" t="s">
        <v>356</v>
      </c>
      <c r="G275" s="2" t="s">
        <v>100</v>
      </c>
      <c r="H275" s="2" t="s">
        <v>1009</v>
      </c>
      <c r="I275" s="2" t="s">
        <v>73</v>
      </c>
      <c r="J275" s="2" t="s">
        <v>74</v>
      </c>
      <c r="K275" s="2" t="s">
        <v>38</v>
      </c>
      <c r="L275" s="2" t="s">
        <v>38</v>
      </c>
      <c r="M275" s="2" t="s">
        <v>38</v>
      </c>
      <c r="N275" s="2" t="s">
        <v>38</v>
      </c>
      <c r="O275" s="2" t="s">
        <v>38</v>
      </c>
      <c r="P275" s="2" t="s">
        <v>38</v>
      </c>
      <c r="Q275" s="2" t="s">
        <v>38</v>
      </c>
      <c r="R275" s="2" t="s">
        <v>38</v>
      </c>
      <c r="S275" s="2" t="s">
        <v>38</v>
      </c>
      <c r="T275" s="2" t="s">
        <v>38</v>
      </c>
      <c r="U275" s="2" t="s">
        <v>38</v>
      </c>
      <c r="V275" s="2" t="s">
        <v>38</v>
      </c>
      <c r="W275" s="2" t="s">
        <v>38</v>
      </c>
      <c r="X275" s="2" t="s">
        <v>38</v>
      </c>
      <c r="Y275" s="2" t="s">
        <v>39</v>
      </c>
      <c r="Z275" s="2" t="s">
        <v>38</v>
      </c>
      <c r="AA275" s="2" t="s">
        <v>38</v>
      </c>
      <c r="AB275" s="2" t="s">
        <v>38</v>
      </c>
      <c r="AC275" s="2" t="s">
        <v>38</v>
      </c>
      <c r="AD275" s="2" t="s">
        <v>38</v>
      </c>
      <c r="AE275" s="2" t="s">
        <v>39</v>
      </c>
    </row>
    <row r="276" spans="1:31" ht="409.5">
      <c r="A276" s="2">
        <v>2764969</v>
      </c>
      <c r="B276" s="2">
        <f>HYPERLINK("https://platform.v2.vetology.net/cases/2764969/screening-report/1?type=pdf&amp;v=v6&amp;scorecard=1&amp;secret_key=BX%25IJ%24%2F65ieZ%29f6", 2764969)</f>
        <v>2764969</v>
      </c>
      <c r="C276" s="2">
        <f>HYPERLINK("https://platform.v2.vetology.net/report/v/final/"&amp;2764969, 2764969)</f>
        <v>2764969</v>
      </c>
      <c r="D276" s="2" t="s">
        <v>1010</v>
      </c>
      <c r="E276" s="2" t="s">
        <v>1011</v>
      </c>
      <c r="F276" s="2" t="s">
        <v>1012</v>
      </c>
      <c r="G276" s="2" t="s">
        <v>556</v>
      </c>
      <c r="H276" s="2" t="s">
        <v>45</v>
      </c>
      <c r="I276" s="2" t="s">
        <v>46</v>
      </c>
      <c r="J276" s="2"/>
      <c r="K276" s="2" t="s">
        <v>39</v>
      </c>
      <c r="L276" s="2" t="s">
        <v>39</v>
      </c>
      <c r="M276" s="2" t="s">
        <v>39</v>
      </c>
      <c r="N276" s="2" t="s">
        <v>39</v>
      </c>
      <c r="O276" s="2" t="s">
        <v>39</v>
      </c>
      <c r="P276" s="2" t="s">
        <v>39</v>
      </c>
      <c r="Q276" s="2" t="s">
        <v>39</v>
      </c>
      <c r="R276" s="2" t="s">
        <v>38</v>
      </c>
      <c r="S276" s="2" t="s">
        <v>39</v>
      </c>
      <c r="T276" s="2" t="s">
        <v>39</v>
      </c>
      <c r="U276" s="2" t="s">
        <v>39</v>
      </c>
      <c r="V276" s="2" t="s">
        <v>39</v>
      </c>
      <c r="W276" s="2" t="s">
        <v>39</v>
      </c>
      <c r="X276" s="2" t="s">
        <v>39</v>
      </c>
      <c r="Y276" s="2" t="s">
        <v>39</v>
      </c>
      <c r="Z276" s="2" t="s">
        <v>39</v>
      </c>
      <c r="AA276" s="2" t="s">
        <v>39</v>
      </c>
      <c r="AB276" s="2" t="s">
        <v>39</v>
      </c>
      <c r="AC276" s="2" t="s">
        <v>38</v>
      </c>
      <c r="AD276" s="2" t="s">
        <v>39</v>
      </c>
      <c r="AE276" s="2" t="s">
        <v>39</v>
      </c>
    </row>
    <row r="277" spans="1:31" ht="409.5">
      <c r="A277" s="2">
        <v>2764948</v>
      </c>
      <c r="B277" s="2">
        <f>HYPERLINK("https://platform.v2.vetology.net/cases/2764948/screening-report/1?type=pdf&amp;v=v6&amp;scorecard=1&amp;secret_key=BX%25IJ%24%2F65ieZ%29f6", 2764948)</f>
        <v>2764948</v>
      </c>
      <c r="C277" s="2">
        <f>HYPERLINK("https://platform.v2.vetology.net/report/v/final/"&amp;2764948, 2764948)</f>
        <v>2764948</v>
      </c>
      <c r="D277" s="2" t="s">
        <v>1013</v>
      </c>
      <c r="E277" s="2" t="s">
        <v>1014</v>
      </c>
      <c r="F277" s="2" t="s">
        <v>1015</v>
      </c>
      <c r="G277" s="2" t="s">
        <v>170</v>
      </c>
      <c r="H277" s="2" t="s">
        <v>1016</v>
      </c>
      <c r="I277" s="2" t="s">
        <v>36</v>
      </c>
      <c r="J277" s="2" t="s">
        <v>37</v>
      </c>
      <c r="K277" s="2" t="s">
        <v>39</v>
      </c>
      <c r="L277" s="2" t="s">
        <v>38</v>
      </c>
      <c r="M277" s="2" t="s">
        <v>38</v>
      </c>
      <c r="N277" s="2" t="s">
        <v>38</v>
      </c>
      <c r="O277" s="2" t="s">
        <v>39</v>
      </c>
      <c r="P277" s="2" t="s">
        <v>38</v>
      </c>
      <c r="Q277" s="2" t="s">
        <v>39</v>
      </c>
      <c r="R277" s="2" t="s">
        <v>38</v>
      </c>
      <c r="S277" s="2" t="s">
        <v>39</v>
      </c>
      <c r="T277" s="2" t="s">
        <v>39</v>
      </c>
      <c r="U277" s="2" t="s">
        <v>39</v>
      </c>
      <c r="V277" s="2" t="s">
        <v>39</v>
      </c>
      <c r="W277" s="2" t="s">
        <v>39</v>
      </c>
      <c r="X277" s="2" t="s">
        <v>39</v>
      </c>
      <c r="Y277" s="2" t="s">
        <v>39</v>
      </c>
      <c r="Z277" s="2" t="s">
        <v>39</v>
      </c>
      <c r="AA277" s="2" t="s">
        <v>39</v>
      </c>
      <c r="AB277" s="2" t="s">
        <v>39</v>
      </c>
      <c r="AC277" s="2" t="s">
        <v>38</v>
      </c>
      <c r="AD277" s="2" t="s">
        <v>38</v>
      </c>
      <c r="AE277" s="2"/>
    </row>
    <row r="278" spans="1:31" ht="409.5">
      <c r="A278" s="2">
        <v>2764947</v>
      </c>
      <c r="B278" s="2">
        <f>HYPERLINK("https://platform.v2.vetology.net/cases/2764947/screening-report/1?type=pdf&amp;v=v6&amp;scorecard=1&amp;secret_key=BX%25IJ%24%2F65ieZ%29f6", 2764947)</f>
        <v>2764947</v>
      </c>
      <c r="C278" s="2">
        <f>HYPERLINK("https://platform.v2.vetology.net/report/v/final/"&amp;2764947, 2764947)</f>
        <v>2764947</v>
      </c>
      <c r="D278" s="2" t="s">
        <v>1017</v>
      </c>
      <c r="E278" s="2" t="s">
        <v>1018</v>
      </c>
      <c r="F278" s="2" t="s">
        <v>1019</v>
      </c>
      <c r="G278" s="2" t="s">
        <v>127</v>
      </c>
      <c r="H278" s="2" t="s">
        <v>1020</v>
      </c>
      <c r="I278" s="2" t="s">
        <v>73</v>
      </c>
      <c r="J278" s="2" t="s">
        <v>74</v>
      </c>
      <c r="K278" s="2" t="s">
        <v>38</v>
      </c>
      <c r="L278" s="2" t="s">
        <v>38</v>
      </c>
      <c r="M278" s="2" t="s">
        <v>38</v>
      </c>
      <c r="N278" s="2" t="s">
        <v>38</v>
      </c>
      <c r="O278" s="2" t="s">
        <v>38</v>
      </c>
      <c r="P278" s="2" t="s">
        <v>38</v>
      </c>
      <c r="Q278" s="2" t="s">
        <v>38</v>
      </c>
      <c r="R278" s="2" t="s">
        <v>38</v>
      </c>
      <c r="S278" s="2" t="s">
        <v>38</v>
      </c>
      <c r="T278" s="2" t="s">
        <v>38</v>
      </c>
      <c r="U278" s="2" t="s">
        <v>38</v>
      </c>
      <c r="V278" s="2" t="s">
        <v>38</v>
      </c>
      <c r="W278" s="2" t="s">
        <v>38</v>
      </c>
      <c r="X278" s="2" t="s">
        <v>38</v>
      </c>
      <c r="Y278" s="2" t="s">
        <v>38</v>
      </c>
      <c r="Z278" s="2" t="s">
        <v>38</v>
      </c>
      <c r="AA278" s="2" t="s">
        <v>38</v>
      </c>
      <c r="AB278" s="2" t="s">
        <v>38</v>
      </c>
      <c r="AC278" s="2" t="s">
        <v>38</v>
      </c>
      <c r="AD278" s="2" t="s">
        <v>38</v>
      </c>
      <c r="AE278" s="2" t="s">
        <v>40</v>
      </c>
    </row>
    <row r="279" spans="1:31" ht="409.5">
      <c r="A279" s="2">
        <v>2764945</v>
      </c>
      <c r="B279" s="2">
        <f>HYPERLINK("https://platform.v2.vetology.net/cases/2764945/screening-report/1?type=pdf&amp;v=v6&amp;scorecard=1&amp;secret_key=BX%25IJ%24%2F65ieZ%29f6", 2764945)</f>
        <v>2764945</v>
      </c>
      <c r="C279" s="2">
        <f>HYPERLINK("https://platform.v2.vetology.net/report/v/final/"&amp;2764945, 2764945)</f>
        <v>2764945</v>
      </c>
      <c r="D279" s="2" t="s">
        <v>1021</v>
      </c>
      <c r="E279" s="2" t="s">
        <v>1022</v>
      </c>
      <c r="F279" s="2" t="s">
        <v>1023</v>
      </c>
      <c r="G279" s="2" t="s">
        <v>556</v>
      </c>
      <c r="H279" s="2" t="s">
        <v>1024</v>
      </c>
      <c r="I279" s="2" t="s">
        <v>73</v>
      </c>
      <c r="J279" s="2" t="s">
        <v>74</v>
      </c>
      <c r="K279" s="2" t="s">
        <v>38</v>
      </c>
      <c r="L279" s="2" t="s">
        <v>38</v>
      </c>
      <c r="M279" s="2" t="s">
        <v>38</v>
      </c>
      <c r="N279" s="2" t="s">
        <v>38</v>
      </c>
      <c r="O279" s="2" t="s">
        <v>38</v>
      </c>
      <c r="P279" s="2" t="s">
        <v>38</v>
      </c>
      <c r="Q279" s="2" t="s">
        <v>38</v>
      </c>
      <c r="R279" s="2" t="s">
        <v>38</v>
      </c>
      <c r="S279" s="2" t="s">
        <v>38</v>
      </c>
      <c r="T279" s="2" t="s">
        <v>38</v>
      </c>
      <c r="U279" s="2" t="s">
        <v>39</v>
      </c>
      <c r="V279" s="2" t="s">
        <v>38</v>
      </c>
      <c r="W279" s="2" t="s">
        <v>38</v>
      </c>
      <c r="X279" s="2" t="s">
        <v>38</v>
      </c>
      <c r="Y279" s="2" t="s">
        <v>39</v>
      </c>
      <c r="Z279" s="2" t="s">
        <v>38</v>
      </c>
      <c r="AA279" s="2" t="s">
        <v>38</v>
      </c>
      <c r="AB279" s="2" t="s">
        <v>38</v>
      </c>
      <c r="AC279" s="2" t="s">
        <v>38</v>
      </c>
      <c r="AD279" s="2" t="s">
        <v>38</v>
      </c>
      <c r="AE279" s="2" t="s">
        <v>40</v>
      </c>
    </row>
    <row r="280" spans="1:31" ht="409.5">
      <c r="A280" s="2">
        <v>2764899</v>
      </c>
      <c r="B280" s="2">
        <f>HYPERLINK("https://platform.v2.vetology.net/cases/2764899/screening-report/1?type=pdf&amp;v=v6&amp;scorecard=1&amp;secret_key=BX%25IJ%24%2F65ieZ%29f6", 2764899)</f>
        <v>2764899</v>
      </c>
      <c r="C280" s="2">
        <f>HYPERLINK("https://platform.v2.vetology.net/report/v/final/"&amp;2764899, 2764899)</f>
        <v>2764899</v>
      </c>
      <c r="D280" s="2" t="s">
        <v>1025</v>
      </c>
      <c r="E280" s="2" t="s">
        <v>1026</v>
      </c>
      <c r="F280" s="2" t="s">
        <v>1027</v>
      </c>
      <c r="G280" s="2" t="s">
        <v>556</v>
      </c>
      <c r="H280" s="2" t="s">
        <v>45</v>
      </c>
      <c r="I280" s="2" t="s">
        <v>46</v>
      </c>
      <c r="J280" s="2"/>
      <c r="K280" s="2" t="s">
        <v>39</v>
      </c>
      <c r="L280" s="2" t="s">
        <v>39</v>
      </c>
      <c r="M280" s="2" t="s">
        <v>39</v>
      </c>
      <c r="N280" s="2" t="s">
        <v>39</v>
      </c>
      <c r="O280" s="2" t="s">
        <v>39</v>
      </c>
      <c r="P280" s="2" t="s">
        <v>39</v>
      </c>
      <c r="Q280" s="2" t="s">
        <v>39</v>
      </c>
      <c r="R280" s="2" t="s">
        <v>38</v>
      </c>
      <c r="S280" s="2" t="s">
        <v>39</v>
      </c>
      <c r="T280" s="2" t="s">
        <v>39</v>
      </c>
      <c r="U280" s="2" t="s">
        <v>39</v>
      </c>
      <c r="V280" s="2" t="s">
        <v>39</v>
      </c>
      <c r="W280" s="2" t="s">
        <v>38</v>
      </c>
      <c r="X280" s="2" t="s">
        <v>39</v>
      </c>
      <c r="Y280" s="2" t="s">
        <v>39</v>
      </c>
      <c r="Z280" s="2" t="s">
        <v>39</v>
      </c>
      <c r="AA280" s="2" t="s">
        <v>39</v>
      </c>
      <c r="AB280" s="2" t="s">
        <v>39</v>
      </c>
      <c r="AC280" s="2" t="s">
        <v>38</v>
      </c>
      <c r="AD280" s="2" t="s">
        <v>39</v>
      </c>
      <c r="AE280" s="2" t="s">
        <v>40</v>
      </c>
    </row>
    <row r="281" spans="1:31" ht="409.5">
      <c r="A281" s="2">
        <v>2764883</v>
      </c>
      <c r="B281" s="2">
        <f>HYPERLINK("https://platform.v2.vetology.net/cases/2764883/screening-report/1?type=pdf&amp;v=v6&amp;scorecard=1&amp;secret_key=BX%25IJ%24%2F65ieZ%29f6", 2764883)</f>
        <v>2764883</v>
      </c>
      <c r="C281" s="2">
        <f>HYPERLINK("https://platform.v2.vetology.net/report/v/final/"&amp;2764883, 2764883)</f>
        <v>2764883</v>
      </c>
      <c r="D281" s="2" t="s">
        <v>1028</v>
      </c>
      <c r="E281" s="2" t="s">
        <v>1029</v>
      </c>
      <c r="F281" s="2" t="s">
        <v>43</v>
      </c>
      <c r="G281" s="2" t="s">
        <v>100</v>
      </c>
      <c r="H281" s="2" t="s">
        <v>1030</v>
      </c>
      <c r="I281" s="2" t="s">
        <v>73</v>
      </c>
      <c r="J281" s="2" t="s">
        <v>74</v>
      </c>
      <c r="K281" s="2" t="s">
        <v>38</v>
      </c>
      <c r="L281" s="2" t="s">
        <v>38</v>
      </c>
      <c r="M281" s="2" t="s">
        <v>38</v>
      </c>
      <c r="N281" s="2" t="s">
        <v>38</v>
      </c>
      <c r="O281" s="2" t="s">
        <v>38</v>
      </c>
      <c r="P281" s="2" t="s">
        <v>38</v>
      </c>
      <c r="Q281" s="2" t="s">
        <v>38</v>
      </c>
      <c r="R281" s="2" t="s">
        <v>39</v>
      </c>
      <c r="S281" s="2" t="s">
        <v>39</v>
      </c>
      <c r="T281" s="2" t="s">
        <v>38</v>
      </c>
      <c r="U281" s="2" t="s">
        <v>38</v>
      </c>
      <c r="V281" s="2" t="s">
        <v>38</v>
      </c>
      <c r="W281" s="2" t="s">
        <v>38</v>
      </c>
      <c r="X281" s="2" t="s">
        <v>38</v>
      </c>
      <c r="Y281" s="2" t="s">
        <v>38</v>
      </c>
      <c r="Z281" s="2" t="s">
        <v>38</v>
      </c>
      <c r="AA281" s="2" t="s">
        <v>39</v>
      </c>
      <c r="AB281" s="2" t="s">
        <v>38</v>
      </c>
      <c r="AC281" s="2" t="s">
        <v>39</v>
      </c>
      <c r="AD281" s="2" t="s">
        <v>38</v>
      </c>
      <c r="AE281" s="2" t="s">
        <v>39</v>
      </c>
    </row>
    <row r="282" spans="1:31" ht="409.5">
      <c r="A282" s="2">
        <v>2764874</v>
      </c>
      <c r="B282" s="2">
        <f>HYPERLINK("https://platform.v2.vetology.net/cases/2764874/screening-report/1?type=pdf&amp;v=v6&amp;scorecard=1&amp;secret_key=BX%25IJ%24%2F65ieZ%29f6", 2764874)</f>
        <v>2764874</v>
      </c>
      <c r="C282" s="2">
        <f>HYPERLINK("https://platform.v2.vetology.net/report/v/final/"&amp;2764874, 2764874)</f>
        <v>2764874</v>
      </c>
      <c r="D282" s="2" t="s">
        <v>302</v>
      </c>
      <c r="E282" s="2" t="s">
        <v>99</v>
      </c>
      <c r="F282" s="2" t="s">
        <v>1031</v>
      </c>
      <c r="G282" s="2" t="s">
        <v>100</v>
      </c>
      <c r="H282" s="2" t="s">
        <v>1032</v>
      </c>
      <c r="I282" s="2" t="s">
        <v>36</v>
      </c>
      <c r="J282" s="2" t="s">
        <v>37</v>
      </c>
      <c r="K282" s="2" t="s">
        <v>39</v>
      </c>
      <c r="L282" s="2" t="s">
        <v>39</v>
      </c>
      <c r="M282" s="2" t="s">
        <v>39</v>
      </c>
      <c r="N282" s="2" t="s">
        <v>38</v>
      </c>
      <c r="O282" s="2" t="s">
        <v>38</v>
      </c>
      <c r="P282" s="2" t="s">
        <v>39</v>
      </c>
      <c r="Q282" s="2" t="s">
        <v>39</v>
      </c>
      <c r="R282" s="2" t="s">
        <v>39</v>
      </c>
      <c r="S282" s="2" t="s">
        <v>39</v>
      </c>
      <c r="T282" s="2" t="s">
        <v>39</v>
      </c>
      <c r="U282" s="2" t="s">
        <v>39</v>
      </c>
      <c r="V282" s="2" t="s">
        <v>39</v>
      </c>
      <c r="W282" s="2" t="s">
        <v>38</v>
      </c>
      <c r="X282" s="2" t="s">
        <v>39</v>
      </c>
      <c r="Y282" s="2" t="s">
        <v>39</v>
      </c>
      <c r="Z282" s="2" t="s">
        <v>38</v>
      </c>
      <c r="AA282" s="2" t="s">
        <v>39</v>
      </c>
      <c r="AB282" s="2" t="s">
        <v>39</v>
      </c>
      <c r="AC282" s="2" t="s">
        <v>38</v>
      </c>
      <c r="AD282" s="2" t="s">
        <v>39</v>
      </c>
      <c r="AE282" s="2" t="s">
        <v>39</v>
      </c>
    </row>
    <row r="283" spans="1:31" ht="409.5">
      <c r="A283" s="2">
        <v>2764871</v>
      </c>
      <c r="B283" s="2">
        <f>HYPERLINK("https://platform.v2.vetology.net/cases/2764871/screening-report/1?type=pdf&amp;v=v6&amp;scorecard=1&amp;secret_key=BX%25IJ%24%2F65ieZ%29f6", 2764871)</f>
        <v>2764871</v>
      </c>
      <c r="C283" s="2">
        <f>HYPERLINK("https://platform.v2.vetology.net/report/v/final/"&amp;2764871, 2764871)</f>
        <v>2764871</v>
      </c>
      <c r="D283" s="2" t="s">
        <v>1033</v>
      </c>
      <c r="E283" s="2" t="s">
        <v>1034</v>
      </c>
      <c r="F283" s="2" t="s">
        <v>1035</v>
      </c>
      <c r="G283" s="2" t="s">
        <v>170</v>
      </c>
      <c r="H283" s="2" t="s">
        <v>1036</v>
      </c>
      <c r="I283" s="2" t="s">
        <v>36</v>
      </c>
      <c r="J283" s="2" t="s">
        <v>37</v>
      </c>
      <c r="K283" s="2" t="s">
        <v>38</v>
      </c>
      <c r="L283" s="2" t="s">
        <v>39</v>
      </c>
      <c r="M283" s="2" t="s">
        <v>38</v>
      </c>
      <c r="N283" s="2" t="s">
        <v>39</v>
      </c>
      <c r="O283" s="2" t="s">
        <v>38</v>
      </c>
      <c r="P283" s="2" t="s">
        <v>38</v>
      </c>
      <c r="Q283" s="2" t="s">
        <v>39</v>
      </c>
      <c r="R283" s="2" t="s">
        <v>39</v>
      </c>
      <c r="S283" s="2" t="s">
        <v>39</v>
      </c>
      <c r="T283" s="2" t="s">
        <v>39</v>
      </c>
      <c r="U283" s="2" t="s">
        <v>38</v>
      </c>
      <c r="V283" s="2" t="s">
        <v>38</v>
      </c>
      <c r="W283" s="2" t="s">
        <v>38</v>
      </c>
      <c r="X283" s="2" t="s">
        <v>39</v>
      </c>
      <c r="Y283" s="2" t="s">
        <v>39</v>
      </c>
      <c r="Z283" s="2" t="s">
        <v>38</v>
      </c>
      <c r="AA283" s="2" t="s">
        <v>39</v>
      </c>
      <c r="AB283" s="2" t="s">
        <v>39</v>
      </c>
      <c r="AC283" s="2" t="s">
        <v>38</v>
      </c>
      <c r="AD283" s="2" t="s">
        <v>39</v>
      </c>
      <c r="AE283" s="2" t="s">
        <v>39</v>
      </c>
    </row>
    <row r="284" spans="1:31" ht="409.5">
      <c r="A284" s="2">
        <v>2764845</v>
      </c>
      <c r="B284" s="2">
        <f>HYPERLINK("https://platform.v2.vetology.net/cases/2764845/screening-report/1?type=pdf&amp;v=v6&amp;scorecard=1&amp;secret_key=BX%25IJ%24%2F65ieZ%29f6", 2764845)</f>
        <v>2764845</v>
      </c>
      <c r="C284" s="2">
        <f>HYPERLINK("https://platform.v2.vetology.net/report/v/final/"&amp;2764845, 2764845)</f>
        <v>2764845</v>
      </c>
      <c r="D284" s="2" t="s">
        <v>1037</v>
      </c>
      <c r="E284" s="2" t="s">
        <v>1038</v>
      </c>
      <c r="F284" s="2" t="s">
        <v>1039</v>
      </c>
      <c r="G284" s="2" t="s">
        <v>127</v>
      </c>
      <c r="H284" s="2" t="s">
        <v>1040</v>
      </c>
      <c r="I284" s="2" t="s">
        <v>36</v>
      </c>
      <c r="J284" s="2" t="s">
        <v>37</v>
      </c>
      <c r="K284" s="2" t="s">
        <v>38</v>
      </c>
      <c r="L284" s="2" t="s">
        <v>38</v>
      </c>
      <c r="M284" s="2" t="s">
        <v>38</v>
      </c>
      <c r="N284" s="2" t="s">
        <v>38</v>
      </c>
      <c r="O284" s="2" t="s">
        <v>38</v>
      </c>
      <c r="P284" s="2" t="s">
        <v>39</v>
      </c>
      <c r="Q284" s="2" t="s">
        <v>39</v>
      </c>
      <c r="R284" s="2" t="s">
        <v>38</v>
      </c>
      <c r="S284" s="2" t="s">
        <v>38</v>
      </c>
      <c r="T284" s="2" t="s">
        <v>38</v>
      </c>
      <c r="U284" s="2" t="s">
        <v>38</v>
      </c>
      <c r="V284" s="2" t="s">
        <v>38</v>
      </c>
      <c r="W284" s="2" t="s">
        <v>38</v>
      </c>
      <c r="X284" s="2" t="s">
        <v>39</v>
      </c>
      <c r="Y284" s="2" t="s">
        <v>38</v>
      </c>
      <c r="Z284" s="2" t="s">
        <v>38</v>
      </c>
      <c r="AA284" s="2" t="s">
        <v>38</v>
      </c>
      <c r="AB284" s="2" t="s">
        <v>39</v>
      </c>
      <c r="AC284" s="2" t="s">
        <v>38</v>
      </c>
      <c r="AD284" s="2" t="s">
        <v>38</v>
      </c>
      <c r="AE284" s="2"/>
    </row>
    <row r="285" spans="1:31" ht="409.5">
      <c r="A285" s="2">
        <v>2764837</v>
      </c>
      <c r="B285" s="2">
        <f>HYPERLINK("https://platform.v2.vetology.net/cases/2764837/screening-report/1?type=pdf&amp;v=v6&amp;scorecard=1&amp;secret_key=BX%25IJ%24%2F65ieZ%29f6", 2764837)</f>
        <v>2764837</v>
      </c>
      <c r="C285" s="2">
        <f>HYPERLINK("https://platform.v2.vetology.net/report/v/final/"&amp;2764837, 2764837)</f>
        <v>2764837</v>
      </c>
      <c r="D285" s="2" t="s">
        <v>1041</v>
      </c>
      <c r="E285" s="2" t="s">
        <v>1042</v>
      </c>
      <c r="F285" s="2" t="s">
        <v>1043</v>
      </c>
      <c r="G285" s="2" t="s">
        <v>251</v>
      </c>
      <c r="H285" s="2" t="s">
        <v>69</v>
      </c>
      <c r="I285" s="2" t="s">
        <v>46</v>
      </c>
      <c r="J285" s="2"/>
      <c r="K285" s="2" t="s">
        <v>39</v>
      </c>
      <c r="L285" s="2" t="s">
        <v>39</v>
      </c>
      <c r="M285" s="2" t="s">
        <v>39</v>
      </c>
      <c r="N285" s="2" t="s">
        <v>39</v>
      </c>
      <c r="O285" s="2" t="s">
        <v>39</v>
      </c>
      <c r="P285" s="2" t="s">
        <v>39</v>
      </c>
      <c r="Q285" s="2" t="s">
        <v>39</v>
      </c>
      <c r="R285" s="2" t="s">
        <v>39</v>
      </c>
      <c r="S285" s="2" t="s">
        <v>39</v>
      </c>
      <c r="T285" s="2" t="s">
        <v>39</v>
      </c>
      <c r="U285" s="2" t="s">
        <v>39</v>
      </c>
      <c r="V285" s="2" t="s">
        <v>39</v>
      </c>
      <c r="W285" s="2" t="s">
        <v>39</v>
      </c>
      <c r="X285" s="2" t="s">
        <v>39</v>
      </c>
      <c r="Y285" s="2" t="s">
        <v>39</v>
      </c>
      <c r="Z285" s="2" t="s">
        <v>39</v>
      </c>
      <c r="AA285" s="2" t="s">
        <v>39</v>
      </c>
      <c r="AB285" s="2" t="s">
        <v>39</v>
      </c>
      <c r="AC285" s="2" t="s">
        <v>38</v>
      </c>
      <c r="AD285" s="2" t="s">
        <v>39</v>
      </c>
      <c r="AE285" s="2" t="s">
        <v>40</v>
      </c>
    </row>
    <row r="286" spans="1:31" ht="409.5">
      <c r="A286" s="2">
        <v>2764768</v>
      </c>
      <c r="B286" s="2">
        <f>HYPERLINK("https://platform.v2.vetology.net/cases/2764768/screening-report/1?type=pdf&amp;v=v6&amp;scorecard=1&amp;secret_key=BX%25IJ%24%2F65ieZ%29f6", 2764768)</f>
        <v>2764768</v>
      </c>
      <c r="C286" s="2">
        <f>HYPERLINK("https://platform.v2.vetology.net/report/v/final/"&amp;2764768, 2764768)</f>
        <v>2764768</v>
      </c>
      <c r="D286" s="2" t="s">
        <v>1044</v>
      </c>
      <c r="E286" s="2" t="s">
        <v>99</v>
      </c>
      <c r="F286" s="2" t="s">
        <v>1031</v>
      </c>
      <c r="G286" s="2" t="s">
        <v>100</v>
      </c>
      <c r="H286" s="2" t="s">
        <v>432</v>
      </c>
      <c r="I286" s="2" t="s">
        <v>36</v>
      </c>
      <c r="J286" s="2" t="s">
        <v>37</v>
      </c>
      <c r="K286" s="2" t="s">
        <v>39</v>
      </c>
      <c r="L286" s="2" t="s">
        <v>39</v>
      </c>
      <c r="M286" s="2" t="s">
        <v>39</v>
      </c>
      <c r="N286" s="2" t="s">
        <v>39</v>
      </c>
      <c r="O286" s="2" t="s">
        <v>39</v>
      </c>
      <c r="P286" s="2" t="s">
        <v>38</v>
      </c>
      <c r="Q286" s="2" t="s">
        <v>39</v>
      </c>
      <c r="R286" s="2" t="s">
        <v>39</v>
      </c>
      <c r="S286" s="2" t="s">
        <v>39</v>
      </c>
      <c r="T286" s="2" t="s">
        <v>38</v>
      </c>
      <c r="U286" s="2" t="s">
        <v>39</v>
      </c>
      <c r="V286" s="2" t="s">
        <v>39</v>
      </c>
      <c r="W286" s="2" t="s">
        <v>38</v>
      </c>
      <c r="X286" s="2" t="s">
        <v>39</v>
      </c>
      <c r="Y286" s="2" t="s">
        <v>39</v>
      </c>
      <c r="Z286" s="2" t="s">
        <v>39</v>
      </c>
      <c r="AA286" s="2" t="s">
        <v>39</v>
      </c>
      <c r="AB286" s="2" t="s">
        <v>39</v>
      </c>
      <c r="AC286" s="2" t="s">
        <v>39</v>
      </c>
      <c r="AD286" s="2" t="s">
        <v>39</v>
      </c>
      <c r="AE286" s="2" t="s">
        <v>39</v>
      </c>
    </row>
    <row r="287" spans="1:31" ht="409.5">
      <c r="A287" s="2">
        <v>2764762</v>
      </c>
      <c r="B287" s="2">
        <f>HYPERLINK("https://platform.v2.vetology.net/cases/2764762/screening-report/1?type=pdf&amp;v=v6&amp;scorecard=1&amp;secret_key=BX%25IJ%24%2F65ieZ%29f6", 2764762)</f>
        <v>2764762</v>
      </c>
      <c r="C287" s="2">
        <f>HYPERLINK("https://platform.v2.vetology.net/report/v/final/"&amp;2764762, 2764762)</f>
        <v>2764762</v>
      </c>
      <c r="D287" s="2" t="s">
        <v>1045</v>
      </c>
      <c r="E287" s="2" t="s">
        <v>1046</v>
      </c>
      <c r="F287" s="2" t="s">
        <v>43</v>
      </c>
      <c r="G287" s="2" t="s">
        <v>100</v>
      </c>
      <c r="H287" s="2" t="s">
        <v>69</v>
      </c>
      <c r="I287" s="2" t="s">
        <v>46</v>
      </c>
      <c r="J287" s="2"/>
      <c r="K287" s="2" t="s">
        <v>39</v>
      </c>
      <c r="L287" s="2" t="s">
        <v>39</v>
      </c>
      <c r="M287" s="2" t="s">
        <v>39</v>
      </c>
      <c r="N287" s="2" t="s">
        <v>39</v>
      </c>
      <c r="O287" s="2" t="s">
        <v>39</v>
      </c>
      <c r="P287" s="2" t="s">
        <v>39</v>
      </c>
      <c r="Q287" s="2" t="s">
        <v>39</v>
      </c>
      <c r="R287" s="2" t="s">
        <v>39</v>
      </c>
      <c r="S287" s="2" t="s">
        <v>39</v>
      </c>
      <c r="T287" s="2" t="s">
        <v>38</v>
      </c>
      <c r="U287" s="2" t="s">
        <v>39</v>
      </c>
      <c r="V287" s="2" t="s">
        <v>39</v>
      </c>
      <c r="W287" s="2" t="s">
        <v>38</v>
      </c>
      <c r="X287" s="2" t="s">
        <v>39</v>
      </c>
      <c r="Y287" s="2" t="s">
        <v>39</v>
      </c>
      <c r="Z287" s="2" t="s">
        <v>38</v>
      </c>
      <c r="AA287" s="2" t="s">
        <v>39</v>
      </c>
      <c r="AB287" s="2" t="s">
        <v>39</v>
      </c>
      <c r="AC287" s="2" t="s">
        <v>38</v>
      </c>
      <c r="AD287" s="2" t="s">
        <v>39</v>
      </c>
      <c r="AE287" s="2" t="s">
        <v>39</v>
      </c>
    </row>
    <row r="288" spans="1:31" ht="409.5">
      <c r="A288" s="2">
        <v>2764753</v>
      </c>
      <c r="B288" s="2">
        <f>HYPERLINK("https://platform.v2.vetology.net/cases/2764753/screening-report/1?type=pdf&amp;v=v6&amp;scorecard=1&amp;secret_key=BX%25IJ%24%2F65ieZ%29f6", 2764753)</f>
        <v>2764753</v>
      </c>
      <c r="C288" s="2">
        <f>HYPERLINK("https://platform.v2.vetology.net/report/v/final/"&amp;2764753, 2764753)</f>
        <v>2764753</v>
      </c>
      <c r="D288" s="2" t="s">
        <v>1047</v>
      </c>
      <c r="E288" s="2" t="s">
        <v>1048</v>
      </c>
      <c r="F288" s="2" t="s">
        <v>1049</v>
      </c>
      <c r="G288" s="2" t="s">
        <v>127</v>
      </c>
      <c r="H288" s="2" t="s">
        <v>1050</v>
      </c>
      <c r="I288" s="2" t="s">
        <v>36</v>
      </c>
      <c r="J288" s="2" t="s">
        <v>37</v>
      </c>
      <c r="K288" s="2" t="s">
        <v>38</v>
      </c>
      <c r="L288" s="2" t="s">
        <v>38</v>
      </c>
      <c r="M288" s="2" t="s">
        <v>39</v>
      </c>
      <c r="N288" s="2" t="s">
        <v>38</v>
      </c>
      <c r="O288" s="2" t="s">
        <v>39</v>
      </c>
      <c r="P288" s="2" t="s">
        <v>39</v>
      </c>
      <c r="Q288" s="2" t="s">
        <v>39</v>
      </c>
      <c r="R288" s="2" t="s">
        <v>38</v>
      </c>
      <c r="S288" s="2" t="s">
        <v>38</v>
      </c>
      <c r="T288" s="2" t="s">
        <v>38</v>
      </c>
      <c r="U288" s="2" t="s">
        <v>38</v>
      </c>
      <c r="V288" s="2" t="s">
        <v>38</v>
      </c>
      <c r="W288" s="2" t="s">
        <v>38</v>
      </c>
      <c r="X288" s="2" t="s">
        <v>39</v>
      </c>
      <c r="Y288" s="2" t="s">
        <v>39</v>
      </c>
      <c r="Z288" s="2" t="s">
        <v>38</v>
      </c>
      <c r="AA288" s="2" t="s">
        <v>38</v>
      </c>
      <c r="AB288" s="2" t="s">
        <v>39</v>
      </c>
      <c r="AC288" s="2" t="s">
        <v>38</v>
      </c>
      <c r="AD288" s="2" t="s">
        <v>38</v>
      </c>
      <c r="AE288" s="2" t="s">
        <v>40</v>
      </c>
    </row>
    <row r="289" spans="1:31" ht="409.5">
      <c r="A289" s="2">
        <v>2764751</v>
      </c>
      <c r="B289" s="2">
        <f>HYPERLINK("https://platform.v2.vetology.net/cases/2764751/screening-report/1?type=pdf&amp;v=v6&amp;scorecard=1&amp;secret_key=BX%25IJ%24%2F65ieZ%29f6", 2764751)</f>
        <v>2764751</v>
      </c>
      <c r="C289" s="2">
        <f>HYPERLINK("https://platform.v2.vetology.net/report/v/final/"&amp;2764751, 2764751)</f>
        <v>2764751</v>
      </c>
      <c r="D289" s="2" t="s">
        <v>1051</v>
      </c>
      <c r="E289" s="2" t="s">
        <v>1052</v>
      </c>
      <c r="F289" s="2" t="s">
        <v>787</v>
      </c>
      <c r="G289" s="2" t="s">
        <v>100</v>
      </c>
      <c r="H289" s="2" t="s">
        <v>69</v>
      </c>
      <c r="I289" s="2" t="s">
        <v>46</v>
      </c>
      <c r="J289" s="2"/>
      <c r="K289" s="2" t="s">
        <v>39</v>
      </c>
      <c r="L289" s="2" t="s">
        <v>39</v>
      </c>
      <c r="M289" s="2" t="s">
        <v>39</v>
      </c>
      <c r="N289" s="2" t="s">
        <v>39</v>
      </c>
      <c r="O289" s="2" t="s">
        <v>39</v>
      </c>
      <c r="P289" s="2" t="s">
        <v>39</v>
      </c>
      <c r="Q289" s="2" t="s">
        <v>39</v>
      </c>
      <c r="R289" s="2" t="s">
        <v>39</v>
      </c>
      <c r="S289" s="2" t="s">
        <v>39</v>
      </c>
      <c r="T289" s="2" t="s">
        <v>39</v>
      </c>
      <c r="U289" s="2" t="s">
        <v>39</v>
      </c>
      <c r="V289" s="2" t="s">
        <v>39</v>
      </c>
      <c r="W289" s="2" t="s">
        <v>39</v>
      </c>
      <c r="X289" s="2" t="s">
        <v>39</v>
      </c>
      <c r="Y289" s="2" t="s">
        <v>39</v>
      </c>
      <c r="Z289" s="2" t="s">
        <v>39</v>
      </c>
      <c r="AA289" s="2" t="s">
        <v>39</v>
      </c>
      <c r="AB289" s="2" t="s">
        <v>39</v>
      </c>
      <c r="AC289" s="2" t="s">
        <v>39</v>
      </c>
      <c r="AD289" s="2" t="s">
        <v>39</v>
      </c>
      <c r="AE289" s="2" t="s">
        <v>39</v>
      </c>
    </row>
    <row r="290" spans="1:31" ht="409.5">
      <c r="A290" s="2">
        <v>2764742</v>
      </c>
      <c r="B290" s="2">
        <f>HYPERLINK("https://platform.v2.vetology.net/cases/2764742/screening-report/1?type=pdf&amp;v=v6&amp;scorecard=1&amp;secret_key=BX%25IJ%24%2F65ieZ%29f6", 2764742)</f>
        <v>2764742</v>
      </c>
      <c r="C290" s="2">
        <f>HYPERLINK("https://platform.v2.vetology.net/report/v/final/"&amp;2764742, 2764742)</f>
        <v>2764742</v>
      </c>
      <c r="D290" s="2" t="s">
        <v>1053</v>
      </c>
      <c r="E290" s="2" t="s">
        <v>1054</v>
      </c>
      <c r="F290" s="2" t="s">
        <v>1055</v>
      </c>
      <c r="G290" s="2" t="s">
        <v>556</v>
      </c>
      <c r="H290" s="2" t="s">
        <v>1056</v>
      </c>
      <c r="I290" s="2" t="s">
        <v>59</v>
      </c>
      <c r="J290" s="2" t="s">
        <v>37</v>
      </c>
      <c r="K290" s="2" t="s">
        <v>39</v>
      </c>
      <c r="L290" s="2" t="s">
        <v>39</v>
      </c>
      <c r="M290" s="2" t="s">
        <v>39</v>
      </c>
      <c r="N290" s="2" t="s">
        <v>38</v>
      </c>
      <c r="O290" s="2" t="s">
        <v>39</v>
      </c>
      <c r="P290" s="2" t="s">
        <v>39</v>
      </c>
      <c r="Q290" s="2" t="s">
        <v>39</v>
      </c>
      <c r="R290" s="2" t="s">
        <v>39</v>
      </c>
      <c r="S290" s="2" t="s">
        <v>39</v>
      </c>
      <c r="T290" s="2" t="s">
        <v>39</v>
      </c>
      <c r="U290" s="2" t="s">
        <v>39</v>
      </c>
      <c r="V290" s="2" t="s">
        <v>38</v>
      </c>
      <c r="W290" s="2" t="s">
        <v>38</v>
      </c>
      <c r="X290" s="2" t="s">
        <v>39</v>
      </c>
      <c r="Y290" s="2" t="s">
        <v>39</v>
      </c>
      <c r="Z290" s="2" t="s">
        <v>39</v>
      </c>
      <c r="AA290" s="2" t="s">
        <v>39</v>
      </c>
      <c r="AB290" s="2" t="s">
        <v>39</v>
      </c>
      <c r="AC290" s="2" t="s">
        <v>38</v>
      </c>
      <c r="AD290" s="2" t="s">
        <v>39</v>
      </c>
      <c r="AE290" s="2" t="s">
        <v>39</v>
      </c>
    </row>
    <row r="291" spans="1:31" ht="409.5">
      <c r="A291" s="2">
        <v>2764725</v>
      </c>
      <c r="B291" s="2">
        <f>HYPERLINK("https://platform.v2.vetology.net/cases/2764725/screening-report/1?type=pdf&amp;v=v6&amp;scorecard=1&amp;secret_key=BX%25IJ%24%2F65ieZ%29f6", 2764725)</f>
        <v>2764725</v>
      </c>
      <c r="C291" s="2">
        <f>HYPERLINK("https://platform.v2.vetology.net/report/v/final/"&amp;2764725, 2764725)</f>
        <v>2764725</v>
      </c>
      <c r="D291" s="2" t="s">
        <v>1057</v>
      </c>
      <c r="E291" s="2" t="s">
        <v>1058</v>
      </c>
      <c r="F291" s="2" t="s">
        <v>1059</v>
      </c>
      <c r="G291" s="2" t="s">
        <v>170</v>
      </c>
      <c r="H291" s="2" t="s">
        <v>69</v>
      </c>
      <c r="I291" s="2" t="s">
        <v>46</v>
      </c>
      <c r="J291" s="2"/>
      <c r="K291" s="2" t="s">
        <v>39</v>
      </c>
      <c r="L291" s="2" t="s">
        <v>39</v>
      </c>
      <c r="M291" s="2" t="s">
        <v>39</v>
      </c>
      <c r="N291" s="2" t="s">
        <v>39</v>
      </c>
      <c r="O291" s="2" t="s">
        <v>39</v>
      </c>
      <c r="P291" s="2" t="s">
        <v>39</v>
      </c>
      <c r="Q291" s="2" t="s">
        <v>39</v>
      </c>
      <c r="R291" s="2" t="s">
        <v>39</v>
      </c>
      <c r="S291" s="2" t="s">
        <v>39</v>
      </c>
      <c r="T291" s="2" t="s">
        <v>39</v>
      </c>
      <c r="U291" s="2" t="s">
        <v>39</v>
      </c>
      <c r="V291" s="2" t="s">
        <v>39</v>
      </c>
      <c r="W291" s="2" t="s">
        <v>39</v>
      </c>
      <c r="X291" s="2" t="s">
        <v>39</v>
      </c>
      <c r="Y291" s="2" t="s">
        <v>39</v>
      </c>
      <c r="Z291" s="2" t="s">
        <v>39</v>
      </c>
      <c r="AA291" s="2" t="s">
        <v>39</v>
      </c>
      <c r="AB291" s="2" t="s">
        <v>39</v>
      </c>
      <c r="AC291" s="2" t="s">
        <v>38</v>
      </c>
      <c r="AD291" s="2" t="s">
        <v>39</v>
      </c>
      <c r="AE291" s="2" t="s">
        <v>39</v>
      </c>
    </row>
    <row r="292" spans="1:31" ht="409.5">
      <c r="A292" s="2">
        <v>2764674</v>
      </c>
      <c r="B292" s="2">
        <f>HYPERLINK("https://platform.v2.vetology.net/cases/2764674/screening-report/1?type=pdf&amp;v=v6&amp;scorecard=1&amp;secret_key=BX%25IJ%24%2F65ieZ%29f6", 2764674)</f>
        <v>2764674</v>
      </c>
      <c r="C292" s="2">
        <f>HYPERLINK("https://platform.v2.vetology.net/report/v/final/"&amp;2764674, 2764674)</f>
        <v>2764674</v>
      </c>
      <c r="D292" s="2" t="s">
        <v>1060</v>
      </c>
      <c r="E292" s="2" t="s">
        <v>1061</v>
      </c>
      <c r="F292" s="2" t="s">
        <v>1062</v>
      </c>
      <c r="G292" s="2" t="s">
        <v>556</v>
      </c>
      <c r="H292" s="2" t="s">
        <v>1063</v>
      </c>
      <c r="I292" s="2" t="s">
        <v>36</v>
      </c>
      <c r="J292" s="2" t="s">
        <v>37</v>
      </c>
      <c r="K292" s="2" t="s">
        <v>39</v>
      </c>
      <c r="L292" s="2" t="s">
        <v>38</v>
      </c>
      <c r="M292" s="2" t="s">
        <v>39</v>
      </c>
      <c r="N292" s="2" t="s">
        <v>39</v>
      </c>
      <c r="O292" s="2" t="s">
        <v>39</v>
      </c>
      <c r="P292" s="2" t="s">
        <v>39</v>
      </c>
      <c r="Q292" s="2" t="s">
        <v>39</v>
      </c>
      <c r="R292" s="2" t="s">
        <v>38</v>
      </c>
      <c r="S292" s="2" t="s">
        <v>38</v>
      </c>
      <c r="T292" s="2" t="s">
        <v>39</v>
      </c>
      <c r="U292" s="2" t="s">
        <v>39</v>
      </c>
      <c r="V292" s="2" t="s">
        <v>39</v>
      </c>
      <c r="W292" s="2" t="s">
        <v>38</v>
      </c>
      <c r="X292" s="2" t="s">
        <v>39</v>
      </c>
      <c r="Y292" s="2" t="s">
        <v>39</v>
      </c>
      <c r="Z292" s="2" t="s">
        <v>38</v>
      </c>
      <c r="AA292" s="2" t="s">
        <v>38</v>
      </c>
      <c r="AB292" s="2" t="s">
        <v>39</v>
      </c>
      <c r="AC292" s="2" t="s">
        <v>38</v>
      </c>
      <c r="AD292" s="2" t="s">
        <v>39</v>
      </c>
      <c r="AE292" s="2"/>
    </row>
    <row r="293" spans="1:31" ht="409.5">
      <c r="A293" s="2">
        <v>2764671</v>
      </c>
      <c r="B293" s="2">
        <f>HYPERLINK("https://platform.v2.vetology.net/cases/2764671/screening-report/1?type=pdf&amp;v=v6&amp;scorecard=1&amp;secret_key=BX%25IJ%24%2F65ieZ%29f6", 2764671)</f>
        <v>2764671</v>
      </c>
      <c r="C293" s="2">
        <f>HYPERLINK("https://platform.v2.vetology.net/report/v/final/"&amp;2764671, 2764671)</f>
        <v>2764671</v>
      </c>
      <c r="D293" s="2" t="s">
        <v>1064</v>
      </c>
      <c r="E293" s="2" t="s">
        <v>1065</v>
      </c>
      <c r="F293" s="2" t="s">
        <v>1066</v>
      </c>
      <c r="G293" s="2" t="s">
        <v>127</v>
      </c>
      <c r="H293" s="2" t="s">
        <v>1067</v>
      </c>
      <c r="I293" s="2" t="s">
        <v>36</v>
      </c>
      <c r="J293" s="2" t="s">
        <v>37</v>
      </c>
      <c r="K293" s="2" t="s">
        <v>38</v>
      </c>
      <c r="L293" s="2" t="s">
        <v>39</v>
      </c>
      <c r="M293" s="2" t="s">
        <v>38</v>
      </c>
      <c r="N293" s="2" t="s">
        <v>39</v>
      </c>
      <c r="O293" s="2" t="s">
        <v>38</v>
      </c>
      <c r="P293" s="2" t="s">
        <v>39</v>
      </c>
      <c r="Q293" s="2" t="s">
        <v>39</v>
      </c>
      <c r="R293" s="2" t="s">
        <v>38</v>
      </c>
      <c r="S293" s="2" t="s">
        <v>39</v>
      </c>
      <c r="T293" s="2" t="s">
        <v>39</v>
      </c>
      <c r="U293" s="2" t="s">
        <v>38</v>
      </c>
      <c r="V293" s="2" t="s">
        <v>38</v>
      </c>
      <c r="W293" s="2" t="s">
        <v>38</v>
      </c>
      <c r="X293" s="2" t="s">
        <v>39</v>
      </c>
      <c r="Y293" s="2" t="s">
        <v>39</v>
      </c>
      <c r="Z293" s="2" t="s">
        <v>38</v>
      </c>
      <c r="AA293" s="2" t="s">
        <v>39</v>
      </c>
      <c r="AB293" s="2" t="s">
        <v>39</v>
      </c>
      <c r="AC293" s="2" t="s">
        <v>38</v>
      </c>
      <c r="AD293" s="2" t="s">
        <v>38</v>
      </c>
      <c r="AE293" s="2" t="s">
        <v>40</v>
      </c>
    </row>
    <row r="294" spans="1:31" ht="409.5">
      <c r="A294" s="2">
        <v>2764668</v>
      </c>
      <c r="B294" s="2">
        <f>HYPERLINK("https://platform.v2.vetology.net/cases/2764668/screening-report/1?type=pdf&amp;v=v6&amp;scorecard=1&amp;secret_key=BX%25IJ%24%2F65ieZ%29f6", 2764668)</f>
        <v>2764668</v>
      </c>
      <c r="C294" s="2">
        <f>HYPERLINK("https://platform.v2.vetology.net/report/v/final/"&amp;2764668, 2764668)</f>
        <v>2764668</v>
      </c>
      <c r="D294" s="2" t="s">
        <v>1068</v>
      </c>
      <c r="E294" s="2" t="s">
        <v>1069</v>
      </c>
      <c r="F294" s="2" t="s">
        <v>1070</v>
      </c>
      <c r="G294" s="2" t="s">
        <v>556</v>
      </c>
      <c r="H294" s="2" t="s">
        <v>1071</v>
      </c>
      <c r="I294" s="2" t="s">
        <v>36</v>
      </c>
      <c r="J294" s="2" t="s">
        <v>37</v>
      </c>
      <c r="K294" s="2" t="s">
        <v>38</v>
      </c>
      <c r="L294" s="2" t="s">
        <v>38</v>
      </c>
      <c r="M294" s="2" t="s">
        <v>38</v>
      </c>
      <c r="N294" s="2" t="s">
        <v>38</v>
      </c>
      <c r="O294" s="2" t="s">
        <v>38</v>
      </c>
      <c r="P294" s="2" t="s">
        <v>38</v>
      </c>
      <c r="Q294" s="2" t="s">
        <v>39</v>
      </c>
      <c r="R294" s="2" t="s">
        <v>38</v>
      </c>
      <c r="S294" s="2" t="s">
        <v>38</v>
      </c>
      <c r="T294" s="2" t="s">
        <v>38</v>
      </c>
      <c r="U294" s="2" t="s">
        <v>38</v>
      </c>
      <c r="V294" s="2" t="s">
        <v>38</v>
      </c>
      <c r="W294" s="2" t="s">
        <v>38</v>
      </c>
      <c r="X294" s="2" t="s">
        <v>38</v>
      </c>
      <c r="Y294" s="2" t="s">
        <v>38</v>
      </c>
      <c r="Z294" s="2" t="s">
        <v>38</v>
      </c>
      <c r="AA294" s="2" t="s">
        <v>38</v>
      </c>
      <c r="AB294" s="2" t="s">
        <v>38</v>
      </c>
      <c r="AC294" s="2" t="s">
        <v>38</v>
      </c>
      <c r="AD294" s="2" t="s">
        <v>38</v>
      </c>
      <c r="AE294" s="2" t="s">
        <v>40</v>
      </c>
    </row>
    <row r="295" spans="1:31" ht="409.5">
      <c r="A295" s="2">
        <v>2764633</v>
      </c>
      <c r="B295" s="2">
        <f>HYPERLINK("https://platform.v2.vetology.net/cases/2764633/screening-report/1?type=pdf&amp;v=v6&amp;scorecard=1&amp;secret_key=BX%25IJ%24%2F65ieZ%29f6", 2764633)</f>
        <v>2764633</v>
      </c>
      <c r="C295" s="2">
        <f>HYPERLINK("https://platform.v2.vetology.net/report/v/final/"&amp;2764633, 2764633)</f>
        <v>2764633</v>
      </c>
      <c r="D295" s="2" t="s">
        <v>1072</v>
      </c>
      <c r="E295" s="2" t="s">
        <v>1073</v>
      </c>
      <c r="F295" s="2" t="s">
        <v>787</v>
      </c>
      <c r="G295" s="2" t="s">
        <v>100</v>
      </c>
      <c r="H295" s="2" t="s">
        <v>1074</v>
      </c>
      <c r="I295" s="2" t="s">
        <v>129</v>
      </c>
      <c r="J295" s="2" t="s">
        <v>74</v>
      </c>
      <c r="K295" s="2" t="s">
        <v>39</v>
      </c>
      <c r="L295" s="2" t="s">
        <v>38</v>
      </c>
      <c r="M295" s="2" t="s">
        <v>38</v>
      </c>
      <c r="N295" s="2" t="s">
        <v>38</v>
      </c>
      <c r="O295" s="2" t="s">
        <v>38</v>
      </c>
      <c r="P295" s="2" t="s">
        <v>38</v>
      </c>
      <c r="Q295" s="2" t="s">
        <v>38</v>
      </c>
      <c r="R295" s="2" t="s">
        <v>39</v>
      </c>
      <c r="S295" s="2" t="s">
        <v>38</v>
      </c>
      <c r="T295" s="2" t="s">
        <v>38</v>
      </c>
      <c r="U295" s="2" t="s">
        <v>39</v>
      </c>
      <c r="V295" s="2" t="s">
        <v>39</v>
      </c>
      <c r="W295" s="2" t="s">
        <v>38</v>
      </c>
      <c r="X295" s="2" t="s">
        <v>38</v>
      </c>
      <c r="Y295" s="2" t="s">
        <v>39</v>
      </c>
      <c r="Z295" s="2" t="s">
        <v>39</v>
      </c>
      <c r="AA295" s="2" t="s">
        <v>39</v>
      </c>
      <c r="AB295" s="2" t="s">
        <v>38</v>
      </c>
      <c r="AC295" s="2" t="s">
        <v>39</v>
      </c>
      <c r="AD295" s="2" t="s">
        <v>39</v>
      </c>
      <c r="AE295" s="2" t="s">
        <v>39</v>
      </c>
    </row>
    <row r="296" spans="1:31" ht="409.5">
      <c r="A296" s="2">
        <v>2764610</v>
      </c>
      <c r="B296" s="2">
        <f>HYPERLINK("https://platform.v2.vetology.net/cases/2764610/screening-report/1?type=pdf&amp;v=v6&amp;scorecard=1&amp;secret_key=BX%25IJ%24%2F65ieZ%29f6", 2764610)</f>
        <v>2764610</v>
      </c>
      <c r="C296" s="2">
        <f>HYPERLINK("https://platform.v2.vetology.net/report/v/final/"&amp;2764610, 2764610)</f>
        <v>2764610</v>
      </c>
      <c r="D296" s="2" t="s">
        <v>1075</v>
      </c>
      <c r="E296" s="2" t="s">
        <v>1076</v>
      </c>
      <c r="F296" s="2" t="s">
        <v>43</v>
      </c>
      <c r="G296" s="2" t="s">
        <v>100</v>
      </c>
      <c r="H296" s="2" t="s">
        <v>1077</v>
      </c>
      <c r="I296" s="2" t="s">
        <v>73</v>
      </c>
      <c r="J296" s="2" t="s">
        <v>74</v>
      </c>
      <c r="K296" s="2" t="s">
        <v>38</v>
      </c>
      <c r="L296" s="2" t="s">
        <v>38</v>
      </c>
      <c r="M296" s="2" t="s">
        <v>38</v>
      </c>
      <c r="N296" s="2" t="s">
        <v>38</v>
      </c>
      <c r="O296" s="2" t="s">
        <v>38</v>
      </c>
      <c r="P296" s="2" t="s">
        <v>38</v>
      </c>
      <c r="Q296" s="2" t="s">
        <v>38</v>
      </c>
      <c r="R296" s="2" t="s">
        <v>39</v>
      </c>
      <c r="S296" s="2" t="s">
        <v>38</v>
      </c>
      <c r="T296" s="2" t="s">
        <v>38</v>
      </c>
      <c r="U296" s="2" t="s">
        <v>38</v>
      </c>
      <c r="V296" s="2" t="s">
        <v>38</v>
      </c>
      <c r="W296" s="2" t="s">
        <v>38</v>
      </c>
      <c r="X296" s="2" t="s">
        <v>38</v>
      </c>
      <c r="Y296" s="2" t="s">
        <v>39</v>
      </c>
      <c r="Z296" s="2" t="s">
        <v>38</v>
      </c>
      <c r="AA296" s="2" t="s">
        <v>38</v>
      </c>
      <c r="AB296" s="2" t="s">
        <v>38</v>
      </c>
      <c r="AC296" s="2" t="s">
        <v>38</v>
      </c>
      <c r="AD296" s="2" t="s">
        <v>38</v>
      </c>
      <c r="AE296" s="2" t="s">
        <v>40</v>
      </c>
    </row>
    <row r="297" spans="1:31" ht="409.5">
      <c r="A297" s="2">
        <v>2764579</v>
      </c>
      <c r="B297" s="2">
        <f>HYPERLINK("https://platform.v2.vetology.net/cases/2764579/screening-report/1?type=pdf&amp;v=v6&amp;scorecard=1&amp;secret_key=BX%25IJ%24%2F65ieZ%29f6", 2764579)</f>
        <v>2764579</v>
      </c>
      <c r="C297" s="2">
        <f>HYPERLINK("https://platform.v2.vetology.net/report/v/final/"&amp;2764579, 2764579)</f>
        <v>2764579</v>
      </c>
      <c r="D297" s="2" t="s">
        <v>1078</v>
      </c>
      <c r="E297" s="2" t="s">
        <v>1079</v>
      </c>
      <c r="F297" s="2" t="s">
        <v>1080</v>
      </c>
      <c r="G297" s="2" t="s">
        <v>251</v>
      </c>
      <c r="H297" s="2" t="s">
        <v>1081</v>
      </c>
      <c r="I297" s="2" t="s">
        <v>36</v>
      </c>
      <c r="J297" s="2" t="s">
        <v>37</v>
      </c>
      <c r="K297" s="2" t="s">
        <v>38</v>
      </c>
      <c r="L297" s="2" t="s">
        <v>38</v>
      </c>
      <c r="M297" s="2" t="s">
        <v>38</v>
      </c>
      <c r="N297" s="2" t="s">
        <v>38</v>
      </c>
      <c r="O297" s="2" t="s">
        <v>38</v>
      </c>
      <c r="P297" s="2" t="s">
        <v>39</v>
      </c>
      <c r="Q297" s="2" t="s">
        <v>39</v>
      </c>
      <c r="R297" s="2" t="s">
        <v>38</v>
      </c>
      <c r="S297" s="2" t="s">
        <v>38</v>
      </c>
      <c r="T297" s="2" t="s">
        <v>38</v>
      </c>
      <c r="U297" s="2" t="s">
        <v>39</v>
      </c>
      <c r="V297" s="2" t="s">
        <v>39</v>
      </c>
      <c r="W297" s="2" t="s">
        <v>38</v>
      </c>
      <c r="X297" s="2" t="s">
        <v>39</v>
      </c>
      <c r="Y297" s="2" t="s">
        <v>39</v>
      </c>
      <c r="Z297" s="2" t="s">
        <v>38</v>
      </c>
      <c r="AA297" s="2" t="s">
        <v>38</v>
      </c>
      <c r="AB297" s="2" t="s">
        <v>39</v>
      </c>
      <c r="AC297" s="2" t="s">
        <v>38</v>
      </c>
      <c r="AD297" s="2" t="s">
        <v>38</v>
      </c>
      <c r="AE297" s="2" t="s">
        <v>39</v>
      </c>
    </row>
    <row r="298" spans="1:31" ht="409.5">
      <c r="A298" s="2">
        <v>2764560</v>
      </c>
      <c r="B298" s="2">
        <f>HYPERLINK("https://platform.v2.vetology.net/cases/2764560/screening-report/1?type=pdf&amp;v=v6&amp;scorecard=1&amp;secret_key=BX%25IJ%24%2F65ieZ%29f6", 2764560)</f>
        <v>2764560</v>
      </c>
      <c r="C298" s="2">
        <f>HYPERLINK("https://platform.v2.vetology.net/report/v/final/"&amp;2764560, 2764560)</f>
        <v>2764560</v>
      </c>
      <c r="D298" s="2" t="s">
        <v>1082</v>
      </c>
      <c r="E298" s="2" t="s">
        <v>1083</v>
      </c>
      <c r="F298" s="2" t="s">
        <v>1084</v>
      </c>
      <c r="G298" s="2" t="s">
        <v>127</v>
      </c>
      <c r="H298" s="2" t="s">
        <v>398</v>
      </c>
      <c r="I298" s="2" t="s">
        <v>46</v>
      </c>
      <c r="J298" s="2"/>
      <c r="K298" s="2" t="s">
        <v>38</v>
      </c>
      <c r="L298" s="2" t="s">
        <v>39</v>
      </c>
      <c r="M298" s="2" t="s">
        <v>39</v>
      </c>
      <c r="N298" s="2" t="s">
        <v>39</v>
      </c>
      <c r="O298" s="2" t="s">
        <v>39</v>
      </c>
      <c r="P298" s="2" t="s">
        <v>39</v>
      </c>
      <c r="Q298" s="2" t="s">
        <v>39</v>
      </c>
      <c r="R298" s="2" t="s">
        <v>39</v>
      </c>
      <c r="S298" s="2" t="s">
        <v>39</v>
      </c>
      <c r="T298" s="2" t="s">
        <v>39</v>
      </c>
      <c r="U298" s="2" t="s">
        <v>39</v>
      </c>
      <c r="V298" s="2" t="s">
        <v>39</v>
      </c>
      <c r="W298" s="2" t="s">
        <v>39</v>
      </c>
      <c r="X298" s="2" t="s">
        <v>39</v>
      </c>
      <c r="Y298" s="2" t="s">
        <v>39</v>
      </c>
      <c r="Z298" s="2" t="s">
        <v>39</v>
      </c>
      <c r="AA298" s="2" t="s">
        <v>39</v>
      </c>
      <c r="AB298" s="2" t="s">
        <v>39</v>
      </c>
      <c r="AC298" s="2" t="s">
        <v>39</v>
      </c>
      <c r="AD298" s="2" t="s">
        <v>38</v>
      </c>
      <c r="AE298" s="2" t="s">
        <v>39</v>
      </c>
    </row>
    <row r="299" spans="1:31" ht="409.5">
      <c r="A299" s="2">
        <v>2764559</v>
      </c>
      <c r="B299" s="2">
        <f>HYPERLINK("https://platform.v2.vetology.net/cases/2764559/screening-report/1?type=pdf&amp;v=v6&amp;scorecard=1&amp;secret_key=BX%25IJ%24%2F65ieZ%29f6", 2764559)</f>
        <v>2764559</v>
      </c>
      <c r="C299" s="2">
        <f>HYPERLINK("https://platform.v2.vetology.net/report/v/final/"&amp;2764559, 2764559)</f>
        <v>2764559</v>
      </c>
      <c r="D299" s="2" t="s">
        <v>1085</v>
      </c>
      <c r="E299" s="2" t="s">
        <v>1086</v>
      </c>
      <c r="F299" s="2" t="s">
        <v>43</v>
      </c>
      <c r="G299" s="2" t="s">
        <v>100</v>
      </c>
      <c r="H299" s="2" t="s">
        <v>1087</v>
      </c>
      <c r="I299" s="2" t="s">
        <v>73</v>
      </c>
      <c r="J299" s="2" t="s">
        <v>74</v>
      </c>
      <c r="K299" s="2" t="s">
        <v>38</v>
      </c>
      <c r="L299" s="2" t="s">
        <v>38</v>
      </c>
      <c r="M299" s="2" t="s">
        <v>38</v>
      </c>
      <c r="N299" s="2" t="s">
        <v>38</v>
      </c>
      <c r="O299" s="2" t="s">
        <v>38</v>
      </c>
      <c r="P299" s="2" t="s">
        <v>38</v>
      </c>
      <c r="Q299" s="2" t="s">
        <v>38</v>
      </c>
      <c r="R299" s="2" t="s">
        <v>38</v>
      </c>
      <c r="S299" s="2" t="s">
        <v>38</v>
      </c>
      <c r="T299" s="2" t="s">
        <v>38</v>
      </c>
      <c r="U299" s="2" t="s">
        <v>38</v>
      </c>
      <c r="V299" s="2" t="s">
        <v>38</v>
      </c>
      <c r="W299" s="2" t="s">
        <v>38</v>
      </c>
      <c r="X299" s="2" t="s">
        <v>38</v>
      </c>
      <c r="Y299" s="2" t="s">
        <v>38</v>
      </c>
      <c r="Z299" s="2" t="s">
        <v>38</v>
      </c>
      <c r="AA299" s="2" t="s">
        <v>38</v>
      </c>
      <c r="AB299" s="2" t="s">
        <v>38</v>
      </c>
      <c r="AC299" s="2" t="s">
        <v>38</v>
      </c>
      <c r="AD299" s="2" t="s">
        <v>38</v>
      </c>
      <c r="AE299" s="2" t="s">
        <v>40</v>
      </c>
    </row>
    <row r="300" spans="1:31" ht="409.5">
      <c r="A300" s="2">
        <v>2764550</v>
      </c>
      <c r="B300" s="2">
        <f>HYPERLINK("https://platform.v2.vetology.net/cases/2764550/screening-report/1?type=pdf&amp;v=v6&amp;scorecard=1&amp;secret_key=BX%25IJ%24%2F65ieZ%29f6", 2764550)</f>
        <v>2764550</v>
      </c>
      <c r="C300" s="2">
        <f>HYPERLINK("https://platform.v2.vetology.net/report/v/final/"&amp;2764550, 2764550)</f>
        <v>2764550</v>
      </c>
      <c r="D300" s="2" t="s">
        <v>1088</v>
      </c>
      <c r="E300" s="2" t="s">
        <v>1089</v>
      </c>
      <c r="F300" s="2" t="s">
        <v>43</v>
      </c>
      <c r="G300" s="2" t="s">
        <v>100</v>
      </c>
      <c r="H300" s="2" t="s">
        <v>66</v>
      </c>
      <c r="I300" s="2" t="s">
        <v>36</v>
      </c>
      <c r="J300" s="2" t="s">
        <v>37</v>
      </c>
      <c r="K300" s="2" t="s">
        <v>39</v>
      </c>
      <c r="L300" s="2" t="s">
        <v>39</v>
      </c>
      <c r="M300" s="2" t="s">
        <v>38</v>
      </c>
      <c r="N300" s="2" t="s">
        <v>39</v>
      </c>
      <c r="O300" s="2" t="s">
        <v>38</v>
      </c>
      <c r="P300" s="2" t="s">
        <v>39</v>
      </c>
      <c r="Q300" s="2" t="s">
        <v>39</v>
      </c>
      <c r="R300" s="2" t="s">
        <v>39</v>
      </c>
      <c r="S300" s="2" t="s">
        <v>39</v>
      </c>
      <c r="T300" s="2" t="s">
        <v>38</v>
      </c>
      <c r="U300" s="2" t="s">
        <v>39</v>
      </c>
      <c r="V300" s="2" t="s">
        <v>39</v>
      </c>
      <c r="W300" s="2" t="s">
        <v>39</v>
      </c>
      <c r="X300" s="2" t="s">
        <v>39</v>
      </c>
      <c r="Y300" s="2" t="s">
        <v>39</v>
      </c>
      <c r="Z300" s="2" t="s">
        <v>38</v>
      </c>
      <c r="AA300" s="2" t="s">
        <v>39</v>
      </c>
      <c r="AB300" s="2" t="s">
        <v>39</v>
      </c>
      <c r="AC300" s="2" t="s">
        <v>38</v>
      </c>
      <c r="AD300" s="2" t="s">
        <v>38</v>
      </c>
      <c r="AE300" s="2" t="s">
        <v>39</v>
      </c>
    </row>
    <row r="301" spans="1:31" ht="409.5">
      <c r="A301" s="2">
        <v>2764522</v>
      </c>
      <c r="B301" s="2">
        <f>HYPERLINK("https://platform.v2.vetology.net/cases/2764522/screening-report/1?type=pdf&amp;v=v6&amp;scorecard=1&amp;secret_key=BX%25IJ%24%2F65ieZ%29f6", 2764522)</f>
        <v>2764522</v>
      </c>
      <c r="C301" s="2">
        <f>HYPERLINK("https://platform.v2.vetology.net/report/v/final/"&amp;2764522, 2764522)</f>
        <v>2764522</v>
      </c>
      <c r="D301" s="2" t="s">
        <v>1090</v>
      </c>
      <c r="E301" s="2" t="s">
        <v>1091</v>
      </c>
      <c r="F301" s="2" t="s">
        <v>787</v>
      </c>
      <c r="G301" s="2" t="s">
        <v>100</v>
      </c>
      <c r="H301" s="2" t="s">
        <v>69</v>
      </c>
      <c r="I301" s="2" t="s">
        <v>46</v>
      </c>
      <c r="J301" s="2"/>
      <c r="K301" s="2" t="s">
        <v>39</v>
      </c>
      <c r="L301" s="2" t="s">
        <v>39</v>
      </c>
      <c r="M301" s="2" t="s">
        <v>39</v>
      </c>
      <c r="N301" s="2" t="s">
        <v>39</v>
      </c>
      <c r="O301" s="2" t="s">
        <v>38</v>
      </c>
      <c r="P301" s="2" t="s">
        <v>39</v>
      </c>
      <c r="Q301" s="2" t="s">
        <v>39</v>
      </c>
      <c r="R301" s="2" t="s">
        <v>39</v>
      </c>
      <c r="S301" s="2" t="s">
        <v>39</v>
      </c>
      <c r="T301" s="2" t="s">
        <v>39</v>
      </c>
      <c r="U301" s="2" t="s">
        <v>39</v>
      </c>
      <c r="V301" s="2" t="s">
        <v>39</v>
      </c>
      <c r="W301" s="2" t="s">
        <v>38</v>
      </c>
      <c r="X301" s="2" t="s">
        <v>39</v>
      </c>
      <c r="Y301" s="2" t="s">
        <v>39</v>
      </c>
      <c r="Z301" s="2" t="s">
        <v>38</v>
      </c>
      <c r="AA301" s="2" t="s">
        <v>39</v>
      </c>
      <c r="AB301" s="2" t="s">
        <v>39</v>
      </c>
      <c r="AC301" s="2" t="s">
        <v>38</v>
      </c>
      <c r="AD301" s="2" t="s">
        <v>38</v>
      </c>
      <c r="AE301" s="2" t="s">
        <v>39</v>
      </c>
    </row>
    <row r="302" spans="1:31" ht="409.5">
      <c r="A302" s="2">
        <v>2764508</v>
      </c>
      <c r="B302" s="2">
        <f>HYPERLINK("https://platform.v2.vetology.net/cases/2764508/screening-report/1?type=pdf&amp;v=v6&amp;scorecard=1&amp;secret_key=BX%25IJ%24%2F65ieZ%29f6", 2764508)</f>
        <v>2764508</v>
      </c>
      <c r="C302" s="2">
        <f>HYPERLINK("https://platform.v2.vetology.net/report/v/final/"&amp;2764508, 2764508)</f>
        <v>2764508</v>
      </c>
      <c r="D302" s="2" t="s">
        <v>1092</v>
      </c>
      <c r="E302" s="2" t="s">
        <v>1093</v>
      </c>
      <c r="F302" s="2" t="s">
        <v>1094</v>
      </c>
      <c r="G302" s="2" t="s">
        <v>556</v>
      </c>
      <c r="H302" s="2" t="s">
        <v>1095</v>
      </c>
      <c r="I302" s="2" t="s">
        <v>36</v>
      </c>
      <c r="J302" s="2" t="s">
        <v>37</v>
      </c>
      <c r="K302" s="2" t="s">
        <v>38</v>
      </c>
      <c r="L302" s="2" t="s">
        <v>39</v>
      </c>
      <c r="M302" s="2" t="s">
        <v>38</v>
      </c>
      <c r="N302" s="2" t="s">
        <v>38</v>
      </c>
      <c r="O302" s="2" t="s">
        <v>38</v>
      </c>
      <c r="P302" s="2" t="s">
        <v>39</v>
      </c>
      <c r="Q302" s="2" t="s">
        <v>39</v>
      </c>
      <c r="R302" s="2" t="s">
        <v>38</v>
      </c>
      <c r="S302" s="2" t="s">
        <v>38</v>
      </c>
      <c r="T302" s="2" t="s">
        <v>38</v>
      </c>
      <c r="U302" s="2" t="s">
        <v>38</v>
      </c>
      <c r="V302" s="2" t="s">
        <v>38</v>
      </c>
      <c r="W302" s="2" t="s">
        <v>38</v>
      </c>
      <c r="X302" s="2" t="s">
        <v>39</v>
      </c>
      <c r="Y302" s="2" t="s">
        <v>39</v>
      </c>
      <c r="Z302" s="2" t="s">
        <v>38</v>
      </c>
      <c r="AA302" s="2" t="s">
        <v>38</v>
      </c>
      <c r="AB302" s="2" t="s">
        <v>39</v>
      </c>
      <c r="AC302" s="2" t="s">
        <v>38</v>
      </c>
      <c r="AD302" s="2" t="s">
        <v>38</v>
      </c>
      <c r="AE302" s="2" t="s">
        <v>39</v>
      </c>
    </row>
    <row r="303" spans="1:31" ht="409.5">
      <c r="A303" s="2">
        <v>2764477</v>
      </c>
      <c r="B303" s="2">
        <f>HYPERLINK("https://platform.v2.vetology.net/cases/2764477/screening-report/1?type=pdf&amp;v=v6&amp;scorecard=1&amp;secret_key=BX%25IJ%24%2F65ieZ%29f6", 2764477)</f>
        <v>2764477</v>
      </c>
      <c r="C303" s="2">
        <f>HYPERLINK("https://platform.v2.vetology.net/report/v/final/"&amp;2764477, 2764477)</f>
        <v>2764477</v>
      </c>
      <c r="D303" s="2" t="s">
        <v>1096</v>
      </c>
      <c r="E303" s="2" t="s">
        <v>1097</v>
      </c>
      <c r="F303" s="2" t="s">
        <v>1098</v>
      </c>
      <c r="G303" s="2" t="s">
        <v>127</v>
      </c>
      <c r="H303" s="2" t="s">
        <v>1099</v>
      </c>
      <c r="I303" s="2" t="s">
        <v>36</v>
      </c>
      <c r="J303" s="2" t="s">
        <v>37</v>
      </c>
      <c r="K303" s="2" t="s">
        <v>39</v>
      </c>
      <c r="L303" s="2" t="s">
        <v>38</v>
      </c>
      <c r="M303" s="2" t="s">
        <v>38</v>
      </c>
      <c r="N303" s="2" t="s">
        <v>38</v>
      </c>
      <c r="O303" s="2" t="s">
        <v>38</v>
      </c>
      <c r="P303" s="2" t="s">
        <v>39</v>
      </c>
      <c r="Q303" s="2" t="s">
        <v>39</v>
      </c>
      <c r="R303" s="2" t="s">
        <v>38</v>
      </c>
      <c r="S303" s="2" t="s">
        <v>38</v>
      </c>
      <c r="T303" s="2" t="s">
        <v>38</v>
      </c>
      <c r="U303" s="2" t="s">
        <v>39</v>
      </c>
      <c r="V303" s="2" t="s">
        <v>39</v>
      </c>
      <c r="W303" s="2" t="s">
        <v>38</v>
      </c>
      <c r="X303" s="2" t="s">
        <v>38</v>
      </c>
      <c r="Y303" s="2" t="s">
        <v>38</v>
      </c>
      <c r="Z303" s="2" t="s">
        <v>38</v>
      </c>
      <c r="AA303" s="2" t="s">
        <v>38</v>
      </c>
      <c r="AB303" s="2" t="s">
        <v>38</v>
      </c>
      <c r="AC303" s="2" t="s">
        <v>38</v>
      </c>
      <c r="AD303" s="2" t="s">
        <v>38</v>
      </c>
      <c r="AE303" s="2" t="s">
        <v>39</v>
      </c>
    </row>
    <row r="304" spans="1:31" ht="409.5">
      <c r="A304" s="2">
        <v>2764418</v>
      </c>
      <c r="B304" s="2">
        <f>HYPERLINK("https://platform.v2.vetology.net/cases/2764418/screening-report/1?type=pdf&amp;v=v6&amp;scorecard=1&amp;secret_key=BX%25IJ%24%2F65ieZ%29f6", 2764418)</f>
        <v>2764418</v>
      </c>
      <c r="C304" s="2">
        <f>HYPERLINK("https://platform.v2.vetology.net/report/v/final/"&amp;2764418, 2764418)</f>
        <v>2764418</v>
      </c>
      <c r="D304" s="2" t="s">
        <v>1100</v>
      </c>
      <c r="E304" s="2" t="s">
        <v>1101</v>
      </c>
      <c r="F304" s="2"/>
      <c r="G304" s="2" t="s">
        <v>100</v>
      </c>
      <c r="H304" s="2" t="s">
        <v>398</v>
      </c>
      <c r="I304" s="2" t="s">
        <v>46</v>
      </c>
      <c r="J304" s="2"/>
      <c r="K304" s="2" t="s">
        <v>38</v>
      </c>
      <c r="L304" s="2" t="s">
        <v>39</v>
      </c>
      <c r="M304" s="2" t="s">
        <v>39</v>
      </c>
      <c r="N304" s="2" t="s">
        <v>39</v>
      </c>
      <c r="O304" s="2" t="s">
        <v>39</v>
      </c>
      <c r="P304" s="2" t="s">
        <v>39</v>
      </c>
      <c r="Q304" s="2" t="s">
        <v>39</v>
      </c>
      <c r="R304" s="2" t="s">
        <v>39</v>
      </c>
      <c r="S304" s="2" t="s">
        <v>39</v>
      </c>
      <c r="T304" s="2" t="s">
        <v>39</v>
      </c>
      <c r="U304" s="2" t="s">
        <v>38</v>
      </c>
      <c r="V304" s="2" t="s">
        <v>38</v>
      </c>
      <c r="W304" s="2" t="s">
        <v>39</v>
      </c>
      <c r="X304" s="2" t="s">
        <v>39</v>
      </c>
      <c r="Y304" s="2" t="s">
        <v>39</v>
      </c>
      <c r="Z304" s="2" t="s">
        <v>39</v>
      </c>
      <c r="AA304" s="2" t="s">
        <v>39</v>
      </c>
      <c r="AB304" s="2" t="s">
        <v>39</v>
      </c>
      <c r="AC304" s="2" t="s">
        <v>38</v>
      </c>
      <c r="AD304" s="2" t="s">
        <v>39</v>
      </c>
      <c r="AE304" s="2" t="s">
        <v>39</v>
      </c>
    </row>
    <row r="305" spans="1:31" ht="409.5">
      <c r="A305" s="2">
        <v>2764391</v>
      </c>
      <c r="B305" s="2">
        <f>HYPERLINK("https://platform.v2.vetology.net/cases/2764391/screening-report/1?type=pdf&amp;v=v6&amp;scorecard=1&amp;secret_key=BX%25IJ%24%2F65ieZ%29f6", 2764391)</f>
        <v>2764391</v>
      </c>
      <c r="C305" s="2">
        <f>HYPERLINK("https://platform.v2.vetology.net/report/v/final/"&amp;2764391, 2764391)</f>
        <v>2764391</v>
      </c>
      <c r="D305" s="2" t="s">
        <v>1102</v>
      </c>
      <c r="E305" s="2" t="s">
        <v>1103</v>
      </c>
      <c r="F305" s="2" t="s">
        <v>43</v>
      </c>
      <c r="G305" s="2" t="s">
        <v>100</v>
      </c>
      <c r="H305" s="2" t="s">
        <v>1104</v>
      </c>
      <c r="I305" s="2" t="s">
        <v>684</v>
      </c>
      <c r="J305" s="2" t="s">
        <v>74</v>
      </c>
      <c r="K305" s="2" t="s">
        <v>39</v>
      </c>
      <c r="L305" s="2" t="s">
        <v>39</v>
      </c>
      <c r="M305" s="2" t="s">
        <v>39</v>
      </c>
      <c r="N305" s="2" t="s">
        <v>39</v>
      </c>
      <c r="O305" s="2" t="s">
        <v>39</v>
      </c>
      <c r="P305" s="2" t="s">
        <v>38</v>
      </c>
      <c r="Q305" s="2" t="s">
        <v>38</v>
      </c>
      <c r="R305" s="2" t="s">
        <v>39</v>
      </c>
      <c r="S305" s="2" t="s">
        <v>39</v>
      </c>
      <c r="T305" s="2" t="s">
        <v>38</v>
      </c>
      <c r="U305" s="2" t="s">
        <v>39</v>
      </c>
      <c r="V305" s="2" t="s">
        <v>39</v>
      </c>
      <c r="W305" s="2" t="s">
        <v>39</v>
      </c>
      <c r="X305" s="2" t="s">
        <v>38</v>
      </c>
      <c r="Y305" s="2" t="s">
        <v>39</v>
      </c>
      <c r="Z305" s="2" t="s">
        <v>38</v>
      </c>
      <c r="AA305" s="2" t="s">
        <v>39</v>
      </c>
      <c r="AB305" s="2" t="s">
        <v>38</v>
      </c>
      <c r="AC305" s="2" t="s">
        <v>39</v>
      </c>
      <c r="AD305" s="2" t="s">
        <v>39</v>
      </c>
      <c r="AE305" s="2" t="s">
        <v>39</v>
      </c>
    </row>
    <row r="306" spans="1:31" ht="409.5">
      <c r="A306" s="2">
        <v>2764357</v>
      </c>
      <c r="B306" s="2">
        <f>HYPERLINK("https://platform.v2.vetology.net/cases/2764357/screening-report/1?type=pdf&amp;v=v6&amp;scorecard=1&amp;secret_key=BX%25IJ%24%2F65ieZ%29f6", 2764357)</f>
        <v>2764357</v>
      </c>
      <c r="C306" s="2">
        <f>HYPERLINK("https://platform.v2.vetology.net/report/v/final/"&amp;2764357, 2764357)</f>
        <v>2764357</v>
      </c>
      <c r="D306" s="2" t="s">
        <v>1105</v>
      </c>
      <c r="E306" s="2" t="s">
        <v>1106</v>
      </c>
      <c r="F306" s="2"/>
      <c r="G306" s="2" t="s">
        <v>507</v>
      </c>
      <c r="H306" s="2" t="s">
        <v>1107</v>
      </c>
      <c r="I306" s="2" t="s">
        <v>36</v>
      </c>
      <c r="J306" s="2" t="s">
        <v>37</v>
      </c>
      <c r="K306" s="2" t="s">
        <v>39</v>
      </c>
      <c r="L306" s="2" t="s">
        <v>39</v>
      </c>
      <c r="M306" s="2" t="s">
        <v>38</v>
      </c>
      <c r="N306" s="2" t="s">
        <v>39</v>
      </c>
      <c r="O306" s="2" t="s">
        <v>38</v>
      </c>
      <c r="P306" s="2" t="s">
        <v>38</v>
      </c>
      <c r="Q306" s="2" t="s">
        <v>39</v>
      </c>
      <c r="R306" s="2" t="s">
        <v>38</v>
      </c>
      <c r="S306" s="2" t="s">
        <v>38</v>
      </c>
      <c r="T306" s="2" t="s">
        <v>38</v>
      </c>
      <c r="U306" s="2" t="s">
        <v>39</v>
      </c>
      <c r="V306" s="2" t="s">
        <v>39</v>
      </c>
      <c r="W306" s="2" t="s">
        <v>39</v>
      </c>
      <c r="X306" s="2" t="s">
        <v>39</v>
      </c>
      <c r="Y306" s="2" t="s">
        <v>39</v>
      </c>
      <c r="Z306" s="2" t="s">
        <v>38</v>
      </c>
      <c r="AA306" s="2" t="s">
        <v>39</v>
      </c>
      <c r="AB306" s="2" t="s">
        <v>39</v>
      </c>
      <c r="AC306" s="2" t="s">
        <v>39</v>
      </c>
      <c r="AD306" s="2" t="s">
        <v>38</v>
      </c>
      <c r="AE306" s="2" t="s">
        <v>39</v>
      </c>
    </row>
    <row r="307" spans="1:31" ht="409.5">
      <c r="A307" s="2">
        <v>2764343</v>
      </c>
      <c r="B307" s="2">
        <f>HYPERLINK("https://platform.v2.vetology.net/cases/2764343/screening-report/1?type=pdf&amp;v=v6&amp;scorecard=1&amp;secret_key=BX%25IJ%24%2F65ieZ%29f6", 2764343)</f>
        <v>2764343</v>
      </c>
      <c r="C307" s="2">
        <f>HYPERLINK("https://platform.v2.vetology.net/report/v/final/"&amp;2764343, 2764343)</f>
        <v>2764343</v>
      </c>
      <c r="D307" s="2" t="s">
        <v>1108</v>
      </c>
      <c r="E307" s="2" t="s">
        <v>1109</v>
      </c>
      <c r="F307" s="2" t="s">
        <v>43</v>
      </c>
      <c r="G307" s="2" t="s">
        <v>44</v>
      </c>
      <c r="H307" s="2" t="s">
        <v>69</v>
      </c>
      <c r="I307" s="2" t="s">
        <v>46</v>
      </c>
      <c r="J307" s="2"/>
      <c r="K307" s="2" t="s">
        <v>39</v>
      </c>
      <c r="L307" s="2" t="s">
        <v>39</v>
      </c>
      <c r="M307" s="2" t="s">
        <v>39</v>
      </c>
      <c r="N307" s="2" t="s">
        <v>39</v>
      </c>
      <c r="O307" s="2" t="s">
        <v>39</v>
      </c>
      <c r="P307" s="2" t="s">
        <v>39</v>
      </c>
      <c r="Q307" s="2" t="s">
        <v>39</v>
      </c>
      <c r="R307" s="2" t="s">
        <v>39</v>
      </c>
      <c r="S307" s="2" t="s">
        <v>39</v>
      </c>
      <c r="T307" s="2" t="s">
        <v>38</v>
      </c>
      <c r="U307" s="2" t="s">
        <v>39</v>
      </c>
      <c r="V307" s="2" t="s">
        <v>39</v>
      </c>
      <c r="W307" s="2" t="s">
        <v>38</v>
      </c>
      <c r="X307" s="2" t="s">
        <v>39</v>
      </c>
      <c r="Y307" s="2" t="s">
        <v>39</v>
      </c>
      <c r="Z307" s="2" t="s">
        <v>38</v>
      </c>
      <c r="AA307" s="2" t="s">
        <v>38</v>
      </c>
      <c r="AB307" s="2" t="s">
        <v>39</v>
      </c>
      <c r="AC307" s="2" t="s">
        <v>38</v>
      </c>
      <c r="AD307" s="2" t="s">
        <v>38</v>
      </c>
      <c r="AE307" s="2" t="s">
        <v>39</v>
      </c>
    </row>
    <row r="308" spans="1:31" ht="409.5">
      <c r="A308" s="2">
        <v>2764332</v>
      </c>
      <c r="B308" s="2">
        <f>HYPERLINK("https://platform.v2.vetology.net/cases/2764332/screening-report/1?type=pdf&amp;v=v6&amp;scorecard=1&amp;secret_key=BX%25IJ%24%2F65ieZ%29f6", 2764332)</f>
        <v>2764332</v>
      </c>
      <c r="C308" s="2">
        <f>HYPERLINK("https://platform.v2.vetology.net/report/v/final/"&amp;2764332, 2764332)</f>
        <v>2764332</v>
      </c>
      <c r="D308" s="2" t="s">
        <v>1110</v>
      </c>
      <c r="E308" s="2" t="s">
        <v>1111</v>
      </c>
      <c r="F308" s="2" t="s">
        <v>1112</v>
      </c>
      <c r="G308" s="2" t="s">
        <v>170</v>
      </c>
      <c r="H308" s="2" t="s">
        <v>1113</v>
      </c>
      <c r="I308" s="2" t="s">
        <v>36</v>
      </c>
      <c r="J308" s="2" t="s">
        <v>37</v>
      </c>
      <c r="K308" s="2" t="s">
        <v>38</v>
      </c>
      <c r="L308" s="2" t="s">
        <v>38</v>
      </c>
      <c r="M308" s="2" t="s">
        <v>39</v>
      </c>
      <c r="N308" s="2" t="s">
        <v>38</v>
      </c>
      <c r="O308" s="2" t="s">
        <v>38</v>
      </c>
      <c r="P308" s="2" t="s">
        <v>38</v>
      </c>
      <c r="Q308" s="2" t="s">
        <v>39</v>
      </c>
      <c r="R308" s="2" t="s">
        <v>38</v>
      </c>
      <c r="S308" s="2" t="s">
        <v>38</v>
      </c>
      <c r="T308" s="2" t="s">
        <v>38</v>
      </c>
      <c r="U308" s="2" t="s">
        <v>38</v>
      </c>
      <c r="V308" s="2" t="s">
        <v>38</v>
      </c>
      <c r="W308" s="2" t="s">
        <v>38</v>
      </c>
      <c r="X308" s="2" t="s">
        <v>38</v>
      </c>
      <c r="Y308" s="2" t="s">
        <v>38</v>
      </c>
      <c r="Z308" s="2" t="s">
        <v>38</v>
      </c>
      <c r="AA308" s="2" t="s">
        <v>38</v>
      </c>
      <c r="AB308" s="2" t="s">
        <v>38</v>
      </c>
      <c r="AC308" s="2" t="s">
        <v>38</v>
      </c>
      <c r="AD308" s="2" t="s">
        <v>38</v>
      </c>
      <c r="AE308" s="2" t="s">
        <v>39</v>
      </c>
    </row>
    <row r="309" spans="1:31" ht="409.5">
      <c r="A309" s="2">
        <v>2764321</v>
      </c>
      <c r="B309" s="2">
        <f>HYPERLINK("https://platform.v2.vetology.net/cases/2764321/screening-report/1?type=pdf&amp;v=v6&amp;scorecard=1&amp;secret_key=BX%25IJ%24%2F65ieZ%29f6", 2764321)</f>
        <v>2764321</v>
      </c>
      <c r="C309" s="2">
        <f>HYPERLINK("https://platform.v2.vetology.net/report/v/final/"&amp;2764321, 2764321)</f>
        <v>2764321</v>
      </c>
      <c r="D309" s="2" t="s">
        <v>1114</v>
      </c>
      <c r="E309" s="2" t="s">
        <v>1115</v>
      </c>
      <c r="F309" s="2" t="s">
        <v>1116</v>
      </c>
      <c r="G309" s="2" t="s">
        <v>53</v>
      </c>
      <c r="H309" s="2" t="s">
        <v>1117</v>
      </c>
      <c r="I309" s="2" t="s">
        <v>36</v>
      </c>
      <c r="J309" s="2" t="s">
        <v>37</v>
      </c>
      <c r="K309" s="2" t="s">
        <v>38</v>
      </c>
      <c r="L309" s="2" t="s">
        <v>38</v>
      </c>
      <c r="M309" s="2" t="s">
        <v>38</v>
      </c>
      <c r="N309" s="2" t="s">
        <v>38</v>
      </c>
      <c r="O309" s="2" t="s">
        <v>38</v>
      </c>
      <c r="P309" s="2" t="s">
        <v>38</v>
      </c>
      <c r="Q309" s="2" t="s">
        <v>39</v>
      </c>
      <c r="R309" s="2" t="s">
        <v>38</v>
      </c>
      <c r="S309" s="2" t="s">
        <v>38</v>
      </c>
      <c r="T309" s="2" t="s">
        <v>38</v>
      </c>
      <c r="U309" s="2" t="s">
        <v>39</v>
      </c>
      <c r="V309" s="2" t="s">
        <v>39</v>
      </c>
      <c r="W309" s="2" t="s">
        <v>38</v>
      </c>
      <c r="X309" s="2" t="s">
        <v>39</v>
      </c>
      <c r="Y309" s="2" t="s">
        <v>39</v>
      </c>
      <c r="Z309" s="2" t="s">
        <v>38</v>
      </c>
      <c r="AA309" s="2" t="s">
        <v>38</v>
      </c>
      <c r="AB309" s="2" t="s">
        <v>39</v>
      </c>
      <c r="AC309" s="2" t="s">
        <v>38</v>
      </c>
      <c r="AD309" s="2" t="s">
        <v>38</v>
      </c>
      <c r="AE309" s="2" t="s">
        <v>40</v>
      </c>
    </row>
    <row r="310" spans="1:31" ht="409.5">
      <c r="A310" s="2">
        <v>2764318</v>
      </c>
      <c r="B310" s="2">
        <f>HYPERLINK("https://platform.v2.vetology.net/cases/2764318/screening-report/1?type=pdf&amp;v=v6&amp;scorecard=1&amp;secret_key=BX%25IJ%24%2F65ieZ%29f6", 2764318)</f>
        <v>2764318</v>
      </c>
      <c r="C310" s="2">
        <f>HYPERLINK("https://platform.v2.vetology.net/report/v/final/"&amp;2764318, 2764318)</f>
        <v>2764318</v>
      </c>
      <c r="D310" s="2" t="s">
        <v>1118</v>
      </c>
      <c r="E310" s="2" t="s">
        <v>1119</v>
      </c>
      <c r="F310" s="2" t="s">
        <v>1120</v>
      </c>
      <c r="G310" s="2" t="s">
        <v>127</v>
      </c>
      <c r="H310" s="2" t="s">
        <v>69</v>
      </c>
      <c r="I310" s="2" t="s">
        <v>46</v>
      </c>
      <c r="J310" s="2"/>
      <c r="K310" s="2" t="s">
        <v>39</v>
      </c>
      <c r="L310" s="2" t="s">
        <v>39</v>
      </c>
      <c r="M310" s="2" t="s">
        <v>39</v>
      </c>
      <c r="N310" s="2" t="s">
        <v>39</v>
      </c>
      <c r="O310" s="2" t="s">
        <v>39</v>
      </c>
      <c r="P310" s="2" t="s">
        <v>39</v>
      </c>
      <c r="Q310" s="2" t="s">
        <v>39</v>
      </c>
      <c r="R310" s="2" t="s">
        <v>39</v>
      </c>
      <c r="S310" s="2" t="s">
        <v>39</v>
      </c>
      <c r="T310" s="2" t="s">
        <v>39</v>
      </c>
      <c r="U310" s="2" t="s">
        <v>39</v>
      </c>
      <c r="V310" s="2" t="s">
        <v>39</v>
      </c>
      <c r="W310" s="2" t="s">
        <v>39</v>
      </c>
      <c r="X310" s="2" t="s">
        <v>39</v>
      </c>
      <c r="Y310" s="2" t="s">
        <v>39</v>
      </c>
      <c r="Z310" s="2" t="s">
        <v>39</v>
      </c>
      <c r="AA310" s="2" t="s">
        <v>39</v>
      </c>
      <c r="AB310" s="2" t="s">
        <v>39</v>
      </c>
      <c r="AC310" s="2" t="s">
        <v>39</v>
      </c>
      <c r="AD310" s="2" t="s">
        <v>39</v>
      </c>
      <c r="AE310" s="2" t="s">
        <v>39</v>
      </c>
    </row>
    <row r="311" spans="1:31" ht="409.5">
      <c r="A311" s="2">
        <v>2764314</v>
      </c>
      <c r="B311" s="2">
        <f>HYPERLINK("https://platform.v2.vetology.net/cases/2764314/screening-report/1?type=pdf&amp;v=v6&amp;scorecard=1&amp;secret_key=BX%25IJ%24%2F65ieZ%29f6", 2764314)</f>
        <v>2764314</v>
      </c>
      <c r="C311" s="2">
        <f>HYPERLINK("https://platform.v2.vetology.net/report/v/final/"&amp;2764314, 2764314)</f>
        <v>2764314</v>
      </c>
      <c r="D311" s="2" t="s">
        <v>1121</v>
      </c>
      <c r="E311" s="2" t="s">
        <v>1122</v>
      </c>
      <c r="F311" s="2" t="s">
        <v>356</v>
      </c>
      <c r="G311" s="2" t="s">
        <v>100</v>
      </c>
      <c r="H311" s="2" t="s">
        <v>1123</v>
      </c>
      <c r="I311" s="2" t="s">
        <v>73</v>
      </c>
      <c r="J311" s="2" t="s">
        <v>74</v>
      </c>
      <c r="K311" s="2" t="s">
        <v>38</v>
      </c>
      <c r="L311" s="2" t="s">
        <v>38</v>
      </c>
      <c r="M311" s="2" t="s">
        <v>38</v>
      </c>
      <c r="N311" s="2" t="s">
        <v>38</v>
      </c>
      <c r="O311" s="2" t="s">
        <v>38</v>
      </c>
      <c r="P311" s="2" t="s">
        <v>38</v>
      </c>
      <c r="Q311" s="2" t="s">
        <v>38</v>
      </c>
      <c r="R311" s="2" t="s">
        <v>38</v>
      </c>
      <c r="S311" s="2" t="s">
        <v>39</v>
      </c>
      <c r="T311" s="2" t="s">
        <v>38</v>
      </c>
      <c r="U311" s="2" t="s">
        <v>38</v>
      </c>
      <c r="V311" s="2" t="s">
        <v>38</v>
      </c>
      <c r="W311" s="2" t="s">
        <v>39</v>
      </c>
      <c r="X311" s="2" t="s">
        <v>38</v>
      </c>
      <c r="Y311" s="2" t="s">
        <v>39</v>
      </c>
      <c r="Z311" s="2" t="s">
        <v>38</v>
      </c>
      <c r="AA311" s="2" t="s">
        <v>38</v>
      </c>
      <c r="AB311" s="2" t="s">
        <v>38</v>
      </c>
      <c r="AC311" s="2" t="s">
        <v>39</v>
      </c>
      <c r="AD311" s="2" t="s">
        <v>39</v>
      </c>
      <c r="AE311" s="2" t="s">
        <v>40</v>
      </c>
    </row>
    <row r="312" spans="1:31" ht="409.5">
      <c r="A312" s="2">
        <v>2764271</v>
      </c>
      <c r="B312" s="2">
        <f>HYPERLINK("https://platform.v2.vetology.net/cases/2764271/screening-report/1?type=pdf&amp;v=v6&amp;scorecard=1&amp;secret_key=BX%25IJ%24%2F65ieZ%29f6", 2764271)</f>
        <v>2764271</v>
      </c>
      <c r="C312" s="2">
        <f>HYPERLINK("https://platform.v2.vetology.net/report/v/final/"&amp;2764271, 2764271)</f>
        <v>2764271</v>
      </c>
      <c r="D312" s="2" t="s">
        <v>1124</v>
      </c>
      <c r="E312" s="2" t="s">
        <v>1125</v>
      </c>
      <c r="F312" s="2" t="s">
        <v>1126</v>
      </c>
      <c r="G312" s="2" t="s">
        <v>53</v>
      </c>
      <c r="H312" s="2" t="s">
        <v>69</v>
      </c>
      <c r="I312" s="2" t="s">
        <v>46</v>
      </c>
      <c r="J312" s="2"/>
      <c r="K312" s="2" t="s">
        <v>39</v>
      </c>
      <c r="L312" s="2" t="s">
        <v>39</v>
      </c>
      <c r="M312" s="2" t="s">
        <v>39</v>
      </c>
      <c r="N312" s="2" t="s">
        <v>39</v>
      </c>
      <c r="O312" s="2" t="s">
        <v>39</v>
      </c>
      <c r="P312" s="2" t="s">
        <v>39</v>
      </c>
      <c r="Q312" s="2" t="s">
        <v>39</v>
      </c>
      <c r="R312" s="2" t="s">
        <v>39</v>
      </c>
      <c r="S312" s="2" t="s">
        <v>39</v>
      </c>
      <c r="T312" s="2" t="s">
        <v>39</v>
      </c>
      <c r="U312" s="2" t="s">
        <v>39</v>
      </c>
      <c r="V312" s="2" t="s">
        <v>39</v>
      </c>
      <c r="W312" s="2" t="s">
        <v>39</v>
      </c>
      <c r="X312" s="2" t="s">
        <v>39</v>
      </c>
      <c r="Y312" s="2" t="s">
        <v>39</v>
      </c>
      <c r="Z312" s="2" t="s">
        <v>39</v>
      </c>
      <c r="AA312" s="2" t="s">
        <v>39</v>
      </c>
      <c r="AB312" s="2" t="s">
        <v>39</v>
      </c>
      <c r="AC312" s="2" t="s">
        <v>39</v>
      </c>
      <c r="AD312" s="2" t="s">
        <v>39</v>
      </c>
      <c r="AE312" s="2" t="s">
        <v>39</v>
      </c>
    </row>
    <row r="313" spans="1:31" ht="409.5">
      <c r="A313" s="2">
        <v>2764262</v>
      </c>
      <c r="B313" s="2">
        <f>HYPERLINK("https://platform.v2.vetology.net/cases/2764262/screening-report/1?type=pdf&amp;v=v6&amp;scorecard=1&amp;secret_key=BX%25IJ%24%2F65ieZ%29f6", 2764262)</f>
        <v>2764262</v>
      </c>
      <c r="C313" s="2">
        <f>HYPERLINK("https://platform.v2.vetology.net/report/v/final/"&amp;2764262, 2764262)</f>
        <v>2764262</v>
      </c>
      <c r="D313" s="2" t="s">
        <v>1127</v>
      </c>
      <c r="E313" s="2" t="s">
        <v>99</v>
      </c>
      <c r="F313" s="2" t="s">
        <v>1128</v>
      </c>
      <c r="G313" s="2" t="s">
        <v>100</v>
      </c>
      <c r="H313" s="2" t="s">
        <v>69</v>
      </c>
      <c r="I313" s="2" t="s">
        <v>46</v>
      </c>
      <c r="J313" s="2"/>
      <c r="K313" s="2" t="s">
        <v>39</v>
      </c>
      <c r="L313" s="2" t="s">
        <v>39</v>
      </c>
      <c r="M313" s="2" t="s">
        <v>39</v>
      </c>
      <c r="N313" s="2" t="s">
        <v>39</v>
      </c>
      <c r="O313" s="2" t="s">
        <v>39</v>
      </c>
      <c r="P313" s="2" t="s">
        <v>39</v>
      </c>
      <c r="Q313" s="2" t="s">
        <v>39</v>
      </c>
      <c r="R313" s="2" t="s">
        <v>39</v>
      </c>
      <c r="S313" s="2" t="s">
        <v>39</v>
      </c>
      <c r="T313" s="2" t="s">
        <v>39</v>
      </c>
      <c r="U313" s="2" t="s">
        <v>39</v>
      </c>
      <c r="V313" s="2" t="s">
        <v>39</v>
      </c>
      <c r="W313" s="2" t="s">
        <v>39</v>
      </c>
      <c r="X313" s="2" t="s">
        <v>39</v>
      </c>
      <c r="Y313" s="2" t="s">
        <v>39</v>
      </c>
      <c r="Z313" s="2" t="s">
        <v>39</v>
      </c>
      <c r="AA313" s="2" t="s">
        <v>39</v>
      </c>
      <c r="AB313" s="2" t="s">
        <v>39</v>
      </c>
      <c r="AC313" s="2" t="s">
        <v>39</v>
      </c>
      <c r="AD313" s="2" t="s">
        <v>39</v>
      </c>
      <c r="AE313" s="2" t="s">
        <v>39</v>
      </c>
    </row>
    <row r="314" spans="1:31" ht="409.5">
      <c r="A314" s="2">
        <v>2764247</v>
      </c>
      <c r="B314" s="2">
        <f>HYPERLINK("https://platform.v2.vetology.net/cases/2764247/screening-report/1?type=pdf&amp;v=v6&amp;scorecard=1&amp;secret_key=BX%25IJ%24%2F65ieZ%29f6", 2764247)</f>
        <v>2764247</v>
      </c>
      <c r="C314" s="2">
        <f>HYPERLINK("https://platform.v2.vetology.net/report/v/final/"&amp;2764247, 2764247)</f>
        <v>2764247</v>
      </c>
      <c r="D314" s="2" t="s">
        <v>1129</v>
      </c>
      <c r="E314" s="2" t="s">
        <v>1130</v>
      </c>
      <c r="F314" s="2" t="s">
        <v>43</v>
      </c>
      <c r="G314" s="2" t="s">
        <v>507</v>
      </c>
      <c r="H314" s="2" t="s">
        <v>1131</v>
      </c>
      <c r="I314" s="2" t="s">
        <v>73</v>
      </c>
      <c r="J314" s="2" t="s">
        <v>74</v>
      </c>
      <c r="K314" s="2" t="s">
        <v>38</v>
      </c>
      <c r="L314" s="2" t="s">
        <v>38</v>
      </c>
      <c r="M314" s="2" t="s">
        <v>38</v>
      </c>
      <c r="N314" s="2" t="s">
        <v>38</v>
      </c>
      <c r="O314" s="2" t="s">
        <v>38</v>
      </c>
      <c r="P314" s="2" t="s">
        <v>38</v>
      </c>
      <c r="Q314" s="2" t="s">
        <v>38</v>
      </c>
      <c r="R314" s="2" t="s">
        <v>38</v>
      </c>
      <c r="S314" s="2" t="s">
        <v>38</v>
      </c>
      <c r="T314" s="2" t="s">
        <v>38</v>
      </c>
      <c r="U314" s="2" t="s">
        <v>38</v>
      </c>
      <c r="V314" s="2" t="s">
        <v>38</v>
      </c>
      <c r="W314" s="2" t="s">
        <v>38</v>
      </c>
      <c r="X314" s="2" t="s">
        <v>38</v>
      </c>
      <c r="Y314" s="2" t="s">
        <v>38</v>
      </c>
      <c r="Z314" s="2" t="s">
        <v>38</v>
      </c>
      <c r="AA314" s="2" t="s">
        <v>38</v>
      </c>
      <c r="AB314" s="2" t="s">
        <v>38</v>
      </c>
      <c r="AC314" s="2" t="s">
        <v>38</v>
      </c>
      <c r="AD314" s="2" t="s">
        <v>38</v>
      </c>
      <c r="AE314" s="2" t="s">
        <v>40</v>
      </c>
    </row>
    <row r="315" spans="1:31" ht="409.5">
      <c r="A315" s="2">
        <v>2764184</v>
      </c>
      <c r="B315" s="2">
        <f>HYPERLINK("https://platform.v2.vetology.net/cases/2764184/screening-report/1?type=pdf&amp;v=v6&amp;scorecard=1&amp;secret_key=BX%25IJ%24%2F65ieZ%29f6", 2764184)</f>
        <v>2764184</v>
      </c>
      <c r="C315" s="2">
        <f>HYPERLINK("https://platform.v2.vetology.net/report/v/final/"&amp;2764184, 2764184)</f>
        <v>2764184</v>
      </c>
      <c r="D315" s="2" t="s">
        <v>1132</v>
      </c>
      <c r="E315" s="2" t="s">
        <v>1133</v>
      </c>
      <c r="F315" s="2" t="s">
        <v>1134</v>
      </c>
      <c r="G315" s="2" t="s">
        <v>53</v>
      </c>
      <c r="H315" s="2" t="s">
        <v>158</v>
      </c>
      <c r="I315" s="2" t="s">
        <v>59</v>
      </c>
      <c r="J315" s="2" t="s">
        <v>37</v>
      </c>
      <c r="K315" s="2" t="s">
        <v>38</v>
      </c>
      <c r="L315" s="2" t="s">
        <v>39</v>
      </c>
      <c r="M315" s="2" t="s">
        <v>39</v>
      </c>
      <c r="N315" s="2" t="s">
        <v>39</v>
      </c>
      <c r="O315" s="2" t="s">
        <v>39</v>
      </c>
      <c r="P315" s="2" t="s">
        <v>39</v>
      </c>
      <c r="Q315" s="2" t="s">
        <v>39</v>
      </c>
      <c r="R315" s="2" t="s">
        <v>39</v>
      </c>
      <c r="S315" s="2" t="s">
        <v>39</v>
      </c>
      <c r="T315" s="2" t="s">
        <v>39</v>
      </c>
      <c r="U315" s="2" t="s">
        <v>39</v>
      </c>
      <c r="V315" s="2" t="s">
        <v>38</v>
      </c>
      <c r="W315" s="2" t="s">
        <v>39</v>
      </c>
      <c r="X315" s="2" t="s">
        <v>39</v>
      </c>
      <c r="Y315" s="2" t="s">
        <v>39</v>
      </c>
      <c r="Z315" s="2" t="s">
        <v>39</v>
      </c>
      <c r="AA315" s="2" t="s">
        <v>39</v>
      </c>
      <c r="AB315" s="2" t="s">
        <v>39</v>
      </c>
      <c r="AC315" s="2" t="s">
        <v>39</v>
      </c>
      <c r="AD315" s="2" t="s">
        <v>39</v>
      </c>
      <c r="AE315" s="2" t="s">
        <v>39</v>
      </c>
    </row>
    <row r="316" spans="1:31" ht="409.5">
      <c r="A316" s="2">
        <v>2764115</v>
      </c>
      <c r="B316" s="2">
        <f>HYPERLINK("https://platform.v2.vetology.net/cases/2764115/screening-report/1?type=pdf&amp;v=v6&amp;scorecard=1&amp;secret_key=BX%25IJ%24%2F65ieZ%29f6", 2764115)</f>
        <v>2764115</v>
      </c>
      <c r="C316" s="2">
        <f>HYPERLINK("https://platform.v2.vetology.net/report/v/final/"&amp;2764115, 2764115)</f>
        <v>2764115</v>
      </c>
      <c r="D316" s="2" t="s">
        <v>1135</v>
      </c>
      <c r="E316" s="2" t="s">
        <v>1136</v>
      </c>
      <c r="F316" s="2" t="s">
        <v>1137</v>
      </c>
      <c r="G316" s="2" t="s">
        <v>53</v>
      </c>
      <c r="H316" s="2" t="s">
        <v>1138</v>
      </c>
      <c r="I316" s="2" t="s">
        <v>36</v>
      </c>
      <c r="J316" s="2" t="s">
        <v>37</v>
      </c>
      <c r="K316" s="2" t="s">
        <v>39</v>
      </c>
      <c r="L316" s="2" t="s">
        <v>38</v>
      </c>
      <c r="M316" s="2" t="s">
        <v>38</v>
      </c>
      <c r="N316" s="2" t="s">
        <v>38</v>
      </c>
      <c r="O316" s="2" t="s">
        <v>38</v>
      </c>
      <c r="P316" s="2" t="s">
        <v>39</v>
      </c>
      <c r="Q316" s="2" t="s">
        <v>39</v>
      </c>
      <c r="R316" s="2" t="s">
        <v>38</v>
      </c>
      <c r="S316" s="2" t="s">
        <v>38</v>
      </c>
      <c r="T316" s="2" t="s">
        <v>38</v>
      </c>
      <c r="U316" s="2" t="s">
        <v>39</v>
      </c>
      <c r="V316" s="2" t="s">
        <v>39</v>
      </c>
      <c r="W316" s="2" t="s">
        <v>38</v>
      </c>
      <c r="X316" s="2" t="s">
        <v>39</v>
      </c>
      <c r="Y316" s="2" t="s">
        <v>39</v>
      </c>
      <c r="Z316" s="2" t="s">
        <v>38</v>
      </c>
      <c r="AA316" s="2" t="s">
        <v>38</v>
      </c>
      <c r="AB316" s="2" t="s">
        <v>39</v>
      </c>
      <c r="AC316" s="2" t="s">
        <v>38</v>
      </c>
      <c r="AD316" s="2" t="s">
        <v>38</v>
      </c>
      <c r="AE316" s="2" t="s">
        <v>40</v>
      </c>
    </row>
    <row r="317" spans="1:31" ht="409.5">
      <c r="A317" s="2">
        <v>2764093</v>
      </c>
      <c r="B317" s="2">
        <f>HYPERLINK("https://platform.v2.vetology.net/cases/2764093/screening-report/1?type=pdf&amp;v=v6&amp;scorecard=1&amp;secret_key=BX%25IJ%24%2F65ieZ%29f6", 2764093)</f>
        <v>2764093</v>
      </c>
      <c r="C317" s="2">
        <f>HYPERLINK("https://platform.v2.vetology.net/report/v/final/"&amp;2764093, 2764093)</f>
        <v>2764093</v>
      </c>
      <c r="D317" s="2" t="s">
        <v>1139</v>
      </c>
      <c r="E317" s="2" t="s">
        <v>1140</v>
      </c>
      <c r="F317" s="2" t="s">
        <v>1141</v>
      </c>
      <c r="G317" s="2" t="s">
        <v>53</v>
      </c>
      <c r="H317" s="2" t="s">
        <v>1142</v>
      </c>
      <c r="I317" s="2" t="s">
        <v>36</v>
      </c>
      <c r="J317" s="2" t="s">
        <v>37</v>
      </c>
      <c r="K317" s="2" t="s">
        <v>38</v>
      </c>
      <c r="L317" s="2" t="s">
        <v>38</v>
      </c>
      <c r="M317" s="2" t="s">
        <v>38</v>
      </c>
      <c r="N317" s="2" t="s">
        <v>38</v>
      </c>
      <c r="O317" s="2" t="s">
        <v>38</v>
      </c>
      <c r="P317" s="2" t="s">
        <v>38</v>
      </c>
      <c r="Q317" s="2" t="s">
        <v>39</v>
      </c>
      <c r="R317" s="2" t="s">
        <v>38</v>
      </c>
      <c r="S317" s="2" t="s">
        <v>38</v>
      </c>
      <c r="T317" s="2" t="s">
        <v>38</v>
      </c>
      <c r="U317" s="2" t="s">
        <v>38</v>
      </c>
      <c r="V317" s="2" t="s">
        <v>38</v>
      </c>
      <c r="W317" s="2" t="s">
        <v>38</v>
      </c>
      <c r="X317" s="2" t="s">
        <v>39</v>
      </c>
      <c r="Y317" s="2" t="s">
        <v>39</v>
      </c>
      <c r="Z317" s="2" t="s">
        <v>38</v>
      </c>
      <c r="AA317" s="2" t="s">
        <v>38</v>
      </c>
      <c r="AB317" s="2" t="s">
        <v>39</v>
      </c>
      <c r="AC317" s="2" t="s">
        <v>38</v>
      </c>
      <c r="AD317" s="2" t="s">
        <v>38</v>
      </c>
      <c r="AE317" s="2" t="s">
        <v>40</v>
      </c>
    </row>
    <row r="318" spans="1:31" ht="409.5">
      <c r="A318" s="2">
        <v>2764073</v>
      </c>
      <c r="B318" s="2">
        <f>HYPERLINK("https://platform.v2.vetology.net/cases/2764073/screening-report/1?type=pdf&amp;v=v6&amp;scorecard=1&amp;secret_key=BX%25IJ%24%2F65ieZ%29f6", 2764073)</f>
        <v>2764073</v>
      </c>
      <c r="C318" s="2">
        <f>HYPERLINK("https://platform.v2.vetology.net/report/v/final/"&amp;2764073, 2764073)</f>
        <v>2764073</v>
      </c>
      <c r="D318" s="2" t="s">
        <v>1143</v>
      </c>
      <c r="E318" s="2" t="s">
        <v>1144</v>
      </c>
      <c r="F318" s="2" t="s">
        <v>1145</v>
      </c>
      <c r="G318" s="2" t="s">
        <v>44</v>
      </c>
      <c r="H318" s="2" t="s">
        <v>801</v>
      </c>
      <c r="I318" s="2" t="s">
        <v>59</v>
      </c>
      <c r="J318" s="2" t="s">
        <v>37</v>
      </c>
      <c r="K318" s="2" t="s">
        <v>38</v>
      </c>
      <c r="L318" s="2" t="s">
        <v>39</v>
      </c>
      <c r="M318" s="2" t="s">
        <v>39</v>
      </c>
      <c r="N318" s="2" t="s">
        <v>39</v>
      </c>
      <c r="O318" s="2" t="s">
        <v>39</v>
      </c>
      <c r="P318" s="2" t="s">
        <v>39</v>
      </c>
      <c r="Q318" s="2" t="s">
        <v>39</v>
      </c>
      <c r="R318" s="2" t="s">
        <v>38</v>
      </c>
      <c r="S318" s="2" t="s">
        <v>39</v>
      </c>
      <c r="T318" s="2" t="s">
        <v>39</v>
      </c>
      <c r="U318" s="2" t="s">
        <v>38</v>
      </c>
      <c r="V318" s="2" t="s">
        <v>38</v>
      </c>
      <c r="W318" s="2" t="s">
        <v>39</v>
      </c>
      <c r="X318" s="2" t="s">
        <v>39</v>
      </c>
      <c r="Y318" s="2" t="s">
        <v>39</v>
      </c>
      <c r="Z318" s="2" t="s">
        <v>39</v>
      </c>
      <c r="AA318" s="2" t="s">
        <v>39</v>
      </c>
      <c r="AB318" s="2" t="s">
        <v>39</v>
      </c>
      <c r="AC318" s="2" t="s">
        <v>38</v>
      </c>
      <c r="AD318" s="2" t="s">
        <v>39</v>
      </c>
      <c r="AE318" s="2" t="s">
        <v>40</v>
      </c>
    </row>
    <row r="319" spans="1:31" ht="409.5">
      <c r="A319" s="2">
        <v>2764072</v>
      </c>
      <c r="B319" s="2">
        <f>HYPERLINK("https://platform.v2.vetology.net/cases/2764072/screening-report/1?type=pdf&amp;v=v6&amp;scorecard=1&amp;secret_key=BX%25IJ%24%2F65ieZ%29f6", 2764072)</f>
        <v>2764072</v>
      </c>
      <c r="C319" s="2">
        <f>HYPERLINK("https://platform.v2.vetology.net/report/v/final/"&amp;2764072, 2764072)</f>
        <v>2764072</v>
      </c>
      <c r="D319" s="2" t="s">
        <v>1146</v>
      </c>
      <c r="E319" s="2" t="s">
        <v>1147</v>
      </c>
      <c r="F319" s="2" t="s">
        <v>43</v>
      </c>
      <c r="G319" s="2" t="s">
        <v>507</v>
      </c>
      <c r="H319" s="2" t="s">
        <v>1148</v>
      </c>
      <c r="I319" s="2" t="s">
        <v>73</v>
      </c>
      <c r="J319" s="2" t="s">
        <v>74</v>
      </c>
      <c r="K319" s="2" t="s">
        <v>38</v>
      </c>
      <c r="L319" s="2" t="s">
        <v>38</v>
      </c>
      <c r="M319" s="2" t="s">
        <v>38</v>
      </c>
      <c r="N319" s="2" t="s">
        <v>38</v>
      </c>
      <c r="O319" s="2" t="s">
        <v>38</v>
      </c>
      <c r="P319" s="2" t="s">
        <v>38</v>
      </c>
      <c r="Q319" s="2" t="s">
        <v>38</v>
      </c>
      <c r="R319" s="2" t="s">
        <v>38</v>
      </c>
      <c r="S319" s="2" t="s">
        <v>38</v>
      </c>
      <c r="T319" s="2" t="s">
        <v>38</v>
      </c>
      <c r="U319" s="2" t="s">
        <v>38</v>
      </c>
      <c r="V319" s="2" t="s">
        <v>38</v>
      </c>
      <c r="W319" s="2" t="s">
        <v>38</v>
      </c>
      <c r="X319" s="2" t="s">
        <v>38</v>
      </c>
      <c r="Y319" s="2" t="s">
        <v>39</v>
      </c>
      <c r="Z319" s="2" t="s">
        <v>38</v>
      </c>
      <c r="AA319" s="2" t="s">
        <v>38</v>
      </c>
      <c r="AB319" s="2" t="s">
        <v>38</v>
      </c>
      <c r="AC319" s="2" t="s">
        <v>38</v>
      </c>
      <c r="AD319" s="2" t="s">
        <v>39</v>
      </c>
      <c r="AE319" s="2" t="s">
        <v>39</v>
      </c>
    </row>
    <row r="320" spans="1:31" ht="409.5">
      <c r="A320" s="2">
        <v>2764051</v>
      </c>
      <c r="B320" s="2">
        <f>HYPERLINK("https://platform.v2.vetology.net/cases/2764051/screening-report/1?type=pdf&amp;v=v6&amp;scorecard=1&amp;secret_key=BX%25IJ%24%2F65ieZ%29f6", 2764051)</f>
        <v>2764051</v>
      </c>
      <c r="C320" s="2">
        <f>HYPERLINK("https://platform.v2.vetology.net/report/v/final/"&amp;2764051, 2764051)</f>
        <v>2764051</v>
      </c>
      <c r="D320" s="2" t="s">
        <v>1149</v>
      </c>
      <c r="E320" s="2" t="s">
        <v>1150</v>
      </c>
      <c r="F320" s="2" t="s">
        <v>1151</v>
      </c>
      <c r="G320" s="2" t="s">
        <v>53</v>
      </c>
      <c r="H320" s="2" t="s">
        <v>1152</v>
      </c>
      <c r="I320" s="2" t="s">
        <v>73</v>
      </c>
      <c r="J320" s="2" t="s">
        <v>74</v>
      </c>
      <c r="K320" s="2" t="s">
        <v>38</v>
      </c>
      <c r="L320" s="2" t="s">
        <v>38</v>
      </c>
      <c r="M320" s="2" t="s">
        <v>39</v>
      </c>
      <c r="N320" s="2" t="s">
        <v>38</v>
      </c>
      <c r="O320" s="2" t="s">
        <v>38</v>
      </c>
      <c r="P320" s="2" t="s">
        <v>38</v>
      </c>
      <c r="Q320" s="2" t="s">
        <v>38</v>
      </c>
      <c r="R320" s="2" t="s">
        <v>39</v>
      </c>
      <c r="S320" s="2" t="s">
        <v>38</v>
      </c>
      <c r="T320" s="2" t="s">
        <v>38</v>
      </c>
      <c r="U320" s="2" t="s">
        <v>38</v>
      </c>
      <c r="V320" s="2" t="s">
        <v>38</v>
      </c>
      <c r="W320" s="2" t="s">
        <v>39</v>
      </c>
      <c r="X320" s="2" t="s">
        <v>38</v>
      </c>
      <c r="Y320" s="2" t="s">
        <v>38</v>
      </c>
      <c r="Z320" s="2" t="s">
        <v>39</v>
      </c>
      <c r="AA320" s="2" t="s">
        <v>38</v>
      </c>
      <c r="AB320" s="2" t="s">
        <v>38</v>
      </c>
      <c r="AC320" s="2" t="s">
        <v>39</v>
      </c>
      <c r="AD320" s="2" t="s">
        <v>39</v>
      </c>
      <c r="AE320" s="2" t="s">
        <v>40</v>
      </c>
    </row>
    <row r="321" spans="1:31" ht="409.5">
      <c r="A321" s="2">
        <v>2764040</v>
      </c>
      <c r="B321" s="2">
        <f>HYPERLINK("https://platform.v2.vetology.net/cases/2764040/screening-report/1?type=pdf&amp;v=v6&amp;scorecard=1&amp;secret_key=BX%25IJ%24%2F65ieZ%29f6", 2764040)</f>
        <v>2764040</v>
      </c>
      <c r="C321" s="2">
        <f>HYPERLINK("https://platform.v2.vetology.net/report/v/final/"&amp;2764040, 2764040)</f>
        <v>2764040</v>
      </c>
      <c r="D321" s="2" t="s">
        <v>1153</v>
      </c>
      <c r="E321" s="2" t="s">
        <v>1154</v>
      </c>
      <c r="F321" s="2" t="s">
        <v>43</v>
      </c>
      <c r="G321" s="2" t="s">
        <v>44</v>
      </c>
      <c r="H321" s="2" t="s">
        <v>1155</v>
      </c>
      <c r="I321" s="2" t="s">
        <v>36</v>
      </c>
      <c r="J321" s="2" t="s">
        <v>37</v>
      </c>
      <c r="K321" s="2" t="s">
        <v>39</v>
      </c>
      <c r="L321" s="2" t="s">
        <v>39</v>
      </c>
      <c r="M321" s="2" t="s">
        <v>38</v>
      </c>
      <c r="N321" s="2" t="s">
        <v>38</v>
      </c>
      <c r="O321" s="2" t="s">
        <v>39</v>
      </c>
      <c r="P321" s="2" t="s">
        <v>39</v>
      </c>
      <c r="Q321" s="2" t="s">
        <v>39</v>
      </c>
      <c r="R321" s="2" t="s">
        <v>39</v>
      </c>
      <c r="S321" s="2" t="s">
        <v>39</v>
      </c>
      <c r="T321" s="2" t="s">
        <v>38</v>
      </c>
      <c r="U321" s="2" t="s">
        <v>39</v>
      </c>
      <c r="V321" s="2" t="s">
        <v>39</v>
      </c>
      <c r="W321" s="2" t="s">
        <v>39</v>
      </c>
      <c r="X321" s="2" t="s">
        <v>39</v>
      </c>
      <c r="Y321" s="2" t="s">
        <v>39</v>
      </c>
      <c r="Z321" s="2" t="s">
        <v>38</v>
      </c>
      <c r="AA321" s="2" t="s">
        <v>39</v>
      </c>
      <c r="AB321" s="2" t="s">
        <v>39</v>
      </c>
      <c r="AC321" s="2" t="s">
        <v>39</v>
      </c>
      <c r="AD321" s="2" t="s">
        <v>39</v>
      </c>
      <c r="AE321" s="2" t="s">
        <v>39</v>
      </c>
    </row>
    <row r="322" spans="1:31" ht="409.5">
      <c r="A322" s="2">
        <v>2764018</v>
      </c>
      <c r="B322" s="2">
        <f>HYPERLINK("https://platform.v2.vetology.net/cases/2764018/screening-report/1?type=pdf&amp;v=v6&amp;scorecard=1&amp;secret_key=BX%25IJ%24%2F65ieZ%29f6", 2764018)</f>
        <v>2764018</v>
      </c>
      <c r="C322" s="2">
        <f>HYPERLINK("https://platform.v2.vetology.net/report/v/final/"&amp;2764018, 2764018)</f>
        <v>2764018</v>
      </c>
      <c r="D322" s="2" t="s">
        <v>1156</v>
      </c>
      <c r="E322" s="2" t="s">
        <v>1157</v>
      </c>
      <c r="F322" s="2"/>
      <c r="G322" s="2" t="s">
        <v>81</v>
      </c>
      <c r="H322" s="2" t="s">
        <v>1158</v>
      </c>
      <c r="I322" s="2" t="s">
        <v>129</v>
      </c>
      <c r="J322" s="2" t="s">
        <v>74</v>
      </c>
      <c r="K322" s="2" t="s">
        <v>39</v>
      </c>
      <c r="L322" s="2" t="s">
        <v>38</v>
      </c>
      <c r="M322" s="2" t="s">
        <v>38</v>
      </c>
      <c r="N322" s="2" t="s">
        <v>39</v>
      </c>
      <c r="O322" s="2" t="s">
        <v>38</v>
      </c>
      <c r="P322" s="2" t="s">
        <v>38</v>
      </c>
      <c r="Q322" s="2" t="s">
        <v>38</v>
      </c>
      <c r="R322" s="2" t="s">
        <v>39</v>
      </c>
      <c r="S322" s="2" t="s">
        <v>39</v>
      </c>
      <c r="T322" s="2" t="s">
        <v>38</v>
      </c>
      <c r="U322" s="2" t="s">
        <v>39</v>
      </c>
      <c r="V322" s="2" t="s">
        <v>39</v>
      </c>
      <c r="W322" s="2" t="s">
        <v>39</v>
      </c>
      <c r="X322" s="2" t="s">
        <v>38</v>
      </c>
      <c r="Y322" s="2" t="s">
        <v>39</v>
      </c>
      <c r="Z322" s="2" t="s">
        <v>39</v>
      </c>
      <c r="AA322" s="2" t="s">
        <v>39</v>
      </c>
      <c r="AB322" s="2" t="s">
        <v>38</v>
      </c>
      <c r="AC322" s="2" t="s">
        <v>38</v>
      </c>
      <c r="AD322" s="2" t="s">
        <v>39</v>
      </c>
      <c r="AE322" s="2" t="s">
        <v>39</v>
      </c>
    </row>
    <row r="323" spans="1:31" ht="409.5">
      <c r="A323" s="2">
        <v>2764011</v>
      </c>
      <c r="B323" s="2">
        <f>HYPERLINK("https://platform.v2.vetology.net/cases/2764011/screening-report/1?type=pdf&amp;v=v6&amp;scorecard=1&amp;secret_key=BX%25IJ%24%2F65ieZ%29f6", 2764011)</f>
        <v>2764011</v>
      </c>
      <c r="C323" s="2">
        <f>HYPERLINK("https://platform.v2.vetology.net/report/v/final/"&amp;2764011, 2764011)</f>
        <v>2764011</v>
      </c>
      <c r="D323" s="2" t="s">
        <v>1159</v>
      </c>
      <c r="E323" s="2" t="s">
        <v>1160</v>
      </c>
      <c r="F323" s="2" t="s">
        <v>1161</v>
      </c>
      <c r="G323" s="2" t="s">
        <v>53</v>
      </c>
      <c r="H323" s="2" t="s">
        <v>69</v>
      </c>
      <c r="I323" s="2" t="s">
        <v>46</v>
      </c>
      <c r="J323" s="2"/>
      <c r="K323" s="2" t="s">
        <v>39</v>
      </c>
      <c r="L323" s="2" t="s">
        <v>39</v>
      </c>
      <c r="M323" s="2" t="s">
        <v>39</v>
      </c>
      <c r="N323" s="2" t="s">
        <v>39</v>
      </c>
      <c r="O323" s="2" t="s">
        <v>39</v>
      </c>
      <c r="P323" s="2" t="s">
        <v>39</v>
      </c>
      <c r="Q323" s="2" t="s">
        <v>39</v>
      </c>
      <c r="R323" s="2" t="s">
        <v>39</v>
      </c>
      <c r="S323" s="2" t="s">
        <v>39</v>
      </c>
      <c r="T323" s="2" t="s">
        <v>39</v>
      </c>
      <c r="U323" s="2" t="s">
        <v>39</v>
      </c>
      <c r="V323" s="2" t="s">
        <v>39</v>
      </c>
      <c r="W323" s="2" t="s">
        <v>39</v>
      </c>
      <c r="X323" s="2" t="s">
        <v>39</v>
      </c>
      <c r="Y323" s="2" t="s">
        <v>39</v>
      </c>
      <c r="Z323" s="2" t="s">
        <v>39</v>
      </c>
      <c r="AA323" s="2" t="s">
        <v>39</v>
      </c>
      <c r="AB323" s="2" t="s">
        <v>39</v>
      </c>
      <c r="AC323" s="2" t="s">
        <v>39</v>
      </c>
      <c r="AD323" s="2" t="s">
        <v>39</v>
      </c>
      <c r="AE323" s="2" t="s">
        <v>39</v>
      </c>
    </row>
    <row r="324" spans="1:31" ht="409.5">
      <c r="A324" s="2">
        <v>2763999</v>
      </c>
      <c r="B324" s="2">
        <f>HYPERLINK("https://platform.v2.vetology.net/cases/2763999/screening-report/1?type=pdf&amp;v=v6&amp;scorecard=1&amp;secret_key=BX%25IJ%24%2F65ieZ%29f6", 2763999)</f>
        <v>2763999</v>
      </c>
      <c r="C324" s="2">
        <f>HYPERLINK("https://platform.v2.vetology.net/report/v/final/"&amp;2763999, 2763999)</f>
        <v>2763999</v>
      </c>
      <c r="D324" s="2" t="s">
        <v>1162</v>
      </c>
      <c r="E324" s="2" t="s">
        <v>1163</v>
      </c>
      <c r="F324" s="2" t="s">
        <v>43</v>
      </c>
      <c r="G324" s="2" t="s">
        <v>44</v>
      </c>
      <c r="H324" s="2" t="s">
        <v>1164</v>
      </c>
      <c r="I324" s="2" t="s">
        <v>36</v>
      </c>
      <c r="J324" s="2" t="s">
        <v>37</v>
      </c>
      <c r="K324" s="2" t="s">
        <v>38</v>
      </c>
      <c r="L324" s="2" t="s">
        <v>38</v>
      </c>
      <c r="M324" s="2" t="s">
        <v>38</v>
      </c>
      <c r="N324" s="2" t="s">
        <v>38</v>
      </c>
      <c r="O324" s="2" t="s">
        <v>38</v>
      </c>
      <c r="P324" s="2" t="s">
        <v>39</v>
      </c>
      <c r="Q324" s="2" t="s">
        <v>38</v>
      </c>
      <c r="R324" s="2" t="s">
        <v>38</v>
      </c>
      <c r="S324" s="2" t="s">
        <v>38</v>
      </c>
      <c r="T324" s="2" t="s">
        <v>38</v>
      </c>
      <c r="U324" s="2" t="s">
        <v>38</v>
      </c>
      <c r="V324" s="2" t="s">
        <v>38</v>
      </c>
      <c r="W324" s="2" t="s">
        <v>38</v>
      </c>
      <c r="X324" s="2" t="s">
        <v>38</v>
      </c>
      <c r="Y324" s="2" t="s">
        <v>38</v>
      </c>
      <c r="Z324" s="2" t="s">
        <v>38</v>
      </c>
      <c r="AA324" s="2" t="s">
        <v>38</v>
      </c>
      <c r="AB324" s="2" t="s">
        <v>39</v>
      </c>
      <c r="AC324" s="2" t="s">
        <v>38</v>
      </c>
      <c r="AD324" s="2" t="s">
        <v>38</v>
      </c>
      <c r="AE324" s="2" t="s">
        <v>39</v>
      </c>
    </row>
    <row r="325" spans="1:31" ht="409.5">
      <c r="A325" s="2">
        <v>2763974</v>
      </c>
      <c r="B325" s="2">
        <f>HYPERLINK("https://platform.v2.vetology.net/cases/2763974/screening-report/1?type=pdf&amp;v=v6&amp;scorecard=1&amp;secret_key=BX%25IJ%24%2F65ieZ%29f6", 2763974)</f>
        <v>2763974</v>
      </c>
      <c r="C325" s="2">
        <f>HYPERLINK("https://platform.v2.vetology.net/report/v/final/"&amp;2763974, 2763974)</f>
        <v>2763974</v>
      </c>
      <c r="D325" s="2" t="s">
        <v>1165</v>
      </c>
      <c r="E325" s="2" t="s">
        <v>1166</v>
      </c>
      <c r="F325" s="2" t="s">
        <v>1167</v>
      </c>
      <c r="G325" s="2" t="s">
        <v>170</v>
      </c>
      <c r="H325" s="2" t="s">
        <v>1168</v>
      </c>
      <c r="I325" s="2" t="s">
        <v>36</v>
      </c>
      <c r="J325" s="2" t="s">
        <v>37</v>
      </c>
      <c r="K325" s="2" t="s">
        <v>38</v>
      </c>
      <c r="L325" s="2" t="s">
        <v>38</v>
      </c>
      <c r="M325" s="2" t="s">
        <v>38</v>
      </c>
      <c r="N325" s="2" t="s">
        <v>38</v>
      </c>
      <c r="O325" s="2" t="s">
        <v>38</v>
      </c>
      <c r="P325" s="2" t="s">
        <v>39</v>
      </c>
      <c r="Q325" s="2" t="s">
        <v>39</v>
      </c>
      <c r="R325" s="2" t="s">
        <v>38</v>
      </c>
      <c r="S325" s="2" t="s">
        <v>38</v>
      </c>
      <c r="T325" s="2" t="s">
        <v>38</v>
      </c>
      <c r="U325" s="2" t="s">
        <v>38</v>
      </c>
      <c r="V325" s="2" t="s">
        <v>38</v>
      </c>
      <c r="W325" s="2" t="s">
        <v>38</v>
      </c>
      <c r="X325" s="2" t="s">
        <v>39</v>
      </c>
      <c r="Y325" s="2" t="s">
        <v>39</v>
      </c>
      <c r="Z325" s="2" t="s">
        <v>38</v>
      </c>
      <c r="AA325" s="2" t="s">
        <v>38</v>
      </c>
      <c r="AB325" s="2" t="s">
        <v>39</v>
      </c>
      <c r="AC325" s="2" t="s">
        <v>38</v>
      </c>
      <c r="AD325" s="2" t="s">
        <v>38</v>
      </c>
      <c r="AE325" s="2" t="s">
        <v>39</v>
      </c>
    </row>
    <row r="326" spans="1:31" ht="409.5">
      <c r="A326" s="2">
        <v>2763947</v>
      </c>
      <c r="B326" s="2">
        <f>HYPERLINK("https://platform.v2.vetology.net/cases/2763947/screening-report/1?type=pdf&amp;v=v6&amp;scorecard=1&amp;secret_key=BX%25IJ%24%2F65ieZ%29f6", 2763947)</f>
        <v>2763947</v>
      </c>
      <c r="C326" s="2">
        <f>HYPERLINK("https://platform.v2.vetology.net/report/v/final/"&amp;2763947, 2763947)</f>
        <v>2763947</v>
      </c>
      <c r="D326" s="2" t="s">
        <v>1169</v>
      </c>
      <c r="E326" s="2" t="s">
        <v>1170</v>
      </c>
      <c r="F326" s="2" t="s">
        <v>1171</v>
      </c>
      <c r="G326" s="2" t="s">
        <v>127</v>
      </c>
      <c r="H326" s="2" t="s">
        <v>69</v>
      </c>
      <c r="I326" s="2" t="s">
        <v>46</v>
      </c>
      <c r="J326" s="2"/>
      <c r="K326" s="2" t="s">
        <v>39</v>
      </c>
      <c r="L326" s="2" t="s">
        <v>39</v>
      </c>
      <c r="M326" s="2" t="s">
        <v>39</v>
      </c>
      <c r="N326" s="2" t="s">
        <v>39</v>
      </c>
      <c r="O326" s="2" t="s">
        <v>39</v>
      </c>
      <c r="P326" s="2" t="s">
        <v>39</v>
      </c>
      <c r="Q326" s="2" t="s">
        <v>39</v>
      </c>
      <c r="R326" s="2" t="s">
        <v>39</v>
      </c>
      <c r="S326" s="2" t="s">
        <v>39</v>
      </c>
      <c r="T326" s="2" t="s">
        <v>39</v>
      </c>
      <c r="U326" s="2" t="s">
        <v>39</v>
      </c>
      <c r="V326" s="2" t="s">
        <v>38</v>
      </c>
      <c r="W326" s="2" t="s">
        <v>39</v>
      </c>
      <c r="X326" s="2" t="s">
        <v>39</v>
      </c>
      <c r="Y326" s="2" t="s">
        <v>39</v>
      </c>
      <c r="Z326" s="2" t="s">
        <v>39</v>
      </c>
      <c r="AA326" s="2" t="s">
        <v>39</v>
      </c>
      <c r="AB326" s="2" t="s">
        <v>39</v>
      </c>
      <c r="AC326" s="2" t="s">
        <v>39</v>
      </c>
      <c r="AD326" s="2" t="s">
        <v>38</v>
      </c>
      <c r="AE326" s="2" t="s">
        <v>40</v>
      </c>
    </row>
    <row r="327" spans="1:31" ht="409.5">
      <c r="A327" s="2">
        <v>2763933</v>
      </c>
      <c r="B327" s="2">
        <f>HYPERLINK("https://platform.v2.vetology.net/cases/2763933/screening-report/1?type=pdf&amp;v=v6&amp;scorecard=1&amp;secret_key=BX%25IJ%24%2F65ieZ%29f6", 2763933)</f>
        <v>2763933</v>
      </c>
      <c r="C327" s="2">
        <f>HYPERLINK("https://platform.v2.vetology.net/report/v/final/"&amp;2763933, 2763933)</f>
        <v>2763933</v>
      </c>
      <c r="D327" s="2" t="s">
        <v>1172</v>
      </c>
      <c r="E327" s="2" t="s">
        <v>1173</v>
      </c>
      <c r="F327" s="2" t="s">
        <v>1174</v>
      </c>
      <c r="G327" s="2" t="s">
        <v>127</v>
      </c>
      <c r="H327" s="2" t="s">
        <v>1175</v>
      </c>
      <c r="I327" s="2" t="s">
        <v>36</v>
      </c>
      <c r="J327" s="2" t="s">
        <v>37</v>
      </c>
      <c r="K327" s="2" t="s">
        <v>39</v>
      </c>
      <c r="L327" s="2" t="s">
        <v>39</v>
      </c>
      <c r="M327" s="2" t="s">
        <v>38</v>
      </c>
      <c r="N327" s="2" t="s">
        <v>39</v>
      </c>
      <c r="O327" s="2" t="s">
        <v>38</v>
      </c>
      <c r="P327" s="2" t="s">
        <v>39</v>
      </c>
      <c r="Q327" s="2" t="s">
        <v>39</v>
      </c>
      <c r="R327" s="2" t="s">
        <v>38</v>
      </c>
      <c r="S327" s="2" t="s">
        <v>39</v>
      </c>
      <c r="T327" s="2" t="s">
        <v>39</v>
      </c>
      <c r="U327" s="2" t="s">
        <v>39</v>
      </c>
      <c r="V327" s="2" t="s">
        <v>38</v>
      </c>
      <c r="W327" s="2" t="s">
        <v>38</v>
      </c>
      <c r="X327" s="2" t="s">
        <v>39</v>
      </c>
      <c r="Y327" s="2" t="s">
        <v>39</v>
      </c>
      <c r="Z327" s="2" t="s">
        <v>39</v>
      </c>
      <c r="AA327" s="2" t="s">
        <v>38</v>
      </c>
      <c r="AB327" s="2" t="s">
        <v>39</v>
      </c>
      <c r="AC327" s="2" t="s">
        <v>38</v>
      </c>
      <c r="AD327" s="2" t="s">
        <v>39</v>
      </c>
      <c r="AE327" s="2" t="s">
        <v>40</v>
      </c>
    </row>
    <row r="328" spans="1:31" ht="409.5">
      <c r="A328" s="2">
        <v>2763919</v>
      </c>
      <c r="B328" s="2">
        <f>HYPERLINK("https://platform.v2.vetology.net/cases/2763919/screening-report/1?type=pdf&amp;v=v6&amp;scorecard=1&amp;secret_key=BX%25IJ%24%2F65ieZ%29f6", 2763919)</f>
        <v>2763919</v>
      </c>
      <c r="C328" s="2">
        <f>HYPERLINK("https://platform.v2.vetology.net/report/v/final/"&amp;2763919, 2763919)</f>
        <v>2763919</v>
      </c>
      <c r="D328" s="2" t="s">
        <v>1176</v>
      </c>
      <c r="E328" s="2" t="s">
        <v>1177</v>
      </c>
      <c r="F328" s="2" t="s">
        <v>1178</v>
      </c>
      <c r="G328" s="2" t="s">
        <v>127</v>
      </c>
      <c r="H328" s="2" t="s">
        <v>69</v>
      </c>
      <c r="I328" s="2" t="s">
        <v>46</v>
      </c>
      <c r="J328" s="2"/>
      <c r="K328" s="2" t="s">
        <v>39</v>
      </c>
      <c r="L328" s="2" t="s">
        <v>39</v>
      </c>
      <c r="M328" s="2" t="s">
        <v>39</v>
      </c>
      <c r="N328" s="2" t="s">
        <v>39</v>
      </c>
      <c r="O328" s="2" t="s">
        <v>39</v>
      </c>
      <c r="P328" s="2" t="s">
        <v>39</v>
      </c>
      <c r="Q328" s="2" t="s">
        <v>39</v>
      </c>
      <c r="R328" s="2" t="s">
        <v>39</v>
      </c>
      <c r="S328" s="2" t="s">
        <v>39</v>
      </c>
      <c r="T328" s="2" t="s">
        <v>39</v>
      </c>
      <c r="U328" s="2" t="s">
        <v>39</v>
      </c>
      <c r="V328" s="2" t="s">
        <v>39</v>
      </c>
      <c r="W328" s="2" t="s">
        <v>39</v>
      </c>
      <c r="X328" s="2" t="s">
        <v>39</v>
      </c>
      <c r="Y328" s="2" t="s">
        <v>39</v>
      </c>
      <c r="Z328" s="2" t="s">
        <v>39</v>
      </c>
      <c r="AA328" s="2" t="s">
        <v>39</v>
      </c>
      <c r="AB328" s="2" t="s">
        <v>39</v>
      </c>
      <c r="AC328" s="2" t="s">
        <v>39</v>
      </c>
      <c r="AD328" s="2" t="s">
        <v>39</v>
      </c>
      <c r="AE328" s="2" t="s">
        <v>39</v>
      </c>
    </row>
    <row r="329" spans="1:31" ht="409.5">
      <c r="A329" s="2">
        <v>2763910</v>
      </c>
      <c r="B329" s="2">
        <f>HYPERLINK("https://platform.v2.vetology.net/cases/2763910/screening-report/1?type=pdf&amp;v=v6&amp;scorecard=1&amp;secret_key=BX%25IJ%24%2F65ieZ%29f6", 2763910)</f>
        <v>2763910</v>
      </c>
      <c r="C329" s="2">
        <f>HYPERLINK("https://platform.v2.vetology.net/report/v/final/"&amp;2763910, 2763910)</f>
        <v>2763910</v>
      </c>
      <c r="D329" s="2" t="s">
        <v>1179</v>
      </c>
      <c r="E329" s="2" t="s">
        <v>1180</v>
      </c>
      <c r="F329" s="2" t="s">
        <v>1181</v>
      </c>
      <c r="G329" s="2" t="s">
        <v>251</v>
      </c>
      <c r="H329" s="2" t="s">
        <v>69</v>
      </c>
      <c r="I329" s="2" t="s">
        <v>46</v>
      </c>
      <c r="J329" s="2"/>
      <c r="K329" s="2" t="s">
        <v>39</v>
      </c>
      <c r="L329" s="2" t="s">
        <v>39</v>
      </c>
      <c r="M329" s="2" t="s">
        <v>39</v>
      </c>
      <c r="N329" s="2" t="s">
        <v>39</v>
      </c>
      <c r="O329" s="2" t="s">
        <v>39</v>
      </c>
      <c r="P329" s="2" t="s">
        <v>39</v>
      </c>
      <c r="Q329" s="2" t="s">
        <v>39</v>
      </c>
      <c r="R329" s="2" t="s">
        <v>39</v>
      </c>
      <c r="S329" s="2" t="s">
        <v>39</v>
      </c>
      <c r="T329" s="2" t="s">
        <v>39</v>
      </c>
      <c r="U329" s="2" t="s">
        <v>38</v>
      </c>
      <c r="V329" s="2" t="s">
        <v>38</v>
      </c>
      <c r="W329" s="2" t="s">
        <v>39</v>
      </c>
      <c r="X329" s="2" t="s">
        <v>39</v>
      </c>
      <c r="Y329" s="2" t="s">
        <v>39</v>
      </c>
      <c r="Z329" s="2" t="s">
        <v>39</v>
      </c>
      <c r="AA329" s="2" t="s">
        <v>39</v>
      </c>
      <c r="AB329" s="2" t="s">
        <v>39</v>
      </c>
      <c r="AC329" s="2" t="s">
        <v>38</v>
      </c>
      <c r="AD329" s="2" t="s">
        <v>38</v>
      </c>
      <c r="AE329" s="2" t="s">
        <v>39</v>
      </c>
    </row>
    <row r="330" spans="1:31" ht="409.5">
      <c r="A330" s="2">
        <v>2763897</v>
      </c>
      <c r="B330" s="2">
        <f>HYPERLINK("https://platform.v2.vetology.net/cases/2763897/screening-report/1?type=pdf&amp;v=v6&amp;scorecard=1&amp;secret_key=BX%25IJ%24%2F65ieZ%29f6", 2763897)</f>
        <v>2763897</v>
      </c>
      <c r="C330" s="2">
        <f>HYPERLINK("https://platform.v2.vetology.net/report/v/final/"&amp;2763897, 2763897)</f>
        <v>2763897</v>
      </c>
      <c r="D330" s="2" t="s">
        <v>1182</v>
      </c>
      <c r="E330" s="2" t="s">
        <v>1183</v>
      </c>
      <c r="F330" s="2" t="s">
        <v>1184</v>
      </c>
      <c r="G330" s="2" t="s">
        <v>127</v>
      </c>
      <c r="H330" s="2" t="s">
        <v>398</v>
      </c>
      <c r="I330" s="2" t="s">
        <v>46</v>
      </c>
      <c r="J330" s="2"/>
      <c r="K330" s="2" t="s">
        <v>38</v>
      </c>
      <c r="L330" s="2" t="s">
        <v>39</v>
      </c>
      <c r="M330" s="2" t="s">
        <v>39</v>
      </c>
      <c r="N330" s="2" t="s">
        <v>39</v>
      </c>
      <c r="O330" s="2" t="s">
        <v>38</v>
      </c>
      <c r="P330" s="2" t="s">
        <v>39</v>
      </c>
      <c r="Q330" s="2" t="s">
        <v>39</v>
      </c>
      <c r="R330" s="2" t="s">
        <v>39</v>
      </c>
      <c r="S330" s="2" t="s">
        <v>39</v>
      </c>
      <c r="T330" s="2" t="s">
        <v>39</v>
      </c>
      <c r="U330" s="2" t="s">
        <v>39</v>
      </c>
      <c r="V330" s="2" t="s">
        <v>39</v>
      </c>
      <c r="W330" s="2" t="s">
        <v>39</v>
      </c>
      <c r="X330" s="2" t="s">
        <v>39</v>
      </c>
      <c r="Y330" s="2" t="s">
        <v>39</v>
      </c>
      <c r="Z330" s="2" t="s">
        <v>39</v>
      </c>
      <c r="AA330" s="2" t="s">
        <v>39</v>
      </c>
      <c r="AB330" s="2" t="s">
        <v>39</v>
      </c>
      <c r="AC330" s="2" t="s">
        <v>39</v>
      </c>
      <c r="AD330" s="2" t="s">
        <v>39</v>
      </c>
      <c r="AE330" s="2" t="s">
        <v>39</v>
      </c>
    </row>
    <row r="331" spans="1:31" ht="409.5">
      <c r="A331" s="2">
        <v>2763851</v>
      </c>
      <c r="B331" s="2">
        <f>HYPERLINK("https://platform.v2.vetology.net/cases/2763851/screening-report/1?type=pdf&amp;v=v6&amp;scorecard=1&amp;secret_key=BX%25IJ%24%2F65ieZ%29f6", 2763851)</f>
        <v>2763851</v>
      </c>
      <c r="C331" s="2">
        <f>HYPERLINK("https://platform.v2.vetology.net/report/v/final/"&amp;2763851, 2763851)</f>
        <v>2763851</v>
      </c>
      <c r="D331" s="2" t="s">
        <v>1185</v>
      </c>
      <c r="E331" s="2" t="s">
        <v>1186</v>
      </c>
      <c r="F331" s="2" t="s">
        <v>1187</v>
      </c>
      <c r="G331" s="2" t="s">
        <v>53</v>
      </c>
      <c r="H331" s="2" t="s">
        <v>1188</v>
      </c>
      <c r="I331" s="2" t="s">
        <v>129</v>
      </c>
      <c r="J331" s="2" t="s">
        <v>74</v>
      </c>
      <c r="K331" s="2" t="s">
        <v>39</v>
      </c>
      <c r="L331" s="2" t="s">
        <v>38</v>
      </c>
      <c r="M331" s="2" t="s">
        <v>38</v>
      </c>
      <c r="N331" s="2" t="s">
        <v>38</v>
      </c>
      <c r="O331" s="2" t="s">
        <v>38</v>
      </c>
      <c r="P331" s="2" t="s">
        <v>39</v>
      </c>
      <c r="Q331" s="2" t="s">
        <v>38</v>
      </c>
      <c r="R331" s="2" t="s">
        <v>38</v>
      </c>
      <c r="S331" s="2" t="s">
        <v>38</v>
      </c>
      <c r="T331" s="2" t="s">
        <v>38</v>
      </c>
      <c r="U331" s="2" t="s">
        <v>39</v>
      </c>
      <c r="V331" s="2" t="s">
        <v>39</v>
      </c>
      <c r="W331" s="2" t="s">
        <v>38</v>
      </c>
      <c r="X331" s="2" t="s">
        <v>38</v>
      </c>
      <c r="Y331" s="2" t="s">
        <v>39</v>
      </c>
      <c r="Z331" s="2" t="s">
        <v>38</v>
      </c>
      <c r="AA331" s="2" t="s">
        <v>38</v>
      </c>
      <c r="AB331" s="2" t="s">
        <v>38</v>
      </c>
      <c r="AC331" s="2" t="s">
        <v>38</v>
      </c>
      <c r="AD331" s="2" t="s">
        <v>39</v>
      </c>
      <c r="AE331" s="2" t="s">
        <v>39</v>
      </c>
    </row>
    <row r="332" spans="1:31" ht="409.5">
      <c r="A332" s="2">
        <v>2763839</v>
      </c>
      <c r="B332" s="2">
        <f>HYPERLINK("https://platform.v2.vetology.net/cases/2763839/screening-report/1?type=pdf&amp;v=v6&amp;scorecard=1&amp;secret_key=BX%25IJ%24%2F65ieZ%29f6", 2763839)</f>
        <v>2763839</v>
      </c>
      <c r="C332" s="2">
        <f>HYPERLINK("https://platform.v2.vetology.net/report/v/final/"&amp;2763839, 2763839)</f>
        <v>2763839</v>
      </c>
      <c r="D332" s="2" t="s">
        <v>1189</v>
      </c>
      <c r="E332" s="2" t="s">
        <v>1190</v>
      </c>
      <c r="F332" s="2" t="s">
        <v>43</v>
      </c>
      <c r="G332" s="2" t="s">
        <v>44</v>
      </c>
      <c r="H332" s="2" t="s">
        <v>1191</v>
      </c>
      <c r="I332" s="2" t="s">
        <v>36</v>
      </c>
      <c r="J332" s="2" t="s">
        <v>37</v>
      </c>
      <c r="K332" s="2" t="s">
        <v>39</v>
      </c>
      <c r="L332" s="2" t="s">
        <v>38</v>
      </c>
      <c r="M332" s="2" t="s">
        <v>38</v>
      </c>
      <c r="N332" s="2" t="s">
        <v>39</v>
      </c>
      <c r="O332" s="2" t="s">
        <v>38</v>
      </c>
      <c r="P332" s="2" t="s">
        <v>39</v>
      </c>
      <c r="Q332" s="2" t="s">
        <v>39</v>
      </c>
      <c r="R332" s="2" t="s">
        <v>38</v>
      </c>
      <c r="S332" s="2" t="s">
        <v>38</v>
      </c>
      <c r="T332" s="2" t="s">
        <v>39</v>
      </c>
      <c r="U332" s="2" t="s">
        <v>39</v>
      </c>
      <c r="V332" s="2" t="s">
        <v>39</v>
      </c>
      <c r="W332" s="2" t="s">
        <v>38</v>
      </c>
      <c r="X332" s="2" t="s">
        <v>39</v>
      </c>
      <c r="Y332" s="2" t="s">
        <v>39</v>
      </c>
      <c r="Z332" s="2" t="s">
        <v>39</v>
      </c>
      <c r="AA332" s="2" t="s">
        <v>39</v>
      </c>
      <c r="AB332" s="2" t="s">
        <v>39</v>
      </c>
      <c r="AC332" s="2" t="s">
        <v>38</v>
      </c>
      <c r="AD332" s="2" t="s">
        <v>38</v>
      </c>
      <c r="AE332" s="2" t="s">
        <v>39</v>
      </c>
    </row>
    <row r="333" spans="1:31" ht="409.5">
      <c r="A333" s="2">
        <v>2763834</v>
      </c>
      <c r="B333" s="2">
        <f>HYPERLINK("https://platform.v2.vetology.net/cases/2763834/screening-report/1?type=pdf&amp;v=v6&amp;scorecard=1&amp;secret_key=BX%25IJ%24%2F65ieZ%29f6", 2763834)</f>
        <v>2763834</v>
      </c>
      <c r="C333" s="2">
        <f>HYPERLINK("https://platform.v2.vetology.net/report/v/final/"&amp;2763834, 2763834)</f>
        <v>2763834</v>
      </c>
      <c r="D333" s="2" t="s">
        <v>1192</v>
      </c>
      <c r="E333" s="2" t="s">
        <v>1193</v>
      </c>
      <c r="F333" s="2" t="s">
        <v>1194</v>
      </c>
      <c r="G333" s="2" t="s">
        <v>170</v>
      </c>
      <c r="H333" s="2" t="s">
        <v>1195</v>
      </c>
      <c r="I333" s="2" t="s">
        <v>36</v>
      </c>
      <c r="J333" s="2" t="s">
        <v>37</v>
      </c>
      <c r="K333" s="2" t="s">
        <v>38</v>
      </c>
      <c r="L333" s="2" t="s">
        <v>38</v>
      </c>
      <c r="M333" s="2" t="s">
        <v>38</v>
      </c>
      <c r="N333" s="2" t="s">
        <v>38</v>
      </c>
      <c r="O333" s="2" t="s">
        <v>38</v>
      </c>
      <c r="P333" s="2" t="s">
        <v>38</v>
      </c>
      <c r="Q333" s="2" t="s">
        <v>39</v>
      </c>
      <c r="R333" s="2" t="s">
        <v>38</v>
      </c>
      <c r="S333" s="2" t="s">
        <v>38</v>
      </c>
      <c r="T333" s="2" t="s">
        <v>38</v>
      </c>
      <c r="U333" s="2" t="s">
        <v>38</v>
      </c>
      <c r="V333" s="2" t="s">
        <v>38</v>
      </c>
      <c r="W333" s="2" t="s">
        <v>38</v>
      </c>
      <c r="X333" s="2" t="s">
        <v>38</v>
      </c>
      <c r="Y333" s="2" t="s">
        <v>38</v>
      </c>
      <c r="Z333" s="2" t="s">
        <v>38</v>
      </c>
      <c r="AA333" s="2" t="s">
        <v>38</v>
      </c>
      <c r="AB333" s="2" t="s">
        <v>39</v>
      </c>
      <c r="AC333" s="2" t="s">
        <v>38</v>
      </c>
      <c r="AD333" s="2" t="s">
        <v>38</v>
      </c>
      <c r="AE333" s="2" t="s">
        <v>39</v>
      </c>
    </row>
    <row r="334" spans="1:31" ht="409.5">
      <c r="A334" s="2">
        <v>2763784</v>
      </c>
      <c r="B334" s="2">
        <f>HYPERLINK("https://platform.v2.vetology.net/cases/2763784/screening-report/1?type=pdf&amp;v=v6&amp;scorecard=1&amp;secret_key=BX%25IJ%24%2F65ieZ%29f6", 2763784)</f>
        <v>2763784</v>
      </c>
      <c r="C334" s="2">
        <f>HYPERLINK("https://platform.v2.vetology.net/report/v/final/"&amp;2763784, 2763784)</f>
        <v>2763784</v>
      </c>
      <c r="D334" s="2" t="s">
        <v>1196</v>
      </c>
      <c r="E334" s="2" t="s">
        <v>1197</v>
      </c>
      <c r="F334" s="2" t="s">
        <v>1198</v>
      </c>
      <c r="G334" s="2" t="s">
        <v>53</v>
      </c>
      <c r="H334" s="2" t="s">
        <v>90</v>
      </c>
      <c r="I334" s="2" t="s">
        <v>36</v>
      </c>
      <c r="J334" s="2" t="s">
        <v>37</v>
      </c>
      <c r="K334" s="2" t="s">
        <v>38</v>
      </c>
      <c r="L334" s="2" t="s">
        <v>38</v>
      </c>
      <c r="M334" s="2" t="s">
        <v>39</v>
      </c>
      <c r="N334" s="2" t="s">
        <v>39</v>
      </c>
      <c r="O334" s="2" t="s">
        <v>38</v>
      </c>
      <c r="P334" s="2" t="s">
        <v>39</v>
      </c>
      <c r="Q334" s="2" t="s">
        <v>39</v>
      </c>
      <c r="R334" s="2" t="s">
        <v>38</v>
      </c>
      <c r="S334" s="2" t="s">
        <v>39</v>
      </c>
      <c r="T334" s="2" t="s">
        <v>39</v>
      </c>
      <c r="U334" s="2" t="s">
        <v>39</v>
      </c>
      <c r="V334" s="2" t="s">
        <v>38</v>
      </c>
      <c r="W334" s="2" t="s">
        <v>38</v>
      </c>
      <c r="X334" s="2" t="s">
        <v>39</v>
      </c>
      <c r="Y334" s="2" t="s">
        <v>39</v>
      </c>
      <c r="Z334" s="2" t="s">
        <v>39</v>
      </c>
      <c r="AA334" s="2" t="s">
        <v>39</v>
      </c>
      <c r="AB334" s="2" t="s">
        <v>39</v>
      </c>
      <c r="AC334" s="2" t="s">
        <v>38</v>
      </c>
      <c r="AD334" s="2" t="s">
        <v>39</v>
      </c>
      <c r="AE334" s="2" t="s">
        <v>39</v>
      </c>
    </row>
    <row r="335" spans="1:31" ht="409.5">
      <c r="A335" s="2">
        <v>2763720</v>
      </c>
      <c r="B335" s="2">
        <f>HYPERLINK("https://platform.v2.vetology.net/cases/2763720/screening-report/1?type=pdf&amp;v=v6&amp;scorecard=1&amp;secret_key=BX%25IJ%24%2F65ieZ%29f6", 2763720)</f>
        <v>2763720</v>
      </c>
      <c r="C335" s="2">
        <f>HYPERLINK("https://platform.v2.vetology.net/report/v/final/"&amp;2763720, 2763720)</f>
        <v>2763720</v>
      </c>
      <c r="D335" s="2" t="s">
        <v>1199</v>
      </c>
      <c r="E335" s="2" t="s">
        <v>1200</v>
      </c>
      <c r="F335" s="2" t="s">
        <v>1201</v>
      </c>
      <c r="G335" s="2" t="s">
        <v>127</v>
      </c>
      <c r="H335" s="2" t="s">
        <v>1202</v>
      </c>
      <c r="I335" s="2" t="s">
        <v>73</v>
      </c>
      <c r="J335" s="2" t="s">
        <v>74</v>
      </c>
      <c r="K335" s="2" t="s">
        <v>38</v>
      </c>
      <c r="L335" s="2" t="s">
        <v>39</v>
      </c>
      <c r="M335" s="2" t="s">
        <v>38</v>
      </c>
      <c r="N335" s="2" t="s">
        <v>38</v>
      </c>
      <c r="O335" s="2" t="s">
        <v>38</v>
      </c>
      <c r="P335" s="2" t="s">
        <v>38</v>
      </c>
      <c r="Q335" s="2" t="s">
        <v>38</v>
      </c>
      <c r="R335" s="2" t="s">
        <v>38</v>
      </c>
      <c r="S335" s="2" t="s">
        <v>38</v>
      </c>
      <c r="T335" s="2" t="s">
        <v>38</v>
      </c>
      <c r="U335" s="2" t="s">
        <v>38</v>
      </c>
      <c r="V335" s="2" t="s">
        <v>38</v>
      </c>
      <c r="W335" s="2" t="s">
        <v>38</v>
      </c>
      <c r="X335" s="2" t="s">
        <v>38</v>
      </c>
      <c r="Y335" s="2" t="s">
        <v>39</v>
      </c>
      <c r="Z335" s="2" t="s">
        <v>38</v>
      </c>
      <c r="AA335" s="2" t="s">
        <v>38</v>
      </c>
      <c r="AB335" s="2" t="s">
        <v>38</v>
      </c>
      <c r="AC335" s="2" t="s">
        <v>38</v>
      </c>
      <c r="AD335" s="2" t="s">
        <v>38</v>
      </c>
      <c r="AE335" s="2" t="s">
        <v>39</v>
      </c>
    </row>
    <row r="336" spans="1:31" ht="409.5">
      <c r="A336" s="2">
        <v>2763706</v>
      </c>
      <c r="B336" s="2">
        <f>HYPERLINK("https://platform.v2.vetology.net/cases/2763706/screening-report/1?type=pdf&amp;v=v6&amp;scorecard=1&amp;secret_key=BX%25IJ%24%2F65ieZ%29f6", 2763706)</f>
        <v>2763706</v>
      </c>
      <c r="C336" s="2">
        <f>HYPERLINK("https://platform.v2.vetology.net/report/v/final/"&amp;2763706, 2763706)</f>
        <v>2763706</v>
      </c>
      <c r="D336" s="2" t="s">
        <v>1203</v>
      </c>
      <c r="E336" s="2" t="s">
        <v>969</v>
      </c>
      <c r="F336" s="2" t="s">
        <v>787</v>
      </c>
      <c r="G336" s="2" t="s">
        <v>100</v>
      </c>
      <c r="H336" s="2" t="s">
        <v>69</v>
      </c>
      <c r="I336" s="2" t="s">
        <v>46</v>
      </c>
      <c r="J336" s="2"/>
      <c r="K336" s="2" t="s">
        <v>39</v>
      </c>
      <c r="L336" s="2" t="s">
        <v>39</v>
      </c>
      <c r="M336" s="2" t="s">
        <v>39</v>
      </c>
      <c r="N336" s="2" t="s">
        <v>39</v>
      </c>
      <c r="O336" s="2" t="s">
        <v>39</v>
      </c>
      <c r="P336" s="2" t="s">
        <v>39</v>
      </c>
      <c r="Q336" s="2" t="s">
        <v>39</v>
      </c>
      <c r="R336" s="2" t="s">
        <v>39</v>
      </c>
      <c r="S336" s="2" t="s">
        <v>39</v>
      </c>
      <c r="T336" s="2" t="s">
        <v>39</v>
      </c>
      <c r="U336" s="2" t="s">
        <v>39</v>
      </c>
      <c r="V336" s="2" t="s">
        <v>39</v>
      </c>
      <c r="W336" s="2" t="s">
        <v>38</v>
      </c>
      <c r="X336" s="2" t="s">
        <v>39</v>
      </c>
      <c r="Y336" s="2" t="s">
        <v>39</v>
      </c>
      <c r="Z336" s="2" t="s">
        <v>39</v>
      </c>
      <c r="AA336" s="2" t="s">
        <v>39</v>
      </c>
      <c r="AB336" s="2" t="s">
        <v>39</v>
      </c>
      <c r="AC336" s="2" t="s">
        <v>38</v>
      </c>
      <c r="AD336" s="2" t="s">
        <v>39</v>
      </c>
      <c r="AE336" s="2" t="s">
        <v>39</v>
      </c>
    </row>
    <row r="337" spans="1:31" ht="409.5">
      <c r="A337" s="2">
        <v>2763674</v>
      </c>
      <c r="B337" s="2">
        <f>HYPERLINK("https://platform.v2.vetology.net/cases/2763674/screening-report/1?type=pdf&amp;v=v6&amp;scorecard=1&amp;secret_key=BX%25IJ%24%2F65ieZ%29f6", 2763674)</f>
        <v>2763674</v>
      </c>
      <c r="C337" s="2">
        <f>HYPERLINK("https://platform.v2.vetology.net/report/v/final/"&amp;2763674, 2763674)</f>
        <v>2763674</v>
      </c>
      <c r="D337" s="2" t="s">
        <v>1204</v>
      </c>
      <c r="E337" s="2" t="s">
        <v>1205</v>
      </c>
      <c r="F337" s="2" t="s">
        <v>1206</v>
      </c>
      <c r="G337" s="2" t="s">
        <v>53</v>
      </c>
      <c r="H337" s="2" t="s">
        <v>1207</v>
      </c>
      <c r="I337" s="2" t="s">
        <v>73</v>
      </c>
      <c r="J337" s="2" t="s">
        <v>74</v>
      </c>
      <c r="K337" s="2" t="s">
        <v>38</v>
      </c>
      <c r="L337" s="2" t="s">
        <v>38</v>
      </c>
      <c r="M337" s="2" t="s">
        <v>38</v>
      </c>
      <c r="N337" s="2" t="s">
        <v>38</v>
      </c>
      <c r="O337" s="2" t="s">
        <v>38</v>
      </c>
      <c r="P337" s="2" t="s">
        <v>38</v>
      </c>
      <c r="Q337" s="2" t="s">
        <v>38</v>
      </c>
      <c r="R337" s="2" t="s">
        <v>38</v>
      </c>
      <c r="S337" s="2" t="s">
        <v>38</v>
      </c>
      <c r="T337" s="2" t="s">
        <v>38</v>
      </c>
      <c r="U337" s="2" t="s">
        <v>38</v>
      </c>
      <c r="V337" s="2" t="s">
        <v>38</v>
      </c>
      <c r="W337" s="2" t="s">
        <v>38</v>
      </c>
      <c r="X337" s="2" t="s">
        <v>38</v>
      </c>
      <c r="Y337" s="2" t="s">
        <v>38</v>
      </c>
      <c r="Z337" s="2" t="s">
        <v>38</v>
      </c>
      <c r="AA337" s="2" t="s">
        <v>38</v>
      </c>
      <c r="AB337" s="2" t="s">
        <v>38</v>
      </c>
      <c r="AC337" s="2" t="s">
        <v>38</v>
      </c>
      <c r="AD337" s="2" t="s">
        <v>38</v>
      </c>
      <c r="AE337" s="2" t="s">
        <v>40</v>
      </c>
    </row>
    <row r="338" spans="1:31" ht="409.5">
      <c r="A338" s="2">
        <v>2763673</v>
      </c>
      <c r="B338" s="2">
        <f>HYPERLINK("https://platform.v2.vetology.net/cases/2763673/screening-report/1?type=pdf&amp;v=v6&amp;scorecard=1&amp;secret_key=BX%25IJ%24%2F65ieZ%29f6", 2763673)</f>
        <v>2763673</v>
      </c>
      <c r="C338" s="2">
        <f>HYPERLINK("https://platform.v2.vetology.net/report/v/final/"&amp;2763673, 2763673)</f>
        <v>2763673</v>
      </c>
      <c r="D338" s="2" t="s">
        <v>1208</v>
      </c>
      <c r="E338" s="2" t="s">
        <v>1209</v>
      </c>
      <c r="F338" s="2" t="s">
        <v>1210</v>
      </c>
      <c r="G338" s="2" t="s">
        <v>53</v>
      </c>
      <c r="H338" s="2" t="s">
        <v>69</v>
      </c>
      <c r="I338" s="2" t="s">
        <v>46</v>
      </c>
      <c r="J338" s="2"/>
      <c r="K338" s="2" t="s">
        <v>39</v>
      </c>
      <c r="L338" s="2" t="s">
        <v>39</v>
      </c>
      <c r="M338" s="2" t="s">
        <v>39</v>
      </c>
      <c r="N338" s="2" t="s">
        <v>39</v>
      </c>
      <c r="O338" s="2" t="s">
        <v>39</v>
      </c>
      <c r="P338" s="2" t="s">
        <v>39</v>
      </c>
      <c r="Q338" s="2" t="s">
        <v>39</v>
      </c>
      <c r="R338" s="2" t="s">
        <v>39</v>
      </c>
      <c r="S338" s="2" t="s">
        <v>39</v>
      </c>
      <c r="T338" s="2" t="s">
        <v>39</v>
      </c>
      <c r="U338" s="2" t="s">
        <v>39</v>
      </c>
      <c r="V338" s="2" t="s">
        <v>39</v>
      </c>
      <c r="W338" s="2" t="s">
        <v>39</v>
      </c>
      <c r="X338" s="2" t="s">
        <v>39</v>
      </c>
      <c r="Y338" s="2" t="s">
        <v>39</v>
      </c>
      <c r="Z338" s="2" t="s">
        <v>39</v>
      </c>
      <c r="AA338" s="2" t="s">
        <v>39</v>
      </c>
      <c r="AB338" s="2" t="s">
        <v>39</v>
      </c>
      <c r="AC338" s="2" t="s">
        <v>39</v>
      </c>
      <c r="AD338" s="2" t="s">
        <v>39</v>
      </c>
      <c r="AE338" s="2" t="s">
        <v>39</v>
      </c>
    </row>
    <row r="339" spans="1:31" ht="409.5">
      <c r="A339" s="2">
        <v>2763651</v>
      </c>
      <c r="B339" s="2">
        <f>HYPERLINK("https://platform.v2.vetology.net/cases/2763651/screening-report/1?type=pdf&amp;v=v6&amp;scorecard=1&amp;secret_key=BX%25IJ%24%2F65ieZ%29f6", 2763651)</f>
        <v>2763651</v>
      </c>
      <c r="C339" s="2">
        <f>HYPERLINK("https://platform.v2.vetology.net/report/v/final/"&amp;2763651, 2763651)</f>
        <v>2763651</v>
      </c>
      <c r="D339" s="2" t="s">
        <v>1211</v>
      </c>
      <c r="E339" s="2" t="s">
        <v>1212</v>
      </c>
      <c r="F339" s="2" t="s">
        <v>1213</v>
      </c>
      <c r="G339" s="2" t="s">
        <v>127</v>
      </c>
      <c r="H339" s="2" t="s">
        <v>1214</v>
      </c>
      <c r="I339" s="2" t="s">
        <v>73</v>
      </c>
      <c r="J339" s="2" t="s">
        <v>74</v>
      </c>
      <c r="K339" s="2" t="s">
        <v>38</v>
      </c>
      <c r="L339" s="2" t="s">
        <v>38</v>
      </c>
      <c r="M339" s="2" t="s">
        <v>38</v>
      </c>
      <c r="N339" s="2" t="s">
        <v>38</v>
      </c>
      <c r="O339" s="2" t="s">
        <v>38</v>
      </c>
      <c r="P339" s="2" t="s">
        <v>38</v>
      </c>
      <c r="Q339" s="2" t="s">
        <v>38</v>
      </c>
      <c r="R339" s="2" t="s">
        <v>38</v>
      </c>
      <c r="S339" s="2" t="s">
        <v>38</v>
      </c>
      <c r="T339" s="2" t="s">
        <v>38</v>
      </c>
      <c r="U339" s="2" t="s">
        <v>38</v>
      </c>
      <c r="V339" s="2" t="s">
        <v>38</v>
      </c>
      <c r="W339" s="2" t="s">
        <v>38</v>
      </c>
      <c r="X339" s="2" t="s">
        <v>38</v>
      </c>
      <c r="Y339" s="2" t="s">
        <v>38</v>
      </c>
      <c r="Z339" s="2" t="s">
        <v>38</v>
      </c>
      <c r="AA339" s="2" t="s">
        <v>38</v>
      </c>
      <c r="AB339" s="2" t="s">
        <v>38</v>
      </c>
      <c r="AC339" s="2" t="s">
        <v>38</v>
      </c>
      <c r="AD339" s="2" t="s">
        <v>38</v>
      </c>
      <c r="AE339" s="2" t="s">
        <v>40</v>
      </c>
    </row>
    <row r="340" spans="1:31" ht="409.5">
      <c r="A340" s="2">
        <v>2763620</v>
      </c>
      <c r="B340" s="2">
        <f>HYPERLINK("https://platform.v2.vetology.net/cases/2763620/screening-report/1?type=pdf&amp;v=v6&amp;scorecard=1&amp;secret_key=BX%25IJ%24%2F65ieZ%29f6", 2763620)</f>
        <v>2763620</v>
      </c>
      <c r="C340" s="2">
        <f>HYPERLINK("https://platform.v2.vetology.net/report/v/final/"&amp;2763620, 2763620)</f>
        <v>2763620</v>
      </c>
      <c r="D340" s="2" t="s">
        <v>1215</v>
      </c>
      <c r="E340" s="2" t="s">
        <v>1216</v>
      </c>
      <c r="F340" s="2" t="s">
        <v>43</v>
      </c>
      <c r="G340" s="2" t="s">
        <v>44</v>
      </c>
      <c r="H340" s="2" t="s">
        <v>1217</v>
      </c>
      <c r="I340" s="2" t="s">
        <v>129</v>
      </c>
      <c r="J340" s="2" t="s">
        <v>74</v>
      </c>
      <c r="K340" s="2" t="s">
        <v>38</v>
      </c>
      <c r="L340" s="2" t="s">
        <v>38</v>
      </c>
      <c r="M340" s="2" t="s">
        <v>38</v>
      </c>
      <c r="N340" s="2" t="s">
        <v>38</v>
      </c>
      <c r="O340" s="2" t="s">
        <v>38</v>
      </c>
      <c r="P340" s="2" t="s">
        <v>38</v>
      </c>
      <c r="Q340" s="2" t="s">
        <v>38</v>
      </c>
      <c r="R340" s="2" t="s">
        <v>38</v>
      </c>
      <c r="S340" s="2" t="s">
        <v>38</v>
      </c>
      <c r="T340" s="2" t="s">
        <v>38</v>
      </c>
      <c r="U340" s="2" t="s">
        <v>38</v>
      </c>
      <c r="V340" s="2" t="s">
        <v>38</v>
      </c>
      <c r="W340" s="2" t="s">
        <v>38</v>
      </c>
      <c r="X340" s="2" t="s">
        <v>38</v>
      </c>
      <c r="Y340" s="2" t="s">
        <v>38</v>
      </c>
      <c r="Z340" s="2" t="s">
        <v>38</v>
      </c>
      <c r="AA340" s="2" t="s">
        <v>38</v>
      </c>
      <c r="AB340" s="2" t="s">
        <v>39</v>
      </c>
      <c r="AC340" s="2" t="s">
        <v>38</v>
      </c>
      <c r="AD340" s="2" t="s">
        <v>39</v>
      </c>
      <c r="AE340" s="2" t="s">
        <v>40</v>
      </c>
    </row>
    <row r="341" spans="1:31" ht="409.5">
      <c r="A341" s="2">
        <v>2763612</v>
      </c>
      <c r="B341" s="2">
        <f>HYPERLINK("https://platform.v2.vetology.net/cases/2763612/screening-report/1?type=pdf&amp;v=v6&amp;scorecard=1&amp;secret_key=BX%25IJ%24%2F65ieZ%29f6", 2763612)</f>
        <v>2763612</v>
      </c>
      <c r="C341" s="2">
        <f>HYPERLINK("https://platform.v2.vetology.net/report/v/final/"&amp;2763612, 2763612)</f>
        <v>2763612</v>
      </c>
      <c r="D341" s="2" t="s">
        <v>302</v>
      </c>
      <c r="E341" s="2" t="s">
        <v>99</v>
      </c>
      <c r="F341" s="2" t="s">
        <v>1031</v>
      </c>
      <c r="G341" s="2" t="s">
        <v>100</v>
      </c>
      <c r="H341" s="2" t="s">
        <v>1218</v>
      </c>
      <c r="I341" s="2" t="s">
        <v>36</v>
      </c>
      <c r="J341" s="2" t="s">
        <v>37</v>
      </c>
      <c r="K341" s="2" t="s">
        <v>38</v>
      </c>
      <c r="L341" s="2" t="s">
        <v>38</v>
      </c>
      <c r="M341" s="2" t="s">
        <v>38</v>
      </c>
      <c r="N341" s="2" t="s">
        <v>38</v>
      </c>
      <c r="O341" s="2" t="s">
        <v>38</v>
      </c>
      <c r="P341" s="2" t="s">
        <v>39</v>
      </c>
      <c r="Q341" s="2" t="s">
        <v>39</v>
      </c>
      <c r="R341" s="2" t="s">
        <v>38</v>
      </c>
      <c r="S341" s="2" t="s">
        <v>38</v>
      </c>
      <c r="T341" s="2" t="s">
        <v>38</v>
      </c>
      <c r="U341" s="2" t="s">
        <v>38</v>
      </c>
      <c r="V341" s="2" t="s">
        <v>38</v>
      </c>
      <c r="W341" s="2" t="s">
        <v>38</v>
      </c>
      <c r="X341" s="2" t="s">
        <v>39</v>
      </c>
      <c r="Y341" s="2" t="s">
        <v>39</v>
      </c>
      <c r="Z341" s="2" t="s">
        <v>38</v>
      </c>
      <c r="AA341" s="2" t="s">
        <v>38</v>
      </c>
      <c r="AB341" s="2" t="s">
        <v>39</v>
      </c>
      <c r="AC341" s="2" t="s">
        <v>38</v>
      </c>
      <c r="AD341" s="2" t="s">
        <v>38</v>
      </c>
      <c r="AE341" s="2" t="s">
        <v>39</v>
      </c>
    </row>
    <row r="342" spans="1:31" ht="409.5">
      <c r="A342" s="2">
        <v>2763589</v>
      </c>
      <c r="B342" s="2">
        <f>HYPERLINK("https://platform.v2.vetology.net/cases/2763589/screening-report/1?type=pdf&amp;v=v6&amp;scorecard=1&amp;secret_key=BX%25IJ%24%2F65ieZ%29f6", 2763589)</f>
        <v>2763589</v>
      </c>
      <c r="C342" s="2">
        <f>HYPERLINK("https://platform.v2.vetology.net/report/v/final/"&amp;2763589, 2763589)</f>
        <v>2763589</v>
      </c>
      <c r="D342" s="2" t="s">
        <v>1219</v>
      </c>
      <c r="E342" s="2" t="s">
        <v>1220</v>
      </c>
      <c r="F342" s="2" t="s">
        <v>1221</v>
      </c>
      <c r="G342" s="2" t="s">
        <v>127</v>
      </c>
      <c r="H342" s="2" t="s">
        <v>1222</v>
      </c>
      <c r="I342" s="2" t="s">
        <v>46</v>
      </c>
      <c r="J342" s="2"/>
      <c r="K342" s="2" t="s">
        <v>38</v>
      </c>
      <c r="L342" s="2" t="s">
        <v>38</v>
      </c>
      <c r="M342" s="2" t="s">
        <v>39</v>
      </c>
      <c r="N342" s="2" t="s">
        <v>39</v>
      </c>
      <c r="O342" s="2" t="s">
        <v>39</v>
      </c>
      <c r="P342" s="2" t="s">
        <v>39</v>
      </c>
      <c r="Q342" s="2" t="s">
        <v>39</v>
      </c>
      <c r="R342" s="2" t="s">
        <v>39</v>
      </c>
      <c r="S342" s="2" t="s">
        <v>39</v>
      </c>
      <c r="T342" s="2" t="s">
        <v>39</v>
      </c>
      <c r="U342" s="2" t="s">
        <v>39</v>
      </c>
      <c r="V342" s="2" t="s">
        <v>38</v>
      </c>
      <c r="W342" s="2" t="s">
        <v>39</v>
      </c>
      <c r="X342" s="2" t="s">
        <v>39</v>
      </c>
      <c r="Y342" s="2" t="s">
        <v>39</v>
      </c>
      <c r="Z342" s="2" t="s">
        <v>39</v>
      </c>
      <c r="AA342" s="2" t="s">
        <v>39</v>
      </c>
      <c r="AB342" s="2" t="s">
        <v>39</v>
      </c>
      <c r="AC342" s="2" t="s">
        <v>38</v>
      </c>
      <c r="AD342" s="2" t="s">
        <v>38</v>
      </c>
      <c r="AE342" s="2" t="s">
        <v>40</v>
      </c>
    </row>
    <row r="343" spans="1:31" ht="409.5">
      <c r="A343" s="2">
        <v>2763579</v>
      </c>
      <c r="B343" s="2">
        <f>HYPERLINK("https://platform.v2.vetology.net/cases/2763579/screening-report/1?type=pdf&amp;v=v6&amp;scorecard=1&amp;secret_key=BX%25IJ%24%2F65ieZ%29f6", 2763579)</f>
        <v>2763579</v>
      </c>
      <c r="C343" s="2">
        <f>HYPERLINK("https://platform.v2.vetology.net/report/v/final/"&amp;2763579, 2763579)</f>
        <v>2763579</v>
      </c>
      <c r="D343" s="2" t="s">
        <v>1223</v>
      </c>
      <c r="E343" s="2" t="s">
        <v>1224</v>
      </c>
      <c r="F343" s="2" t="s">
        <v>1225</v>
      </c>
      <c r="G343" s="2" t="s">
        <v>44</v>
      </c>
      <c r="H343" s="2" t="s">
        <v>1226</v>
      </c>
      <c r="I343" s="2" t="s">
        <v>73</v>
      </c>
      <c r="J343" s="2" t="s">
        <v>74</v>
      </c>
      <c r="K343" s="2" t="s">
        <v>38</v>
      </c>
      <c r="L343" s="2" t="s">
        <v>38</v>
      </c>
      <c r="M343" s="2" t="s">
        <v>38</v>
      </c>
      <c r="N343" s="2" t="s">
        <v>38</v>
      </c>
      <c r="O343" s="2" t="s">
        <v>38</v>
      </c>
      <c r="P343" s="2" t="s">
        <v>38</v>
      </c>
      <c r="Q343" s="2" t="s">
        <v>38</v>
      </c>
      <c r="R343" s="2" t="s">
        <v>38</v>
      </c>
      <c r="S343" s="2" t="s">
        <v>38</v>
      </c>
      <c r="T343" s="2" t="s">
        <v>38</v>
      </c>
      <c r="U343" s="2" t="s">
        <v>38</v>
      </c>
      <c r="V343" s="2" t="s">
        <v>38</v>
      </c>
      <c r="W343" s="2" t="s">
        <v>38</v>
      </c>
      <c r="X343" s="2" t="s">
        <v>38</v>
      </c>
      <c r="Y343" s="2" t="s">
        <v>39</v>
      </c>
      <c r="Z343" s="2" t="s">
        <v>38</v>
      </c>
      <c r="AA343" s="2" t="s">
        <v>38</v>
      </c>
      <c r="AB343" s="2" t="s">
        <v>38</v>
      </c>
      <c r="AC343" s="2" t="s">
        <v>38</v>
      </c>
      <c r="AD343" s="2" t="s">
        <v>38</v>
      </c>
      <c r="AE343" s="2" t="s">
        <v>39</v>
      </c>
    </row>
    <row r="344" spans="1:31" ht="409.5">
      <c r="A344" s="2">
        <v>2763571</v>
      </c>
      <c r="B344" s="2">
        <f>HYPERLINK("https://platform.v2.vetology.net/cases/2763571/screening-report/1?type=pdf&amp;v=v6&amp;scorecard=1&amp;secret_key=BX%25IJ%24%2F65ieZ%29f6", 2763571)</f>
        <v>2763571</v>
      </c>
      <c r="C344" s="2">
        <f>HYPERLINK("https://platform.v2.vetology.net/report/v/final/"&amp;2763571, 2763571)</f>
        <v>2763571</v>
      </c>
      <c r="D344" s="2" t="s">
        <v>1227</v>
      </c>
      <c r="E344" s="2" t="s">
        <v>1228</v>
      </c>
      <c r="F344" s="2" t="s">
        <v>1229</v>
      </c>
      <c r="G344" s="2" t="s">
        <v>170</v>
      </c>
      <c r="H344" s="2" t="s">
        <v>1230</v>
      </c>
      <c r="I344" s="2" t="s">
        <v>73</v>
      </c>
      <c r="J344" s="2" t="s">
        <v>74</v>
      </c>
      <c r="K344" s="2" t="s">
        <v>38</v>
      </c>
      <c r="L344" s="2" t="s">
        <v>38</v>
      </c>
      <c r="M344" s="2" t="s">
        <v>38</v>
      </c>
      <c r="N344" s="2" t="s">
        <v>38</v>
      </c>
      <c r="O344" s="2" t="s">
        <v>38</v>
      </c>
      <c r="P344" s="2" t="s">
        <v>38</v>
      </c>
      <c r="Q344" s="2" t="s">
        <v>38</v>
      </c>
      <c r="R344" s="2" t="s">
        <v>38</v>
      </c>
      <c r="S344" s="2" t="s">
        <v>38</v>
      </c>
      <c r="T344" s="2" t="s">
        <v>38</v>
      </c>
      <c r="U344" s="2" t="s">
        <v>38</v>
      </c>
      <c r="V344" s="2" t="s">
        <v>38</v>
      </c>
      <c r="W344" s="2" t="s">
        <v>38</v>
      </c>
      <c r="X344" s="2" t="s">
        <v>38</v>
      </c>
      <c r="Y344" s="2" t="s">
        <v>38</v>
      </c>
      <c r="Z344" s="2" t="s">
        <v>38</v>
      </c>
      <c r="AA344" s="2" t="s">
        <v>38</v>
      </c>
      <c r="AB344" s="2" t="s">
        <v>38</v>
      </c>
      <c r="AC344" s="2" t="s">
        <v>38</v>
      </c>
      <c r="AD344" s="2" t="s">
        <v>38</v>
      </c>
      <c r="AE344" s="2" t="s">
        <v>40</v>
      </c>
    </row>
    <row r="345" spans="1:31" ht="409.5">
      <c r="A345" s="2">
        <v>2763557</v>
      </c>
      <c r="B345" s="2">
        <f>HYPERLINK("https://platform.v2.vetology.net/cases/2763557/screening-report/1?type=pdf&amp;v=v6&amp;scorecard=1&amp;secret_key=BX%25IJ%24%2F65ieZ%29f6", 2763557)</f>
        <v>2763557</v>
      </c>
      <c r="C345" s="2">
        <f>HYPERLINK("https://platform.v2.vetology.net/report/v/final/"&amp;2763557, 2763557)</f>
        <v>2763557</v>
      </c>
      <c r="D345" s="2" t="s">
        <v>1231</v>
      </c>
      <c r="E345" s="2" t="s">
        <v>1232</v>
      </c>
      <c r="F345" s="2" t="s">
        <v>1233</v>
      </c>
      <c r="G345" s="2" t="s">
        <v>170</v>
      </c>
      <c r="H345" s="2" t="s">
        <v>69</v>
      </c>
      <c r="I345" s="2" t="s">
        <v>46</v>
      </c>
      <c r="J345" s="2"/>
      <c r="K345" s="2" t="s">
        <v>39</v>
      </c>
      <c r="L345" s="2" t="s">
        <v>39</v>
      </c>
      <c r="M345" s="2" t="s">
        <v>39</v>
      </c>
      <c r="N345" s="2" t="s">
        <v>39</v>
      </c>
      <c r="O345" s="2" t="s">
        <v>39</v>
      </c>
      <c r="P345" s="2" t="s">
        <v>39</v>
      </c>
      <c r="Q345" s="2" t="s">
        <v>39</v>
      </c>
      <c r="R345" s="2" t="s">
        <v>39</v>
      </c>
      <c r="S345" s="2" t="s">
        <v>39</v>
      </c>
      <c r="T345" s="2" t="s">
        <v>39</v>
      </c>
      <c r="U345" s="2" t="s">
        <v>38</v>
      </c>
      <c r="V345" s="2" t="s">
        <v>38</v>
      </c>
      <c r="W345" s="2" t="s">
        <v>39</v>
      </c>
      <c r="X345" s="2" t="s">
        <v>39</v>
      </c>
      <c r="Y345" s="2" t="s">
        <v>39</v>
      </c>
      <c r="Z345" s="2" t="s">
        <v>39</v>
      </c>
      <c r="AA345" s="2" t="s">
        <v>39</v>
      </c>
      <c r="AB345" s="2" t="s">
        <v>39</v>
      </c>
      <c r="AC345" s="2" t="s">
        <v>38</v>
      </c>
      <c r="AD345" s="2" t="s">
        <v>39</v>
      </c>
      <c r="AE345" s="2" t="s">
        <v>40</v>
      </c>
    </row>
    <row r="346" spans="1:31" ht="409.5">
      <c r="A346" s="2">
        <v>2763553</v>
      </c>
      <c r="B346" s="2">
        <f>HYPERLINK("https://platform.v2.vetology.net/cases/2763553/screening-report/1?type=pdf&amp;v=v6&amp;scorecard=1&amp;secret_key=BX%25IJ%24%2F65ieZ%29f6", 2763553)</f>
        <v>2763553</v>
      </c>
      <c r="C346" s="2">
        <f>HYPERLINK("https://platform.v2.vetology.net/report/v/final/"&amp;2763553, 2763553)</f>
        <v>2763553</v>
      </c>
      <c r="D346" s="2" t="s">
        <v>1234</v>
      </c>
      <c r="E346" s="2" t="s">
        <v>1235</v>
      </c>
      <c r="F346" s="2" t="s">
        <v>1236</v>
      </c>
      <c r="G346" s="2" t="s">
        <v>53</v>
      </c>
      <c r="H346" s="2" t="s">
        <v>1237</v>
      </c>
      <c r="I346" s="2" t="s">
        <v>73</v>
      </c>
      <c r="J346" s="2" t="s">
        <v>74</v>
      </c>
      <c r="K346" s="2" t="s">
        <v>38</v>
      </c>
      <c r="L346" s="2" t="s">
        <v>38</v>
      </c>
      <c r="M346" s="2" t="s">
        <v>38</v>
      </c>
      <c r="N346" s="2" t="s">
        <v>38</v>
      </c>
      <c r="O346" s="2" t="s">
        <v>38</v>
      </c>
      <c r="P346" s="2" t="s">
        <v>38</v>
      </c>
      <c r="Q346" s="2" t="s">
        <v>38</v>
      </c>
      <c r="R346" s="2" t="s">
        <v>38</v>
      </c>
      <c r="S346" s="2" t="s">
        <v>38</v>
      </c>
      <c r="T346" s="2" t="s">
        <v>38</v>
      </c>
      <c r="U346" s="2" t="s">
        <v>38</v>
      </c>
      <c r="V346" s="2" t="s">
        <v>38</v>
      </c>
      <c r="W346" s="2" t="s">
        <v>38</v>
      </c>
      <c r="X346" s="2" t="s">
        <v>38</v>
      </c>
      <c r="Y346" s="2" t="s">
        <v>38</v>
      </c>
      <c r="Z346" s="2" t="s">
        <v>38</v>
      </c>
      <c r="AA346" s="2" t="s">
        <v>38</v>
      </c>
      <c r="AB346" s="2" t="s">
        <v>38</v>
      </c>
      <c r="AC346" s="2" t="s">
        <v>38</v>
      </c>
      <c r="AD346" s="2" t="s">
        <v>39</v>
      </c>
      <c r="AE346" s="2" t="s">
        <v>39</v>
      </c>
    </row>
    <row r="347" spans="1:31" ht="409.5">
      <c r="A347" s="2">
        <v>2763545</v>
      </c>
      <c r="B347" s="2">
        <f>HYPERLINK("https://platform.v2.vetology.net/cases/2763545/screening-report/1?type=pdf&amp;v=v6&amp;scorecard=1&amp;secret_key=BX%25IJ%24%2F65ieZ%29f6", 2763545)</f>
        <v>2763545</v>
      </c>
      <c r="C347" s="2">
        <f>HYPERLINK("https://platform.v2.vetology.net/report/v/final/"&amp;2763545, 2763545)</f>
        <v>2763545</v>
      </c>
      <c r="D347" s="2" t="s">
        <v>1238</v>
      </c>
      <c r="E347" s="2" t="s">
        <v>1239</v>
      </c>
      <c r="F347" s="2" t="s">
        <v>1240</v>
      </c>
      <c r="G347" s="2" t="s">
        <v>556</v>
      </c>
      <c r="H347" s="2" t="s">
        <v>1241</v>
      </c>
      <c r="I347" s="2" t="s">
        <v>36</v>
      </c>
      <c r="J347" s="2" t="s">
        <v>37</v>
      </c>
      <c r="K347" s="2" t="s">
        <v>39</v>
      </c>
      <c r="L347" s="2" t="s">
        <v>39</v>
      </c>
      <c r="M347" s="2" t="s">
        <v>38</v>
      </c>
      <c r="N347" s="2" t="s">
        <v>39</v>
      </c>
      <c r="O347" s="2" t="s">
        <v>38</v>
      </c>
      <c r="P347" s="2" t="s">
        <v>39</v>
      </c>
      <c r="Q347" s="2" t="s">
        <v>39</v>
      </c>
      <c r="R347" s="2" t="s">
        <v>39</v>
      </c>
      <c r="S347" s="2" t="s">
        <v>39</v>
      </c>
      <c r="T347" s="2" t="s">
        <v>39</v>
      </c>
      <c r="U347" s="2" t="s">
        <v>39</v>
      </c>
      <c r="V347" s="2" t="s">
        <v>39</v>
      </c>
      <c r="W347" s="2" t="s">
        <v>39</v>
      </c>
      <c r="X347" s="2" t="s">
        <v>39</v>
      </c>
      <c r="Y347" s="2" t="s">
        <v>39</v>
      </c>
      <c r="Z347" s="2" t="s">
        <v>39</v>
      </c>
      <c r="AA347" s="2" t="s">
        <v>39</v>
      </c>
      <c r="AB347" s="2" t="s">
        <v>39</v>
      </c>
      <c r="AC347" s="2" t="s">
        <v>39</v>
      </c>
      <c r="AD347" s="2" t="s">
        <v>39</v>
      </c>
      <c r="AE347" s="2" t="s">
        <v>39</v>
      </c>
    </row>
    <row r="348" spans="1:31" ht="409.5">
      <c r="A348" s="2">
        <v>2763544</v>
      </c>
      <c r="B348" s="2">
        <f>HYPERLINK("https://platform.v2.vetology.net/cases/2763544/screening-report/1?type=pdf&amp;v=v6&amp;scorecard=1&amp;secret_key=BX%25IJ%24%2F65ieZ%29f6", 2763544)</f>
        <v>2763544</v>
      </c>
      <c r="C348" s="2">
        <f>HYPERLINK("https://platform.v2.vetology.net/report/v/final/"&amp;2763544, 2763544)</f>
        <v>2763544</v>
      </c>
      <c r="D348" s="2" t="s">
        <v>1242</v>
      </c>
      <c r="E348" s="2" t="s">
        <v>1243</v>
      </c>
      <c r="F348" s="2" t="s">
        <v>1244</v>
      </c>
      <c r="G348" s="2" t="s">
        <v>53</v>
      </c>
      <c r="H348" s="2" t="s">
        <v>69</v>
      </c>
      <c r="I348" s="2" t="s">
        <v>46</v>
      </c>
      <c r="J348" s="2"/>
      <c r="K348" s="2" t="s">
        <v>39</v>
      </c>
      <c r="L348" s="2" t="s">
        <v>39</v>
      </c>
      <c r="M348" s="2" t="s">
        <v>39</v>
      </c>
      <c r="N348" s="2" t="s">
        <v>39</v>
      </c>
      <c r="O348" s="2" t="s">
        <v>39</v>
      </c>
      <c r="P348" s="2" t="s">
        <v>39</v>
      </c>
      <c r="Q348" s="2" t="s">
        <v>39</v>
      </c>
      <c r="R348" s="2" t="s">
        <v>39</v>
      </c>
      <c r="S348" s="2" t="s">
        <v>39</v>
      </c>
      <c r="T348" s="2" t="s">
        <v>38</v>
      </c>
      <c r="U348" s="2" t="s">
        <v>39</v>
      </c>
      <c r="V348" s="2" t="s">
        <v>39</v>
      </c>
      <c r="W348" s="2" t="s">
        <v>39</v>
      </c>
      <c r="X348" s="2" t="s">
        <v>39</v>
      </c>
      <c r="Y348" s="2" t="s">
        <v>39</v>
      </c>
      <c r="Z348" s="2" t="s">
        <v>38</v>
      </c>
      <c r="AA348" s="2" t="s">
        <v>39</v>
      </c>
      <c r="AB348" s="2" t="s">
        <v>39</v>
      </c>
      <c r="AC348" s="2" t="s">
        <v>38</v>
      </c>
      <c r="AD348" s="2" t="s">
        <v>38</v>
      </c>
      <c r="AE348" s="2" t="s">
        <v>39</v>
      </c>
    </row>
    <row r="349" spans="1:31" ht="409.5">
      <c r="A349" s="2">
        <v>2763495</v>
      </c>
      <c r="B349" s="2">
        <f>HYPERLINK("https://platform.v2.vetology.net/cases/2763495/screening-report/1?type=pdf&amp;v=v6&amp;scorecard=1&amp;secret_key=BX%25IJ%24%2F65ieZ%29f6", 2763495)</f>
        <v>2763495</v>
      </c>
      <c r="C349" s="2">
        <f>HYPERLINK("https://platform.v2.vetology.net/report/v/final/"&amp;2763495, 2763495)</f>
        <v>2763495</v>
      </c>
      <c r="D349" s="2" t="s">
        <v>1245</v>
      </c>
      <c r="E349" s="2" t="s">
        <v>1246</v>
      </c>
      <c r="F349" s="2" t="s">
        <v>1247</v>
      </c>
      <c r="G349" s="2" t="s">
        <v>556</v>
      </c>
      <c r="H349" s="2" t="s">
        <v>1248</v>
      </c>
      <c r="I349" s="2" t="s">
        <v>813</v>
      </c>
      <c r="J349" s="2" t="s">
        <v>37</v>
      </c>
      <c r="K349" s="2" t="s">
        <v>39</v>
      </c>
      <c r="L349" s="2" t="s">
        <v>39</v>
      </c>
      <c r="M349" s="2" t="s">
        <v>39</v>
      </c>
      <c r="N349" s="2" t="s">
        <v>39</v>
      </c>
      <c r="O349" s="2" t="s">
        <v>39</v>
      </c>
      <c r="P349" s="2" t="s">
        <v>39</v>
      </c>
      <c r="Q349" s="2" t="s">
        <v>39</v>
      </c>
      <c r="R349" s="2" t="s">
        <v>38</v>
      </c>
      <c r="S349" s="2" t="s">
        <v>39</v>
      </c>
      <c r="T349" s="2" t="s">
        <v>39</v>
      </c>
      <c r="U349" s="2" t="s">
        <v>39</v>
      </c>
      <c r="V349" s="2" t="s">
        <v>39</v>
      </c>
      <c r="W349" s="2" t="s">
        <v>39</v>
      </c>
      <c r="X349" s="2" t="s">
        <v>39</v>
      </c>
      <c r="Y349" s="2" t="s">
        <v>39</v>
      </c>
      <c r="Z349" s="2" t="s">
        <v>39</v>
      </c>
      <c r="AA349" s="2" t="s">
        <v>39</v>
      </c>
      <c r="AB349" s="2" t="s">
        <v>39</v>
      </c>
      <c r="AC349" s="2" t="s">
        <v>38</v>
      </c>
      <c r="AD349" s="2" t="s">
        <v>39</v>
      </c>
      <c r="AE349" s="2"/>
    </row>
    <row r="350" spans="1:31" ht="409.5">
      <c r="A350" s="2">
        <v>2763471</v>
      </c>
      <c r="B350" s="2">
        <f>HYPERLINK("https://platform.v2.vetology.net/cases/2763471/screening-report/1?type=pdf&amp;v=v6&amp;scorecard=1&amp;secret_key=BX%25IJ%24%2F65ieZ%29f6", 2763471)</f>
        <v>2763471</v>
      </c>
      <c r="C350" s="2">
        <f>HYPERLINK("https://platform.v2.vetology.net/report/v/final/"&amp;2763471, 2763471)</f>
        <v>2763471</v>
      </c>
      <c r="D350" s="2" t="s">
        <v>1249</v>
      </c>
      <c r="E350" s="2" t="s">
        <v>1250</v>
      </c>
      <c r="F350" s="2" t="s">
        <v>1251</v>
      </c>
      <c r="G350" s="2" t="s">
        <v>100</v>
      </c>
      <c r="H350" s="2" t="s">
        <v>1252</v>
      </c>
      <c r="I350" s="2" t="s">
        <v>129</v>
      </c>
      <c r="J350" s="2" t="s">
        <v>74</v>
      </c>
      <c r="K350" s="2" t="s">
        <v>39</v>
      </c>
      <c r="L350" s="2" t="s">
        <v>38</v>
      </c>
      <c r="M350" s="2" t="s">
        <v>39</v>
      </c>
      <c r="N350" s="2" t="s">
        <v>38</v>
      </c>
      <c r="O350" s="2" t="s">
        <v>38</v>
      </c>
      <c r="P350" s="2" t="s">
        <v>39</v>
      </c>
      <c r="Q350" s="2" t="s">
        <v>38</v>
      </c>
      <c r="R350" s="2" t="s">
        <v>39</v>
      </c>
      <c r="S350" s="2" t="s">
        <v>38</v>
      </c>
      <c r="T350" s="2" t="s">
        <v>39</v>
      </c>
      <c r="U350" s="2" t="s">
        <v>39</v>
      </c>
      <c r="V350" s="2" t="s">
        <v>39</v>
      </c>
      <c r="W350" s="2" t="s">
        <v>38</v>
      </c>
      <c r="X350" s="2" t="s">
        <v>38</v>
      </c>
      <c r="Y350" s="2" t="s">
        <v>38</v>
      </c>
      <c r="Z350" s="2" t="s">
        <v>38</v>
      </c>
      <c r="AA350" s="2" t="s">
        <v>38</v>
      </c>
      <c r="AB350" s="2" t="s">
        <v>38</v>
      </c>
      <c r="AC350" s="2" t="s">
        <v>38</v>
      </c>
      <c r="AD350" s="2" t="s">
        <v>39</v>
      </c>
      <c r="AE350" s="2"/>
    </row>
    <row r="351" spans="1:31" ht="409.5">
      <c r="A351" s="2">
        <v>2763465</v>
      </c>
      <c r="B351" s="2">
        <f>HYPERLINK("https://platform.v2.vetology.net/cases/2763465/screening-report/1?type=pdf&amp;v=v6&amp;scorecard=1&amp;secret_key=BX%25IJ%24%2F65ieZ%29f6", 2763465)</f>
        <v>2763465</v>
      </c>
      <c r="C351" s="2">
        <f>HYPERLINK("https://platform.v2.vetology.net/report/v/final/"&amp;2763465, 2763465)</f>
        <v>2763465</v>
      </c>
      <c r="D351" s="2" t="s">
        <v>1253</v>
      </c>
      <c r="E351" s="2" t="s">
        <v>1254</v>
      </c>
      <c r="F351" s="2" t="s">
        <v>1255</v>
      </c>
      <c r="G351" s="2" t="s">
        <v>556</v>
      </c>
      <c r="H351" s="2" t="s">
        <v>1168</v>
      </c>
      <c r="I351" s="2" t="s">
        <v>36</v>
      </c>
      <c r="J351" s="2" t="s">
        <v>37</v>
      </c>
      <c r="K351" s="2" t="s">
        <v>38</v>
      </c>
      <c r="L351" s="2" t="s">
        <v>38</v>
      </c>
      <c r="M351" s="2" t="s">
        <v>38</v>
      </c>
      <c r="N351" s="2" t="s">
        <v>38</v>
      </c>
      <c r="O351" s="2" t="s">
        <v>38</v>
      </c>
      <c r="P351" s="2" t="s">
        <v>39</v>
      </c>
      <c r="Q351" s="2" t="s">
        <v>39</v>
      </c>
      <c r="R351" s="2" t="s">
        <v>38</v>
      </c>
      <c r="S351" s="2" t="s">
        <v>38</v>
      </c>
      <c r="T351" s="2" t="s">
        <v>39</v>
      </c>
      <c r="U351" s="2" t="s">
        <v>38</v>
      </c>
      <c r="V351" s="2" t="s">
        <v>38</v>
      </c>
      <c r="W351" s="2" t="s">
        <v>39</v>
      </c>
      <c r="X351" s="2" t="s">
        <v>39</v>
      </c>
      <c r="Y351" s="2" t="s">
        <v>39</v>
      </c>
      <c r="Z351" s="2" t="s">
        <v>38</v>
      </c>
      <c r="AA351" s="2" t="s">
        <v>38</v>
      </c>
      <c r="AB351" s="2" t="s">
        <v>39</v>
      </c>
      <c r="AC351" s="2" t="s">
        <v>38</v>
      </c>
      <c r="AD351" s="2" t="s">
        <v>39</v>
      </c>
      <c r="AE351" s="2" t="s">
        <v>39</v>
      </c>
    </row>
    <row r="352" spans="1:31" ht="409.5">
      <c r="A352" s="2">
        <v>2763452</v>
      </c>
      <c r="B352" s="2">
        <f>HYPERLINK("https://platform.v2.vetology.net/cases/2763452/screening-report/1?type=pdf&amp;v=v6&amp;scorecard=1&amp;secret_key=BX%25IJ%24%2F65ieZ%29f6", 2763452)</f>
        <v>2763452</v>
      </c>
      <c r="C352" s="2">
        <f>HYPERLINK("https://platform.v2.vetology.net/report/v/final/"&amp;2763452, 2763452)</f>
        <v>2763452</v>
      </c>
      <c r="D352" s="2" t="s">
        <v>302</v>
      </c>
      <c r="E352" s="2" t="s">
        <v>99</v>
      </c>
      <c r="F352" s="2"/>
      <c r="G352" s="2" t="s">
        <v>100</v>
      </c>
      <c r="H352" s="2" t="s">
        <v>1256</v>
      </c>
      <c r="I352" s="2" t="s">
        <v>36</v>
      </c>
      <c r="J352" s="2" t="s">
        <v>37</v>
      </c>
      <c r="K352" s="2" t="s">
        <v>38</v>
      </c>
      <c r="L352" s="2" t="s">
        <v>38</v>
      </c>
      <c r="M352" s="2" t="s">
        <v>39</v>
      </c>
      <c r="N352" s="2" t="s">
        <v>38</v>
      </c>
      <c r="O352" s="2" t="s">
        <v>39</v>
      </c>
      <c r="P352" s="2" t="s">
        <v>39</v>
      </c>
      <c r="Q352" s="2" t="s">
        <v>39</v>
      </c>
      <c r="R352" s="2" t="s">
        <v>39</v>
      </c>
      <c r="S352" s="2" t="s">
        <v>39</v>
      </c>
      <c r="T352" s="2" t="s">
        <v>39</v>
      </c>
      <c r="U352" s="2" t="s">
        <v>38</v>
      </c>
      <c r="V352" s="2" t="s">
        <v>38</v>
      </c>
      <c r="W352" s="2" t="s">
        <v>39</v>
      </c>
      <c r="X352" s="2" t="s">
        <v>39</v>
      </c>
      <c r="Y352" s="2" t="s">
        <v>39</v>
      </c>
      <c r="Z352" s="2" t="s">
        <v>38</v>
      </c>
      <c r="AA352" s="2" t="s">
        <v>38</v>
      </c>
      <c r="AB352" s="2" t="s">
        <v>39</v>
      </c>
      <c r="AC352" s="2" t="s">
        <v>38</v>
      </c>
      <c r="AD352" s="2" t="s">
        <v>38</v>
      </c>
      <c r="AE352" s="2" t="s">
        <v>39</v>
      </c>
    </row>
    <row r="353" spans="1:31" ht="409.5">
      <c r="A353" s="2">
        <v>2763441</v>
      </c>
      <c r="B353" s="2">
        <f>HYPERLINK("https://platform.v2.vetology.net/cases/2763441/screening-report/1?type=pdf&amp;v=v6&amp;scorecard=1&amp;secret_key=BX%25IJ%24%2F65ieZ%29f6", 2763441)</f>
        <v>2763441</v>
      </c>
      <c r="C353" s="2">
        <f>HYPERLINK("https://platform.v2.vetology.net/report/v/final/"&amp;2763441, 2763441)</f>
        <v>2763441</v>
      </c>
      <c r="D353" s="2" t="s">
        <v>1257</v>
      </c>
      <c r="E353" s="2" t="s">
        <v>1258</v>
      </c>
      <c r="F353" s="2" t="s">
        <v>1259</v>
      </c>
      <c r="G353" s="2" t="s">
        <v>53</v>
      </c>
      <c r="H353" s="2" t="s">
        <v>1260</v>
      </c>
      <c r="I353" s="2" t="s">
        <v>257</v>
      </c>
      <c r="J353" s="2" t="s">
        <v>74</v>
      </c>
      <c r="K353" s="2" t="s">
        <v>38</v>
      </c>
      <c r="L353" s="2" t="s">
        <v>38</v>
      </c>
      <c r="M353" s="2" t="s">
        <v>38</v>
      </c>
      <c r="N353" s="2" t="s">
        <v>38</v>
      </c>
      <c r="O353" s="2" t="s">
        <v>38</v>
      </c>
      <c r="P353" s="2" t="s">
        <v>38</v>
      </c>
      <c r="Q353" s="2" t="s">
        <v>38</v>
      </c>
      <c r="R353" s="2" t="s">
        <v>38</v>
      </c>
      <c r="S353" s="2" t="s">
        <v>38</v>
      </c>
      <c r="T353" s="2" t="s">
        <v>38</v>
      </c>
      <c r="U353" s="2" t="s">
        <v>38</v>
      </c>
      <c r="V353" s="2" t="s">
        <v>38</v>
      </c>
      <c r="W353" s="2" t="s">
        <v>38</v>
      </c>
      <c r="X353" s="2" t="s">
        <v>38</v>
      </c>
      <c r="Y353" s="2" t="s">
        <v>38</v>
      </c>
      <c r="Z353" s="2" t="s">
        <v>38</v>
      </c>
      <c r="AA353" s="2" t="s">
        <v>38</v>
      </c>
      <c r="AB353" s="2" t="s">
        <v>38</v>
      </c>
      <c r="AC353" s="2" t="s">
        <v>38</v>
      </c>
      <c r="AD353" s="2" t="s">
        <v>38</v>
      </c>
      <c r="AE353" s="2"/>
    </row>
    <row r="354" spans="1:31" ht="409.5">
      <c r="A354" s="2">
        <v>2763415</v>
      </c>
      <c r="B354" s="2">
        <f>HYPERLINK("https://platform.v2.vetology.net/cases/2763415/screening-report/1?type=pdf&amp;v=v6&amp;scorecard=1&amp;secret_key=BX%25IJ%24%2F65ieZ%29f6", 2763415)</f>
        <v>2763415</v>
      </c>
      <c r="C354" s="2">
        <f>HYPERLINK("https://platform.v2.vetology.net/report/v/final/"&amp;2763415, 2763415)</f>
        <v>2763415</v>
      </c>
      <c r="D354" s="2" t="s">
        <v>1261</v>
      </c>
      <c r="E354" s="2" t="s">
        <v>1262</v>
      </c>
      <c r="F354" s="2" t="s">
        <v>1263</v>
      </c>
      <c r="G354" s="2" t="s">
        <v>53</v>
      </c>
      <c r="H354" s="2" t="s">
        <v>69</v>
      </c>
      <c r="I354" s="2" t="s">
        <v>46</v>
      </c>
      <c r="J354" s="2"/>
      <c r="K354" s="2" t="s">
        <v>39</v>
      </c>
      <c r="L354" s="2" t="s">
        <v>39</v>
      </c>
      <c r="M354" s="2" t="s">
        <v>39</v>
      </c>
      <c r="N354" s="2" t="s">
        <v>39</v>
      </c>
      <c r="O354" s="2" t="s">
        <v>39</v>
      </c>
      <c r="P354" s="2" t="s">
        <v>39</v>
      </c>
      <c r="Q354" s="2" t="s">
        <v>39</v>
      </c>
      <c r="R354" s="2" t="s">
        <v>39</v>
      </c>
      <c r="S354" s="2" t="s">
        <v>39</v>
      </c>
      <c r="T354" s="2" t="s">
        <v>38</v>
      </c>
      <c r="U354" s="2" t="s">
        <v>39</v>
      </c>
      <c r="V354" s="2" t="s">
        <v>39</v>
      </c>
      <c r="W354" s="2" t="s">
        <v>39</v>
      </c>
      <c r="X354" s="2" t="s">
        <v>39</v>
      </c>
      <c r="Y354" s="2" t="s">
        <v>39</v>
      </c>
      <c r="Z354" s="2" t="s">
        <v>38</v>
      </c>
      <c r="AA354" s="2" t="s">
        <v>38</v>
      </c>
      <c r="AB354" s="2" t="s">
        <v>39</v>
      </c>
      <c r="AC354" s="2" t="s">
        <v>38</v>
      </c>
      <c r="AD354" s="2" t="s">
        <v>39</v>
      </c>
      <c r="AE354" s="2" t="s">
        <v>40</v>
      </c>
    </row>
    <row r="355" spans="1:31" ht="409.5">
      <c r="A355" s="2">
        <v>2763414</v>
      </c>
      <c r="B355" s="2">
        <f>HYPERLINK("https://platform.v2.vetology.net/cases/2763414/screening-report/1?type=pdf&amp;v=v6&amp;scorecard=1&amp;secret_key=BX%25IJ%24%2F65ieZ%29f6", 2763414)</f>
        <v>2763414</v>
      </c>
      <c r="C355" s="2">
        <f>HYPERLINK("https://platform.v2.vetology.net/report/v/final/"&amp;2763414, 2763414)</f>
        <v>2763414</v>
      </c>
      <c r="D355" s="2" t="s">
        <v>1264</v>
      </c>
      <c r="E355" s="2" t="s">
        <v>1265</v>
      </c>
      <c r="F355" s="2" t="s">
        <v>1266</v>
      </c>
      <c r="G355" s="2" t="s">
        <v>53</v>
      </c>
      <c r="H355" s="2" t="s">
        <v>1267</v>
      </c>
      <c r="I355" s="2" t="s">
        <v>36</v>
      </c>
      <c r="J355" s="2" t="s">
        <v>37</v>
      </c>
      <c r="K355" s="2" t="s">
        <v>39</v>
      </c>
      <c r="L355" s="2" t="s">
        <v>38</v>
      </c>
      <c r="M355" s="2" t="s">
        <v>39</v>
      </c>
      <c r="N355" s="2" t="s">
        <v>38</v>
      </c>
      <c r="O355" s="2" t="s">
        <v>38</v>
      </c>
      <c r="P355" s="2" t="s">
        <v>39</v>
      </c>
      <c r="Q355" s="2" t="s">
        <v>39</v>
      </c>
      <c r="R355" s="2" t="s">
        <v>39</v>
      </c>
      <c r="S355" s="2" t="s">
        <v>39</v>
      </c>
      <c r="T355" s="2" t="s">
        <v>38</v>
      </c>
      <c r="U355" s="2" t="s">
        <v>39</v>
      </c>
      <c r="V355" s="2" t="s">
        <v>39</v>
      </c>
      <c r="W355" s="2" t="s">
        <v>38</v>
      </c>
      <c r="X355" s="2" t="s">
        <v>39</v>
      </c>
      <c r="Y355" s="2" t="s">
        <v>39</v>
      </c>
      <c r="Z355" s="2" t="s">
        <v>38</v>
      </c>
      <c r="AA355" s="2" t="s">
        <v>38</v>
      </c>
      <c r="AB355" s="2" t="s">
        <v>39</v>
      </c>
      <c r="AC355" s="2" t="s">
        <v>38</v>
      </c>
      <c r="AD355" s="2" t="s">
        <v>39</v>
      </c>
      <c r="AE355" s="2" t="s">
        <v>39</v>
      </c>
    </row>
    <row r="356" spans="1:31" ht="409.5">
      <c r="A356" s="2">
        <v>2763379</v>
      </c>
      <c r="B356" s="2">
        <f>HYPERLINK("https://platform.v2.vetology.net/cases/2763379/screening-report/1?type=pdf&amp;v=v6&amp;scorecard=1&amp;secret_key=BX%25IJ%24%2F65ieZ%29f6", 2763379)</f>
        <v>2763379</v>
      </c>
      <c r="C356" s="2">
        <f>HYPERLINK("https://platform.v2.vetology.net/report/v/final/"&amp;2763379, 2763379)</f>
        <v>2763379</v>
      </c>
      <c r="D356" s="2" t="s">
        <v>1268</v>
      </c>
      <c r="E356" s="2" t="s">
        <v>1269</v>
      </c>
      <c r="F356" s="2" t="s">
        <v>1270</v>
      </c>
      <c r="G356" s="2" t="s">
        <v>53</v>
      </c>
      <c r="H356" s="2" t="s">
        <v>1271</v>
      </c>
      <c r="I356" s="2" t="s">
        <v>36</v>
      </c>
      <c r="J356" s="2" t="s">
        <v>37</v>
      </c>
      <c r="K356" s="2" t="s">
        <v>38</v>
      </c>
      <c r="L356" s="2" t="s">
        <v>38</v>
      </c>
      <c r="M356" s="2" t="s">
        <v>39</v>
      </c>
      <c r="N356" s="2" t="s">
        <v>38</v>
      </c>
      <c r="O356" s="2" t="s">
        <v>38</v>
      </c>
      <c r="P356" s="2" t="s">
        <v>39</v>
      </c>
      <c r="Q356" s="2" t="s">
        <v>39</v>
      </c>
      <c r="R356" s="2" t="s">
        <v>38</v>
      </c>
      <c r="S356" s="2" t="s">
        <v>38</v>
      </c>
      <c r="T356" s="2" t="s">
        <v>38</v>
      </c>
      <c r="U356" s="2" t="s">
        <v>38</v>
      </c>
      <c r="V356" s="2" t="s">
        <v>38</v>
      </c>
      <c r="W356" s="2" t="s">
        <v>38</v>
      </c>
      <c r="X356" s="2" t="s">
        <v>39</v>
      </c>
      <c r="Y356" s="2" t="s">
        <v>38</v>
      </c>
      <c r="Z356" s="2" t="s">
        <v>38</v>
      </c>
      <c r="AA356" s="2" t="s">
        <v>38</v>
      </c>
      <c r="AB356" s="2" t="s">
        <v>39</v>
      </c>
      <c r="AC356" s="2" t="s">
        <v>38</v>
      </c>
      <c r="AD356" s="2" t="s">
        <v>38</v>
      </c>
      <c r="AE356" s="2" t="s">
        <v>39</v>
      </c>
    </row>
    <row r="357" spans="1:31" ht="409.5">
      <c r="A357" s="2">
        <v>2763364</v>
      </c>
      <c r="B357" s="2">
        <f>HYPERLINK("https://platform.v2.vetology.net/cases/2763364/screening-report/1?type=pdf&amp;v=v6&amp;scorecard=1&amp;secret_key=BX%25IJ%24%2F65ieZ%29f6", 2763364)</f>
        <v>2763364</v>
      </c>
      <c r="C357" s="2">
        <f>HYPERLINK("https://platform.v2.vetology.net/report/v/final/"&amp;2763364, 2763364)</f>
        <v>2763364</v>
      </c>
      <c r="D357" s="2" t="s">
        <v>1272</v>
      </c>
      <c r="E357" s="2" t="s">
        <v>1273</v>
      </c>
      <c r="F357" s="2" t="s">
        <v>1274</v>
      </c>
      <c r="G357" s="2" t="s">
        <v>170</v>
      </c>
      <c r="H357" s="2" t="s">
        <v>1275</v>
      </c>
      <c r="I357" s="2" t="s">
        <v>59</v>
      </c>
      <c r="J357" s="2" t="s">
        <v>37</v>
      </c>
      <c r="K357" s="2" t="s">
        <v>39</v>
      </c>
      <c r="L357" s="2" t="s">
        <v>39</v>
      </c>
      <c r="M357" s="2" t="s">
        <v>39</v>
      </c>
      <c r="N357" s="2" t="s">
        <v>38</v>
      </c>
      <c r="O357" s="2" t="s">
        <v>39</v>
      </c>
      <c r="P357" s="2" t="s">
        <v>39</v>
      </c>
      <c r="Q357" s="2" t="s">
        <v>39</v>
      </c>
      <c r="R357" s="2" t="s">
        <v>39</v>
      </c>
      <c r="S357" s="2" t="s">
        <v>39</v>
      </c>
      <c r="T357" s="2" t="s">
        <v>39</v>
      </c>
      <c r="U357" s="2" t="s">
        <v>39</v>
      </c>
      <c r="V357" s="2" t="s">
        <v>39</v>
      </c>
      <c r="W357" s="2" t="s">
        <v>39</v>
      </c>
      <c r="X357" s="2" t="s">
        <v>39</v>
      </c>
      <c r="Y357" s="2" t="s">
        <v>39</v>
      </c>
      <c r="Z357" s="2" t="s">
        <v>39</v>
      </c>
      <c r="AA357" s="2" t="s">
        <v>39</v>
      </c>
      <c r="AB357" s="2" t="s">
        <v>39</v>
      </c>
      <c r="AC357" s="2" t="s">
        <v>38</v>
      </c>
      <c r="AD357" s="2" t="s">
        <v>39</v>
      </c>
      <c r="AE357" s="2" t="s">
        <v>40</v>
      </c>
    </row>
    <row r="358" spans="1:31" ht="409.5">
      <c r="A358" s="2">
        <v>2763344</v>
      </c>
      <c r="B358" s="2">
        <f>HYPERLINK("https://platform.v2.vetology.net/cases/2763344/screening-report/1?type=pdf&amp;v=v6&amp;scorecard=1&amp;secret_key=BX%25IJ%24%2F65ieZ%29f6", 2763344)</f>
        <v>2763344</v>
      </c>
      <c r="C358" s="2">
        <f>HYPERLINK("https://platform.v2.vetology.net/report/v/final/"&amp;2763344, 2763344)</f>
        <v>2763344</v>
      </c>
      <c r="D358" s="2" t="s">
        <v>1276</v>
      </c>
      <c r="E358" s="2" t="s">
        <v>1277</v>
      </c>
      <c r="F358" s="2" t="s">
        <v>43</v>
      </c>
      <c r="G358" s="2" t="s">
        <v>507</v>
      </c>
      <c r="H358" s="2" t="s">
        <v>1278</v>
      </c>
      <c r="I358" s="2" t="s">
        <v>73</v>
      </c>
      <c r="J358" s="2" t="s">
        <v>74</v>
      </c>
      <c r="K358" s="2" t="s">
        <v>38</v>
      </c>
      <c r="L358" s="2" t="s">
        <v>38</v>
      </c>
      <c r="M358" s="2" t="s">
        <v>38</v>
      </c>
      <c r="N358" s="2" t="s">
        <v>38</v>
      </c>
      <c r="O358" s="2" t="s">
        <v>38</v>
      </c>
      <c r="P358" s="2" t="s">
        <v>38</v>
      </c>
      <c r="Q358" s="2" t="s">
        <v>38</v>
      </c>
      <c r="R358" s="2" t="s">
        <v>38</v>
      </c>
      <c r="S358" s="2" t="s">
        <v>38</v>
      </c>
      <c r="T358" s="2" t="s">
        <v>38</v>
      </c>
      <c r="U358" s="2" t="s">
        <v>38</v>
      </c>
      <c r="V358" s="2" t="s">
        <v>38</v>
      </c>
      <c r="W358" s="2" t="s">
        <v>38</v>
      </c>
      <c r="X358" s="2" t="s">
        <v>38</v>
      </c>
      <c r="Y358" s="2" t="s">
        <v>38</v>
      </c>
      <c r="Z358" s="2" t="s">
        <v>38</v>
      </c>
      <c r="AA358" s="2" t="s">
        <v>38</v>
      </c>
      <c r="AB358" s="2" t="s">
        <v>38</v>
      </c>
      <c r="AC358" s="2" t="s">
        <v>38</v>
      </c>
      <c r="AD358" s="2" t="s">
        <v>38</v>
      </c>
      <c r="AE358" s="2" t="s">
        <v>39</v>
      </c>
    </row>
    <row r="359" spans="1:31" ht="409.5">
      <c r="A359" s="2">
        <v>2763339</v>
      </c>
      <c r="B359" s="2">
        <f>HYPERLINK("https://platform.v2.vetology.net/cases/2763339/screening-report/1?type=pdf&amp;v=v6&amp;scorecard=1&amp;secret_key=BX%25IJ%24%2F65ieZ%29f6", 2763339)</f>
        <v>2763339</v>
      </c>
      <c r="C359" s="2">
        <f>HYPERLINK("https://platform.v2.vetology.net/report/v/final/"&amp;2763339, 2763339)</f>
        <v>2763339</v>
      </c>
      <c r="D359" s="2" t="s">
        <v>1279</v>
      </c>
      <c r="E359" s="2" t="s">
        <v>1280</v>
      </c>
      <c r="F359" s="2" t="s">
        <v>1281</v>
      </c>
      <c r="G359" s="2" t="s">
        <v>100</v>
      </c>
      <c r="H359" s="2" t="s">
        <v>1282</v>
      </c>
      <c r="I359" s="2" t="s">
        <v>36</v>
      </c>
      <c r="J359" s="2" t="s">
        <v>37</v>
      </c>
      <c r="K359" s="2" t="s">
        <v>38</v>
      </c>
      <c r="L359" s="2" t="s">
        <v>38</v>
      </c>
      <c r="M359" s="2" t="s">
        <v>38</v>
      </c>
      <c r="N359" s="2" t="s">
        <v>38</v>
      </c>
      <c r="O359" s="2" t="s">
        <v>38</v>
      </c>
      <c r="P359" s="2" t="s">
        <v>39</v>
      </c>
      <c r="Q359" s="2" t="s">
        <v>39</v>
      </c>
      <c r="R359" s="2" t="s">
        <v>38</v>
      </c>
      <c r="S359" s="2" t="s">
        <v>38</v>
      </c>
      <c r="T359" s="2" t="s">
        <v>39</v>
      </c>
      <c r="U359" s="2" t="s">
        <v>39</v>
      </c>
      <c r="V359" s="2" t="s">
        <v>38</v>
      </c>
      <c r="W359" s="2" t="s">
        <v>38</v>
      </c>
      <c r="X359" s="2" t="s">
        <v>39</v>
      </c>
      <c r="Y359" s="2" t="s">
        <v>39</v>
      </c>
      <c r="Z359" s="2" t="s">
        <v>38</v>
      </c>
      <c r="AA359" s="2" t="s">
        <v>39</v>
      </c>
      <c r="AB359" s="2" t="s">
        <v>39</v>
      </c>
      <c r="AC359" s="2" t="s">
        <v>38</v>
      </c>
      <c r="AD359" s="2" t="s">
        <v>39</v>
      </c>
      <c r="AE359" s="2" t="s">
        <v>40</v>
      </c>
    </row>
    <row r="360" spans="1:31" ht="409.5">
      <c r="A360" s="2">
        <v>2763337</v>
      </c>
      <c r="B360" s="2">
        <f>HYPERLINK("https://platform.v2.vetology.net/cases/2763337/screening-report/1?type=pdf&amp;v=v6&amp;scorecard=1&amp;secret_key=BX%25IJ%24%2F65ieZ%29f6", 2763337)</f>
        <v>2763337</v>
      </c>
      <c r="C360" s="2">
        <f>HYPERLINK("https://platform.v2.vetology.net/report/v/final/"&amp;2763337, 2763337)</f>
        <v>2763337</v>
      </c>
      <c r="D360" s="2" t="s">
        <v>1283</v>
      </c>
      <c r="E360" s="2" t="s">
        <v>1284</v>
      </c>
      <c r="F360" s="2" t="s">
        <v>1285</v>
      </c>
      <c r="G360" s="2" t="s">
        <v>170</v>
      </c>
      <c r="H360" s="2" t="s">
        <v>1286</v>
      </c>
      <c r="I360" s="2" t="s">
        <v>36</v>
      </c>
      <c r="J360" s="2" t="s">
        <v>37</v>
      </c>
      <c r="K360" s="2" t="s">
        <v>38</v>
      </c>
      <c r="L360" s="2" t="s">
        <v>38</v>
      </c>
      <c r="M360" s="2" t="s">
        <v>39</v>
      </c>
      <c r="N360" s="2" t="s">
        <v>38</v>
      </c>
      <c r="O360" s="2" t="s">
        <v>39</v>
      </c>
      <c r="P360" s="2" t="s">
        <v>39</v>
      </c>
      <c r="Q360" s="2" t="s">
        <v>39</v>
      </c>
      <c r="R360" s="2" t="s">
        <v>39</v>
      </c>
      <c r="S360" s="2" t="s">
        <v>38</v>
      </c>
      <c r="T360" s="2" t="s">
        <v>39</v>
      </c>
      <c r="U360" s="2" t="s">
        <v>38</v>
      </c>
      <c r="V360" s="2" t="s">
        <v>38</v>
      </c>
      <c r="W360" s="2" t="s">
        <v>38</v>
      </c>
      <c r="X360" s="2" t="s">
        <v>39</v>
      </c>
      <c r="Y360" s="2" t="s">
        <v>39</v>
      </c>
      <c r="Z360" s="2" t="s">
        <v>39</v>
      </c>
      <c r="AA360" s="2" t="s">
        <v>38</v>
      </c>
      <c r="AB360" s="2" t="s">
        <v>39</v>
      </c>
      <c r="AC360" s="2" t="s">
        <v>39</v>
      </c>
      <c r="AD360" s="2" t="s">
        <v>39</v>
      </c>
      <c r="AE360" s="2" t="s">
        <v>39</v>
      </c>
    </row>
    <row r="361" spans="1:31" ht="409.5">
      <c r="A361" s="2">
        <v>2763317</v>
      </c>
      <c r="B361" s="2">
        <f>HYPERLINK("https://platform.v2.vetology.net/cases/2763317/screening-report/1?type=pdf&amp;v=v6&amp;scorecard=1&amp;secret_key=BX%25IJ%24%2F65ieZ%29f6", 2763317)</f>
        <v>2763317</v>
      </c>
      <c r="C361" s="2">
        <f>HYPERLINK("https://platform.v2.vetology.net/report/v/final/"&amp;2763317, 2763317)</f>
        <v>2763317</v>
      </c>
      <c r="D361" s="2" t="s">
        <v>1287</v>
      </c>
      <c r="E361" s="2" t="s">
        <v>1288</v>
      </c>
      <c r="F361" s="2" t="s">
        <v>1289</v>
      </c>
      <c r="G361" s="2" t="s">
        <v>170</v>
      </c>
      <c r="H361" s="2" t="s">
        <v>1290</v>
      </c>
      <c r="I361" s="2" t="s">
        <v>73</v>
      </c>
      <c r="J361" s="2" t="s">
        <v>74</v>
      </c>
      <c r="K361" s="2" t="s">
        <v>38</v>
      </c>
      <c r="L361" s="2" t="s">
        <v>38</v>
      </c>
      <c r="M361" s="2" t="s">
        <v>38</v>
      </c>
      <c r="N361" s="2" t="s">
        <v>38</v>
      </c>
      <c r="O361" s="2" t="s">
        <v>38</v>
      </c>
      <c r="P361" s="2" t="s">
        <v>38</v>
      </c>
      <c r="Q361" s="2" t="s">
        <v>38</v>
      </c>
      <c r="R361" s="2" t="s">
        <v>38</v>
      </c>
      <c r="S361" s="2" t="s">
        <v>38</v>
      </c>
      <c r="T361" s="2" t="s">
        <v>38</v>
      </c>
      <c r="U361" s="2" t="s">
        <v>38</v>
      </c>
      <c r="V361" s="2" t="s">
        <v>38</v>
      </c>
      <c r="W361" s="2" t="s">
        <v>38</v>
      </c>
      <c r="X361" s="2" t="s">
        <v>38</v>
      </c>
      <c r="Y361" s="2" t="s">
        <v>38</v>
      </c>
      <c r="Z361" s="2" t="s">
        <v>38</v>
      </c>
      <c r="AA361" s="2" t="s">
        <v>38</v>
      </c>
      <c r="AB361" s="2" t="s">
        <v>38</v>
      </c>
      <c r="AC361" s="2" t="s">
        <v>38</v>
      </c>
      <c r="AD361" s="2" t="s">
        <v>38</v>
      </c>
      <c r="AE361" s="2" t="s">
        <v>40</v>
      </c>
    </row>
    <row r="362" spans="1:31" ht="409.5">
      <c r="A362" s="2">
        <v>2763256</v>
      </c>
      <c r="B362" s="2">
        <f>HYPERLINK("https://platform.v2.vetology.net/cases/2763256/screening-report/1?type=pdf&amp;v=v6&amp;scorecard=1&amp;secret_key=BX%25IJ%24%2F65ieZ%29f6", 2763256)</f>
        <v>2763256</v>
      </c>
      <c r="C362" s="2">
        <f>HYPERLINK("https://platform.v2.vetology.net/report/v/final/"&amp;2763256, 2763256)</f>
        <v>2763256</v>
      </c>
      <c r="D362" s="2" t="s">
        <v>1291</v>
      </c>
      <c r="E362" s="2" t="s">
        <v>1292</v>
      </c>
      <c r="F362" s="2"/>
      <c r="G362" s="2" t="s">
        <v>100</v>
      </c>
      <c r="H362" s="2" t="s">
        <v>222</v>
      </c>
      <c r="I362" s="2" t="s">
        <v>36</v>
      </c>
      <c r="J362" s="2" t="s">
        <v>37</v>
      </c>
      <c r="K362" s="2" t="s">
        <v>39</v>
      </c>
      <c r="L362" s="2" t="s">
        <v>39</v>
      </c>
      <c r="M362" s="2" t="s">
        <v>38</v>
      </c>
      <c r="N362" s="2" t="s">
        <v>38</v>
      </c>
      <c r="O362" s="2" t="s">
        <v>38</v>
      </c>
      <c r="P362" s="2" t="s">
        <v>39</v>
      </c>
      <c r="Q362" s="2" t="s">
        <v>39</v>
      </c>
      <c r="R362" s="2" t="s">
        <v>38</v>
      </c>
      <c r="S362" s="2" t="s">
        <v>38</v>
      </c>
      <c r="T362" s="2" t="s">
        <v>38</v>
      </c>
      <c r="U362" s="2" t="s">
        <v>39</v>
      </c>
      <c r="V362" s="2" t="s">
        <v>38</v>
      </c>
      <c r="W362" s="2" t="s">
        <v>38</v>
      </c>
      <c r="X362" s="2" t="s">
        <v>39</v>
      </c>
      <c r="Y362" s="2" t="s">
        <v>39</v>
      </c>
      <c r="Z362" s="2" t="s">
        <v>38</v>
      </c>
      <c r="AA362" s="2" t="s">
        <v>39</v>
      </c>
      <c r="AB362" s="2" t="s">
        <v>39</v>
      </c>
      <c r="AC362" s="2" t="s">
        <v>38</v>
      </c>
      <c r="AD362" s="2" t="s">
        <v>38</v>
      </c>
      <c r="AE362" s="2" t="s">
        <v>39</v>
      </c>
    </row>
    <row r="363" spans="1:31" ht="409.5">
      <c r="A363" s="2">
        <v>2763205</v>
      </c>
      <c r="B363" s="2">
        <f>HYPERLINK("https://platform.v2.vetology.net/cases/2763205/screening-report/1?type=pdf&amp;v=v6&amp;scorecard=1&amp;secret_key=BX%25IJ%24%2F65ieZ%29f6", 2763205)</f>
        <v>2763205</v>
      </c>
      <c r="C363" s="2">
        <f>HYPERLINK("https://platform.v2.vetology.net/report/v/final/"&amp;2763205, 2763205)</f>
        <v>2763205</v>
      </c>
      <c r="D363" s="2" t="s">
        <v>1293</v>
      </c>
      <c r="E363" s="2" t="s">
        <v>1294</v>
      </c>
      <c r="F363" s="2" t="s">
        <v>43</v>
      </c>
      <c r="G363" s="2" t="s">
        <v>44</v>
      </c>
      <c r="H363" s="2" t="s">
        <v>1295</v>
      </c>
      <c r="I363" s="2" t="s">
        <v>73</v>
      </c>
      <c r="J363" s="2" t="s">
        <v>74</v>
      </c>
      <c r="K363" s="2" t="s">
        <v>38</v>
      </c>
      <c r="L363" s="2" t="s">
        <v>38</v>
      </c>
      <c r="M363" s="2" t="s">
        <v>38</v>
      </c>
      <c r="N363" s="2" t="s">
        <v>38</v>
      </c>
      <c r="O363" s="2" t="s">
        <v>38</v>
      </c>
      <c r="P363" s="2" t="s">
        <v>38</v>
      </c>
      <c r="Q363" s="2" t="s">
        <v>38</v>
      </c>
      <c r="R363" s="2" t="s">
        <v>38</v>
      </c>
      <c r="S363" s="2" t="s">
        <v>38</v>
      </c>
      <c r="T363" s="2" t="s">
        <v>38</v>
      </c>
      <c r="U363" s="2" t="s">
        <v>39</v>
      </c>
      <c r="V363" s="2" t="s">
        <v>38</v>
      </c>
      <c r="W363" s="2" t="s">
        <v>38</v>
      </c>
      <c r="X363" s="2" t="s">
        <v>38</v>
      </c>
      <c r="Y363" s="2" t="s">
        <v>38</v>
      </c>
      <c r="Z363" s="2" t="s">
        <v>38</v>
      </c>
      <c r="AA363" s="2" t="s">
        <v>38</v>
      </c>
      <c r="AB363" s="2" t="s">
        <v>38</v>
      </c>
      <c r="AC363" s="2" t="s">
        <v>38</v>
      </c>
      <c r="AD363" s="2" t="s">
        <v>38</v>
      </c>
      <c r="AE363" s="2" t="s">
        <v>39</v>
      </c>
    </row>
    <row r="364" spans="1:31" ht="409.5">
      <c r="A364" s="2">
        <v>2763161</v>
      </c>
      <c r="B364" s="2">
        <f>HYPERLINK("https://platform.v2.vetology.net/cases/2763161/screening-report/1?type=pdf&amp;v=v6&amp;scorecard=1&amp;secret_key=BX%25IJ%24%2F65ieZ%29f6", 2763161)</f>
        <v>2763161</v>
      </c>
      <c r="C364" s="2">
        <f>HYPERLINK("https://platform.v2.vetology.net/report/v/final/"&amp;2763161, 2763161)</f>
        <v>2763161</v>
      </c>
      <c r="D364" s="2" t="s">
        <v>1296</v>
      </c>
      <c r="E364" s="2" t="s">
        <v>1297</v>
      </c>
      <c r="F364" s="2" t="s">
        <v>1298</v>
      </c>
      <c r="G364" s="2" t="s">
        <v>53</v>
      </c>
      <c r="H364" s="2" t="s">
        <v>530</v>
      </c>
      <c r="I364" s="2" t="s">
        <v>59</v>
      </c>
      <c r="J364" s="2" t="s">
        <v>37</v>
      </c>
      <c r="K364" s="2" t="s">
        <v>38</v>
      </c>
      <c r="L364" s="2" t="s">
        <v>39</v>
      </c>
      <c r="M364" s="2" t="s">
        <v>39</v>
      </c>
      <c r="N364" s="2" t="s">
        <v>39</v>
      </c>
      <c r="O364" s="2" t="s">
        <v>39</v>
      </c>
      <c r="P364" s="2" t="s">
        <v>39</v>
      </c>
      <c r="Q364" s="2" t="s">
        <v>39</v>
      </c>
      <c r="R364" s="2" t="s">
        <v>39</v>
      </c>
      <c r="S364" s="2" t="s">
        <v>39</v>
      </c>
      <c r="T364" s="2" t="s">
        <v>39</v>
      </c>
      <c r="U364" s="2" t="s">
        <v>38</v>
      </c>
      <c r="V364" s="2" t="s">
        <v>38</v>
      </c>
      <c r="W364" s="2" t="s">
        <v>39</v>
      </c>
      <c r="X364" s="2" t="s">
        <v>39</v>
      </c>
      <c r="Y364" s="2" t="s">
        <v>39</v>
      </c>
      <c r="Z364" s="2" t="s">
        <v>39</v>
      </c>
      <c r="AA364" s="2" t="s">
        <v>39</v>
      </c>
      <c r="AB364" s="2" t="s">
        <v>39</v>
      </c>
      <c r="AC364" s="2" t="s">
        <v>38</v>
      </c>
      <c r="AD364" s="2" t="s">
        <v>39</v>
      </c>
      <c r="AE364" s="2" t="s">
        <v>39</v>
      </c>
    </row>
    <row r="365" spans="1:31" ht="409.5">
      <c r="A365" s="2">
        <v>2763126</v>
      </c>
      <c r="B365" s="2">
        <f>HYPERLINK("https://platform.v2.vetology.net/cases/2763126/screening-report/1?type=pdf&amp;v=v6&amp;scorecard=1&amp;secret_key=BX%25IJ%24%2F65ieZ%29f6", 2763126)</f>
        <v>2763126</v>
      </c>
      <c r="C365" s="2">
        <f>HYPERLINK("https://platform.v2.vetology.net/report/v/final/"&amp;2763126, 2763126)</f>
        <v>2763126</v>
      </c>
      <c r="D365" s="2" t="s">
        <v>1299</v>
      </c>
      <c r="E365" s="2" t="s">
        <v>1300</v>
      </c>
      <c r="F365" s="2"/>
      <c r="G365" s="2" t="s">
        <v>81</v>
      </c>
      <c r="H365" s="2" t="s">
        <v>1301</v>
      </c>
      <c r="I365" s="2" t="s">
        <v>129</v>
      </c>
      <c r="J365" s="2" t="s">
        <v>74</v>
      </c>
      <c r="K365" s="2" t="s">
        <v>39</v>
      </c>
      <c r="L365" s="2" t="s">
        <v>38</v>
      </c>
      <c r="M365" s="2" t="s">
        <v>38</v>
      </c>
      <c r="N365" s="2" t="s">
        <v>38</v>
      </c>
      <c r="O365" s="2" t="s">
        <v>38</v>
      </c>
      <c r="P365" s="2" t="s">
        <v>38</v>
      </c>
      <c r="Q365" s="2" t="s">
        <v>38</v>
      </c>
      <c r="R365" s="2" t="s">
        <v>38</v>
      </c>
      <c r="S365" s="2" t="s">
        <v>38</v>
      </c>
      <c r="T365" s="2" t="s">
        <v>38</v>
      </c>
      <c r="U365" s="2" t="s">
        <v>39</v>
      </c>
      <c r="V365" s="2" t="s">
        <v>39</v>
      </c>
      <c r="W365" s="2" t="s">
        <v>38</v>
      </c>
      <c r="X365" s="2" t="s">
        <v>38</v>
      </c>
      <c r="Y365" s="2" t="s">
        <v>38</v>
      </c>
      <c r="Z365" s="2" t="s">
        <v>38</v>
      </c>
      <c r="AA365" s="2" t="s">
        <v>38</v>
      </c>
      <c r="AB365" s="2" t="s">
        <v>38</v>
      </c>
      <c r="AC365" s="2" t="s">
        <v>38</v>
      </c>
      <c r="AD365" s="2" t="s">
        <v>39</v>
      </c>
      <c r="AE365" s="2" t="s">
        <v>39</v>
      </c>
    </row>
    <row r="366" spans="1:31" ht="409.5">
      <c r="A366" s="2">
        <v>2763099</v>
      </c>
      <c r="B366" s="2">
        <f>HYPERLINK("https://platform.v2.vetology.net/cases/2763099/screening-report/1?type=pdf&amp;v=v6&amp;scorecard=1&amp;secret_key=BX%25IJ%24%2F65ieZ%29f6", 2763099)</f>
        <v>2763099</v>
      </c>
      <c r="C366" s="2">
        <f>HYPERLINK("https://platform.v2.vetology.net/report/v/final/"&amp;2763099, 2763099)</f>
        <v>2763099</v>
      </c>
      <c r="D366" s="2" t="s">
        <v>1302</v>
      </c>
      <c r="E366" s="2" t="s">
        <v>1303</v>
      </c>
      <c r="F366" s="2" t="s">
        <v>1304</v>
      </c>
      <c r="G366" s="2" t="s">
        <v>53</v>
      </c>
      <c r="H366" s="2" t="s">
        <v>201</v>
      </c>
      <c r="I366" s="2" t="s">
        <v>36</v>
      </c>
      <c r="J366" s="2" t="s">
        <v>37</v>
      </c>
      <c r="K366" s="2" t="s">
        <v>39</v>
      </c>
      <c r="L366" s="2" t="s">
        <v>39</v>
      </c>
      <c r="M366" s="2" t="s">
        <v>38</v>
      </c>
      <c r="N366" s="2" t="s">
        <v>38</v>
      </c>
      <c r="O366" s="2" t="s">
        <v>38</v>
      </c>
      <c r="P366" s="2" t="s">
        <v>39</v>
      </c>
      <c r="Q366" s="2" t="s">
        <v>39</v>
      </c>
      <c r="R366" s="2" t="s">
        <v>39</v>
      </c>
      <c r="S366" s="2" t="s">
        <v>39</v>
      </c>
      <c r="T366" s="2" t="s">
        <v>38</v>
      </c>
      <c r="U366" s="2" t="s">
        <v>39</v>
      </c>
      <c r="V366" s="2" t="s">
        <v>38</v>
      </c>
      <c r="W366" s="2" t="s">
        <v>38</v>
      </c>
      <c r="X366" s="2" t="s">
        <v>39</v>
      </c>
      <c r="Y366" s="2" t="s">
        <v>38</v>
      </c>
      <c r="Z366" s="2" t="s">
        <v>39</v>
      </c>
      <c r="AA366" s="2" t="s">
        <v>38</v>
      </c>
      <c r="AB366" s="2" t="s">
        <v>39</v>
      </c>
      <c r="AC366" s="2" t="s">
        <v>38</v>
      </c>
      <c r="AD366" s="2" t="s">
        <v>39</v>
      </c>
      <c r="AE366" s="2" t="s">
        <v>40</v>
      </c>
    </row>
    <row r="367" spans="1:31" ht="409.5">
      <c r="A367" s="2">
        <v>2763087</v>
      </c>
      <c r="B367" s="2">
        <f>HYPERLINK("https://platform.v2.vetology.net/cases/2763087/screening-report/1?type=pdf&amp;v=v6&amp;scorecard=1&amp;secret_key=BX%25IJ%24%2F65ieZ%29f6", 2763087)</f>
        <v>2763087</v>
      </c>
      <c r="C367" s="2">
        <f>HYPERLINK("https://platform.v2.vetology.net/report/v/final/"&amp;2763087, 2763087)</f>
        <v>2763087</v>
      </c>
      <c r="D367" s="2" t="s">
        <v>1305</v>
      </c>
      <c r="E367" s="2" t="s">
        <v>1306</v>
      </c>
      <c r="F367" s="2" t="s">
        <v>1307</v>
      </c>
      <c r="G367" s="2" t="s">
        <v>111</v>
      </c>
      <c r="H367" s="2" t="s">
        <v>1308</v>
      </c>
      <c r="I367" s="2" t="s">
        <v>129</v>
      </c>
      <c r="J367" s="2" t="s">
        <v>74</v>
      </c>
      <c r="K367" s="2" t="s">
        <v>38</v>
      </c>
      <c r="L367" s="2" t="s">
        <v>39</v>
      </c>
      <c r="M367" s="2" t="s">
        <v>38</v>
      </c>
      <c r="N367" s="2" t="s">
        <v>38</v>
      </c>
      <c r="O367" s="2" t="s">
        <v>38</v>
      </c>
      <c r="P367" s="2" t="s">
        <v>39</v>
      </c>
      <c r="Q367" s="2" t="s">
        <v>38</v>
      </c>
      <c r="R367" s="2" t="s">
        <v>39</v>
      </c>
      <c r="S367" s="2" t="s">
        <v>39</v>
      </c>
      <c r="T367" s="2" t="s">
        <v>38</v>
      </c>
      <c r="U367" s="2" t="s">
        <v>39</v>
      </c>
      <c r="V367" s="2" t="s">
        <v>39</v>
      </c>
      <c r="W367" s="2" t="s">
        <v>38</v>
      </c>
      <c r="X367" s="2" t="s">
        <v>39</v>
      </c>
      <c r="Y367" s="2" t="s">
        <v>39</v>
      </c>
      <c r="Z367" s="2" t="s">
        <v>38</v>
      </c>
      <c r="AA367" s="2" t="s">
        <v>38</v>
      </c>
      <c r="AB367" s="2" t="s">
        <v>38</v>
      </c>
      <c r="AC367" s="2" t="s">
        <v>38</v>
      </c>
      <c r="AD367" s="2" t="s">
        <v>39</v>
      </c>
      <c r="AE367" s="2" t="s">
        <v>40</v>
      </c>
    </row>
    <row r="368" spans="1:31" ht="409.5">
      <c r="A368" s="2">
        <v>2763083</v>
      </c>
      <c r="B368" s="2">
        <f>HYPERLINK("https://platform.v2.vetology.net/cases/2763083/screening-report/1?type=pdf&amp;v=v6&amp;scorecard=1&amp;secret_key=BX%25IJ%24%2F65ieZ%29f6", 2763083)</f>
        <v>2763083</v>
      </c>
      <c r="C368" s="2">
        <f>HYPERLINK("https://platform.v2.vetology.net/report/v/final/"&amp;2763083, 2763083)</f>
        <v>2763083</v>
      </c>
      <c r="D368" s="2" t="s">
        <v>1309</v>
      </c>
      <c r="E368" s="2" t="s">
        <v>1310</v>
      </c>
      <c r="F368" s="2"/>
      <c r="G368" s="2" t="s">
        <v>81</v>
      </c>
      <c r="H368" s="2" t="s">
        <v>1311</v>
      </c>
      <c r="I368" s="2" t="s">
        <v>129</v>
      </c>
      <c r="J368" s="2" t="s">
        <v>74</v>
      </c>
      <c r="K368" s="2" t="s">
        <v>39</v>
      </c>
      <c r="L368" s="2" t="s">
        <v>39</v>
      </c>
      <c r="M368" s="2" t="s">
        <v>38</v>
      </c>
      <c r="N368" s="2" t="s">
        <v>39</v>
      </c>
      <c r="O368" s="2" t="s">
        <v>38</v>
      </c>
      <c r="P368" s="2" t="s">
        <v>39</v>
      </c>
      <c r="Q368" s="2" t="s">
        <v>38</v>
      </c>
      <c r="R368" s="2" t="s">
        <v>39</v>
      </c>
      <c r="S368" s="2" t="s">
        <v>39</v>
      </c>
      <c r="T368" s="2" t="s">
        <v>39</v>
      </c>
      <c r="U368" s="2" t="s">
        <v>39</v>
      </c>
      <c r="V368" s="2" t="s">
        <v>39</v>
      </c>
      <c r="W368" s="2" t="s">
        <v>39</v>
      </c>
      <c r="X368" s="2" t="s">
        <v>39</v>
      </c>
      <c r="Y368" s="2" t="s">
        <v>39</v>
      </c>
      <c r="Z368" s="2" t="s">
        <v>39</v>
      </c>
      <c r="AA368" s="2" t="s">
        <v>39</v>
      </c>
      <c r="AB368" s="2" t="s">
        <v>39</v>
      </c>
      <c r="AC368" s="2" t="s">
        <v>39</v>
      </c>
      <c r="AD368" s="2" t="s">
        <v>39</v>
      </c>
      <c r="AE368" s="2" t="s">
        <v>39</v>
      </c>
    </row>
    <row r="369" spans="1:31" ht="409.5">
      <c r="A369" s="2">
        <v>2763074</v>
      </c>
      <c r="B369" s="2">
        <f>HYPERLINK("https://platform.v2.vetology.net/cases/2763074/screening-report/1?type=pdf&amp;v=v6&amp;scorecard=1&amp;secret_key=BX%25IJ%24%2F65ieZ%29f6", 2763074)</f>
        <v>2763074</v>
      </c>
      <c r="C369" s="2">
        <f>HYPERLINK("https://platform.v2.vetology.net/report/v/final/"&amp;2763074, 2763074)</f>
        <v>2763074</v>
      </c>
      <c r="D369" s="2" t="s">
        <v>1312</v>
      </c>
      <c r="E369" s="2" t="s">
        <v>1313</v>
      </c>
      <c r="F369" s="2" t="s">
        <v>1314</v>
      </c>
      <c r="G369" s="2" t="s">
        <v>170</v>
      </c>
      <c r="H369" s="2" t="s">
        <v>1315</v>
      </c>
      <c r="I369" s="2" t="s">
        <v>36</v>
      </c>
      <c r="J369" s="2" t="s">
        <v>37</v>
      </c>
      <c r="K369" s="2" t="s">
        <v>39</v>
      </c>
      <c r="L369" s="2" t="s">
        <v>38</v>
      </c>
      <c r="M369" s="2" t="s">
        <v>38</v>
      </c>
      <c r="N369" s="2" t="s">
        <v>38</v>
      </c>
      <c r="O369" s="2" t="s">
        <v>38</v>
      </c>
      <c r="P369" s="2" t="s">
        <v>39</v>
      </c>
      <c r="Q369" s="2" t="s">
        <v>39</v>
      </c>
      <c r="R369" s="2" t="s">
        <v>38</v>
      </c>
      <c r="S369" s="2" t="s">
        <v>38</v>
      </c>
      <c r="T369" s="2" t="s">
        <v>38</v>
      </c>
      <c r="U369" s="2" t="s">
        <v>38</v>
      </c>
      <c r="V369" s="2" t="s">
        <v>38</v>
      </c>
      <c r="W369" s="2" t="s">
        <v>38</v>
      </c>
      <c r="X369" s="2" t="s">
        <v>39</v>
      </c>
      <c r="Y369" s="2" t="s">
        <v>38</v>
      </c>
      <c r="Z369" s="2" t="s">
        <v>38</v>
      </c>
      <c r="AA369" s="2" t="s">
        <v>38</v>
      </c>
      <c r="AB369" s="2" t="s">
        <v>39</v>
      </c>
      <c r="AC369" s="2" t="s">
        <v>38</v>
      </c>
      <c r="AD369" s="2" t="s">
        <v>38</v>
      </c>
      <c r="AE369" s="2" t="s">
        <v>40</v>
      </c>
    </row>
    <row r="370" spans="1:31" ht="409.5">
      <c r="A370" s="2">
        <v>2763062</v>
      </c>
      <c r="B370" s="2">
        <f>HYPERLINK("https://platform.v2.vetology.net/cases/2763062/screening-report/1?type=pdf&amp;v=v6&amp;scorecard=1&amp;secret_key=BX%25IJ%24%2F65ieZ%29f6", 2763062)</f>
        <v>2763062</v>
      </c>
      <c r="C370" s="2">
        <f>HYPERLINK("https://platform.v2.vetology.net/report/v/final/"&amp;2763062, 2763062)</f>
        <v>2763062</v>
      </c>
      <c r="D370" s="2" t="s">
        <v>1316</v>
      </c>
      <c r="E370" s="2" t="s">
        <v>1317</v>
      </c>
      <c r="F370" s="2" t="s">
        <v>1318</v>
      </c>
      <c r="G370" s="2" t="s">
        <v>111</v>
      </c>
      <c r="H370" s="2" t="s">
        <v>1007</v>
      </c>
      <c r="I370" s="2" t="s">
        <v>36</v>
      </c>
      <c r="J370" s="2" t="s">
        <v>37</v>
      </c>
      <c r="K370" s="2" t="s">
        <v>39</v>
      </c>
      <c r="L370" s="2" t="s">
        <v>38</v>
      </c>
      <c r="M370" s="2" t="s">
        <v>38</v>
      </c>
      <c r="N370" s="2" t="s">
        <v>39</v>
      </c>
      <c r="O370" s="2" t="s">
        <v>39</v>
      </c>
      <c r="P370" s="2" t="s">
        <v>39</v>
      </c>
      <c r="Q370" s="2" t="s">
        <v>39</v>
      </c>
      <c r="R370" s="2" t="s">
        <v>38</v>
      </c>
      <c r="S370" s="2" t="s">
        <v>39</v>
      </c>
      <c r="T370" s="2" t="s">
        <v>39</v>
      </c>
      <c r="U370" s="2" t="s">
        <v>39</v>
      </c>
      <c r="V370" s="2" t="s">
        <v>39</v>
      </c>
      <c r="W370" s="2" t="s">
        <v>38</v>
      </c>
      <c r="X370" s="2" t="s">
        <v>39</v>
      </c>
      <c r="Y370" s="2" t="s">
        <v>39</v>
      </c>
      <c r="Z370" s="2" t="s">
        <v>38</v>
      </c>
      <c r="AA370" s="2" t="s">
        <v>38</v>
      </c>
      <c r="AB370" s="2" t="s">
        <v>39</v>
      </c>
      <c r="AC370" s="2" t="s">
        <v>38</v>
      </c>
      <c r="AD370" s="2" t="s">
        <v>38</v>
      </c>
      <c r="AE370" s="2" t="s">
        <v>40</v>
      </c>
    </row>
    <row r="371" spans="1:31" ht="409.5">
      <c r="A371" s="2">
        <v>2763059</v>
      </c>
      <c r="B371" s="2">
        <f>HYPERLINK("https://platform.v2.vetology.net/cases/2763059/screening-report/1?type=pdf&amp;v=v6&amp;scorecard=1&amp;secret_key=BX%25IJ%24%2F65ieZ%29f6", 2763059)</f>
        <v>2763059</v>
      </c>
      <c r="C371" s="2">
        <f>HYPERLINK("https://platform.v2.vetology.net/report/v/final/"&amp;2763059, 2763059)</f>
        <v>2763059</v>
      </c>
      <c r="D371" s="2" t="s">
        <v>1319</v>
      </c>
      <c r="E371" s="2" t="s">
        <v>1320</v>
      </c>
      <c r="F371" s="2" t="s">
        <v>1321</v>
      </c>
      <c r="G371" s="2" t="s">
        <v>53</v>
      </c>
      <c r="H371" s="2" t="s">
        <v>1322</v>
      </c>
      <c r="I371" s="2" t="s">
        <v>36</v>
      </c>
      <c r="J371" s="2" t="s">
        <v>37</v>
      </c>
      <c r="K371" s="2" t="s">
        <v>39</v>
      </c>
      <c r="L371" s="2" t="s">
        <v>38</v>
      </c>
      <c r="M371" s="2" t="s">
        <v>39</v>
      </c>
      <c r="N371" s="2" t="s">
        <v>39</v>
      </c>
      <c r="O371" s="2" t="s">
        <v>39</v>
      </c>
      <c r="P371" s="2" t="s">
        <v>39</v>
      </c>
      <c r="Q371" s="2" t="s">
        <v>39</v>
      </c>
      <c r="R371" s="2" t="s">
        <v>39</v>
      </c>
      <c r="S371" s="2" t="s">
        <v>39</v>
      </c>
      <c r="T371" s="2" t="s">
        <v>39</v>
      </c>
      <c r="U371" s="2" t="s">
        <v>39</v>
      </c>
      <c r="V371" s="2" t="s">
        <v>39</v>
      </c>
      <c r="W371" s="2" t="s">
        <v>39</v>
      </c>
      <c r="X371" s="2" t="s">
        <v>39</v>
      </c>
      <c r="Y371" s="2" t="s">
        <v>39</v>
      </c>
      <c r="Z371" s="2" t="s">
        <v>39</v>
      </c>
      <c r="AA371" s="2" t="s">
        <v>39</v>
      </c>
      <c r="AB371" s="2" t="s">
        <v>39</v>
      </c>
      <c r="AC371" s="2" t="s">
        <v>39</v>
      </c>
      <c r="AD371" s="2" t="s">
        <v>39</v>
      </c>
      <c r="AE371" s="2"/>
    </row>
    <row r="372" spans="1:31" ht="409.5">
      <c r="A372" s="2">
        <v>2763051</v>
      </c>
      <c r="B372" s="2">
        <f>HYPERLINK("https://platform.v2.vetology.net/cases/2763051/screening-report/1?type=pdf&amp;v=v6&amp;scorecard=1&amp;secret_key=BX%25IJ%24%2F65ieZ%29f6", 2763051)</f>
        <v>2763051</v>
      </c>
      <c r="C372" s="2">
        <f>HYPERLINK("https://platform.v2.vetology.net/report/v/final/"&amp;2763051, 2763051)</f>
        <v>2763051</v>
      </c>
      <c r="D372" s="2" t="s">
        <v>1323</v>
      </c>
      <c r="E372" s="2" t="s">
        <v>1324</v>
      </c>
      <c r="F372" s="2" t="s">
        <v>1325</v>
      </c>
      <c r="G372" s="2" t="s">
        <v>53</v>
      </c>
      <c r="H372" s="2" t="s">
        <v>1326</v>
      </c>
      <c r="I372" s="2" t="s">
        <v>36</v>
      </c>
      <c r="J372" s="2" t="s">
        <v>37</v>
      </c>
      <c r="K372" s="2" t="s">
        <v>38</v>
      </c>
      <c r="L372" s="2" t="s">
        <v>38</v>
      </c>
      <c r="M372" s="2" t="s">
        <v>38</v>
      </c>
      <c r="N372" s="2" t="s">
        <v>39</v>
      </c>
      <c r="O372" s="2" t="s">
        <v>38</v>
      </c>
      <c r="P372" s="2" t="s">
        <v>39</v>
      </c>
      <c r="Q372" s="2" t="s">
        <v>39</v>
      </c>
      <c r="R372" s="2" t="s">
        <v>38</v>
      </c>
      <c r="S372" s="2" t="s">
        <v>38</v>
      </c>
      <c r="T372" s="2" t="s">
        <v>39</v>
      </c>
      <c r="U372" s="2" t="s">
        <v>38</v>
      </c>
      <c r="V372" s="2" t="s">
        <v>38</v>
      </c>
      <c r="W372" s="2" t="s">
        <v>38</v>
      </c>
      <c r="X372" s="2" t="s">
        <v>39</v>
      </c>
      <c r="Y372" s="2" t="s">
        <v>38</v>
      </c>
      <c r="Z372" s="2" t="s">
        <v>38</v>
      </c>
      <c r="AA372" s="2" t="s">
        <v>39</v>
      </c>
      <c r="AB372" s="2" t="s">
        <v>39</v>
      </c>
      <c r="AC372" s="2" t="s">
        <v>38</v>
      </c>
      <c r="AD372" s="2" t="s">
        <v>38</v>
      </c>
      <c r="AE372" s="2" t="s">
        <v>39</v>
      </c>
    </row>
    <row r="373" spans="1:31" ht="409.5">
      <c r="A373" s="2">
        <v>2763033</v>
      </c>
      <c r="B373" s="2">
        <f>HYPERLINK("https://platform.v2.vetology.net/cases/2763033/screening-report/1?type=pdf&amp;v=v6&amp;scorecard=1&amp;secret_key=BX%25IJ%24%2F65ieZ%29f6", 2763033)</f>
        <v>2763033</v>
      </c>
      <c r="C373" s="2">
        <f>HYPERLINK("https://platform.v2.vetology.net/report/v/final/"&amp;2763033, 2763033)</f>
        <v>2763033</v>
      </c>
      <c r="D373" s="2" t="s">
        <v>1327</v>
      </c>
      <c r="E373" s="2" t="s">
        <v>1328</v>
      </c>
      <c r="F373" s="2" t="s">
        <v>1329</v>
      </c>
      <c r="G373" s="2" t="s">
        <v>53</v>
      </c>
      <c r="H373" s="2" t="s">
        <v>158</v>
      </c>
      <c r="I373" s="2" t="s">
        <v>59</v>
      </c>
      <c r="J373" s="2" t="s">
        <v>37</v>
      </c>
      <c r="K373" s="2" t="s">
        <v>38</v>
      </c>
      <c r="L373" s="2" t="s">
        <v>39</v>
      </c>
      <c r="M373" s="2" t="s">
        <v>39</v>
      </c>
      <c r="N373" s="2" t="s">
        <v>39</v>
      </c>
      <c r="O373" s="2" t="s">
        <v>39</v>
      </c>
      <c r="P373" s="2" t="s">
        <v>39</v>
      </c>
      <c r="Q373" s="2" t="s">
        <v>39</v>
      </c>
      <c r="R373" s="2" t="s">
        <v>39</v>
      </c>
      <c r="S373" s="2" t="s">
        <v>39</v>
      </c>
      <c r="T373" s="2" t="s">
        <v>39</v>
      </c>
      <c r="U373" s="2" t="s">
        <v>39</v>
      </c>
      <c r="V373" s="2" t="s">
        <v>39</v>
      </c>
      <c r="W373" s="2" t="s">
        <v>39</v>
      </c>
      <c r="X373" s="2" t="s">
        <v>39</v>
      </c>
      <c r="Y373" s="2" t="s">
        <v>39</v>
      </c>
      <c r="Z373" s="2" t="s">
        <v>39</v>
      </c>
      <c r="AA373" s="2" t="s">
        <v>39</v>
      </c>
      <c r="AB373" s="2" t="s">
        <v>39</v>
      </c>
      <c r="AC373" s="2" t="s">
        <v>38</v>
      </c>
      <c r="AD373" s="2" t="s">
        <v>39</v>
      </c>
      <c r="AE373" s="2" t="s">
        <v>39</v>
      </c>
    </row>
    <row r="374" spans="1:31" ht="409.5">
      <c r="A374" s="2">
        <v>2763023</v>
      </c>
      <c r="B374" s="2">
        <f>HYPERLINK("https://platform.v2.vetology.net/cases/2763023/screening-report/1?type=pdf&amp;v=v6&amp;scorecard=1&amp;secret_key=BX%25IJ%24%2F65ieZ%29f6", 2763023)</f>
        <v>2763023</v>
      </c>
      <c r="C374" s="2">
        <f>HYPERLINK("https://platform.v2.vetology.net/report/v/final/"&amp;2763023, 2763023)</f>
        <v>2763023</v>
      </c>
      <c r="D374" s="2" t="s">
        <v>1330</v>
      </c>
      <c r="E374" s="2" t="s">
        <v>1331</v>
      </c>
      <c r="F374" s="2" t="s">
        <v>1332</v>
      </c>
      <c r="G374" s="2" t="s">
        <v>127</v>
      </c>
      <c r="H374" s="2" t="s">
        <v>1333</v>
      </c>
      <c r="I374" s="2" t="s">
        <v>73</v>
      </c>
      <c r="J374" s="2" t="s">
        <v>74</v>
      </c>
      <c r="K374" s="2" t="s">
        <v>38</v>
      </c>
      <c r="L374" s="2" t="s">
        <v>38</v>
      </c>
      <c r="M374" s="2" t="s">
        <v>38</v>
      </c>
      <c r="N374" s="2" t="s">
        <v>38</v>
      </c>
      <c r="O374" s="2" t="s">
        <v>38</v>
      </c>
      <c r="P374" s="2" t="s">
        <v>38</v>
      </c>
      <c r="Q374" s="2" t="s">
        <v>38</v>
      </c>
      <c r="R374" s="2" t="s">
        <v>38</v>
      </c>
      <c r="S374" s="2" t="s">
        <v>38</v>
      </c>
      <c r="T374" s="2" t="s">
        <v>38</v>
      </c>
      <c r="U374" s="2" t="s">
        <v>39</v>
      </c>
      <c r="V374" s="2" t="s">
        <v>38</v>
      </c>
      <c r="W374" s="2" t="s">
        <v>38</v>
      </c>
      <c r="X374" s="2" t="s">
        <v>38</v>
      </c>
      <c r="Y374" s="2" t="s">
        <v>38</v>
      </c>
      <c r="Z374" s="2" t="s">
        <v>38</v>
      </c>
      <c r="AA374" s="2" t="s">
        <v>38</v>
      </c>
      <c r="AB374" s="2" t="s">
        <v>38</v>
      </c>
      <c r="AC374" s="2" t="s">
        <v>38</v>
      </c>
      <c r="AD374" s="2" t="s">
        <v>38</v>
      </c>
      <c r="AE374" s="2" t="s">
        <v>40</v>
      </c>
    </row>
    <row r="375" spans="1:31" ht="409.5">
      <c r="A375" s="2">
        <v>2763000</v>
      </c>
      <c r="B375" s="2">
        <f>HYPERLINK("https://platform.v2.vetology.net/cases/2763000/screening-report/1?type=pdf&amp;v=v6&amp;scorecard=1&amp;secret_key=BX%25IJ%24%2F65ieZ%29f6", 2763000)</f>
        <v>2763000</v>
      </c>
      <c r="C375" s="2">
        <f>HYPERLINK("https://platform.v2.vetology.net/report/v/final/"&amp;2763000, 2763000)</f>
        <v>2763000</v>
      </c>
      <c r="D375" s="2" t="s">
        <v>1334</v>
      </c>
      <c r="E375" s="2" t="s">
        <v>1335</v>
      </c>
      <c r="F375" s="2" t="s">
        <v>1336</v>
      </c>
      <c r="G375" s="2" t="s">
        <v>145</v>
      </c>
      <c r="H375" s="2" t="s">
        <v>1337</v>
      </c>
      <c r="I375" s="2" t="s">
        <v>36</v>
      </c>
      <c r="J375" s="2" t="s">
        <v>37</v>
      </c>
      <c r="K375" s="2" t="s">
        <v>38</v>
      </c>
      <c r="L375" s="2" t="s">
        <v>38</v>
      </c>
      <c r="M375" s="2" t="s">
        <v>38</v>
      </c>
      <c r="N375" s="2" t="s">
        <v>38</v>
      </c>
      <c r="O375" s="2" t="s">
        <v>38</v>
      </c>
      <c r="P375" s="2" t="s">
        <v>39</v>
      </c>
      <c r="Q375" s="2" t="s">
        <v>39</v>
      </c>
      <c r="R375" s="2" t="s">
        <v>38</v>
      </c>
      <c r="S375" s="2" t="s">
        <v>38</v>
      </c>
      <c r="T375" s="2" t="s">
        <v>39</v>
      </c>
      <c r="U375" s="2" t="s">
        <v>38</v>
      </c>
      <c r="V375" s="2" t="s">
        <v>38</v>
      </c>
      <c r="W375" s="2" t="s">
        <v>38</v>
      </c>
      <c r="X375" s="2" t="s">
        <v>39</v>
      </c>
      <c r="Y375" s="2" t="s">
        <v>39</v>
      </c>
      <c r="Z375" s="2" t="s">
        <v>38</v>
      </c>
      <c r="AA375" s="2" t="s">
        <v>38</v>
      </c>
      <c r="AB375" s="2" t="s">
        <v>39</v>
      </c>
      <c r="AC375" s="2" t="s">
        <v>38</v>
      </c>
      <c r="AD375" s="2" t="s">
        <v>38</v>
      </c>
      <c r="AE375" s="2" t="s">
        <v>39</v>
      </c>
    </row>
    <row r="376" spans="1:31" ht="409.5">
      <c r="A376" s="2">
        <v>2762972</v>
      </c>
      <c r="B376" s="2">
        <f>HYPERLINK("https://platform.v2.vetology.net/cases/2762972/screening-report/1?type=pdf&amp;v=v6&amp;scorecard=1&amp;secret_key=BX%25IJ%24%2F65ieZ%29f6", 2762972)</f>
        <v>2762972</v>
      </c>
      <c r="C376" s="2">
        <f>HYPERLINK("https://platform.v2.vetology.net/report/v/final/"&amp;2762972, 2762972)</f>
        <v>2762972</v>
      </c>
      <c r="D376" s="2" t="s">
        <v>1338</v>
      </c>
      <c r="E376" s="2" t="s">
        <v>1339</v>
      </c>
      <c r="F376" s="2" t="s">
        <v>1340</v>
      </c>
      <c r="G376" s="2" t="s">
        <v>53</v>
      </c>
      <c r="H376" s="2" t="s">
        <v>45</v>
      </c>
      <c r="I376" s="2" t="s">
        <v>46</v>
      </c>
      <c r="J376" s="2"/>
      <c r="K376" s="2" t="s">
        <v>39</v>
      </c>
      <c r="L376" s="2" t="s">
        <v>39</v>
      </c>
      <c r="M376" s="2" t="s">
        <v>39</v>
      </c>
      <c r="N376" s="2" t="s">
        <v>39</v>
      </c>
      <c r="O376" s="2" t="s">
        <v>38</v>
      </c>
      <c r="P376" s="2" t="s">
        <v>39</v>
      </c>
      <c r="Q376" s="2" t="s">
        <v>39</v>
      </c>
      <c r="R376" s="2" t="s">
        <v>38</v>
      </c>
      <c r="S376" s="2" t="s">
        <v>39</v>
      </c>
      <c r="T376" s="2" t="s">
        <v>39</v>
      </c>
      <c r="U376" s="2" t="s">
        <v>39</v>
      </c>
      <c r="V376" s="2" t="s">
        <v>39</v>
      </c>
      <c r="W376" s="2" t="s">
        <v>38</v>
      </c>
      <c r="X376" s="2" t="s">
        <v>39</v>
      </c>
      <c r="Y376" s="2" t="s">
        <v>39</v>
      </c>
      <c r="Z376" s="2" t="s">
        <v>38</v>
      </c>
      <c r="AA376" s="2" t="s">
        <v>39</v>
      </c>
      <c r="AB376" s="2" t="s">
        <v>39</v>
      </c>
      <c r="AC376" s="2" t="s">
        <v>38</v>
      </c>
      <c r="AD376" s="2" t="s">
        <v>38</v>
      </c>
      <c r="AE376" s="2"/>
    </row>
    <row r="377" spans="1:31" ht="409.5">
      <c r="A377" s="2">
        <v>2762966</v>
      </c>
      <c r="B377" s="2">
        <f>HYPERLINK("https://platform.v2.vetology.net/cases/2762966/screening-report/1?type=pdf&amp;v=v6&amp;scorecard=1&amp;secret_key=BX%25IJ%24%2F65ieZ%29f6", 2762966)</f>
        <v>2762966</v>
      </c>
      <c r="C377" s="2">
        <f>HYPERLINK("https://platform.v2.vetology.net/report/v/final/"&amp;2762966, 2762966)</f>
        <v>2762966</v>
      </c>
      <c r="D377" s="2" t="s">
        <v>1341</v>
      </c>
      <c r="E377" s="2" t="s">
        <v>1342</v>
      </c>
      <c r="F377" s="2" t="s">
        <v>1343</v>
      </c>
      <c r="G377" s="2" t="s">
        <v>53</v>
      </c>
      <c r="H377" s="2" t="s">
        <v>1344</v>
      </c>
      <c r="I377" s="2" t="s">
        <v>129</v>
      </c>
      <c r="J377" s="2" t="s">
        <v>74</v>
      </c>
      <c r="K377" s="2" t="s">
        <v>38</v>
      </c>
      <c r="L377" s="2" t="s">
        <v>38</v>
      </c>
      <c r="M377" s="2" t="s">
        <v>38</v>
      </c>
      <c r="N377" s="2" t="s">
        <v>38</v>
      </c>
      <c r="O377" s="2" t="s">
        <v>38</v>
      </c>
      <c r="P377" s="2" t="s">
        <v>38</v>
      </c>
      <c r="Q377" s="2" t="s">
        <v>38</v>
      </c>
      <c r="R377" s="2" t="s">
        <v>38</v>
      </c>
      <c r="S377" s="2" t="s">
        <v>38</v>
      </c>
      <c r="T377" s="2" t="s">
        <v>38</v>
      </c>
      <c r="U377" s="2" t="s">
        <v>38</v>
      </c>
      <c r="V377" s="2" t="s">
        <v>38</v>
      </c>
      <c r="W377" s="2" t="s">
        <v>38</v>
      </c>
      <c r="X377" s="2" t="s">
        <v>38</v>
      </c>
      <c r="Y377" s="2" t="s">
        <v>39</v>
      </c>
      <c r="Z377" s="2" t="s">
        <v>38</v>
      </c>
      <c r="AA377" s="2" t="s">
        <v>38</v>
      </c>
      <c r="AB377" s="2" t="s">
        <v>38</v>
      </c>
      <c r="AC377" s="2" t="s">
        <v>38</v>
      </c>
      <c r="AD377" s="2" t="s">
        <v>38</v>
      </c>
      <c r="AE377" s="2" t="s">
        <v>39</v>
      </c>
    </row>
    <row r="378" spans="1:31" ht="409.5">
      <c r="A378" s="2">
        <v>2762957</v>
      </c>
      <c r="B378" s="2">
        <f>HYPERLINK("https://platform.v2.vetology.net/cases/2762957/screening-report/1?type=pdf&amp;v=v6&amp;scorecard=1&amp;secret_key=BX%25IJ%24%2F65ieZ%29f6", 2762957)</f>
        <v>2762957</v>
      </c>
      <c r="C378" s="2">
        <f>HYPERLINK("https://platform.v2.vetology.net/report/v/final/"&amp;2762957, 2762957)</f>
        <v>2762957</v>
      </c>
      <c r="D378" s="2" t="s">
        <v>1345</v>
      </c>
      <c r="E378" s="2" t="s">
        <v>1346</v>
      </c>
      <c r="F378" s="2" t="s">
        <v>1347</v>
      </c>
      <c r="G378" s="2" t="s">
        <v>556</v>
      </c>
      <c r="H378" s="2" t="s">
        <v>1348</v>
      </c>
      <c r="I378" s="2" t="s">
        <v>73</v>
      </c>
      <c r="J378" s="2" t="s">
        <v>74</v>
      </c>
      <c r="K378" s="2" t="s">
        <v>38</v>
      </c>
      <c r="L378" s="2" t="s">
        <v>38</v>
      </c>
      <c r="M378" s="2" t="s">
        <v>38</v>
      </c>
      <c r="N378" s="2" t="s">
        <v>38</v>
      </c>
      <c r="O378" s="2" t="s">
        <v>38</v>
      </c>
      <c r="P378" s="2" t="s">
        <v>38</v>
      </c>
      <c r="Q378" s="2" t="s">
        <v>38</v>
      </c>
      <c r="R378" s="2" t="s">
        <v>38</v>
      </c>
      <c r="S378" s="2" t="s">
        <v>38</v>
      </c>
      <c r="T378" s="2" t="s">
        <v>38</v>
      </c>
      <c r="U378" s="2" t="s">
        <v>38</v>
      </c>
      <c r="V378" s="2" t="s">
        <v>38</v>
      </c>
      <c r="W378" s="2" t="s">
        <v>38</v>
      </c>
      <c r="X378" s="2" t="s">
        <v>38</v>
      </c>
      <c r="Y378" s="2" t="s">
        <v>38</v>
      </c>
      <c r="Z378" s="2" t="s">
        <v>38</v>
      </c>
      <c r="AA378" s="2" t="s">
        <v>38</v>
      </c>
      <c r="AB378" s="2" t="s">
        <v>38</v>
      </c>
      <c r="AC378" s="2" t="s">
        <v>38</v>
      </c>
      <c r="AD378" s="2" t="s">
        <v>38</v>
      </c>
      <c r="AE378" s="2" t="s">
        <v>40</v>
      </c>
    </row>
    <row r="379" spans="1:31" ht="409.5">
      <c r="A379" s="2">
        <v>2762921</v>
      </c>
      <c r="B379" s="2">
        <f>HYPERLINK("https://platform.v2.vetology.net/cases/2762921/screening-report/1?type=pdf&amp;v=v6&amp;scorecard=1&amp;secret_key=BX%25IJ%24%2F65ieZ%29f6", 2762921)</f>
        <v>2762921</v>
      </c>
      <c r="C379" s="2">
        <f>HYPERLINK("https://platform.v2.vetology.net/report/v/final/"&amp;2762921, 2762921)</f>
        <v>2762921</v>
      </c>
      <c r="D379" s="2" t="s">
        <v>1349</v>
      </c>
      <c r="E379" s="2" t="s">
        <v>1350</v>
      </c>
      <c r="F379" s="2"/>
      <c r="G379" s="2" t="s">
        <v>100</v>
      </c>
      <c r="H379" s="2" t="s">
        <v>1351</v>
      </c>
      <c r="I379" s="2" t="s">
        <v>59</v>
      </c>
      <c r="J379" s="2" t="s">
        <v>37</v>
      </c>
      <c r="K379" s="2" t="s">
        <v>38</v>
      </c>
      <c r="L379" s="2" t="s">
        <v>39</v>
      </c>
      <c r="M379" s="2" t="s">
        <v>39</v>
      </c>
      <c r="N379" s="2" t="s">
        <v>39</v>
      </c>
      <c r="O379" s="2" t="s">
        <v>39</v>
      </c>
      <c r="P379" s="2" t="s">
        <v>39</v>
      </c>
      <c r="Q379" s="2" t="s">
        <v>39</v>
      </c>
      <c r="R379" s="2" t="s">
        <v>39</v>
      </c>
      <c r="S379" s="2" t="s">
        <v>38</v>
      </c>
      <c r="T379" s="2" t="s">
        <v>39</v>
      </c>
      <c r="U379" s="2" t="s">
        <v>38</v>
      </c>
      <c r="V379" s="2" t="s">
        <v>39</v>
      </c>
      <c r="W379" s="2" t="s">
        <v>39</v>
      </c>
      <c r="X379" s="2" t="s">
        <v>39</v>
      </c>
      <c r="Y379" s="2" t="s">
        <v>39</v>
      </c>
      <c r="Z379" s="2" t="s">
        <v>39</v>
      </c>
      <c r="AA379" s="2" t="s">
        <v>39</v>
      </c>
      <c r="AB379" s="2" t="s">
        <v>39</v>
      </c>
      <c r="AC379" s="2" t="s">
        <v>39</v>
      </c>
      <c r="AD379" s="2" t="s">
        <v>38</v>
      </c>
      <c r="AE379" s="2" t="s">
        <v>39</v>
      </c>
    </row>
    <row r="380" spans="1:31" ht="409.5">
      <c r="A380" s="2">
        <v>2762914</v>
      </c>
      <c r="B380" s="2">
        <f>HYPERLINK("https://platform.v2.vetology.net/cases/2762914/screening-report/1?type=pdf&amp;v=v6&amp;scorecard=1&amp;secret_key=BX%25IJ%24%2F65ieZ%29f6", 2762914)</f>
        <v>2762914</v>
      </c>
      <c r="C380" s="2">
        <f>HYPERLINK("https://platform.v2.vetology.net/report/v/final/"&amp;2762914, 2762914)</f>
        <v>2762914</v>
      </c>
      <c r="D380" s="2" t="s">
        <v>1352</v>
      </c>
      <c r="E380" s="2" t="s">
        <v>1353</v>
      </c>
      <c r="F380" s="2" t="s">
        <v>1354</v>
      </c>
      <c r="G380" s="2" t="s">
        <v>111</v>
      </c>
      <c r="H380" s="2" t="s">
        <v>1355</v>
      </c>
      <c r="I380" s="2" t="s">
        <v>73</v>
      </c>
      <c r="J380" s="2" t="s">
        <v>74</v>
      </c>
      <c r="K380" s="2" t="s">
        <v>38</v>
      </c>
      <c r="L380" s="2" t="s">
        <v>38</v>
      </c>
      <c r="M380" s="2" t="s">
        <v>38</v>
      </c>
      <c r="N380" s="2" t="s">
        <v>38</v>
      </c>
      <c r="O380" s="2" t="s">
        <v>38</v>
      </c>
      <c r="P380" s="2" t="s">
        <v>38</v>
      </c>
      <c r="Q380" s="2" t="s">
        <v>38</v>
      </c>
      <c r="R380" s="2" t="s">
        <v>38</v>
      </c>
      <c r="S380" s="2" t="s">
        <v>38</v>
      </c>
      <c r="T380" s="2" t="s">
        <v>38</v>
      </c>
      <c r="U380" s="2" t="s">
        <v>38</v>
      </c>
      <c r="V380" s="2" t="s">
        <v>38</v>
      </c>
      <c r="W380" s="2" t="s">
        <v>38</v>
      </c>
      <c r="X380" s="2" t="s">
        <v>38</v>
      </c>
      <c r="Y380" s="2" t="s">
        <v>38</v>
      </c>
      <c r="Z380" s="2" t="s">
        <v>38</v>
      </c>
      <c r="AA380" s="2" t="s">
        <v>38</v>
      </c>
      <c r="AB380" s="2" t="s">
        <v>38</v>
      </c>
      <c r="AC380" s="2" t="s">
        <v>38</v>
      </c>
      <c r="AD380" s="2" t="s">
        <v>38</v>
      </c>
      <c r="AE380" s="2" t="s">
        <v>40</v>
      </c>
    </row>
    <row r="381" spans="1:31" ht="409.5">
      <c r="A381" s="2">
        <v>2762877</v>
      </c>
      <c r="B381" s="2">
        <f>HYPERLINK("https://platform.v2.vetology.net/cases/2762877/screening-report/1?type=pdf&amp;v=v6&amp;scorecard=1&amp;secret_key=BX%25IJ%24%2F65ieZ%29f6", 2762877)</f>
        <v>2762877</v>
      </c>
      <c r="C381" s="2">
        <f>HYPERLINK("https://platform.v2.vetology.net/report/v/final/"&amp;2762877, 2762877)</f>
        <v>2762877</v>
      </c>
      <c r="D381" s="2" t="s">
        <v>1356</v>
      </c>
      <c r="E381" s="2" t="s">
        <v>1357</v>
      </c>
      <c r="F381" s="2" t="s">
        <v>43</v>
      </c>
      <c r="G381" s="2" t="s">
        <v>44</v>
      </c>
      <c r="H381" s="2" t="s">
        <v>66</v>
      </c>
      <c r="I381" s="2" t="s">
        <v>36</v>
      </c>
      <c r="J381" s="2" t="s">
        <v>37</v>
      </c>
      <c r="K381" s="2" t="s">
        <v>39</v>
      </c>
      <c r="L381" s="2" t="s">
        <v>39</v>
      </c>
      <c r="M381" s="2" t="s">
        <v>38</v>
      </c>
      <c r="N381" s="2" t="s">
        <v>39</v>
      </c>
      <c r="O381" s="2" t="s">
        <v>39</v>
      </c>
      <c r="P381" s="2" t="s">
        <v>39</v>
      </c>
      <c r="Q381" s="2" t="s">
        <v>38</v>
      </c>
      <c r="R381" s="2" t="s">
        <v>39</v>
      </c>
      <c r="S381" s="2" t="s">
        <v>39</v>
      </c>
      <c r="T381" s="2" t="s">
        <v>38</v>
      </c>
      <c r="U381" s="2" t="s">
        <v>39</v>
      </c>
      <c r="V381" s="2" t="s">
        <v>39</v>
      </c>
      <c r="W381" s="2" t="s">
        <v>38</v>
      </c>
      <c r="X381" s="2" t="s">
        <v>39</v>
      </c>
      <c r="Y381" s="2" t="s">
        <v>39</v>
      </c>
      <c r="Z381" s="2" t="s">
        <v>39</v>
      </c>
      <c r="AA381" s="2" t="s">
        <v>39</v>
      </c>
      <c r="AB381" s="2" t="s">
        <v>39</v>
      </c>
      <c r="AC381" s="2" t="s">
        <v>39</v>
      </c>
      <c r="AD381" s="2" t="s">
        <v>39</v>
      </c>
      <c r="AE381" s="2" t="s">
        <v>40</v>
      </c>
    </row>
    <row r="382" spans="1:31" ht="409.5">
      <c r="A382" s="2">
        <v>2762848</v>
      </c>
      <c r="B382" s="2">
        <f>HYPERLINK("https://platform.v2.vetology.net/cases/2762848/screening-report/1?type=pdf&amp;v=v6&amp;scorecard=1&amp;secret_key=BX%25IJ%24%2F65ieZ%29f6", 2762848)</f>
        <v>2762848</v>
      </c>
      <c r="C382" s="2">
        <f>HYPERLINK("https://platform.v2.vetology.net/report/v/final/"&amp;2762848, 2762848)</f>
        <v>2762848</v>
      </c>
      <c r="D382" s="2" t="s">
        <v>1358</v>
      </c>
      <c r="E382" s="2" t="s">
        <v>1359</v>
      </c>
      <c r="F382" s="2" t="s">
        <v>1360</v>
      </c>
      <c r="G382" s="2" t="s">
        <v>556</v>
      </c>
      <c r="H382" s="2" t="s">
        <v>1361</v>
      </c>
      <c r="I382" s="2" t="s">
        <v>73</v>
      </c>
      <c r="J382" s="2" t="s">
        <v>74</v>
      </c>
      <c r="K382" s="2" t="s">
        <v>38</v>
      </c>
      <c r="L382" s="2" t="s">
        <v>38</v>
      </c>
      <c r="M382" s="2" t="s">
        <v>38</v>
      </c>
      <c r="N382" s="2" t="s">
        <v>38</v>
      </c>
      <c r="O382" s="2" t="s">
        <v>38</v>
      </c>
      <c r="P382" s="2" t="s">
        <v>38</v>
      </c>
      <c r="Q382" s="2" t="s">
        <v>38</v>
      </c>
      <c r="R382" s="2" t="s">
        <v>38</v>
      </c>
      <c r="S382" s="2" t="s">
        <v>38</v>
      </c>
      <c r="T382" s="2" t="s">
        <v>38</v>
      </c>
      <c r="U382" s="2" t="s">
        <v>38</v>
      </c>
      <c r="V382" s="2" t="s">
        <v>38</v>
      </c>
      <c r="W382" s="2" t="s">
        <v>38</v>
      </c>
      <c r="X382" s="2" t="s">
        <v>38</v>
      </c>
      <c r="Y382" s="2" t="s">
        <v>38</v>
      </c>
      <c r="Z382" s="2" t="s">
        <v>38</v>
      </c>
      <c r="AA382" s="2" t="s">
        <v>38</v>
      </c>
      <c r="AB382" s="2" t="s">
        <v>38</v>
      </c>
      <c r="AC382" s="2" t="s">
        <v>38</v>
      </c>
      <c r="AD382" s="2" t="s">
        <v>38</v>
      </c>
      <c r="AE382" s="2" t="s">
        <v>40</v>
      </c>
    </row>
    <row r="383" spans="1:31" ht="409.5">
      <c r="A383" s="2">
        <v>2762815</v>
      </c>
      <c r="B383" s="2">
        <f>HYPERLINK("https://platform.v2.vetology.net/cases/2762815/screening-report/1?type=pdf&amp;v=v6&amp;scorecard=1&amp;secret_key=BX%25IJ%24%2F65ieZ%29f6", 2762815)</f>
        <v>2762815</v>
      </c>
      <c r="C383" s="2">
        <f>HYPERLINK("https://platform.v2.vetology.net/report/v/final/"&amp;2762815, 2762815)</f>
        <v>2762815</v>
      </c>
      <c r="D383" s="2" t="s">
        <v>1362</v>
      </c>
      <c r="E383" s="2" t="s">
        <v>1363</v>
      </c>
      <c r="F383" s="2" t="s">
        <v>1364</v>
      </c>
      <c r="G383" s="2" t="s">
        <v>127</v>
      </c>
      <c r="H383" s="2" t="s">
        <v>728</v>
      </c>
      <c r="I383" s="2" t="s">
        <v>36</v>
      </c>
      <c r="J383" s="2" t="s">
        <v>37</v>
      </c>
      <c r="K383" s="2" t="s">
        <v>39</v>
      </c>
      <c r="L383" s="2" t="s">
        <v>39</v>
      </c>
      <c r="M383" s="2" t="s">
        <v>38</v>
      </c>
      <c r="N383" s="2" t="s">
        <v>39</v>
      </c>
      <c r="O383" s="2" t="s">
        <v>39</v>
      </c>
      <c r="P383" s="2" t="s">
        <v>39</v>
      </c>
      <c r="Q383" s="2" t="s">
        <v>39</v>
      </c>
      <c r="R383" s="2" t="s">
        <v>39</v>
      </c>
      <c r="S383" s="2" t="s">
        <v>38</v>
      </c>
      <c r="T383" s="2" t="s">
        <v>38</v>
      </c>
      <c r="U383" s="2" t="s">
        <v>39</v>
      </c>
      <c r="V383" s="2" t="s">
        <v>39</v>
      </c>
      <c r="W383" s="2" t="s">
        <v>38</v>
      </c>
      <c r="X383" s="2" t="s">
        <v>39</v>
      </c>
      <c r="Y383" s="2" t="s">
        <v>39</v>
      </c>
      <c r="Z383" s="2" t="s">
        <v>38</v>
      </c>
      <c r="AA383" s="2" t="s">
        <v>38</v>
      </c>
      <c r="AB383" s="2" t="s">
        <v>39</v>
      </c>
      <c r="AC383" s="2" t="s">
        <v>39</v>
      </c>
      <c r="AD383" s="2" t="s">
        <v>38</v>
      </c>
      <c r="AE383" s="2" t="s">
        <v>40</v>
      </c>
    </row>
    <row r="384" spans="1:31" ht="409.5">
      <c r="A384" s="2">
        <v>2762804</v>
      </c>
      <c r="B384" s="2">
        <f>HYPERLINK("https://platform.v2.vetology.net/cases/2762804/screening-report/1?type=pdf&amp;v=v6&amp;scorecard=1&amp;secret_key=BX%25IJ%24%2F65ieZ%29f6", 2762804)</f>
        <v>2762804</v>
      </c>
      <c r="C384" s="2">
        <f>HYPERLINK("https://platform.v2.vetology.net/report/v/final/"&amp;2762804, 2762804)</f>
        <v>2762804</v>
      </c>
      <c r="D384" s="2" t="s">
        <v>1365</v>
      </c>
      <c r="E384" s="2" t="s">
        <v>1366</v>
      </c>
      <c r="F384" s="2" t="s">
        <v>1367</v>
      </c>
      <c r="G384" s="2" t="s">
        <v>53</v>
      </c>
      <c r="H384" s="2" t="s">
        <v>1368</v>
      </c>
      <c r="I384" s="2" t="s">
        <v>36</v>
      </c>
      <c r="J384" s="2" t="s">
        <v>37</v>
      </c>
      <c r="K384" s="2" t="s">
        <v>39</v>
      </c>
      <c r="L384" s="2" t="s">
        <v>38</v>
      </c>
      <c r="M384" s="2" t="s">
        <v>39</v>
      </c>
      <c r="N384" s="2" t="s">
        <v>38</v>
      </c>
      <c r="O384" s="2" t="s">
        <v>39</v>
      </c>
      <c r="P384" s="2" t="s">
        <v>39</v>
      </c>
      <c r="Q384" s="2" t="s">
        <v>39</v>
      </c>
      <c r="R384" s="2" t="s">
        <v>39</v>
      </c>
      <c r="S384" s="2" t="s">
        <v>38</v>
      </c>
      <c r="T384" s="2" t="s">
        <v>39</v>
      </c>
      <c r="U384" s="2" t="s">
        <v>39</v>
      </c>
      <c r="V384" s="2" t="s">
        <v>39</v>
      </c>
      <c r="W384" s="2" t="s">
        <v>38</v>
      </c>
      <c r="X384" s="2" t="s">
        <v>39</v>
      </c>
      <c r="Y384" s="2" t="s">
        <v>39</v>
      </c>
      <c r="Z384" s="2" t="s">
        <v>39</v>
      </c>
      <c r="AA384" s="2" t="s">
        <v>38</v>
      </c>
      <c r="AB384" s="2" t="s">
        <v>39</v>
      </c>
      <c r="AC384" s="2" t="s">
        <v>38</v>
      </c>
      <c r="AD384" s="2" t="s">
        <v>38</v>
      </c>
      <c r="AE384" s="2"/>
    </row>
    <row r="385" spans="1:31" ht="409.5">
      <c r="A385" s="2">
        <v>2762799</v>
      </c>
      <c r="B385" s="2">
        <f>HYPERLINK("https://platform.v2.vetology.net/cases/2762799/screening-report/1?type=pdf&amp;v=v6&amp;scorecard=1&amp;secret_key=BX%25IJ%24%2F65ieZ%29f6", 2762799)</f>
        <v>2762799</v>
      </c>
      <c r="C385" s="2">
        <f>HYPERLINK("https://platform.v2.vetology.net/report/v/final/"&amp;2762799, 2762799)</f>
        <v>2762799</v>
      </c>
      <c r="D385" s="2" t="s">
        <v>1369</v>
      </c>
      <c r="E385" s="2" t="s">
        <v>1370</v>
      </c>
      <c r="F385" s="2" t="s">
        <v>1371</v>
      </c>
      <c r="G385" s="2" t="s">
        <v>170</v>
      </c>
      <c r="H385" s="2" t="s">
        <v>1372</v>
      </c>
      <c r="I385" s="2" t="s">
        <v>36</v>
      </c>
      <c r="J385" s="2" t="s">
        <v>37</v>
      </c>
      <c r="K385" s="2" t="s">
        <v>38</v>
      </c>
      <c r="L385" s="2" t="s">
        <v>38</v>
      </c>
      <c r="M385" s="2" t="s">
        <v>38</v>
      </c>
      <c r="N385" s="2" t="s">
        <v>38</v>
      </c>
      <c r="O385" s="2" t="s">
        <v>38</v>
      </c>
      <c r="P385" s="2" t="s">
        <v>39</v>
      </c>
      <c r="Q385" s="2" t="s">
        <v>39</v>
      </c>
      <c r="R385" s="2" t="s">
        <v>38</v>
      </c>
      <c r="S385" s="2" t="s">
        <v>38</v>
      </c>
      <c r="T385" s="2" t="s">
        <v>39</v>
      </c>
      <c r="U385" s="2" t="s">
        <v>38</v>
      </c>
      <c r="V385" s="2" t="s">
        <v>38</v>
      </c>
      <c r="W385" s="2" t="s">
        <v>39</v>
      </c>
      <c r="X385" s="2" t="s">
        <v>39</v>
      </c>
      <c r="Y385" s="2" t="s">
        <v>39</v>
      </c>
      <c r="Z385" s="2" t="s">
        <v>39</v>
      </c>
      <c r="AA385" s="2" t="s">
        <v>38</v>
      </c>
      <c r="AB385" s="2" t="s">
        <v>39</v>
      </c>
      <c r="AC385" s="2" t="s">
        <v>39</v>
      </c>
      <c r="AD385" s="2" t="s">
        <v>38</v>
      </c>
      <c r="AE385" s="2" t="s">
        <v>40</v>
      </c>
    </row>
    <row r="386" spans="1:31" ht="409.5">
      <c r="A386" s="2">
        <v>2762780</v>
      </c>
      <c r="B386" s="2">
        <f>HYPERLINK("https://platform.v2.vetology.net/cases/2762780/screening-report/1?type=pdf&amp;v=v6&amp;scorecard=1&amp;secret_key=BX%25IJ%24%2F65ieZ%29f6", 2762780)</f>
        <v>2762780</v>
      </c>
      <c r="C386" s="2">
        <f>HYPERLINK("https://platform.v2.vetology.net/report/v/final/"&amp;2762780, 2762780)</f>
        <v>2762780</v>
      </c>
      <c r="D386" s="2" t="s">
        <v>1373</v>
      </c>
      <c r="E386" s="2" t="s">
        <v>1374</v>
      </c>
      <c r="F386" s="2" t="s">
        <v>1375</v>
      </c>
      <c r="G386" s="2" t="s">
        <v>53</v>
      </c>
      <c r="H386" s="2" t="s">
        <v>62</v>
      </c>
      <c r="I386" s="2" t="s">
        <v>46</v>
      </c>
      <c r="J386" s="2"/>
      <c r="K386" s="2" t="s">
        <v>39</v>
      </c>
      <c r="L386" s="2" t="s">
        <v>39</v>
      </c>
      <c r="M386" s="2" t="s">
        <v>39</v>
      </c>
      <c r="N386" s="2" t="s">
        <v>39</v>
      </c>
      <c r="O386" s="2" t="s">
        <v>39</v>
      </c>
      <c r="P386" s="2" t="s">
        <v>39</v>
      </c>
      <c r="Q386" s="2" t="s">
        <v>39</v>
      </c>
      <c r="R386" s="2" t="s">
        <v>38</v>
      </c>
      <c r="S386" s="2" t="s">
        <v>38</v>
      </c>
      <c r="T386" s="2" t="s">
        <v>39</v>
      </c>
      <c r="U386" s="2" t="s">
        <v>39</v>
      </c>
      <c r="V386" s="2" t="s">
        <v>39</v>
      </c>
      <c r="W386" s="2" t="s">
        <v>39</v>
      </c>
      <c r="X386" s="2" t="s">
        <v>39</v>
      </c>
      <c r="Y386" s="2" t="s">
        <v>39</v>
      </c>
      <c r="Z386" s="2" t="s">
        <v>39</v>
      </c>
      <c r="AA386" s="2" t="s">
        <v>39</v>
      </c>
      <c r="AB386" s="2" t="s">
        <v>39</v>
      </c>
      <c r="AC386" s="2" t="s">
        <v>38</v>
      </c>
      <c r="AD386" s="2" t="s">
        <v>38</v>
      </c>
      <c r="AE386" s="2" t="s">
        <v>39</v>
      </c>
    </row>
    <row r="387" spans="1:31" ht="409.5">
      <c r="A387" s="2">
        <v>2762770</v>
      </c>
      <c r="B387" s="2">
        <f>HYPERLINK("https://platform.v2.vetology.net/cases/2762770/screening-report/1?type=pdf&amp;v=v6&amp;scorecard=1&amp;secret_key=BX%25IJ%24%2F65ieZ%29f6", 2762770)</f>
        <v>2762770</v>
      </c>
      <c r="C387" s="2">
        <f>HYPERLINK("https://platform.v2.vetology.net/report/v/final/"&amp;2762770, 2762770)</f>
        <v>2762770</v>
      </c>
      <c r="D387" s="2" t="s">
        <v>1376</v>
      </c>
      <c r="E387" s="2" t="s">
        <v>1377</v>
      </c>
      <c r="F387" s="2" t="s">
        <v>1378</v>
      </c>
      <c r="G387" s="2" t="s">
        <v>53</v>
      </c>
      <c r="H387" s="2" t="s">
        <v>1379</v>
      </c>
      <c r="I387" s="2" t="s">
        <v>36</v>
      </c>
      <c r="J387" s="2" t="s">
        <v>37</v>
      </c>
      <c r="K387" s="2" t="s">
        <v>39</v>
      </c>
      <c r="L387" s="2" t="s">
        <v>39</v>
      </c>
      <c r="M387" s="2" t="s">
        <v>38</v>
      </c>
      <c r="N387" s="2" t="s">
        <v>39</v>
      </c>
      <c r="O387" s="2" t="s">
        <v>38</v>
      </c>
      <c r="P387" s="2" t="s">
        <v>39</v>
      </c>
      <c r="Q387" s="2" t="s">
        <v>39</v>
      </c>
      <c r="R387" s="2" t="s">
        <v>38</v>
      </c>
      <c r="S387" s="2" t="s">
        <v>39</v>
      </c>
      <c r="T387" s="2" t="s">
        <v>38</v>
      </c>
      <c r="U387" s="2" t="s">
        <v>39</v>
      </c>
      <c r="V387" s="2" t="s">
        <v>38</v>
      </c>
      <c r="W387" s="2" t="s">
        <v>38</v>
      </c>
      <c r="X387" s="2" t="s">
        <v>39</v>
      </c>
      <c r="Y387" s="2" t="s">
        <v>39</v>
      </c>
      <c r="Z387" s="2" t="s">
        <v>38</v>
      </c>
      <c r="AA387" s="2" t="s">
        <v>38</v>
      </c>
      <c r="AB387" s="2" t="s">
        <v>39</v>
      </c>
      <c r="AC387" s="2" t="s">
        <v>38</v>
      </c>
      <c r="AD387" s="2" t="s">
        <v>38</v>
      </c>
      <c r="AE387" s="2" t="s">
        <v>39</v>
      </c>
    </row>
    <row r="388" spans="1:31" ht="409.5">
      <c r="A388" s="2">
        <v>2762766</v>
      </c>
      <c r="B388" s="2">
        <f>HYPERLINK("https://platform.v2.vetology.net/cases/2762766/screening-report/1?type=pdf&amp;v=v6&amp;scorecard=1&amp;secret_key=BX%25IJ%24%2F65ieZ%29f6", 2762766)</f>
        <v>2762766</v>
      </c>
      <c r="C388" s="2">
        <f>HYPERLINK("https://platform.v2.vetology.net/report/v/final/"&amp;2762766, 2762766)</f>
        <v>2762766</v>
      </c>
      <c r="D388" s="2" t="s">
        <v>1380</v>
      </c>
      <c r="E388" s="2" t="s">
        <v>1381</v>
      </c>
      <c r="F388" s="2" t="s">
        <v>1382</v>
      </c>
      <c r="G388" s="2" t="s">
        <v>556</v>
      </c>
      <c r="H388" s="2" t="s">
        <v>1383</v>
      </c>
      <c r="I388" s="2" t="s">
        <v>73</v>
      </c>
      <c r="J388" s="2" t="s">
        <v>74</v>
      </c>
      <c r="K388" s="2" t="s">
        <v>38</v>
      </c>
      <c r="L388" s="2" t="s">
        <v>38</v>
      </c>
      <c r="M388" s="2" t="s">
        <v>38</v>
      </c>
      <c r="N388" s="2" t="s">
        <v>38</v>
      </c>
      <c r="O388" s="2" t="s">
        <v>38</v>
      </c>
      <c r="P388" s="2" t="s">
        <v>38</v>
      </c>
      <c r="Q388" s="2" t="s">
        <v>38</v>
      </c>
      <c r="R388" s="2" t="s">
        <v>38</v>
      </c>
      <c r="S388" s="2" t="s">
        <v>38</v>
      </c>
      <c r="T388" s="2" t="s">
        <v>38</v>
      </c>
      <c r="U388" s="2" t="s">
        <v>38</v>
      </c>
      <c r="V388" s="2" t="s">
        <v>38</v>
      </c>
      <c r="W388" s="2" t="s">
        <v>38</v>
      </c>
      <c r="X388" s="2" t="s">
        <v>38</v>
      </c>
      <c r="Y388" s="2" t="s">
        <v>38</v>
      </c>
      <c r="Z388" s="2" t="s">
        <v>38</v>
      </c>
      <c r="AA388" s="2" t="s">
        <v>38</v>
      </c>
      <c r="AB388" s="2" t="s">
        <v>38</v>
      </c>
      <c r="AC388" s="2" t="s">
        <v>38</v>
      </c>
      <c r="AD388" s="2" t="s">
        <v>39</v>
      </c>
      <c r="AE388" s="2" t="s">
        <v>39</v>
      </c>
    </row>
    <row r="389" spans="1:31" ht="409.5">
      <c r="A389" s="2">
        <v>2762765</v>
      </c>
      <c r="B389" s="2">
        <f>HYPERLINK("https://platform.v2.vetology.net/cases/2762765/screening-report/1?type=pdf&amp;v=v6&amp;scorecard=1&amp;secret_key=BX%25IJ%24%2F65ieZ%29f6", 2762765)</f>
        <v>2762765</v>
      </c>
      <c r="C389" s="2">
        <f>HYPERLINK("https://platform.v2.vetology.net/report/v/final/"&amp;2762765, 2762765)</f>
        <v>2762765</v>
      </c>
      <c r="D389" s="2" t="s">
        <v>1384</v>
      </c>
      <c r="E389" s="2" t="s">
        <v>1385</v>
      </c>
      <c r="F389" s="2" t="s">
        <v>1386</v>
      </c>
      <c r="G389" s="2" t="s">
        <v>170</v>
      </c>
      <c r="H389" s="2" t="s">
        <v>500</v>
      </c>
      <c r="I389" s="2" t="s">
        <v>36</v>
      </c>
      <c r="J389" s="2" t="s">
        <v>37</v>
      </c>
      <c r="K389" s="2" t="s">
        <v>39</v>
      </c>
      <c r="L389" s="2" t="s">
        <v>38</v>
      </c>
      <c r="M389" s="2" t="s">
        <v>38</v>
      </c>
      <c r="N389" s="2" t="s">
        <v>38</v>
      </c>
      <c r="O389" s="2" t="s">
        <v>38</v>
      </c>
      <c r="P389" s="2" t="s">
        <v>38</v>
      </c>
      <c r="Q389" s="2" t="s">
        <v>38</v>
      </c>
      <c r="R389" s="2" t="s">
        <v>38</v>
      </c>
      <c r="S389" s="2" t="s">
        <v>38</v>
      </c>
      <c r="T389" s="2" t="s">
        <v>38</v>
      </c>
      <c r="U389" s="2" t="s">
        <v>39</v>
      </c>
      <c r="V389" s="2" t="s">
        <v>38</v>
      </c>
      <c r="W389" s="2" t="s">
        <v>38</v>
      </c>
      <c r="X389" s="2" t="s">
        <v>39</v>
      </c>
      <c r="Y389" s="2" t="s">
        <v>39</v>
      </c>
      <c r="Z389" s="2" t="s">
        <v>38</v>
      </c>
      <c r="AA389" s="2" t="s">
        <v>38</v>
      </c>
      <c r="AB389" s="2" t="s">
        <v>39</v>
      </c>
      <c r="AC389" s="2" t="s">
        <v>38</v>
      </c>
      <c r="AD389" s="2" t="s">
        <v>38</v>
      </c>
      <c r="AE389" s="2" t="s">
        <v>39</v>
      </c>
    </row>
    <row r="390" spans="1:31" ht="409.5">
      <c r="A390" s="2">
        <v>2762747</v>
      </c>
      <c r="B390" s="2">
        <f>HYPERLINK("https://platform.v2.vetology.net/cases/2762747/screening-report/1?type=pdf&amp;v=v6&amp;scorecard=1&amp;secret_key=BX%25IJ%24%2F65ieZ%29f6", 2762747)</f>
        <v>2762747</v>
      </c>
      <c r="C390" s="2">
        <f>HYPERLINK("https://platform.v2.vetology.net/report/v/final/"&amp;2762747, 2762747)</f>
        <v>2762747</v>
      </c>
      <c r="D390" s="2" t="s">
        <v>1387</v>
      </c>
      <c r="E390" s="2" t="s">
        <v>1388</v>
      </c>
      <c r="F390" s="2" t="s">
        <v>1389</v>
      </c>
      <c r="G390" s="2" t="s">
        <v>100</v>
      </c>
      <c r="H390" s="2" t="s">
        <v>1390</v>
      </c>
      <c r="I390" s="2" t="s">
        <v>36</v>
      </c>
      <c r="J390" s="2" t="s">
        <v>37</v>
      </c>
      <c r="K390" s="2" t="s">
        <v>38</v>
      </c>
      <c r="L390" s="2" t="s">
        <v>38</v>
      </c>
      <c r="M390" s="2" t="s">
        <v>38</v>
      </c>
      <c r="N390" s="2" t="s">
        <v>38</v>
      </c>
      <c r="O390" s="2" t="s">
        <v>38</v>
      </c>
      <c r="P390" s="2" t="s">
        <v>39</v>
      </c>
      <c r="Q390" s="2" t="s">
        <v>39</v>
      </c>
      <c r="R390" s="2" t="s">
        <v>38</v>
      </c>
      <c r="S390" s="2" t="s">
        <v>38</v>
      </c>
      <c r="T390" s="2" t="s">
        <v>39</v>
      </c>
      <c r="U390" s="2" t="s">
        <v>38</v>
      </c>
      <c r="V390" s="2" t="s">
        <v>38</v>
      </c>
      <c r="W390" s="2" t="s">
        <v>38</v>
      </c>
      <c r="X390" s="2" t="s">
        <v>39</v>
      </c>
      <c r="Y390" s="2" t="s">
        <v>38</v>
      </c>
      <c r="Z390" s="2" t="s">
        <v>38</v>
      </c>
      <c r="AA390" s="2" t="s">
        <v>38</v>
      </c>
      <c r="AB390" s="2" t="s">
        <v>39</v>
      </c>
      <c r="AC390" s="2" t="s">
        <v>38</v>
      </c>
      <c r="AD390" s="2" t="s">
        <v>38</v>
      </c>
      <c r="AE390" s="2" t="s">
        <v>40</v>
      </c>
    </row>
    <row r="391" spans="1:31" ht="409.5">
      <c r="A391" s="2">
        <v>2762736</v>
      </c>
      <c r="B391" s="2">
        <f>HYPERLINK("https://platform.v2.vetology.net/cases/2762736/screening-report/1?type=pdf&amp;v=v6&amp;scorecard=1&amp;secret_key=BX%25IJ%24%2F65ieZ%29f6", 2762736)</f>
        <v>2762736</v>
      </c>
      <c r="C391" s="2">
        <f>HYPERLINK("https://platform.v2.vetology.net/report/v/final/"&amp;2762736, 2762736)</f>
        <v>2762736</v>
      </c>
      <c r="D391" s="2" t="s">
        <v>1391</v>
      </c>
      <c r="E391" s="2" t="s">
        <v>1392</v>
      </c>
      <c r="F391" s="2" t="s">
        <v>1393</v>
      </c>
      <c r="G391" s="2" t="s">
        <v>53</v>
      </c>
      <c r="H391" s="2" t="s">
        <v>182</v>
      </c>
      <c r="I391" s="2" t="s">
        <v>46</v>
      </c>
      <c r="J391" s="2"/>
      <c r="K391" s="2" t="s">
        <v>38</v>
      </c>
      <c r="L391" s="2" t="s">
        <v>39</v>
      </c>
      <c r="M391" s="2" t="s">
        <v>39</v>
      </c>
      <c r="N391" s="2" t="s">
        <v>39</v>
      </c>
      <c r="O391" s="2" t="s">
        <v>39</v>
      </c>
      <c r="P391" s="2" t="s">
        <v>39</v>
      </c>
      <c r="Q391" s="2" t="s">
        <v>39</v>
      </c>
      <c r="R391" s="2" t="s">
        <v>38</v>
      </c>
      <c r="S391" s="2" t="s">
        <v>39</v>
      </c>
      <c r="T391" s="2" t="s">
        <v>38</v>
      </c>
      <c r="U391" s="2" t="s">
        <v>38</v>
      </c>
      <c r="V391" s="2" t="s">
        <v>38</v>
      </c>
      <c r="W391" s="2" t="s">
        <v>38</v>
      </c>
      <c r="X391" s="2" t="s">
        <v>39</v>
      </c>
      <c r="Y391" s="2" t="s">
        <v>39</v>
      </c>
      <c r="Z391" s="2" t="s">
        <v>38</v>
      </c>
      <c r="AA391" s="2" t="s">
        <v>39</v>
      </c>
      <c r="AB391" s="2" t="s">
        <v>39</v>
      </c>
      <c r="AC391" s="2" t="s">
        <v>38</v>
      </c>
      <c r="AD391" s="2" t="s">
        <v>39</v>
      </c>
      <c r="AE391" s="2" t="s">
        <v>39</v>
      </c>
    </row>
    <row r="392" spans="1:31" ht="409.5">
      <c r="A392" s="2">
        <v>2762686</v>
      </c>
      <c r="B392" s="2">
        <f>HYPERLINK("https://platform.v2.vetology.net/cases/2762686/screening-report/1?type=pdf&amp;v=v6&amp;scorecard=1&amp;secret_key=BX%25IJ%24%2F65ieZ%29f6", 2762686)</f>
        <v>2762686</v>
      </c>
      <c r="C392" s="2">
        <f>HYPERLINK("https://platform.v2.vetology.net/report/v/final/"&amp;2762686, 2762686)</f>
        <v>2762686</v>
      </c>
      <c r="D392" s="2" t="s">
        <v>1394</v>
      </c>
      <c r="E392" s="2" t="s">
        <v>1395</v>
      </c>
      <c r="F392" s="2" t="s">
        <v>43</v>
      </c>
      <c r="G392" s="2" t="s">
        <v>44</v>
      </c>
      <c r="H392" s="2" t="s">
        <v>1396</v>
      </c>
      <c r="I392" s="2" t="s">
        <v>129</v>
      </c>
      <c r="J392" s="2" t="s">
        <v>74</v>
      </c>
      <c r="K392" s="2" t="s">
        <v>38</v>
      </c>
      <c r="L392" s="2" t="s">
        <v>39</v>
      </c>
      <c r="M392" s="2" t="s">
        <v>38</v>
      </c>
      <c r="N392" s="2" t="s">
        <v>38</v>
      </c>
      <c r="O392" s="2" t="s">
        <v>38</v>
      </c>
      <c r="P392" s="2" t="s">
        <v>38</v>
      </c>
      <c r="Q392" s="2" t="s">
        <v>38</v>
      </c>
      <c r="R392" s="2" t="s">
        <v>38</v>
      </c>
      <c r="S392" s="2" t="s">
        <v>38</v>
      </c>
      <c r="T392" s="2" t="s">
        <v>38</v>
      </c>
      <c r="U392" s="2" t="s">
        <v>38</v>
      </c>
      <c r="V392" s="2" t="s">
        <v>38</v>
      </c>
      <c r="W392" s="2" t="s">
        <v>38</v>
      </c>
      <c r="X392" s="2" t="s">
        <v>38</v>
      </c>
      <c r="Y392" s="2" t="s">
        <v>39</v>
      </c>
      <c r="Z392" s="2" t="s">
        <v>38</v>
      </c>
      <c r="AA392" s="2" t="s">
        <v>38</v>
      </c>
      <c r="AB392" s="2" t="s">
        <v>38</v>
      </c>
      <c r="AC392" s="2" t="s">
        <v>38</v>
      </c>
      <c r="AD392" s="2" t="s">
        <v>38</v>
      </c>
      <c r="AE392" s="2" t="s">
        <v>40</v>
      </c>
    </row>
    <row r="393" spans="1:31" ht="409.5">
      <c r="A393" s="2">
        <v>2762680</v>
      </c>
      <c r="B393" s="2">
        <f>HYPERLINK("https://platform.v2.vetology.net/cases/2762680/screening-report/1?type=pdf&amp;v=v6&amp;scorecard=1&amp;secret_key=BX%25IJ%24%2F65ieZ%29f6", 2762680)</f>
        <v>2762680</v>
      </c>
      <c r="C393" s="2">
        <f>HYPERLINK("https://platform.v2.vetology.net/report/v/final/"&amp;2762680, 2762680)</f>
        <v>2762680</v>
      </c>
      <c r="D393" s="2" t="s">
        <v>1397</v>
      </c>
      <c r="E393" s="2" t="s">
        <v>1398</v>
      </c>
      <c r="F393" s="2" t="s">
        <v>1399</v>
      </c>
      <c r="G393" s="2" t="s">
        <v>111</v>
      </c>
      <c r="H393" s="2" t="s">
        <v>1400</v>
      </c>
      <c r="I393" s="2" t="s">
        <v>73</v>
      </c>
      <c r="J393" s="2" t="s">
        <v>74</v>
      </c>
      <c r="K393" s="2" t="s">
        <v>38</v>
      </c>
      <c r="L393" s="2" t="s">
        <v>38</v>
      </c>
      <c r="M393" s="2" t="s">
        <v>38</v>
      </c>
      <c r="N393" s="2" t="s">
        <v>38</v>
      </c>
      <c r="O393" s="2" t="s">
        <v>38</v>
      </c>
      <c r="P393" s="2" t="s">
        <v>38</v>
      </c>
      <c r="Q393" s="2" t="s">
        <v>38</v>
      </c>
      <c r="R393" s="2" t="s">
        <v>38</v>
      </c>
      <c r="S393" s="2" t="s">
        <v>38</v>
      </c>
      <c r="T393" s="2" t="s">
        <v>38</v>
      </c>
      <c r="U393" s="2" t="s">
        <v>38</v>
      </c>
      <c r="V393" s="2" t="s">
        <v>38</v>
      </c>
      <c r="W393" s="2" t="s">
        <v>38</v>
      </c>
      <c r="X393" s="2" t="s">
        <v>38</v>
      </c>
      <c r="Y393" s="2" t="s">
        <v>38</v>
      </c>
      <c r="Z393" s="2" t="s">
        <v>38</v>
      </c>
      <c r="AA393" s="2" t="s">
        <v>38</v>
      </c>
      <c r="AB393" s="2" t="s">
        <v>38</v>
      </c>
      <c r="AC393" s="2" t="s">
        <v>38</v>
      </c>
      <c r="AD393" s="2" t="s">
        <v>38</v>
      </c>
      <c r="AE393" s="2" t="s">
        <v>39</v>
      </c>
    </row>
    <row r="394" spans="1:31" ht="409.5">
      <c r="A394" s="2">
        <v>2762645</v>
      </c>
      <c r="B394" s="2">
        <f>HYPERLINK("https://platform.v2.vetology.net/cases/2762645/screening-report/1?type=pdf&amp;v=v6&amp;scorecard=1&amp;secret_key=BX%25IJ%24%2F65ieZ%29f6", 2762645)</f>
        <v>2762645</v>
      </c>
      <c r="C394" s="2">
        <f>HYPERLINK("https://platform.v2.vetology.net/report/v/final/"&amp;2762645, 2762645)</f>
        <v>2762645</v>
      </c>
      <c r="D394" s="2" t="s">
        <v>1401</v>
      </c>
      <c r="E394" s="2" t="s">
        <v>1402</v>
      </c>
      <c r="F394" s="2" t="s">
        <v>1403</v>
      </c>
      <c r="G394" s="2" t="s">
        <v>556</v>
      </c>
      <c r="H394" s="2" t="s">
        <v>1404</v>
      </c>
      <c r="I394" s="2" t="s">
        <v>36</v>
      </c>
      <c r="J394" s="2" t="s">
        <v>37</v>
      </c>
      <c r="K394" s="2" t="s">
        <v>39</v>
      </c>
      <c r="L394" s="2" t="s">
        <v>38</v>
      </c>
      <c r="M394" s="2" t="s">
        <v>38</v>
      </c>
      <c r="N394" s="2" t="s">
        <v>38</v>
      </c>
      <c r="O394" s="2" t="s">
        <v>38</v>
      </c>
      <c r="P394" s="2" t="s">
        <v>39</v>
      </c>
      <c r="Q394" s="2" t="s">
        <v>39</v>
      </c>
      <c r="R394" s="2" t="s">
        <v>38</v>
      </c>
      <c r="S394" s="2" t="s">
        <v>38</v>
      </c>
      <c r="T394" s="2" t="s">
        <v>39</v>
      </c>
      <c r="U394" s="2" t="s">
        <v>38</v>
      </c>
      <c r="V394" s="2" t="s">
        <v>39</v>
      </c>
      <c r="W394" s="2" t="s">
        <v>38</v>
      </c>
      <c r="X394" s="2" t="s">
        <v>38</v>
      </c>
      <c r="Y394" s="2" t="s">
        <v>39</v>
      </c>
      <c r="Z394" s="2" t="s">
        <v>38</v>
      </c>
      <c r="AA394" s="2" t="s">
        <v>38</v>
      </c>
      <c r="AB394" s="2" t="s">
        <v>39</v>
      </c>
      <c r="AC394" s="2" t="s">
        <v>38</v>
      </c>
      <c r="AD394" s="2" t="s">
        <v>38</v>
      </c>
      <c r="AE394" s="2"/>
    </row>
    <row r="395" spans="1:31" ht="409.5">
      <c r="A395" s="2">
        <v>2762632</v>
      </c>
      <c r="B395" s="2">
        <f>HYPERLINK("https://platform.v2.vetology.net/cases/2762632/screening-report/1?type=pdf&amp;v=v6&amp;scorecard=1&amp;secret_key=BX%25IJ%24%2F65ieZ%29f6", 2762632)</f>
        <v>2762632</v>
      </c>
      <c r="C395" s="2">
        <f>HYPERLINK("https://platform.v2.vetology.net/report/v/final/"&amp;2762632, 2762632)</f>
        <v>2762632</v>
      </c>
      <c r="D395" s="2" t="s">
        <v>1405</v>
      </c>
      <c r="E395" s="2" t="s">
        <v>1406</v>
      </c>
      <c r="F395" s="2" t="s">
        <v>1407</v>
      </c>
      <c r="G395" s="2" t="s">
        <v>556</v>
      </c>
      <c r="H395" s="2" t="s">
        <v>1408</v>
      </c>
      <c r="I395" s="2" t="s">
        <v>73</v>
      </c>
      <c r="J395" s="2" t="s">
        <v>74</v>
      </c>
      <c r="K395" s="2" t="s">
        <v>38</v>
      </c>
      <c r="L395" s="2" t="s">
        <v>38</v>
      </c>
      <c r="M395" s="2" t="s">
        <v>38</v>
      </c>
      <c r="N395" s="2" t="s">
        <v>38</v>
      </c>
      <c r="O395" s="2" t="s">
        <v>38</v>
      </c>
      <c r="P395" s="2" t="s">
        <v>38</v>
      </c>
      <c r="Q395" s="2" t="s">
        <v>38</v>
      </c>
      <c r="R395" s="2" t="s">
        <v>38</v>
      </c>
      <c r="S395" s="2" t="s">
        <v>38</v>
      </c>
      <c r="T395" s="2" t="s">
        <v>38</v>
      </c>
      <c r="U395" s="2" t="s">
        <v>38</v>
      </c>
      <c r="V395" s="2" t="s">
        <v>38</v>
      </c>
      <c r="W395" s="2" t="s">
        <v>38</v>
      </c>
      <c r="X395" s="2" t="s">
        <v>38</v>
      </c>
      <c r="Y395" s="2" t="s">
        <v>38</v>
      </c>
      <c r="Z395" s="2" t="s">
        <v>38</v>
      </c>
      <c r="AA395" s="2" t="s">
        <v>38</v>
      </c>
      <c r="AB395" s="2" t="s">
        <v>38</v>
      </c>
      <c r="AC395" s="2" t="s">
        <v>38</v>
      </c>
      <c r="AD395" s="2" t="s">
        <v>38</v>
      </c>
      <c r="AE395" s="2" t="s">
        <v>39</v>
      </c>
    </row>
    <row r="396" spans="1:31" ht="409.5">
      <c r="A396" s="2">
        <v>2762623</v>
      </c>
      <c r="B396" s="2">
        <f>HYPERLINK("https://platform.v2.vetology.net/cases/2762623/screening-report/1?type=pdf&amp;v=v6&amp;scorecard=1&amp;secret_key=BX%25IJ%24%2F65ieZ%29f6", 2762623)</f>
        <v>2762623</v>
      </c>
      <c r="C396" s="2">
        <f>HYPERLINK("https://platform.v2.vetology.net/report/v/final/"&amp;2762623, 2762623)</f>
        <v>2762623</v>
      </c>
      <c r="D396" s="2" t="s">
        <v>1409</v>
      </c>
      <c r="E396" s="2" t="s">
        <v>1410</v>
      </c>
      <c r="F396" s="2" t="s">
        <v>1411</v>
      </c>
      <c r="G396" s="2" t="s">
        <v>127</v>
      </c>
      <c r="H396" s="2" t="s">
        <v>1412</v>
      </c>
      <c r="I396" s="2" t="s">
        <v>36</v>
      </c>
      <c r="J396" s="2" t="s">
        <v>37</v>
      </c>
      <c r="K396" s="2" t="s">
        <v>38</v>
      </c>
      <c r="L396" s="2" t="s">
        <v>39</v>
      </c>
      <c r="M396" s="2" t="s">
        <v>38</v>
      </c>
      <c r="N396" s="2" t="s">
        <v>39</v>
      </c>
      <c r="O396" s="2" t="s">
        <v>39</v>
      </c>
      <c r="P396" s="2" t="s">
        <v>39</v>
      </c>
      <c r="Q396" s="2" t="s">
        <v>39</v>
      </c>
      <c r="R396" s="2" t="s">
        <v>38</v>
      </c>
      <c r="S396" s="2" t="s">
        <v>39</v>
      </c>
      <c r="T396" s="2" t="s">
        <v>39</v>
      </c>
      <c r="U396" s="2" t="s">
        <v>38</v>
      </c>
      <c r="V396" s="2" t="s">
        <v>38</v>
      </c>
      <c r="W396" s="2" t="s">
        <v>39</v>
      </c>
      <c r="X396" s="2" t="s">
        <v>39</v>
      </c>
      <c r="Y396" s="2" t="s">
        <v>39</v>
      </c>
      <c r="Z396" s="2" t="s">
        <v>39</v>
      </c>
      <c r="AA396" s="2" t="s">
        <v>39</v>
      </c>
      <c r="AB396" s="2" t="s">
        <v>39</v>
      </c>
      <c r="AC396" s="2" t="s">
        <v>39</v>
      </c>
      <c r="AD396" s="2" t="s">
        <v>38</v>
      </c>
      <c r="AE396" s="2" t="s">
        <v>40</v>
      </c>
    </row>
    <row r="397" spans="1:31" ht="409.5">
      <c r="A397" s="2">
        <v>2762604</v>
      </c>
      <c r="B397" s="2">
        <f>HYPERLINK("https://platform.v2.vetology.net/cases/2762604/screening-report/1?type=pdf&amp;v=v6&amp;scorecard=1&amp;secret_key=BX%25IJ%24%2F65ieZ%29f6", 2762604)</f>
        <v>2762604</v>
      </c>
      <c r="C397" s="2">
        <f>HYPERLINK("https://platform.v2.vetology.net/report/v/final/"&amp;2762604, 2762604)</f>
        <v>2762604</v>
      </c>
      <c r="D397" s="2" t="s">
        <v>1413</v>
      </c>
      <c r="E397" s="2" t="s">
        <v>1414</v>
      </c>
      <c r="F397" s="2" t="s">
        <v>1415</v>
      </c>
      <c r="G397" s="2" t="s">
        <v>111</v>
      </c>
      <c r="H397" s="2" t="s">
        <v>1416</v>
      </c>
      <c r="I397" s="2" t="s">
        <v>129</v>
      </c>
      <c r="J397" s="2" t="s">
        <v>74</v>
      </c>
      <c r="K397" s="2" t="s">
        <v>39</v>
      </c>
      <c r="L397" s="2" t="s">
        <v>38</v>
      </c>
      <c r="M397" s="2" t="s">
        <v>38</v>
      </c>
      <c r="N397" s="2" t="s">
        <v>38</v>
      </c>
      <c r="O397" s="2" t="s">
        <v>38</v>
      </c>
      <c r="P397" s="2" t="s">
        <v>38</v>
      </c>
      <c r="Q397" s="2" t="s">
        <v>38</v>
      </c>
      <c r="R397" s="2" t="s">
        <v>38</v>
      </c>
      <c r="S397" s="2" t="s">
        <v>38</v>
      </c>
      <c r="T397" s="2" t="s">
        <v>38</v>
      </c>
      <c r="U397" s="2" t="s">
        <v>38</v>
      </c>
      <c r="V397" s="2" t="s">
        <v>38</v>
      </c>
      <c r="W397" s="2" t="s">
        <v>38</v>
      </c>
      <c r="X397" s="2" t="s">
        <v>38</v>
      </c>
      <c r="Y397" s="2" t="s">
        <v>38</v>
      </c>
      <c r="Z397" s="2" t="s">
        <v>38</v>
      </c>
      <c r="AA397" s="2" t="s">
        <v>38</v>
      </c>
      <c r="AB397" s="2" t="s">
        <v>38</v>
      </c>
      <c r="AC397" s="2" t="s">
        <v>38</v>
      </c>
      <c r="AD397" s="2" t="s">
        <v>39</v>
      </c>
      <c r="AE397" s="2" t="s">
        <v>40</v>
      </c>
    </row>
    <row r="398" spans="1:31" ht="409.5">
      <c r="A398" s="2">
        <v>2762595</v>
      </c>
      <c r="B398" s="2">
        <f>HYPERLINK("https://platform.v2.vetology.net/cases/2762595/screening-report/1?type=pdf&amp;v=v6&amp;scorecard=1&amp;secret_key=BX%25IJ%24%2F65ieZ%29f6", 2762595)</f>
        <v>2762595</v>
      </c>
      <c r="C398" s="2">
        <f>HYPERLINK("https://platform.v2.vetology.net/report/v/final/"&amp;2762595, 2762595)</f>
        <v>2762595</v>
      </c>
      <c r="D398" s="2" t="s">
        <v>1417</v>
      </c>
      <c r="E398" s="2" t="s">
        <v>1418</v>
      </c>
      <c r="F398" s="2" t="s">
        <v>1419</v>
      </c>
      <c r="G398" s="2" t="s">
        <v>170</v>
      </c>
      <c r="H398" s="2" t="s">
        <v>1420</v>
      </c>
      <c r="I398" s="2" t="s">
        <v>36</v>
      </c>
      <c r="J398" s="2" t="s">
        <v>37</v>
      </c>
      <c r="K398" s="2" t="s">
        <v>38</v>
      </c>
      <c r="L398" s="2" t="s">
        <v>38</v>
      </c>
      <c r="M398" s="2" t="s">
        <v>39</v>
      </c>
      <c r="N398" s="2" t="s">
        <v>39</v>
      </c>
      <c r="O398" s="2" t="s">
        <v>38</v>
      </c>
      <c r="P398" s="2" t="s">
        <v>39</v>
      </c>
      <c r="Q398" s="2" t="s">
        <v>39</v>
      </c>
      <c r="R398" s="2" t="s">
        <v>39</v>
      </c>
      <c r="S398" s="2" t="s">
        <v>39</v>
      </c>
      <c r="T398" s="2" t="s">
        <v>38</v>
      </c>
      <c r="U398" s="2" t="s">
        <v>38</v>
      </c>
      <c r="V398" s="2" t="s">
        <v>38</v>
      </c>
      <c r="W398" s="2" t="s">
        <v>39</v>
      </c>
      <c r="X398" s="2" t="s">
        <v>39</v>
      </c>
      <c r="Y398" s="2" t="s">
        <v>39</v>
      </c>
      <c r="Z398" s="2" t="s">
        <v>39</v>
      </c>
      <c r="AA398" s="2" t="s">
        <v>38</v>
      </c>
      <c r="AB398" s="2" t="s">
        <v>39</v>
      </c>
      <c r="AC398" s="2" t="s">
        <v>38</v>
      </c>
      <c r="AD398" s="2" t="s">
        <v>38</v>
      </c>
      <c r="AE398" s="2" t="s">
        <v>40</v>
      </c>
    </row>
    <row r="399" spans="1:31" ht="409.5">
      <c r="A399" s="2">
        <v>2762543</v>
      </c>
      <c r="B399" s="2">
        <f>HYPERLINK("https://platform.v2.vetology.net/cases/2762543/screening-report/1?type=pdf&amp;v=v6&amp;scorecard=1&amp;secret_key=BX%25IJ%24%2F65ieZ%29f6", 2762543)</f>
        <v>2762543</v>
      </c>
      <c r="C399" s="2">
        <f>HYPERLINK("https://platform.v2.vetology.net/report/v/final/"&amp;2762543, 2762543)</f>
        <v>2762543</v>
      </c>
      <c r="D399" s="2" t="s">
        <v>1421</v>
      </c>
      <c r="E399" s="2" t="s">
        <v>1422</v>
      </c>
      <c r="F399" s="2" t="s">
        <v>1423</v>
      </c>
      <c r="G399" s="2" t="s">
        <v>170</v>
      </c>
      <c r="H399" s="2" t="s">
        <v>1424</v>
      </c>
      <c r="I399" s="2" t="s">
        <v>36</v>
      </c>
      <c r="J399" s="2" t="s">
        <v>37</v>
      </c>
      <c r="K399" s="2" t="s">
        <v>38</v>
      </c>
      <c r="L399" s="2" t="s">
        <v>38</v>
      </c>
      <c r="M399" s="2" t="s">
        <v>38</v>
      </c>
      <c r="N399" s="2" t="s">
        <v>38</v>
      </c>
      <c r="O399" s="2" t="s">
        <v>38</v>
      </c>
      <c r="P399" s="2" t="s">
        <v>38</v>
      </c>
      <c r="Q399" s="2" t="s">
        <v>39</v>
      </c>
      <c r="R399" s="2" t="s">
        <v>38</v>
      </c>
      <c r="S399" s="2" t="s">
        <v>38</v>
      </c>
      <c r="T399" s="2" t="s">
        <v>38</v>
      </c>
      <c r="U399" s="2" t="s">
        <v>39</v>
      </c>
      <c r="V399" s="2" t="s">
        <v>38</v>
      </c>
      <c r="W399" s="2" t="s">
        <v>38</v>
      </c>
      <c r="X399" s="2" t="s">
        <v>38</v>
      </c>
      <c r="Y399" s="2" t="s">
        <v>39</v>
      </c>
      <c r="Z399" s="2" t="s">
        <v>38</v>
      </c>
      <c r="AA399" s="2" t="s">
        <v>39</v>
      </c>
      <c r="AB399" s="2" t="s">
        <v>39</v>
      </c>
      <c r="AC399" s="2" t="s">
        <v>38</v>
      </c>
      <c r="AD399" s="2" t="s">
        <v>38</v>
      </c>
      <c r="AE399" s="2" t="s">
        <v>39</v>
      </c>
    </row>
    <row r="400" spans="1:31" ht="409.5">
      <c r="A400" s="2">
        <v>2762464</v>
      </c>
      <c r="B400" s="2">
        <f>HYPERLINK("https://platform.v2.vetology.net/cases/2762464/screening-report/1?type=pdf&amp;v=v6&amp;scorecard=1&amp;secret_key=BX%25IJ%24%2F65ieZ%29f6", 2762464)</f>
        <v>2762464</v>
      </c>
      <c r="C400" s="2">
        <f>HYPERLINK("https://platform.v2.vetology.net/report/v/final/"&amp;2762464, 2762464)</f>
        <v>2762464</v>
      </c>
      <c r="D400" s="2" t="s">
        <v>1425</v>
      </c>
      <c r="E400" s="2" t="s">
        <v>1426</v>
      </c>
      <c r="F400" s="2" t="s">
        <v>1427</v>
      </c>
      <c r="G400" s="2" t="s">
        <v>251</v>
      </c>
      <c r="H400" s="2" t="s">
        <v>69</v>
      </c>
      <c r="I400" s="2" t="s">
        <v>46</v>
      </c>
      <c r="J400" s="2"/>
      <c r="K400" s="2" t="s">
        <v>39</v>
      </c>
      <c r="L400" s="2" t="s">
        <v>39</v>
      </c>
      <c r="M400" s="2" t="s">
        <v>39</v>
      </c>
      <c r="N400" s="2" t="s">
        <v>39</v>
      </c>
      <c r="O400" s="2" t="s">
        <v>39</v>
      </c>
      <c r="P400" s="2" t="s">
        <v>39</v>
      </c>
      <c r="Q400" s="2" t="s">
        <v>39</v>
      </c>
      <c r="R400" s="2" t="s">
        <v>39</v>
      </c>
      <c r="S400" s="2" t="s">
        <v>39</v>
      </c>
      <c r="T400" s="2" t="s">
        <v>39</v>
      </c>
      <c r="U400" s="2" t="s">
        <v>39</v>
      </c>
      <c r="V400" s="2" t="s">
        <v>39</v>
      </c>
      <c r="W400" s="2" t="s">
        <v>39</v>
      </c>
      <c r="X400" s="2" t="s">
        <v>39</v>
      </c>
      <c r="Y400" s="2" t="s">
        <v>39</v>
      </c>
      <c r="Z400" s="2" t="s">
        <v>39</v>
      </c>
      <c r="AA400" s="2" t="s">
        <v>39</v>
      </c>
      <c r="AB400" s="2" t="s">
        <v>39</v>
      </c>
      <c r="AC400" s="2" t="s">
        <v>38</v>
      </c>
      <c r="AD400" s="2" t="s">
        <v>38</v>
      </c>
      <c r="AE400" s="2" t="s">
        <v>39</v>
      </c>
    </row>
    <row r="401" spans="1:31" ht="409.5">
      <c r="A401" s="2">
        <v>2762441</v>
      </c>
      <c r="B401" s="2">
        <f>HYPERLINK("https://platform.v2.vetology.net/cases/2762441/screening-report/1?type=pdf&amp;v=v6&amp;scorecard=1&amp;secret_key=BX%25IJ%24%2F65ieZ%29f6", 2762441)</f>
        <v>2762441</v>
      </c>
      <c r="C401" s="2">
        <f>HYPERLINK("https://platform.v2.vetology.net/report/v/final/"&amp;2762441, 2762441)</f>
        <v>2762441</v>
      </c>
      <c r="D401" s="2" t="s">
        <v>1428</v>
      </c>
      <c r="E401" s="2" t="s">
        <v>1429</v>
      </c>
      <c r="F401" s="2" t="s">
        <v>174</v>
      </c>
      <c r="G401" s="2" t="s">
        <v>170</v>
      </c>
      <c r="H401" s="2" t="s">
        <v>1430</v>
      </c>
      <c r="I401" s="2" t="s">
        <v>36</v>
      </c>
      <c r="J401" s="2" t="s">
        <v>37</v>
      </c>
      <c r="K401" s="2" t="s">
        <v>38</v>
      </c>
      <c r="L401" s="2" t="s">
        <v>38</v>
      </c>
      <c r="M401" s="2" t="s">
        <v>39</v>
      </c>
      <c r="N401" s="2" t="s">
        <v>39</v>
      </c>
      <c r="O401" s="2" t="s">
        <v>39</v>
      </c>
      <c r="P401" s="2" t="s">
        <v>39</v>
      </c>
      <c r="Q401" s="2" t="s">
        <v>39</v>
      </c>
      <c r="R401" s="2" t="s">
        <v>38</v>
      </c>
      <c r="S401" s="2" t="s">
        <v>38</v>
      </c>
      <c r="T401" s="2" t="s">
        <v>39</v>
      </c>
      <c r="U401" s="2" t="s">
        <v>38</v>
      </c>
      <c r="V401" s="2" t="s">
        <v>38</v>
      </c>
      <c r="W401" s="2" t="s">
        <v>39</v>
      </c>
      <c r="X401" s="2" t="s">
        <v>39</v>
      </c>
      <c r="Y401" s="2" t="s">
        <v>39</v>
      </c>
      <c r="Z401" s="2" t="s">
        <v>38</v>
      </c>
      <c r="AA401" s="2" t="s">
        <v>39</v>
      </c>
      <c r="AB401" s="2" t="s">
        <v>39</v>
      </c>
      <c r="AC401" s="2" t="s">
        <v>38</v>
      </c>
      <c r="AD401" s="2" t="s">
        <v>38</v>
      </c>
      <c r="AE401" s="2" t="s">
        <v>39</v>
      </c>
    </row>
    <row r="402" spans="1:31" ht="409.5">
      <c r="A402" s="2">
        <v>2762437</v>
      </c>
      <c r="B402" s="2">
        <f>HYPERLINK("https://platform.v2.vetology.net/cases/2762437/screening-report/1?type=pdf&amp;v=v6&amp;scorecard=1&amp;secret_key=BX%25IJ%24%2F65ieZ%29f6", 2762437)</f>
        <v>2762437</v>
      </c>
      <c r="C402" s="2">
        <f>HYPERLINK("https://platform.v2.vetology.net/report/v/final/"&amp;2762437, 2762437)</f>
        <v>2762437</v>
      </c>
      <c r="D402" s="2" t="s">
        <v>1431</v>
      </c>
      <c r="E402" s="2" t="s">
        <v>1432</v>
      </c>
      <c r="F402" s="2" t="s">
        <v>1433</v>
      </c>
      <c r="G402" s="2" t="s">
        <v>100</v>
      </c>
      <c r="H402" s="2" t="s">
        <v>1434</v>
      </c>
      <c r="I402" s="2" t="s">
        <v>36</v>
      </c>
      <c r="J402" s="2" t="s">
        <v>37</v>
      </c>
      <c r="K402" s="2" t="s">
        <v>38</v>
      </c>
      <c r="L402" s="2" t="s">
        <v>38</v>
      </c>
      <c r="M402" s="2" t="s">
        <v>38</v>
      </c>
      <c r="N402" s="2" t="s">
        <v>38</v>
      </c>
      <c r="O402" s="2" t="s">
        <v>38</v>
      </c>
      <c r="P402" s="2" t="s">
        <v>38</v>
      </c>
      <c r="Q402" s="2" t="s">
        <v>38</v>
      </c>
      <c r="R402" s="2" t="s">
        <v>38</v>
      </c>
      <c r="S402" s="2" t="s">
        <v>38</v>
      </c>
      <c r="T402" s="2" t="s">
        <v>39</v>
      </c>
      <c r="U402" s="2" t="s">
        <v>38</v>
      </c>
      <c r="V402" s="2" t="s">
        <v>38</v>
      </c>
      <c r="W402" s="2" t="s">
        <v>38</v>
      </c>
      <c r="X402" s="2" t="s">
        <v>38</v>
      </c>
      <c r="Y402" s="2" t="s">
        <v>38</v>
      </c>
      <c r="Z402" s="2" t="s">
        <v>38</v>
      </c>
      <c r="AA402" s="2" t="s">
        <v>38</v>
      </c>
      <c r="AB402" s="2" t="s">
        <v>38</v>
      </c>
      <c r="AC402" s="2" t="s">
        <v>38</v>
      </c>
      <c r="AD402" s="2" t="s">
        <v>38</v>
      </c>
      <c r="AE402" s="2" t="s">
        <v>40</v>
      </c>
    </row>
    <row r="403" spans="1:31" ht="409.5">
      <c r="A403" s="2">
        <v>2762427</v>
      </c>
      <c r="B403" s="2">
        <f>HYPERLINK("https://platform.v2.vetology.net/cases/2762427/screening-report/1?type=pdf&amp;v=v6&amp;scorecard=1&amp;secret_key=BX%25IJ%24%2F65ieZ%29f6", 2762427)</f>
        <v>2762427</v>
      </c>
      <c r="C403" s="2">
        <f>HYPERLINK("https://platform.v2.vetology.net/report/v/final/"&amp;2762427, 2762427)</f>
        <v>2762427</v>
      </c>
      <c r="D403" s="2" t="s">
        <v>302</v>
      </c>
      <c r="E403" s="2" t="s">
        <v>99</v>
      </c>
      <c r="F403" s="2"/>
      <c r="G403" s="2" t="s">
        <v>100</v>
      </c>
      <c r="H403" s="2" t="s">
        <v>158</v>
      </c>
      <c r="I403" s="2" t="s">
        <v>59</v>
      </c>
      <c r="J403" s="2" t="s">
        <v>37</v>
      </c>
      <c r="K403" s="2" t="s">
        <v>38</v>
      </c>
      <c r="L403" s="2" t="s">
        <v>39</v>
      </c>
      <c r="M403" s="2" t="s">
        <v>39</v>
      </c>
      <c r="N403" s="2" t="s">
        <v>39</v>
      </c>
      <c r="O403" s="2" t="s">
        <v>39</v>
      </c>
      <c r="P403" s="2" t="s">
        <v>39</v>
      </c>
      <c r="Q403" s="2" t="s">
        <v>39</v>
      </c>
      <c r="R403" s="2" t="s">
        <v>39</v>
      </c>
      <c r="S403" s="2" t="s">
        <v>39</v>
      </c>
      <c r="T403" s="2" t="s">
        <v>39</v>
      </c>
      <c r="U403" s="2" t="s">
        <v>39</v>
      </c>
      <c r="V403" s="2" t="s">
        <v>38</v>
      </c>
      <c r="W403" s="2" t="s">
        <v>39</v>
      </c>
      <c r="X403" s="2" t="s">
        <v>39</v>
      </c>
      <c r="Y403" s="2" t="s">
        <v>39</v>
      </c>
      <c r="Z403" s="2" t="s">
        <v>39</v>
      </c>
      <c r="AA403" s="2" t="s">
        <v>39</v>
      </c>
      <c r="AB403" s="2" t="s">
        <v>39</v>
      </c>
      <c r="AC403" s="2" t="s">
        <v>39</v>
      </c>
      <c r="AD403" s="2" t="s">
        <v>39</v>
      </c>
      <c r="AE403" s="2" t="s">
        <v>39</v>
      </c>
    </row>
    <row r="404" spans="1:31" ht="409.5">
      <c r="A404" s="2">
        <v>2762410</v>
      </c>
      <c r="B404" s="2">
        <f>HYPERLINK("https://platform.v2.vetology.net/cases/2762410/screening-report/1?type=pdf&amp;v=v6&amp;scorecard=1&amp;secret_key=BX%25IJ%24%2F65ieZ%29f6", 2762410)</f>
        <v>2762410</v>
      </c>
      <c r="C404" s="2">
        <f>HYPERLINK("https://platform.v2.vetology.net/report/v/final/"&amp;2762410, 2762410)</f>
        <v>2762410</v>
      </c>
      <c r="D404" s="2" t="s">
        <v>1435</v>
      </c>
      <c r="E404" s="2" t="s">
        <v>1436</v>
      </c>
      <c r="F404" s="2" t="s">
        <v>1437</v>
      </c>
      <c r="G404" s="2" t="s">
        <v>170</v>
      </c>
      <c r="H404" s="2" t="s">
        <v>1438</v>
      </c>
      <c r="I404" s="2" t="s">
        <v>129</v>
      </c>
      <c r="J404" s="2" t="s">
        <v>74</v>
      </c>
      <c r="K404" s="2" t="s">
        <v>39</v>
      </c>
      <c r="L404" s="2" t="s">
        <v>38</v>
      </c>
      <c r="M404" s="2" t="s">
        <v>38</v>
      </c>
      <c r="N404" s="2" t="s">
        <v>38</v>
      </c>
      <c r="O404" s="2" t="s">
        <v>38</v>
      </c>
      <c r="P404" s="2" t="s">
        <v>38</v>
      </c>
      <c r="Q404" s="2" t="s">
        <v>38</v>
      </c>
      <c r="R404" s="2" t="s">
        <v>38</v>
      </c>
      <c r="S404" s="2" t="s">
        <v>39</v>
      </c>
      <c r="T404" s="2" t="s">
        <v>38</v>
      </c>
      <c r="U404" s="2" t="s">
        <v>39</v>
      </c>
      <c r="V404" s="2" t="s">
        <v>39</v>
      </c>
      <c r="W404" s="2" t="s">
        <v>38</v>
      </c>
      <c r="X404" s="2" t="s">
        <v>38</v>
      </c>
      <c r="Y404" s="2" t="s">
        <v>38</v>
      </c>
      <c r="Z404" s="2" t="s">
        <v>38</v>
      </c>
      <c r="AA404" s="2" t="s">
        <v>38</v>
      </c>
      <c r="AB404" s="2" t="s">
        <v>38</v>
      </c>
      <c r="AC404" s="2" t="s">
        <v>38</v>
      </c>
      <c r="AD404" s="2" t="s">
        <v>39</v>
      </c>
      <c r="AE404" s="2" t="s">
        <v>40</v>
      </c>
    </row>
    <row r="405" spans="1:31" ht="409.5">
      <c r="A405" s="2">
        <v>2762386</v>
      </c>
      <c r="B405" s="2">
        <f>HYPERLINK("https://platform.v2.vetology.net/cases/2762386/screening-report/1?type=pdf&amp;v=v6&amp;scorecard=1&amp;secret_key=BX%25IJ%24%2F65ieZ%29f6", 2762386)</f>
        <v>2762386</v>
      </c>
      <c r="C405" s="2">
        <f>HYPERLINK("https://platform.v2.vetology.net/report/v/final/"&amp;2762386, 2762386)</f>
        <v>2762386</v>
      </c>
      <c r="D405" s="2" t="s">
        <v>1439</v>
      </c>
      <c r="E405" s="2" t="s">
        <v>1440</v>
      </c>
      <c r="F405" s="2" t="s">
        <v>1441</v>
      </c>
      <c r="G405" s="2" t="s">
        <v>53</v>
      </c>
      <c r="H405" s="2" t="s">
        <v>1442</v>
      </c>
      <c r="I405" s="2" t="s">
        <v>36</v>
      </c>
      <c r="J405" s="2" t="s">
        <v>37</v>
      </c>
      <c r="K405" s="2" t="s">
        <v>39</v>
      </c>
      <c r="L405" s="2" t="s">
        <v>38</v>
      </c>
      <c r="M405" s="2" t="s">
        <v>38</v>
      </c>
      <c r="N405" s="2" t="s">
        <v>38</v>
      </c>
      <c r="O405" s="2" t="s">
        <v>38</v>
      </c>
      <c r="P405" s="2" t="s">
        <v>39</v>
      </c>
      <c r="Q405" s="2" t="s">
        <v>39</v>
      </c>
      <c r="R405" s="2" t="s">
        <v>38</v>
      </c>
      <c r="S405" s="2" t="s">
        <v>38</v>
      </c>
      <c r="T405" s="2" t="s">
        <v>38</v>
      </c>
      <c r="U405" s="2" t="s">
        <v>39</v>
      </c>
      <c r="V405" s="2" t="s">
        <v>39</v>
      </c>
      <c r="W405" s="2" t="s">
        <v>38</v>
      </c>
      <c r="X405" s="2" t="s">
        <v>39</v>
      </c>
      <c r="Y405" s="2" t="s">
        <v>38</v>
      </c>
      <c r="Z405" s="2" t="s">
        <v>38</v>
      </c>
      <c r="AA405" s="2" t="s">
        <v>38</v>
      </c>
      <c r="AB405" s="2" t="s">
        <v>38</v>
      </c>
      <c r="AC405" s="2" t="s">
        <v>38</v>
      </c>
      <c r="AD405" s="2" t="s">
        <v>38</v>
      </c>
      <c r="AE405" s="2" t="s">
        <v>39</v>
      </c>
    </row>
    <row r="406" spans="1:31" ht="409.5">
      <c r="A406" s="2">
        <v>2762371</v>
      </c>
      <c r="B406" s="2">
        <f>HYPERLINK("https://platform.v2.vetology.net/cases/2762371/screening-report/1?type=pdf&amp;v=v6&amp;scorecard=1&amp;secret_key=BX%25IJ%24%2F65ieZ%29f6", 2762371)</f>
        <v>2762371</v>
      </c>
      <c r="C406" s="2">
        <f>HYPERLINK("https://platform.v2.vetology.net/report/v/final/"&amp;2762371, 2762371)</f>
        <v>2762371</v>
      </c>
      <c r="D406" s="2" t="s">
        <v>1443</v>
      </c>
      <c r="E406" s="2" t="s">
        <v>1444</v>
      </c>
      <c r="F406" s="2" t="s">
        <v>1445</v>
      </c>
      <c r="G406" s="2" t="s">
        <v>556</v>
      </c>
      <c r="H406" s="2" t="s">
        <v>1446</v>
      </c>
      <c r="I406" s="2" t="s">
        <v>36</v>
      </c>
      <c r="J406" s="2" t="s">
        <v>37</v>
      </c>
      <c r="K406" s="2" t="s">
        <v>39</v>
      </c>
      <c r="L406" s="2" t="s">
        <v>39</v>
      </c>
      <c r="M406" s="2" t="s">
        <v>38</v>
      </c>
      <c r="N406" s="2" t="s">
        <v>39</v>
      </c>
      <c r="O406" s="2" t="s">
        <v>39</v>
      </c>
      <c r="P406" s="2" t="s">
        <v>39</v>
      </c>
      <c r="Q406" s="2" t="s">
        <v>38</v>
      </c>
      <c r="R406" s="2" t="s">
        <v>38</v>
      </c>
      <c r="S406" s="2" t="s">
        <v>39</v>
      </c>
      <c r="T406" s="2" t="s">
        <v>39</v>
      </c>
      <c r="U406" s="2" t="s">
        <v>39</v>
      </c>
      <c r="V406" s="2" t="s">
        <v>39</v>
      </c>
      <c r="W406" s="2" t="s">
        <v>38</v>
      </c>
      <c r="X406" s="2" t="s">
        <v>38</v>
      </c>
      <c r="Y406" s="2" t="s">
        <v>39</v>
      </c>
      <c r="Z406" s="2" t="s">
        <v>39</v>
      </c>
      <c r="AA406" s="2" t="s">
        <v>39</v>
      </c>
      <c r="AB406" s="2" t="s">
        <v>39</v>
      </c>
      <c r="AC406" s="2" t="s">
        <v>39</v>
      </c>
      <c r="AD406" s="2" t="s">
        <v>39</v>
      </c>
      <c r="AE406" s="2"/>
    </row>
    <row r="407" spans="1:31" ht="409.5">
      <c r="A407" s="2">
        <v>2762355</v>
      </c>
      <c r="B407" s="2">
        <f>HYPERLINK("https://platform.v2.vetology.net/cases/2762355/screening-report/1?type=pdf&amp;v=v6&amp;scorecard=1&amp;secret_key=BX%25IJ%24%2F65ieZ%29f6", 2762355)</f>
        <v>2762355</v>
      </c>
      <c r="C407" s="2">
        <f>HYPERLINK("https://platform.v2.vetology.net/report/v/final/"&amp;2762355, 2762355)</f>
        <v>2762355</v>
      </c>
      <c r="D407" s="2" t="s">
        <v>1447</v>
      </c>
      <c r="E407" s="2" t="s">
        <v>1448</v>
      </c>
      <c r="F407" s="2" t="s">
        <v>1449</v>
      </c>
      <c r="G407" s="2" t="s">
        <v>53</v>
      </c>
      <c r="H407" s="2" t="s">
        <v>1450</v>
      </c>
      <c r="I407" s="2" t="s">
        <v>73</v>
      </c>
      <c r="J407" s="2" t="s">
        <v>74</v>
      </c>
      <c r="K407" s="2" t="s">
        <v>38</v>
      </c>
      <c r="L407" s="2" t="s">
        <v>38</v>
      </c>
      <c r="M407" s="2" t="s">
        <v>38</v>
      </c>
      <c r="N407" s="2" t="s">
        <v>38</v>
      </c>
      <c r="O407" s="2" t="s">
        <v>38</v>
      </c>
      <c r="P407" s="2" t="s">
        <v>38</v>
      </c>
      <c r="Q407" s="2" t="s">
        <v>38</v>
      </c>
      <c r="R407" s="2" t="s">
        <v>38</v>
      </c>
      <c r="S407" s="2" t="s">
        <v>38</v>
      </c>
      <c r="T407" s="2" t="s">
        <v>38</v>
      </c>
      <c r="U407" s="2" t="s">
        <v>38</v>
      </c>
      <c r="V407" s="2" t="s">
        <v>38</v>
      </c>
      <c r="W407" s="2" t="s">
        <v>38</v>
      </c>
      <c r="X407" s="2" t="s">
        <v>38</v>
      </c>
      <c r="Y407" s="2" t="s">
        <v>38</v>
      </c>
      <c r="Z407" s="2" t="s">
        <v>38</v>
      </c>
      <c r="AA407" s="2" t="s">
        <v>38</v>
      </c>
      <c r="AB407" s="2" t="s">
        <v>38</v>
      </c>
      <c r="AC407" s="2" t="s">
        <v>38</v>
      </c>
      <c r="AD407" s="2" t="s">
        <v>38</v>
      </c>
      <c r="AE407" s="2" t="s">
        <v>39</v>
      </c>
    </row>
    <row r="408" spans="1:31" ht="409.5">
      <c r="A408" s="2">
        <v>2762343</v>
      </c>
      <c r="B408" s="2">
        <f>HYPERLINK("https://platform.v2.vetology.net/cases/2762343/screening-report/1?type=pdf&amp;v=v6&amp;scorecard=1&amp;secret_key=BX%25IJ%24%2F65ieZ%29f6", 2762343)</f>
        <v>2762343</v>
      </c>
      <c r="C408" s="2">
        <f>HYPERLINK("https://platform.v2.vetology.net/report/v/final/"&amp;2762343, 2762343)</f>
        <v>2762343</v>
      </c>
      <c r="D408" s="2" t="s">
        <v>1451</v>
      </c>
      <c r="E408" s="2" t="s">
        <v>1091</v>
      </c>
      <c r="F408" s="2" t="s">
        <v>787</v>
      </c>
      <c r="G408" s="2" t="s">
        <v>100</v>
      </c>
      <c r="H408" s="2" t="s">
        <v>1452</v>
      </c>
      <c r="I408" s="2" t="s">
        <v>36</v>
      </c>
      <c r="J408" s="2" t="s">
        <v>37</v>
      </c>
      <c r="K408" s="2" t="s">
        <v>38</v>
      </c>
      <c r="L408" s="2" t="s">
        <v>38</v>
      </c>
      <c r="M408" s="2" t="s">
        <v>38</v>
      </c>
      <c r="N408" s="2" t="s">
        <v>38</v>
      </c>
      <c r="O408" s="2" t="s">
        <v>38</v>
      </c>
      <c r="P408" s="2" t="s">
        <v>38</v>
      </c>
      <c r="Q408" s="2" t="s">
        <v>39</v>
      </c>
      <c r="R408" s="2" t="s">
        <v>38</v>
      </c>
      <c r="S408" s="2" t="s">
        <v>38</v>
      </c>
      <c r="T408" s="2" t="s">
        <v>38</v>
      </c>
      <c r="U408" s="2" t="s">
        <v>38</v>
      </c>
      <c r="V408" s="2" t="s">
        <v>38</v>
      </c>
      <c r="W408" s="2" t="s">
        <v>38</v>
      </c>
      <c r="X408" s="2" t="s">
        <v>38</v>
      </c>
      <c r="Y408" s="2" t="s">
        <v>38</v>
      </c>
      <c r="Z408" s="2" t="s">
        <v>38</v>
      </c>
      <c r="AA408" s="2" t="s">
        <v>38</v>
      </c>
      <c r="AB408" s="2" t="s">
        <v>39</v>
      </c>
      <c r="AC408" s="2" t="s">
        <v>38</v>
      </c>
      <c r="AD408" s="2" t="s">
        <v>38</v>
      </c>
      <c r="AE408" s="2" t="s">
        <v>40</v>
      </c>
    </row>
    <row r="409" spans="1:31" ht="409.5">
      <c r="A409" s="2">
        <v>2762338</v>
      </c>
      <c r="B409" s="2">
        <f>HYPERLINK("https://platform.v2.vetology.net/cases/2762338/screening-report/1?type=pdf&amp;v=v6&amp;scorecard=1&amp;secret_key=BX%25IJ%24%2F65ieZ%29f6", 2762338)</f>
        <v>2762338</v>
      </c>
      <c r="C409" s="2">
        <f>HYPERLINK("https://platform.v2.vetology.net/report/v/final/"&amp;2762338, 2762338)</f>
        <v>2762338</v>
      </c>
      <c r="D409" s="2" t="s">
        <v>1453</v>
      </c>
      <c r="E409" s="2" t="s">
        <v>1454</v>
      </c>
      <c r="F409" s="2" t="s">
        <v>43</v>
      </c>
      <c r="G409" s="2" t="s">
        <v>100</v>
      </c>
      <c r="H409" s="2" t="s">
        <v>1455</v>
      </c>
      <c r="I409" s="2" t="s">
        <v>36</v>
      </c>
      <c r="J409" s="2" t="s">
        <v>37</v>
      </c>
      <c r="K409" s="2" t="s">
        <v>39</v>
      </c>
      <c r="L409" s="2" t="s">
        <v>38</v>
      </c>
      <c r="M409" s="2" t="s">
        <v>39</v>
      </c>
      <c r="N409" s="2" t="s">
        <v>38</v>
      </c>
      <c r="O409" s="2" t="s">
        <v>38</v>
      </c>
      <c r="P409" s="2" t="s">
        <v>38</v>
      </c>
      <c r="Q409" s="2" t="s">
        <v>39</v>
      </c>
      <c r="R409" s="2" t="s">
        <v>38</v>
      </c>
      <c r="S409" s="2" t="s">
        <v>39</v>
      </c>
      <c r="T409" s="2" t="s">
        <v>39</v>
      </c>
      <c r="U409" s="2" t="s">
        <v>39</v>
      </c>
      <c r="V409" s="2" t="s">
        <v>39</v>
      </c>
      <c r="W409" s="2" t="s">
        <v>39</v>
      </c>
      <c r="X409" s="2" t="s">
        <v>39</v>
      </c>
      <c r="Y409" s="2" t="s">
        <v>39</v>
      </c>
      <c r="Z409" s="2" t="s">
        <v>39</v>
      </c>
      <c r="AA409" s="2" t="s">
        <v>39</v>
      </c>
      <c r="AB409" s="2" t="s">
        <v>39</v>
      </c>
      <c r="AC409" s="2" t="s">
        <v>38</v>
      </c>
      <c r="AD409" s="2" t="s">
        <v>38</v>
      </c>
      <c r="AE409" s="2" t="s">
        <v>39</v>
      </c>
    </row>
    <row r="410" spans="1:31" ht="409.5">
      <c r="A410" s="2">
        <v>2762327</v>
      </c>
      <c r="B410" s="2">
        <f>HYPERLINK("https://platform.v2.vetology.net/cases/2762327/screening-report/1?type=pdf&amp;v=v6&amp;scorecard=1&amp;secret_key=BX%25IJ%24%2F65ieZ%29f6", 2762327)</f>
        <v>2762327</v>
      </c>
      <c r="C410" s="2">
        <f>HYPERLINK("https://platform.v2.vetology.net/report/v/final/"&amp;2762327, 2762327)</f>
        <v>2762327</v>
      </c>
      <c r="D410" s="2" t="s">
        <v>1456</v>
      </c>
      <c r="E410" s="2" t="s">
        <v>1457</v>
      </c>
      <c r="F410" s="2"/>
      <c r="G410" s="2" t="s">
        <v>100</v>
      </c>
      <c r="H410" s="2" t="s">
        <v>45</v>
      </c>
      <c r="I410" s="2" t="s">
        <v>46</v>
      </c>
      <c r="J410" s="2"/>
      <c r="K410" s="2" t="s">
        <v>39</v>
      </c>
      <c r="L410" s="2" t="s">
        <v>39</v>
      </c>
      <c r="M410" s="2" t="s">
        <v>39</v>
      </c>
      <c r="N410" s="2" t="s">
        <v>39</v>
      </c>
      <c r="O410" s="2" t="s">
        <v>39</v>
      </c>
      <c r="P410" s="2" t="s">
        <v>39</v>
      </c>
      <c r="Q410" s="2" t="s">
        <v>39</v>
      </c>
      <c r="R410" s="2" t="s">
        <v>38</v>
      </c>
      <c r="S410" s="2" t="s">
        <v>39</v>
      </c>
      <c r="T410" s="2" t="s">
        <v>39</v>
      </c>
      <c r="U410" s="2" t="s">
        <v>39</v>
      </c>
      <c r="V410" s="2" t="s">
        <v>38</v>
      </c>
      <c r="W410" s="2" t="s">
        <v>38</v>
      </c>
      <c r="X410" s="2" t="s">
        <v>39</v>
      </c>
      <c r="Y410" s="2" t="s">
        <v>39</v>
      </c>
      <c r="Z410" s="2" t="s">
        <v>39</v>
      </c>
      <c r="AA410" s="2" t="s">
        <v>39</v>
      </c>
      <c r="AB410" s="2" t="s">
        <v>39</v>
      </c>
      <c r="AC410" s="2" t="s">
        <v>38</v>
      </c>
      <c r="AD410" s="2" t="s">
        <v>39</v>
      </c>
      <c r="AE410" s="2" t="s">
        <v>39</v>
      </c>
    </row>
    <row r="411" spans="1:31" ht="409.5">
      <c r="A411" s="2">
        <v>2762309</v>
      </c>
      <c r="B411" s="2">
        <f>HYPERLINK("https://platform.v2.vetology.net/cases/2762309/screening-report/1?type=pdf&amp;v=v6&amp;scorecard=1&amp;secret_key=BX%25IJ%24%2F65ieZ%29f6", 2762309)</f>
        <v>2762309</v>
      </c>
      <c r="C411" s="2">
        <f>HYPERLINK("https://platform.v2.vetology.net/report/v/final/"&amp;2762309, 2762309)</f>
        <v>2762309</v>
      </c>
      <c r="D411" s="2" t="s">
        <v>1458</v>
      </c>
      <c r="E411" s="2" t="s">
        <v>1459</v>
      </c>
      <c r="F411" s="2"/>
      <c r="G411" s="2" t="s">
        <v>1460</v>
      </c>
      <c r="H411" s="2" t="s">
        <v>1461</v>
      </c>
      <c r="I411" s="2" t="s">
        <v>73</v>
      </c>
      <c r="J411" s="2" t="s">
        <v>74</v>
      </c>
      <c r="K411" s="2" t="s">
        <v>38</v>
      </c>
      <c r="L411" s="2" t="s">
        <v>38</v>
      </c>
      <c r="M411" s="2" t="s">
        <v>39</v>
      </c>
      <c r="N411" s="2" t="s">
        <v>38</v>
      </c>
      <c r="O411" s="2" t="s">
        <v>38</v>
      </c>
      <c r="P411" s="2" t="s">
        <v>39</v>
      </c>
      <c r="Q411" s="2" t="s">
        <v>38</v>
      </c>
      <c r="R411" s="2" t="s">
        <v>39</v>
      </c>
      <c r="S411" s="2" t="s">
        <v>38</v>
      </c>
      <c r="T411" s="2" t="s">
        <v>39</v>
      </c>
      <c r="U411" s="2" t="s">
        <v>38</v>
      </c>
      <c r="V411" s="2" t="s">
        <v>38</v>
      </c>
      <c r="W411" s="2" t="s">
        <v>39</v>
      </c>
      <c r="X411" s="2" t="s">
        <v>39</v>
      </c>
      <c r="Y411" s="2" t="s">
        <v>39</v>
      </c>
      <c r="Z411" s="2" t="s">
        <v>39</v>
      </c>
      <c r="AA411" s="2" t="s">
        <v>39</v>
      </c>
      <c r="AB411" s="2" t="s">
        <v>39</v>
      </c>
      <c r="AC411" s="2" t="s">
        <v>39</v>
      </c>
      <c r="AD411" s="2" t="s">
        <v>38</v>
      </c>
      <c r="AE411" s="2" t="s">
        <v>39</v>
      </c>
    </row>
    <row r="412" spans="1:31" ht="409.5">
      <c r="A412" s="2">
        <v>2762168</v>
      </c>
      <c r="B412" s="2">
        <f>HYPERLINK("https://platform.v2.vetology.net/cases/2762168/screening-report/1?type=pdf&amp;v=v6&amp;scorecard=1&amp;secret_key=BX%25IJ%24%2F65ieZ%29f6", 2762168)</f>
        <v>2762168</v>
      </c>
      <c r="C412" s="2">
        <f>HYPERLINK("https://platform.v2.vetology.net/report/v/final/"&amp;2762168, 2762168)</f>
        <v>2762168</v>
      </c>
      <c r="D412" s="2" t="s">
        <v>1462</v>
      </c>
      <c r="E412" s="2" t="s">
        <v>1463</v>
      </c>
      <c r="F412" s="2" t="s">
        <v>1464</v>
      </c>
      <c r="G412" s="2" t="s">
        <v>53</v>
      </c>
      <c r="H412" s="2" t="s">
        <v>1465</v>
      </c>
      <c r="I412" s="2" t="s">
        <v>36</v>
      </c>
      <c r="J412" s="2" t="s">
        <v>37</v>
      </c>
      <c r="K412" s="2" t="s">
        <v>39</v>
      </c>
      <c r="L412" s="2" t="s">
        <v>38</v>
      </c>
      <c r="M412" s="2" t="s">
        <v>38</v>
      </c>
      <c r="N412" s="2" t="s">
        <v>38</v>
      </c>
      <c r="O412" s="2" t="s">
        <v>38</v>
      </c>
      <c r="P412" s="2" t="s">
        <v>38</v>
      </c>
      <c r="Q412" s="2" t="s">
        <v>39</v>
      </c>
      <c r="R412" s="2" t="s">
        <v>38</v>
      </c>
      <c r="S412" s="2" t="s">
        <v>38</v>
      </c>
      <c r="T412" s="2" t="s">
        <v>39</v>
      </c>
      <c r="U412" s="2" t="s">
        <v>38</v>
      </c>
      <c r="V412" s="2" t="s">
        <v>38</v>
      </c>
      <c r="W412" s="2" t="s">
        <v>38</v>
      </c>
      <c r="X412" s="2" t="s">
        <v>39</v>
      </c>
      <c r="Y412" s="2" t="s">
        <v>38</v>
      </c>
      <c r="Z412" s="2" t="s">
        <v>38</v>
      </c>
      <c r="AA412" s="2" t="s">
        <v>38</v>
      </c>
      <c r="AB412" s="2" t="s">
        <v>39</v>
      </c>
      <c r="AC412" s="2" t="s">
        <v>38</v>
      </c>
      <c r="AD412" s="2" t="s">
        <v>38</v>
      </c>
      <c r="AE412" s="2"/>
    </row>
    <row r="413" spans="1:31" ht="409.5">
      <c r="A413" s="2">
        <v>2762163</v>
      </c>
      <c r="B413" s="2">
        <f>HYPERLINK("https://platform.v2.vetology.net/cases/2762163/screening-report/1?type=pdf&amp;v=v6&amp;scorecard=1&amp;secret_key=BX%25IJ%24%2F65ieZ%29f6", 2762163)</f>
        <v>2762163</v>
      </c>
      <c r="C413" s="2">
        <f>HYPERLINK("https://platform.v2.vetology.net/report/v/final/"&amp;2762163, 2762163)</f>
        <v>2762163</v>
      </c>
      <c r="D413" s="2" t="s">
        <v>1466</v>
      </c>
      <c r="E413" s="2" t="s">
        <v>1467</v>
      </c>
      <c r="F413" s="2" t="s">
        <v>1468</v>
      </c>
      <c r="G413" s="2" t="s">
        <v>127</v>
      </c>
      <c r="H413" s="2" t="s">
        <v>476</v>
      </c>
      <c r="I413" s="2" t="s">
        <v>36</v>
      </c>
      <c r="J413" s="2" t="s">
        <v>37</v>
      </c>
      <c r="K413" s="2" t="s">
        <v>39</v>
      </c>
      <c r="L413" s="2" t="s">
        <v>38</v>
      </c>
      <c r="M413" s="2" t="s">
        <v>39</v>
      </c>
      <c r="N413" s="2" t="s">
        <v>39</v>
      </c>
      <c r="O413" s="2" t="s">
        <v>39</v>
      </c>
      <c r="P413" s="2" t="s">
        <v>38</v>
      </c>
      <c r="Q413" s="2" t="s">
        <v>39</v>
      </c>
      <c r="R413" s="2" t="s">
        <v>39</v>
      </c>
      <c r="S413" s="2" t="s">
        <v>39</v>
      </c>
      <c r="T413" s="2" t="s">
        <v>39</v>
      </c>
      <c r="U413" s="2" t="s">
        <v>39</v>
      </c>
      <c r="V413" s="2" t="s">
        <v>39</v>
      </c>
      <c r="W413" s="2" t="s">
        <v>39</v>
      </c>
      <c r="X413" s="2" t="s">
        <v>39</v>
      </c>
      <c r="Y413" s="2" t="s">
        <v>39</v>
      </c>
      <c r="Z413" s="2" t="s">
        <v>39</v>
      </c>
      <c r="AA413" s="2" t="s">
        <v>39</v>
      </c>
      <c r="AB413" s="2" t="s">
        <v>39</v>
      </c>
      <c r="AC413" s="2" t="s">
        <v>39</v>
      </c>
      <c r="AD413" s="2" t="s">
        <v>38</v>
      </c>
      <c r="AE413" s="2" t="s">
        <v>40</v>
      </c>
    </row>
    <row r="414" spans="1:31" ht="409.5">
      <c r="A414" s="2">
        <v>2762154</v>
      </c>
      <c r="B414" s="2">
        <f>HYPERLINK("https://platform.v2.vetology.net/cases/2762154/screening-report/1?type=pdf&amp;v=v6&amp;scorecard=1&amp;secret_key=BX%25IJ%24%2F65ieZ%29f6", 2762154)</f>
        <v>2762154</v>
      </c>
      <c r="C414" s="2">
        <f>HYPERLINK("https://platform.v2.vetology.net/report/v/final/"&amp;2762154, 2762154)</f>
        <v>2762154</v>
      </c>
      <c r="D414" s="2" t="s">
        <v>1469</v>
      </c>
      <c r="E414" s="2" t="s">
        <v>1470</v>
      </c>
      <c r="F414" s="2" t="s">
        <v>1471</v>
      </c>
      <c r="G414" s="2" t="s">
        <v>53</v>
      </c>
      <c r="H414" s="2" t="s">
        <v>1472</v>
      </c>
      <c r="I414" s="2" t="s">
        <v>36</v>
      </c>
      <c r="J414" s="2" t="s">
        <v>37</v>
      </c>
      <c r="K414" s="2" t="s">
        <v>39</v>
      </c>
      <c r="L414" s="2" t="s">
        <v>39</v>
      </c>
      <c r="M414" s="2" t="s">
        <v>39</v>
      </c>
      <c r="N414" s="2" t="s">
        <v>39</v>
      </c>
      <c r="O414" s="2" t="s">
        <v>39</v>
      </c>
      <c r="P414" s="2" t="s">
        <v>38</v>
      </c>
      <c r="Q414" s="2" t="s">
        <v>39</v>
      </c>
      <c r="R414" s="2" t="s">
        <v>39</v>
      </c>
      <c r="S414" s="2" t="s">
        <v>39</v>
      </c>
      <c r="T414" s="2" t="s">
        <v>38</v>
      </c>
      <c r="U414" s="2" t="s">
        <v>39</v>
      </c>
      <c r="V414" s="2" t="s">
        <v>38</v>
      </c>
      <c r="W414" s="2" t="s">
        <v>38</v>
      </c>
      <c r="X414" s="2" t="s">
        <v>39</v>
      </c>
      <c r="Y414" s="2" t="s">
        <v>39</v>
      </c>
      <c r="Z414" s="2" t="s">
        <v>38</v>
      </c>
      <c r="AA414" s="2" t="s">
        <v>39</v>
      </c>
      <c r="AB414" s="2" t="s">
        <v>39</v>
      </c>
      <c r="AC414" s="2" t="s">
        <v>38</v>
      </c>
      <c r="AD414" s="2" t="s">
        <v>39</v>
      </c>
      <c r="AE414" s="2" t="s">
        <v>39</v>
      </c>
    </row>
    <row r="415" spans="1:31" ht="409.5">
      <c r="A415" s="2">
        <v>2762152</v>
      </c>
      <c r="B415" s="2">
        <f>HYPERLINK("https://platform.v2.vetology.net/cases/2762152/screening-report/1?type=pdf&amp;v=v6&amp;scorecard=1&amp;secret_key=BX%25IJ%24%2F65ieZ%29f6", 2762152)</f>
        <v>2762152</v>
      </c>
      <c r="C415" s="2">
        <f>HYPERLINK("https://platform.v2.vetology.net/report/v/final/"&amp;2762152, 2762152)</f>
        <v>2762152</v>
      </c>
      <c r="D415" s="2" t="s">
        <v>1473</v>
      </c>
      <c r="E415" s="2" t="s">
        <v>1474</v>
      </c>
      <c r="F415" s="2" t="s">
        <v>1475</v>
      </c>
      <c r="G415" s="2" t="s">
        <v>53</v>
      </c>
      <c r="H415" s="2" t="s">
        <v>1476</v>
      </c>
      <c r="I415" s="2" t="s">
        <v>36</v>
      </c>
      <c r="J415" s="2" t="s">
        <v>37</v>
      </c>
      <c r="K415" s="2" t="s">
        <v>39</v>
      </c>
      <c r="L415" s="2" t="s">
        <v>38</v>
      </c>
      <c r="M415" s="2" t="s">
        <v>38</v>
      </c>
      <c r="N415" s="2" t="s">
        <v>38</v>
      </c>
      <c r="O415" s="2" t="s">
        <v>38</v>
      </c>
      <c r="P415" s="2" t="s">
        <v>39</v>
      </c>
      <c r="Q415" s="2" t="s">
        <v>39</v>
      </c>
      <c r="R415" s="2" t="s">
        <v>38</v>
      </c>
      <c r="S415" s="2" t="s">
        <v>38</v>
      </c>
      <c r="T415" s="2" t="s">
        <v>38</v>
      </c>
      <c r="U415" s="2" t="s">
        <v>39</v>
      </c>
      <c r="V415" s="2" t="s">
        <v>39</v>
      </c>
      <c r="W415" s="2" t="s">
        <v>38</v>
      </c>
      <c r="X415" s="2" t="s">
        <v>39</v>
      </c>
      <c r="Y415" s="2" t="s">
        <v>39</v>
      </c>
      <c r="Z415" s="2" t="s">
        <v>38</v>
      </c>
      <c r="AA415" s="2" t="s">
        <v>38</v>
      </c>
      <c r="AB415" s="2" t="s">
        <v>39</v>
      </c>
      <c r="AC415" s="2" t="s">
        <v>38</v>
      </c>
      <c r="AD415" s="2" t="s">
        <v>38</v>
      </c>
      <c r="AE415" s="2" t="s">
        <v>39</v>
      </c>
    </row>
    <row r="416" spans="1:31" ht="409.5">
      <c r="A416" s="2">
        <v>2762151</v>
      </c>
      <c r="B416" s="2">
        <f>HYPERLINK("https://platform.v2.vetology.net/cases/2762151/screening-report/1?type=pdf&amp;v=v6&amp;scorecard=1&amp;secret_key=BX%25IJ%24%2F65ieZ%29f6", 2762151)</f>
        <v>2762151</v>
      </c>
      <c r="C416" s="2">
        <f>HYPERLINK("https://platform.v2.vetology.net/report/v/final/"&amp;2762151, 2762151)</f>
        <v>2762151</v>
      </c>
      <c r="D416" s="2" t="s">
        <v>1477</v>
      </c>
      <c r="E416" s="2" t="s">
        <v>1478</v>
      </c>
      <c r="F416" s="2" t="s">
        <v>1479</v>
      </c>
      <c r="G416" s="2" t="s">
        <v>145</v>
      </c>
      <c r="H416" s="2" t="s">
        <v>1480</v>
      </c>
      <c r="I416" s="2" t="s">
        <v>36</v>
      </c>
      <c r="J416" s="2" t="s">
        <v>37</v>
      </c>
      <c r="K416" s="2" t="s">
        <v>39</v>
      </c>
      <c r="L416" s="2" t="s">
        <v>38</v>
      </c>
      <c r="M416" s="2" t="s">
        <v>38</v>
      </c>
      <c r="N416" s="2" t="s">
        <v>39</v>
      </c>
      <c r="O416" s="2" t="s">
        <v>38</v>
      </c>
      <c r="P416" s="2" t="s">
        <v>39</v>
      </c>
      <c r="Q416" s="2" t="s">
        <v>39</v>
      </c>
      <c r="R416" s="2" t="s">
        <v>39</v>
      </c>
      <c r="S416" s="2" t="s">
        <v>39</v>
      </c>
      <c r="T416" s="2" t="s">
        <v>39</v>
      </c>
      <c r="U416" s="2" t="s">
        <v>39</v>
      </c>
      <c r="V416" s="2" t="s">
        <v>39</v>
      </c>
      <c r="W416" s="2" t="s">
        <v>39</v>
      </c>
      <c r="X416" s="2" t="s">
        <v>39</v>
      </c>
      <c r="Y416" s="2" t="s">
        <v>39</v>
      </c>
      <c r="Z416" s="2" t="s">
        <v>39</v>
      </c>
      <c r="AA416" s="2" t="s">
        <v>39</v>
      </c>
      <c r="AB416" s="2" t="s">
        <v>39</v>
      </c>
      <c r="AC416" s="2" t="s">
        <v>39</v>
      </c>
      <c r="AD416" s="2" t="s">
        <v>39</v>
      </c>
      <c r="AE416" s="2"/>
    </row>
    <row r="417" spans="1:31" ht="409.5">
      <c r="A417" s="2">
        <v>2762148</v>
      </c>
      <c r="B417" s="2">
        <f>HYPERLINK("https://platform.v2.vetology.net/cases/2762148/screening-report/1?type=pdf&amp;v=v6&amp;scorecard=1&amp;secret_key=BX%25IJ%24%2F65ieZ%29f6", 2762148)</f>
        <v>2762148</v>
      </c>
      <c r="C417" s="2">
        <f>HYPERLINK("https://platform.v2.vetology.net/report/v/final/"&amp;2762148, 2762148)</f>
        <v>2762148</v>
      </c>
      <c r="D417" s="2" t="s">
        <v>1481</v>
      </c>
      <c r="E417" s="2" t="s">
        <v>1482</v>
      </c>
      <c r="F417" s="2"/>
      <c r="G417" s="2" t="s">
        <v>507</v>
      </c>
      <c r="H417" s="2" t="s">
        <v>408</v>
      </c>
      <c r="I417" s="2" t="s">
        <v>36</v>
      </c>
      <c r="J417" s="2" t="s">
        <v>37</v>
      </c>
      <c r="K417" s="2" t="s">
        <v>38</v>
      </c>
      <c r="L417" s="2" t="s">
        <v>39</v>
      </c>
      <c r="M417" s="2" t="s">
        <v>38</v>
      </c>
      <c r="N417" s="2" t="s">
        <v>38</v>
      </c>
      <c r="O417" s="2" t="s">
        <v>39</v>
      </c>
      <c r="P417" s="2" t="s">
        <v>39</v>
      </c>
      <c r="Q417" s="2" t="s">
        <v>39</v>
      </c>
      <c r="R417" s="2" t="s">
        <v>39</v>
      </c>
      <c r="S417" s="2" t="s">
        <v>39</v>
      </c>
      <c r="T417" s="2" t="s">
        <v>38</v>
      </c>
      <c r="U417" s="2" t="s">
        <v>39</v>
      </c>
      <c r="V417" s="2" t="s">
        <v>38</v>
      </c>
      <c r="W417" s="2" t="s">
        <v>39</v>
      </c>
      <c r="X417" s="2" t="s">
        <v>39</v>
      </c>
      <c r="Y417" s="2" t="s">
        <v>39</v>
      </c>
      <c r="Z417" s="2" t="s">
        <v>38</v>
      </c>
      <c r="AA417" s="2" t="s">
        <v>39</v>
      </c>
      <c r="AB417" s="2" t="s">
        <v>39</v>
      </c>
      <c r="AC417" s="2" t="s">
        <v>38</v>
      </c>
      <c r="AD417" s="2" t="s">
        <v>38</v>
      </c>
      <c r="AE417" s="2" t="s">
        <v>39</v>
      </c>
    </row>
    <row r="418" spans="1:31" ht="409.5">
      <c r="A418" s="2">
        <v>2762144</v>
      </c>
      <c r="B418" s="2">
        <f>HYPERLINK("https://platform.v2.vetology.net/cases/2762144/screening-report/1?type=pdf&amp;v=v6&amp;scorecard=1&amp;secret_key=BX%25IJ%24%2F65ieZ%29f6", 2762144)</f>
        <v>2762144</v>
      </c>
      <c r="C418" s="2">
        <f>HYPERLINK("https://platform.v2.vetology.net/report/v/final/"&amp;2762144, 2762144)</f>
        <v>2762144</v>
      </c>
      <c r="D418" s="2" t="s">
        <v>1483</v>
      </c>
      <c r="E418" s="2" t="s">
        <v>1484</v>
      </c>
      <c r="F418" s="2" t="s">
        <v>1485</v>
      </c>
      <c r="G418" s="2" t="s">
        <v>111</v>
      </c>
      <c r="H418" s="2" t="s">
        <v>1486</v>
      </c>
      <c r="I418" s="2" t="s">
        <v>36</v>
      </c>
      <c r="J418" s="2" t="s">
        <v>37</v>
      </c>
      <c r="K418" s="2" t="s">
        <v>38</v>
      </c>
      <c r="L418" s="2" t="s">
        <v>38</v>
      </c>
      <c r="M418" s="2" t="s">
        <v>38</v>
      </c>
      <c r="N418" s="2" t="s">
        <v>38</v>
      </c>
      <c r="O418" s="2" t="s">
        <v>38</v>
      </c>
      <c r="P418" s="2" t="s">
        <v>38</v>
      </c>
      <c r="Q418" s="2" t="s">
        <v>39</v>
      </c>
      <c r="R418" s="2" t="s">
        <v>38</v>
      </c>
      <c r="S418" s="2" t="s">
        <v>38</v>
      </c>
      <c r="T418" s="2" t="s">
        <v>38</v>
      </c>
      <c r="U418" s="2" t="s">
        <v>38</v>
      </c>
      <c r="V418" s="2" t="s">
        <v>39</v>
      </c>
      <c r="W418" s="2" t="s">
        <v>38</v>
      </c>
      <c r="X418" s="2" t="s">
        <v>39</v>
      </c>
      <c r="Y418" s="2" t="s">
        <v>39</v>
      </c>
      <c r="Z418" s="2" t="s">
        <v>38</v>
      </c>
      <c r="AA418" s="2" t="s">
        <v>38</v>
      </c>
      <c r="AB418" s="2" t="s">
        <v>39</v>
      </c>
      <c r="AC418" s="2" t="s">
        <v>38</v>
      </c>
      <c r="AD418" s="2" t="s">
        <v>38</v>
      </c>
      <c r="AE418" s="2" t="s">
        <v>39</v>
      </c>
    </row>
    <row r="419" spans="1:31" ht="409.5">
      <c r="A419" s="2">
        <v>2762138</v>
      </c>
      <c r="B419" s="2">
        <f>HYPERLINK("https://platform.v2.vetology.net/cases/2762138/screening-report/1?type=pdf&amp;v=v6&amp;scorecard=1&amp;secret_key=BX%25IJ%24%2F65ieZ%29f6", 2762138)</f>
        <v>2762138</v>
      </c>
      <c r="C419" s="2">
        <f>HYPERLINK("https://platform.v2.vetology.net/report/v/final/"&amp;2762138, 2762138)</f>
        <v>2762138</v>
      </c>
      <c r="D419" s="2" t="s">
        <v>1487</v>
      </c>
      <c r="E419" s="2" t="s">
        <v>1488</v>
      </c>
      <c r="F419" s="2" t="s">
        <v>1489</v>
      </c>
      <c r="G419" s="2" t="s">
        <v>556</v>
      </c>
      <c r="H419" s="2" t="s">
        <v>1490</v>
      </c>
      <c r="I419" s="2" t="s">
        <v>36</v>
      </c>
      <c r="J419" s="2" t="s">
        <v>37</v>
      </c>
      <c r="K419" s="2" t="s">
        <v>38</v>
      </c>
      <c r="L419" s="2" t="s">
        <v>38</v>
      </c>
      <c r="M419" s="2" t="s">
        <v>39</v>
      </c>
      <c r="N419" s="2" t="s">
        <v>38</v>
      </c>
      <c r="O419" s="2" t="s">
        <v>38</v>
      </c>
      <c r="P419" s="2" t="s">
        <v>38</v>
      </c>
      <c r="Q419" s="2" t="s">
        <v>39</v>
      </c>
      <c r="R419" s="2" t="s">
        <v>39</v>
      </c>
      <c r="S419" s="2" t="s">
        <v>38</v>
      </c>
      <c r="T419" s="2" t="s">
        <v>39</v>
      </c>
      <c r="U419" s="2" t="s">
        <v>39</v>
      </c>
      <c r="V419" s="2" t="s">
        <v>38</v>
      </c>
      <c r="W419" s="2" t="s">
        <v>38</v>
      </c>
      <c r="X419" s="2" t="s">
        <v>39</v>
      </c>
      <c r="Y419" s="2" t="s">
        <v>39</v>
      </c>
      <c r="Z419" s="2" t="s">
        <v>38</v>
      </c>
      <c r="AA419" s="2" t="s">
        <v>38</v>
      </c>
      <c r="AB419" s="2" t="s">
        <v>39</v>
      </c>
      <c r="AC419" s="2" t="s">
        <v>38</v>
      </c>
      <c r="AD419" s="2" t="s">
        <v>38</v>
      </c>
      <c r="AE419" s="2" t="s">
        <v>39</v>
      </c>
    </row>
    <row r="420" spans="1:31" ht="409.5">
      <c r="A420" s="2">
        <v>2762131</v>
      </c>
      <c r="B420" s="2">
        <f>HYPERLINK("https://platform.v2.vetology.net/cases/2762131/screening-report/1?type=pdf&amp;v=v6&amp;scorecard=1&amp;secret_key=BX%25IJ%24%2F65ieZ%29f6", 2762131)</f>
        <v>2762131</v>
      </c>
      <c r="C420" s="2">
        <f>HYPERLINK("https://platform.v2.vetology.net/report/v/final/"&amp;2762131, 2762131)</f>
        <v>2762131</v>
      </c>
      <c r="D420" s="2" t="s">
        <v>1491</v>
      </c>
      <c r="E420" s="2" t="s">
        <v>1492</v>
      </c>
      <c r="F420" s="2" t="s">
        <v>43</v>
      </c>
      <c r="G420" s="2" t="s">
        <v>44</v>
      </c>
      <c r="H420" s="2" t="s">
        <v>1493</v>
      </c>
      <c r="I420" s="2" t="s">
        <v>73</v>
      </c>
      <c r="J420" s="2" t="s">
        <v>74</v>
      </c>
      <c r="K420" s="2" t="s">
        <v>38</v>
      </c>
      <c r="L420" s="2" t="s">
        <v>38</v>
      </c>
      <c r="M420" s="2" t="s">
        <v>38</v>
      </c>
      <c r="N420" s="2" t="s">
        <v>38</v>
      </c>
      <c r="O420" s="2" t="s">
        <v>38</v>
      </c>
      <c r="P420" s="2" t="s">
        <v>38</v>
      </c>
      <c r="Q420" s="2" t="s">
        <v>38</v>
      </c>
      <c r="R420" s="2" t="s">
        <v>38</v>
      </c>
      <c r="S420" s="2" t="s">
        <v>38</v>
      </c>
      <c r="T420" s="2" t="s">
        <v>38</v>
      </c>
      <c r="U420" s="2" t="s">
        <v>38</v>
      </c>
      <c r="V420" s="2" t="s">
        <v>38</v>
      </c>
      <c r="W420" s="2" t="s">
        <v>38</v>
      </c>
      <c r="X420" s="2" t="s">
        <v>38</v>
      </c>
      <c r="Y420" s="2" t="s">
        <v>38</v>
      </c>
      <c r="Z420" s="2" t="s">
        <v>38</v>
      </c>
      <c r="AA420" s="2" t="s">
        <v>38</v>
      </c>
      <c r="AB420" s="2" t="s">
        <v>38</v>
      </c>
      <c r="AC420" s="2" t="s">
        <v>38</v>
      </c>
      <c r="AD420" s="2" t="s">
        <v>38</v>
      </c>
      <c r="AE420" s="2" t="s">
        <v>39</v>
      </c>
    </row>
    <row r="421" spans="1:31" ht="409.5">
      <c r="A421" s="2">
        <v>2762115</v>
      </c>
      <c r="B421" s="2">
        <f>HYPERLINK("https://platform.v2.vetology.net/cases/2762115/screening-report/1?type=pdf&amp;v=v6&amp;scorecard=1&amp;secret_key=BX%25IJ%24%2F65ieZ%29f6", 2762115)</f>
        <v>2762115</v>
      </c>
      <c r="C421" s="2">
        <f>HYPERLINK("https://platform.v2.vetology.net/report/v/final/"&amp;2762115, 2762115)</f>
        <v>2762115</v>
      </c>
      <c r="D421" s="2" t="s">
        <v>1494</v>
      </c>
      <c r="E421" s="2" t="s">
        <v>1495</v>
      </c>
      <c r="F421" s="2" t="s">
        <v>43</v>
      </c>
      <c r="G421" s="2" t="s">
        <v>44</v>
      </c>
      <c r="H421" s="2" t="s">
        <v>1496</v>
      </c>
      <c r="I421" s="2" t="s">
        <v>36</v>
      </c>
      <c r="J421" s="2" t="s">
        <v>37</v>
      </c>
      <c r="K421" s="2" t="s">
        <v>39</v>
      </c>
      <c r="L421" s="2" t="s">
        <v>38</v>
      </c>
      <c r="M421" s="2" t="s">
        <v>38</v>
      </c>
      <c r="N421" s="2" t="s">
        <v>38</v>
      </c>
      <c r="O421" s="2" t="s">
        <v>38</v>
      </c>
      <c r="P421" s="2" t="s">
        <v>38</v>
      </c>
      <c r="Q421" s="2" t="s">
        <v>39</v>
      </c>
      <c r="R421" s="2" t="s">
        <v>39</v>
      </c>
      <c r="S421" s="2" t="s">
        <v>38</v>
      </c>
      <c r="T421" s="2" t="s">
        <v>38</v>
      </c>
      <c r="U421" s="2" t="s">
        <v>39</v>
      </c>
      <c r="V421" s="2" t="s">
        <v>38</v>
      </c>
      <c r="W421" s="2" t="s">
        <v>38</v>
      </c>
      <c r="X421" s="2" t="s">
        <v>39</v>
      </c>
      <c r="Y421" s="2" t="s">
        <v>39</v>
      </c>
      <c r="Z421" s="2" t="s">
        <v>38</v>
      </c>
      <c r="AA421" s="2" t="s">
        <v>39</v>
      </c>
      <c r="AB421" s="2" t="s">
        <v>38</v>
      </c>
      <c r="AC421" s="2" t="s">
        <v>38</v>
      </c>
      <c r="AD421" s="2" t="s">
        <v>38</v>
      </c>
      <c r="AE421" s="2" t="s">
        <v>39</v>
      </c>
    </row>
    <row r="422" spans="1:31" ht="409.5">
      <c r="A422" s="2">
        <v>2762111</v>
      </c>
      <c r="B422" s="2">
        <f>HYPERLINK("https://platform.v2.vetology.net/cases/2762111/screening-report/1?type=pdf&amp;v=v6&amp;scorecard=1&amp;secret_key=BX%25IJ%24%2F65ieZ%29f6", 2762111)</f>
        <v>2762111</v>
      </c>
      <c r="C422" s="2">
        <f>HYPERLINK("https://platform.v2.vetology.net/report/v/final/"&amp;2762111, 2762111)</f>
        <v>2762111</v>
      </c>
      <c r="D422" s="2" t="s">
        <v>1497</v>
      </c>
      <c r="E422" s="2" t="s">
        <v>513</v>
      </c>
      <c r="F422" s="2" t="s">
        <v>1498</v>
      </c>
      <c r="G422" s="2" t="s">
        <v>111</v>
      </c>
      <c r="H422" s="2" t="s">
        <v>182</v>
      </c>
      <c r="I422" s="2" t="s">
        <v>46</v>
      </c>
      <c r="J422" s="2"/>
      <c r="K422" s="2" t="s">
        <v>38</v>
      </c>
      <c r="L422" s="2" t="s">
        <v>39</v>
      </c>
      <c r="M422" s="2" t="s">
        <v>39</v>
      </c>
      <c r="N422" s="2" t="s">
        <v>39</v>
      </c>
      <c r="O422" s="2" t="s">
        <v>39</v>
      </c>
      <c r="P422" s="2" t="s">
        <v>39</v>
      </c>
      <c r="Q422" s="2" t="s">
        <v>39</v>
      </c>
      <c r="R422" s="2" t="s">
        <v>38</v>
      </c>
      <c r="S422" s="2" t="s">
        <v>39</v>
      </c>
      <c r="T422" s="2" t="s">
        <v>38</v>
      </c>
      <c r="U422" s="2" t="s">
        <v>39</v>
      </c>
      <c r="V422" s="2" t="s">
        <v>38</v>
      </c>
      <c r="W422" s="2" t="s">
        <v>38</v>
      </c>
      <c r="X422" s="2" t="s">
        <v>39</v>
      </c>
      <c r="Y422" s="2" t="s">
        <v>39</v>
      </c>
      <c r="Z422" s="2" t="s">
        <v>38</v>
      </c>
      <c r="AA422" s="2" t="s">
        <v>39</v>
      </c>
      <c r="AB422" s="2" t="s">
        <v>39</v>
      </c>
      <c r="AC422" s="2" t="s">
        <v>38</v>
      </c>
      <c r="AD422" s="2" t="s">
        <v>39</v>
      </c>
      <c r="AE422" s="2" t="s">
        <v>39</v>
      </c>
    </row>
    <row r="423" spans="1:31" ht="409.5">
      <c r="A423" s="2">
        <v>2762105</v>
      </c>
      <c r="B423" s="2">
        <f>HYPERLINK("https://platform.v2.vetology.net/cases/2762105/screening-report/1?type=pdf&amp;v=v6&amp;scorecard=1&amp;secret_key=BX%25IJ%24%2F65ieZ%29f6", 2762105)</f>
        <v>2762105</v>
      </c>
      <c r="C423" s="2">
        <f>HYPERLINK("https://platform.v2.vetology.net/report/v/final/"&amp;2762105, 2762105)</f>
        <v>2762105</v>
      </c>
      <c r="D423" s="2" t="s">
        <v>1499</v>
      </c>
      <c r="E423" s="2" t="s">
        <v>1500</v>
      </c>
      <c r="F423" s="2" t="s">
        <v>1501</v>
      </c>
      <c r="G423" s="2" t="s">
        <v>34</v>
      </c>
      <c r="H423" s="2" t="s">
        <v>1446</v>
      </c>
      <c r="I423" s="2" t="s">
        <v>36</v>
      </c>
      <c r="J423" s="2" t="s">
        <v>37</v>
      </c>
      <c r="K423" s="2" t="s">
        <v>39</v>
      </c>
      <c r="L423" s="2" t="s">
        <v>39</v>
      </c>
      <c r="M423" s="2" t="s">
        <v>38</v>
      </c>
      <c r="N423" s="2" t="s">
        <v>39</v>
      </c>
      <c r="O423" s="2" t="s">
        <v>39</v>
      </c>
      <c r="P423" s="2" t="s">
        <v>39</v>
      </c>
      <c r="Q423" s="2" t="s">
        <v>39</v>
      </c>
      <c r="R423" s="2" t="s">
        <v>38</v>
      </c>
      <c r="S423" s="2" t="s">
        <v>39</v>
      </c>
      <c r="T423" s="2" t="s">
        <v>38</v>
      </c>
      <c r="U423" s="2" t="s">
        <v>38</v>
      </c>
      <c r="V423" s="2" t="s">
        <v>38</v>
      </c>
      <c r="W423" s="2" t="s">
        <v>38</v>
      </c>
      <c r="X423" s="2" t="s">
        <v>39</v>
      </c>
      <c r="Y423" s="2" t="s">
        <v>38</v>
      </c>
      <c r="Z423" s="2" t="s">
        <v>38</v>
      </c>
      <c r="AA423" s="2" t="s">
        <v>38</v>
      </c>
      <c r="AB423" s="2" t="s">
        <v>39</v>
      </c>
      <c r="AC423" s="2" t="s">
        <v>38</v>
      </c>
      <c r="AD423" s="2" t="s">
        <v>39</v>
      </c>
      <c r="AE423" s="2" t="s">
        <v>40</v>
      </c>
    </row>
    <row r="424" spans="1:31" ht="409.5">
      <c r="A424" s="2">
        <v>2762103</v>
      </c>
      <c r="B424" s="2">
        <f>HYPERLINK("https://platform.v2.vetology.net/cases/2762103/screening-report/1?type=pdf&amp;v=v6&amp;scorecard=1&amp;secret_key=BX%25IJ%24%2F65ieZ%29f6", 2762103)</f>
        <v>2762103</v>
      </c>
      <c r="C424" s="2">
        <f>HYPERLINK("https://platform.v2.vetology.net/report/v/final/"&amp;2762103, 2762103)</f>
        <v>2762103</v>
      </c>
      <c r="D424" s="2" t="s">
        <v>1502</v>
      </c>
      <c r="E424" s="2" t="s">
        <v>1503</v>
      </c>
      <c r="F424" s="2" t="s">
        <v>1504</v>
      </c>
      <c r="G424" s="2" t="s">
        <v>53</v>
      </c>
      <c r="H424" s="2" t="s">
        <v>1505</v>
      </c>
      <c r="I424" s="2" t="s">
        <v>36</v>
      </c>
      <c r="J424" s="2" t="s">
        <v>37</v>
      </c>
      <c r="K424" s="2" t="s">
        <v>39</v>
      </c>
      <c r="L424" s="2" t="s">
        <v>38</v>
      </c>
      <c r="M424" s="2" t="s">
        <v>38</v>
      </c>
      <c r="N424" s="2" t="s">
        <v>38</v>
      </c>
      <c r="O424" s="2" t="s">
        <v>38</v>
      </c>
      <c r="P424" s="2" t="s">
        <v>39</v>
      </c>
      <c r="Q424" s="2" t="s">
        <v>39</v>
      </c>
      <c r="R424" s="2" t="s">
        <v>39</v>
      </c>
      <c r="S424" s="2" t="s">
        <v>38</v>
      </c>
      <c r="T424" s="2" t="s">
        <v>38</v>
      </c>
      <c r="U424" s="2" t="s">
        <v>39</v>
      </c>
      <c r="V424" s="2" t="s">
        <v>39</v>
      </c>
      <c r="W424" s="2" t="s">
        <v>38</v>
      </c>
      <c r="X424" s="2" t="s">
        <v>39</v>
      </c>
      <c r="Y424" s="2" t="s">
        <v>39</v>
      </c>
      <c r="Z424" s="2" t="s">
        <v>38</v>
      </c>
      <c r="AA424" s="2" t="s">
        <v>39</v>
      </c>
      <c r="AB424" s="2" t="s">
        <v>39</v>
      </c>
      <c r="AC424" s="2" t="s">
        <v>38</v>
      </c>
      <c r="AD424" s="2" t="s">
        <v>38</v>
      </c>
      <c r="AE424" s="2" t="s">
        <v>39</v>
      </c>
    </row>
    <row r="425" spans="1:31" ht="409.5">
      <c r="A425" s="2">
        <v>2762049</v>
      </c>
      <c r="B425" s="2">
        <f>HYPERLINK("https://platform.v2.vetology.net/cases/2762049/screening-report/1?type=pdf&amp;v=v6&amp;scorecard=1&amp;secret_key=BX%25IJ%24%2F65ieZ%29f6", 2762049)</f>
        <v>2762049</v>
      </c>
      <c r="C425" s="2">
        <f>HYPERLINK("https://platform.v2.vetology.net/report/v/final/"&amp;2762049, 2762049)</f>
        <v>2762049</v>
      </c>
      <c r="D425" s="2" t="s">
        <v>1506</v>
      </c>
      <c r="E425" s="2" t="s">
        <v>1507</v>
      </c>
      <c r="F425" s="2" t="s">
        <v>43</v>
      </c>
      <c r="G425" s="2" t="s">
        <v>100</v>
      </c>
      <c r="H425" s="2" t="s">
        <v>1508</v>
      </c>
      <c r="I425" s="2" t="s">
        <v>129</v>
      </c>
      <c r="J425" s="2" t="s">
        <v>74</v>
      </c>
      <c r="K425" s="2" t="s">
        <v>39</v>
      </c>
      <c r="L425" s="2" t="s">
        <v>38</v>
      </c>
      <c r="M425" s="2" t="s">
        <v>38</v>
      </c>
      <c r="N425" s="2" t="s">
        <v>38</v>
      </c>
      <c r="O425" s="2" t="s">
        <v>38</v>
      </c>
      <c r="P425" s="2" t="s">
        <v>38</v>
      </c>
      <c r="Q425" s="2" t="s">
        <v>38</v>
      </c>
      <c r="R425" s="2" t="s">
        <v>38</v>
      </c>
      <c r="S425" s="2" t="s">
        <v>38</v>
      </c>
      <c r="T425" s="2" t="s">
        <v>38</v>
      </c>
      <c r="U425" s="2" t="s">
        <v>39</v>
      </c>
      <c r="V425" s="2" t="s">
        <v>39</v>
      </c>
      <c r="W425" s="2" t="s">
        <v>38</v>
      </c>
      <c r="X425" s="2" t="s">
        <v>38</v>
      </c>
      <c r="Y425" s="2" t="s">
        <v>39</v>
      </c>
      <c r="Z425" s="2" t="s">
        <v>38</v>
      </c>
      <c r="AA425" s="2" t="s">
        <v>38</v>
      </c>
      <c r="AB425" s="2" t="s">
        <v>38</v>
      </c>
      <c r="AC425" s="2" t="s">
        <v>38</v>
      </c>
      <c r="AD425" s="2" t="s">
        <v>38</v>
      </c>
      <c r="AE425" s="2"/>
    </row>
    <row r="426" spans="1:31" ht="409.5">
      <c r="A426" s="2">
        <v>2762009</v>
      </c>
      <c r="B426" s="2">
        <f>HYPERLINK("https://platform.v2.vetology.net/cases/2762009/screening-report/1?type=pdf&amp;v=v6&amp;scorecard=1&amp;secret_key=BX%25IJ%24%2F65ieZ%29f6", 2762009)</f>
        <v>2762009</v>
      </c>
      <c r="C426" s="2">
        <f>HYPERLINK("https://platform.v2.vetology.net/report/v/final/"&amp;2762009, 2762009)</f>
        <v>2762009</v>
      </c>
      <c r="D426" s="2" t="s">
        <v>1509</v>
      </c>
      <c r="E426" s="2" t="s">
        <v>1510</v>
      </c>
      <c r="F426" s="2" t="s">
        <v>1511</v>
      </c>
      <c r="G426" s="2" t="s">
        <v>170</v>
      </c>
      <c r="H426" s="2" t="s">
        <v>611</v>
      </c>
      <c r="I426" s="2" t="s">
        <v>46</v>
      </c>
      <c r="J426" s="2"/>
      <c r="K426" s="2" t="s">
        <v>39</v>
      </c>
      <c r="L426" s="2" t="s">
        <v>39</v>
      </c>
      <c r="M426" s="2" t="s">
        <v>39</v>
      </c>
      <c r="N426" s="2" t="s">
        <v>39</v>
      </c>
      <c r="O426" s="2" t="s">
        <v>39</v>
      </c>
      <c r="P426" s="2" t="s">
        <v>39</v>
      </c>
      <c r="Q426" s="2" t="s">
        <v>39</v>
      </c>
      <c r="R426" s="2" t="s">
        <v>39</v>
      </c>
      <c r="S426" s="2" t="s">
        <v>39</v>
      </c>
      <c r="T426" s="2" t="s">
        <v>39</v>
      </c>
      <c r="U426" s="2" t="s">
        <v>39</v>
      </c>
      <c r="V426" s="2" t="s">
        <v>39</v>
      </c>
      <c r="W426" s="2" t="s">
        <v>38</v>
      </c>
      <c r="X426" s="2" t="s">
        <v>39</v>
      </c>
      <c r="Y426" s="2" t="s">
        <v>39</v>
      </c>
      <c r="Z426" s="2" t="s">
        <v>39</v>
      </c>
      <c r="AA426" s="2" t="s">
        <v>38</v>
      </c>
      <c r="AB426" s="2" t="s">
        <v>39</v>
      </c>
      <c r="AC426" s="2" t="s">
        <v>39</v>
      </c>
      <c r="AD426" s="2" t="s">
        <v>38</v>
      </c>
      <c r="AE426" s="2"/>
    </row>
    <row r="427" spans="1:31" ht="409.5">
      <c r="A427" s="2">
        <v>2761967</v>
      </c>
      <c r="B427" s="2">
        <f>HYPERLINK("https://platform.v2.vetology.net/cases/2761967/screening-report/1?type=pdf&amp;v=v6&amp;scorecard=1&amp;secret_key=BX%25IJ%24%2F65ieZ%29f6", 2761967)</f>
        <v>2761967</v>
      </c>
      <c r="C427" s="2">
        <f>HYPERLINK("https://platform.v2.vetology.net/report/v/final/"&amp;2761967, 2761967)</f>
        <v>2761967</v>
      </c>
      <c r="D427" s="2" t="s">
        <v>1512</v>
      </c>
      <c r="E427" s="2" t="s">
        <v>1513</v>
      </c>
      <c r="F427" s="2"/>
      <c r="G427" s="2" t="s">
        <v>81</v>
      </c>
      <c r="H427" s="2" t="s">
        <v>1514</v>
      </c>
      <c r="I427" s="2" t="s">
        <v>36</v>
      </c>
      <c r="J427" s="2" t="s">
        <v>37</v>
      </c>
      <c r="K427" s="2" t="s">
        <v>38</v>
      </c>
      <c r="L427" s="2" t="s">
        <v>38</v>
      </c>
      <c r="M427" s="2" t="s">
        <v>38</v>
      </c>
      <c r="N427" s="2" t="s">
        <v>38</v>
      </c>
      <c r="O427" s="2" t="s">
        <v>38</v>
      </c>
      <c r="P427" s="2" t="s">
        <v>39</v>
      </c>
      <c r="Q427" s="2" t="s">
        <v>39</v>
      </c>
      <c r="R427" s="2" t="s">
        <v>38</v>
      </c>
      <c r="S427" s="2" t="s">
        <v>38</v>
      </c>
      <c r="T427" s="2" t="s">
        <v>38</v>
      </c>
      <c r="U427" s="2" t="s">
        <v>38</v>
      </c>
      <c r="V427" s="2" t="s">
        <v>38</v>
      </c>
      <c r="W427" s="2" t="s">
        <v>38</v>
      </c>
      <c r="X427" s="2" t="s">
        <v>39</v>
      </c>
      <c r="Y427" s="2" t="s">
        <v>39</v>
      </c>
      <c r="Z427" s="2" t="s">
        <v>38</v>
      </c>
      <c r="AA427" s="2" t="s">
        <v>38</v>
      </c>
      <c r="AB427" s="2" t="s">
        <v>39</v>
      </c>
      <c r="AC427" s="2" t="s">
        <v>38</v>
      </c>
      <c r="AD427" s="2" t="s">
        <v>38</v>
      </c>
      <c r="AE427" s="2" t="s">
        <v>39</v>
      </c>
    </row>
    <row r="428" spans="1:31" ht="409.5">
      <c r="A428" s="2">
        <v>2761948</v>
      </c>
      <c r="B428" s="2">
        <f>HYPERLINK("https://platform.v2.vetology.net/cases/2761948/screening-report/1?type=pdf&amp;v=v6&amp;scorecard=1&amp;secret_key=BX%25IJ%24%2F65ieZ%29f6", 2761948)</f>
        <v>2761948</v>
      </c>
      <c r="C428" s="2">
        <f>HYPERLINK("https://platform.v2.vetology.net/report/v/final/"&amp;2761948, 2761948)</f>
        <v>2761948</v>
      </c>
      <c r="D428" s="2" t="s">
        <v>1515</v>
      </c>
      <c r="E428" s="2" t="s">
        <v>1516</v>
      </c>
      <c r="F428" s="2" t="s">
        <v>1517</v>
      </c>
      <c r="G428" s="2" t="s">
        <v>127</v>
      </c>
      <c r="H428" s="2" t="s">
        <v>1518</v>
      </c>
      <c r="I428" s="2" t="s">
        <v>36</v>
      </c>
      <c r="J428" s="2" t="s">
        <v>37</v>
      </c>
      <c r="K428" s="2" t="s">
        <v>38</v>
      </c>
      <c r="L428" s="2" t="s">
        <v>38</v>
      </c>
      <c r="M428" s="2" t="s">
        <v>38</v>
      </c>
      <c r="N428" s="2" t="s">
        <v>39</v>
      </c>
      <c r="O428" s="2" t="s">
        <v>38</v>
      </c>
      <c r="P428" s="2" t="s">
        <v>39</v>
      </c>
      <c r="Q428" s="2" t="s">
        <v>39</v>
      </c>
      <c r="R428" s="2" t="s">
        <v>39</v>
      </c>
      <c r="S428" s="2" t="s">
        <v>38</v>
      </c>
      <c r="T428" s="2" t="s">
        <v>38</v>
      </c>
      <c r="U428" s="2" t="s">
        <v>38</v>
      </c>
      <c r="V428" s="2" t="s">
        <v>38</v>
      </c>
      <c r="W428" s="2" t="s">
        <v>38</v>
      </c>
      <c r="X428" s="2" t="s">
        <v>38</v>
      </c>
      <c r="Y428" s="2" t="s">
        <v>39</v>
      </c>
      <c r="Z428" s="2" t="s">
        <v>38</v>
      </c>
      <c r="AA428" s="2" t="s">
        <v>39</v>
      </c>
      <c r="AB428" s="2" t="s">
        <v>38</v>
      </c>
      <c r="AC428" s="2" t="s">
        <v>38</v>
      </c>
      <c r="AD428" s="2" t="s">
        <v>38</v>
      </c>
      <c r="AE428" s="2" t="s">
        <v>39</v>
      </c>
    </row>
    <row r="429" spans="1:31" ht="409.5">
      <c r="A429" s="2">
        <v>2761938</v>
      </c>
      <c r="B429" s="2">
        <f>HYPERLINK("https://platform.v2.vetology.net/cases/2761938/screening-report/1?type=pdf&amp;v=v6&amp;scorecard=1&amp;secret_key=BX%25IJ%24%2F65ieZ%29f6", 2761938)</f>
        <v>2761938</v>
      </c>
      <c r="C429" s="2">
        <f>HYPERLINK("https://platform.v2.vetology.net/report/v/final/"&amp;2761938, 2761938)</f>
        <v>2761938</v>
      </c>
      <c r="D429" s="2" t="s">
        <v>1519</v>
      </c>
      <c r="E429" s="2" t="s">
        <v>1520</v>
      </c>
      <c r="F429" s="2" t="s">
        <v>1521</v>
      </c>
      <c r="G429" s="2" t="s">
        <v>53</v>
      </c>
      <c r="H429" s="2" t="s">
        <v>1522</v>
      </c>
      <c r="I429" s="2" t="s">
        <v>36</v>
      </c>
      <c r="J429" s="2" t="s">
        <v>37</v>
      </c>
      <c r="K429" s="2" t="s">
        <v>38</v>
      </c>
      <c r="L429" s="2" t="s">
        <v>38</v>
      </c>
      <c r="M429" s="2" t="s">
        <v>38</v>
      </c>
      <c r="N429" s="2" t="s">
        <v>38</v>
      </c>
      <c r="O429" s="2" t="s">
        <v>38</v>
      </c>
      <c r="P429" s="2" t="s">
        <v>39</v>
      </c>
      <c r="Q429" s="2" t="s">
        <v>39</v>
      </c>
      <c r="R429" s="2" t="s">
        <v>38</v>
      </c>
      <c r="S429" s="2" t="s">
        <v>38</v>
      </c>
      <c r="T429" s="2" t="s">
        <v>39</v>
      </c>
      <c r="U429" s="2" t="s">
        <v>38</v>
      </c>
      <c r="V429" s="2" t="s">
        <v>38</v>
      </c>
      <c r="W429" s="2" t="s">
        <v>38</v>
      </c>
      <c r="X429" s="2" t="s">
        <v>39</v>
      </c>
      <c r="Y429" s="2" t="s">
        <v>38</v>
      </c>
      <c r="Z429" s="2" t="s">
        <v>38</v>
      </c>
      <c r="AA429" s="2" t="s">
        <v>38</v>
      </c>
      <c r="AB429" s="2" t="s">
        <v>38</v>
      </c>
      <c r="AC429" s="2" t="s">
        <v>38</v>
      </c>
      <c r="AD429" s="2" t="s">
        <v>38</v>
      </c>
      <c r="AE429" s="2"/>
    </row>
    <row r="430" spans="1:31" ht="409.5">
      <c r="A430" s="2">
        <v>2761931</v>
      </c>
      <c r="B430" s="2">
        <f>HYPERLINK("https://platform.v2.vetology.net/cases/2761931/screening-report/1?type=pdf&amp;v=v6&amp;scorecard=1&amp;secret_key=BX%25IJ%24%2F65ieZ%29f6", 2761931)</f>
        <v>2761931</v>
      </c>
      <c r="C430" s="2">
        <f>HYPERLINK("https://platform.v2.vetology.net/report/v/final/"&amp;2761931, 2761931)</f>
        <v>2761931</v>
      </c>
      <c r="D430" s="2" t="s">
        <v>1523</v>
      </c>
      <c r="E430" s="2" t="s">
        <v>1524</v>
      </c>
      <c r="F430" s="2" t="s">
        <v>1525</v>
      </c>
      <c r="G430" s="2" t="s">
        <v>34</v>
      </c>
      <c r="H430" s="2" t="s">
        <v>1526</v>
      </c>
      <c r="I430" s="2" t="s">
        <v>36</v>
      </c>
      <c r="J430" s="2" t="s">
        <v>37</v>
      </c>
      <c r="K430" s="2" t="s">
        <v>39</v>
      </c>
      <c r="L430" s="2" t="s">
        <v>38</v>
      </c>
      <c r="M430" s="2" t="s">
        <v>39</v>
      </c>
      <c r="N430" s="2" t="s">
        <v>38</v>
      </c>
      <c r="O430" s="2" t="s">
        <v>38</v>
      </c>
      <c r="P430" s="2" t="s">
        <v>39</v>
      </c>
      <c r="Q430" s="2" t="s">
        <v>39</v>
      </c>
      <c r="R430" s="2" t="s">
        <v>38</v>
      </c>
      <c r="S430" s="2" t="s">
        <v>38</v>
      </c>
      <c r="T430" s="2" t="s">
        <v>39</v>
      </c>
      <c r="U430" s="2" t="s">
        <v>39</v>
      </c>
      <c r="V430" s="2" t="s">
        <v>39</v>
      </c>
      <c r="W430" s="2" t="s">
        <v>38</v>
      </c>
      <c r="X430" s="2" t="s">
        <v>39</v>
      </c>
      <c r="Y430" s="2" t="s">
        <v>39</v>
      </c>
      <c r="Z430" s="2" t="s">
        <v>38</v>
      </c>
      <c r="AA430" s="2" t="s">
        <v>38</v>
      </c>
      <c r="AB430" s="2" t="s">
        <v>39</v>
      </c>
      <c r="AC430" s="2" t="s">
        <v>38</v>
      </c>
      <c r="AD430" s="2" t="s">
        <v>38</v>
      </c>
      <c r="AE430" s="2" t="s">
        <v>40</v>
      </c>
    </row>
    <row r="431" spans="1:31" ht="409.5">
      <c r="A431" s="2">
        <v>2761892</v>
      </c>
      <c r="B431" s="2">
        <f>HYPERLINK("https://platform.v2.vetology.net/cases/2761892/screening-report/1?type=pdf&amp;v=v6&amp;scorecard=1&amp;secret_key=BX%25IJ%24%2F65ieZ%29f6", 2761892)</f>
        <v>2761892</v>
      </c>
      <c r="C431" s="2">
        <f>HYPERLINK("https://platform.v2.vetology.net/report/v/final/"&amp;2761892, 2761892)</f>
        <v>2761892</v>
      </c>
      <c r="D431" s="2" t="s">
        <v>1527</v>
      </c>
      <c r="E431" s="2" t="s">
        <v>1528</v>
      </c>
      <c r="F431" s="2" t="s">
        <v>610</v>
      </c>
      <c r="G431" s="2" t="s">
        <v>251</v>
      </c>
      <c r="H431" s="2" t="s">
        <v>166</v>
      </c>
      <c r="I431" s="2" t="s">
        <v>36</v>
      </c>
      <c r="J431" s="2" t="s">
        <v>37</v>
      </c>
      <c r="K431" s="2" t="s">
        <v>39</v>
      </c>
      <c r="L431" s="2" t="s">
        <v>39</v>
      </c>
      <c r="M431" s="2" t="s">
        <v>38</v>
      </c>
      <c r="N431" s="2" t="s">
        <v>39</v>
      </c>
      <c r="O431" s="2" t="s">
        <v>39</v>
      </c>
      <c r="P431" s="2" t="s">
        <v>39</v>
      </c>
      <c r="Q431" s="2" t="s">
        <v>39</v>
      </c>
      <c r="R431" s="2" t="s">
        <v>38</v>
      </c>
      <c r="S431" s="2" t="s">
        <v>38</v>
      </c>
      <c r="T431" s="2" t="s">
        <v>39</v>
      </c>
      <c r="U431" s="2" t="s">
        <v>38</v>
      </c>
      <c r="V431" s="2" t="s">
        <v>38</v>
      </c>
      <c r="W431" s="2" t="s">
        <v>39</v>
      </c>
      <c r="X431" s="2" t="s">
        <v>39</v>
      </c>
      <c r="Y431" s="2" t="s">
        <v>39</v>
      </c>
      <c r="Z431" s="2" t="s">
        <v>39</v>
      </c>
      <c r="AA431" s="2" t="s">
        <v>39</v>
      </c>
      <c r="AB431" s="2" t="s">
        <v>39</v>
      </c>
      <c r="AC431" s="2" t="s">
        <v>39</v>
      </c>
      <c r="AD431" s="2" t="s">
        <v>39</v>
      </c>
      <c r="AE431" s="2" t="s">
        <v>39</v>
      </c>
    </row>
    <row r="432" spans="1:31" ht="409.5">
      <c r="A432" s="2">
        <v>2761889</v>
      </c>
      <c r="B432" s="2">
        <f>HYPERLINK("https://platform.v2.vetology.net/cases/2761889/screening-report/1?type=pdf&amp;v=v6&amp;scorecard=1&amp;secret_key=BX%25IJ%24%2F65ieZ%29f6", 2761889)</f>
        <v>2761889</v>
      </c>
      <c r="C432" s="2">
        <f>HYPERLINK("https://platform.v2.vetology.net/report/v/final/"&amp;2761889, 2761889)</f>
        <v>2761889</v>
      </c>
      <c r="D432" s="2" t="s">
        <v>1529</v>
      </c>
      <c r="E432" s="2" t="s">
        <v>1530</v>
      </c>
      <c r="F432" s="2" t="s">
        <v>1531</v>
      </c>
      <c r="G432" s="2" t="s">
        <v>127</v>
      </c>
      <c r="H432" s="2" t="s">
        <v>1532</v>
      </c>
      <c r="I432" s="2" t="s">
        <v>73</v>
      </c>
      <c r="J432" s="2" t="s">
        <v>74</v>
      </c>
      <c r="K432" s="2" t="s">
        <v>38</v>
      </c>
      <c r="L432" s="2" t="s">
        <v>38</v>
      </c>
      <c r="M432" s="2" t="s">
        <v>38</v>
      </c>
      <c r="N432" s="2" t="s">
        <v>38</v>
      </c>
      <c r="O432" s="2" t="s">
        <v>38</v>
      </c>
      <c r="P432" s="2" t="s">
        <v>38</v>
      </c>
      <c r="Q432" s="2" t="s">
        <v>38</v>
      </c>
      <c r="R432" s="2" t="s">
        <v>38</v>
      </c>
      <c r="S432" s="2" t="s">
        <v>38</v>
      </c>
      <c r="T432" s="2" t="s">
        <v>38</v>
      </c>
      <c r="U432" s="2" t="s">
        <v>38</v>
      </c>
      <c r="V432" s="2" t="s">
        <v>38</v>
      </c>
      <c r="W432" s="2" t="s">
        <v>38</v>
      </c>
      <c r="X432" s="2" t="s">
        <v>38</v>
      </c>
      <c r="Y432" s="2" t="s">
        <v>39</v>
      </c>
      <c r="Z432" s="2" t="s">
        <v>38</v>
      </c>
      <c r="AA432" s="2" t="s">
        <v>38</v>
      </c>
      <c r="AB432" s="2" t="s">
        <v>38</v>
      </c>
      <c r="AC432" s="2" t="s">
        <v>38</v>
      </c>
      <c r="AD432" s="2" t="s">
        <v>38</v>
      </c>
      <c r="AE432" s="2" t="s">
        <v>40</v>
      </c>
    </row>
    <row r="433" spans="1:31" ht="409.5">
      <c r="A433" s="2">
        <v>2761882</v>
      </c>
      <c r="B433" s="2">
        <f>HYPERLINK("https://platform.v2.vetology.net/cases/2761882/screening-report/1?type=pdf&amp;v=v6&amp;scorecard=1&amp;secret_key=BX%25IJ%24%2F65ieZ%29f6", 2761882)</f>
        <v>2761882</v>
      </c>
      <c r="C433" s="2">
        <f>HYPERLINK("https://platform.v2.vetology.net/report/v/final/"&amp;2761882, 2761882)</f>
        <v>2761882</v>
      </c>
      <c r="D433" s="2" t="s">
        <v>1533</v>
      </c>
      <c r="E433" s="2" t="s">
        <v>1534</v>
      </c>
      <c r="F433" s="2" t="s">
        <v>1535</v>
      </c>
      <c r="G433" s="2" t="s">
        <v>53</v>
      </c>
      <c r="H433" s="2" t="s">
        <v>1536</v>
      </c>
      <c r="I433" s="2" t="s">
        <v>36</v>
      </c>
      <c r="J433" s="2" t="s">
        <v>37</v>
      </c>
      <c r="K433" s="2" t="s">
        <v>39</v>
      </c>
      <c r="L433" s="2" t="s">
        <v>38</v>
      </c>
      <c r="M433" s="2" t="s">
        <v>39</v>
      </c>
      <c r="N433" s="2" t="s">
        <v>38</v>
      </c>
      <c r="O433" s="2" t="s">
        <v>38</v>
      </c>
      <c r="P433" s="2" t="s">
        <v>39</v>
      </c>
      <c r="Q433" s="2" t="s">
        <v>39</v>
      </c>
      <c r="R433" s="2" t="s">
        <v>39</v>
      </c>
      <c r="S433" s="2" t="s">
        <v>38</v>
      </c>
      <c r="T433" s="2" t="s">
        <v>39</v>
      </c>
      <c r="U433" s="2" t="s">
        <v>39</v>
      </c>
      <c r="V433" s="2" t="s">
        <v>39</v>
      </c>
      <c r="W433" s="2" t="s">
        <v>38</v>
      </c>
      <c r="X433" s="2" t="s">
        <v>39</v>
      </c>
      <c r="Y433" s="2" t="s">
        <v>39</v>
      </c>
      <c r="Z433" s="2" t="s">
        <v>38</v>
      </c>
      <c r="AA433" s="2" t="s">
        <v>38</v>
      </c>
      <c r="AB433" s="2" t="s">
        <v>39</v>
      </c>
      <c r="AC433" s="2" t="s">
        <v>38</v>
      </c>
      <c r="AD433" s="2" t="s">
        <v>38</v>
      </c>
      <c r="AE433" s="2" t="s">
        <v>40</v>
      </c>
    </row>
    <row r="434" spans="1:31" ht="409.5">
      <c r="A434" s="2">
        <v>2761877</v>
      </c>
      <c r="B434" s="2">
        <f>HYPERLINK("https://platform.v2.vetology.net/cases/2761877/screening-report/1?type=pdf&amp;v=v6&amp;scorecard=1&amp;secret_key=BX%25IJ%24%2F65ieZ%29f6", 2761877)</f>
        <v>2761877</v>
      </c>
      <c r="C434" s="2">
        <f>HYPERLINK("https://platform.v2.vetology.net/report/v/final/"&amp;2761877, 2761877)</f>
        <v>2761877</v>
      </c>
      <c r="D434" s="2" t="s">
        <v>1537</v>
      </c>
      <c r="E434" s="2" t="s">
        <v>1538</v>
      </c>
      <c r="F434" s="2" t="s">
        <v>43</v>
      </c>
      <c r="G434" s="2" t="s">
        <v>44</v>
      </c>
      <c r="H434" s="2" t="s">
        <v>530</v>
      </c>
      <c r="I434" s="2" t="s">
        <v>59</v>
      </c>
      <c r="J434" s="2" t="s">
        <v>37</v>
      </c>
      <c r="K434" s="2" t="s">
        <v>38</v>
      </c>
      <c r="L434" s="2" t="s">
        <v>39</v>
      </c>
      <c r="M434" s="2" t="s">
        <v>39</v>
      </c>
      <c r="N434" s="2" t="s">
        <v>39</v>
      </c>
      <c r="O434" s="2" t="s">
        <v>39</v>
      </c>
      <c r="P434" s="2" t="s">
        <v>39</v>
      </c>
      <c r="Q434" s="2" t="s">
        <v>39</v>
      </c>
      <c r="R434" s="2" t="s">
        <v>39</v>
      </c>
      <c r="S434" s="2" t="s">
        <v>39</v>
      </c>
      <c r="T434" s="2" t="s">
        <v>38</v>
      </c>
      <c r="U434" s="2" t="s">
        <v>38</v>
      </c>
      <c r="V434" s="2" t="s">
        <v>38</v>
      </c>
      <c r="W434" s="2" t="s">
        <v>38</v>
      </c>
      <c r="X434" s="2" t="s">
        <v>39</v>
      </c>
      <c r="Y434" s="2" t="s">
        <v>39</v>
      </c>
      <c r="Z434" s="2" t="s">
        <v>39</v>
      </c>
      <c r="AA434" s="2" t="s">
        <v>39</v>
      </c>
      <c r="AB434" s="2" t="s">
        <v>39</v>
      </c>
      <c r="AC434" s="2" t="s">
        <v>38</v>
      </c>
      <c r="AD434" s="2" t="s">
        <v>39</v>
      </c>
      <c r="AE434" s="2" t="s">
        <v>40</v>
      </c>
    </row>
    <row r="435" spans="1:31" ht="409.5">
      <c r="A435" s="2">
        <v>2761868</v>
      </c>
      <c r="B435" s="2">
        <f>HYPERLINK("https://platform.v2.vetology.net/cases/2761868/screening-report/1?type=pdf&amp;v=v6&amp;scorecard=1&amp;secret_key=BX%25IJ%24%2F65ieZ%29f6", 2761868)</f>
        <v>2761868</v>
      </c>
      <c r="C435" s="2">
        <f>HYPERLINK("https://platform.v2.vetology.net/report/v/final/"&amp;2761868, 2761868)</f>
        <v>2761868</v>
      </c>
      <c r="D435" s="2" t="s">
        <v>1539</v>
      </c>
      <c r="E435" s="2" t="s">
        <v>1540</v>
      </c>
      <c r="F435" s="2" t="s">
        <v>1541</v>
      </c>
      <c r="G435" s="2" t="s">
        <v>127</v>
      </c>
      <c r="H435" s="2" t="s">
        <v>1542</v>
      </c>
      <c r="I435" s="2" t="s">
        <v>73</v>
      </c>
      <c r="J435" s="2" t="s">
        <v>74</v>
      </c>
      <c r="K435" s="2" t="s">
        <v>38</v>
      </c>
      <c r="L435" s="2" t="s">
        <v>38</v>
      </c>
      <c r="M435" s="2" t="s">
        <v>38</v>
      </c>
      <c r="N435" s="2" t="s">
        <v>38</v>
      </c>
      <c r="O435" s="2" t="s">
        <v>38</v>
      </c>
      <c r="P435" s="2" t="s">
        <v>38</v>
      </c>
      <c r="Q435" s="2" t="s">
        <v>38</v>
      </c>
      <c r="R435" s="2" t="s">
        <v>38</v>
      </c>
      <c r="S435" s="2" t="s">
        <v>38</v>
      </c>
      <c r="T435" s="2" t="s">
        <v>39</v>
      </c>
      <c r="U435" s="2" t="s">
        <v>38</v>
      </c>
      <c r="V435" s="2" t="s">
        <v>38</v>
      </c>
      <c r="W435" s="2" t="s">
        <v>38</v>
      </c>
      <c r="X435" s="2" t="s">
        <v>38</v>
      </c>
      <c r="Y435" s="2" t="s">
        <v>39</v>
      </c>
      <c r="Z435" s="2" t="s">
        <v>38</v>
      </c>
      <c r="AA435" s="2" t="s">
        <v>38</v>
      </c>
      <c r="AB435" s="2" t="s">
        <v>39</v>
      </c>
      <c r="AC435" s="2" t="s">
        <v>38</v>
      </c>
      <c r="AD435" s="2" t="s">
        <v>39</v>
      </c>
      <c r="AE435" s="2" t="s">
        <v>40</v>
      </c>
    </row>
    <row r="436" spans="1:31" ht="409.5">
      <c r="A436" s="2">
        <v>2761853</v>
      </c>
      <c r="B436" s="2">
        <f>HYPERLINK("https://platform.v2.vetology.net/cases/2761853/screening-report/1?type=pdf&amp;v=v6&amp;scorecard=1&amp;secret_key=BX%25IJ%24%2F65ieZ%29f6", 2761853)</f>
        <v>2761853</v>
      </c>
      <c r="C436" s="2">
        <f>HYPERLINK("https://platform.v2.vetology.net/report/v/final/"&amp;2761853, 2761853)</f>
        <v>2761853</v>
      </c>
      <c r="D436" s="2" t="s">
        <v>1543</v>
      </c>
      <c r="E436" s="2" t="s">
        <v>1073</v>
      </c>
      <c r="F436" s="2" t="s">
        <v>1544</v>
      </c>
      <c r="G436" s="2" t="s">
        <v>100</v>
      </c>
      <c r="H436" s="2" t="s">
        <v>1545</v>
      </c>
      <c r="I436" s="2" t="s">
        <v>129</v>
      </c>
      <c r="J436" s="2" t="s">
        <v>74</v>
      </c>
      <c r="K436" s="2" t="s">
        <v>39</v>
      </c>
      <c r="L436" s="2" t="s">
        <v>38</v>
      </c>
      <c r="M436" s="2" t="s">
        <v>38</v>
      </c>
      <c r="N436" s="2" t="s">
        <v>38</v>
      </c>
      <c r="O436" s="2" t="s">
        <v>38</v>
      </c>
      <c r="P436" s="2" t="s">
        <v>38</v>
      </c>
      <c r="Q436" s="2" t="s">
        <v>38</v>
      </c>
      <c r="R436" s="2" t="s">
        <v>38</v>
      </c>
      <c r="S436" s="2" t="s">
        <v>38</v>
      </c>
      <c r="T436" s="2" t="s">
        <v>39</v>
      </c>
      <c r="U436" s="2" t="s">
        <v>39</v>
      </c>
      <c r="V436" s="2" t="s">
        <v>38</v>
      </c>
      <c r="W436" s="2" t="s">
        <v>38</v>
      </c>
      <c r="X436" s="2" t="s">
        <v>38</v>
      </c>
      <c r="Y436" s="2" t="s">
        <v>38</v>
      </c>
      <c r="Z436" s="2" t="s">
        <v>38</v>
      </c>
      <c r="AA436" s="2" t="s">
        <v>38</v>
      </c>
      <c r="AB436" s="2" t="s">
        <v>38</v>
      </c>
      <c r="AC436" s="2" t="s">
        <v>38</v>
      </c>
      <c r="AD436" s="2" t="s">
        <v>38</v>
      </c>
      <c r="AE436" s="2" t="s">
        <v>40</v>
      </c>
    </row>
    <row r="437" spans="1:31" ht="409.5">
      <c r="A437" s="2">
        <v>2761821</v>
      </c>
      <c r="B437" s="2">
        <f>HYPERLINK("https://platform.v2.vetology.net/cases/2761821/screening-report/1?type=pdf&amp;v=v6&amp;scorecard=1&amp;secret_key=BX%25IJ%24%2F65ieZ%29f6", 2761821)</f>
        <v>2761821</v>
      </c>
      <c r="C437" s="2">
        <f>HYPERLINK("https://platform.v2.vetology.net/report/v/final/"&amp;2761821, 2761821)</f>
        <v>2761821</v>
      </c>
      <c r="D437" s="2" t="s">
        <v>1546</v>
      </c>
      <c r="E437" s="2" t="s">
        <v>1547</v>
      </c>
      <c r="F437" s="2" t="s">
        <v>657</v>
      </c>
      <c r="G437" s="2" t="s">
        <v>34</v>
      </c>
      <c r="H437" s="2" t="s">
        <v>1548</v>
      </c>
      <c r="I437" s="2" t="s">
        <v>36</v>
      </c>
      <c r="J437" s="2" t="s">
        <v>37</v>
      </c>
      <c r="K437" s="2" t="s">
        <v>38</v>
      </c>
      <c r="L437" s="2" t="s">
        <v>38</v>
      </c>
      <c r="M437" s="2" t="s">
        <v>38</v>
      </c>
      <c r="N437" s="2" t="s">
        <v>39</v>
      </c>
      <c r="O437" s="2" t="s">
        <v>38</v>
      </c>
      <c r="P437" s="2" t="s">
        <v>39</v>
      </c>
      <c r="Q437" s="2" t="s">
        <v>39</v>
      </c>
      <c r="R437" s="2" t="s">
        <v>38</v>
      </c>
      <c r="S437" s="2" t="s">
        <v>38</v>
      </c>
      <c r="T437" s="2" t="s">
        <v>38</v>
      </c>
      <c r="U437" s="2" t="s">
        <v>38</v>
      </c>
      <c r="V437" s="2" t="s">
        <v>38</v>
      </c>
      <c r="W437" s="2" t="s">
        <v>38</v>
      </c>
      <c r="X437" s="2" t="s">
        <v>39</v>
      </c>
      <c r="Y437" s="2" t="s">
        <v>39</v>
      </c>
      <c r="Z437" s="2" t="s">
        <v>38</v>
      </c>
      <c r="AA437" s="2" t="s">
        <v>38</v>
      </c>
      <c r="AB437" s="2" t="s">
        <v>39</v>
      </c>
      <c r="AC437" s="2" t="s">
        <v>38</v>
      </c>
      <c r="AD437" s="2" t="s">
        <v>38</v>
      </c>
      <c r="AE437" s="2" t="s">
        <v>40</v>
      </c>
    </row>
    <row r="438" spans="1:31" ht="409.5">
      <c r="A438" s="2">
        <v>2761787</v>
      </c>
      <c r="B438" s="2">
        <f>HYPERLINK("https://platform.v2.vetology.net/cases/2761787/screening-report/1?type=pdf&amp;v=v6&amp;scorecard=1&amp;secret_key=BX%25IJ%24%2F65ieZ%29f6", 2761787)</f>
        <v>2761787</v>
      </c>
      <c r="C438" s="2">
        <f>HYPERLINK("https://platform.v2.vetology.net/report/v/final/"&amp;2761787, 2761787)</f>
        <v>2761787</v>
      </c>
      <c r="D438" s="2" t="s">
        <v>1549</v>
      </c>
      <c r="E438" s="2" t="s">
        <v>421</v>
      </c>
      <c r="F438" s="2" t="s">
        <v>694</v>
      </c>
      <c r="G438" s="2" t="s">
        <v>34</v>
      </c>
      <c r="H438" s="2" t="s">
        <v>1550</v>
      </c>
      <c r="I438" s="2" t="s">
        <v>73</v>
      </c>
      <c r="J438" s="2" t="s">
        <v>74</v>
      </c>
      <c r="K438" s="2" t="s">
        <v>38</v>
      </c>
      <c r="L438" s="2" t="s">
        <v>38</v>
      </c>
      <c r="M438" s="2" t="s">
        <v>38</v>
      </c>
      <c r="N438" s="2" t="s">
        <v>38</v>
      </c>
      <c r="O438" s="2" t="s">
        <v>38</v>
      </c>
      <c r="P438" s="2" t="s">
        <v>38</v>
      </c>
      <c r="Q438" s="2" t="s">
        <v>38</v>
      </c>
      <c r="R438" s="2" t="s">
        <v>38</v>
      </c>
      <c r="S438" s="2" t="s">
        <v>38</v>
      </c>
      <c r="T438" s="2" t="s">
        <v>38</v>
      </c>
      <c r="U438" s="2" t="s">
        <v>38</v>
      </c>
      <c r="V438" s="2" t="s">
        <v>38</v>
      </c>
      <c r="W438" s="2" t="s">
        <v>38</v>
      </c>
      <c r="X438" s="2" t="s">
        <v>38</v>
      </c>
      <c r="Y438" s="2" t="s">
        <v>39</v>
      </c>
      <c r="Z438" s="2" t="s">
        <v>38</v>
      </c>
      <c r="AA438" s="2" t="s">
        <v>38</v>
      </c>
      <c r="AB438" s="2" t="s">
        <v>38</v>
      </c>
      <c r="AC438" s="2" t="s">
        <v>38</v>
      </c>
      <c r="AD438" s="2" t="s">
        <v>39</v>
      </c>
      <c r="AE438" s="2" t="s">
        <v>40</v>
      </c>
    </row>
    <row r="439" spans="1:31" ht="409.5">
      <c r="A439" s="2">
        <v>2761754</v>
      </c>
      <c r="B439" s="2">
        <f>HYPERLINK("https://platform.v2.vetology.net/cases/2761754/screening-report/1?type=pdf&amp;v=v6&amp;scorecard=1&amp;secret_key=BX%25IJ%24%2F65ieZ%29f6", 2761754)</f>
        <v>2761754</v>
      </c>
      <c r="C439" s="2">
        <f>HYPERLINK("https://platform.v2.vetology.net/report/v/final/"&amp;2761754, 2761754)</f>
        <v>2761754</v>
      </c>
      <c r="D439" s="2" t="s">
        <v>1551</v>
      </c>
      <c r="E439" s="2" t="s">
        <v>1552</v>
      </c>
      <c r="F439" s="2" t="s">
        <v>1553</v>
      </c>
      <c r="G439" s="2" t="s">
        <v>44</v>
      </c>
      <c r="H439" s="2" t="s">
        <v>45</v>
      </c>
      <c r="I439" s="2" t="s">
        <v>46</v>
      </c>
      <c r="J439" s="2"/>
      <c r="K439" s="2" t="s">
        <v>39</v>
      </c>
      <c r="L439" s="2" t="s">
        <v>39</v>
      </c>
      <c r="M439" s="2" t="s">
        <v>39</v>
      </c>
      <c r="N439" s="2" t="s">
        <v>39</v>
      </c>
      <c r="O439" s="2" t="s">
        <v>39</v>
      </c>
      <c r="P439" s="2" t="s">
        <v>39</v>
      </c>
      <c r="Q439" s="2" t="s">
        <v>39</v>
      </c>
      <c r="R439" s="2" t="s">
        <v>38</v>
      </c>
      <c r="S439" s="2" t="s">
        <v>39</v>
      </c>
      <c r="T439" s="2" t="s">
        <v>39</v>
      </c>
      <c r="U439" s="2" t="s">
        <v>38</v>
      </c>
      <c r="V439" s="2" t="s">
        <v>38</v>
      </c>
      <c r="W439" s="2" t="s">
        <v>38</v>
      </c>
      <c r="X439" s="2" t="s">
        <v>39</v>
      </c>
      <c r="Y439" s="2" t="s">
        <v>39</v>
      </c>
      <c r="Z439" s="2" t="s">
        <v>39</v>
      </c>
      <c r="AA439" s="2" t="s">
        <v>39</v>
      </c>
      <c r="AB439" s="2" t="s">
        <v>39</v>
      </c>
      <c r="AC439" s="2" t="s">
        <v>38</v>
      </c>
      <c r="AD439" s="2" t="s">
        <v>39</v>
      </c>
      <c r="AE439" s="2" t="s">
        <v>39</v>
      </c>
    </row>
    <row r="440" spans="1:31" ht="409.5">
      <c r="A440" s="2">
        <v>2761707</v>
      </c>
      <c r="B440" s="2">
        <f>HYPERLINK("https://platform.v2.vetology.net/cases/2761707/screening-report/1?type=pdf&amp;v=v6&amp;scorecard=1&amp;secret_key=BX%25IJ%24%2F65ieZ%29f6", 2761707)</f>
        <v>2761707</v>
      </c>
      <c r="C440" s="2">
        <f>HYPERLINK("https://platform.v2.vetology.net/report/v/final/"&amp;2761707, 2761707)</f>
        <v>2761707</v>
      </c>
      <c r="D440" s="2" t="s">
        <v>1554</v>
      </c>
      <c r="E440" s="2" t="s">
        <v>1555</v>
      </c>
      <c r="F440" s="2" t="s">
        <v>1556</v>
      </c>
      <c r="G440" s="2" t="s">
        <v>53</v>
      </c>
      <c r="H440" s="2" t="s">
        <v>277</v>
      </c>
      <c r="I440" s="2" t="s">
        <v>46</v>
      </c>
      <c r="J440" s="2"/>
      <c r="K440" s="2" t="s">
        <v>39</v>
      </c>
      <c r="L440" s="2" t="s">
        <v>38</v>
      </c>
      <c r="M440" s="2" t="s">
        <v>39</v>
      </c>
      <c r="N440" s="2" t="s">
        <v>39</v>
      </c>
      <c r="O440" s="2" t="s">
        <v>39</v>
      </c>
      <c r="P440" s="2" t="s">
        <v>39</v>
      </c>
      <c r="Q440" s="2" t="s">
        <v>39</v>
      </c>
      <c r="R440" s="2" t="s">
        <v>39</v>
      </c>
      <c r="S440" s="2" t="s">
        <v>39</v>
      </c>
      <c r="T440" s="2" t="s">
        <v>39</v>
      </c>
      <c r="U440" s="2" t="s">
        <v>39</v>
      </c>
      <c r="V440" s="2" t="s">
        <v>38</v>
      </c>
      <c r="W440" s="2" t="s">
        <v>39</v>
      </c>
      <c r="X440" s="2" t="s">
        <v>39</v>
      </c>
      <c r="Y440" s="2" t="s">
        <v>39</v>
      </c>
      <c r="Z440" s="2" t="s">
        <v>39</v>
      </c>
      <c r="AA440" s="2" t="s">
        <v>39</v>
      </c>
      <c r="AB440" s="2" t="s">
        <v>39</v>
      </c>
      <c r="AC440" s="2" t="s">
        <v>38</v>
      </c>
      <c r="AD440" s="2" t="s">
        <v>39</v>
      </c>
      <c r="AE440" s="2" t="s">
        <v>39</v>
      </c>
    </row>
    <row r="441" spans="1:31" ht="409.5">
      <c r="A441" s="2">
        <v>2761678</v>
      </c>
      <c r="B441" s="2">
        <f>HYPERLINK("https://platform.v2.vetology.net/cases/2761678/screening-report/1?type=pdf&amp;v=v6&amp;scorecard=1&amp;secret_key=BX%25IJ%24%2F65ieZ%29f6", 2761678)</f>
        <v>2761678</v>
      </c>
      <c r="C441" s="2">
        <f>HYPERLINK("https://platform.v2.vetology.net/report/v/final/"&amp;2761678, 2761678)</f>
        <v>2761678</v>
      </c>
      <c r="D441" s="2" t="s">
        <v>1557</v>
      </c>
      <c r="E441" s="2" t="s">
        <v>1558</v>
      </c>
      <c r="F441" s="2" t="s">
        <v>1559</v>
      </c>
      <c r="G441" s="2" t="s">
        <v>170</v>
      </c>
      <c r="H441" s="2" t="s">
        <v>1560</v>
      </c>
      <c r="I441" s="2" t="s">
        <v>129</v>
      </c>
      <c r="J441" s="2" t="s">
        <v>74</v>
      </c>
      <c r="K441" s="2" t="s">
        <v>38</v>
      </c>
      <c r="L441" s="2" t="s">
        <v>38</v>
      </c>
      <c r="M441" s="2" t="s">
        <v>38</v>
      </c>
      <c r="N441" s="2" t="s">
        <v>38</v>
      </c>
      <c r="O441" s="2" t="s">
        <v>38</v>
      </c>
      <c r="P441" s="2" t="s">
        <v>38</v>
      </c>
      <c r="Q441" s="2" t="s">
        <v>38</v>
      </c>
      <c r="R441" s="2" t="s">
        <v>39</v>
      </c>
      <c r="S441" s="2" t="s">
        <v>38</v>
      </c>
      <c r="T441" s="2" t="s">
        <v>38</v>
      </c>
      <c r="U441" s="2" t="s">
        <v>39</v>
      </c>
      <c r="V441" s="2" t="s">
        <v>39</v>
      </c>
      <c r="W441" s="2" t="s">
        <v>38</v>
      </c>
      <c r="X441" s="2" t="s">
        <v>38</v>
      </c>
      <c r="Y441" s="2" t="s">
        <v>39</v>
      </c>
      <c r="Z441" s="2" t="s">
        <v>38</v>
      </c>
      <c r="AA441" s="2" t="s">
        <v>39</v>
      </c>
      <c r="AB441" s="2" t="s">
        <v>38</v>
      </c>
      <c r="AC441" s="2" t="s">
        <v>38</v>
      </c>
      <c r="AD441" s="2" t="s">
        <v>38</v>
      </c>
      <c r="AE441" s="2" t="s">
        <v>39</v>
      </c>
    </row>
    <row r="442" spans="1:31" ht="409.5">
      <c r="A442" s="2">
        <v>2761668</v>
      </c>
      <c r="B442" s="2">
        <f>HYPERLINK("https://platform.v2.vetology.net/cases/2761668/screening-report/1?type=pdf&amp;v=v6&amp;scorecard=1&amp;secret_key=BX%25IJ%24%2F65ieZ%29f6", 2761668)</f>
        <v>2761668</v>
      </c>
      <c r="C442" s="2">
        <f>HYPERLINK("https://platform.v2.vetology.net/report/v/final/"&amp;2761668, 2761668)</f>
        <v>2761668</v>
      </c>
      <c r="D442" s="2" t="s">
        <v>1561</v>
      </c>
      <c r="E442" s="2" t="s">
        <v>1562</v>
      </c>
      <c r="F442" s="2" t="s">
        <v>43</v>
      </c>
      <c r="G442" s="2" t="s">
        <v>44</v>
      </c>
      <c r="H442" s="2" t="s">
        <v>398</v>
      </c>
      <c r="I442" s="2" t="s">
        <v>46</v>
      </c>
      <c r="J442" s="2"/>
      <c r="K442" s="2" t="s">
        <v>38</v>
      </c>
      <c r="L442" s="2" t="s">
        <v>39</v>
      </c>
      <c r="M442" s="2" t="s">
        <v>39</v>
      </c>
      <c r="N442" s="2" t="s">
        <v>39</v>
      </c>
      <c r="O442" s="2" t="s">
        <v>39</v>
      </c>
      <c r="P442" s="2" t="s">
        <v>39</v>
      </c>
      <c r="Q442" s="2" t="s">
        <v>39</v>
      </c>
      <c r="R442" s="2" t="s">
        <v>39</v>
      </c>
      <c r="S442" s="2" t="s">
        <v>39</v>
      </c>
      <c r="T442" s="2" t="s">
        <v>39</v>
      </c>
      <c r="U442" s="2" t="s">
        <v>39</v>
      </c>
      <c r="V442" s="2" t="s">
        <v>39</v>
      </c>
      <c r="W442" s="2" t="s">
        <v>39</v>
      </c>
      <c r="X442" s="2" t="s">
        <v>39</v>
      </c>
      <c r="Y442" s="2" t="s">
        <v>39</v>
      </c>
      <c r="Z442" s="2" t="s">
        <v>39</v>
      </c>
      <c r="AA442" s="2" t="s">
        <v>39</v>
      </c>
      <c r="AB442" s="2" t="s">
        <v>39</v>
      </c>
      <c r="AC442" s="2" t="s">
        <v>39</v>
      </c>
      <c r="AD442" s="2" t="s">
        <v>39</v>
      </c>
      <c r="AE442" s="2" t="s">
        <v>39</v>
      </c>
    </row>
    <row r="443" spans="1:31" ht="409.5">
      <c r="A443" s="2">
        <v>2761636</v>
      </c>
      <c r="B443" s="2">
        <f>HYPERLINK("https://platform.v2.vetology.net/cases/2761636/screening-report/1?type=pdf&amp;v=v6&amp;scorecard=1&amp;secret_key=BX%25IJ%24%2F65ieZ%29f6", 2761636)</f>
        <v>2761636</v>
      </c>
      <c r="C443" s="2">
        <f>HYPERLINK("https://platform.v2.vetology.net/report/v/final/"&amp;2761636, 2761636)</f>
        <v>2761636</v>
      </c>
      <c r="D443" s="2" t="s">
        <v>1563</v>
      </c>
      <c r="E443" s="2" t="s">
        <v>1564</v>
      </c>
      <c r="F443" s="2" t="s">
        <v>229</v>
      </c>
      <c r="G443" s="2" t="s">
        <v>170</v>
      </c>
      <c r="H443" s="2" t="s">
        <v>1565</v>
      </c>
      <c r="I443" s="2" t="s">
        <v>36</v>
      </c>
      <c r="J443" s="2" t="s">
        <v>37</v>
      </c>
      <c r="K443" s="2" t="s">
        <v>39</v>
      </c>
      <c r="L443" s="2" t="s">
        <v>39</v>
      </c>
      <c r="M443" s="2" t="s">
        <v>38</v>
      </c>
      <c r="N443" s="2" t="s">
        <v>39</v>
      </c>
      <c r="O443" s="2" t="s">
        <v>38</v>
      </c>
      <c r="P443" s="2" t="s">
        <v>39</v>
      </c>
      <c r="Q443" s="2" t="s">
        <v>39</v>
      </c>
      <c r="R443" s="2" t="s">
        <v>38</v>
      </c>
      <c r="S443" s="2" t="s">
        <v>38</v>
      </c>
      <c r="T443" s="2" t="s">
        <v>38</v>
      </c>
      <c r="U443" s="2" t="s">
        <v>39</v>
      </c>
      <c r="V443" s="2" t="s">
        <v>38</v>
      </c>
      <c r="W443" s="2" t="s">
        <v>38</v>
      </c>
      <c r="X443" s="2" t="s">
        <v>39</v>
      </c>
      <c r="Y443" s="2" t="s">
        <v>39</v>
      </c>
      <c r="Z443" s="2" t="s">
        <v>38</v>
      </c>
      <c r="AA443" s="2" t="s">
        <v>39</v>
      </c>
      <c r="AB443" s="2" t="s">
        <v>39</v>
      </c>
      <c r="AC443" s="2" t="s">
        <v>38</v>
      </c>
      <c r="AD443" s="2" t="s">
        <v>38</v>
      </c>
      <c r="AE443" s="2" t="s">
        <v>40</v>
      </c>
    </row>
    <row r="444" spans="1:31" ht="409.5">
      <c r="A444" s="2">
        <v>2761631</v>
      </c>
      <c r="B444" s="2">
        <f>HYPERLINK("https://platform.v2.vetology.net/cases/2761631/screening-report/1?type=pdf&amp;v=v6&amp;scorecard=1&amp;secret_key=BX%25IJ%24%2F65ieZ%29f6", 2761631)</f>
        <v>2761631</v>
      </c>
      <c r="C444" s="2">
        <f>HYPERLINK("https://platform.v2.vetology.net/report/v/final/"&amp;2761631, 2761631)</f>
        <v>2761631</v>
      </c>
      <c r="D444" s="2" t="s">
        <v>1566</v>
      </c>
      <c r="E444" s="2" t="s">
        <v>1567</v>
      </c>
      <c r="F444" s="2" t="s">
        <v>1568</v>
      </c>
      <c r="G444" s="2" t="s">
        <v>170</v>
      </c>
      <c r="H444" s="2" t="s">
        <v>69</v>
      </c>
      <c r="I444" s="2" t="s">
        <v>46</v>
      </c>
      <c r="J444" s="2"/>
      <c r="K444" s="2" t="s">
        <v>39</v>
      </c>
      <c r="L444" s="2" t="s">
        <v>39</v>
      </c>
      <c r="M444" s="2" t="s">
        <v>39</v>
      </c>
      <c r="N444" s="2" t="s">
        <v>39</v>
      </c>
      <c r="O444" s="2" t="s">
        <v>39</v>
      </c>
      <c r="P444" s="2" t="s">
        <v>39</v>
      </c>
      <c r="Q444" s="2" t="s">
        <v>39</v>
      </c>
      <c r="R444" s="2" t="s">
        <v>39</v>
      </c>
      <c r="S444" s="2" t="s">
        <v>39</v>
      </c>
      <c r="T444" s="2" t="s">
        <v>38</v>
      </c>
      <c r="U444" s="2" t="s">
        <v>39</v>
      </c>
      <c r="V444" s="2" t="s">
        <v>39</v>
      </c>
      <c r="W444" s="2" t="s">
        <v>39</v>
      </c>
      <c r="X444" s="2" t="s">
        <v>39</v>
      </c>
      <c r="Y444" s="2" t="s">
        <v>39</v>
      </c>
      <c r="Z444" s="2" t="s">
        <v>38</v>
      </c>
      <c r="AA444" s="2" t="s">
        <v>39</v>
      </c>
      <c r="AB444" s="2" t="s">
        <v>39</v>
      </c>
      <c r="AC444" s="2" t="s">
        <v>39</v>
      </c>
      <c r="AD444" s="2" t="s">
        <v>38</v>
      </c>
      <c r="AE444" s="2" t="s">
        <v>39</v>
      </c>
    </row>
    <row r="445" spans="1:31" ht="409.5">
      <c r="A445" s="2">
        <v>2761629</v>
      </c>
      <c r="B445" s="2">
        <f>HYPERLINK("https://platform.v2.vetology.net/cases/2761629/screening-report/1?type=pdf&amp;v=v6&amp;scorecard=1&amp;secret_key=BX%25IJ%24%2F65ieZ%29f6", 2761629)</f>
        <v>2761629</v>
      </c>
      <c r="C445" s="2">
        <f>HYPERLINK("https://platform.v2.vetology.net/report/v/final/"&amp;2761629, 2761629)</f>
        <v>2761629</v>
      </c>
      <c r="D445" s="2" t="s">
        <v>1569</v>
      </c>
      <c r="E445" s="2" t="s">
        <v>1570</v>
      </c>
      <c r="F445" s="2" t="s">
        <v>1571</v>
      </c>
      <c r="G445" s="2" t="s">
        <v>53</v>
      </c>
      <c r="H445" s="2" t="s">
        <v>1572</v>
      </c>
      <c r="I445" s="2" t="s">
        <v>36</v>
      </c>
      <c r="J445" s="2" t="s">
        <v>37</v>
      </c>
      <c r="K445" s="2" t="s">
        <v>38</v>
      </c>
      <c r="L445" s="2" t="s">
        <v>38</v>
      </c>
      <c r="M445" s="2" t="s">
        <v>39</v>
      </c>
      <c r="N445" s="2" t="s">
        <v>38</v>
      </c>
      <c r="O445" s="2" t="s">
        <v>38</v>
      </c>
      <c r="P445" s="2" t="s">
        <v>39</v>
      </c>
      <c r="Q445" s="2" t="s">
        <v>39</v>
      </c>
      <c r="R445" s="2" t="s">
        <v>38</v>
      </c>
      <c r="S445" s="2" t="s">
        <v>38</v>
      </c>
      <c r="T445" s="2" t="s">
        <v>38</v>
      </c>
      <c r="U445" s="2" t="s">
        <v>39</v>
      </c>
      <c r="V445" s="2" t="s">
        <v>38</v>
      </c>
      <c r="W445" s="2" t="s">
        <v>38</v>
      </c>
      <c r="X445" s="2" t="s">
        <v>39</v>
      </c>
      <c r="Y445" s="2" t="s">
        <v>39</v>
      </c>
      <c r="Z445" s="2" t="s">
        <v>38</v>
      </c>
      <c r="AA445" s="2" t="s">
        <v>38</v>
      </c>
      <c r="AB445" s="2" t="s">
        <v>39</v>
      </c>
      <c r="AC445" s="2" t="s">
        <v>38</v>
      </c>
      <c r="AD445" s="2" t="s">
        <v>38</v>
      </c>
      <c r="AE445" s="2" t="s">
        <v>39</v>
      </c>
    </row>
    <row r="446" spans="1:31" ht="409.5">
      <c r="A446" s="2">
        <v>2761599</v>
      </c>
      <c r="B446" s="2">
        <f>HYPERLINK("https://platform.v2.vetology.net/cases/2761599/screening-report/1?type=pdf&amp;v=v6&amp;scorecard=1&amp;secret_key=BX%25IJ%24%2F65ieZ%29f6", 2761599)</f>
        <v>2761599</v>
      </c>
      <c r="C446" s="2">
        <f>HYPERLINK("https://platform.v2.vetology.net/report/v/final/"&amp;2761599, 2761599)</f>
        <v>2761599</v>
      </c>
      <c r="D446" s="2" t="s">
        <v>1573</v>
      </c>
      <c r="E446" s="2" t="s">
        <v>1574</v>
      </c>
      <c r="F446" s="2" t="s">
        <v>1575</v>
      </c>
      <c r="G446" s="2" t="s">
        <v>170</v>
      </c>
      <c r="H446" s="2" t="s">
        <v>69</v>
      </c>
      <c r="I446" s="2" t="s">
        <v>46</v>
      </c>
      <c r="J446" s="2"/>
      <c r="K446" s="2" t="s">
        <v>39</v>
      </c>
      <c r="L446" s="2" t="s">
        <v>39</v>
      </c>
      <c r="M446" s="2" t="s">
        <v>39</v>
      </c>
      <c r="N446" s="2" t="s">
        <v>39</v>
      </c>
      <c r="O446" s="2" t="s">
        <v>39</v>
      </c>
      <c r="P446" s="2" t="s">
        <v>39</v>
      </c>
      <c r="Q446" s="2" t="s">
        <v>39</v>
      </c>
      <c r="R446" s="2" t="s">
        <v>39</v>
      </c>
      <c r="S446" s="2" t="s">
        <v>39</v>
      </c>
      <c r="T446" s="2" t="s">
        <v>39</v>
      </c>
      <c r="U446" s="2" t="s">
        <v>39</v>
      </c>
      <c r="V446" s="2" t="s">
        <v>39</v>
      </c>
      <c r="W446" s="2" t="s">
        <v>39</v>
      </c>
      <c r="X446" s="2" t="s">
        <v>39</v>
      </c>
      <c r="Y446" s="2" t="s">
        <v>39</v>
      </c>
      <c r="Z446" s="2" t="s">
        <v>39</v>
      </c>
      <c r="AA446" s="2" t="s">
        <v>39</v>
      </c>
      <c r="AB446" s="2" t="s">
        <v>39</v>
      </c>
      <c r="AC446" s="2" t="s">
        <v>38</v>
      </c>
      <c r="AD446" s="2" t="s">
        <v>38</v>
      </c>
      <c r="AE446" s="2" t="s">
        <v>39</v>
      </c>
    </row>
    <row r="447" spans="1:31" ht="409.5">
      <c r="A447" s="2">
        <v>2761595</v>
      </c>
      <c r="B447" s="2">
        <f>HYPERLINK("https://platform.v2.vetology.net/cases/2761595/screening-report/1?type=pdf&amp;v=v6&amp;scorecard=1&amp;secret_key=BX%25IJ%24%2F65ieZ%29f6", 2761595)</f>
        <v>2761595</v>
      </c>
      <c r="C447" s="2">
        <f>HYPERLINK("https://platform.v2.vetology.net/report/v/final/"&amp;2761595, 2761595)</f>
        <v>2761595</v>
      </c>
      <c r="D447" s="2" t="s">
        <v>1576</v>
      </c>
      <c r="E447" s="2" t="s">
        <v>1577</v>
      </c>
      <c r="F447" s="2" t="s">
        <v>1578</v>
      </c>
      <c r="G447" s="2" t="s">
        <v>170</v>
      </c>
      <c r="H447" s="2" t="s">
        <v>1579</v>
      </c>
      <c r="I447" s="2" t="s">
        <v>684</v>
      </c>
      <c r="J447" s="2" t="s">
        <v>74</v>
      </c>
      <c r="K447" s="2" t="s">
        <v>39</v>
      </c>
      <c r="L447" s="2" t="s">
        <v>39</v>
      </c>
      <c r="M447" s="2" t="s">
        <v>39</v>
      </c>
      <c r="N447" s="2" t="s">
        <v>38</v>
      </c>
      <c r="O447" s="2" t="s">
        <v>38</v>
      </c>
      <c r="P447" s="2" t="s">
        <v>39</v>
      </c>
      <c r="Q447" s="2" t="s">
        <v>38</v>
      </c>
      <c r="R447" s="2" t="s">
        <v>39</v>
      </c>
      <c r="S447" s="2" t="s">
        <v>39</v>
      </c>
      <c r="T447" s="2" t="s">
        <v>38</v>
      </c>
      <c r="U447" s="2" t="s">
        <v>39</v>
      </c>
      <c r="V447" s="2" t="s">
        <v>39</v>
      </c>
      <c r="W447" s="2" t="s">
        <v>39</v>
      </c>
      <c r="X447" s="2" t="s">
        <v>38</v>
      </c>
      <c r="Y447" s="2" t="s">
        <v>39</v>
      </c>
      <c r="Z447" s="2" t="s">
        <v>39</v>
      </c>
      <c r="AA447" s="2" t="s">
        <v>39</v>
      </c>
      <c r="AB447" s="2" t="s">
        <v>38</v>
      </c>
      <c r="AC447" s="2" t="s">
        <v>39</v>
      </c>
      <c r="AD447" s="2" t="s">
        <v>39</v>
      </c>
      <c r="AE447" s="2" t="s">
        <v>39</v>
      </c>
    </row>
    <row r="448" spans="1:31" ht="409.5">
      <c r="A448" s="2">
        <v>2761581</v>
      </c>
      <c r="B448" s="2">
        <f>HYPERLINK("https://platform.v2.vetology.net/cases/2761581/screening-report/1?type=pdf&amp;v=v6&amp;scorecard=1&amp;secret_key=BX%25IJ%24%2F65ieZ%29f6", 2761581)</f>
        <v>2761581</v>
      </c>
      <c r="C448" s="2">
        <f>HYPERLINK("https://platform.v2.vetology.net/report/v/final/"&amp;2761581, 2761581)</f>
        <v>2761581</v>
      </c>
      <c r="D448" s="2" t="s">
        <v>1580</v>
      </c>
      <c r="E448" s="2" t="s">
        <v>1581</v>
      </c>
      <c r="F448" s="2" t="s">
        <v>43</v>
      </c>
      <c r="G448" s="2" t="s">
        <v>44</v>
      </c>
      <c r="H448" s="2" t="s">
        <v>69</v>
      </c>
      <c r="I448" s="2" t="s">
        <v>46</v>
      </c>
      <c r="J448" s="2"/>
      <c r="K448" s="2" t="s">
        <v>39</v>
      </c>
      <c r="L448" s="2" t="s">
        <v>39</v>
      </c>
      <c r="M448" s="2" t="s">
        <v>39</v>
      </c>
      <c r="N448" s="2" t="s">
        <v>39</v>
      </c>
      <c r="O448" s="2" t="s">
        <v>39</v>
      </c>
      <c r="P448" s="2" t="s">
        <v>39</v>
      </c>
      <c r="Q448" s="2" t="s">
        <v>39</v>
      </c>
      <c r="R448" s="2" t="s">
        <v>39</v>
      </c>
      <c r="S448" s="2" t="s">
        <v>39</v>
      </c>
      <c r="T448" s="2" t="s">
        <v>39</v>
      </c>
      <c r="U448" s="2" t="s">
        <v>39</v>
      </c>
      <c r="V448" s="2" t="s">
        <v>39</v>
      </c>
      <c r="W448" s="2" t="s">
        <v>39</v>
      </c>
      <c r="X448" s="2" t="s">
        <v>39</v>
      </c>
      <c r="Y448" s="2" t="s">
        <v>39</v>
      </c>
      <c r="Z448" s="2" t="s">
        <v>39</v>
      </c>
      <c r="AA448" s="2" t="s">
        <v>39</v>
      </c>
      <c r="AB448" s="2" t="s">
        <v>39</v>
      </c>
      <c r="AC448" s="2" t="s">
        <v>38</v>
      </c>
      <c r="AD448" s="2" t="s">
        <v>39</v>
      </c>
      <c r="AE448" s="2" t="s">
        <v>39</v>
      </c>
    </row>
    <row r="449" spans="1:31" ht="409.5">
      <c r="A449" s="2">
        <v>2761578</v>
      </c>
      <c r="B449" s="2">
        <f>HYPERLINK("https://platform.v2.vetology.net/cases/2761578/screening-report/1?type=pdf&amp;v=v6&amp;scorecard=1&amp;secret_key=BX%25IJ%24%2F65ieZ%29f6", 2761578)</f>
        <v>2761578</v>
      </c>
      <c r="C449" s="2">
        <f>HYPERLINK("https://platform.v2.vetology.net/report/v/final/"&amp;2761578, 2761578)</f>
        <v>2761578</v>
      </c>
      <c r="D449" s="2" t="s">
        <v>1582</v>
      </c>
      <c r="E449" s="2" t="s">
        <v>1583</v>
      </c>
      <c r="F449" s="2" t="s">
        <v>1584</v>
      </c>
      <c r="G449" s="2" t="s">
        <v>127</v>
      </c>
      <c r="H449" s="2" t="s">
        <v>530</v>
      </c>
      <c r="I449" s="2" t="s">
        <v>59</v>
      </c>
      <c r="J449" s="2" t="s">
        <v>37</v>
      </c>
      <c r="K449" s="2" t="s">
        <v>38</v>
      </c>
      <c r="L449" s="2" t="s">
        <v>39</v>
      </c>
      <c r="M449" s="2" t="s">
        <v>39</v>
      </c>
      <c r="N449" s="2" t="s">
        <v>39</v>
      </c>
      <c r="O449" s="2" t="s">
        <v>39</v>
      </c>
      <c r="P449" s="2" t="s">
        <v>39</v>
      </c>
      <c r="Q449" s="2" t="s">
        <v>39</v>
      </c>
      <c r="R449" s="2" t="s">
        <v>39</v>
      </c>
      <c r="S449" s="2" t="s">
        <v>39</v>
      </c>
      <c r="T449" s="2" t="s">
        <v>39</v>
      </c>
      <c r="U449" s="2" t="s">
        <v>38</v>
      </c>
      <c r="V449" s="2" t="s">
        <v>38</v>
      </c>
      <c r="W449" s="2" t="s">
        <v>39</v>
      </c>
      <c r="X449" s="2" t="s">
        <v>39</v>
      </c>
      <c r="Y449" s="2" t="s">
        <v>39</v>
      </c>
      <c r="Z449" s="2" t="s">
        <v>39</v>
      </c>
      <c r="AA449" s="2" t="s">
        <v>39</v>
      </c>
      <c r="AB449" s="2" t="s">
        <v>39</v>
      </c>
      <c r="AC449" s="2" t="s">
        <v>38</v>
      </c>
      <c r="AD449" s="2" t="s">
        <v>38</v>
      </c>
      <c r="AE449" s="2"/>
    </row>
    <row r="450" spans="1:31" ht="409.5">
      <c r="A450" s="2">
        <v>2761559</v>
      </c>
      <c r="B450" s="2">
        <f>HYPERLINK("https://platform.v2.vetology.net/cases/2761559/screening-report/1?type=pdf&amp;v=v6&amp;scorecard=1&amp;secret_key=BX%25IJ%24%2F65ieZ%29f6", 2761559)</f>
        <v>2761559</v>
      </c>
      <c r="C450" s="2">
        <f>HYPERLINK("https://platform.v2.vetology.net/report/v/final/"&amp;2761559, 2761559)</f>
        <v>2761559</v>
      </c>
      <c r="D450" s="2" t="s">
        <v>1585</v>
      </c>
      <c r="E450" s="2" t="s">
        <v>1586</v>
      </c>
      <c r="F450" s="2" t="s">
        <v>1587</v>
      </c>
      <c r="G450" s="2" t="s">
        <v>170</v>
      </c>
      <c r="H450" s="2" t="s">
        <v>1588</v>
      </c>
      <c r="I450" s="2" t="s">
        <v>36</v>
      </c>
      <c r="J450" s="2" t="s">
        <v>37</v>
      </c>
      <c r="K450" s="2" t="s">
        <v>38</v>
      </c>
      <c r="L450" s="2" t="s">
        <v>38</v>
      </c>
      <c r="M450" s="2" t="s">
        <v>38</v>
      </c>
      <c r="N450" s="2" t="s">
        <v>38</v>
      </c>
      <c r="O450" s="2" t="s">
        <v>38</v>
      </c>
      <c r="P450" s="2" t="s">
        <v>38</v>
      </c>
      <c r="Q450" s="2" t="s">
        <v>39</v>
      </c>
      <c r="R450" s="2" t="s">
        <v>38</v>
      </c>
      <c r="S450" s="2" t="s">
        <v>38</v>
      </c>
      <c r="T450" s="2" t="s">
        <v>39</v>
      </c>
      <c r="U450" s="2" t="s">
        <v>38</v>
      </c>
      <c r="V450" s="2" t="s">
        <v>38</v>
      </c>
      <c r="W450" s="2" t="s">
        <v>38</v>
      </c>
      <c r="X450" s="2" t="s">
        <v>38</v>
      </c>
      <c r="Y450" s="2" t="s">
        <v>39</v>
      </c>
      <c r="Z450" s="2" t="s">
        <v>38</v>
      </c>
      <c r="AA450" s="2" t="s">
        <v>38</v>
      </c>
      <c r="AB450" s="2" t="s">
        <v>39</v>
      </c>
      <c r="AC450" s="2" t="s">
        <v>38</v>
      </c>
      <c r="AD450" s="2" t="s">
        <v>38</v>
      </c>
      <c r="AE450" s="2" t="s">
        <v>39</v>
      </c>
    </row>
    <row r="451" spans="1:31" ht="409.5">
      <c r="A451" s="2">
        <v>2761555</v>
      </c>
      <c r="B451" s="2">
        <f>HYPERLINK("https://platform.v2.vetology.net/cases/2761555/screening-report/1?type=pdf&amp;v=v6&amp;scorecard=1&amp;secret_key=BX%25IJ%24%2F65ieZ%29f6", 2761555)</f>
        <v>2761555</v>
      </c>
      <c r="C451" s="2">
        <f>HYPERLINK("https://platform.v2.vetology.net/report/v/final/"&amp;2761555, 2761555)</f>
        <v>2761555</v>
      </c>
      <c r="D451" s="2" t="s">
        <v>1589</v>
      </c>
      <c r="E451" s="2" t="s">
        <v>1590</v>
      </c>
      <c r="F451" s="2"/>
      <c r="G451" s="2" t="s">
        <v>100</v>
      </c>
      <c r="H451" s="2" t="s">
        <v>1591</v>
      </c>
      <c r="I451" s="2" t="s">
        <v>36</v>
      </c>
      <c r="J451" s="2" t="s">
        <v>37</v>
      </c>
      <c r="K451" s="2" t="s">
        <v>38</v>
      </c>
      <c r="L451" s="2" t="s">
        <v>38</v>
      </c>
      <c r="M451" s="2" t="s">
        <v>39</v>
      </c>
      <c r="N451" s="2" t="s">
        <v>38</v>
      </c>
      <c r="O451" s="2" t="s">
        <v>39</v>
      </c>
      <c r="P451" s="2" t="s">
        <v>39</v>
      </c>
      <c r="Q451" s="2" t="s">
        <v>39</v>
      </c>
      <c r="R451" s="2" t="s">
        <v>38</v>
      </c>
      <c r="S451" s="2" t="s">
        <v>38</v>
      </c>
      <c r="T451" s="2" t="s">
        <v>39</v>
      </c>
      <c r="U451" s="2" t="s">
        <v>38</v>
      </c>
      <c r="V451" s="2" t="s">
        <v>38</v>
      </c>
      <c r="W451" s="2" t="s">
        <v>38</v>
      </c>
      <c r="X451" s="2" t="s">
        <v>39</v>
      </c>
      <c r="Y451" s="2" t="s">
        <v>38</v>
      </c>
      <c r="Z451" s="2" t="s">
        <v>38</v>
      </c>
      <c r="AA451" s="2" t="s">
        <v>38</v>
      </c>
      <c r="AB451" s="2" t="s">
        <v>39</v>
      </c>
      <c r="AC451" s="2" t="s">
        <v>38</v>
      </c>
      <c r="AD451" s="2" t="s">
        <v>38</v>
      </c>
      <c r="AE451" s="2" t="s">
        <v>40</v>
      </c>
    </row>
    <row r="452" spans="1:31" ht="409.5">
      <c r="A452" s="2">
        <v>2761532</v>
      </c>
      <c r="B452" s="2">
        <f>HYPERLINK("https://platform.v2.vetology.net/cases/2761532/screening-report/1?type=pdf&amp;v=v6&amp;scorecard=1&amp;secret_key=BX%25IJ%24%2F65ieZ%29f6", 2761532)</f>
        <v>2761532</v>
      </c>
      <c r="C452" s="2">
        <f>HYPERLINK("https://platform.v2.vetology.net/report/v/final/"&amp;2761532, 2761532)</f>
        <v>2761532</v>
      </c>
      <c r="D452" s="2" t="s">
        <v>1592</v>
      </c>
      <c r="E452" s="2" t="s">
        <v>1593</v>
      </c>
      <c r="F452" s="2" t="s">
        <v>1594</v>
      </c>
      <c r="G452" s="2" t="s">
        <v>53</v>
      </c>
      <c r="H452" s="2" t="s">
        <v>1595</v>
      </c>
      <c r="I452" s="2" t="s">
        <v>129</v>
      </c>
      <c r="J452" s="2" t="s">
        <v>74</v>
      </c>
      <c r="K452" s="2" t="s">
        <v>39</v>
      </c>
      <c r="L452" s="2" t="s">
        <v>38</v>
      </c>
      <c r="M452" s="2" t="s">
        <v>38</v>
      </c>
      <c r="N452" s="2" t="s">
        <v>38</v>
      </c>
      <c r="O452" s="2" t="s">
        <v>38</v>
      </c>
      <c r="P452" s="2" t="s">
        <v>38</v>
      </c>
      <c r="Q452" s="2" t="s">
        <v>38</v>
      </c>
      <c r="R452" s="2" t="s">
        <v>38</v>
      </c>
      <c r="S452" s="2" t="s">
        <v>38</v>
      </c>
      <c r="T452" s="2" t="s">
        <v>38</v>
      </c>
      <c r="U452" s="2" t="s">
        <v>39</v>
      </c>
      <c r="V452" s="2" t="s">
        <v>38</v>
      </c>
      <c r="W452" s="2" t="s">
        <v>38</v>
      </c>
      <c r="X452" s="2" t="s">
        <v>38</v>
      </c>
      <c r="Y452" s="2" t="s">
        <v>38</v>
      </c>
      <c r="Z452" s="2" t="s">
        <v>38</v>
      </c>
      <c r="AA452" s="2" t="s">
        <v>38</v>
      </c>
      <c r="AB452" s="2" t="s">
        <v>38</v>
      </c>
      <c r="AC452" s="2" t="s">
        <v>38</v>
      </c>
      <c r="AD452" s="2" t="s">
        <v>38</v>
      </c>
      <c r="AE452" s="2" t="s">
        <v>40</v>
      </c>
    </row>
    <row r="453" spans="1:31" ht="409.5">
      <c r="A453" s="2">
        <v>2761518</v>
      </c>
      <c r="B453" s="2">
        <f>HYPERLINK("https://platform.v2.vetology.net/cases/2761518/screening-report/1?type=pdf&amp;v=v6&amp;scorecard=1&amp;secret_key=BX%25IJ%24%2F65ieZ%29f6", 2761518)</f>
        <v>2761518</v>
      </c>
      <c r="C453" s="2">
        <f>HYPERLINK("https://platform.v2.vetology.net/report/v/final/"&amp;2761518, 2761518)</f>
        <v>2761518</v>
      </c>
      <c r="D453" s="2" t="s">
        <v>1596</v>
      </c>
      <c r="E453" s="2" t="s">
        <v>1597</v>
      </c>
      <c r="F453" s="2" t="s">
        <v>1598</v>
      </c>
      <c r="G453" s="2" t="s">
        <v>170</v>
      </c>
      <c r="H453" s="2" t="s">
        <v>1599</v>
      </c>
      <c r="I453" s="2" t="s">
        <v>73</v>
      </c>
      <c r="J453" s="2" t="s">
        <v>74</v>
      </c>
      <c r="K453" s="2" t="s">
        <v>38</v>
      </c>
      <c r="L453" s="2" t="s">
        <v>38</v>
      </c>
      <c r="M453" s="2" t="s">
        <v>38</v>
      </c>
      <c r="N453" s="2" t="s">
        <v>38</v>
      </c>
      <c r="O453" s="2" t="s">
        <v>38</v>
      </c>
      <c r="P453" s="2" t="s">
        <v>38</v>
      </c>
      <c r="Q453" s="2" t="s">
        <v>38</v>
      </c>
      <c r="R453" s="2" t="s">
        <v>38</v>
      </c>
      <c r="S453" s="2" t="s">
        <v>38</v>
      </c>
      <c r="T453" s="2" t="s">
        <v>38</v>
      </c>
      <c r="U453" s="2" t="s">
        <v>38</v>
      </c>
      <c r="V453" s="2" t="s">
        <v>38</v>
      </c>
      <c r="W453" s="2" t="s">
        <v>38</v>
      </c>
      <c r="X453" s="2" t="s">
        <v>38</v>
      </c>
      <c r="Y453" s="2" t="s">
        <v>39</v>
      </c>
      <c r="Z453" s="2" t="s">
        <v>38</v>
      </c>
      <c r="AA453" s="2" t="s">
        <v>38</v>
      </c>
      <c r="AB453" s="2" t="s">
        <v>38</v>
      </c>
      <c r="AC453" s="2" t="s">
        <v>38</v>
      </c>
      <c r="AD453" s="2" t="s">
        <v>38</v>
      </c>
      <c r="AE453" s="2" t="s">
        <v>40</v>
      </c>
    </row>
    <row r="454" spans="1:31" ht="409.5">
      <c r="A454" s="2">
        <v>2761509</v>
      </c>
      <c r="B454" s="2">
        <f>HYPERLINK("https://platform.v2.vetology.net/cases/2761509/screening-report/1?type=pdf&amp;v=v6&amp;scorecard=1&amp;secret_key=BX%25IJ%24%2F65ieZ%29f6", 2761509)</f>
        <v>2761509</v>
      </c>
      <c r="C454" s="2">
        <f>HYPERLINK("https://platform.v2.vetology.net/report/v/final/"&amp;2761509, 2761509)</f>
        <v>2761509</v>
      </c>
      <c r="D454" s="2" t="s">
        <v>1600</v>
      </c>
      <c r="E454" s="2" t="s">
        <v>1601</v>
      </c>
      <c r="F454" s="2" t="s">
        <v>1602</v>
      </c>
      <c r="G454" s="2" t="s">
        <v>53</v>
      </c>
      <c r="H454" s="2" t="s">
        <v>1603</v>
      </c>
      <c r="I454" s="2" t="s">
        <v>36</v>
      </c>
      <c r="J454" s="2" t="s">
        <v>37</v>
      </c>
      <c r="K454" s="2" t="s">
        <v>38</v>
      </c>
      <c r="L454" s="2" t="s">
        <v>38</v>
      </c>
      <c r="M454" s="2" t="s">
        <v>38</v>
      </c>
      <c r="N454" s="2" t="s">
        <v>38</v>
      </c>
      <c r="O454" s="2" t="s">
        <v>38</v>
      </c>
      <c r="P454" s="2" t="s">
        <v>39</v>
      </c>
      <c r="Q454" s="2" t="s">
        <v>39</v>
      </c>
      <c r="R454" s="2" t="s">
        <v>38</v>
      </c>
      <c r="S454" s="2" t="s">
        <v>39</v>
      </c>
      <c r="T454" s="2" t="s">
        <v>39</v>
      </c>
      <c r="U454" s="2" t="s">
        <v>38</v>
      </c>
      <c r="V454" s="2" t="s">
        <v>38</v>
      </c>
      <c r="W454" s="2" t="s">
        <v>38</v>
      </c>
      <c r="X454" s="2" t="s">
        <v>39</v>
      </c>
      <c r="Y454" s="2" t="s">
        <v>39</v>
      </c>
      <c r="Z454" s="2" t="s">
        <v>38</v>
      </c>
      <c r="AA454" s="2" t="s">
        <v>38</v>
      </c>
      <c r="AB454" s="2" t="s">
        <v>39</v>
      </c>
      <c r="AC454" s="2" t="s">
        <v>38</v>
      </c>
      <c r="AD454" s="2" t="s">
        <v>39</v>
      </c>
      <c r="AE454" s="2" t="s">
        <v>40</v>
      </c>
    </row>
    <row r="455" spans="1:31" ht="409.5">
      <c r="A455" s="2">
        <v>2761485</v>
      </c>
      <c r="B455" s="2">
        <f>HYPERLINK("https://platform.v2.vetology.net/cases/2761485/screening-report/1?type=pdf&amp;v=v6&amp;scorecard=1&amp;secret_key=BX%25IJ%24%2F65ieZ%29f6", 2761485)</f>
        <v>2761485</v>
      </c>
      <c r="C455" s="2">
        <f>HYPERLINK("https://platform.v2.vetology.net/report/v/final/"&amp;2761485, 2761485)</f>
        <v>2761485</v>
      </c>
      <c r="D455" s="2" t="s">
        <v>1604</v>
      </c>
      <c r="E455" s="2" t="s">
        <v>1605</v>
      </c>
      <c r="F455" s="2" t="s">
        <v>1606</v>
      </c>
      <c r="G455" s="2" t="s">
        <v>415</v>
      </c>
      <c r="H455" s="2" t="s">
        <v>265</v>
      </c>
      <c r="I455" s="2" t="s">
        <v>36</v>
      </c>
      <c r="J455" s="2" t="s">
        <v>37</v>
      </c>
      <c r="K455" s="2" t="s">
        <v>39</v>
      </c>
      <c r="L455" s="2" t="s">
        <v>39</v>
      </c>
      <c r="M455" s="2" t="s">
        <v>38</v>
      </c>
      <c r="N455" s="2" t="s">
        <v>39</v>
      </c>
      <c r="O455" s="2" t="s">
        <v>39</v>
      </c>
      <c r="P455" s="2" t="s">
        <v>39</v>
      </c>
      <c r="Q455" s="2" t="s">
        <v>39</v>
      </c>
      <c r="R455" s="2" t="s">
        <v>39</v>
      </c>
      <c r="S455" s="2" t="s">
        <v>39</v>
      </c>
      <c r="T455" s="2" t="s">
        <v>39</v>
      </c>
      <c r="U455" s="2" t="s">
        <v>39</v>
      </c>
      <c r="V455" s="2" t="s">
        <v>39</v>
      </c>
      <c r="W455" s="2" t="s">
        <v>39</v>
      </c>
      <c r="X455" s="2" t="s">
        <v>39</v>
      </c>
      <c r="Y455" s="2" t="s">
        <v>39</v>
      </c>
      <c r="Z455" s="2" t="s">
        <v>39</v>
      </c>
      <c r="AA455" s="2" t="s">
        <v>38</v>
      </c>
      <c r="AB455" s="2" t="s">
        <v>39</v>
      </c>
      <c r="AC455" s="2" t="s">
        <v>39</v>
      </c>
      <c r="AD455" s="2" t="s">
        <v>39</v>
      </c>
      <c r="AE455" s="2" t="s">
        <v>39</v>
      </c>
    </row>
    <row r="456" spans="1:31" ht="409.5">
      <c r="A456" s="2">
        <v>2761454</v>
      </c>
      <c r="B456" s="2">
        <f>HYPERLINK("https://platform.v2.vetology.net/cases/2761454/screening-report/1?type=pdf&amp;v=v6&amp;scorecard=1&amp;secret_key=BX%25IJ%24%2F65ieZ%29f6", 2761454)</f>
        <v>2761454</v>
      </c>
      <c r="C456" s="2">
        <f>HYPERLINK("https://platform.v2.vetology.net/report/v/final/"&amp;2761454, 2761454)</f>
        <v>2761454</v>
      </c>
      <c r="D456" s="2" t="s">
        <v>1607</v>
      </c>
      <c r="E456" s="2" t="s">
        <v>99</v>
      </c>
      <c r="F456" s="2"/>
      <c r="G456" s="2" t="s">
        <v>100</v>
      </c>
      <c r="H456" s="2" t="s">
        <v>69</v>
      </c>
      <c r="I456" s="2" t="s">
        <v>46</v>
      </c>
      <c r="J456" s="2"/>
      <c r="K456" s="2" t="s">
        <v>39</v>
      </c>
      <c r="L456" s="2" t="s">
        <v>39</v>
      </c>
      <c r="M456" s="2" t="s">
        <v>39</v>
      </c>
      <c r="N456" s="2" t="s">
        <v>39</v>
      </c>
      <c r="O456" s="2" t="s">
        <v>39</v>
      </c>
      <c r="P456" s="2" t="s">
        <v>39</v>
      </c>
      <c r="Q456" s="2" t="s">
        <v>39</v>
      </c>
      <c r="R456" s="2" t="s">
        <v>39</v>
      </c>
      <c r="S456" s="2" t="s">
        <v>39</v>
      </c>
      <c r="T456" s="2" t="s">
        <v>39</v>
      </c>
      <c r="U456" s="2" t="s">
        <v>39</v>
      </c>
      <c r="V456" s="2" t="s">
        <v>39</v>
      </c>
      <c r="W456" s="2" t="s">
        <v>39</v>
      </c>
      <c r="X456" s="2" t="s">
        <v>39</v>
      </c>
      <c r="Y456" s="2" t="s">
        <v>39</v>
      </c>
      <c r="Z456" s="2" t="s">
        <v>39</v>
      </c>
      <c r="AA456" s="2" t="s">
        <v>39</v>
      </c>
      <c r="AB456" s="2" t="s">
        <v>39</v>
      </c>
      <c r="AC456" s="2" t="s">
        <v>39</v>
      </c>
      <c r="AD456" s="2" t="s">
        <v>39</v>
      </c>
      <c r="AE456" s="2" t="s">
        <v>39</v>
      </c>
    </row>
    <row r="457" spans="1:31" ht="409.5">
      <c r="A457" s="2">
        <v>2761441</v>
      </c>
      <c r="B457" s="2">
        <f>HYPERLINK("https://platform.v2.vetology.net/cases/2761441/screening-report/1?type=pdf&amp;v=v6&amp;scorecard=1&amp;secret_key=BX%25IJ%24%2F65ieZ%29f6", 2761441)</f>
        <v>2761441</v>
      </c>
      <c r="C457" s="2">
        <f>HYPERLINK("https://platform.v2.vetology.net/report/v/final/"&amp;2761441, 2761441)</f>
        <v>2761441</v>
      </c>
      <c r="D457" s="2" t="s">
        <v>1608</v>
      </c>
      <c r="E457" s="2" t="s">
        <v>1609</v>
      </c>
      <c r="F457" s="2" t="s">
        <v>43</v>
      </c>
      <c r="G457" s="2" t="s">
        <v>44</v>
      </c>
      <c r="H457" s="2" t="s">
        <v>1610</v>
      </c>
      <c r="I457" s="2" t="s">
        <v>73</v>
      </c>
      <c r="J457" s="2" t="s">
        <v>74</v>
      </c>
      <c r="K457" s="2" t="s">
        <v>38</v>
      </c>
      <c r="L457" s="2" t="s">
        <v>38</v>
      </c>
      <c r="M457" s="2" t="s">
        <v>38</v>
      </c>
      <c r="N457" s="2" t="s">
        <v>38</v>
      </c>
      <c r="O457" s="2" t="s">
        <v>38</v>
      </c>
      <c r="P457" s="2" t="s">
        <v>38</v>
      </c>
      <c r="Q457" s="2" t="s">
        <v>38</v>
      </c>
      <c r="R457" s="2" t="s">
        <v>38</v>
      </c>
      <c r="S457" s="2" t="s">
        <v>38</v>
      </c>
      <c r="T457" s="2" t="s">
        <v>38</v>
      </c>
      <c r="U457" s="2" t="s">
        <v>38</v>
      </c>
      <c r="V457" s="2" t="s">
        <v>38</v>
      </c>
      <c r="W457" s="2" t="s">
        <v>38</v>
      </c>
      <c r="X457" s="2" t="s">
        <v>38</v>
      </c>
      <c r="Y457" s="2" t="s">
        <v>39</v>
      </c>
      <c r="Z457" s="2" t="s">
        <v>38</v>
      </c>
      <c r="AA457" s="2" t="s">
        <v>38</v>
      </c>
      <c r="AB457" s="2" t="s">
        <v>38</v>
      </c>
      <c r="AC457" s="2" t="s">
        <v>38</v>
      </c>
      <c r="AD457" s="2" t="s">
        <v>38</v>
      </c>
      <c r="AE457" s="2" t="s">
        <v>40</v>
      </c>
    </row>
    <row r="458" spans="1:31" ht="409.5">
      <c r="A458" s="2">
        <v>2761427</v>
      </c>
      <c r="B458" s="2">
        <f>HYPERLINK("https://platform.v2.vetology.net/cases/2761427/screening-report/1?type=pdf&amp;v=v6&amp;scorecard=1&amp;secret_key=BX%25IJ%24%2F65ieZ%29f6", 2761427)</f>
        <v>2761427</v>
      </c>
      <c r="C458" s="2">
        <f>HYPERLINK("https://platform.v2.vetology.net/report/v/final/"&amp;2761427, 2761427)</f>
        <v>2761427</v>
      </c>
      <c r="D458" s="2" t="s">
        <v>1611</v>
      </c>
      <c r="E458" s="2" t="s">
        <v>1073</v>
      </c>
      <c r="F458" s="2" t="s">
        <v>787</v>
      </c>
      <c r="G458" s="2" t="s">
        <v>100</v>
      </c>
      <c r="H458" s="2" t="s">
        <v>947</v>
      </c>
      <c r="I458" s="2" t="s">
        <v>59</v>
      </c>
      <c r="J458" s="2" t="s">
        <v>37</v>
      </c>
      <c r="K458" s="2" t="s">
        <v>38</v>
      </c>
      <c r="L458" s="2" t="s">
        <v>39</v>
      </c>
      <c r="M458" s="2" t="s">
        <v>39</v>
      </c>
      <c r="N458" s="2" t="s">
        <v>39</v>
      </c>
      <c r="O458" s="2" t="s">
        <v>39</v>
      </c>
      <c r="P458" s="2" t="s">
        <v>39</v>
      </c>
      <c r="Q458" s="2" t="s">
        <v>39</v>
      </c>
      <c r="R458" s="2" t="s">
        <v>38</v>
      </c>
      <c r="S458" s="2" t="s">
        <v>38</v>
      </c>
      <c r="T458" s="2" t="s">
        <v>39</v>
      </c>
      <c r="U458" s="2" t="s">
        <v>38</v>
      </c>
      <c r="V458" s="2" t="s">
        <v>38</v>
      </c>
      <c r="W458" s="2" t="s">
        <v>39</v>
      </c>
      <c r="X458" s="2" t="s">
        <v>39</v>
      </c>
      <c r="Y458" s="2" t="s">
        <v>39</v>
      </c>
      <c r="Z458" s="2" t="s">
        <v>39</v>
      </c>
      <c r="AA458" s="2" t="s">
        <v>38</v>
      </c>
      <c r="AB458" s="2" t="s">
        <v>39</v>
      </c>
      <c r="AC458" s="2" t="s">
        <v>38</v>
      </c>
      <c r="AD458" s="2" t="s">
        <v>39</v>
      </c>
      <c r="AE458" s="2" t="s">
        <v>39</v>
      </c>
    </row>
    <row r="459" spans="1:31" ht="409.5">
      <c r="A459" s="2">
        <v>2761425</v>
      </c>
      <c r="B459" s="2">
        <f>HYPERLINK("https://platform.v2.vetology.net/cases/2761425/screening-report/1?type=pdf&amp;v=v6&amp;scorecard=1&amp;secret_key=BX%25IJ%24%2F65ieZ%29f6", 2761425)</f>
        <v>2761425</v>
      </c>
      <c r="C459" s="2">
        <f>HYPERLINK("https://platform.v2.vetology.net/report/v/final/"&amp;2761425, 2761425)</f>
        <v>2761425</v>
      </c>
      <c r="D459" s="2" t="s">
        <v>1612</v>
      </c>
      <c r="E459" s="2" t="s">
        <v>1613</v>
      </c>
      <c r="F459" s="2" t="s">
        <v>43</v>
      </c>
      <c r="G459" s="2" t="s">
        <v>100</v>
      </c>
      <c r="H459" s="2" t="s">
        <v>493</v>
      </c>
      <c r="I459" s="2" t="s">
        <v>36</v>
      </c>
      <c r="J459" s="2" t="s">
        <v>37</v>
      </c>
      <c r="K459" s="2" t="s">
        <v>38</v>
      </c>
      <c r="L459" s="2" t="s">
        <v>39</v>
      </c>
      <c r="M459" s="2" t="s">
        <v>38</v>
      </c>
      <c r="N459" s="2" t="s">
        <v>39</v>
      </c>
      <c r="O459" s="2" t="s">
        <v>39</v>
      </c>
      <c r="P459" s="2" t="s">
        <v>39</v>
      </c>
      <c r="Q459" s="2" t="s">
        <v>39</v>
      </c>
      <c r="R459" s="2" t="s">
        <v>39</v>
      </c>
      <c r="S459" s="2" t="s">
        <v>39</v>
      </c>
      <c r="T459" s="2" t="s">
        <v>38</v>
      </c>
      <c r="U459" s="2" t="s">
        <v>38</v>
      </c>
      <c r="V459" s="2" t="s">
        <v>38</v>
      </c>
      <c r="W459" s="2" t="s">
        <v>39</v>
      </c>
      <c r="X459" s="2" t="s">
        <v>39</v>
      </c>
      <c r="Y459" s="2" t="s">
        <v>39</v>
      </c>
      <c r="Z459" s="2" t="s">
        <v>38</v>
      </c>
      <c r="AA459" s="2" t="s">
        <v>38</v>
      </c>
      <c r="AB459" s="2" t="s">
        <v>39</v>
      </c>
      <c r="AC459" s="2" t="s">
        <v>39</v>
      </c>
      <c r="AD459" s="2" t="s">
        <v>39</v>
      </c>
      <c r="AE459" s="2" t="s">
        <v>39</v>
      </c>
    </row>
    <row r="460" spans="1:31" ht="409.5">
      <c r="A460" s="2">
        <v>2761424</v>
      </c>
      <c r="B460" s="2">
        <f>HYPERLINK("https://platform.v2.vetology.net/cases/2761424/screening-report/1?type=pdf&amp;v=v6&amp;scorecard=1&amp;secret_key=BX%25IJ%24%2F65ieZ%29f6", 2761424)</f>
        <v>2761424</v>
      </c>
      <c r="C460" s="2">
        <f>HYPERLINK("https://platform.v2.vetology.net/report/v/final/"&amp;2761424, 2761424)</f>
        <v>2761424</v>
      </c>
      <c r="D460" s="2" t="s">
        <v>1614</v>
      </c>
      <c r="E460" s="2" t="s">
        <v>1615</v>
      </c>
      <c r="F460" s="2" t="s">
        <v>1616</v>
      </c>
      <c r="G460" s="2" t="s">
        <v>415</v>
      </c>
      <c r="H460" s="2" t="s">
        <v>45</v>
      </c>
      <c r="I460" s="2" t="s">
        <v>46</v>
      </c>
      <c r="J460" s="2"/>
      <c r="K460" s="2" t="s">
        <v>39</v>
      </c>
      <c r="L460" s="2" t="s">
        <v>39</v>
      </c>
      <c r="M460" s="2" t="s">
        <v>39</v>
      </c>
      <c r="N460" s="2" t="s">
        <v>39</v>
      </c>
      <c r="O460" s="2" t="s">
        <v>39</v>
      </c>
      <c r="P460" s="2" t="s">
        <v>39</v>
      </c>
      <c r="Q460" s="2" t="s">
        <v>39</v>
      </c>
      <c r="R460" s="2" t="s">
        <v>38</v>
      </c>
      <c r="S460" s="2" t="s">
        <v>39</v>
      </c>
      <c r="T460" s="2" t="s">
        <v>39</v>
      </c>
      <c r="U460" s="2" t="s">
        <v>39</v>
      </c>
      <c r="V460" s="2" t="s">
        <v>39</v>
      </c>
      <c r="W460" s="2" t="s">
        <v>38</v>
      </c>
      <c r="X460" s="2" t="s">
        <v>39</v>
      </c>
      <c r="Y460" s="2" t="s">
        <v>39</v>
      </c>
      <c r="Z460" s="2" t="s">
        <v>39</v>
      </c>
      <c r="AA460" s="2" t="s">
        <v>39</v>
      </c>
      <c r="AB460" s="2" t="s">
        <v>39</v>
      </c>
      <c r="AC460" s="2" t="s">
        <v>38</v>
      </c>
      <c r="AD460" s="2" t="s">
        <v>38</v>
      </c>
      <c r="AE460" s="2"/>
    </row>
    <row r="461" spans="1:31" ht="409.5">
      <c r="A461" s="2">
        <v>2761379</v>
      </c>
      <c r="B461" s="2">
        <f>HYPERLINK("https://platform.v2.vetology.net/cases/2761379/screening-report/1?type=pdf&amp;v=v6&amp;scorecard=1&amp;secret_key=BX%25IJ%24%2F65ieZ%29f6", 2761379)</f>
        <v>2761379</v>
      </c>
      <c r="C461" s="2">
        <f>HYPERLINK("https://platform.v2.vetology.net/report/v/final/"&amp;2761379, 2761379)</f>
        <v>2761379</v>
      </c>
      <c r="D461" s="2" t="s">
        <v>1617</v>
      </c>
      <c r="E461" s="2" t="s">
        <v>1618</v>
      </c>
      <c r="F461" s="2" t="s">
        <v>1619</v>
      </c>
      <c r="G461" s="2" t="s">
        <v>251</v>
      </c>
      <c r="H461" s="2" t="s">
        <v>1620</v>
      </c>
      <c r="I461" s="2" t="s">
        <v>36</v>
      </c>
      <c r="J461" s="2" t="s">
        <v>37</v>
      </c>
      <c r="K461" s="2" t="s">
        <v>38</v>
      </c>
      <c r="L461" s="2" t="s">
        <v>38</v>
      </c>
      <c r="M461" s="2" t="s">
        <v>38</v>
      </c>
      <c r="N461" s="2" t="s">
        <v>38</v>
      </c>
      <c r="O461" s="2" t="s">
        <v>38</v>
      </c>
      <c r="P461" s="2" t="s">
        <v>38</v>
      </c>
      <c r="Q461" s="2" t="s">
        <v>39</v>
      </c>
      <c r="R461" s="2" t="s">
        <v>38</v>
      </c>
      <c r="S461" s="2" t="s">
        <v>38</v>
      </c>
      <c r="T461" s="2" t="s">
        <v>38</v>
      </c>
      <c r="U461" s="2" t="s">
        <v>38</v>
      </c>
      <c r="V461" s="2" t="s">
        <v>38</v>
      </c>
      <c r="W461" s="2" t="s">
        <v>38</v>
      </c>
      <c r="X461" s="2" t="s">
        <v>39</v>
      </c>
      <c r="Y461" s="2" t="s">
        <v>39</v>
      </c>
      <c r="Z461" s="2" t="s">
        <v>38</v>
      </c>
      <c r="AA461" s="2" t="s">
        <v>38</v>
      </c>
      <c r="AB461" s="2" t="s">
        <v>39</v>
      </c>
      <c r="AC461" s="2" t="s">
        <v>38</v>
      </c>
      <c r="AD461" s="2" t="s">
        <v>38</v>
      </c>
      <c r="AE461" s="2" t="s">
        <v>39</v>
      </c>
    </row>
    <row r="462" spans="1:31" ht="409.5">
      <c r="A462" s="2">
        <v>2761206</v>
      </c>
      <c r="B462" s="2">
        <f>HYPERLINK("https://platform.v2.vetology.net/cases/2761206/screening-report/1?type=pdf&amp;v=v6&amp;scorecard=1&amp;secret_key=BX%25IJ%24%2F65ieZ%29f6", 2761206)</f>
        <v>2761206</v>
      </c>
      <c r="C462" s="2">
        <f>HYPERLINK("https://platform.v2.vetology.net/report/v/final/"&amp;2761206, 2761206)</f>
        <v>2761206</v>
      </c>
      <c r="D462" s="2" t="s">
        <v>1621</v>
      </c>
      <c r="E462" s="2" t="s">
        <v>1622</v>
      </c>
      <c r="F462" s="2" t="s">
        <v>1623</v>
      </c>
      <c r="G462" s="2" t="s">
        <v>44</v>
      </c>
      <c r="H462" s="2" t="s">
        <v>62</v>
      </c>
      <c r="I462" s="2" t="s">
        <v>46</v>
      </c>
      <c r="J462" s="2"/>
      <c r="K462" s="2" t="s">
        <v>39</v>
      </c>
      <c r="L462" s="2" t="s">
        <v>39</v>
      </c>
      <c r="M462" s="2" t="s">
        <v>39</v>
      </c>
      <c r="N462" s="2" t="s">
        <v>39</v>
      </c>
      <c r="O462" s="2" t="s">
        <v>39</v>
      </c>
      <c r="P462" s="2" t="s">
        <v>39</v>
      </c>
      <c r="Q462" s="2" t="s">
        <v>39</v>
      </c>
      <c r="R462" s="2" t="s">
        <v>38</v>
      </c>
      <c r="S462" s="2" t="s">
        <v>38</v>
      </c>
      <c r="T462" s="2" t="s">
        <v>38</v>
      </c>
      <c r="U462" s="2" t="s">
        <v>39</v>
      </c>
      <c r="V462" s="2" t="s">
        <v>39</v>
      </c>
      <c r="W462" s="2" t="s">
        <v>38</v>
      </c>
      <c r="X462" s="2" t="s">
        <v>39</v>
      </c>
      <c r="Y462" s="2" t="s">
        <v>39</v>
      </c>
      <c r="Z462" s="2" t="s">
        <v>38</v>
      </c>
      <c r="AA462" s="2" t="s">
        <v>39</v>
      </c>
      <c r="AB462" s="2" t="s">
        <v>39</v>
      </c>
      <c r="AC462" s="2" t="s">
        <v>38</v>
      </c>
      <c r="AD462" s="2" t="s">
        <v>39</v>
      </c>
      <c r="AE462" s="2" t="s">
        <v>39</v>
      </c>
    </row>
    <row r="463" spans="1:31" ht="409.5">
      <c r="A463" s="2">
        <v>2761161</v>
      </c>
      <c r="B463" s="2">
        <f>HYPERLINK("https://platform.v2.vetology.net/cases/2761161/screening-report/1?type=pdf&amp;v=v6&amp;scorecard=1&amp;secret_key=BX%25IJ%24%2F65ieZ%29f6", 2761161)</f>
        <v>2761161</v>
      </c>
      <c r="C463" s="2">
        <f>HYPERLINK("https://platform.v2.vetology.net/report/v/final/"&amp;2761161, 2761161)</f>
        <v>2761161</v>
      </c>
      <c r="D463" s="2" t="s">
        <v>1624</v>
      </c>
      <c r="E463" s="2" t="s">
        <v>1625</v>
      </c>
      <c r="F463" s="2" t="s">
        <v>1626</v>
      </c>
      <c r="G463" s="2" t="s">
        <v>100</v>
      </c>
      <c r="H463" s="2" t="s">
        <v>1627</v>
      </c>
      <c r="I463" s="2" t="s">
        <v>73</v>
      </c>
      <c r="J463" s="2" t="s">
        <v>74</v>
      </c>
      <c r="K463" s="2" t="s">
        <v>38</v>
      </c>
      <c r="L463" s="2" t="s">
        <v>38</v>
      </c>
      <c r="M463" s="2" t="s">
        <v>38</v>
      </c>
      <c r="N463" s="2" t="s">
        <v>38</v>
      </c>
      <c r="O463" s="2" t="s">
        <v>38</v>
      </c>
      <c r="P463" s="2" t="s">
        <v>38</v>
      </c>
      <c r="Q463" s="2" t="s">
        <v>38</v>
      </c>
      <c r="R463" s="2" t="s">
        <v>38</v>
      </c>
      <c r="S463" s="2" t="s">
        <v>38</v>
      </c>
      <c r="T463" s="2" t="s">
        <v>38</v>
      </c>
      <c r="U463" s="2" t="s">
        <v>38</v>
      </c>
      <c r="V463" s="2" t="s">
        <v>38</v>
      </c>
      <c r="W463" s="2" t="s">
        <v>38</v>
      </c>
      <c r="X463" s="2" t="s">
        <v>38</v>
      </c>
      <c r="Y463" s="2" t="s">
        <v>39</v>
      </c>
      <c r="Z463" s="2" t="s">
        <v>38</v>
      </c>
      <c r="AA463" s="2" t="s">
        <v>38</v>
      </c>
      <c r="AB463" s="2" t="s">
        <v>39</v>
      </c>
      <c r="AC463" s="2" t="s">
        <v>38</v>
      </c>
      <c r="AD463" s="2" t="s">
        <v>39</v>
      </c>
      <c r="AE463" s="2" t="s">
        <v>39</v>
      </c>
    </row>
    <row r="464" spans="1:31" ht="409.5">
      <c r="A464" s="2">
        <v>2761063</v>
      </c>
      <c r="B464" s="2">
        <f>HYPERLINK("https://platform.v2.vetology.net/cases/2761063/screening-report/1?type=pdf&amp;v=v6&amp;scorecard=1&amp;secret_key=BX%25IJ%24%2F65ieZ%29f6", 2761063)</f>
        <v>2761063</v>
      </c>
      <c r="C464" s="2">
        <f>HYPERLINK("https://platform.v2.vetology.net/report/v/final/"&amp;2761063, 2761063)</f>
        <v>2761063</v>
      </c>
      <c r="D464" s="2" t="s">
        <v>1628</v>
      </c>
      <c r="E464" s="2" t="s">
        <v>1629</v>
      </c>
      <c r="F464" s="2" t="s">
        <v>1630</v>
      </c>
      <c r="G464" s="2" t="s">
        <v>53</v>
      </c>
      <c r="H464" s="2" t="s">
        <v>1631</v>
      </c>
      <c r="I464" s="2" t="s">
        <v>59</v>
      </c>
      <c r="J464" s="2" t="s">
        <v>37</v>
      </c>
      <c r="K464" s="2" t="s">
        <v>39</v>
      </c>
      <c r="L464" s="2" t="s">
        <v>39</v>
      </c>
      <c r="M464" s="2" t="s">
        <v>39</v>
      </c>
      <c r="N464" s="2" t="s">
        <v>38</v>
      </c>
      <c r="O464" s="2" t="s">
        <v>39</v>
      </c>
      <c r="P464" s="2" t="s">
        <v>39</v>
      </c>
      <c r="Q464" s="2" t="s">
        <v>39</v>
      </c>
      <c r="R464" s="2" t="s">
        <v>39</v>
      </c>
      <c r="S464" s="2" t="s">
        <v>38</v>
      </c>
      <c r="T464" s="2" t="s">
        <v>38</v>
      </c>
      <c r="U464" s="2" t="s">
        <v>38</v>
      </c>
      <c r="V464" s="2" t="s">
        <v>38</v>
      </c>
      <c r="W464" s="2" t="s">
        <v>39</v>
      </c>
      <c r="X464" s="2" t="s">
        <v>39</v>
      </c>
      <c r="Y464" s="2" t="s">
        <v>39</v>
      </c>
      <c r="Z464" s="2" t="s">
        <v>39</v>
      </c>
      <c r="AA464" s="2" t="s">
        <v>38</v>
      </c>
      <c r="AB464" s="2" t="s">
        <v>39</v>
      </c>
      <c r="AC464" s="2" t="s">
        <v>38</v>
      </c>
      <c r="AD464" s="2" t="s">
        <v>39</v>
      </c>
      <c r="AE464" s="2" t="s">
        <v>40</v>
      </c>
    </row>
    <row r="465" spans="1:31" ht="409.5">
      <c r="A465" s="2">
        <v>2761058</v>
      </c>
      <c r="B465" s="2">
        <f>HYPERLINK("https://platform.v2.vetology.net/cases/2761058/screening-report/1?type=pdf&amp;v=v6&amp;scorecard=1&amp;secret_key=BX%25IJ%24%2F65ieZ%29f6", 2761058)</f>
        <v>2761058</v>
      </c>
      <c r="C465" s="2">
        <f>HYPERLINK("https://platform.v2.vetology.net/report/v/final/"&amp;2761058, 2761058)</f>
        <v>2761058</v>
      </c>
      <c r="D465" s="2" t="s">
        <v>1632</v>
      </c>
      <c r="E465" s="2" t="s">
        <v>1633</v>
      </c>
      <c r="F465" s="2" t="s">
        <v>1634</v>
      </c>
      <c r="G465" s="2" t="s">
        <v>53</v>
      </c>
      <c r="H465" s="2" t="s">
        <v>45</v>
      </c>
      <c r="I465" s="2" t="s">
        <v>46</v>
      </c>
      <c r="J465" s="2"/>
      <c r="K465" s="2" t="s">
        <v>39</v>
      </c>
      <c r="L465" s="2" t="s">
        <v>39</v>
      </c>
      <c r="M465" s="2" t="s">
        <v>39</v>
      </c>
      <c r="N465" s="2" t="s">
        <v>39</v>
      </c>
      <c r="O465" s="2" t="s">
        <v>39</v>
      </c>
      <c r="P465" s="2" t="s">
        <v>39</v>
      </c>
      <c r="Q465" s="2" t="s">
        <v>39</v>
      </c>
      <c r="R465" s="2" t="s">
        <v>38</v>
      </c>
      <c r="S465" s="2" t="s">
        <v>39</v>
      </c>
      <c r="T465" s="2" t="s">
        <v>39</v>
      </c>
      <c r="U465" s="2" t="s">
        <v>39</v>
      </c>
      <c r="V465" s="2" t="s">
        <v>39</v>
      </c>
      <c r="W465" s="2" t="s">
        <v>38</v>
      </c>
      <c r="X465" s="2" t="s">
        <v>39</v>
      </c>
      <c r="Y465" s="2" t="s">
        <v>39</v>
      </c>
      <c r="Z465" s="2" t="s">
        <v>38</v>
      </c>
      <c r="AA465" s="2" t="s">
        <v>38</v>
      </c>
      <c r="AB465" s="2" t="s">
        <v>39</v>
      </c>
      <c r="AC465" s="2" t="s">
        <v>38</v>
      </c>
      <c r="AD465" s="2" t="s">
        <v>38</v>
      </c>
      <c r="AE465" s="2" t="s">
        <v>40</v>
      </c>
    </row>
    <row r="466" spans="1:31" ht="409.5">
      <c r="A466" s="2">
        <v>2760947</v>
      </c>
      <c r="B466" s="2">
        <f>HYPERLINK("https://platform.v2.vetology.net/cases/2760947/screening-report/1?type=pdf&amp;v=v6&amp;scorecard=1&amp;secret_key=BX%25IJ%24%2F65ieZ%29f6", 2760947)</f>
        <v>2760947</v>
      </c>
      <c r="C466" s="2">
        <f>HYPERLINK("https://platform.v2.vetology.net/report/v/final/"&amp;2760947, 2760947)</f>
        <v>2760947</v>
      </c>
      <c r="D466" s="2" t="s">
        <v>1635</v>
      </c>
      <c r="E466" s="2" t="s">
        <v>1636</v>
      </c>
      <c r="F466" s="2" t="s">
        <v>43</v>
      </c>
      <c r="G466" s="2" t="s">
        <v>100</v>
      </c>
      <c r="H466" s="2" t="s">
        <v>1637</v>
      </c>
      <c r="I466" s="2" t="s">
        <v>684</v>
      </c>
      <c r="J466" s="2" t="s">
        <v>74</v>
      </c>
      <c r="K466" s="2" t="s">
        <v>38</v>
      </c>
      <c r="L466" s="2" t="s">
        <v>38</v>
      </c>
      <c r="M466" s="2" t="s">
        <v>39</v>
      </c>
      <c r="N466" s="2" t="s">
        <v>39</v>
      </c>
      <c r="O466" s="2" t="s">
        <v>39</v>
      </c>
      <c r="P466" s="2" t="s">
        <v>38</v>
      </c>
      <c r="Q466" s="2" t="s">
        <v>38</v>
      </c>
      <c r="R466" s="2" t="s">
        <v>39</v>
      </c>
      <c r="S466" s="2" t="s">
        <v>39</v>
      </c>
      <c r="T466" s="2" t="s">
        <v>38</v>
      </c>
      <c r="U466" s="2" t="s">
        <v>39</v>
      </c>
      <c r="V466" s="2" t="s">
        <v>39</v>
      </c>
      <c r="W466" s="2" t="s">
        <v>38</v>
      </c>
      <c r="X466" s="2" t="s">
        <v>38</v>
      </c>
      <c r="Y466" s="2" t="s">
        <v>39</v>
      </c>
      <c r="Z466" s="2" t="s">
        <v>39</v>
      </c>
      <c r="AA466" s="2" t="s">
        <v>38</v>
      </c>
      <c r="AB466" s="2" t="s">
        <v>38</v>
      </c>
      <c r="AC466" s="2" t="s">
        <v>39</v>
      </c>
      <c r="AD466" s="2" t="s">
        <v>38</v>
      </c>
      <c r="AE466" s="2"/>
    </row>
    <row r="467" spans="1:31" ht="409.5">
      <c r="A467" s="2">
        <v>2760938</v>
      </c>
      <c r="B467" s="2">
        <f>HYPERLINK("https://platform.v2.vetology.net/cases/2760938/screening-report/1?type=pdf&amp;v=v6&amp;scorecard=1&amp;secret_key=BX%25IJ%24%2F65ieZ%29f6", 2760938)</f>
        <v>2760938</v>
      </c>
      <c r="C467" s="2">
        <f>HYPERLINK("https://platform.v2.vetology.net/report/v/final/"&amp;2760938, 2760938)</f>
        <v>2760938</v>
      </c>
      <c r="D467" s="2" t="s">
        <v>1638</v>
      </c>
      <c r="E467" s="2" t="s">
        <v>1639</v>
      </c>
      <c r="F467" s="2" t="s">
        <v>1640</v>
      </c>
      <c r="G467" s="2" t="s">
        <v>111</v>
      </c>
      <c r="H467" s="2" t="s">
        <v>1641</v>
      </c>
      <c r="I467" s="2" t="s">
        <v>73</v>
      </c>
      <c r="J467" s="2" t="s">
        <v>74</v>
      </c>
      <c r="K467" s="2" t="s">
        <v>38</v>
      </c>
      <c r="L467" s="2" t="s">
        <v>39</v>
      </c>
      <c r="M467" s="2" t="s">
        <v>39</v>
      </c>
      <c r="N467" s="2" t="s">
        <v>38</v>
      </c>
      <c r="O467" s="2" t="s">
        <v>38</v>
      </c>
      <c r="P467" s="2" t="s">
        <v>39</v>
      </c>
      <c r="Q467" s="2" t="s">
        <v>38</v>
      </c>
      <c r="R467" s="2" t="s">
        <v>39</v>
      </c>
      <c r="S467" s="2" t="s">
        <v>38</v>
      </c>
      <c r="T467" s="2" t="s">
        <v>38</v>
      </c>
      <c r="U467" s="2" t="s">
        <v>38</v>
      </c>
      <c r="V467" s="2" t="s">
        <v>38</v>
      </c>
      <c r="W467" s="2" t="s">
        <v>38</v>
      </c>
      <c r="X467" s="2" t="s">
        <v>38</v>
      </c>
      <c r="Y467" s="2" t="s">
        <v>39</v>
      </c>
      <c r="Z467" s="2" t="s">
        <v>39</v>
      </c>
      <c r="AA467" s="2" t="s">
        <v>38</v>
      </c>
      <c r="AB467" s="2" t="s">
        <v>38</v>
      </c>
      <c r="AC467" s="2" t="s">
        <v>38</v>
      </c>
      <c r="AD467" s="2" t="s">
        <v>39</v>
      </c>
      <c r="AE467" s="2" t="s">
        <v>39</v>
      </c>
    </row>
    <row r="468" spans="1:31" ht="409.5">
      <c r="A468" s="2">
        <v>2760915</v>
      </c>
      <c r="B468" s="2">
        <f>HYPERLINK("https://platform.v2.vetology.net/cases/2760915/screening-report/1?type=pdf&amp;v=v6&amp;scorecard=1&amp;secret_key=BX%25IJ%24%2F65ieZ%29f6", 2760915)</f>
        <v>2760915</v>
      </c>
      <c r="C468" s="2">
        <f>HYPERLINK("https://platform.v2.vetology.net/report/v/final/"&amp;2760915, 2760915)</f>
        <v>2760915</v>
      </c>
      <c r="D468" s="2" t="s">
        <v>1642</v>
      </c>
      <c r="E468" s="2" t="s">
        <v>1643</v>
      </c>
      <c r="F468" s="2" t="s">
        <v>1644</v>
      </c>
      <c r="G468" s="2" t="s">
        <v>111</v>
      </c>
      <c r="H468" s="2" t="s">
        <v>1645</v>
      </c>
      <c r="I468" s="2" t="s">
        <v>73</v>
      </c>
      <c r="J468" s="2" t="s">
        <v>74</v>
      </c>
      <c r="K468" s="2" t="s">
        <v>38</v>
      </c>
      <c r="L468" s="2" t="s">
        <v>38</v>
      </c>
      <c r="M468" s="2" t="s">
        <v>38</v>
      </c>
      <c r="N468" s="2" t="s">
        <v>38</v>
      </c>
      <c r="O468" s="2" t="s">
        <v>38</v>
      </c>
      <c r="P468" s="2" t="s">
        <v>38</v>
      </c>
      <c r="Q468" s="2" t="s">
        <v>38</v>
      </c>
      <c r="R468" s="2" t="s">
        <v>39</v>
      </c>
      <c r="S468" s="2" t="s">
        <v>38</v>
      </c>
      <c r="T468" s="2" t="s">
        <v>38</v>
      </c>
      <c r="U468" s="2" t="s">
        <v>39</v>
      </c>
      <c r="V468" s="2" t="s">
        <v>38</v>
      </c>
      <c r="W468" s="2" t="s">
        <v>38</v>
      </c>
      <c r="X468" s="2" t="s">
        <v>38</v>
      </c>
      <c r="Y468" s="2" t="s">
        <v>39</v>
      </c>
      <c r="Z468" s="2" t="s">
        <v>38</v>
      </c>
      <c r="AA468" s="2" t="s">
        <v>38</v>
      </c>
      <c r="AB468" s="2" t="s">
        <v>38</v>
      </c>
      <c r="AC468" s="2" t="s">
        <v>39</v>
      </c>
      <c r="AD468" s="2" t="s">
        <v>39</v>
      </c>
      <c r="AE468" s="2" t="s">
        <v>40</v>
      </c>
    </row>
    <row r="469" spans="1:31" ht="409.5">
      <c r="A469" s="2">
        <v>2760886</v>
      </c>
      <c r="B469" s="2">
        <f>HYPERLINK("https://platform.v2.vetology.net/cases/2760886/screening-report/1?type=pdf&amp;v=v6&amp;scorecard=1&amp;secret_key=BX%25IJ%24%2F65ieZ%29f6", 2760886)</f>
        <v>2760886</v>
      </c>
      <c r="C469" s="2">
        <f>HYPERLINK("https://platform.v2.vetology.net/report/v/final/"&amp;2760886, 2760886)</f>
        <v>2760886</v>
      </c>
      <c r="D469" s="2" t="s">
        <v>1646</v>
      </c>
      <c r="E469" s="2" t="s">
        <v>1647</v>
      </c>
      <c r="F469" s="2" t="s">
        <v>1648</v>
      </c>
      <c r="G469" s="2" t="s">
        <v>170</v>
      </c>
      <c r="H469" s="2" t="s">
        <v>1649</v>
      </c>
      <c r="I469" s="2" t="s">
        <v>257</v>
      </c>
      <c r="J469" s="2" t="s">
        <v>74</v>
      </c>
      <c r="K469" s="2" t="s">
        <v>38</v>
      </c>
      <c r="L469" s="2" t="s">
        <v>38</v>
      </c>
      <c r="M469" s="2" t="s">
        <v>38</v>
      </c>
      <c r="N469" s="2" t="s">
        <v>38</v>
      </c>
      <c r="O469" s="2" t="s">
        <v>38</v>
      </c>
      <c r="P469" s="2" t="s">
        <v>38</v>
      </c>
      <c r="Q469" s="2" t="s">
        <v>38</v>
      </c>
      <c r="R469" s="2" t="s">
        <v>38</v>
      </c>
      <c r="S469" s="2" t="s">
        <v>38</v>
      </c>
      <c r="T469" s="2" t="s">
        <v>38</v>
      </c>
      <c r="U469" s="2" t="s">
        <v>38</v>
      </c>
      <c r="V469" s="2" t="s">
        <v>38</v>
      </c>
      <c r="W469" s="2" t="s">
        <v>38</v>
      </c>
      <c r="X469" s="2" t="s">
        <v>38</v>
      </c>
      <c r="Y469" s="2" t="s">
        <v>38</v>
      </c>
      <c r="Z469" s="2" t="s">
        <v>38</v>
      </c>
      <c r="AA469" s="2" t="s">
        <v>38</v>
      </c>
      <c r="AB469" s="2" t="s">
        <v>38</v>
      </c>
      <c r="AC469" s="2" t="s">
        <v>38</v>
      </c>
      <c r="AD469" s="2" t="s">
        <v>38</v>
      </c>
      <c r="AE469" s="2" t="s">
        <v>39</v>
      </c>
    </row>
    <row r="470" spans="1:31" ht="409.5">
      <c r="A470" s="2">
        <v>2760878</v>
      </c>
      <c r="B470" s="2">
        <f>HYPERLINK("https://platform.v2.vetology.net/cases/2760878/screening-report/1?type=pdf&amp;v=v6&amp;scorecard=1&amp;secret_key=BX%25IJ%24%2F65ieZ%29f6", 2760878)</f>
        <v>2760878</v>
      </c>
      <c r="C470" s="2">
        <f>HYPERLINK("https://platform.v2.vetology.net/report/v/final/"&amp;2760878, 2760878)</f>
        <v>2760878</v>
      </c>
      <c r="D470" s="2" t="s">
        <v>1650</v>
      </c>
      <c r="E470" s="2" t="s">
        <v>1651</v>
      </c>
      <c r="F470" s="2" t="s">
        <v>1652</v>
      </c>
      <c r="G470" s="2" t="s">
        <v>111</v>
      </c>
      <c r="H470" s="2" t="s">
        <v>69</v>
      </c>
      <c r="I470" s="2" t="s">
        <v>46</v>
      </c>
      <c r="J470" s="2"/>
      <c r="K470" s="2" t="s">
        <v>39</v>
      </c>
      <c r="L470" s="2" t="s">
        <v>39</v>
      </c>
      <c r="M470" s="2" t="s">
        <v>39</v>
      </c>
      <c r="N470" s="2" t="s">
        <v>39</v>
      </c>
      <c r="O470" s="2" t="s">
        <v>39</v>
      </c>
      <c r="P470" s="2" t="s">
        <v>39</v>
      </c>
      <c r="Q470" s="2" t="s">
        <v>39</v>
      </c>
      <c r="R470" s="2" t="s">
        <v>39</v>
      </c>
      <c r="S470" s="2" t="s">
        <v>39</v>
      </c>
      <c r="T470" s="2" t="s">
        <v>39</v>
      </c>
      <c r="U470" s="2" t="s">
        <v>39</v>
      </c>
      <c r="V470" s="2" t="s">
        <v>39</v>
      </c>
      <c r="W470" s="2" t="s">
        <v>39</v>
      </c>
      <c r="X470" s="2" t="s">
        <v>39</v>
      </c>
      <c r="Y470" s="2" t="s">
        <v>39</v>
      </c>
      <c r="Z470" s="2" t="s">
        <v>39</v>
      </c>
      <c r="AA470" s="2" t="s">
        <v>39</v>
      </c>
      <c r="AB470" s="2" t="s">
        <v>39</v>
      </c>
      <c r="AC470" s="2" t="s">
        <v>39</v>
      </c>
      <c r="AD470" s="2" t="s">
        <v>38</v>
      </c>
      <c r="AE470" s="2" t="s">
        <v>39</v>
      </c>
    </row>
    <row r="471" spans="1:31" ht="409.5">
      <c r="A471" s="2">
        <v>2760874</v>
      </c>
      <c r="B471" s="2">
        <f>HYPERLINK("https://platform.v2.vetology.net/cases/2760874/screening-report/1?type=pdf&amp;v=v6&amp;scorecard=1&amp;secret_key=BX%25IJ%24%2F65ieZ%29f6", 2760874)</f>
        <v>2760874</v>
      </c>
      <c r="C471" s="2">
        <f>HYPERLINK("https://platform.v2.vetology.net/report/v/final/"&amp;2760874, 2760874)</f>
        <v>2760874</v>
      </c>
      <c r="D471" s="2" t="s">
        <v>1653</v>
      </c>
      <c r="E471" s="2" t="s">
        <v>1654</v>
      </c>
      <c r="F471" s="2" t="s">
        <v>1655</v>
      </c>
      <c r="G471" s="2" t="s">
        <v>53</v>
      </c>
      <c r="H471" s="2" t="s">
        <v>1656</v>
      </c>
      <c r="I471" s="2" t="s">
        <v>36</v>
      </c>
      <c r="J471" s="2" t="s">
        <v>37</v>
      </c>
      <c r="K471" s="2" t="s">
        <v>39</v>
      </c>
      <c r="L471" s="2" t="s">
        <v>39</v>
      </c>
      <c r="M471" s="2" t="s">
        <v>38</v>
      </c>
      <c r="N471" s="2" t="s">
        <v>39</v>
      </c>
      <c r="O471" s="2" t="s">
        <v>39</v>
      </c>
      <c r="P471" s="2" t="s">
        <v>39</v>
      </c>
      <c r="Q471" s="2" t="s">
        <v>39</v>
      </c>
      <c r="R471" s="2" t="s">
        <v>38</v>
      </c>
      <c r="S471" s="2" t="s">
        <v>38</v>
      </c>
      <c r="T471" s="2" t="s">
        <v>38</v>
      </c>
      <c r="U471" s="2" t="s">
        <v>39</v>
      </c>
      <c r="V471" s="2" t="s">
        <v>38</v>
      </c>
      <c r="W471" s="2" t="s">
        <v>38</v>
      </c>
      <c r="X471" s="2" t="s">
        <v>39</v>
      </c>
      <c r="Y471" s="2" t="s">
        <v>39</v>
      </c>
      <c r="Z471" s="2" t="s">
        <v>38</v>
      </c>
      <c r="AA471" s="2" t="s">
        <v>39</v>
      </c>
      <c r="AB471" s="2" t="s">
        <v>39</v>
      </c>
      <c r="AC471" s="2" t="s">
        <v>38</v>
      </c>
      <c r="AD471" s="2" t="s">
        <v>39</v>
      </c>
      <c r="AE471" s="2" t="s">
        <v>39</v>
      </c>
    </row>
    <row r="472" spans="1:31" ht="409.5">
      <c r="A472" s="2">
        <v>2760873</v>
      </c>
      <c r="B472" s="2">
        <f>HYPERLINK("https://platform.v2.vetology.net/cases/2760873/screening-report/1?type=pdf&amp;v=v6&amp;scorecard=1&amp;secret_key=BX%25IJ%24%2F65ieZ%29f6", 2760873)</f>
        <v>2760873</v>
      </c>
      <c r="C472" s="2">
        <f>HYPERLINK("https://platform.v2.vetology.net/report/v/final/"&amp;2760873, 2760873)</f>
        <v>2760873</v>
      </c>
      <c r="D472" s="2" t="s">
        <v>1657</v>
      </c>
      <c r="E472" s="2" t="s">
        <v>1091</v>
      </c>
      <c r="F472" s="2" t="s">
        <v>787</v>
      </c>
      <c r="G472" s="2" t="s">
        <v>100</v>
      </c>
      <c r="H472" s="2" t="s">
        <v>1658</v>
      </c>
      <c r="I472" s="2" t="s">
        <v>36</v>
      </c>
      <c r="J472" s="2" t="s">
        <v>37</v>
      </c>
      <c r="K472" s="2" t="s">
        <v>38</v>
      </c>
      <c r="L472" s="2" t="s">
        <v>39</v>
      </c>
      <c r="M472" s="2" t="s">
        <v>38</v>
      </c>
      <c r="N472" s="2" t="s">
        <v>39</v>
      </c>
      <c r="O472" s="2" t="s">
        <v>38</v>
      </c>
      <c r="P472" s="2" t="s">
        <v>39</v>
      </c>
      <c r="Q472" s="2" t="s">
        <v>39</v>
      </c>
      <c r="R472" s="2" t="s">
        <v>38</v>
      </c>
      <c r="S472" s="2" t="s">
        <v>38</v>
      </c>
      <c r="T472" s="2" t="s">
        <v>39</v>
      </c>
      <c r="U472" s="2" t="s">
        <v>38</v>
      </c>
      <c r="V472" s="2" t="s">
        <v>38</v>
      </c>
      <c r="W472" s="2" t="s">
        <v>38</v>
      </c>
      <c r="X472" s="2" t="s">
        <v>39</v>
      </c>
      <c r="Y472" s="2" t="s">
        <v>38</v>
      </c>
      <c r="Z472" s="2" t="s">
        <v>38</v>
      </c>
      <c r="AA472" s="2" t="s">
        <v>38</v>
      </c>
      <c r="AB472" s="2" t="s">
        <v>39</v>
      </c>
      <c r="AC472" s="2" t="s">
        <v>38</v>
      </c>
      <c r="AD472" s="2" t="s">
        <v>38</v>
      </c>
      <c r="AE472" s="2" t="s">
        <v>40</v>
      </c>
    </row>
    <row r="473" spans="1:31" ht="409.5">
      <c r="A473" s="2">
        <v>2760825</v>
      </c>
      <c r="B473" s="2">
        <f>HYPERLINK("https://platform.v2.vetology.net/cases/2760825/screening-report/1?type=pdf&amp;v=v6&amp;scorecard=1&amp;secret_key=BX%25IJ%24%2F65ieZ%29f6", 2760825)</f>
        <v>2760825</v>
      </c>
      <c r="C473" s="2">
        <f>HYPERLINK("https://platform.v2.vetology.net/report/v/final/"&amp;2760825, 2760825)</f>
        <v>2760825</v>
      </c>
      <c r="D473" s="2" t="s">
        <v>1659</v>
      </c>
      <c r="E473" s="2" t="s">
        <v>1660</v>
      </c>
      <c r="F473" s="2" t="s">
        <v>1661</v>
      </c>
      <c r="G473" s="2" t="s">
        <v>111</v>
      </c>
      <c r="H473" s="2" t="s">
        <v>1662</v>
      </c>
      <c r="I473" s="2" t="s">
        <v>36</v>
      </c>
      <c r="J473" s="2" t="s">
        <v>37</v>
      </c>
      <c r="K473" s="2" t="s">
        <v>39</v>
      </c>
      <c r="L473" s="2" t="s">
        <v>38</v>
      </c>
      <c r="M473" s="2" t="s">
        <v>39</v>
      </c>
      <c r="N473" s="2" t="s">
        <v>38</v>
      </c>
      <c r="O473" s="2" t="s">
        <v>38</v>
      </c>
      <c r="P473" s="2" t="s">
        <v>39</v>
      </c>
      <c r="Q473" s="2" t="s">
        <v>39</v>
      </c>
      <c r="R473" s="2" t="s">
        <v>38</v>
      </c>
      <c r="S473" s="2" t="s">
        <v>38</v>
      </c>
      <c r="T473" s="2" t="s">
        <v>39</v>
      </c>
      <c r="U473" s="2" t="s">
        <v>39</v>
      </c>
      <c r="V473" s="2" t="s">
        <v>39</v>
      </c>
      <c r="W473" s="2" t="s">
        <v>39</v>
      </c>
      <c r="X473" s="2" t="s">
        <v>39</v>
      </c>
      <c r="Y473" s="2" t="s">
        <v>39</v>
      </c>
      <c r="Z473" s="2" t="s">
        <v>39</v>
      </c>
      <c r="AA473" s="2" t="s">
        <v>39</v>
      </c>
      <c r="AB473" s="2" t="s">
        <v>39</v>
      </c>
      <c r="AC473" s="2" t="s">
        <v>38</v>
      </c>
      <c r="AD473" s="2" t="s">
        <v>38</v>
      </c>
      <c r="AE473" s="2" t="s">
        <v>39</v>
      </c>
    </row>
    <row r="474" spans="1:31" ht="409.5">
      <c r="A474" s="2">
        <v>2760819</v>
      </c>
      <c r="B474" s="2">
        <f>HYPERLINK("https://platform.v2.vetology.net/cases/2760819/screening-report/1?type=pdf&amp;v=v6&amp;scorecard=1&amp;secret_key=BX%25IJ%24%2F65ieZ%29f6", 2760819)</f>
        <v>2760819</v>
      </c>
      <c r="C474" s="2">
        <f>HYPERLINK("https://platform.v2.vetology.net/report/v/final/"&amp;2760819, 2760819)</f>
        <v>2760819</v>
      </c>
      <c r="D474" s="2" t="s">
        <v>1663</v>
      </c>
      <c r="E474" s="2" t="s">
        <v>1664</v>
      </c>
      <c r="F474" s="2" t="s">
        <v>43</v>
      </c>
      <c r="G474" s="2" t="s">
        <v>100</v>
      </c>
      <c r="H474" s="2" t="s">
        <v>1665</v>
      </c>
      <c r="I474" s="2" t="s">
        <v>36</v>
      </c>
      <c r="J474" s="2" t="s">
        <v>37</v>
      </c>
      <c r="K474" s="2" t="s">
        <v>38</v>
      </c>
      <c r="L474" s="2" t="s">
        <v>39</v>
      </c>
      <c r="M474" s="2" t="s">
        <v>39</v>
      </c>
      <c r="N474" s="2" t="s">
        <v>38</v>
      </c>
      <c r="O474" s="2" t="s">
        <v>38</v>
      </c>
      <c r="P474" s="2" t="s">
        <v>39</v>
      </c>
      <c r="Q474" s="2" t="s">
        <v>39</v>
      </c>
      <c r="R474" s="2" t="s">
        <v>38</v>
      </c>
      <c r="S474" s="2" t="s">
        <v>39</v>
      </c>
      <c r="T474" s="2" t="s">
        <v>39</v>
      </c>
      <c r="U474" s="2" t="s">
        <v>38</v>
      </c>
      <c r="V474" s="2" t="s">
        <v>38</v>
      </c>
      <c r="W474" s="2" t="s">
        <v>38</v>
      </c>
      <c r="X474" s="2" t="s">
        <v>39</v>
      </c>
      <c r="Y474" s="2" t="s">
        <v>39</v>
      </c>
      <c r="Z474" s="2" t="s">
        <v>38</v>
      </c>
      <c r="AA474" s="2" t="s">
        <v>39</v>
      </c>
      <c r="AB474" s="2" t="s">
        <v>39</v>
      </c>
      <c r="AC474" s="2" t="s">
        <v>38</v>
      </c>
      <c r="AD474" s="2" t="s">
        <v>38</v>
      </c>
      <c r="AE474" s="2" t="s">
        <v>40</v>
      </c>
    </row>
    <row r="475" spans="1:31" ht="409.5">
      <c r="A475" s="2">
        <v>2760773</v>
      </c>
      <c r="B475" s="2">
        <f>HYPERLINK("https://platform.v2.vetology.net/cases/2760773/screening-report/1?type=pdf&amp;v=v6&amp;scorecard=1&amp;secret_key=BX%25IJ%24%2F65ieZ%29f6", 2760773)</f>
        <v>2760773</v>
      </c>
      <c r="C475" s="2">
        <f>HYPERLINK("https://platform.v2.vetology.net/report/v/final/"&amp;2760773, 2760773)</f>
        <v>2760773</v>
      </c>
      <c r="D475" s="2" t="s">
        <v>1666</v>
      </c>
      <c r="E475" s="2" t="s">
        <v>1667</v>
      </c>
      <c r="F475" s="2" t="s">
        <v>1668</v>
      </c>
      <c r="G475" s="2" t="s">
        <v>111</v>
      </c>
      <c r="H475" s="2" t="s">
        <v>1669</v>
      </c>
      <c r="I475" s="2" t="s">
        <v>46</v>
      </c>
      <c r="J475" s="2"/>
      <c r="K475" s="2" t="s">
        <v>39</v>
      </c>
      <c r="L475" s="2" t="s">
        <v>39</v>
      </c>
      <c r="M475" s="2" t="s">
        <v>39</v>
      </c>
      <c r="N475" s="2" t="s">
        <v>39</v>
      </c>
      <c r="O475" s="2" t="s">
        <v>39</v>
      </c>
      <c r="P475" s="2" t="s">
        <v>38</v>
      </c>
      <c r="Q475" s="2" t="s">
        <v>39</v>
      </c>
      <c r="R475" s="2" t="s">
        <v>39</v>
      </c>
      <c r="S475" s="2" t="s">
        <v>39</v>
      </c>
      <c r="T475" s="2" t="s">
        <v>39</v>
      </c>
      <c r="U475" s="2" t="s">
        <v>39</v>
      </c>
      <c r="V475" s="2" t="s">
        <v>39</v>
      </c>
      <c r="W475" s="2" t="s">
        <v>39</v>
      </c>
      <c r="X475" s="2" t="s">
        <v>39</v>
      </c>
      <c r="Y475" s="2" t="s">
        <v>39</v>
      </c>
      <c r="Z475" s="2" t="s">
        <v>39</v>
      </c>
      <c r="AA475" s="2" t="s">
        <v>39</v>
      </c>
      <c r="AB475" s="2" t="s">
        <v>39</v>
      </c>
      <c r="AC475" s="2" t="s">
        <v>39</v>
      </c>
      <c r="AD475" s="2" t="s">
        <v>39</v>
      </c>
      <c r="AE475" s="2" t="s">
        <v>39</v>
      </c>
    </row>
    <row r="476" spans="1:31" ht="409.5">
      <c r="A476" s="2">
        <v>2760769</v>
      </c>
      <c r="B476" s="2">
        <f>HYPERLINK("https://platform.v2.vetology.net/cases/2760769/screening-report/1?type=pdf&amp;v=v6&amp;scorecard=1&amp;secret_key=BX%25IJ%24%2F65ieZ%29f6", 2760769)</f>
        <v>2760769</v>
      </c>
      <c r="C476" s="2">
        <f>HYPERLINK("https://platform.v2.vetology.net/report/v/final/"&amp;2760769, 2760769)</f>
        <v>2760769</v>
      </c>
      <c r="D476" s="2" t="s">
        <v>1670</v>
      </c>
      <c r="E476" s="2" t="s">
        <v>1671</v>
      </c>
      <c r="F476" s="2" t="s">
        <v>1672</v>
      </c>
      <c r="G476" s="2" t="s">
        <v>111</v>
      </c>
      <c r="H476" s="2" t="s">
        <v>1673</v>
      </c>
      <c r="I476" s="2" t="s">
        <v>129</v>
      </c>
      <c r="J476" s="2" t="s">
        <v>74</v>
      </c>
      <c r="K476" s="2" t="s">
        <v>39</v>
      </c>
      <c r="L476" s="2" t="s">
        <v>38</v>
      </c>
      <c r="M476" s="2" t="s">
        <v>38</v>
      </c>
      <c r="N476" s="2" t="s">
        <v>38</v>
      </c>
      <c r="O476" s="2" t="s">
        <v>38</v>
      </c>
      <c r="P476" s="2" t="s">
        <v>38</v>
      </c>
      <c r="Q476" s="2" t="s">
        <v>38</v>
      </c>
      <c r="R476" s="2" t="s">
        <v>38</v>
      </c>
      <c r="S476" s="2" t="s">
        <v>38</v>
      </c>
      <c r="T476" s="2" t="s">
        <v>38</v>
      </c>
      <c r="U476" s="2" t="s">
        <v>39</v>
      </c>
      <c r="V476" s="2" t="s">
        <v>39</v>
      </c>
      <c r="W476" s="2" t="s">
        <v>38</v>
      </c>
      <c r="X476" s="2" t="s">
        <v>38</v>
      </c>
      <c r="Y476" s="2" t="s">
        <v>38</v>
      </c>
      <c r="Z476" s="2" t="s">
        <v>38</v>
      </c>
      <c r="AA476" s="2" t="s">
        <v>38</v>
      </c>
      <c r="AB476" s="2" t="s">
        <v>38</v>
      </c>
      <c r="AC476" s="2" t="s">
        <v>38</v>
      </c>
      <c r="AD476" s="2" t="s">
        <v>38</v>
      </c>
      <c r="AE476" s="2" t="s">
        <v>39</v>
      </c>
    </row>
    <row r="477" spans="1:31" ht="409.5">
      <c r="A477" s="2">
        <v>2760715</v>
      </c>
      <c r="B477" s="2">
        <f>HYPERLINK("https://platform.v2.vetology.net/cases/2760715/screening-report/1?type=pdf&amp;v=v6&amp;scorecard=1&amp;secret_key=BX%25IJ%24%2F65ieZ%29f6", 2760715)</f>
        <v>2760715</v>
      </c>
      <c r="C477" s="2">
        <f>HYPERLINK("https://platform.v2.vetology.net/report/v/final/"&amp;2760715, 2760715)</f>
        <v>2760715</v>
      </c>
      <c r="D477" s="2" t="s">
        <v>1674</v>
      </c>
      <c r="E477" s="2" t="s">
        <v>1675</v>
      </c>
      <c r="F477" s="2" t="s">
        <v>1676</v>
      </c>
      <c r="G477" s="2" t="s">
        <v>170</v>
      </c>
      <c r="H477" s="2" t="s">
        <v>1677</v>
      </c>
      <c r="I477" s="2" t="s">
        <v>59</v>
      </c>
      <c r="J477" s="2" t="s">
        <v>37</v>
      </c>
      <c r="K477" s="2" t="s">
        <v>38</v>
      </c>
      <c r="L477" s="2" t="s">
        <v>39</v>
      </c>
      <c r="M477" s="2" t="s">
        <v>39</v>
      </c>
      <c r="N477" s="2" t="s">
        <v>38</v>
      </c>
      <c r="O477" s="2" t="s">
        <v>39</v>
      </c>
      <c r="P477" s="2" t="s">
        <v>39</v>
      </c>
      <c r="Q477" s="2" t="s">
        <v>39</v>
      </c>
      <c r="R477" s="2" t="s">
        <v>38</v>
      </c>
      <c r="S477" s="2" t="s">
        <v>38</v>
      </c>
      <c r="T477" s="2" t="s">
        <v>39</v>
      </c>
      <c r="U477" s="2" t="s">
        <v>38</v>
      </c>
      <c r="V477" s="2" t="s">
        <v>38</v>
      </c>
      <c r="W477" s="2" t="s">
        <v>38</v>
      </c>
      <c r="X477" s="2" t="s">
        <v>39</v>
      </c>
      <c r="Y477" s="2" t="s">
        <v>39</v>
      </c>
      <c r="Z477" s="2" t="s">
        <v>39</v>
      </c>
      <c r="AA477" s="2" t="s">
        <v>39</v>
      </c>
      <c r="AB477" s="2" t="s">
        <v>39</v>
      </c>
      <c r="AC477" s="2" t="s">
        <v>38</v>
      </c>
      <c r="AD477" s="2" t="s">
        <v>38</v>
      </c>
      <c r="AE477" s="2" t="s">
        <v>39</v>
      </c>
    </row>
    <row r="478" spans="1:31" ht="409.5">
      <c r="A478" s="2">
        <v>2760682</v>
      </c>
      <c r="B478" s="2">
        <f>HYPERLINK("https://platform.v2.vetology.net/cases/2760682/screening-report/1?type=pdf&amp;v=v6&amp;scorecard=1&amp;secret_key=BX%25IJ%24%2F65ieZ%29f6", 2760682)</f>
        <v>2760682</v>
      </c>
      <c r="C478" s="2">
        <f>HYPERLINK("https://platform.v2.vetology.net/report/v/final/"&amp;2760682, 2760682)</f>
        <v>2760682</v>
      </c>
      <c r="D478" s="2" t="s">
        <v>1678</v>
      </c>
      <c r="E478" s="2" t="s">
        <v>1679</v>
      </c>
      <c r="F478" s="2" t="s">
        <v>1680</v>
      </c>
      <c r="G478" s="2" t="s">
        <v>170</v>
      </c>
      <c r="H478" s="2" t="s">
        <v>1681</v>
      </c>
      <c r="I478" s="2" t="s">
        <v>59</v>
      </c>
      <c r="J478" s="2" t="s">
        <v>37</v>
      </c>
      <c r="K478" s="2" t="s">
        <v>38</v>
      </c>
      <c r="L478" s="2" t="s">
        <v>39</v>
      </c>
      <c r="M478" s="2" t="s">
        <v>39</v>
      </c>
      <c r="N478" s="2" t="s">
        <v>39</v>
      </c>
      <c r="O478" s="2" t="s">
        <v>39</v>
      </c>
      <c r="P478" s="2" t="s">
        <v>39</v>
      </c>
      <c r="Q478" s="2" t="s">
        <v>39</v>
      </c>
      <c r="R478" s="2" t="s">
        <v>39</v>
      </c>
      <c r="S478" s="2" t="s">
        <v>38</v>
      </c>
      <c r="T478" s="2" t="s">
        <v>38</v>
      </c>
      <c r="U478" s="2" t="s">
        <v>38</v>
      </c>
      <c r="V478" s="2" t="s">
        <v>38</v>
      </c>
      <c r="W478" s="2" t="s">
        <v>38</v>
      </c>
      <c r="X478" s="2" t="s">
        <v>39</v>
      </c>
      <c r="Y478" s="2" t="s">
        <v>39</v>
      </c>
      <c r="Z478" s="2" t="s">
        <v>39</v>
      </c>
      <c r="AA478" s="2" t="s">
        <v>39</v>
      </c>
      <c r="AB478" s="2" t="s">
        <v>39</v>
      </c>
      <c r="AC478" s="2" t="s">
        <v>38</v>
      </c>
      <c r="AD478" s="2" t="s">
        <v>39</v>
      </c>
      <c r="AE478" s="2" t="s">
        <v>40</v>
      </c>
    </row>
    <row r="479" spans="1:31" ht="409.5">
      <c r="A479" s="2">
        <v>2760669</v>
      </c>
      <c r="B479" s="2">
        <f>HYPERLINK("https://platform.v2.vetology.net/cases/2760669/screening-report/1?type=pdf&amp;v=v6&amp;scorecard=1&amp;secret_key=BX%25IJ%24%2F65ieZ%29f6", 2760669)</f>
        <v>2760669</v>
      </c>
      <c r="C479" s="2">
        <f>HYPERLINK("https://platform.v2.vetology.net/report/v/final/"&amp;2760669, 2760669)</f>
        <v>2760669</v>
      </c>
      <c r="D479" s="2" t="s">
        <v>1682</v>
      </c>
      <c r="E479" s="2" t="s">
        <v>1683</v>
      </c>
      <c r="F479" s="2" t="s">
        <v>1684</v>
      </c>
      <c r="G479" s="2" t="s">
        <v>170</v>
      </c>
      <c r="H479" s="2" t="s">
        <v>1685</v>
      </c>
      <c r="I479" s="2" t="s">
        <v>59</v>
      </c>
      <c r="J479" s="2" t="s">
        <v>37</v>
      </c>
      <c r="K479" s="2" t="s">
        <v>38</v>
      </c>
      <c r="L479" s="2" t="s">
        <v>39</v>
      </c>
      <c r="M479" s="2" t="s">
        <v>39</v>
      </c>
      <c r="N479" s="2" t="s">
        <v>39</v>
      </c>
      <c r="O479" s="2" t="s">
        <v>39</v>
      </c>
      <c r="P479" s="2" t="s">
        <v>39</v>
      </c>
      <c r="Q479" s="2" t="s">
        <v>39</v>
      </c>
      <c r="R479" s="2" t="s">
        <v>38</v>
      </c>
      <c r="S479" s="2" t="s">
        <v>39</v>
      </c>
      <c r="T479" s="2" t="s">
        <v>39</v>
      </c>
      <c r="U479" s="2" t="s">
        <v>38</v>
      </c>
      <c r="V479" s="2" t="s">
        <v>38</v>
      </c>
      <c r="W479" s="2" t="s">
        <v>38</v>
      </c>
      <c r="X479" s="2" t="s">
        <v>39</v>
      </c>
      <c r="Y479" s="2" t="s">
        <v>39</v>
      </c>
      <c r="Z479" s="2" t="s">
        <v>39</v>
      </c>
      <c r="AA479" s="2" t="s">
        <v>39</v>
      </c>
      <c r="AB479" s="2" t="s">
        <v>39</v>
      </c>
      <c r="AC479" s="2" t="s">
        <v>38</v>
      </c>
      <c r="AD479" s="2" t="s">
        <v>38</v>
      </c>
      <c r="AE479" s="2" t="s">
        <v>39</v>
      </c>
    </row>
    <row r="480" spans="1:31" ht="409.5">
      <c r="A480" s="2">
        <v>2760570</v>
      </c>
      <c r="B480" s="2">
        <f>HYPERLINK("https://platform.v2.vetology.net/cases/2760570/screening-report/1?type=pdf&amp;v=v6&amp;scorecard=1&amp;secret_key=BX%25IJ%24%2F65ieZ%29f6", 2760570)</f>
        <v>2760570</v>
      </c>
      <c r="C480" s="2">
        <f>HYPERLINK("https://platform.v2.vetology.net/report/v/final/"&amp;2760570, 2760570)</f>
        <v>2760570</v>
      </c>
      <c r="D480" s="2" t="s">
        <v>1686</v>
      </c>
      <c r="E480" s="2" t="s">
        <v>1687</v>
      </c>
      <c r="F480" s="2" t="s">
        <v>1688</v>
      </c>
      <c r="G480" s="2" t="s">
        <v>111</v>
      </c>
      <c r="H480" s="2" t="s">
        <v>1689</v>
      </c>
      <c r="I480" s="2" t="s">
        <v>257</v>
      </c>
      <c r="J480" s="2" t="s">
        <v>74</v>
      </c>
      <c r="K480" s="2" t="s">
        <v>38</v>
      </c>
      <c r="L480" s="2" t="s">
        <v>38</v>
      </c>
      <c r="M480" s="2" t="s">
        <v>38</v>
      </c>
      <c r="N480" s="2" t="s">
        <v>38</v>
      </c>
      <c r="O480" s="2" t="s">
        <v>38</v>
      </c>
      <c r="P480" s="2" t="s">
        <v>38</v>
      </c>
      <c r="Q480" s="2" t="s">
        <v>38</v>
      </c>
      <c r="R480" s="2" t="s">
        <v>38</v>
      </c>
      <c r="S480" s="2" t="s">
        <v>38</v>
      </c>
      <c r="T480" s="2" t="s">
        <v>38</v>
      </c>
      <c r="U480" s="2" t="s">
        <v>38</v>
      </c>
      <c r="V480" s="2" t="s">
        <v>38</v>
      </c>
      <c r="W480" s="2" t="s">
        <v>38</v>
      </c>
      <c r="X480" s="2" t="s">
        <v>38</v>
      </c>
      <c r="Y480" s="2" t="s">
        <v>38</v>
      </c>
      <c r="Z480" s="2" t="s">
        <v>38</v>
      </c>
      <c r="AA480" s="2" t="s">
        <v>38</v>
      </c>
      <c r="AB480" s="2" t="s">
        <v>38</v>
      </c>
      <c r="AC480" s="2" t="s">
        <v>38</v>
      </c>
      <c r="AD480" s="2" t="s">
        <v>38</v>
      </c>
      <c r="AE480" s="2" t="s">
        <v>40</v>
      </c>
    </row>
    <row r="481" spans="1:31" ht="409.5">
      <c r="A481" s="2">
        <v>2760551</v>
      </c>
      <c r="B481" s="2">
        <f>HYPERLINK("https://platform.v2.vetology.net/cases/2760551/screening-report/1?type=pdf&amp;v=v6&amp;scorecard=1&amp;secret_key=BX%25IJ%24%2F65ieZ%29f6", 2760551)</f>
        <v>2760551</v>
      </c>
      <c r="C481" s="2">
        <f>HYPERLINK("https://platform.v2.vetology.net/report/v/final/"&amp;2760551, 2760551)</f>
        <v>2760551</v>
      </c>
      <c r="D481" s="2" t="s">
        <v>1690</v>
      </c>
      <c r="E481" s="2" t="s">
        <v>1691</v>
      </c>
      <c r="F481" s="2" t="s">
        <v>43</v>
      </c>
      <c r="G481" s="2" t="s">
        <v>507</v>
      </c>
      <c r="H481" s="2" t="s">
        <v>1692</v>
      </c>
      <c r="I481" s="2" t="s">
        <v>129</v>
      </c>
      <c r="J481" s="2" t="s">
        <v>74</v>
      </c>
      <c r="K481" s="2" t="s">
        <v>39</v>
      </c>
      <c r="L481" s="2" t="s">
        <v>39</v>
      </c>
      <c r="M481" s="2" t="s">
        <v>38</v>
      </c>
      <c r="N481" s="2" t="s">
        <v>39</v>
      </c>
      <c r="O481" s="2" t="s">
        <v>38</v>
      </c>
      <c r="P481" s="2" t="s">
        <v>38</v>
      </c>
      <c r="Q481" s="2" t="s">
        <v>38</v>
      </c>
      <c r="R481" s="2" t="s">
        <v>39</v>
      </c>
      <c r="S481" s="2" t="s">
        <v>39</v>
      </c>
      <c r="T481" s="2" t="s">
        <v>38</v>
      </c>
      <c r="U481" s="2" t="s">
        <v>39</v>
      </c>
      <c r="V481" s="2" t="s">
        <v>39</v>
      </c>
      <c r="W481" s="2" t="s">
        <v>39</v>
      </c>
      <c r="X481" s="2" t="s">
        <v>38</v>
      </c>
      <c r="Y481" s="2" t="s">
        <v>39</v>
      </c>
      <c r="Z481" s="2" t="s">
        <v>39</v>
      </c>
      <c r="AA481" s="2" t="s">
        <v>39</v>
      </c>
      <c r="AB481" s="2" t="s">
        <v>38</v>
      </c>
      <c r="AC481" s="2" t="s">
        <v>38</v>
      </c>
      <c r="AD481" s="2" t="s">
        <v>39</v>
      </c>
      <c r="AE481" s="2" t="s">
        <v>39</v>
      </c>
    </row>
    <row r="482" spans="1:31" ht="409.5">
      <c r="A482" s="2">
        <v>2760545</v>
      </c>
      <c r="B482" s="2">
        <f>HYPERLINK("https://platform.v2.vetology.net/cases/2760545/screening-report/1?type=pdf&amp;v=v6&amp;scorecard=1&amp;secret_key=BX%25IJ%24%2F65ieZ%29f6", 2760545)</f>
        <v>2760545</v>
      </c>
      <c r="C482" s="2">
        <f>HYPERLINK("https://platform.v2.vetology.net/report/v/final/"&amp;2760545, 2760545)</f>
        <v>2760545</v>
      </c>
      <c r="D482" s="2" t="s">
        <v>1693</v>
      </c>
      <c r="E482" s="2" t="s">
        <v>1694</v>
      </c>
      <c r="F482" s="2"/>
      <c r="G482" s="2" t="s">
        <v>507</v>
      </c>
      <c r="H482" s="2" t="s">
        <v>69</v>
      </c>
      <c r="I482" s="2" t="s">
        <v>46</v>
      </c>
      <c r="J482" s="2"/>
      <c r="K482" s="2" t="s">
        <v>39</v>
      </c>
      <c r="L482" s="2" t="s">
        <v>39</v>
      </c>
      <c r="M482" s="2" t="s">
        <v>39</v>
      </c>
      <c r="N482" s="2" t="s">
        <v>39</v>
      </c>
      <c r="O482" s="2" t="s">
        <v>38</v>
      </c>
      <c r="P482" s="2" t="s">
        <v>39</v>
      </c>
      <c r="Q482" s="2" t="s">
        <v>39</v>
      </c>
      <c r="R482" s="2" t="s">
        <v>39</v>
      </c>
      <c r="S482" s="2" t="s">
        <v>39</v>
      </c>
      <c r="T482" s="2" t="s">
        <v>39</v>
      </c>
      <c r="U482" s="2" t="s">
        <v>39</v>
      </c>
      <c r="V482" s="2" t="s">
        <v>38</v>
      </c>
      <c r="W482" s="2" t="s">
        <v>38</v>
      </c>
      <c r="X482" s="2" t="s">
        <v>39</v>
      </c>
      <c r="Y482" s="2" t="s">
        <v>39</v>
      </c>
      <c r="Z482" s="2" t="s">
        <v>38</v>
      </c>
      <c r="AA482" s="2" t="s">
        <v>39</v>
      </c>
      <c r="AB482" s="2" t="s">
        <v>38</v>
      </c>
      <c r="AC482" s="2" t="s">
        <v>38</v>
      </c>
      <c r="AD482" s="2" t="s">
        <v>38</v>
      </c>
      <c r="AE482" s="2" t="s">
        <v>39</v>
      </c>
    </row>
    <row r="483" spans="1:31" ht="409.5">
      <c r="A483" s="2">
        <v>2760541</v>
      </c>
      <c r="B483" s="2">
        <f>HYPERLINK("https://platform.v2.vetology.net/cases/2760541/screening-report/1?type=pdf&amp;v=v6&amp;scorecard=1&amp;secret_key=BX%25IJ%24%2F65ieZ%29f6", 2760541)</f>
        <v>2760541</v>
      </c>
      <c r="C483" s="2">
        <f>HYPERLINK("https://platform.v2.vetology.net/report/v/final/"&amp;2760541, 2760541)</f>
        <v>2760541</v>
      </c>
      <c r="D483" s="2" t="s">
        <v>1695</v>
      </c>
      <c r="E483" s="2" t="s">
        <v>1696</v>
      </c>
      <c r="F483" s="2"/>
      <c r="G483" s="2" t="s">
        <v>81</v>
      </c>
      <c r="H483" s="2" t="s">
        <v>69</v>
      </c>
      <c r="I483" s="2" t="s">
        <v>46</v>
      </c>
      <c r="J483" s="2"/>
      <c r="K483" s="2" t="s">
        <v>39</v>
      </c>
      <c r="L483" s="2" t="s">
        <v>39</v>
      </c>
      <c r="M483" s="2" t="s">
        <v>39</v>
      </c>
      <c r="N483" s="2" t="s">
        <v>39</v>
      </c>
      <c r="O483" s="2" t="s">
        <v>39</v>
      </c>
      <c r="P483" s="2" t="s">
        <v>39</v>
      </c>
      <c r="Q483" s="2" t="s">
        <v>39</v>
      </c>
      <c r="R483" s="2" t="s">
        <v>39</v>
      </c>
      <c r="S483" s="2" t="s">
        <v>39</v>
      </c>
      <c r="T483" s="2" t="s">
        <v>39</v>
      </c>
      <c r="U483" s="2" t="s">
        <v>39</v>
      </c>
      <c r="V483" s="2" t="s">
        <v>39</v>
      </c>
      <c r="W483" s="2" t="s">
        <v>39</v>
      </c>
      <c r="X483" s="2" t="s">
        <v>39</v>
      </c>
      <c r="Y483" s="2" t="s">
        <v>39</v>
      </c>
      <c r="Z483" s="2" t="s">
        <v>39</v>
      </c>
      <c r="AA483" s="2" t="s">
        <v>39</v>
      </c>
      <c r="AB483" s="2" t="s">
        <v>39</v>
      </c>
      <c r="AC483" s="2" t="s">
        <v>39</v>
      </c>
      <c r="AD483" s="2" t="s">
        <v>39</v>
      </c>
      <c r="AE483" s="2" t="s">
        <v>39</v>
      </c>
    </row>
    <row r="484" spans="1:31" ht="409.5">
      <c r="A484" s="2">
        <v>2760540</v>
      </c>
      <c r="B484" s="2">
        <f>HYPERLINK("https://platform.v2.vetology.net/cases/2760540/screening-report/1?type=pdf&amp;v=v6&amp;scorecard=1&amp;secret_key=BX%25IJ%24%2F65ieZ%29f6", 2760540)</f>
        <v>2760540</v>
      </c>
      <c r="C484" s="2">
        <f>HYPERLINK("https://platform.v2.vetology.net/report/v/final/"&amp;2760540, 2760540)</f>
        <v>2760540</v>
      </c>
      <c r="D484" s="2" t="s">
        <v>1697</v>
      </c>
      <c r="E484" s="2" t="s">
        <v>1698</v>
      </c>
      <c r="F484" s="2" t="s">
        <v>1699</v>
      </c>
      <c r="G484" s="2" t="s">
        <v>81</v>
      </c>
      <c r="H484" s="2" t="s">
        <v>1700</v>
      </c>
      <c r="I484" s="2" t="s">
        <v>73</v>
      </c>
      <c r="J484" s="2" t="s">
        <v>74</v>
      </c>
      <c r="K484" s="2" t="s">
        <v>38</v>
      </c>
      <c r="L484" s="2" t="s">
        <v>38</v>
      </c>
      <c r="M484" s="2" t="s">
        <v>38</v>
      </c>
      <c r="N484" s="2" t="s">
        <v>38</v>
      </c>
      <c r="O484" s="2" t="s">
        <v>38</v>
      </c>
      <c r="P484" s="2" t="s">
        <v>38</v>
      </c>
      <c r="Q484" s="2" t="s">
        <v>38</v>
      </c>
      <c r="R484" s="2" t="s">
        <v>38</v>
      </c>
      <c r="S484" s="2" t="s">
        <v>38</v>
      </c>
      <c r="T484" s="2" t="s">
        <v>38</v>
      </c>
      <c r="U484" s="2" t="s">
        <v>39</v>
      </c>
      <c r="V484" s="2" t="s">
        <v>38</v>
      </c>
      <c r="W484" s="2" t="s">
        <v>38</v>
      </c>
      <c r="X484" s="2" t="s">
        <v>38</v>
      </c>
      <c r="Y484" s="2" t="s">
        <v>38</v>
      </c>
      <c r="Z484" s="2" t="s">
        <v>38</v>
      </c>
      <c r="AA484" s="2" t="s">
        <v>38</v>
      </c>
      <c r="AB484" s="2" t="s">
        <v>38</v>
      </c>
      <c r="AC484" s="2" t="s">
        <v>38</v>
      </c>
      <c r="AD484" s="2" t="s">
        <v>38</v>
      </c>
      <c r="AE484" s="2" t="s">
        <v>40</v>
      </c>
    </row>
    <row r="485" spans="1:31" ht="409.5">
      <c r="A485" s="2">
        <v>2760496</v>
      </c>
      <c r="B485" s="2">
        <f>HYPERLINK("https://platform.v2.vetology.net/cases/2760496/screening-report/1?type=pdf&amp;v=v6&amp;scorecard=1&amp;secret_key=BX%25IJ%24%2F65ieZ%29f6", 2760496)</f>
        <v>2760496</v>
      </c>
      <c r="C485" s="2">
        <f>HYPERLINK("https://platform.v2.vetology.net/report/v/final/"&amp;2760496, 2760496)</f>
        <v>2760496</v>
      </c>
      <c r="D485" s="2" t="s">
        <v>1701</v>
      </c>
      <c r="E485" s="2" t="s">
        <v>1702</v>
      </c>
      <c r="F485" s="2" t="s">
        <v>1703</v>
      </c>
      <c r="G485" s="2" t="s">
        <v>111</v>
      </c>
      <c r="H485" s="2" t="s">
        <v>1704</v>
      </c>
      <c r="I485" s="2" t="s">
        <v>73</v>
      </c>
      <c r="J485" s="2" t="s">
        <v>74</v>
      </c>
      <c r="K485" s="2" t="s">
        <v>38</v>
      </c>
      <c r="L485" s="2" t="s">
        <v>38</v>
      </c>
      <c r="M485" s="2" t="s">
        <v>38</v>
      </c>
      <c r="N485" s="2" t="s">
        <v>38</v>
      </c>
      <c r="O485" s="2" t="s">
        <v>38</v>
      </c>
      <c r="P485" s="2" t="s">
        <v>39</v>
      </c>
      <c r="Q485" s="2" t="s">
        <v>38</v>
      </c>
      <c r="R485" s="2" t="s">
        <v>38</v>
      </c>
      <c r="S485" s="2" t="s">
        <v>38</v>
      </c>
      <c r="T485" s="2" t="s">
        <v>38</v>
      </c>
      <c r="U485" s="2" t="s">
        <v>38</v>
      </c>
      <c r="V485" s="2" t="s">
        <v>38</v>
      </c>
      <c r="W485" s="2" t="s">
        <v>38</v>
      </c>
      <c r="X485" s="2" t="s">
        <v>38</v>
      </c>
      <c r="Y485" s="2" t="s">
        <v>39</v>
      </c>
      <c r="Z485" s="2" t="s">
        <v>38</v>
      </c>
      <c r="AA485" s="2" t="s">
        <v>38</v>
      </c>
      <c r="AB485" s="2" t="s">
        <v>39</v>
      </c>
      <c r="AC485" s="2" t="s">
        <v>38</v>
      </c>
      <c r="AD485" s="2" t="s">
        <v>38</v>
      </c>
      <c r="AE485" s="2" t="s">
        <v>39</v>
      </c>
    </row>
    <row r="486" spans="1:31" ht="409.5">
      <c r="A486" s="2">
        <v>2760468</v>
      </c>
      <c r="B486" s="2">
        <f>HYPERLINK("https://platform.v2.vetology.net/cases/2760468/screening-report/1?type=pdf&amp;v=v6&amp;scorecard=1&amp;secret_key=BX%25IJ%24%2F65ieZ%29f6", 2760468)</f>
        <v>2760468</v>
      </c>
      <c r="C486" s="2">
        <f>HYPERLINK("https://platform.v2.vetology.net/report/v/final/"&amp;2760468, 2760468)</f>
        <v>2760468</v>
      </c>
      <c r="D486" s="2" t="s">
        <v>1705</v>
      </c>
      <c r="E486" s="2" t="s">
        <v>1706</v>
      </c>
      <c r="F486" s="2" t="s">
        <v>43</v>
      </c>
      <c r="G486" s="2" t="s">
        <v>507</v>
      </c>
      <c r="H486" s="2" t="s">
        <v>1707</v>
      </c>
      <c r="I486" s="2" t="s">
        <v>684</v>
      </c>
      <c r="J486" s="2" t="s">
        <v>74</v>
      </c>
      <c r="K486" s="2" t="s">
        <v>39</v>
      </c>
      <c r="L486" s="2" t="s">
        <v>39</v>
      </c>
      <c r="M486" s="2" t="s">
        <v>39</v>
      </c>
      <c r="N486" s="2" t="s">
        <v>39</v>
      </c>
      <c r="O486" s="2" t="s">
        <v>39</v>
      </c>
      <c r="P486" s="2" t="s">
        <v>39</v>
      </c>
      <c r="Q486" s="2" t="s">
        <v>38</v>
      </c>
      <c r="R486" s="2" t="s">
        <v>39</v>
      </c>
      <c r="S486" s="2" t="s">
        <v>39</v>
      </c>
      <c r="T486" s="2" t="s">
        <v>38</v>
      </c>
      <c r="U486" s="2" t="s">
        <v>39</v>
      </c>
      <c r="V486" s="2" t="s">
        <v>39</v>
      </c>
      <c r="W486" s="2" t="s">
        <v>39</v>
      </c>
      <c r="X486" s="2" t="s">
        <v>39</v>
      </c>
      <c r="Y486" s="2" t="s">
        <v>39</v>
      </c>
      <c r="Z486" s="2" t="s">
        <v>39</v>
      </c>
      <c r="AA486" s="2" t="s">
        <v>39</v>
      </c>
      <c r="AB486" s="2" t="s">
        <v>38</v>
      </c>
      <c r="AC486" s="2" t="s">
        <v>39</v>
      </c>
      <c r="AD486" s="2" t="s">
        <v>39</v>
      </c>
      <c r="AE486" s="2" t="s">
        <v>39</v>
      </c>
    </row>
    <row r="487" spans="1:31" ht="409.5">
      <c r="A487" s="2">
        <v>2760440</v>
      </c>
      <c r="B487" s="2">
        <f>HYPERLINK("https://platform.v2.vetology.net/cases/2760440/screening-report/1?type=pdf&amp;v=v6&amp;scorecard=1&amp;secret_key=BX%25IJ%24%2F65ieZ%29f6", 2760440)</f>
        <v>2760440</v>
      </c>
      <c r="C487" s="2">
        <f>HYPERLINK("https://platform.v2.vetology.net/report/v/final/"&amp;2760440, 2760440)</f>
        <v>2760440</v>
      </c>
      <c r="D487" s="2" t="s">
        <v>1708</v>
      </c>
      <c r="E487" s="2" t="s">
        <v>1709</v>
      </c>
      <c r="F487" s="2" t="s">
        <v>1710</v>
      </c>
      <c r="G487" s="2" t="s">
        <v>53</v>
      </c>
      <c r="H487" s="2" t="s">
        <v>1711</v>
      </c>
      <c r="I487" s="2" t="s">
        <v>129</v>
      </c>
      <c r="J487" s="2" t="s">
        <v>74</v>
      </c>
      <c r="K487" s="2" t="s">
        <v>38</v>
      </c>
      <c r="L487" s="2" t="s">
        <v>38</v>
      </c>
      <c r="M487" s="2" t="s">
        <v>38</v>
      </c>
      <c r="N487" s="2" t="s">
        <v>38</v>
      </c>
      <c r="O487" s="2" t="s">
        <v>38</v>
      </c>
      <c r="P487" s="2" t="s">
        <v>38</v>
      </c>
      <c r="Q487" s="2" t="s">
        <v>38</v>
      </c>
      <c r="R487" s="2" t="s">
        <v>38</v>
      </c>
      <c r="S487" s="2" t="s">
        <v>38</v>
      </c>
      <c r="T487" s="2" t="s">
        <v>38</v>
      </c>
      <c r="U487" s="2" t="s">
        <v>38</v>
      </c>
      <c r="V487" s="2" t="s">
        <v>38</v>
      </c>
      <c r="W487" s="2" t="s">
        <v>38</v>
      </c>
      <c r="X487" s="2" t="s">
        <v>38</v>
      </c>
      <c r="Y487" s="2" t="s">
        <v>38</v>
      </c>
      <c r="Z487" s="2" t="s">
        <v>38</v>
      </c>
      <c r="AA487" s="2" t="s">
        <v>38</v>
      </c>
      <c r="AB487" s="2" t="s">
        <v>38</v>
      </c>
      <c r="AC487" s="2" t="s">
        <v>38</v>
      </c>
      <c r="AD487" s="2" t="s">
        <v>39</v>
      </c>
      <c r="AE487" s="2" t="s">
        <v>39</v>
      </c>
    </row>
    <row r="488" spans="1:31" ht="409.5">
      <c r="A488" s="2">
        <v>2760404</v>
      </c>
      <c r="B488" s="2">
        <f>HYPERLINK("https://platform.v2.vetology.net/cases/2760404/screening-report/1?type=pdf&amp;v=v6&amp;scorecard=1&amp;secret_key=BX%25IJ%24%2F65ieZ%29f6", 2760404)</f>
        <v>2760404</v>
      </c>
      <c r="C488" s="2">
        <f>HYPERLINK("https://platform.v2.vetology.net/report/v/final/"&amp;2760404, 2760404)</f>
        <v>2760404</v>
      </c>
      <c r="D488" s="2" t="s">
        <v>1712</v>
      </c>
      <c r="E488" s="2" t="s">
        <v>1713</v>
      </c>
      <c r="F488" s="2" t="s">
        <v>1714</v>
      </c>
      <c r="G488" s="2" t="s">
        <v>111</v>
      </c>
      <c r="H488" s="2" t="s">
        <v>1715</v>
      </c>
      <c r="I488" s="2" t="s">
        <v>129</v>
      </c>
      <c r="J488" s="2" t="s">
        <v>74</v>
      </c>
      <c r="K488" s="2" t="s">
        <v>39</v>
      </c>
      <c r="L488" s="2" t="s">
        <v>38</v>
      </c>
      <c r="M488" s="2" t="s">
        <v>38</v>
      </c>
      <c r="N488" s="2" t="s">
        <v>38</v>
      </c>
      <c r="O488" s="2" t="s">
        <v>38</v>
      </c>
      <c r="P488" s="2" t="s">
        <v>38</v>
      </c>
      <c r="Q488" s="2" t="s">
        <v>38</v>
      </c>
      <c r="R488" s="2" t="s">
        <v>39</v>
      </c>
      <c r="S488" s="2" t="s">
        <v>39</v>
      </c>
      <c r="T488" s="2" t="s">
        <v>38</v>
      </c>
      <c r="U488" s="2" t="s">
        <v>39</v>
      </c>
      <c r="V488" s="2" t="s">
        <v>39</v>
      </c>
      <c r="W488" s="2" t="s">
        <v>38</v>
      </c>
      <c r="X488" s="2" t="s">
        <v>39</v>
      </c>
      <c r="Y488" s="2" t="s">
        <v>38</v>
      </c>
      <c r="Z488" s="2" t="s">
        <v>38</v>
      </c>
      <c r="AA488" s="2" t="s">
        <v>38</v>
      </c>
      <c r="AB488" s="2" t="s">
        <v>39</v>
      </c>
      <c r="AC488" s="2" t="s">
        <v>38</v>
      </c>
      <c r="AD488" s="2" t="s">
        <v>38</v>
      </c>
      <c r="AE488" s="2" t="s">
        <v>39</v>
      </c>
    </row>
    <row r="489" spans="1:31" ht="409.5">
      <c r="A489" s="2">
        <v>2760384</v>
      </c>
      <c r="B489" s="2">
        <f>HYPERLINK("https://platform.v2.vetology.net/cases/2760384/screening-report/1?type=pdf&amp;v=v6&amp;scorecard=1&amp;secret_key=BX%25IJ%24%2F65ieZ%29f6", 2760384)</f>
        <v>2760384</v>
      </c>
      <c r="C489" s="2">
        <f>HYPERLINK("https://platform.v2.vetology.net/report/v/final/"&amp;2760384, 2760384)</f>
        <v>2760384</v>
      </c>
      <c r="D489" s="2" t="s">
        <v>1716</v>
      </c>
      <c r="E489" s="2" t="s">
        <v>1717</v>
      </c>
      <c r="F489" s="2" t="s">
        <v>1718</v>
      </c>
      <c r="G489" s="2" t="s">
        <v>100</v>
      </c>
      <c r="H489" s="2" t="s">
        <v>398</v>
      </c>
      <c r="I489" s="2" t="s">
        <v>46</v>
      </c>
      <c r="J489" s="2"/>
      <c r="K489" s="2" t="s">
        <v>38</v>
      </c>
      <c r="L489" s="2" t="s">
        <v>39</v>
      </c>
      <c r="M489" s="2" t="s">
        <v>39</v>
      </c>
      <c r="N489" s="2" t="s">
        <v>39</v>
      </c>
      <c r="O489" s="2" t="s">
        <v>39</v>
      </c>
      <c r="P489" s="2" t="s">
        <v>39</v>
      </c>
      <c r="Q489" s="2" t="s">
        <v>39</v>
      </c>
      <c r="R489" s="2" t="s">
        <v>39</v>
      </c>
      <c r="S489" s="2" t="s">
        <v>39</v>
      </c>
      <c r="T489" s="2" t="s">
        <v>39</v>
      </c>
      <c r="U489" s="2" t="s">
        <v>39</v>
      </c>
      <c r="V489" s="2" t="s">
        <v>39</v>
      </c>
      <c r="W489" s="2" t="s">
        <v>39</v>
      </c>
      <c r="X489" s="2" t="s">
        <v>39</v>
      </c>
      <c r="Y489" s="2" t="s">
        <v>39</v>
      </c>
      <c r="Z489" s="2" t="s">
        <v>39</v>
      </c>
      <c r="AA489" s="2" t="s">
        <v>39</v>
      </c>
      <c r="AB489" s="2" t="s">
        <v>39</v>
      </c>
      <c r="AC489" s="2" t="s">
        <v>39</v>
      </c>
      <c r="AD489" s="2" t="s">
        <v>39</v>
      </c>
      <c r="AE489" s="2"/>
    </row>
    <row r="490" spans="1:31" ht="409.5">
      <c r="A490" s="2">
        <v>2760374</v>
      </c>
      <c r="B490" s="2">
        <f>HYPERLINK("https://platform.v2.vetology.net/cases/2760374/screening-report/1?type=pdf&amp;v=v6&amp;scorecard=1&amp;secret_key=BX%25IJ%24%2F65ieZ%29f6", 2760374)</f>
        <v>2760374</v>
      </c>
      <c r="C490" s="2">
        <f>HYPERLINK("https://platform.v2.vetology.net/report/v/final/"&amp;2760374, 2760374)</f>
        <v>2760374</v>
      </c>
      <c r="D490" s="2" t="s">
        <v>1719</v>
      </c>
      <c r="E490" s="2" t="s">
        <v>1720</v>
      </c>
      <c r="F490" s="2" t="s">
        <v>1721</v>
      </c>
      <c r="G490" s="2" t="s">
        <v>53</v>
      </c>
      <c r="H490" s="2" t="s">
        <v>1722</v>
      </c>
      <c r="I490" s="2" t="s">
        <v>36</v>
      </c>
      <c r="J490" s="2" t="s">
        <v>37</v>
      </c>
      <c r="K490" s="2" t="s">
        <v>39</v>
      </c>
      <c r="L490" s="2" t="s">
        <v>38</v>
      </c>
      <c r="M490" s="2" t="s">
        <v>38</v>
      </c>
      <c r="N490" s="2" t="s">
        <v>38</v>
      </c>
      <c r="O490" s="2" t="s">
        <v>38</v>
      </c>
      <c r="P490" s="2" t="s">
        <v>39</v>
      </c>
      <c r="Q490" s="2" t="s">
        <v>39</v>
      </c>
      <c r="R490" s="2" t="s">
        <v>38</v>
      </c>
      <c r="S490" s="2" t="s">
        <v>38</v>
      </c>
      <c r="T490" s="2" t="s">
        <v>38</v>
      </c>
      <c r="U490" s="2" t="s">
        <v>39</v>
      </c>
      <c r="V490" s="2" t="s">
        <v>39</v>
      </c>
      <c r="W490" s="2" t="s">
        <v>38</v>
      </c>
      <c r="X490" s="2" t="s">
        <v>39</v>
      </c>
      <c r="Y490" s="2" t="s">
        <v>39</v>
      </c>
      <c r="Z490" s="2" t="s">
        <v>38</v>
      </c>
      <c r="AA490" s="2" t="s">
        <v>38</v>
      </c>
      <c r="AB490" s="2" t="s">
        <v>39</v>
      </c>
      <c r="AC490" s="2" t="s">
        <v>38</v>
      </c>
      <c r="AD490" s="2" t="s">
        <v>38</v>
      </c>
      <c r="AE490" s="2"/>
    </row>
    <row r="491" spans="1:31" ht="409.5">
      <c r="A491" s="2">
        <v>2760341</v>
      </c>
      <c r="B491" s="2">
        <f>HYPERLINK("https://platform.v2.vetology.net/cases/2760341/screening-report/1?type=pdf&amp;v=v6&amp;scorecard=1&amp;secret_key=BX%25IJ%24%2F65ieZ%29f6", 2760341)</f>
        <v>2760341</v>
      </c>
      <c r="C491" s="2">
        <f>HYPERLINK("https://platform.v2.vetology.net/report/v/final/"&amp;2760341, 2760341)</f>
        <v>2760341</v>
      </c>
      <c r="D491" s="2" t="s">
        <v>1723</v>
      </c>
      <c r="E491" s="2" t="s">
        <v>1724</v>
      </c>
      <c r="F491" s="2" t="s">
        <v>1725</v>
      </c>
      <c r="G491" s="2" t="s">
        <v>556</v>
      </c>
      <c r="H491" s="2" t="s">
        <v>1726</v>
      </c>
      <c r="I491" s="2" t="s">
        <v>36</v>
      </c>
      <c r="J491" s="2" t="s">
        <v>37</v>
      </c>
      <c r="K491" s="2" t="s">
        <v>38</v>
      </c>
      <c r="L491" s="2" t="s">
        <v>38</v>
      </c>
      <c r="M491" s="2" t="s">
        <v>38</v>
      </c>
      <c r="N491" s="2" t="s">
        <v>38</v>
      </c>
      <c r="O491" s="2" t="s">
        <v>38</v>
      </c>
      <c r="P491" s="2" t="s">
        <v>39</v>
      </c>
      <c r="Q491" s="2" t="s">
        <v>39</v>
      </c>
      <c r="R491" s="2" t="s">
        <v>38</v>
      </c>
      <c r="S491" s="2" t="s">
        <v>38</v>
      </c>
      <c r="T491" s="2" t="s">
        <v>38</v>
      </c>
      <c r="U491" s="2" t="s">
        <v>38</v>
      </c>
      <c r="V491" s="2" t="s">
        <v>38</v>
      </c>
      <c r="W491" s="2" t="s">
        <v>38</v>
      </c>
      <c r="X491" s="2" t="s">
        <v>39</v>
      </c>
      <c r="Y491" s="2" t="s">
        <v>38</v>
      </c>
      <c r="Z491" s="2" t="s">
        <v>38</v>
      </c>
      <c r="AA491" s="2" t="s">
        <v>38</v>
      </c>
      <c r="AB491" s="2" t="s">
        <v>39</v>
      </c>
      <c r="AC491" s="2" t="s">
        <v>38</v>
      </c>
      <c r="AD491" s="2" t="s">
        <v>38</v>
      </c>
      <c r="AE491" s="2" t="s">
        <v>39</v>
      </c>
    </row>
    <row r="492" spans="1:31" ht="409.5">
      <c r="A492" s="2">
        <v>2760323</v>
      </c>
      <c r="B492" s="2">
        <f>HYPERLINK("https://platform.v2.vetology.net/cases/2760323/screening-report/1?type=pdf&amp;v=v6&amp;scorecard=1&amp;secret_key=BX%25IJ%24%2F65ieZ%29f6", 2760323)</f>
        <v>2760323</v>
      </c>
      <c r="C492" s="2">
        <f>HYPERLINK("https://platform.v2.vetology.net/report/v/final/"&amp;2760323, 2760323)</f>
        <v>2760323</v>
      </c>
      <c r="D492" s="2" t="s">
        <v>1727</v>
      </c>
      <c r="E492" s="2" t="s">
        <v>1728</v>
      </c>
      <c r="F492" s="2" t="s">
        <v>610</v>
      </c>
      <c r="G492" s="2" t="s">
        <v>251</v>
      </c>
      <c r="H492" s="2" t="s">
        <v>1729</v>
      </c>
      <c r="I492" s="2" t="s">
        <v>36</v>
      </c>
      <c r="J492" s="2" t="s">
        <v>37</v>
      </c>
      <c r="K492" s="2" t="s">
        <v>39</v>
      </c>
      <c r="L492" s="2" t="s">
        <v>38</v>
      </c>
      <c r="M492" s="2" t="s">
        <v>39</v>
      </c>
      <c r="N492" s="2" t="s">
        <v>39</v>
      </c>
      <c r="O492" s="2" t="s">
        <v>38</v>
      </c>
      <c r="P492" s="2" t="s">
        <v>39</v>
      </c>
      <c r="Q492" s="2" t="s">
        <v>39</v>
      </c>
      <c r="R492" s="2" t="s">
        <v>38</v>
      </c>
      <c r="S492" s="2" t="s">
        <v>39</v>
      </c>
      <c r="T492" s="2" t="s">
        <v>39</v>
      </c>
      <c r="U492" s="2" t="s">
        <v>39</v>
      </c>
      <c r="V492" s="2" t="s">
        <v>39</v>
      </c>
      <c r="W492" s="2" t="s">
        <v>38</v>
      </c>
      <c r="X492" s="2" t="s">
        <v>39</v>
      </c>
      <c r="Y492" s="2" t="s">
        <v>39</v>
      </c>
      <c r="Z492" s="2" t="s">
        <v>39</v>
      </c>
      <c r="AA492" s="2" t="s">
        <v>39</v>
      </c>
      <c r="AB492" s="2" t="s">
        <v>39</v>
      </c>
      <c r="AC492" s="2" t="s">
        <v>38</v>
      </c>
      <c r="AD492" s="2" t="s">
        <v>38</v>
      </c>
      <c r="AE492" s="2" t="s">
        <v>39</v>
      </c>
    </row>
    <row r="493" spans="1:31" ht="409.5">
      <c r="A493" s="2">
        <v>2760259</v>
      </c>
      <c r="B493" s="2">
        <f>HYPERLINK("https://platform.v2.vetology.net/cases/2760259/screening-report/1?type=pdf&amp;v=v6&amp;scorecard=1&amp;secret_key=BX%25IJ%24%2F65ieZ%29f6", 2760259)</f>
        <v>2760259</v>
      </c>
      <c r="C493" s="2">
        <f>HYPERLINK("https://platform.v2.vetology.net/report/v/final/"&amp;2760259, 2760259)</f>
        <v>2760259</v>
      </c>
      <c r="D493" s="2" t="s">
        <v>1730</v>
      </c>
      <c r="E493" s="2" t="s">
        <v>1731</v>
      </c>
      <c r="F493" s="2" t="s">
        <v>43</v>
      </c>
      <c r="G493" s="2" t="s">
        <v>507</v>
      </c>
      <c r="H493" s="2" t="s">
        <v>537</v>
      </c>
      <c r="I493" s="2" t="s">
        <v>59</v>
      </c>
      <c r="J493" s="2" t="s">
        <v>37</v>
      </c>
      <c r="K493" s="2" t="s">
        <v>38</v>
      </c>
      <c r="L493" s="2" t="s">
        <v>39</v>
      </c>
      <c r="M493" s="2" t="s">
        <v>39</v>
      </c>
      <c r="N493" s="2" t="s">
        <v>39</v>
      </c>
      <c r="O493" s="2" t="s">
        <v>39</v>
      </c>
      <c r="P493" s="2" t="s">
        <v>39</v>
      </c>
      <c r="Q493" s="2" t="s">
        <v>39</v>
      </c>
      <c r="R493" s="2" t="s">
        <v>39</v>
      </c>
      <c r="S493" s="2" t="s">
        <v>39</v>
      </c>
      <c r="T493" s="2" t="s">
        <v>39</v>
      </c>
      <c r="U493" s="2" t="s">
        <v>38</v>
      </c>
      <c r="V493" s="2" t="s">
        <v>38</v>
      </c>
      <c r="W493" s="2" t="s">
        <v>38</v>
      </c>
      <c r="X493" s="2" t="s">
        <v>39</v>
      </c>
      <c r="Y493" s="2" t="s">
        <v>39</v>
      </c>
      <c r="Z493" s="2" t="s">
        <v>39</v>
      </c>
      <c r="AA493" s="2" t="s">
        <v>39</v>
      </c>
      <c r="AB493" s="2" t="s">
        <v>39</v>
      </c>
      <c r="AC493" s="2" t="s">
        <v>38</v>
      </c>
      <c r="AD493" s="2" t="s">
        <v>38</v>
      </c>
      <c r="AE493" s="2" t="s">
        <v>40</v>
      </c>
    </row>
    <row r="494" spans="1:31" ht="409.5">
      <c r="A494" s="2">
        <v>2760251</v>
      </c>
      <c r="B494" s="2">
        <f>HYPERLINK("https://platform.v2.vetology.net/cases/2760251/screening-report/1?type=pdf&amp;v=v6&amp;scorecard=1&amp;secret_key=BX%25IJ%24%2F65ieZ%29f6", 2760251)</f>
        <v>2760251</v>
      </c>
      <c r="C494" s="2">
        <f>HYPERLINK("https://platform.v2.vetology.net/report/v/final/"&amp;2760251, 2760251)</f>
        <v>2760251</v>
      </c>
      <c r="D494" s="2" t="s">
        <v>1732</v>
      </c>
      <c r="E494" s="2" t="s">
        <v>1733</v>
      </c>
      <c r="F494" s="2" t="s">
        <v>1734</v>
      </c>
      <c r="G494" s="2" t="s">
        <v>111</v>
      </c>
      <c r="H494" s="2" t="s">
        <v>69</v>
      </c>
      <c r="I494" s="2" t="s">
        <v>46</v>
      </c>
      <c r="J494" s="2"/>
      <c r="K494" s="2" t="s">
        <v>39</v>
      </c>
      <c r="L494" s="2" t="s">
        <v>39</v>
      </c>
      <c r="M494" s="2" t="s">
        <v>39</v>
      </c>
      <c r="N494" s="2" t="s">
        <v>39</v>
      </c>
      <c r="O494" s="2" t="s">
        <v>39</v>
      </c>
      <c r="P494" s="2" t="s">
        <v>39</v>
      </c>
      <c r="Q494" s="2" t="s">
        <v>39</v>
      </c>
      <c r="R494" s="2" t="s">
        <v>39</v>
      </c>
      <c r="S494" s="2" t="s">
        <v>39</v>
      </c>
      <c r="T494" s="2" t="s">
        <v>38</v>
      </c>
      <c r="U494" s="2" t="s">
        <v>39</v>
      </c>
      <c r="V494" s="2" t="s">
        <v>39</v>
      </c>
      <c r="W494" s="2" t="s">
        <v>39</v>
      </c>
      <c r="X494" s="2" t="s">
        <v>39</v>
      </c>
      <c r="Y494" s="2" t="s">
        <v>39</v>
      </c>
      <c r="Z494" s="2" t="s">
        <v>39</v>
      </c>
      <c r="AA494" s="2" t="s">
        <v>39</v>
      </c>
      <c r="AB494" s="2" t="s">
        <v>39</v>
      </c>
      <c r="AC494" s="2" t="s">
        <v>39</v>
      </c>
      <c r="AD494" s="2" t="s">
        <v>38</v>
      </c>
      <c r="AE494" s="2" t="s">
        <v>40</v>
      </c>
    </row>
    <row r="495" spans="1:31" ht="409.5">
      <c r="A495" s="2">
        <v>2760248</v>
      </c>
      <c r="B495" s="2">
        <f>HYPERLINK("https://platform.v2.vetology.net/cases/2760248/screening-report/1?type=pdf&amp;v=v6&amp;scorecard=1&amp;secret_key=BX%25IJ%24%2F65ieZ%29f6", 2760248)</f>
        <v>2760248</v>
      </c>
      <c r="C495" s="2">
        <f>HYPERLINK("https://platform.v2.vetology.net/report/v/final/"&amp;2760248, 2760248)</f>
        <v>2760248</v>
      </c>
      <c r="D495" s="2" t="s">
        <v>1735</v>
      </c>
      <c r="E495" s="2" t="s">
        <v>1736</v>
      </c>
      <c r="F495" s="2" t="s">
        <v>1737</v>
      </c>
      <c r="G495" s="2" t="s">
        <v>111</v>
      </c>
      <c r="H495" s="2" t="s">
        <v>1738</v>
      </c>
      <c r="I495" s="2" t="s">
        <v>36</v>
      </c>
      <c r="J495" s="2" t="s">
        <v>37</v>
      </c>
      <c r="K495" s="2" t="s">
        <v>38</v>
      </c>
      <c r="L495" s="2" t="s">
        <v>38</v>
      </c>
      <c r="M495" s="2" t="s">
        <v>38</v>
      </c>
      <c r="N495" s="2" t="s">
        <v>38</v>
      </c>
      <c r="O495" s="2" t="s">
        <v>38</v>
      </c>
      <c r="P495" s="2" t="s">
        <v>38</v>
      </c>
      <c r="Q495" s="2" t="s">
        <v>39</v>
      </c>
      <c r="R495" s="2" t="s">
        <v>38</v>
      </c>
      <c r="S495" s="2" t="s">
        <v>38</v>
      </c>
      <c r="T495" s="2" t="s">
        <v>38</v>
      </c>
      <c r="U495" s="2" t="s">
        <v>38</v>
      </c>
      <c r="V495" s="2" t="s">
        <v>38</v>
      </c>
      <c r="W495" s="2" t="s">
        <v>38</v>
      </c>
      <c r="X495" s="2" t="s">
        <v>39</v>
      </c>
      <c r="Y495" s="2" t="s">
        <v>39</v>
      </c>
      <c r="Z495" s="2" t="s">
        <v>38</v>
      </c>
      <c r="AA495" s="2" t="s">
        <v>38</v>
      </c>
      <c r="AB495" s="2" t="s">
        <v>39</v>
      </c>
      <c r="AC495" s="2" t="s">
        <v>38</v>
      </c>
      <c r="AD495" s="2" t="s">
        <v>38</v>
      </c>
      <c r="AE495" s="2" t="s">
        <v>39</v>
      </c>
    </row>
    <row r="496" spans="1:31" ht="409.5">
      <c r="A496" s="2">
        <v>2760226</v>
      </c>
      <c r="B496" s="2">
        <f>HYPERLINK("https://platform.v2.vetology.net/cases/2760226/screening-report/1?type=pdf&amp;v=v6&amp;scorecard=1&amp;secret_key=BX%25IJ%24%2F65ieZ%29f6", 2760226)</f>
        <v>2760226</v>
      </c>
      <c r="C496" s="2">
        <f>HYPERLINK("https://platform.v2.vetology.net/report/v/final/"&amp;2760226, 2760226)</f>
        <v>2760226</v>
      </c>
      <c r="D496" s="2" t="s">
        <v>1739</v>
      </c>
      <c r="E496" s="2" t="s">
        <v>1740</v>
      </c>
      <c r="F496" s="2" t="s">
        <v>1741</v>
      </c>
      <c r="G496" s="2" t="s">
        <v>111</v>
      </c>
      <c r="H496" s="2" t="s">
        <v>1742</v>
      </c>
      <c r="I496" s="2" t="s">
        <v>36</v>
      </c>
      <c r="J496" s="2" t="s">
        <v>37</v>
      </c>
      <c r="K496" s="2" t="s">
        <v>39</v>
      </c>
      <c r="L496" s="2" t="s">
        <v>38</v>
      </c>
      <c r="M496" s="2" t="s">
        <v>38</v>
      </c>
      <c r="N496" s="2" t="s">
        <v>39</v>
      </c>
      <c r="O496" s="2" t="s">
        <v>39</v>
      </c>
      <c r="P496" s="2" t="s">
        <v>39</v>
      </c>
      <c r="Q496" s="2" t="s">
        <v>39</v>
      </c>
      <c r="R496" s="2" t="s">
        <v>38</v>
      </c>
      <c r="S496" s="2" t="s">
        <v>39</v>
      </c>
      <c r="T496" s="2" t="s">
        <v>38</v>
      </c>
      <c r="U496" s="2" t="s">
        <v>39</v>
      </c>
      <c r="V496" s="2" t="s">
        <v>39</v>
      </c>
      <c r="W496" s="2" t="s">
        <v>39</v>
      </c>
      <c r="X496" s="2" t="s">
        <v>39</v>
      </c>
      <c r="Y496" s="2" t="s">
        <v>39</v>
      </c>
      <c r="Z496" s="2" t="s">
        <v>38</v>
      </c>
      <c r="AA496" s="2" t="s">
        <v>39</v>
      </c>
      <c r="AB496" s="2" t="s">
        <v>39</v>
      </c>
      <c r="AC496" s="2" t="s">
        <v>38</v>
      </c>
      <c r="AD496" s="2" t="s">
        <v>39</v>
      </c>
      <c r="AE496" s="2" t="s">
        <v>39</v>
      </c>
    </row>
    <row r="497" spans="1:31" ht="409.5">
      <c r="A497" s="2">
        <v>2760221</v>
      </c>
      <c r="B497" s="2">
        <f>HYPERLINK("https://platform.v2.vetology.net/cases/2760221/screening-report/1?type=pdf&amp;v=v6&amp;scorecard=1&amp;secret_key=BX%25IJ%24%2F65ieZ%29f6", 2760221)</f>
        <v>2760221</v>
      </c>
      <c r="C497" s="2">
        <f>HYPERLINK("https://platform.v2.vetology.net/report/v/final/"&amp;2760221, 2760221)</f>
        <v>2760221</v>
      </c>
      <c r="D497" s="2" t="s">
        <v>1743</v>
      </c>
      <c r="E497" s="2" t="s">
        <v>355</v>
      </c>
      <c r="F497" s="2" t="s">
        <v>1744</v>
      </c>
      <c r="G497" s="2" t="s">
        <v>100</v>
      </c>
      <c r="H497" s="2" t="s">
        <v>1745</v>
      </c>
      <c r="I497" s="2" t="s">
        <v>73</v>
      </c>
      <c r="J497" s="2" t="s">
        <v>74</v>
      </c>
      <c r="K497" s="2" t="s">
        <v>38</v>
      </c>
      <c r="L497" s="2" t="s">
        <v>38</v>
      </c>
      <c r="M497" s="2" t="s">
        <v>38</v>
      </c>
      <c r="N497" s="2" t="s">
        <v>38</v>
      </c>
      <c r="O497" s="2" t="s">
        <v>38</v>
      </c>
      <c r="P497" s="2" t="s">
        <v>38</v>
      </c>
      <c r="Q497" s="2" t="s">
        <v>38</v>
      </c>
      <c r="R497" s="2" t="s">
        <v>38</v>
      </c>
      <c r="S497" s="2" t="s">
        <v>38</v>
      </c>
      <c r="T497" s="2" t="s">
        <v>38</v>
      </c>
      <c r="U497" s="2" t="s">
        <v>38</v>
      </c>
      <c r="V497" s="2" t="s">
        <v>38</v>
      </c>
      <c r="W497" s="2" t="s">
        <v>38</v>
      </c>
      <c r="X497" s="2" t="s">
        <v>38</v>
      </c>
      <c r="Y497" s="2" t="s">
        <v>38</v>
      </c>
      <c r="Z497" s="2" t="s">
        <v>38</v>
      </c>
      <c r="AA497" s="2" t="s">
        <v>38</v>
      </c>
      <c r="AB497" s="2" t="s">
        <v>38</v>
      </c>
      <c r="AC497" s="2" t="s">
        <v>38</v>
      </c>
      <c r="AD497" s="2" t="s">
        <v>39</v>
      </c>
      <c r="AE497" s="2" t="s">
        <v>40</v>
      </c>
    </row>
    <row r="498" spans="1:31" ht="409.5">
      <c r="A498" s="2">
        <v>2760173</v>
      </c>
      <c r="B498" s="2">
        <f>HYPERLINK("https://platform.v2.vetology.net/cases/2760173/screening-report/1?type=pdf&amp;v=v6&amp;scorecard=1&amp;secret_key=BX%25IJ%24%2F65ieZ%29f6", 2760173)</f>
        <v>2760173</v>
      </c>
      <c r="C498" s="2">
        <f>HYPERLINK("https://platform.v2.vetology.net/report/v/final/"&amp;2760173, 2760173)</f>
        <v>2760173</v>
      </c>
      <c r="D498" s="2" t="s">
        <v>1746</v>
      </c>
      <c r="E498" s="2" t="s">
        <v>1747</v>
      </c>
      <c r="F498" s="2" t="s">
        <v>1748</v>
      </c>
      <c r="G498" s="2" t="s">
        <v>53</v>
      </c>
      <c r="H498" s="2" t="s">
        <v>1749</v>
      </c>
      <c r="I498" s="2" t="s">
        <v>73</v>
      </c>
      <c r="J498" s="2" t="s">
        <v>74</v>
      </c>
      <c r="K498" s="2" t="s">
        <v>38</v>
      </c>
      <c r="L498" s="2" t="s">
        <v>38</v>
      </c>
      <c r="M498" s="2" t="s">
        <v>38</v>
      </c>
      <c r="N498" s="2" t="s">
        <v>38</v>
      </c>
      <c r="O498" s="2" t="s">
        <v>38</v>
      </c>
      <c r="P498" s="2" t="s">
        <v>38</v>
      </c>
      <c r="Q498" s="2" t="s">
        <v>38</v>
      </c>
      <c r="R498" s="2" t="s">
        <v>38</v>
      </c>
      <c r="S498" s="2" t="s">
        <v>38</v>
      </c>
      <c r="T498" s="2" t="s">
        <v>38</v>
      </c>
      <c r="U498" s="2" t="s">
        <v>38</v>
      </c>
      <c r="V498" s="2" t="s">
        <v>38</v>
      </c>
      <c r="W498" s="2" t="s">
        <v>38</v>
      </c>
      <c r="X498" s="2" t="s">
        <v>38</v>
      </c>
      <c r="Y498" s="2" t="s">
        <v>38</v>
      </c>
      <c r="Z498" s="2" t="s">
        <v>38</v>
      </c>
      <c r="AA498" s="2" t="s">
        <v>38</v>
      </c>
      <c r="AB498" s="2" t="s">
        <v>38</v>
      </c>
      <c r="AC498" s="2" t="s">
        <v>38</v>
      </c>
      <c r="AD498" s="2" t="s">
        <v>38</v>
      </c>
      <c r="AE498" s="2" t="s">
        <v>40</v>
      </c>
    </row>
    <row r="499" spans="1:31" ht="409.5">
      <c r="A499" s="2">
        <v>2760134</v>
      </c>
      <c r="B499" s="2">
        <f>HYPERLINK("https://platform.v2.vetology.net/cases/2760134/screening-report/1?type=pdf&amp;v=v6&amp;scorecard=1&amp;secret_key=BX%25IJ%24%2F65ieZ%29f6", 2760134)</f>
        <v>2760134</v>
      </c>
      <c r="C499" s="2">
        <f>HYPERLINK("https://platform.v2.vetology.net/report/v/final/"&amp;2760134, 2760134)</f>
        <v>2760134</v>
      </c>
      <c r="D499" s="2" t="s">
        <v>1750</v>
      </c>
      <c r="E499" s="2" t="s">
        <v>1751</v>
      </c>
      <c r="F499" s="2" t="s">
        <v>1752</v>
      </c>
      <c r="G499" s="2" t="s">
        <v>53</v>
      </c>
      <c r="H499" s="2" t="s">
        <v>66</v>
      </c>
      <c r="I499" s="2" t="s">
        <v>36</v>
      </c>
      <c r="J499" s="2" t="s">
        <v>37</v>
      </c>
      <c r="K499" s="2" t="s">
        <v>39</v>
      </c>
      <c r="L499" s="2" t="s">
        <v>39</v>
      </c>
      <c r="M499" s="2" t="s">
        <v>38</v>
      </c>
      <c r="N499" s="2" t="s">
        <v>39</v>
      </c>
      <c r="O499" s="2" t="s">
        <v>38</v>
      </c>
      <c r="P499" s="2" t="s">
        <v>39</v>
      </c>
      <c r="Q499" s="2" t="s">
        <v>39</v>
      </c>
      <c r="R499" s="2" t="s">
        <v>39</v>
      </c>
      <c r="S499" s="2" t="s">
        <v>39</v>
      </c>
      <c r="T499" s="2" t="s">
        <v>38</v>
      </c>
      <c r="U499" s="2" t="s">
        <v>38</v>
      </c>
      <c r="V499" s="2" t="s">
        <v>38</v>
      </c>
      <c r="W499" s="2" t="s">
        <v>38</v>
      </c>
      <c r="X499" s="2" t="s">
        <v>38</v>
      </c>
      <c r="Y499" s="2" t="s">
        <v>39</v>
      </c>
      <c r="Z499" s="2" t="s">
        <v>38</v>
      </c>
      <c r="AA499" s="2" t="s">
        <v>38</v>
      </c>
      <c r="AB499" s="2" t="s">
        <v>39</v>
      </c>
      <c r="AC499" s="2" t="s">
        <v>38</v>
      </c>
      <c r="AD499" s="2" t="s">
        <v>38</v>
      </c>
      <c r="AE499" s="2" t="s">
        <v>39</v>
      </c>
    </row>
    <row r="500" spans="1:31" ht="409.5">
      <c r="A500" s="2">
        <v>2760132</v>
      </c>
      <c r="B500" s="2">
        <f>HYPERLINK("https://platform.v2.vetology.net/cases/2760132/screening-report/1?type=pdf&amp;v=v6&amp;scorecard=1&amp;secret_key=BX%25IJ%24%2F65ieZ%29f6", 2760132)</f>
        <v>2760132</v>
      </c>
      <c r="C500" s="2">
        <f>HYPERLINK("https://platform.v2.vetology.net/report/v/final/"&amp;2760132, 2760132)</f>
        <v>2760132</v>
      </c>
      <c r="D500" s="2" t="s">
        <v>1753</v>
      </c>
      <c r="E500" s="2" t="s">
        <v>1754</v>
      </c>
      <c r="F500" s="2" t="s">
        <v>1755</v>
      </c>
      <c r="G500" s="2" t="s">
        <v>53</v>
      </c>
      <c r="H500" s="2" t="s">
        <v>273</v>
      </c>
      <c r="I500" s="2" t="s">
        <v>46</v>
      </c>
      <c r="J500" s="2"/>
      <c r="K500" s="2" t="s">
        <v>39</v>
      </c>
      <c r="L500" s="2" t="s">
        <v>39</v>
      </c>
      <c r="M500" s="2" t="s">
        <v>39</v>
      </c>
      <c r="N500" s="2" t="s">
        <v>39</v>
      </c>
      <c r="O500" s="2" t="s">
        <v>39</v>
      </c>
      <c r="P500" s="2" t="s">
        <v>39</v>
      </c>
      <c r="Q500" s="2" t="s">
        <v>39</v>
      </c>
      <c r="R500" s="2" t="s">
        <v>39</v>
      </c>
      <c r="S500" s="2" t="s">
        <v>38</v>
      </c>
      <c r="T500" s="2" t="s">
        <v>39</v>
      </c>
      <c r="U500" s="2" t="s">
        <v>39</v>
      </c>
      <c r="V500" s="2" t="s">
        <v>39</v>
      </c>
      <c r="W500" s="2" t="s">
        <v>39</v>
      </c>
      <c r="X500" s="2" t="s">
        <v>39</v>
      </c>
      <c r="Y500" s="2" t="s">
        <v>39</v>
      </c>
      <c r="Z500" s="2" t="s">
        <v>39</v>
      </c>
      <c r="AA500" s="2" t="s">
        <v>39</v>
      </c>
      <c r="AB500" s="2" t="s">
        <v>39</v>
      </c>
      <c r="AC500" s="2" t="s">
        <v>38</v>
      </c>
      <c r="AD500" s="2" t="s">
        <v>39</v>
      </c>
      <c r="AE500" s="2" t="s">
        <v>39</v>
      </c>
    </row>
    <row r="501" spans="1:31" ht="409.5">
      <c r="A501" s="2">
        <v>2760131</v>
      </c>
      <c r="B501" s="2">
        <f>HYPERLINK("https://platform.v2.vetology.net/cases/2760131/screening-report/1?type=pdf&amp;v=v6&amp;scorecard=1&amp;secret_key=BX%25IJ%24%2F65ieZ%29f6", 2760131)</f>
        <v>2760131</v>
      </c>
      <c r="C501" s="2">
        <f>HYPERLINK("https://platform.v2.vetology.net/report/v/final/"&amp;2760131, 2760131)</f>
        <v>2760131</v>
      </c>
      <c r="D501" s="2" t="s">
        <v>1756</v>
      </c>
      <c r="E501" s="2" t="s">
        <v>1757</v>
      </c>
      <c r="F501" s="2" t="s">
        <v>1758</v>
      </c>
      <c r="G501" s="2" t="s">
        <v>53</v>
      </c>
      <c r="H501" s="2" t="s">
        <v>1759</v>
      </c>
      <c r="I501" s="2" t="s">
        <v>73</v>
      </c>
      <c r="J501" s="2" t="s">
        <v>74</v>
      </c>
      <c r="K501" s="2" t="s">
        <v>38</v>
      </c>
      <c r="L501" s="2" t="s">
        <v>38</v>
      </c>
      <c r="M501" s="2" t="s">
        <v>38</v>
      </c>
      <c r="N501" s="2" t="s">
        <v>38</v>
      </c>
      <c r="O501" s="2" t="s">
        <v>38</v>
      </c>
      <c r="P501" s="2" t="s">
        <v>38</v>
      </c>
      <c r="Q501" s="2" t="s">
        <v>38</v>
      </c>
      <c r="R501" s="2" t="s">
        <v>38</v>
      </c>
      <c r="S501" s="2" t="s">
        <v>38</v>
      </c>
      <c r="T501" s="2" t="s">
        <v>38</v>
      </c>
      <c r="U501" s="2" t="s">
        <v>38</v>
      </c>
      <c r="V501" s="2" t="s">
        <v>38</v>
      </c>
      <c r="W501" s="2" t="s">
        <v>38</v>
      </c>
      <c r="X501" s="2" t="s">
        <v>38</v>
      </c>
      <c r="Y501" s="2" t="s">
        <v>38</v>
      </c>
      <c r="Z501" s="2" t="s">
        <v>38</v>
      </c>
      <c r="AA501" s="2" t="s">
        <v>38</v>
      </c>
      <c r="AB501" s="2" t="s">
        <v>38</v>
      </c>
      <c r="AC501" s="2" t="s">
        <v>38</v>
      </c>
      <c r="AD501" s="2" t="s">
        <v>39</v>
      </c>
      <c r="AE501" s="2" t="s">
        <v>40</v>
      </c>
    </row>
    <row r="502" spans="1:31" ht="409.5">
      <c r="A502" s="2">
        <v>2760121</v>
      </c>
      <c r="B502" s="2">
        <f>HYPERLINK("https://platform.v2.vetology.net/cases/2760121/screening-report/1?type=pdf&amp;v=v6&amp;scorecard=1&amp;secret_key=BX%25IJ%24%2F65ieZ%29f6", 2760121)</f>
        <v>2760121</v>
      </c>
      <c r="C502" s="2">
        <f>HYPERLINK("https://platform.v2.vetology.net/report/v/final/"&amp;2760121, 2760121)</f>
        <v>2760121</v>
      </c>
      <c r="D502" s="2" t="s">
        <v>1760</v>
      </c>
      <c r="E502" s="2" t="s">
        <v>1761</v>
      </c>
      <c r="F502" s="2" t="s">
        <v>1762</v>
      </c>
      <c r="G502" s="2" t="s">
        <v>111</v>
      </c>
      <c r="H502" s="2" t="s">
        <v>1763</v>
      </c>
      <c r="I502" s="2" t="s">
        <v>36</v>
      </c>
      <c r="J502" s="2" t="s">
        <v>37</v>
      </c>
      <c r="K502" s="2" t="s">
        <v>38</v>
      </c>
      <c r="L502" s="2" t="s">
        <v>39</v>
      </c>
      <c r="M502" s="2" t="s">
        <v>38</v>
      </c>
      <c r="N502" s="2" t="s">
        <v>38</v>
      </c>
      <c r="O502" s="2" t="s">
        <v>38</v>
      </c>
      <c r="P502" s="2" t="s">
        <v>39</v>
      </c>
      <c r="Q502" s="2" t="s">
        <v>39</v>
      </c>
      <c r="R502" s="2" t="s">
        <v>38</v>
      </c>
      <c r="S502" s="2" t="s">
        <v>38</v>
      </c>
      <c r="T502" s="2" t="s">
        <v>38</v>
      </c>
      <c r="U502" s="2" t="s">
        <v>38</v>
      </c>
      <c r="V502" s="2" t="s">
        <v>39</v>
      </c>
      <c r="W502" s="2" t="s">
        <v>38</v>
      </c>
      <c r="X502" s="2" t="s">
        <v>39</v>
      </c>
      <c r="Y502" s="2" t="s">
        <v>39</v>
      </c>
      <c r="Z502" s="2" t="s">
        <v>38</v>
      </c>
      <c r="AA502" s="2" t="s">
        <v>38</v>
      </c>
      <c r="AB502" s="2" t="s">
        <v>39</v>
      </c>
      <c r="AC502" s="2" t="s">
        <v>38</v>
      </c>
      <c r="AD502" s="2" t="s">
        <v>39</v>
      </c>
      <c r="AE502" s="2" t="s">
        <v>40</v>
      </c>
    </row>
    <row r="503" spans="1:31" ht="409.5">
      <c r="A503" s="2">
        <v>2760104</v>
      </c>
      <c r="B503" s="2">
        <f>HYPERLINK("https://platform.v2.vetology.net/cases/2760104/screening-report/1?type=pdf&amp;v=v6&amp;scorecard=1&amp;secret_key=BX%25IJ%24%2F65ieZ%29f6", 2760104)</f>
        <v>2760104</v>
      </c>
      <c r="C503" s="2">
        <f>HYPERLINK("https://platform.v2.vetology.net/report/v/final/"&amp;2760104, 2760104)</f>
        <v>2760104</v>
      </c>
      <c r="D503" s="2" t="s">
        <v>1764</v>
      </c>
      <c r="E503" s="2" t="s">
        <v>1765</v>
      </c>
      <c r="F503" s="2" t="s">
        <v>1766</v>
      </c>
      <c r="G503" s="2" t="s">
        <v>53</v>
      </c>
      <c r="H503" s="2" t="s">
        <v>1767</v>
      </c>
      <c r="I503" s="2" t="s">
        <v>36</v>
      </c>
      <c r="J503" s="2" t="s">
        <v>37</v>
      </c>
      <c r="K503" s="2" t="s">
        <v>38</v>
      </c>
      <c r="L503" s="2" t="s">
        <v>39</v>
      </c>
      <c r="M503" s="2" t="s">
        <v>38</v>
      </c>
      <c r="N503" s="2" t="s">
        <v>39</v>
      </c>
      <c r="O503" s="2" t="s">
        <v>38</v>
      </c>
      <c r="P503" s="2" t="s">
        <v>38</v>
      </c>
      <c r="Q503" s="2" t="s">
        <v>39</v>
      </c>
      <c r="R503" s="2" t="s">
        <v>39</v>
      </c>
      <c r="S503" s="2" t="s">
        <v>39</v>
      </c>
      <c r="T503" s="2" t="s">
        <v>38</v>
      </c>
      <c r="U503" s="2" t="s">
        <v>39</v>
      </c>
      <c r="V503" s="2" t="s">
        <v>38</v>
      </c>
      <c r="W503" s="2" t="s">
        <v>39</v>
      </c>
      <c r="X503" s="2" t="s">
        <v>38</v>
      </c>
      <c r="Y503" s="2" t="s">
        <v>39</v>
      </c>
      <c r="Z503" s="2" t="s">
        <v>38</v>
      </c>
      <c r="AA503" s="2" t="s">
        <v>39</v>
      </c>
      <c r="AB503" s="2" t="s">
        <v>38</v>
      </c>
      <c r="AC503" s="2" t="s">
        <v>39</v>
      </c>
      <c r="AD503" s="2" t="s">
        <v>39</v>
      </c>
      <c r="AE503" s="2" t="s">
        <v>39</v>
      </c>
    </row>
    <row r="504" spans="1:31" ht="409.5">
      <c r="A504" s="2">
        <v>2760097</v>
      </c>
      <c r="B504" s="2">
        <f>HYPERLINK("https://platform.v2.vetology.net/cases/2760097/screening-report/1?type=pdf&amp;v=v6&amp;scorecard=1&amp;secret_key=BX%25IJ%24%2F65ieZ%29f6", 2760097)</f>
        <v>2760097</v>
      </c>
      <c r="C504" s="2">
        <f>HYPERLINK("https://platform.v2.vetology.net/report/v/final/"&amp;2760097, 2760097)</f>
        <v>2760097</v>
      </c>
      <c r="D504" s="2" t="s">
        <v>1768</v>
      </c>
      <c r="E504" s="2" t="s">
        <v>1769</v>
      </c>
      <c r="F504" s="2" t="s">
        <v>1770</v>
      </c>
      <c r="G504" s="2" t="s">
        <v>507</v>
      </c>
      <c r="H504" s="2" t="s">
        <v>1771</v>
      </c>
      <c r="I504" s="2" t="s">
        <v>129</v>
      </c>
      <c r="J504" s="2" t="s">
        <v>74</v>
      </c>
      <c r="K504" s="2" t="s">
        <v>38</v>
      </c>
      <c r="L504" s="2" t="s">
        <v>38</v>
      </c>
      <c r="M504" s="2" t="s">
        <v>38</v>
      </c>
      <c r="N504" s="2" t="s">
        <v>38</v>
      </c>
      <c r="O504" s="2" t="s">
        <v>38</v>
      </c>
      <c r="P504" s="2" t="s">
        <v>38</v>
      </c>
      <c r="Q504" s="2" t="s">
        <v>38</v>
      </c>
      <c r="R504" s="2" t="s">
        <v>38</v>
      </c>
      <c r="S504" s="2" t="s">
        <v>39</v>
      </c>
      <c r="T504" s="2" t="s">
        <v>38</v>
      </c>
      <c r="U504" s="2" t="s">
        <v>39</v>
      </c>
      <c r="V504" s="2" t="s">
        <v>38</v>
      </c>
      <c r="W504" s="2" t="s">
        <v>38</v>
      </c>
      <c r="X504" s="2" t="s">
        <v>38</v>
      </c>
      <c r="Y504" s="2" t="s">
        <v>39</v>
      </c>
      <c r="Z504" s="2" t="s">
        <v>38</v>
      </c>
      <c r="AA504" s="2" t="s">
        <v>39</v>
      </c>
      <c r="AB504" s="2" t="s">
        <v>38</v>
      </c>
      <c r="AC504" s="2" t="s">
        <v>38</v>
      </c>
      <c r="AD504" s="2" t="s">
        <v>38</v>
      </c>
      <c r="AE504" s="2"/>
    </row>
    <row r="505" spans="1:31" ht="409.5">
      <c r="A505" s="2">
        <v>2760088</v>
      </c>
      <c r="B505" s="2">
        <f>HYPERLINK("https://platform.v2.vetology.net/cases/2760088/screening-report/1?type=pdf&amp;v=v6&amp;scorecard=1&amp;secret_key=BX%25IJ%24%2F65ieZ%29f6", 2760088)</f>
        <v>2760088</v>
      </c>
      <c r="C505" s="2">
        <f>HYPERLINK("https://platform.v2.vetology.net/report/v/final/"&amp;2760088, 2760088)</f>
        <v>2760088</v>
      </c>
      <c r="D505" s="2" t="s">
        <v>1772</v>
      </c>
      <c r="E505" s="2" t="s">
        <v>1773</v>
      </c>
      <c r="F505" s="2" t="s">
        <v>1774</v>
      </c>
      <c r="G505" s="2" t="s">
        <v>100</v>
      </c>
      <c r="H505" s="2" t="s">
        <v>45</v>
      </c>
      <c r="I505" s="2" t="s">
        <v>46</v>
      </c>
      <c r="J505" s="2"/>
      <c r="K505" s="2" t="s">
        <v>39</v>
      </c>
      <c r="L505" s="2" t="s">
        <v>39</v>
      </c>
      <c r="M505" s="2" t="s">
        <v>39</v>
      </c>
      <c r="N505" s="2" t="s">
        <v>39</v>
      </c>
      <c r="O505" s="2" t="s">
        <v>39</v>
      </c>
      <c r="P505" s="2" t="s">
        <v>39</v>
      </c>
      <c r="Q505" s="2" t="s">
        <v>39</v>
      </c>
      <c r="R505" s="2" t="s">
        <v>38</v>
      </c>
      <c r="S505" s="2" t="s">
        <v>39</v>
      </c>
      <c r="T505" s="2" t="s">
        <v>38</v>
      </c>
      <c r="U505" s="2" t="s">
        <v>39</v>
      </c>
      <c r="V505" s="2" t="s">
        <v>39</v>
      </c>
      <c r="W505" s="2" t="s">
        <v>39</v>
      </c>
      <c r="X505" s="2" t="s">
        <v>39</v>
      </c>
      <c r="Y505" s="2" t="s">
        <v>39</v>
      </c>
      <c r="Z505" s="2" t="s">
        <v>39</v>
      </c>
      <c r="AA505" s="2" t="s">
        <v>39</v>
      </c>
      <c r="AB505" s="2" t="s">
        <v>39</v>
      </c>
      <c r="AC505" s="2" t="s">
        <v>39</v>
      </c>
      <c r="AD505" s="2" t="s">
        <v>38</v>
      </c>
      <c r="AE505" s="2" t="s">
        <v>39</v>
      </c>
    </row>
    <row r="506" spans="1:31" ht="409.5">
      <c r="A506" s="2">
        <v>2760086</v>
      </c>
      <c r="B506" s="2">
        <f>HYPERLINK("https://platform.v2.vetology.net/cases/2760086/screening-report/1?type=pdf&amp;v=v6&amp;scorecard=1&amp;secret_key=BX%25IJ%24%2F65ieZ%29f6", 2760086)</f>
        <v>2760086</v>
      </c>
      <c r="C506" s="2">
        <f>HYPERLINK("https://platform.v2.vetology.net/report/v/final/"&amp;2760086, 2760086)</f>
        <v>2760086</v>
      </c>
      <c r="D506" s="2" t="s">
        <v>1775</v>
      </c>
      <c r="E506" s="2" t="s">
        <v>1776</v>
      </c>
      <c r="F506" s="2" t="s">
        <v>43</v>
      </c>
      <c r="G506" s="2" t="s">
        <v>507</v>
      </c>
      <c r="H506" s="2" t="s">
        <v>1777</v>
      </c>
      <c r="I506" s="2" t="s">
        <v>257</v>
      </c>
      <c r="J506" s="2" t="s">
        <v>74</v>
      </c>
      <c r="K506" s="2" t="s">
        <v>38</v>
      </c>
      <c r="L506" s="2" t="s">
        <v>38</v>
      </c>
      <c r="M506" s="2" t="s">
        <v>38</v>
      </c>
      <c r="N506" s="2" t="s">
        <v>38</v>
      </c>
      <c r="O506" s="2" t="s">
        <v>38</v>
      </c>
      <c r="P506" s="2" t="s">
        <v>38</v>
      </c>
      <c r="Q506" s="2" t="s">
        <v>38</v>
      </c>
      <c r="R506" s="2" t="s">
        <v>38</v>
      </c>
      <c r="S506" s="2" t="s">
        <v>38</v>
      </c>
      <c r="T506" s="2" t="s">
        <v>38</v>
      </c>
      <c r="U506" s="2" t="s">
        <v>38</v>
      </c>
      <c r="V506" s="2" t="s">
        <v>38</v>
      </c>
      <c r="W506" s="2" t="s">
        <v>38</v>
      </c>
      <c r="X506" s="2" t="s">
        <v>38</v>
      </c>
      <c r="Y506" s="2" t="s">
        <v>38</v>
      </c>
      <c r="Z506" s="2" t="s">
        <v>38</v>
      </c>
      <c r="AA506" s="2" t="s">
        <v>38</v>
      </c>
      <c r="AB506" s="2" t="s">
        <v>38</v>
      </c>
      <c r="AC506" s="2" t="s">
        <v>38</v>
      </c>
      <c r="AD506" s="2" t="s">
        <v>38</v>
      </c>
      <c r="AE506" s="2" t="s">
        <v>39</v>
      </c>
    </row>
    <row r="507" spans="1:31" ht="409.5">
      <c r="A507" s="2">
        <v>2760079</v>
      </c>
      <c r="B507" s="2">
        <f>HYPERLINK("https://platform.v2.vetology.net/cases/2760079/screening-report/1?type=pdf&amp;v=v6&amp;scorecard=1&amp;secret_key=BX%25IJ%24%2F65ieZ%29f6", 2760079)</f>
        <v>2760079</v>
      </c>
      <c r="C507" s="2">
        <f>HYPERLINK("https://platform.v2.vetology.net/report/v/final/"&amp;2760079, 2760079)</f>
        <v>2760079</v>
      </c>
      <c r="D507" s="2" t="s">
        <v>1778</v>
      </c>
      <c r="E507" s="2" t="s">
        <v>1779</v>
      </c>
      <c r="F507" s="2" t="s">
        <v>1780</v>
      </c>
      <c r="G507" s="2" t="s">
        <v>53</v>
      </c>
      <c r="H507" s="2" t="s">
        <v>1781</v>
      </c>
      <c r="I507" s="2" t="s">
        <v>36</v>
      </c>
      <c r="J507" s="2" t="s">
        <v>37</v>
      </c>
      <c r="K507" s="2" t="s">
        <v>38</v>
      </c>
      <c r="L507" s="2" t="s">
        <v>38</v>
      </c>
      <c r="M507" s="2" t="s">
        <v>38</v>
      </c>
      <c r="N507" s="2" t="s">
        <v>38</v>
      </c>
      <c r="O507" s="2" t="s">
        <v>38</v>
      </c>
      <c r="P507" s="2" t="s">
        <v>39</v>
      </c>
      <c r="Q507" s="2" t="s">
        <v>39</v>
      </c>
      <c r="R507" s="2" t="s">
        <v>38</v>
      </c>
      <c r="S507" s="2" t="s">
        <v>38</v>
      </c>
      <c r="T507" s="2" t="s">
        <v>38</v>
      </c>
      <c r="U507" s="2" t="s">
        <v>38</v>
      </c>
      <c r="V507" s="2" t="s">
        <v>38</v>
      </c>
      <c r="W507" s="2" t="s">
        <v>38</v>
      </c>
      <c r="X507" s="2" t="s">
        <v>39</v>
      </c>
      <c r="Y507" s="2" t="s">
        <v>39</v>
      </c>
      <c r="Z507" s="2" t="s">
        <v>38</v>
      </c>
      <c r="AA507" s="2" t="s">
        <v>39</v>
      </c>
      <c r="AB507" s="2" t="s">
        <v>39</v>
      </c>
      <c r="AC507" s="2" t="s">
        <v>38</v>
      </c>
      <c r="AD507" s="2" t="s">
        <v>38</v>
      </c>
      <c r="AE507" s="2" t="s">
        <v>39</v>
      </c>
    </row>
    <row r="508" spans="1:31" ht="409.5">
      <c r="A508" s="2">
        <v>2760071</v>
      </c>
      <c r="B508" s="2">
        <f>HYPERLINK("https://platform.v2.vetology.net/cases/2760071/screening-report/1?type=pdf&amp;v=v6&amp;scorecard=1&amp;secret_key=BX%25IJ%24%2F65ieZ%29f6", 2760071)</f>
        <v>2760071</v>
      </c>
      <c r="C508" s="2">
        <f>HYPERLINK("https://platform.v2.vetology.net/report/v/final/"&amp;2760071, 2760071)</f>
        <v>2760071</v>
      </c>
      <c r="D508" s="2" t="s">
        <v>1782</v>
      </c>
      <c r="E508" s="2" t="s">
        <v>1783</v>
      </c>
      <c r="F508" s="2" t="s">
        <v>43</v>
      </c>
      <c r="G508" s="2" t="s">
        <v>507</v>
      </c>
      <c r="H508" s="2" t="s">
        <v>1784</v>
      </c>
      <c r="I508" s="2" t="s">
        <v>36</v>
      </c>
      <c r="J508" s="2" t="s">
        <v>37</v>
      </c>
      <c r="K508" s="2" t="s">
        <v>38</v>
      </c>
      <c r="L508" s="2" t="s">
        <v>39</v>
      </c>
      <c r="M508" s="2" t="s">
        <v>39</v>
      </c>
      <c r="N508" s="2" t="s">
        <v>38</v>
      </c>
      <c r="O508" s="2" t="s">
        <v>38</v>
      </c>
      <c r="P508" s="2" t="s">
        <v>38</v>
      </c>
      <c r="Q508" s="2" t="s">
        <v>39</v>
      </c>
      <c r="R508" s="2" t="s">
        <v>39</v>
      </c>
      <c r="S508" s="2" t="s">
        <v>39</v>
      </c>
      <c r="T508" s="2" t="s">
        <v>38</v>
      </c>
      <c r="U508" s="2" t="s">
        <v>39</v>
      </c>
      <c r="V508" s="2" t="s">
        <v>39</v>
      </c>
      <c r="W508" s="2" t="s">
        <v>38</v>
      </c>
      <c r="X508" s="2" t="s">
        <v>39</v>
      </c>
      <c r="Y508" s="2" t="s">
        <v>39</v>
      </c>
      <c r="Z508" s="2" t="s">
        <v>38</v>
      </c>
      <c r="AA508" s="2" t="s">
        <v>39</v>
      </c>
      <c r="AB508" s="2" t="s">
        <v>39</v>
      </c>
      <c r="AC508" s="2" t="s">
        <v>39</v>
      </c>
      <c r="AD508" s="2" t="s">
        <v>39</v>
      </c>
      <c r="AE508" s="2" t="s">
        <v>40</v>
      </c>
    </row>
    <row r="509" spans="1:31" ht="409.5">
      <c r="A509" s="2">
        <v>2760069</v>
      </c>
      <c r="B509" s="2">
        <f>HYPERLINK("https://platform.v2.vetology.net/cases/2760069/screening-report/1?type=pdf&amp;v=v6&amp;scorecard=1&amp;secret_key=BX%25IJ%24%2F65ieZ%29f6", 2760069)</f>
        <v>2760069</v>
      </c>
      <c r="C509" s="2">
        <f>HYPERLINK("https://platform.v2.vetology.net/report/v/final/"&amp;2760069, 2760069)</f>
        <v>2760069</v>
      </c>
      <c r="D509" s="2" t="s">
        <v>1785</v>
      </c>
      <c r="E509" s="2" t="s">
        <v>1786</v>
      </c>
      <c r="F509" s="2" t="s">
        <v>1787</v>
      </c>
      <c r="G509" s="2" t="s">
        <v>53</v>
      </c>
      <c r="H509" s="2" t="s">
        <v>1241</v>
      </c>
      <c r="I509" s="2" t="s">
        <v>36</v>
      </c>
      <c r="J509" s="2" t="s">
        <v>37</v>
      </c>
      <c r="K509" s="2" t="s">
        <v>39</v>
      </c>
      <c r="L509" s="2" t="s">
        <v>39</v>
      </c>
      <c r="M509" s="2" t="s">
        <v>38</v>
      </c>
      <c r="N509" s="2" t="s">
        <v>39</v>
      </c>
      <c r="O509" s="2" t="s">
        <v>38</v>
      </c>
      <c r="P509" s="2" t="s">
        <v>39</v>
      </c>
      <c r="Q509" s="2" t="s">
        <v>39</v>
      </c>
      <c r="R509" s="2" t="s">
        <v>39</v>
      </c>
      <c r="S509" s="2" t="s">
        <v>39</v>
      </c>
      <c r="T509" s="2" t="s">
        <v>38</v>
      </c>
      <c r="U509" s="2" t="s">
        <v>39</v>
      </c>
      <c r="V509" s="2" t="s">
        <v>39</v>
      </c>
      <c r="W509" s="2" t="s">
        <v>38</v>
      </c>
      <c r="X509" s="2" t="s">
        <v>39</v>
      </c>
      <c r="Y509" s="2" t="s">
        <v>39</v>
      </c>
      <c r="Z509" s="2" t="s">
        <v>38</v>
      </c>
      <c r="AA509" s="2" t="s">
        <v>39</v>
      </c>
      <c r="AB509" s="2" t="s">
        <v>39</v>
      </c>
      <c r="AC509" s="2" t="s">
        <v>38</v>
      </c>
      <c r="AD509" s="2" t="s">
        <v>38</v>
      </c>
      <c r="AE509" s="2" t="s">
        <v>40</v>
      </c>
    </row>
    <row r="510" spans="1:31" ht="409.5">
      <c r="A510" s="2">
        <v>2760061</v>
      </c>
      <c r="B510" s="2">
        <f>HYPERLINK("https://platform.v2.vetology.net/cases/2760061/screening-report/1?type=pdf&amp;v=v6&amp;scorecard=1&amp;secret_key=BX%25IJ%24%2F65ieZ%29f6", 2760061)</f>
        <v>2760061</v>
      </c>
      <c r="C510" s="2">
        <f>HYPERLINK("https://platform.v2.vetology.net/report/v/final/"&amp;2760061, 2760061)</f>
        <v>2760061</v>
      </c>
      <c r="D510" s="2" t="s">
        <v>1788</v>
      </c>
      <c r="E510" s="2" t="s">
        <v>1789</v>
      </c>
      <c r="F510" s="2" t="s">
        <v>1790</v>
      </c>
      <c r="G510" s="2" t="s">
        <v>53</v>
      </c>
      <c r="H510" s="2" t="s">
        <v>1791</v>
      </c>
      <c r="I510" s="2" t="s">
        <v>36</v>
      </c>
      <c r="J510" s="2" t="s">
        <v>37</v>
      </c>
      <c r="K510" s="2" t="s">
        <v>38</v>
      </c>
      <c r="L510" s="2" t="s">
        <v>38</v>
      </c>
      <c r="M510" s="2" t="s">
        <v>39</v>
      </c>
      <c r="N510" s="2" t="s">
        <v>38</v>
      </c>
      <c r="O510" s="2" t="s">
        <v>38</v>
      </c>
      <c r="P510" s="2" t="s">
        <v>39</v>
      </c>
      <c r="Q510" s="2" t="s">
        <v>39</v>
      </c>
      <c r="R510" s="2" t="s">
        <v>38</v>
      </c>
      <c r="S510" s="2" t="s">
        <v>38</v>
      </c>
      <c r="T510" s="2" t="s">
        <v>38</v>
      </c>
      <c r="U510" s="2" t="s">
        <v>39</v>
      </c>
      <c r="V510" s="2" t="s">
        <v>38</v>
      </c>
      <c r="W510" s="2" t="s">
        <v>38</v>
      </c>
      <c r="X510" s="2" t="s">
        <v>39</v>
      </c>
      <c r="Y510" s="2" t="s">
        <v>38</v>
      </c>
      <c r="Z510" s="2" t="s">
        <v>38</v>
      </c>
      <c r="AA510" s="2" t="s">
        <v>38</v>
      </c>
      <c r="AB510" s="2" t="s">
        <v>39</v>
      </c>
      <c r="AC510" s="2" t="s">
        <v>38</v>
      </c>
      <c r="AD510" s="2" t="s">
        <v>38</v>
      </c>
      <c r="AE510" s="2" t="s">
        <v>39</v>
      </c>
    </row>
    <row r="511" spans="1:31" ht="409.5">
      <c r="A511" s="2">
        <v>2760038</v>
      </c>
      <c r="B511" s="2">
        <f>HYPERLINK("https://platform.v2.vetology.net/cases/2760038/screening-report/1?type=pdf&amp;v=v6&amp;scorecard=1&amp;secret_key=BX%25IJ%24%2F65ieZ%29f6", 2760038)</f>
        <v>2760038</v>
      </c>
      <c r="C511" s="2">
        <f>HYPERLINK("https://platform.v2.vetology.net/report/v/final/"&amp;2760038, 2760038)</f>
        <v>2760038</v>
      </c>
      <c r="D511" s="2" t="s">
        <v>1792</v>
      </c>
      <c r="E511" s="2" t="s">
        <v>1793</v>
      </c>
      <c r="F511" s="2" t="s">
        <v>276</v>
      </c>
      <c r="G511" s="2" t="s">
        <v>170</v>
      </c>
      <c r="H511" s="2" t="s">
        <v>1794</v>
      </c>
      <c r="I511" s="2" t="s">
        <v>59</v>
      </c>
      <c r="J511" s="2" t="s">
        <v>37</v>
      </c>
      <c r="K511" s="2" t="s">
        <v>38</v>
      </c>
      <c r="L511" s="2" t="s">
        <v>39</v>
      </c>
      <c r="M511" s="2" t="s">
        <v>39</v>
      </c>
      <c r="N511" s="2" t="s">
        <v>38</v>
      </c>
      <c r="O511" s="2" t="s">
        <v>39</v>
      </c>
      <c r="P511" s="2" t="s">
        <v>39</v>
      </c>
      <c r="Q511" s="2" t="s">
        <v>39</v>
      </c>
      <c r="R511" s="2" t="s">
        <v>39</v>
      </c>
      <c r="S511" s="2" t="s">
        <v>38</v>
      </c>
      <c r="T511" s="2" t="s">
        <v>38</v>
      </c>
      <c r="U511" s="2" t="s">
        <v>38</v>
      </c>
      <c r="V511" s="2" t="s">
        <v>38</v>
      </c>
      <c r="W511" s="2" t="s">
        <v>39</v>
      </c>
      <c r="X511" s="2" t="s">
        <v>39</v>
      </c>
      <c r="Y511" s="2" t="s">
        <v>39</v>
      </c>
      <c r="Z511" s="2" t="s">
        <v>38</v>
      </c>
      <c r="AA511" s="2" t="s">
        <v>38</v>
      </c>
      <c r="AB511" s="2" t="s">
        <v>39</v>
      </c>
      <c r="AC511" s="2" t="s">
        <v>38</v>
      </c>
      <c r="AD511" s="2" t="s">
        <v>39</v>
      </c>
      <c r="AE511" s="2" t="s">
        <v>40</v>
      </c>
    </row>
    <row r="512" spans="1:31" ht="409.5">
      <c r="A512" s="2">
        <v>2760032</v>
      </c>
      <c r="B512" s="2">
        <f>HYPERLINK("https://platform.v2.vetology.net/cases/2760032/screening-report/1?type=pdf&amp;v=v6&amp;scorecard=1&amp;secret_key=BX%25IJ%24%2F65ieZ%29f6", 2760032)</f>
        <v>2760032</v>
      </c>
      <c r="C512" s="2">
        <f>HYPERLINK("https://platform.v2.vetology.net/report/v/final/"&amp;2760032, 2760032)</f>
        <v>2760032</v>
      </c>
      <c r="D512" s="2" t="s">
        <v>1795</v>
      </c>
      <c r="E512" s="2" t="s">
        <v>1796</v>
      </c>
      <c r="F512" s="2" t="s">
        <v>1797</v>
      </c>
      <c r="G512" s="2" t="s">
        <v>170</v>
      </c>
      <c r="H512" s="2" t="s">
        <v>1798</v>
      </c>
      <c r="I512" s="2" t="s">
        <v>36</v>
      </c>
      <c r="J512" s="2" t="s">
        <v>37</v>
      </c>
      <c r="K512" s="2" t="s">
        <v>39</v>
      </c>
      <c r="L512" s="2" t="s">
        <v>38</v>
      </c>
      <c r="M512" s="2" t="s">
        <v>39</v>
      </c>
      <c r="N512" s="2" t="s">
        <v>38</v>
      </c>
      <c r="O512" s="2" t="s">
        <v>38</v>
      </c>
      <c r="P512" s="2" t="s">
        <v>38</v>
      </c>
      <c r="Q512" s="2" t="s">
        <v>39</v>
      </c>
      <c r="R512" s="2" t="s">
        <v>39</v>
      </c>
      <c r="S512" s="2" t="s">
        <v>39</v>
      </c>
      <c r="T512" s="2" t="s">
        <v>38</v>
      </c>
      <c r="U512" s="2" t="s">
        <v>39</v>
      </c>
      <c r="V512" s="2" t="s">
        <v>39</v>
      </c>
      <c r="W512" s="2" t="s">
        <v>39</v>
      </c>
      <c r="X512" s="2" t="s">
        <v>39</v>
      </c>
      <c r="Y512" s="2" t="s">
        <v>39</v>
      </c>
      <c r="Z512" s="2" t="s">
        <v>38</v>
      </c>
      <c r="AA512" s="2" t="s">
        <v>39</v>
      </c>
      <c r="AB512" s="2" t="s">
        <v>39</v>
      </c>
      <c r="AC512" s="2" t="s">
        <v>38</v>
      </c>
      <c r="AD512" s="2" t="s">
        <v>39</v>
      </c>
      <c r="AE512" s="2" t="s">
        <v>39</v>
      </c>
    </row>
    <row r="513" spans="1:31" ht="409.5">
      <c r="A513" s="2">
        <v>2759978</v>
      </c>
      <c r="B513" s="2">
        <f>HYPERLINK("https://platform.v2.vetology.net/cases/2759978/screening-report/1?type=pdf&amp;v=v6&amp;scorecard=1&amp;secret_key=BX%25IJ%24%2F65ieZ%29f6", 2759978)</f>
        <v>2759978</v>
      </c>
      <c r="C513" s="2">
        <f>HYPERLINK("https://platform.v2.vetology.net/report/v/final/"&amp;2759978, 2759978)</f>
        <v>2759978</v>
      </c>
      <c r="D513" s="2" t="s">
        <v>302</v>
      </c>
      <c r="E513" s="2" t="s">
        <v>99</v>
      </c>
      <c r="F513" s="2"/>
      <c r="G513" s="2" t="s">
        <v>100</v>
      </c>
      <c r="H513" s="2" t="s">
        <v>1799</v>
      </c>
      <c r="I513" s="2" t="s">
        <v>36</v>
      </c>
      <c r="J513" s="2" t="s">
        <v>37</v>
      </c>
      <c r="K513" s="2" t="s">
        <v>38</v>
      </c>
      <c r="L513" s="2" t="s">
        <v>39</v>
      </c>
      <c r="M513" s="2" t="s">
        <v>38</v>
      </c>
      <c r="N513" s="2" t="s">
        <v>39</v>
      </c>
      <c r="O513" s="2" t="s">
        <v>39</v>
      </c>
      <c r="P513" s="2" t="s">
        <v>39</v>
      </c>
      <c r="Q513" s="2" t="s">
        <v>39</v>
      </c>
      <c r="R513" s="2" t="s">
        <v>38</v>
      </c>
      <c r="S513" s="2" t="s">
        <v>38</v>
      </c>
      <c r="T513" s="2" t="s">
        <v>38</v>
      </c>
      <c r="U513" s="2" t="s">
        <v>39</v>
      </c>
      <c r="V513" s="2" t="s">
        <v>38</v>
      </c>
      <c r="W513" s="2" t="s">
        <v>38</v>
      </c>
      <c r="X513" s="2" t="s">
        <v>39</v>
      </c>
      <c r="Y513" s="2" t="s">
        <v>39</v>
      </c>
      <c r="Z513" s="2" t="s">
        <v>39</v>
      </c>
      <c r="AA513" s="2" t="s">
        <v>38</v>
      </c>
      <c r="AB513" s="2" t="s">
        <v>39</v>
      </c>
      <c r="AC513" s="2" t="s">
        <v>38</v>
      </c>
      <c r="AD513" s="2" t="s">
        <v>38</v>
      </c>
      <c r="AE513" s="2" t="s">
        <v>39</v>
      </c>
    </row>
    <row r="514" spans="1:31" ht="409.5">
      <c r="A514" s="2">
        <v>2759964</v>
      </c>
      <c r="B514" s="2">
        <f>HYPERLINK("https://platform.v2.vetology.net/cases/2759964/screening-report/1?type=pdf&amp;v=v6&amp;scorecard=1&amp;secret_key=BX%25IJ%24%2F65ieZ%29f6", 2759964)</f>
        <v>2759964</v>
      </c>
      <c r="C514" s="2">
        <f>HYPERLINK("https://platform.v2.vetology.net/report/v/final/"&amp;2759964, 2759964)</f>
        <v>2759964</v>
      </c>
      <c r="D514" s="2" t="s">
        <v>1800</v>
      </c>
      <c r="E514" s="2" t="s">
        <v>1801</v>
      </c>
      <c r="F514" s="2" t="s">
        <v>1802</v>
      </c>
      <c r="G514" s="2" t="s">
        <v>556</v>
      </c>
      <c r="H514" s="2" t="s">
        <v>1803</v>
      </c>
      <c r="I514" s="2" t="s">
        <v>36</v>
      </c>
      <c r="J514" s="2" t="s">
        <v>37</v>
      </c>
      <c r="K514" s="2" t="s">
        <v>39</v>
      </c>
      <c r="L514" s="2" t="s">
        <v>38</v>
      </c>
      <c r="M514" s="2" t="s">
        <v>38</v>
      </c>
      <c r="N514" s="2" t="s">
        <v>38</v>
      </c>
      <c r="O514" s="2" t="s">
        <v>38</v>
      </c>
      <c r="P514" s="2" t="s">
        <v>38</v>
      </c>
      <c r="Q514" s="2" t="s">
        <v>39</v>
      </c>
      <c r="R514" s="2" t="s">
        <v>38</v>
      </c>
      <c r="S514" s="2" t="s">
        <v>38</v>
      </c>
      <c r="T514" s="2" t="s">
        <v>38</v>
      </c>
      <c r="U514" s="2" t="s">
        <v>39</v>
      </c>
      <c r="V514" s="2" t="s">
        <v>38</v>
      </c>
      <c r="W514" s="2" t="s">
        <v>38</v>
      </c>
      <c r="X514" s="2" t="s">
        <v>38</v>
      </c>
      <c r="Y514" s="2" t="s">
        <v>39</v>
      </c>
      <c r="Z514" s="2" t="s">
        <v>38</v>
      </c>
      <c r="AA514" s="2" t="s">
        <v>38</v>
      </c>
      <c r="AB514" s="2" t="s">
        <v>39</v>
      </c>
      <c r="AC514" s="2" t="s">
        <v>38</v>
      </c>
      <c r="AD514" s="2" t="s">
        <v>39</v>
      </c>
      <c r="AE514" s="2" t="s">
        <v>40</v>
      </c>
    </row>
    <row r="515" spans="1:31" ht="409.5">
      <c r="A515" s="2">
        <v>2759951</v>
      </c>
      <c r="B515" s="2">
        <f>HYPERLINK("https://platform.v2.vetology.net/cases/2759951/screening-report/1?type=pdf&amp;v=v6&amp;scorecard=1&amp;secret_key=BX%25IJ%24%2F65ieZ%29f6", 2759951)</f>
        <v>2759951</v>
      </c>
      <c r="C515" s="2">
        <f>HYPERLINK("https://platform.v2.vetology.net/report/v/final/"&amp;2759951, 2759951)</f>
        <v>2759951</v>
      </c>
      <c r="D515" s="2" t="s">
        <v>1804</v>
      </c>
      <c r="E515" s="2" t="s">
        <v>502</v>
      </c>
      <c r="F515" s="2" t="s">
        <v>1805</v>
      </c>
      <c r="G515" s="2" t="s">
        <v>111</v>
      </c>
      <c r="H515" s="2" t="s">
        <v>273</v>
      </c>
      <c r="I515" s="2" t="s">
        <v>46</v>
      </c>
      <c r="J515" s="2"/>
      <c r="K515" s="2" t="s">
        <v>39</v>
      </c>
      <c r="L515" s="2" t="s">
        <v>39</v>
      </c>
      <c r="M515" s="2" t="s">
        <v>39</v>
      </c>
      <c r="N515" s="2" t="s">
        <v>39</v>
      </c>
      <c r="O515" s="2" t="s">
        <v>39</v>
      </c>
      <c r="P515" s="2" t="s">
        <v>39</v>
      </c>
      <c r="Q515" s="2" t="s">
        <v>39</v>
      </c>
      <c r="R515" s="2" t="s">
        <v>39</v>
      </c>
      <c r="S515" s="2" t="s">
        <v>38</v>
      </c>
      <c r="T515" s="2" t="s">
        <v>39</v>
      </c>
      <c r="U515" s="2" t="s">
        <v>39</v>
      </c>
      <c r="V515" s="2" t="s">
        <v>39</v>
      </c>
      <c r="W515" s="2" t="s">
        <v>38</v>
      </c>
      <c r="X515" s="2" t="s">
        <v>39</v>
      </c>
      <c r="Y515" s="2" t="s">
        <v>39</v>
      </c>
      <c r="Z515" s="2" t="s">
        <v>39</v>
      </c>
      <c r="AA515" s="2" t="s">
        <v>39</v>
      </c>
      <c r="AB515" s="2" t="s">
        <v>39</v>
      </c>
      <c r="AC515" s="2" t="s">
        <v>38</v>
      </c>
      <c r="AD515" s="2" t="s">
        <v>39</v>
      </c>
      <c r="AE515" s="2" t="s">
        <v>39</v>
      </c>
    </row>
    <row r="516" spans="1:31" ht="409.5">
      <c r="A516" s="2">
        <v>2759947</v>
      </c>
      <c r="B516" s="2">
        <f>HYPERLINK("https://platform.v2.vetology.net/cases/2759947/screening-report/1?type=pdf&amp;v=v6&amp;scorecard=1&amp;secret_key=BX%25IJ%24%2F65ieZ%29f6", 2759947)</f>
        <v>2759947</v>
      </c>
      <c r="C516" s="2">
        <f>HYPERLINK("https://platform.v2.vetology.net/report/v/final/"&amp;2759947, 2759947)</f>
        <v>2759947</v>
      </c>
      <c r="D516" s="2" t="s">
        <v>1806</v>
      </c>
      <c r="E516" s="2" t="s">
        <v>1807</v>
      </c>
      <c r="F516" s="2" t="s">
        <v>1808</v>
      </c>
      <c r="G516" s="2" t="s">
        <v>170</v>
      </c>
      <c r="H516" s="2" t="s">
        <v>1809</v>
      </c>
      <c r="I516" s="2" t="s">
        <v>73</v>
      </c>
      <c r="J516" s="2" t="s">
        <v>74</v>
      </c>
      <c r="K516" s="2" t="s">
        <v>38</v>
      </c>
      <c r="L516" s="2" t="s">
        <v>38</v>
      </c>
      <c r="M516" s="2" t="s">
        <v>38</v>
      </c>
      <c r="N516" s="2" t="s">
        <v>38</v>
      </c>
      <c r="O516" s="2" t="s">
        <v>38</v>
      </c>
      <c r="P516" s="2" t="s">
        <v>38</v>
      </c>
      <c r="Q516" s="2" t="s">
        <v>38</v>
      </c>
      <c r="R516" s="2" t="s">
        <v>38</v>
      </c>
      <c r="S516" s="2" t="s">
        <v>38</v>
      </c>
      <c r="T516" s="2" t="s">
        <v>38</v>
      </c>
      <c r="U516" s="2" t="s">
        <v>38</v>
      </c>
      <c r="V516" s="2" t="s">
        <v>38</v>
      </c>
      <c r="W516" s="2" t="s">
        <v>38</v>
      </c>
      <c r="X516" s="2" t="s">
        <v>38</v>
      </c>
      <c r="Y516" s="2" t="s">
        <v>38</v>
      </c>
      <c r="Z516" s="2" t="s">
        <v>38</v>
      </c>
      <c r="AA516" s="2" t="s">
        <v>38</v>
      </c>
      <c r="AB516" s="2" t="s">
        <v>38</v>
      </c>
      <c r="AC516" s="2" t="s">
        <v>38</v>
      </c>
      <c r="AD516" s="2" t="s">
        <v>38</v>
      </c>
      <c r="AE516" s="2" t="s">
        <v>40</v>
      </c>
    </row>
    <row r="517" spans="1:31" ht="409.5">
      <c r="A517" s="2">
        <v>2759943</v>
      </c>
      <c r="B517" s="2">
        <f>HYPERLINK("https://platform.v2.vetology.net/cases/2759943/screening-report/1?type=pdf&amp;v=v6&amp;scorecard=1&amp;secret_key=BX%25IJ%24%2F65ieZ%29f6", 2759943)</f>
        <v>2759943</v>
      </c>
      <c r="C517" s="2">
        <f>HYPERLINK("https://platform.v2.vetology.net/report/v/final/"&amp;2759943, 2759943)</f>
        <v>2759943</v>
      </c>
      <c r="D517" s="2" t="s">
        <v>1810</v>
      </c>
      <c r="E517" s="2" t="s">
        <v>1811</v>
      </c>
      <c r="F517" s="2"/>
      <c r="G517" s="2" t="s">
        <v>100</v>
      </c>
      <c r="H517" s="2" t="s">
        <v>947</v>
      </c>
      <c r="I517" s="2" t="s">
        <v>59</v>
      </c>
      <c r="J517" s="2" t="s">
        <v>37</v>
      </c>
      <c r="K517" s="2" t="s">
        <v>38</v>
      </c>
      <c r="L517" s="2" t="s">
        <v>39</v>
      </c>
      <c r="M517" s="2" t="s">
        <v>39</v>
      </c>
      <c r="N517" s="2" t="s">
        <v>39</v>
      </c>
      <c r="O517" s="2" t="s">
        <v>39</v>
      </c>
      <c r="P517" s="2" t="s">
        <v>39</v>
      </c>
      <c r="Q517" s="2" t="s">
        <v>39</v>
      </c>
      <c r="R517" s="2" t="s">
        <v>38</v>
      </c>
      <c r="S517" s="2" t="s">
        <v>38</v>
      </c>
      <c r="T517" s="2" t="s">
        <v>38</v>
      </c>
      <c r="U517" s="2" t="s">
        <v>38</v>
      </c>
      <c r="V517" s="2" t="s">
        <v>38</v>
      </c>
      <c r="W517" s="2" t="s">
        <v>39</v>
      </c>
      <c r="X517" s="2" t="s">
        <v>39</v>
      </c>
      <c r="Y517" s="2" t="s">
        <v>39</v>
      </c>
      <c r="Z517" s="2" t="s">
        <v>38</v>
      </c>
      <c r="AA517" s="2" t="s">
        <v>39</v>
      </c>
      <c r="AB517" s="2" t="s">
        <v>39</v>
      </c>
      <c r="AC517" s="2" t="s">
        <v>38</v>
      </c>
      <c r="AD517" s="2" t="s">
        <v>39</v>
      </c>
      <c r="AE517" s="2" t="s">
        <v>39</v>
      </c>
    </row>
    <row r="518" spans="1:31" ht="409.5">
      <c r="A518" s="2">
        <v>2759941</v>
      </c>
      <c r="B518" s="2">
        <f>HYPERLINK("https://platform.v2.vetology.net/cases/2759941/screening-report/1?type=pdf&amp;v=v6&amp;scorecard=1&amp;secret_key=BX%25IJ%24%2F65ieZ%29f6", 2759941)</f>
        <v>2759941</v>
      </c>
      <c r="C518" s="2">
        <f>HYPERLINK("https://platform.v2.vetology.net/report/v/final/"&amp;2759941, 2759941)</f>
        <v>2759941</v>
      </c>
      <c r="D518" s="2" t="s">
        <v>1812</v>
      </c>
      <c r="E518" s="2" t="s">
        <v>1813</v>
      </c>
      <c r="F518" s="2" t="s">
        <v>1575</v>
      </c>
      <c r="G518" s="2" t="s">
        <v>170</v>
      </c>
      <c r="H518" s="2" t="s">
        <v>1814</v>
      </c>
      <c r="I518" s="2" t="s">
        <v>36</v>
      </c>
      <c r="J518" s="2" t="s">
        <v>37</v>
      </c>
      <c r="K518" s="2" t="s">
        <v>39</v>
      </c>
      <c r="L518" s="2" t="s">
        <v>38</v>
      </c>
      <c r="M518" s="2" t="s">
        <v>38</v>
      </c>
      <c r="N518" s="2" t="s">
        <v>38</v>
      </c>
      <c r="O518" s="2" t="s">
        <v>38</v>
      </c>
      <c r="P518" s="2" t="s">
        <v>39</v>
      </c>
      <c r="Q518" s="2" t="s">
        <v>38</v>
      </c>
      <c r="R518" s="2" t="s">
        <v>39</v>
      </c>
      <c r="S518" s="2" t="s">
        <v>38</v>
      </c>
      <c r="T518" s="2" t="s">
        <v>38</v>
      </c>
      <c r="U518" s="2" t="s">
        <v>39</v>
      </c>
      <c r="V518" s="2" t="s">
        <v>39</v>
      </c>
      <c r="W518" s="2" t="s">
        <v>39</v>
      </c>
      <c r="X518" s="2" t="s">
        <v>39</v>
      </c>
      <c r="Y518" s="2" t="s">
        <v>39</v>
      </c>
      <c r="Z518" s="2" t="s">
        <v>38</v>
      </c>
      <c r="AA518" s="2" t="s">
        <v>39</v>
      </c>
      <c r="AB518" s="2" t="s">
        <v>39</v>
      </c>
      <c r="AC518" s="2" t="s">
        <v>38</v>
      </c>
      <c r="AD518" s="2" t="s">
        <v>38</v>
      </c>
      <c r="AE518" s="2" t="s">
        <v>40</v>
      </c>
    </row>
    <row r="519" spans="1:31" ht="409.5">
      <c r="A519" s="2">
        <v>2759931</v>
      </c>
      <c r="B519" s="2">
        <f>HYPERLINK("https://platform.v2.vetology.net/cases/2759931/screening-report/1?type=pdf&amp;v=v6&amp;scorecard=1&amp;secret_key=BX%25IJ%24%2F65ieZ%29f6", 2759931)</f>
        <v>2759931</v>
      </c>
      <c r="C519" s="2">
        <f>HYPERLINK("https://platform.v2.vetology.net/report/v/final/"&amp;2759931, 2759931)</f>
        <v>2759931</v>
      </c>
      <c r="D519" s="2" t="s">
        <v>1815</v>
      </c>
      <c r="E519" s="2" t="s">
        <v>1816</v>
      </c>
      <c r="F519" s="2" t="s">
        <v>1817</v>
      </c>
      <c r="G519" s="2" t="s">
        <v>507</v>
      </c>
      <c r="H519" s="2" t="s">
        <v>1818</v>
      </c>
      <c r="I519" s="2" t="s">
        <v>36</v>
      </c>
      <c r="J519" s="2" t="s">
        <v>37</v>
      </c>
      <c r="K519" s="2" t="s">
        <v>38</v>
      </c>
      <c r="L519" s="2" t="s">
        <v>38</v>
      </c>
      <c r="M519" s="2" t="s">
        <v>38</v>
      </c>
      <c r="N519" s="2" t="s">
        <v>38</v>
      </c>
      <c r="O519" s="2" t="s">
        <v>38</v>
      </c>
      <c r="P519" s="2" t="s">
        <v>38</v>
      </c>
      <c r="Q519" s="2" t="s">
        <v>39</v>
      </c>
      <c r="R519" s="2" t="s">
        <v>38</v>
      </c>
      <c r="S519" s="2" t="s">
        <v>38</v>
      </c>
      <c r="T519" s="2" t="s">
        <v>38</v>
      </c>
      <c r="U519" s="2" t="s">
        <v>39</v>
      </c>
      <c r="V519" s="2" t="s">
        <v>38</v>
      </c>
      <c r="W519" s="2" t="s">
        <v>38</v>
      </c>
      <c r="X519" s="2" t="s">
        <v>38</v>
      </c>
      <c r="Y519" s="2" t="s">
        <v>38</v>
      </c>
      <c r="Z519" s="2" t="s">
        <v>38</v>
      </c>
      <c r="AA519" s="2" t="s">
        <v>38</v>
      </c>
      <c r="AB519" s="2" t="s">
        <v>38</v>
      </c>
      <c r="AC519" s="2" t="s">
        <v>38</v>
      </c>
      <c r="AD519" s="2" t="s">
        <v>38</v>
      </c>
      <c r="AE519" s="2" t="s">
        <v>39</v>
      </c>
    </row>
    <row r="520" spans="1:31" ht="409.5">
      <c r="A520" s="2">
        <v>2759860</v>
      </c>
      <c r="B520" s="2">
        <f>HYPERLINK("https://platform.v2.vetology.net/cases/2759860/screening-report/1?type=pdf&amp;v=v6&amp;scorecard=1&amp;secret_key=BX%25IJ%24%2F65ieZ%29f6", 2759860)</f>
        <v>2759860</v>
      </c>
      <c r="C520" s="2">
        <f>HYPERLINK("https://platform.v2.vetology.net/report/v/final/"&amp;2759860, 2759860)</f>
        <v>2759860</v>
      </c>
      <c r="D520" s="2" t="s">
        <v>1819</v>
      </c>
      <c r="E520" s="2" t="s">
        <v>1820</v>
      </c>
      <c r="F520" s="2" t="s">
        <v>43</v>
      </c>
      <c r="G520" s="2" t="s">
        <v>507</v>
      </c>
      <c r="H520" s="2" t="s">
        <v>1821</v>
      </c>
      <c r="I520" s="2" t="s">
        <v>36</v>
      </c>
      <c r="J520" s="2" t="s">
        <v>37</v>
      </c>
      <c r="K520" s="2" t="s">
        <v>39</v>
      </c>
      <c r="L520" s="2" t="s">
        <v>38</v>
      </c>
      <c r="M520" s="2" t="s">
        <v>39</v>
      </c>
      <c r="N520" s="2" t="s">
        <v>39</v>
      </c>
      <c r="O520" s="2" t="s">
        <v>38</v>
      </c>
      <c r="P520" s="2" t="s">
        <v>39</v>
      </c>
      <c r="Q520" s="2" t="s">
        <v>39</v>
      </c>
      <c r="R520" s="2" t="s">
        <v>39</v>
      </c>
      <c r="S520" s="2" t="s">
        <v>38</v>
      </c>
      <c r="T520" s="2" t="s">
        <v>39</v>
      </c>
      <c r="U520" s="2" t="s">
        <v>39</v>
      </c>
      <c r="V520" s="2" t="s">
        <v>39</v>
      </c>
      <c r="W520" s="2" t="s">
        <v>38</v>
      </c>
      <c r="X520" s="2" t="s">
        <v>39</v>
      </c>
      <c r="Y520" s="2" t="s">
        <v>39</v>
      </c>
      <c r="Z520" s="2" t="s">
        <v>39</v>
      </c>
      <c r="AA520" s="2" t="s">
        <v>39</v>
      </c>
      <c r="AB520" s="2" t="s">
        <v>39</v>
      </c>
      <c r="AC520" s="2" t="s">
        <v>38</v>
      </c>
      <c r="AD520" s="2" t="s">
        <v>38</v>
      </c>
      <c r="AE520" s="2" t="s">
        <v>40</v>
      </c>
    </row>
    <row r="521" spans="1:31" ht="409.5">
      <c r="A521" s="2">
        <v>2759839</v>
      </c>
      <c r="B521" s="2">
        <f>HYPERLINK("https://platform.v2.vetology.net/cases/2759839/screening-report/1?type=pdf&amp;v=v6&amp;scorecard=1&amp;secret_key=BX%25IJ%24%2F65ieZ%29f6", 2759839)</f>
        <v>2759839</v>
      </c>
      <c r="C521" s="2">
        <f>HYPERLINK("https://platform.v2.vetology.net/report/v/final/"&amp;2759839, 2759839)</f>
        <v>2759839</v>
      </c>
      <c r="D521" s="2" t="s">
        <v>1822</v>
      </c>
      <c r="E521" s="2" t="s">
        <v>1823</v>
      </c>
      <c r="F521" s="2" t="s">
        <v>787</v>
      </c>
      <c r="G521" s="2" t="s">
        <v>100</v>
      </c>
      <c r="H521" s="2" t="s">
        <v>1824</v>
      </c>
      <c r="I521" s="2" t="s">
        <v>36</v>
      </c>
      <c r="J521" s="2" t="s">
        <v>37</v>
      </c>
      <c r="K521" s="2" t="s">
        <v>38</v>
      </c>
      <c r="L521" s="2" t="s">
        <v>38</v>
      </c>
      <c r="M521" s="2" t="s">
        <v>39</v>
      </c>
      <c r="N521" s="2" t="s">
        <v>38</v>
      </c>
      <c r="O521" s="2" t="s">
        <v>38</v>
      </c>
      <c r="P521" s="2" t="s">
        <v>39</v>
      </c>
      <c r="Q521" s="2" t="s">
        <v>39</v>
      </c>
      <c r="R521" s="2" t="s">
        <v>38</v>
      </c>
      <c r="S521" s="2" t="s">
        <v>38</v>
      </c>
      <c r="T521" s="2" t="s">
        <v>39</v>
      </c>
      <c r="U521" s="2" t="s">
        <v>38</v>
      </c>
      <c r="V521" s="2" t="s">
        <v>38</v>
      </c>
      <c r="W521" s="2" t="s">
        <v>38</v>
      </c>
      <c r="X521" s="2" t="s">
        <v>39</v>
      </c>
      <c r="Y521" s="2" t="s">
        <v>39</v>
      </c>
      <c r="Z521" s="2" t="s">
        <v>38</v>
      </c>
      <c r="AA521" s="2" t="s">
        <v>39</v>
      </c>
      <c r="AB521" s="2" t="s">
        <v>39</v>
      </c>
      <c r="AC521" s="2" t="s">
        <v>38</v>
      </c>
      <c r="AD521" s="2" t="s">
        <v>38</v>
      </c>
      <c r="AE521" s="2" t="s">
        <v>39</v>
      </c>
    </row>
    <row r="522" spans="1:31" ht="409.5">
      <c r="A522" s="2">
        <v>2759810</v>
      </c>
      <c r="B522" s="2">
        <f>HYPERLINK("https://platform.v2.vetology.net/cases/2759810/screening-report/1?type=pdf&amp;v=v6&amp;scorecard=1&amp;secret_key=BX%25IJ%24%2F65ieZ%29f6", 2759810)</f>
        <v>2759810</v>
      </c>
      <c r="C522" s="2">
        <f>HYPERLINK("https://platform.v2.vetology.net/report/v/final/"&amp;2759810, 2759810)</f>
        <v>2759810</v>
      </c>
      <c r="D522" s="2" t="s">
        <v>1825</v>
      </c>
      <c r="E522" s="2" t="s">
        <v>1826</v>
      </c>
      <c r="F522" s="2" t="s">
        <v>1827</v>
      </c>
      <c r="G522" s="2" t="s">
        <v>111</v>
      </c>
      <c r="H522" s="2" t="s">
        <v>852</v>
      </c>
      <c r="I522" s="2" t="s">
        <v>36</v>
      </c>
      <c r="J522" s="2" t="s">
        <v>37</v>
      </c>
      <c r="K522" s="2" t="s">
        <v>39</v>
      </c>
      <c r="L522" s="2" t="s">
        <v>38</v>
      </c>
      <c r="M522" s="2" t="s">
        <v>38</v>
      </c>
      <c r="N522" s="2" t="s">
        <v>39</v>
      </c>
      <c r="O522" s="2" t="s">
        <v>38</v>
      </c>
      <c r="P522" s="2" t="s">
        <v>39</v>
      </c>
      <c r="Q522" s="2" t="s">
        <v>39</v>
      </c>
      <c r="R522" s="2" t="s">
        <v>38</v>
      </c>
      <c r="S522" s="2" t="s">
        <v>38</v>
      </c>
      <c r="T522" s="2" t="s">
        <v>39</v>
      </c>
      <c r="U522" s="2" t="s">
        <v>39</v>
      </c>
      <c r="V522" s="2" t="s">
        <v>38</v>
      </c>
      <c r="W522" s="2" t="s">
        <v>39</v>
      </c>
      <c r="X522" s="2" t="s">
        <v>39</v>
      </c>
      <c r="Y522" s="2" t="s">
        <v>39</v>
      </c>
      <c r="Z522" s="2" t="s">
        <v>38</v>
      </c>
      <c r="AA522" s="2" t="s">
        <v>39</v>
      </c>
      <c r="AB522" s="2" t="s">
        <v>39</v>
      </c>
      <c r="AC522" s="2" t="s">
        <v>38</v>
      </c>
      <c r="AD522" s="2" t="s">
        <v>38</v>
      </c>
      <c r="AE522" s="2" t="s">
        <v>40</v>
      </c>
    </row>
    <row r="523" spans="1:31" ht="409.5">
      <c r="A523" s="2">
        <v>2759805</v>
      </c>
      <c r="B523" s="2">
        <f>HYPERLINK("https://platform.v2.vetology.net/cases/2759805/screening-report/1?type=pdf&amp;v=v6&amp;scorecard=1&amp;secret_key=BX%25IJ%24%2F65ieZ%29f6", 2759805)</f>
        <v>2759805</v>
      </c>
      <c r="C523" s="2">
        <f>HYPERLINK("https://platform.v2.vetology.net/report/v/final/"&amp;2759805, 2759805)</f>
        <v>2759805</v>
      </c>
      <c r="D523" s="2" t="s">
        <v>1828</v>
      </c>
      <c r="E523" s="2" t="s">
        <v>1829</v>
      </c>
      <c r="F523" s="2" t="s">
        <v>1830</v>
      </c>
      <c r="G523" s="2" t="s">
        <v>53</v>
      </c>
      <c r="H523" s="2" t="s">
        <v>1831</v>
      </c>
      <c r="I523" s="2" t="s">
        <v>129</v>
      </c>
      <c r="J523" s="2" t="s">
        <v>74</v>
      </c>
      <c r="K523" s="2" t="s">
        <v>39</v>
      </c>
      <c r="L523" s="2" t="s">
        <v>39</v>
      </c>
      <c r="M523" s="2" t="s">
        <v>38</v>
      </c>
      <c r="N523" s="2" t="s">
        <v>38</v>
      </c>
      <c r="O523" s="2" t="s">
        <v>38</v>
      </c>
      <c r="P523" s="2" t="s">
        <v>38</v>
      </c>
      <c r="Q523" s="2" t="s">
        <v>38</v>
      </c>
      <c r="R523" s="2" t="s">
        <v>39</v>
      </c>
      <c r="S523" s="2" t="s">
        <v>39</v>
      </c>
      <c r="T523" s="2" t="s">
        <v>39</v>
      </c>
      <c r="U523" s="2" t="s">
        <v>38</v>
      </c>
      <c r="V523" s="2" t="s">
        <v>38</v>
      </c>
      <c r="W523" s="2" t="s">
        <v>38</v>
      </c>
      <c r="X523" s="2" t="s">
        <v>39</v>
      </c>
      <c r="Y523" s="2" t="s">
        <v>39</v>
      </c>
      <c r="Z523" s="2" t="s">
        <v>39</v>
      </c>
      <c r="AA523" s="2" t="s">
        <v>38</v>
      </c>
      <c r="AB523" s="2" t="s">
        <v>39</v>
      </c>
      <c r="AC523" s="2" t="s">
        <v>38</v>
      </c>
      <c r="AD523" s="2" t="s">
        <v>39</v>
      </c>
      <c r="AE523" s="2" t="s">
        <v>39</v>
      </c>
    </row>
    <row r="524" spans="1:31" ht="409.5">
      <c r="A524" s="2">
        <v>2759649</v>
      </c>
      <c r="B524" s="2">
        <f>HYPERLINK("https://platform.v2.vetology.net/cases/2759649/screening-report/1?type=pdf&amp;v=v6&amp;scorecard=1&amp;secret_key=BX%25IJ%24%2F65ieZ%29f6", 2759649)</f>
        <v>2759649</v>
      </c>
      <c r="C524" s="2">
        <f>HYPERLINK("https://platform.v2.vetology.net/report/v/final/"&amp;2759649, 2759649)</f>
        <v>2759649</v>
      </c>
      <c r="D524" s="2" t="s">
        <v>1832</v>
      </c>
      <c r="E524" s="2" t="s">
        <v>1833</v>
      </c>
      <c r="F524" s="2" t="s">
        <v>1834</v>
      </c>
      <c r="G524" s="2" t="s">
        <v>111</v>
      </c>
      <c r="H524" s="2" t="s">
        <v>1835</v>
      </c>
      <c r="I524" s="2" t="s">
        <v>36</v>
      </c>
      <c r="J524" s="2" t="s">
        <v>37</v>
      </c>
      <c r="K524" s="2" t="s">
        <v>39</v>
      </c>
      <c r="L524" s="2" t="s">
        <v>39</v>
      </c>
      <c r="M524" s="2" t="s">
        <v>38</v>
      </c>
      <c r="N524" s="2" t="s">
        <v>38</v>
      </c>
      <c r="O524" s="2" t="s">
        <v>38</v>
      </c>
      <c r="P524" s="2" t="s">
        <v>38</v>
      </c>
      <c r="Q524" s="2" t="s">
        <v>38</v>
      </c>
      <c r="R524" s="2" t="s">
        <v>39</v>
      </c>
      <c r="S524" s="2" t="s">
        <v>38</v>
      </c>
      <c r="T524" s="2" t="s">
        <v>39</v>
      </c>
      <c r="U524" s="2" t="s">
        <v>39</v>
      </c>
      <c r="V524" s="2" t="s">
        <v>39</v>
      </c>
      <c r="W524" s="2" t="s">
        <v>38</v>
      </c>
      <c r="X524" s="2" t="s">
        <v>38</v>
      </c>
      <c r="Y524" s="2" t="s">
        <v>39</v>
      </c>
      <c r="Z524" s="2" t="s">
        <v>39</v>
      </c>
      <c r="AA524" s="2" t="s">
        <v>38</v>
      </c>
      <c r="AB524" s="2" t="s">
        <v>38</v>
      </c>
      <c r="AC524" s="2" t="s">
        <v>38</v>
      </c>
      <c r="AD524" s="2" t="s">
        <v>38</v>
      </c>
      <c r="AE524" s="2"/>
    </row>
    <row r="525" spans="1:31" ht="409.5">
      <c r="A525" s="2">
        <v>2759648</v>
      </c>
      <c r="B525" s="2">
        <f>HYPERLINK("https://platform.v2.vetology.net/cases/2759648/screening-report/1?type=pdf&amp;v=v6&amp;scorecard=1&amp;secret_key=BX%25IJ%24%2F65ieZ%29f6", 2759648)</f>
        <v>2759648</v>
      </c>
      <c r="C525" s="2">
        <f>HYPERLINK("https://platform.v2.vetology.net/report/v/final/"&amp;2759648, 2759648)</f>
        <v>2759648</v>
      </c>
      <c r="D525" s="2" t="s">
        <v>1836</v>
      </c>
      <c r="E525" s="2" t="s">
        <v>1837</v>
      </c>
      <c r="F525" s="2" t="s">
        <v>43</v>
      </c>
      <c r="G525" s="2" t="s">
        <v>507</v>
      </c>
      <c r="H525" s="2" t="s">
        <v>1838</v>
      </c>
      <c r="I525" s="2" t="s">
        <v>36</v>
      </c>
      <c r="J525" s="2" t="s">
        <v>37</v>
      </c>
      <c r="K525" s="2" t="s">
        <v>38</v>
      </c>
      <c r="L525" s="2" t="s">
        <v>39</v>
      </c>
      <c r="M525" s="2" t="s">
        <v>39</v>
      </c>
      <c r="N525" s="2" t="s">
        <v>38</v>
      </c>
      <c r="O525" s="2" t="s">
        <v>39</v>
      </c>
      <c r="P525" s="2" t="s">
        <v>38</v>
      </c>
      <c r="Q525" s="2" t="s">
        <v>38</v>
      </c>
      <c r="R525" s="2" t="s">
        <v>38</v>
      </c>
      <c r="S525" s="2" t="s">
        <v>39</v>
      </c>
      <c r="T525" s="2" t="s">
        <v>38</v>
      </c>
      <c r="U525" s="2" t="s">
        <v>38</v>
      </c>
      <c r="V525" s="2" t="s">
        <v>38</v>
      </c>
      <c r="W525" s="2" t="s">
        <v>38</v>
      </c>
      <c r="X525" s="2" t="s">
        <v>39</v>
      </c>
      <c r="Y525" s="2" t="s">
        <v>39</v>
      </c>
      <c r="Z525" s="2" t="s">
        <v>39</v>
      </c>
      <c r="AA525" s="2" t="s">
        <v>39</v>
      </c>
      <c r="AB525" s="2" t="s">
        <v>39</v>
      </c>
      <c r="AC525" s="2" t="s">
        <v>38</v>
      </c>
      <c r="AD525" s="2" t="s">
        <v>39</v>
      </c>
      <c r="AE525" s="2"/>
    </row>
    <row r="526" spans="1:31" ht="409.5">
      <c r="A526" s="2">
        <v>2759634</v>
      </c>
      <c r="B526" s="2">
        <f>HYPERLINK("https://platform.v2.vetology.net/cases/2759634/screening-report/1?type=pdf&amp;v=v6&amp;scorecard=1&amp;secret_key=BX%25IJ%24%2F65ieZ%29f6", 2759634)</f>
        <v>2759634</v>
      </c>
      <c r="C526" s="2">
        <f>HYPERLINK("https://platform.v2.vetology.net/report/v/final/"&amp;2759634, 2759634)</f>
        <v>2759634</v>
      </c>
      <c r="D526" s="2" t="s">
        <v>1839</v>
      </c>
      <c r="E526" s="2" t="s">
        <v>1840</v>
      </c>
      <c r="F526" s="2" t="s">
        <v>1841</v>
      </c>
      <c r="G526" s="2" t="s">
        <v>111</v>
      </c>
      <c r="H526" s="2" t="s">
        <v>1842</v>
      </c>
      <c r="I526" s="2" t="s">
        <v>129</v>
      </c>
      <c r="J526" s="2" t="s">
        <v>74</v>
      </c>
      <c r="K526" s="2" t="s">
        <v>39</v>
      </c>
      <c r="L526" s="2" t="s">
        <v>38</v>
      </c>
      <c r="M526" s="2" t="s">
        <v>38</v>
      </c>
      <c r="N526" s="2" t="s">
        <v>38</v>
      </c>
      <c r="O526" s="2" t="s">
        <v>38</v>
      </c>
      <c r="P526" s="2" t="s">
        <v>38</v>
      </c>
      <c r="Q526" s="2" t="s">
        <v>38</v>
      </c>
      <c r="R526" s="2" t="s">
        <v>39</v>
      </c>
      <c r="S526" s="2" t="s">
        <v>38</v>
      </c>
      <c r="T526" s="2" t="s">
        <v>38</v>
      </c>
      <c r="U526" s="2" t="s">
        <v>39</v>
      </c>
      <c r="V526" s="2" t="s">
        <v>39</v>
      </c>
      <c r="W526" s="2" t="s">
        <v>38</v>
      </c>
      <c r="X526" s="2" t="s">
        <v>38</v>
      </c>
      <c r="Y526" s="2" t="s">
        <v>39</v>
      </c>
      <c r="Z526" s="2" t="s">
        <v>38</v>
      </c>
      <c r="AA526" s="2" t="s">
        <v>38</v>
      </c>
      <c r="AB526" s="2" t="s">
        <v>38</v>
      </c>
      <c r="AC526" s="2" t="s">
        <v>38</v>
      </c>
      <c r="AD526" s="2" t="s">
        <v>38</v>
      </c>
      <c r="AE526" s="2" t="s">
        <v>39</v>
      </c>
    </row>
    <row r="527" spans="1:31" ht="409.5">
      <c r="A527" s="2">
        <v>2759632</v>
      </c>
      <c r="B527" s="2">
        <f>HYPERLINK("https://platform.v2.vetology.net/cases/2759632/screening-report/1?type=pdf&amp;v=v6&amp;scorecard=1&amp;secret_key=BX%25IJ%24%2F65ieZ%29f6", 2759632)</f>
        <v>2759632</v>
      </c>
      <c r="C527" s="2">
        <f>HYPERLINK("https://platform.v2.vetology.net/report/v/final/"&amp;2759632, 2759632)</f>
        <v>2759632</v>
      </c>
      <c r="D527" s="2" t="s">
        <v>1843</v>
      </c>
      <c r="E527" s="2" t="s">
        <v>1844</v>
      </c>
      <c r="F527" s="2" t="s">
        <v>1845</v>
      </c>
      <c r="G527" s="2" t="s">
        <v>111</v>
      </c>
      <c r="H527" s="2" t="s">
        <v>1846</v>
      </c>
      <c r="I527" s="2" t="s">
        <v>36</v>
      </c>
      <c r="J527" s="2" t="s">
        <v>37</v>
      </c>
      <c r="K527" s="2" t="s">
        <v>39</v>
      </c>
      <c r="L527" s="2" t="s">
        <v>38</v>
      </c>
      <c r="M527" s="2" t="s">
        <v>38</v>
      </c>
      <c r="N527" s="2" t="s">
        <v>39</v>
      </c>
      <c r="O527" s="2" t="s">
        <v>38</v>
      </c>
      <c r="P527" s="2" t="s">
        <v>39</v>
      </c>
      <c r="Q527" s="2" t="s">
        <v>39</v>
      </c>
      <c r="R527" s="2" t="s">
        <v>38</v>
      </c>
      <c r="S527" s="2" t="s">
        <v>38</v>
      </c>
      <c r="T527" s="2" t="s">
        <v>39</v>
      </c>
      <c r="U527" s="2" t="s">
        <v>39</v>
      </c>
      <c r="V527" s="2" t="s">
        <v>39</v>
      </c>
      <c r="W527" s="2" t="s">
        <v>38</v>
      </c>
      <c r="X527" s="2" t="s">
        <v>39</v>
      </c>
      <c r="Y527" s="2" t="s">
        <v>39</v>
      </c>
      <c r="Z527" s="2" t="s">
        <v>38</v>
      </c>
      <c r="AA527" s="2" t="s">
        <v>39</v>
      </c>
      <c r="AB527" s="2" t="s">
        <v>39</v>
      </c>
      <c r="AC527" s="2" t="s">
        <v>38</v>
      </c>
      <c r="AD527" s="2" t="s">
        <v>39</v>
      </c>
      <c r="AE527" s="2" t="s">
        <v>39</v>
      </c>
    </row>
    <row r="528" spans="1:31" ht="409.5">
      <c r="A528" s="2">
        <v>2759619</v>
      </c>
      <c r="B528" s="2">
        <f>HYPERLINK("https://platform.v2.vetology.net/cases/2759619/screening-report/1?type=pdf&amp;v=v6&amp;scorecard=1&amp;secret_key=BX%25IJ%24%2F65ieZ%29f6", 2759619)</f>
        <v>2759619</v>
      </c>
      <c r="C528" s="2">
        <f>HYPERLINK("https://platform.v2.vetology.net/report/v/final/"&amp;2759619, 2759619)</f>
        <v>2759619</v>
      </c>
      <c r="D528" s="2" t="s">
        <v>1847</v>
      </c>
      <c r="E528" s="2" t="s">
        <v>1848</v>
      </c>
      <c r="F528" s="2" t="s">
        <v>1849</v>
      </c>
      <c r="G528" s="2" t="s">
        <v>111</v>
      </c>
      <c r="H528" s="2" t="s">
        <v>419</v>
      </c>
      <c r="I528" s="2" t="s">
        <v>36</v>
      </c>
      <c r="J528" s="2" t="s">
        <v>37</v>
      </c>
      <c r="K528" s="2" t="s">
        <v>39</v>
      </c>
      <c r="L528" s="2" t="s">
        <v>39</v>
      </c>
      <c r="M528" s="2" t="s">
        <v>38</v>
      </c>
      <c r="N528" s="2" t="s">
        <v>39</v>
      </c>
      <c r="O528" s="2" t="s">
        <v>39</v>
      </c>
      <c r="P528" s="2" t="s">
        <v>39</v>
      </c>
      <c r="Q528" s="2" t="s">
        <v>39</v>
      </c>
      <c r="R528" s="2" t="s">
        <v>38</v>
      </c>
      <c r="S528" s="2" t="s">
        <v>39</v>
      </c>
      <c r="T528" s="2" t="s">
        <v>38</v>
      </c>
      <c r="U528" s="2" t="s">
        <v>39</v>
      </c>
      <c r="V528" s="2" t="s">
        <v>39</v>
      </c>
      <c r="W528" s="2" t="s">
        <v>39</v>
      </c>
      <c r="X528" s="2" t="s">
        <v>39</v>
      </c>
      <c r="Y528" s="2" t="s">
        <v>39</v>
      </c>
      <c r="Z528" s="2" t="s">
        <v>39</v>
      </c>
      <c r="AA528" s="2" t="s">
        <v>39</v>
      </c>
      <c r="AB528" s="2" t="s">
        <v>39</v>
      </c>
      <c r="AC528" s="2" t="s">
        <v>39</v>
      </c>
      <c r="AD528" s="2" t="s">
        <v>39</v>
      </c>
      <c r="AE528" s="2" t="s">
        <v>39</v>
      </c>
    </row>
    <row r="529" spans="1:31" ht="409.5">
      <c r="A529" s="2">
        <v>2759614</v>
      </c>
      <c r="B529" s="2">
        <f>HYPERLINK("https://platform.v2.vetology.net/cases/2759614/screening-report/1?type=pdf&amp;v=v6&amp;scorecard=1&amp;secret_key=BX%25IJ%24%2F65ieZ%29f6", 2759614)</f>
        <v>2759614</v>
      </c>
      <c r="C529" s="2">
        <f>HYPERLINK("https://platform.v2.vetology.net/report/v/final/"&amp;2759614, 2759614)</f>
        <v>2759614</v>
      </c>
      <c r="D529" s="2" t="s">
        <v>1850</v>
      </c>
      <c r="E529" s="2" t="s">
        <v>1851</v>
      </c>
      <c r="F529" s="2" t="s">
        <v>1852</v>
      </c>
      <c r="G529" s="2" t="s">
        <v>53</v>
      </c>
      <c r="H529" s="2" t="s">
        <v>515</v>
      </c>
      <c r="I529" s="2" t="s">
        <v>36</v>
      </c>
      <c r="J529" s="2" t="s">
        <v>37</v>
      </c>
      <c r="K529" s="2" t="s">
        <v>39</v>
      </c>
      <c r="L529" s="2" t="s">
        <v>39</v>
      </c>
      <c r="M529" s="2" t="s">
        <v>38</v>
      </c>
      <c r="N529" s="2" t="s">
        <v>39</v>
      </c>
      <c r="O529" s="2" t="s">
        <v>39</v>
      </c>
      <c r="P529" s="2" t="s">
        <v>39</v>
      </c>
      <c r="Q529" s="2" t="s">
        <v>39</v>
      </c>
      <c r="R529" s="2" t="s">
        <v>39</v>
      </c>
      <c r="S529" s="2" t="s">
        <v>39</v>
      </c>
      <c r="T529" s="2" t="s">
        <v>39</v>
      </c>
      <c r="U529" s="2" t="s">
        <v>39</v>
      </c>
      <c r="V529" s="2" t="s">
        <v>39</v>
      </c>
      <c r="W529" s="2" t="s">
        <v>39</v>
      </c>
      <c r="X529" s="2" t="s">
        <v>39</v>
      </c>
      <c r="Y529" s="2" t="s">
        <v>39</v>
      </c>
      <c r="Z529" s="2" t="s">
        <v>39</v>
      </c>
      <c r="AA529" s="2" t="s">
        <v>38</v>
      </c>
      <c r="AB529" s="2" t="s">
        <v>39</v>
      </c>
      <c r="AC529" s="2" t="s">
        <v>38</v>
      </c>
      <c r="AD529" s="2" t="s">
        <v>38</v>
      </c>
      <c r="AE529" s="2" t="s">
        <v>39</v>
      </c>
    </row>
    <row r="530" spans="1:31" ht="409.5">
      <c r="A530" s="2">
        <v>2759596</v>
      </c>
      <c r="B530" s="2">
        <f>HYPERLINK("https://platform.v2.vetology.net/cases/2759596/screening-report/1?type=pdf&amp;v=v6&amp;scorecard=1&amp;secret_key=BX%25IJ%24%2F65ieZ%29f6", 2759596)</f>
        <v>2759596</v>
      </c>
      <c r="C530" s="2">
        <f>HYPERLINK("https://platform.v2.vetology.net/report/v/final/"&amp;2759596, 2759596)</f>
        <v>2759596</v>
      </c>
      <c r="D530" s="2" t="s">
        <v>1853</v>
      </c>
      <c r="E530" s="2" t="s">
        <v>1854</v>
      </c>
      <c r="F530" s="2" t="s">
        <v>1855</v>
      </c>
      <c r="G530" s="2" t="s">
        <v>44</v>
      </c>
      <c r="H530" s="2" t="s">
        <v>1856</v>
      </c>
      <c r="I530" s="2" t="s">
        <v>36</v>
      </c>
      <c r="J530" s="2" t="s">
        <v>37</v>
      </c>
      <c r="K530" s="2" t="s">
        <v>39</v>
      </c>
      <c r="L530" s="2" t="s">
        <v>39</v>
      </c>
      <c r="M530" s="2" t="s">
        <v>39</v>
      </c>
      <c r="N530" s="2" t="s">
        <v>38</v>
      </c>
      <c r="O530" s="2" t="s">
        <v>39</v>
      </c>
      <c r="P530" s="2" t="s">
        <v>39</v>
      </c>
      <c r="Q530" s="2" t="s">
        <v>39</v>
      </c>
      <c r="R530" s="2" t="s">
        <v>38</v>
      </c>
      <c r="S530" s="2" t="s">
        <v>39</v>
      </c>
      <c r="T530" s="2" t="s">
        <v>39</v>
      </c>
      <c r="U530" s="2" t="s">
        <v>39</v>
      </c>
      <c r="V530" s="2" t="s">
        <v>39</v>
      </c>
      <c r="W530" s="2" t="s">
        <v>39</v>
      </c>
      <c r="X530" s="2" t="s">
        <v>39</v>
      </c>
      <c r="Y530" s="2" t="s">
        <v>39</v>
      </c>
      <c r="Z530" s="2" t="s">
        <v>39</v>
      </c>
      <c r="AA530" s="2" t="s">
        <v>38</v>
      </c>
      <c r="AB530" s="2" t="s">
        <v>39</v>
      </c>
      <c r="AC530" s="2" t="s">
        <v>38</v>
      </c>
      <c r="AD530" s="2" t="s">
        <v>39</v>
      </c>
      <c r="AE530" s="2"/>
    </row>
    <row r="531" spans="1:31" ht="409.5">
      <c r="A531" s="2">
        <v>2759544</v>
      </c>
      <c r="B531" s="2">
        <f>HYPERLINK("https://platform.v2.vetology.net/cases/2759544/screening-report/1?type=pdf&amp;v=v6&amp;scorecard=1&amp;secret_key=BX%25IJ%24%2F65ieZ%29f6", 2759544)</f>
        <v>2759544</v>
      </c>
      <c r="C531" s="2">
        <f>HYPERLINK("https://platform.v2.vetology.net/report/v/final/"&amp;2759544, 2759544)</f>
        <v>2759544</v>
      </c>
      <c r="D531" s="2" t="s">
        <v>1857</v>
      </c>
      <c r="E531" s="2" t="s">
        <v>1858</v>
      </c>
      <c r="F531" s="2" t="s">
        <v>1859</v>
      </c>
      <c r="G531" s="2" t="s">
        <v>507</v>
      </c>
      <c r="H531" s="2" t="s">
        <v>1860</v>
      </c>
      <c r="I531" s="2" t="s">
        <v>73</v>
      </c>
      <c r="J531" s="2" t="s">
        <v>74</v>
      </c>
      <c r="K531" s="2" t="s">
        <v>38</v>
      </c>
      <c r="L531" s="2" t="s">
        <v>38</v>
      </c>
      <c r="M531" s="2" t="s">
        <v>38</v>
      </c>
      <c r="N531" s="2" t="s">
        <v>38</v>
      </c>
      <c r="O531" s="2" t="s">
        <v>38</v>
      </c>
      <c r="P531" s="2" t="s">
        <v>38</v>
      </c>
      <c r="Q531" s="2" t="s">
        <v>38</v>
      </c>
      <c r="R531" s="2" t="s">
        <v>38</v>
      </c>
      <c r="S531" s="2" t="s">
        <v>38</v>
      </c>
      <c r="T531" s="2" t="s">
        <v>38</v>
      </c>
      <c r="U531" s="2" t="s">
        <v>38</v>
      </c>
      <c r="V531" s="2" t="s">
        <v>38</v>
      </c>
      <c r="W531" s="2" t="s">
        <v>38</v>
      </c>
      <c r="X531" s="2" t="s">
        <v>38</v>
      </c>
      <c r="Y531" s="2" t="s">
        <v>38</v>
      </c>
      <c r="Z531" s="2" t="s">
        <v>38</v>
      </c>
      <c r="AA531" s="2" t="s">
        <v>38</v>
      </c>
      <c r="AB531" s="2" t="s">
        <v>38</v>
      </c>
      <c r="AC531" s="2" t="s">
        <v>38</v>
      </c>
      <c r="AD531" s="2" t="s">
        <v>38</v>
      </c>
      <c r="AE531" s="2" t="s">
        <v>39</v>
      </c>
    </row>
    <row r="532" spans="1:31" ht="409.5">
      <c r="A532" s="2">
        <v>2759527</v>
      </c>
      <c r="B532" s="2">
        <f>HYPERLINK("https://platform.v2.vetology.net/cases/2759527/screening-report/1?type=pdf&amp;v=v6&amp;scorecard=1&amp;secret_key=BX%25IJ%24%2F65ieZ%29f6", 2759527)</f>
        <v>2759527</v>
      </c>
      <c r="C532" s="2">
        <f>HYPERLINK("https://platform.v2.vetology.net/report/v/final/"&amp;2759527, 2759527)</f>
        <v>2759527</v>
      </c>
      <c r="D532" s="2" t="s">
        <v>1861</v>
      </c>
      <c r="E532" s="2" t="s">
        <v>1862</v>
      </c>
      <c r="F532" s="2" t="s">
        <v>43</v>
      </c>
      <c r="G532" s="2" t="s">
        <v>507</v>
      </c>
      <c r="H532" s="2" t="s">
        <v>1863</v>
      </c>
      <c r="I532" s="2" t="s">
        <v>73</v>
      </c>
      <c r="J532" s="2" t="s">
        <v>74</v>
      </c>
      <c r="K532" s="2" t="s">
        <v>38</v>
      </c>
      <c r="L532" s="2" t="s">
        <v>38</v>
      </c>
      <c r="M532" s="2" t="s">
        <v>38</v>
      </c>
      <c r="N532" s="2" t="s">
        <v>38</v>
      </c>
      <c r="O532" s="2" t="s">
        <v>38</v>
      </c>
      <c r="P532" s="2" t="s">
        <v>38</v>
      </c>
      <c r="Q532" s="2" t="s">
        <v>38</v>
      </c>
      <c r="R532" s="2" t="s">
        <v>39</v>
      </c>
      <c r="S532" s="2" t="s">
        <v>38</v>
      </c>
      <c r="T532" s="2" t="s">
        <v>38</v>
      </c>
      <c r="U532" s="2" t="s">
        <v>39</v>
      </c>
      <c r="V532" s="2" t="s">
        <v>38</v>
      </c>
      <c r="W532" s="2" t="s">
        <v>38</v>
      </c>
      <c r="X532" s="2" t="s">
        <v>38</v>
      </c>
      <c r="Y532" s="2" t="s">
        <v>39</v>
      </c>
      <c r="Z532" s="2" t="s">
        <v>38</v>
      </c>
      <c r="AA532" s="2" t="s">
        <v>38</v>
      </c>
      <c r="AB532" s="2" t="s">
        <v>38</v>
      </c>
      <c r="AC532" s="2" t="s">
        <v>38</v>
      </c>
      <c r="AD532" s="2" t="s">
        <v>38</v>
      </c>
      <c r="AE532" s="2" t="s">
        <v>40</v>
      </c>
    </row>
    <row r="533" spans="1:31" ht="409.5">
      <c r="A533" s="2">
        <v>2759525</v>
      </c>
      <c r="B533" s="2">
        <f>HYPERLINK("https://platform.v2.vetology.net/cases/2759525/screening-report/1?type=pdf&amp;v=v6&amp;scorecard=1&amp;secret_key=BX%25IJ%24%2F65ieZ%29f6", 2759525)</f>
        <v>2759525</v>
      </c>
      <c r="C533" s="2">
        <f>HYPERLINK("https://platform.v2.vetology.net/report/v/final/"&amp;2759525, 2759525)</f>
        <v>2759525</v>
      </c>
      <c r="D533" s="2" t="s">
        <v>1864</v>
      </c>
      <c r="E533" s="2" t="s">
        <v>1865</v>
      </c>
      <c r="F533" s="2" t="s">
        <v>1866</v>
      </c>
      <c r="G533" s="2" t="s">
        <v>81</v>
      </c>
      <c r="H533" s="2" t="s">
        <v>1867</v>
      </c>
      <c r="I533" s="2" t="s">
        <v>257</v>
      </c>
      <c r="J533" s="2" t="s">
        <v>74</v>
      </c>
      <c r="K533" s="2" t="s">
        <v>38</v>
      </c>
      <c r="L533" s="2" t="s">
        <v>38</v>
      </c>
      <c r="M533" s="2" t="s">
        <v>38</v>
      </c>
      <c r="N533" s="2" t="s">
        <v>38</v>
      </c>
      <c r="O533" s="2" t="s">
        <v>38</v>
      </c>
      <c r="P533" s="2" t="s">
        <v>38</v>
      </c>
      <c r="Q533" s="2" t="s">
        <v>38</v>
      </c>
      <c r="R533" s="2" t="s">
        <v>38</v>
      </c>
      <c r="S533" s="2" t="s">
        <v>38</v>
      </c>
      <c r="T533" s="2" t="s">
        <v>39</v>
      </c>
      <c r="U533" s="2" t="s">
        <v>38</v>
      </c>
      <c r="V533" s="2" t="s">
        <v>38</v>
      </c>
      <c r="W533" s="2" t="s">
        <v>38</v>
      </c>
      <c r="X533" s="2" t="s">
        <v>38</v>
      </c>
      <c r="Y533" s="2" t="s">
        <v>39</v>
      </c>
      <c r="Z533" s="2" t="s">
        <v>38</v>
      </c>
      <c r="AA533" s="2" t="s">
        <v>38</v>
      </c>
      <c r="AB533" s="2" t="s">
        <v>38</v>
      </c>
      <c r="AC533" s="2" t="s">
        <v>38</v>
      </c>
      <c r="AD533" s="2" t="s">
        <v>38</v>
      </c>
      <c r="AE533" s="2" t="s">
        <v>40</v>
      </c>
    </row>
    <row r="534" spans="1:31" ht="409.5">
      <c r="A534" s="2">
        <v>2759524</v>
      </c>
      <c r="B534" s="2">
        <f>HYPERLINK("https://platform.v2.vetology.net/cases/2759524/screening-report/1?type=pdf&amp;v=v6&amp;scorecard=1&amp;secret_key=BX%25IJ%24%2F65ieZ%29f6", 2759524)</f>
        <v>2759524</v>
      </c>
      <c r="C534" s="2">
        <f>HYPERLINK("https://platform.v2.vetology.net/report/v/final/"&amp;2759524, 2759524)</f>
        <v>2759524</v>
      </c>
      <c r="D534" s="2" t="s">
        <v>1868</v>
      </c>
      <c r="E534" s="2" t="s">
        <v>1869</v>
      </c>
      <c r="F534" s="2"/>
      <c r="G534" s="2" t="s">
        <v>81</v>
      </c>
      <c r="H534" s="2" t="s">
        <v>797</v>
      </c>
      <c r="I534" s="2" t="s">
        <v>59</v>
      </c>
      <c r="J534" s="2" t="s">
        <v>37</v>
      </c>
      <c r="K534" s="2" t="s">
        <v>38</v>
      </c>
      <c r="L534" s="2" t="s">
        <v>39</v>
      </c>
      <c r="M534" s="2" t="s">
        <v>39</v>
      </c>
      <c r="N534" s="2" t="s">
        <v>39</v>
      </c>
      <c r="O534" s="2" t="s">
        <v>39</v>
      </c>
      <c r="P534" s="2" t="s">
        <v>39</v>
      </c>
      <c r="Q534" s="2" t="s">
        <v>39</v>
      </c>
      <c r="R534" s="2" t="s">
        <v>38</v>
      </c>
      <c r="S534" s="2" t="s">
        <v>39</v>
      </c>
      <c r="T534" s="2" t="s">
        <v>39</v>
      </c>
      <c r="U534" s="2" t="s">
        <v>39</v>
      </c>
      <c r="V534" s="2" t="s">
        <v>38</v>
      </c>
      <c r="W534" s="2" t="s">
        <v>39</v>
      </c>
      <c r="X534" s="2" t="s">
        <v>39</v>
      </c>
      <c r="Y534" s="2" t="s">
        <v>39</v>
      </c>
      <c r="Z534" s="2" t="s">
        <v>39</v>
      </c>
      <c r="AA534" s="2" t="s">
        <v>39</v>
      </c>
      <c r="AB534" s="2" t="s">
        <v>39</v>
      </c>
      <c r="AC534" s="2" t="s">
        <v>38</v>
      </c>
      <c r="AD534" s="2" t="s">
        <v>39</v>
      </c>
      <c r="AE534" s="2" t="s">
        <v>40</v>
      </c>
    </row>
    <row r="535" spans="1:31" ht="409.5">
      <c r="A535" s="2">
        <v>2759522</v>
      </c>
      <c r="B535" s="2">
        <f>HYPERLINK("https://platform.v2.vetology.net/cases/2759522/screening-report/1?type=pdf&amp;v=v6&amp;scorecard=1&amp;secret_key=BX%25IJ%24%2F65ieZ%29f6", 2759522)</f>
        <v>2759522</v>
      </c>
      <c r="C535" s="2">
        <f>HYPERLINK("https://platform.v2.vetology.net/report/v/final/"&amp;2759522, 2759522)</f>
        <v>2759522</v>
      </c>
      <c r="D535" s="2" t="s">
        <v>1870</v>
      </c>
      <c r="E535" s="2" t="s">
        <v>1871</v>
      </c>
      <c r="F535" s="2" t="s">
        <v>43</v>
      </c>
      <c r="G535" s="2" t="s">
        <v>44</v>
      </c>
      <c r="H535" s="2" t="s">
        <v>1872</v>
      </c>
      <c r="I535" s="2" t="s">
        <v>129</v>
      </c>
      <c r="J535" s="2" t="s">
        <v>74</v>
      </c>
      <c r="K535" s="2" t="s">
        <v>39</v>
      </c>
      <c r="L535" s="2" t="s">
        <v>38</v>
      </c>
      <c r="M535" s="2" t="s">
        <v>38</v>
      </c>
      <c r="N535" s="2" t="s">
        <v>38</v>
      </c>
      <c r="O535" s="2" t="s">
        <v>38</v>
      </c>
      <c r="P535" s="2" t="s">
        <v>38</v>
      </c>
      <c r="Q535" s="2" t="s">
        <v>38</v>
      </c>
      <c r="R535" s="2" t="s">
        <v>38</v>
      </c>
      <c r="S535" s="2" t="s">
        <v>38</v>
      </c>
      <c r="T535" s="2" t="s">
        <v>38</v>
      </c>
      <c r="U535" s="2" t="s">
        <v>39</v>
      </c>
      <c r="V535" s="2" t="s">
        <v>39</v>
      </c>
      <c r="W535" s="2" t="s">
        <v>38</v>
      </c>
      <c r="X535" s="2" t="s">
        <v>38</v>
      </c>
      <c r="Y535" s="2" t="s">
        <v>38</v>
      </c>
      <c r="Z535" s="2" t="s">
        <v>38</v>
      </c>
      <c r="AA535" s="2" t="s">
        <v>38</v>
      </c>
      <c r="AB535" s="2" t="s">
        <v>38</v>
      </c>
      <c r="AC535" s="2" t="s">
        <v>38</v>
      </c>
      <c r="AD535" s="2" t="s">
        <v>39</v>
      </c>
      <c r="AE535" s="2" t="s">
        <v>40</v>
      </c>
    </row>
    <row r="536" spans="1:31" ht="409.5">
      <c r="A536" s="2">
        <v>2759520</v>
      </c>
      <c r="B536" s="2">
        <f>HYPERLINK("https://platform.v2.vetology.net/cases/2759520/screening-report/1?type=pdf&amp;v=v6&amp;scorecard=1&amp;secret_key=BX%25IJ%24%2F65ieZ%29f6", 2759520)</f>
        <v>2759520</v>
      </c>
      <c r="C536" s="2">
        <f>HYPERLINK("https://platform.v2.vetology.net/report/v/final/"&amp;2759520, 2759520)</f>
        <v>2759520</v>
      </c>
      <c r="D536" s="2" t="s">
        <v>1873</v>
      </c>
      <c r="E536" s="2" t="s">
        <v>1874</v>
      </c>
      <c r="F536" s="2" t="s">
        <v>43</v>
      </c>
      <c r="G536" s="2" t="s">
        <v>44</v>
      </c>
      <c r="H536" s="2" t="s">
        <v>1875</v>
      </c>
      <c r="I536" s="2" t="s">
        <v>73</v>
      </c>
      <c r="J536" s="2" t="s">
        <v>74</v>
      </c>
      <c r="K536" s="2" t="s">
        <v>38</v>
      </c>
      <c r="L536" s="2" t="s">
        <v>38</v>
      </c>
      <c r="M536" s="2" t="s">
        <v>39</v>
      </c>
      <c r="N536" s="2" t="s">
        <v>38</v>
      </c>
      <c r="O536" s="2" t="s">
        <v>38</v>
      </c>
      <c r="P536" s="2" t="s">
        <v>39</v>
      </c>
      <c r="Q536" s="2" t="s">
        <v>38</v>
      </c>
      <c r="R536" s="2" t="s">
        <v>38</v>
      </c>
      <c r="S536" s="2" t="s">
        <v>38</v>
      </c>
      <c r="T536" s="2" t="s">
        <v>39</v>
      </c>
      <c r="U536" s="2" t="s">
        <v>38</v>
      </c>
      <c r="V536" s="2" t="s">
        <v>38</v>
      </c>
      <c r="W536" s="2" t="s">
        <v>39</v>
      </c>
      <c r="X536" s="2" t="s">
        <v>39</v>
      </c>
      <c r="Y536" s="2" t="s">
        <v>38</v>
      </c>
      <c r="Z536" s="2" t="s">
        <v>39</v>
      </c>
      <c r="AA536" s="2" t="s">
        <v>39</v>
      </c>
      <c r="AB536" s="2" t="s">
        <v>39</v>
      </c>
      <c r="AC536" s="2" t="s">
        <v>38</v>
      </c>
      <c r="AD536" s="2" t="s">
        <v>38</v>
      </c>
      <c r="AE536" s="2" t="s">
        <v>40</v>
      </c>
    </row>
    <row r="537" spans="1:31" ht="409.5">
      <c r="A537" s="2">
        <v>2759518</v>
      </c>
      <c r="B537" s="2">
        <f>HYPERLINK("https://platform.v2.vetology.net/cases/2759518/screening-report/1?type=pdf&amp;v=v6&amp;scorecard=1&amp;secret_key=BX%25IJ%24%2F65ieZ%29f6", 2759518)</f>
        <v>2759518</v>
      </c>
      <c r="C537" s="2">
        <f>HYPERLINK("https://platform.v2.vetology.net/report/v/final/"&amp;2759518, 2759518)</f>
        <v>2759518</v>
      </c>
      <c r="D537" s="2" t="s">
        <v>1876</v>
      </c>
      <c r="E537" s="2" t="s">
        <v>1877</v>
      </c>
      <c r="F537" s="2" t="s">
        <v>1878</v>
      </c>
      <c r="G537" s="2" t="s">
        <v>53</v>
      </c>
      <c r="H537" s="2" t="s">
        <v>1879</v>
      </c>
      <c r="I537" s="2" t="s">
        <v>36</v>
      </c>
      <c r="J537" s="2" t="s">
        <v>37</v>
      </c>
      <c r="K537" s="2" t="s">
        <v>38</v>
      </c>
      <c r="L537" s="2" t="s">
        <v>38</v>
      </c>
      <c r="M537" s="2" t="s">
        <v>38</v>
      </c>
      <c r="N537" s="2" t="s">
        <v>38</v>
      </c>
      <c r="O537" s="2" t="s">
        <v>38</v>
      </c>
      <c r="P537" s="2" t="s">
        <v>38</v>
      </c>
      <c r="Q537" s="2" t="s">
        <v>39</v>
      </c>
      <c r="R537" s="2" t="s">
        <v>38</v>
      </c>
      <c r="S537" s="2" t="s">
        <v>38</v>
      </c>
      <c r="T537" s="2" t="s">
        <v>38</v>
      </c>
      <c r="U537" s="2" t="s">
        <v>38</v>
      </c>
      <c r="V537" s="2" t="s">
        <v>38</v>
      </c>
      <c r="W537" s="2" t="s">
        <v>38</v>
      </c>
      <c r="X537" s="2" t="s">
        <v>39</v>
      </c>
      <c r="Y537" s="2" t="s">
        <v>39</v>
      </c>
      <c r="Z537" s="2" t="s">
        <v>38</v>
      </c>
      <c r="AA537" s="2" t="s">
        <v>38</v>
      </c>
      <c r="AB537" s="2" t="s">
        <v>39</v>
      </c>
      <c r="AC537" s="2" t="s">
        <v>38</v>
      </c>
      <c r="AD537" s="2" t="s">
        <v>38</v>
      </c>
      <c r="AE537" s="2" t="s">
        <v>40</v>
      </c>
    </row>
    <row r="538" spans="1:31" ht="409.5">
      <c r="A538" s="2">
        <v>2759494</v>
      </c>
      <c r="B538" s="2">
        <f>HYPERLINK("https://platform.v2.vetology.net/cases/2759494/screening-report/1?type=pdf&amp;v=v6&amp;scorecard=1&amp;secret_key=BX%25IJ%24%2F65ieZ%29f6", 2759494)</f>
        <v>2759494</v>
      </c>
      <c r="C538" s="2">
        <f>HYPERLINK("https://platform.v2.vetology.net/report/v/final/"&amp;2759494, 2759494)</f>
        <v>2759494</v>
      </c>
      <c r="D538" s="2" t="s">
        <v>1880</v>
      </c>
      <c r="E538" s="2" t="s">
        <v>1881</v>
      </c>
      <c r="F538" s="2" t="s">
        <v>1882</v>
      </c>
      <c r="G538" s="2" t="s">
        <v>556</v>
      </c>
      <c r="H538" s="2" t="s">
        <v>1883</v>
      </c>
      <c r="I538" s="2" t="s">
        <v>36</v>
      </c>
      <c r="J538" s="2" t="s">
        <v>37</v>
      </c>
      <c r="K538" s="2" t="s">
        <v>38</v>
      </c>
      <c r="L538" s="2" t="s">
        <v>38</v>
      </c>
      <c r="M538" s="2" t="s">
        <v>39</v>
      </c>
      <c r="N538" s="2" t="s">
        <v>39</v>
      </c>
      <c r="O538" s="2" t="s">
        <v>38</v>
      </c>
      <c r="P538" s="2" t="s">
        <v>38</v>
      </c>
      <c r="Q538" s="2" t="s">
        <v>39</v>
      </c>
      <c r="R538" s="2" t="s">
        <v>39</v>
      </c>
      <c r="S538" s="2" t="s">
        <v>39</v>
      </c>
      <c r="T538" s="2" t="s">
        <v>39</v>
      </c>
      <c r="U538" s="2" t="s">
        <v>39</v>
      </c>
      <c r="V538" s="2" t="s">
        <v>38</v>
      </c>
      <c r="W538" s="2" t="s">
        <v>39</v>
      </c>
      <c r="X538" s="2" t="s">
        <v>39</v>
      </c>
      <c r="Y538" s="2" t="s">
        <v>39</v>
      </c>
      <c r="Z538" s="2" t="s">
        <v>39</v>
      </c>
      <c r="AA538" s="2" t="s">
        <v>39</v>
      </c>
      <c r="AB538" s="2" t="s">
        <v>39</v>
      </c>
      <c r="AC538" s="2" t="s">
        <v>38</v>
      </c>
      <c r="AD538" s="2" t="s">
        <v>38</v>
      </c>
      <c r="AE538" s="2" t="s">
        <v>39</v>
      </c>
    </row>
    <row r="539" spans="1:31" ht="409.5">
      <c r="A539" s="2">
        <v>2759467</v>
      </c>
      <c r="B539" s="2">
        <f>HYPERLINK("https://platform.v2.vetology.net/cases/2759467/screening-report/1?type=pdf&amp;v=v6&amp;scorecard=1&amp;secret_key=BX%25IJ%24%2F65ieZ%29f6", 2759467)</f>
        <v>2759467</v>
      </c>
      <c r="C539" s="2">
        <f>HYPERLINK("https://platform.v2.vetology.net/report/v/final/"&amp;2759467, 2759467)</f>
        <v>2759467</v>
      </c>
      <c r="D539" s="2" t="s">
        <v>1884</v>
      </c>
      <c r="E539" s="2" t="s">
        <v>1885</v>
      </c>
      <c r="F539" s="2" t="s">
        <v>43</v>
      </c>
      <c r="G539" s="2" t="s">
        <v>507</v>
      </c>
      <c r="H539" s="2" t="s">
        <v>1886</v>
      </c>
      <c r="I539" s="2" t="s">
        <v>36</v>
      </c>
      <c r="J539" s="2" t="s">
        <v>37</v>
      </c>
      <c r="K539" s="2" t="s">
        <v>38</v>
      </c>
      <c r="L539" s="2" t="s">
        <v>38</v>
      </c>
      <c r="M539" s="2" t="s">
        <v>39</v>
      </c>
      <c r="N539" s="2" t="s">
        <v>39</v>
      </c>
      <c r="O539" s="2" t="s">
        <v>39</v>
      </c>
      <c r="P539" s="2" t="s">
        <v>39</v>
      </c>
      <c r="Q539" s="2" t="s">
        <v>39</v>
      </c>
      <c r="R539" s="2" t="s">
        <v>38</v>
      </c>
      <c r="S539" s="2" t="s">
        <v>38</v>
      </c>
      <c r="T539" s="2" t="s">
        <v>39</v>
      </c>
      <c r="U539" s="2" t="s">
        <v>38</v>
      </c>
      <c r="V539" s="2" t="s">
        <v>38</v>
      </c>
      <c r="W539" s="2" t="s">
        <v>39</v>
      </c>
      <c r="X539" s="2" t="s">
        <v>39</v>
      </c>
      <c r="Y539" s="2" t="s">
        <v>39</v>
      </c>
      <c r="Z539" s="2" t="s">
        <v>38</v>
      </c>
      <c r="AA539" s="2" t="s">
        <v>39</v>
      </c>
      <c r="AB539" s="2" t="s">
        <v>39</v>
      </c>
      <c r="AC539" s="2" t="s">
        <v>38</v>
      </c>
      <c r="AD539" s="2" t="s">
        <v>38</v>
      </c>
      <c r="AE539" s="2" t="s">
        <v>40</v>
      </c>
    </row>
    <row r="540" spans="1:31" ht="409.5">
      <c r="A540" s="2">
        <v>2759449</v>
      </c>
      <c r="B540" s="2">
        <f>HYPERLINK("https://platform.v2.vetology.net/cases/2759449/screening-report/1?type=pdf&amp;v=v6&amp;scorecard=1&amp;secret_key=BX%25IJ%24%2F65ieZ%29f6", 2759449)</f>
        <v>2759449</v>
      </c>
      <c r="C540" s="2">
        <f>HYPERLINK("https://platform.v2.vetology.net/report/v/final/"&amp;2759449, 2759449)</f>
        <v>2759449</v>
      </c>
      <c r="D540" s="2" t="s">
        <v>1887</v>
      </c>
      <c r="E540" s="2" t="s">
        <v>1888</v>
      </c>
      <c r="F540" s="2" t="s">
        <v>43</v>
      </c>
      <c r="G540" s="2" t="s">
        <v>507</v>
      </c>
      <c r="H540" s="2" t="s">
        <v>45</v>
      </c>
      <c r="I540" s="2" t="s">
        <v>46</v>
      </c>
      <c r="J540" s="2"/>
      <c r="K540" s="2" t="s">
        <v>39</v>
      </c>
      <c r="L540" s="2" t="s">
        <v>39</v>
      </c>
      <c r="M540" s="2" t="s">
        <v>39</v>
      </c>
      <c r="N540" s="2" t="s">
        <v>39</v>
      </c>
      <c r="O540" s="2" t="s">
        <v>39</v>
      </c>
      <c r="P540" s="2" t="s">
        <v>39</v>
      </c>
      <c r="Q540" s="2" t="s">
        <v>39</v>
      </c>
      <c r="R540" s="2" t="s">
        <v>38</v>
      </c>
      <c r="S540" s="2" t="s">
        <v>39</v>
      </c>
      <c r="T540" s="2" t="s">
        <v>39</v>
      </c>
      <c r="U540" s="2" t="s">
        <v>39</v>
      </c>
      <c r="V540" s="2" t="s">
        <v>39</v>
      </c>
      <c r="W540" s="2" t="s">
        <v>39</v>
      </c>
      <c r="X540" s="2" t="s">
        <v>39</v>
      </c>
      <c r="Y540" s="2" t="s">
        <v>39</v>
      </c>
      <c r="Z540" s="2" t="s">
        <v>38</v>
      </c>
      <c r="AA540" s="2" t="s">
        <v>39</v>
      </c>
      <c r="AB540" s="2" t="s">
        <v>39</v>
      </c>
      <c r="AC540" s="2" t="s">
        <v>38</v>
      </c>
      <c r="AD540" s="2" t="s">
        <v>39</v>
      </c>
      <c r="AE540" s="2" t="s">
        <v>40</v>
      </c>
    </row>
    <row r="541" spans="1:31" ht="409.5">
      <c r="A541" s="2">
        <v>2759414</v>
      </c>
      <c r="B541" s="2">
        <f>HYPERLINK("https://platform.v2.vetology.net/cases/2759414/screening-report/1?type=pdf&amp;v=v6&amp;scorecard=1&amp;secret_key=BX%25IJ%24%2F65ieZ%29f6", 2759414)</f>
        <v>2759414</v>
      </c>
      <c r="C541" s="2">
        <f>HYPERLINK("https://platform.v2.vetology.net/report/v/final/"&amp;2759414, 2759414)</f>
        <v>2759414</v>
      </c>
      <c r="D541" s="2" t="s">
        <v>1889</v>
      </c>
      <c r="E541" s="2" t="s">
        <v>1890</v>
      </c>
      <c r="F541" s="2" t="s">
        <v>1891</v>
      </c>
      <c r="G541" s="2" t="s">
        <v>53</v>
      </c>
      <c r="H541" s="2" t="s">
        <v>69</v>
      </c>
      <c r="I541" s="2" t="s">
        <v>46</v>
      </c>
      <c r="J541" s="2"/>
      <c r="K541" s="2" t="s">
        <v>39</v>
      </c>
      <c r="L541" s="2" t="s">
        <v>39</v>
      </c>
      <c r="M541" s="2" t="s">
        <v>39</v>
      </c>
      <c r="N541" s="2" t="s">
        <v>39</v>
      </c>
      <c r="O541" s="2" t="s">
        <v>39</v>
      </c>
      <c r="P541" s="2" t="s">
        <v>39</v>
      </c>
      <c r="Q541" s="2" t="s">
        <v>39</v>
      </c>
      <c r="R541" s="2" t="s">
        <v>39</v>
      </c>
      <c r="S541" s="2" t="s">
        <v>39</v>
      </c>
      <c r="T541" s="2" t="s">
        <v>38</v>
      </c>
      <c r="U541" s="2" t="s">
        <v>39</v>
      </c>
      <c r="V541" s="2" t="s">
        <v>39</v>
      </c>
      <c r="W541" s="2" t="s">
        <v>39</v>
      </c>
      <c r="X541" s="2" t="s">
        <v>39</v>
      </c>
      <c r="Y541" s="2" t="s">
        <v>39</v>
      </c>
      <c r="Z541" s="2" t="s">
        <v>39</v>
      </c>
      <c r="AA541" s="2" t="s">
        <v>39</v>
      </c>
      <c r="AB541" s="2" t="s">
        <v>39</v>
      </c>
      <c r="AC541" s="2" t="s">
        <v>39</v>
      </c>
      <c r="AD541" s="2" t="s">
        <v>39</v>
      </c>
      <c r="AE541" s="2" t="s">
        <v>39</v>
      </c>
    </row>
    <row r="542" spans="1:31" ht="409.5">
      <c r="A542" s="2">
        <v>2759411</v>
      </c>
      <c r="B542" s="2">
        <f>HYPERLINK("https://platform.v2.vetology.net/cases/2759411/screening-report/1?type=pdf&amp;v=v6&amp;scorecard=1&amp;secret_key=BX%25IJ%24%2F65ieZ%29f6", 2759411)</f>
        <v>2759411</v>
      </c>
      <c r="C542" s="2">
        <f>HYPERLINK("https://platform.v2.vetology.net/report/v/final/"&amp;2759411, 2759411)</f>
        <v>2759411</v>
      </c>
      <c r="D542" s="2" t="s">
        <v>1892</v>
      </c>
      <c r="E542" s="2" t="s">
        <v>1893</v>
      </c>
      <c r="F542" s="2" t="s">
        <v>1894</v>
      </c>
      <c r="G542" s="2" t="s">
        <v>53</v>
      </c>
      <c r="H542" s="2" t="s">
        <v>69</v>
      </c>
      <c r="I542" s="2" t="s">
        <v>46</v>
      </c>
      <c r="J542" s="2"/>
      <c r="K542" s="2" t="s">
        <v>39</v>
      </c>
      <c r="L542" s="2" t="s">
        <v>39</v>
      </c>
      <c r="M542" s="2" t="s">
        <v>39</v>
      </c>
      <c r="N542" s="2" t="s">
        <v>39</v>
      </c>
      <c r="O542" s="2" t="s">
        <v>39</v>
      </c>
      <c r="P542" s="2" t="s">
        <v>39</v>
      </c>
      <c r="Q542" s="2" t="s">
        <v>39</v>
      </c>
      <c r="R542" s="2" t="s">
        <v>39</v>
      </c>
      <c r="S542" s="2" t="s">
        <v>39</v>
      </c>
      <c r="T542" s="2" t="s">
        <v>39</v>
      </c>
      <c r="U542" s="2" t="s">
        <v>39</v>
      </c>
      <c r="V542" s="2" t="s">
        <v>38</v>
      </c>
      <c r="W542" s="2" t="s">
        <v>39</v>
      </c>
      <c r="X542" s="2" t="s">
        <v>39</v>
      </c>
      <c r="Y542" s="2" t="s">
        <v>39</v>
      </c>
      <c r="Z542" s="2" t="s">
        <v>39</v>
      </c>
      <c r="AA542" s="2" t="s">
        <v>39</v>
      </c>
      <c r="AB542" s="2" t="s">
        <v>39</v>
      </c>
      <c r="AC542" s="2" t="s">
        <v>39</v>
      </c>
      <c r="AD542" s="2" t="s">
        <v>39</v>
      </c>
      <c r="AE542" s="2" t="s">
        <v>39</v>
      </c>
    </row>
    <row r="543" spans="1:31" ht="409.5">
      <c r="A543" s="2">
        <v>2759399</v>
      </c>
      <c r="B543" s="2">
        <f>HYPERLINK("https://platform.v2.vetology.net/cases/2759399/screening-report/1?type=pdf&amp;v=v6&amp;scorecard=1&amp;secret_key=BX%25IJ%24%2F65ieZ%29f6", 2759399)</f>
        <v>2759399</v>
      </c>
      <c r="C543" s="2">
        <f>HYPERLINK("https://platform.v2.vetology.net/report/v/final/"&amp;2759399, 2759399)</f>
        <v>2759399</v>
      </c>
      <c r="D543" s="2" t="s">
        <v>1895</v>
      </c>
      <c r="E543" s="2" t="s">
        <v>1896</v>
      </c>
      <c r="F543" s="2" t="s">
        <v>1897</v>
      </c>
      <c r="G543" s="2" t="s">
        <v>81</v>
      </c>
      <c r="H543" s="2" t="s">
        <v>1898</v>
      </c>
      <c r="I543" s="2" t="s">
        <v>129</v>
      </c>
      <c r="J543" s="2" t="s">
        <v>74</v>
      </c>
      <c r="K543" s="2" t="s">
        <v>39</v>
      </c>
      <c r="L543" s="2" t="s">
        <v>38</v>
      </c>
      <c r="M543" s="2" t="s">
        <v>38</v>
      </c>
      <c r="N543" s="2" t="s">
        <v>39</v>
      </c>
      <c r="O543" s="2" t="s">
        <v>38</v>
      </c>
      <c r="P543" s="2" t="s">
        <v>38</v>
      </c>
      <c r="Q543" s="2" t="s">
        <v>38</v>
      </c>
      <c r="R543" s="2" t="s">
        <v>38</v>
      </c>
      <c r="S543" s="2" t="s">
        <v>39</v>
      </c>
      <c r="T543" s="2" t="s">
        <v>39</v>
      </c>
      <c r="U543" s="2" t="s">
        <v>39</v>
      </c>
      <c r="V543" s="2" t="s">
        <v>39</v>
      </c>
      <c r="W543" s="2" t="s">
        <v>38</v>
      </c>
      <c r="X543" s="2" t="s">
        <v>39</v>
      </c>
      <c r="Y543" s="2" t="s">
        <v>39</v>
      </c>
      <c r="Z543" s="2" t="s">
        <v>38</v>
      </c>
      <c r="AA543" s="2" t="s">
        <v>38</v>
      </c>
      <c r="AB543" s="2" t="s">
        <v>39</v>
      </c>
      <c r="AC543" s="2" t="s">
        <v>38</v>
      </c>
      <c r="AD543" s="2" t="s">
        <v>38</v>
      </c>
      <c r="AE543" s="2"/>
    </row>
    <row r="544" spans="1:31" ht="409.5">
      <c r="A544" s="2">
        <v>2759392</v>
      </c>
      <c r="B544" s="2">
        <f>HYPERLINK("https://platform.v2.vetology.net/cases/2759392/screening-report/1?type=pdf&amp;v=v6&amp;scorecard=1&amp;secret_key=BX%25IJ%24%2F65ieZ%29f6", 2759392)</f>
        <v>2759392</v>
      </c>
      <c r="C544" s="2">
        <f>HYPERLINK("https://platform.v2.vetology.net/report/v/final/"&amp;2759392, 2759392)</f>
        <v>2759392</v>
      </c>
      <c r="D544" s="2" t="s">
        <v>1899</v>
      </c>
      <c r="E544" s="2" t="s">
        <v>1900</v>
      </c>
      <c r="F544" s="2" t="s">
        <v>1817</v>
      </c>
      <c r="G544" s="2" t="s">
        <v>507</v>
      </c>
      <c r="H544" s="2" t="s">
        <v>69</v>
      </c>
      <c r="I544" s="2" t="s">
        <v>46</v>
      </c>
      <c r="J544" s="2"/>
      <c r="K544" s="2" t="s">
        <v>39</v>
      </c>
      <c r="L544" s="2" t="s">
        <v>39</v>
      </c>
      <c r="M544" s="2" t="s">
        <v>39</v>
      </c>
      <c r="N544" s="2" t="s">
        <v>39</v>
      </c>
      <c r="O544" s="2" t="s">
        <v>39</v>
      </c>
      <c r="P544" s="2" t="s">
        <v>39</v>
      </c>
      <c r="Q544" s="2" t="s">
        <v>39</v>
      </c>
      <c r="R544" s="2" t="s">
        <v>39</v>
      </c>
      <c r="S544" s="2" t="s">
        <v>39</v>
      </c>
      <c r="T544" s="2" t="s">
        <v>39</v>
      </c>
      <c r="U544" s="2" t="s">
        <v>39</v>
      </c>
      <c r="V544" s="2" t="s">
        <v>39</v>
      </c>
      <c r="W544" s="2" t="s">
        <v>39</v>
      </c>
      <c r="X544" s="2" t="s">
        <v>39</v>
      </c>
      <c r="Y544" s="2" t="s">
        <v>39</v>
      </c>
      <c r="Z544" s="2" t="s">
        <v>39</v>
      </c>
      <c r="AA544" s="2" t="s">
        <v>39</v>
      </c>
      <c r="AB544" s="2" t="s">
        <v>39</v>
      </c>
      <c r="AC544" s="2" t="s">
        <v>39</v>
      </c>
      <c r="AD544" s="2" t="s">
        <v>39</v>
      </c>
      <c r="AE544" s="2" t="s">
        <v>39</v>
      </c>
    </row>
    <row r="545" spans="1:31" ht="409.5">
      <c r="A545" s="2">
        <v>2759363</v>
      </c>
      <c r="B545" s="2">
        <f>HYPERLINK("https://platform.v2.vetology.net/cases/2759363/screening-report/1?type=pdf&amp;v=v6&amp;scorecard=1&amp;secret_key=BX%25IJ%24%2F65ieZ%29f6", 2759363)</f>
        <v>2759363</v>
      </c>
      <c r="C545" s="2">
        <f>HYPERLINK("https://platform.v2.vetology.net/report/v/final/"&amp;2759363, 2759363)</f>
        <v>2759363</v>
      </c>
      <c r="D545" s="2" t="s">
        <v>1901</v>
      </c>
      <c r="E545" s="2" t="s">
        <v>1902</v>
      </c>
      <c r="F545" s="2" t="s">
        <v>43</v>
      </c>
      <c r="G545" s="2" t="s">
        <v>507</v>
      </c>
      <c r="H545" s="2" t="s">
        <v>45</v>
      </c>
      <c r="I545" s="2" t="s">
        <v>46</v>
      </c>
      <c r="J545" s="2"/>
      <c r="K545" s="2" t="s">
        <v>39</v>
      </c>
      <c r="L545" s="2" t="s">
        <v>39</v>
      </c>
      <c r="M545" s="2" t="s">
        <v>39</v>
      </c>
      <c r="N545" s="2" t="s">
        <v>39</v>
      </c>
      <c r="O545" s="2" t="s">
        <v>38</v>
      </c>
      <c r="P545" s="2" t="s">
        <v>39</v>
      </c>
      <c r="Q545" s="2" t="s">
        <v>39</v>
      </c>
      <c r="R545" s="2" t="s">
        <v>38</v>
      </c>
      <c r="S545" s="2" t="s">
        <v>39</v>
      </c>
      <c r="T545" s="2" t="s">
        <v>39</v>
      </c>
      <c r="U545" s="2" t="s">
        <v>39</v>
      </c>
      <c r="V545" s="2" t="s">
        <v>39</v>
      </c>
      <c r="W545" s="2" t="s">
        <v>38</v>
      </c>
      <c r="X545" s="2" t="s">
        <v>39</v>
      </c>
      <c r="Y545" s="2" t="s">
        <v>39</v>
      </c>
      <c r="Z545" s="2" t="s">
        <v>38</v>
      </c>
      <c r="AA545" s="2" t="s">
        <v>39</v>
      </c>
      <c r="AB545" s="2" t="s">
        <v>39</v>
      </c>
      <c r="AC545" s="2" t="s">
        <v>38</v>
      </c>
      <c r="AD545" s="2" t="s">
        <v>38</v>
      </c>
      <c r="AE545" s="2" t="s">
        <v>39</v>
      </c>
    </row>
    <row r="546" spans="1:31" ht="409.5">
      <c r="A546" s="2">
        <v>2759354</v>
      </c>
      <c r="B546" s="2">
        <f>HYPERLINK("https://platform.v2.vetology.net/cases/2759354/screening-report/1?type=pdf&amp;v=v6&amp;scorecard=1&amp;secret_key=BX%25IJ%24%2F65ieZ%29f6", 2759354)</f>
        <v>2759354</v>
      </c>
      <c r="C546" s="2">
        <f>HYPERLINK("https://platform.v2.vetology.net/report/v/final/"&amp;2759354, 2759354)</f>
        <v>2759354</v>
      </c>
      <c r="D546" s="2" t="s">
        <v>1903</v>
      </c>
      <c r="E546" s="2" t="s">
        <v>1904</v>
      </c>
      <c r="F546" s="2" t="s">
        <v>1905</v>
      </c>
      <c r="G546" s="2" t="s">
        <v>53</v>
      </c>
      <c r="H546" s="2" t="s">
        <v>449</v>
      </c>
      <c r="I546" s="2" t="s">
        <v>36</v>
      </c>
      <c r="J546" s="2" t="s">
        <v>37</v>
      </c>
      <c r="K546" s="2" t="s">
        <v>39</v>
      </c>
      <c r="L546" s="2" t="s">
        <v>38</v>
      </c>
      <c r="M546" s="2" t="s">
        <v>39</v>
      </c>
      <c r="N546" s="2" t="s">
        <v>38</v>
      </c>
      <c r="O546" s="2" t="s">
        <v>38</v>
      </c>
      <c r="P546" s="2" t="s">
        <v>39</v>
      </c>
      <c r="Q546" s="2" t="s">
        <v>39</v>
      </c>
      <c r="R546" s="2" t="s">
        <v>38</v>
      </c>
      <c r="S546" s="2" t="s">
        <v>38</v>
      </c>
      <c r="T546" s="2" t="s">
        <v>39</v>
      </c>
      <c r="U546" s="2" t="s">
        <v>38</v>
      </c>
      <c r="V546" s="2" t="s">
        <v>38</v>
      </c>
      <c r="W546" s="2" t="s">
        <v>38</v>
      </c>
      <c r="X546" s="2" t="s">
        <v>39</v>
      </c>
      <c r="Y546" s="2" t="s">
        <v>38</v>
      </c>
      <c r="Z546" s="2" t="s">
        <v>38</v>
      </c>
      <c r="AA546" s="2" t="s">
        <v>38</v>
      </c>
      <c r="AB546" s="2" t="s">
        <v>39</v>
      </c>
      <c r="AC546" s="2" t="s">
        <v>38</v>
      </c>
      <c r="AD546" s="2" t="s">
        <v>38</v>
      </c>
      <c r="AE546" s="2" t="s">
        <v>39</v>
      </c>
    </row>
    <row r="547" spans="1:31" ht="409.5">
      <c r="A547" s="2">
        <v>2759351</v>
      </c>
      <c r="B547" s="2">
        <f>HYPERLINK("https://platform.v2.vetology.net/cases/2759351/screening-report/1?type=pdf&amp;v=v6&amp;scorecard=1&amp;secret_key=BX%25IJ%24%2F65ieZ%29f6", 2759351)</f>
        <v>2759351</v>
      </c>
      <c r="C547" s="2">
        <f>HYPERLINK("https://platform.v2.vetology.net/report/v/final/"&amp;2759351, 2759351)</f>
        <v>2759351</v>
      </c>
      <c r="D547" s="2" t="s">
        <v>1906</v>
      </c>
      <c r="E547" s="2" t="s">
        <v>1907</v>
      </c>
      <c r="F547" s="2" t="s">
        <v>1908</v>
      </c>
      <c r="G547" s="2" t="s">
        <v>100</v>
      </c>
      <c r="H547" s="2" t="s">
        <v>530</v>
      </c>
      <c r="I547" s="2" t="s">
        <v>59</v>
      </c>
      <c r="J547" s="2" t="s">
        <v>37</v>
      </c>
      <c r="K547" s="2" t="s">
        <v>38</v>
      </c>
      <c r="L547" s="2" t="s">
        <v>39</v>
      </c>
      <c r="M547" s="2" t="s">
        <v>39</v>
      </c>
      <c r="N547" s="2" t="s">
        <v>39</v>
      </c>
      <c r="O547" s="2" t="s">
        <v>39</v>
      </c>
      <c r="P547" s="2" t="s">
        <v>39</v>
      </c>
      <c r="Q547" s="2" t="s">
        <v>39</v>
      </c>
      <c r="R547" s="2" t="s">
        <v>39</v>
      </c>
      <c r="S547" s="2" t="s">
        <v>39</v>
      </c>
      <c r="T547" s="2" t="s">
        <v>39</v>
      </c>
      <c r="U547" s="2" t="s">
        <v>38</v>
      </c>
      <c r="V547" s="2" t="s">
        <v>38</v>
      </c>
      <c r="W547" s="2" t="s">
        <v>38</v>
      </c>
      <c r="X547" s="2" t="s">
        <v>39</v>
      </c>
      <c r="Y547" s="2" t="s">
        <v>39</v>
      </c>
      <c r="Z547" s="2" t="s">
        <v>38</v>
      </c>
      <c r="AA547" s="2" t="s">
        <v>39</v>
      </c>
      <c r="AB547" s="2" t="s">
        <v>39</v>
      </c>
      <c r="AC547" s="2" t="s">
        <v>38</v>
      </c>
      <c r="AD547" s="2" t="s">
        <v>38</v>
      </c>
      <c r="AE547" s="2" t="s">
        <v>39</v>
      </c>
    </row>
    <row r="548" spans="1:31" ht="409.5">
      <c r="A548" s="2">
        <v>2759303</v>
      </c>
      <c r="B548" s="2">
        <f>HYPERLINK("https://platform.v2.vetology.net/cases/2759303/screening-report/1?type=pdf&amp;v=v6&amp;scorecard=1&amp;secret_key=BX%25IJ%24%2F65ieZ%29f6", 2759303)</f>
        <v>2759303</v>
      </c>
      <c r="C548" s="2">
        <f>HYPERLINK("https://platform.v2.vetology.net/report/v/final/"&amp;2759303, 2759303)</f>
        <v>2759303</v>
      </c>
      <c r="D548" s="2" t="s">
        <v>1909</v>
      </c>
      <c r="E548" s="2" t="s">
        <v>1910</v>
      </c>
      <c r="F548" s="2" t="s">
        <v>1897</v>
      </c>
      <c r="G548" s="2" t="s">
        <v>81</v>
      </c>
      <c r="H548" s="2" t="s">
        <v>273</v>
      </c>
      <c r="I548" s="2" t="s">
        <v>46</v>
      </c>
      <c r="J548" s="2"/>
      <c r="K548" s="2" t="s">
        <v>39</v>
      </c>
      <c r="L548" s="2" t="s">
        <v>39</v>
      </c>
      <c r="M548" s="2" t="s">
        <v>39</v>
      </c>
      <c r="N548" s="2" t="s">
        <v>39</v>
      </c>
      <c r="O548" s="2" t="s">
        <v>39</v>
      </c>
      <c r="P548" s="2" t="s">
        <v>39</v>
      </c>
      <c r="Q548" s="2" t="s">
        <v>39</v>
      </c>
      <c r="R548" s="2" t="s">
        <v>39</v>
      </c>
      <c r="S548" s="2" t="s">
        <v>38</v>
      </c>
      <c r="T548" s="2" t="s">
        <v>39</v>
      </c>
      <c r="U548" s="2" t="s">
        <v>39</v>
      </c>
      <c r="V548" s="2" t="s">
        <v>38</v>
      </c>
      <c r="W548" s="2" t="s">
        <v>39</v>
      </c>
      <c r="X548" s="2" t="s">
        <v>39</v>
      </c>
      <c r="Y548" s="2" t="s">
        <v>39</v>
      </c>
      <c r="Z548" s="2" t="s">
        <v>38</v>
      </c>
      <c r="AA548" s="2" t="s">
        <v>39</v>
      </c>
      <c r="AB548" s="2" t="s">
        <v>39</v>
      </c>
      <c r="AC548" s="2" t="s">
        <v>38</v>
      </c>
      <c r="AD548" s="2" t="s">
        <v>38</v>
      </c>
      <c r="AE548" s="2" t="s">
        <v>39</v>
      </c>
    </row>
    <row r="549" spans="1:31" ht="409.5">
      <c r="A549" s="2">
        <v>2759281</v>
      </c>
      <c r="B549" s="2">
        <f>HYPERLINK("https://platform.v2.vetology.net/cases/2759281/screening-report/1?type=pdf&amp;v=v6&amp;scorecard=1&amp;secret_key=BX%25IJ%24%2F65ieZ%29f6", 2759281)</f>
        <v>2759281</v>
      </c>
      <c r="C549" s="2">
        <f>HYPERLINK("https://platform.v2.vetology.net/report/v/final/"&amp;2759281, 2759281)</f>
        <v>2759281</v>
      </c>
      <c r="D549" s="2" t="s">
        <v>1911</v>
      </c>
      <c r="E549" s="2" t="s">
        <v>1912</v>
      </c>
      <c r="F549" s="2" t="s">
        <v>1913</v>
      </c>
      <c r="G549" s="2" t="s">
        <v>145</v>
      </c>
      <c r="H549" s="2" t="s">
        <v>1914</v>
      </c>
      <c r="I549" s="2" t="s">
        <v>36</v>
      </c>
      <c r="J549" s="2" t="s">
        <v>37</v>
      </c>
      <c r="K549" s="2" t="s">
        <v>39</v>
      </c>
      <c r="L549" s="2" t="s">
        <v>38</v>
      </c>
      <c r="M549" s="2" t="s">
        <v>38</v>
      </c>
      <c r="N549" s="2" t="s">
        <v>38</v>
      </c>
      <c r="O549" s="2" t="s">
        <v>38</v>
      </c>
      <c r="P549" s="2" t="s">
        <v>39</v>
      </c>
      <c r="Q549" s="2" t="s">
        <v>39</v>
      </c>
      <c r="R549" s="2" t="s">
        <v>38</v>
      </c>
      <c r="S549" s="2" t="s">
        <v>38</v>
      </c>
      <c r="T549" s="2" t="s">
        <v>38</v>
      </c>
      <c r="U549" s="2" t="s">
        <v>39</v>
      </c>
      <c r="V549" s="2" t="s">
        <v>39</v>
      </c>
      <c r="W549" s="2" t="s">
        <v>39</v>
      </c>
      <c r="X549" s="2" t="s">
        <v>39</v>
      </c>
      <c r="Y549" s="2" t="s">
        <v>39</v>
      </c>
      <c r="Z549" s="2" t="s">
        <v>38</v>
      </c>
      <c r="AA549" s="2" t="s">
        <v>39</v>
      </c>
      <c r="AB549" s="2" t="s">
        <v>39</v>
      </c>
      <c r="AC549" s="2" t="s">
        <v>38</v>
      </c>
      <c r="AD549" s="2" t="s">
        <v>38</v>
      </c>
      <c r="AE549" s="2" t="s">
        <v>39</v>
      </c>
    </row>
    <row r="550" spans="1:31" ht="409.5">
      <c r="A550" s="2">
        <v>2759278</v>
      </c>
      <c r="B550" s="2">
        <f>HYPERLINK("https://platform.v2.vetology.net/cases/2759278/screening-report/1?type=pdf&amp;v=v6&amp;scorecard=1&amp;secret_key=BX%25IJ%24%2F65ieZ%29f6", 2759278)</f>
        <v>2759278</v>
      </c>
      <c r="C550" s="2">
        <f>HYPERLINK("https://platform.v2.vetology.net/report/v/final/"&amp;2759278, 2759278)</f>
        <v>2759278</v>
      </c>
      <c r="D550" s="2" t="s">
        <v>1915</v>
      </c>
      <c r="E550" s="2" t="s">
        <v>1916</v>
      </c>
      <c r="F550" s="2" t="s">
        <v>1917</v>
      </c>
      <c r="G550" s="2" t="s">
        <v>53</v>
      </c>
      <c r="H550" s="2" t="s">
        <v>1918</v>
      </c>
      <c r="I550" s="2" t="s">
        <v>36</v>
      </c>
      <c r="J550" s="2" t="s">
        <v>37</v>
      </c>
      <c r="K550" s="2" t="s">
        <v>38</v>
      </c>
      <c r="L550" s="2" t="s">
        <v>38</v>
      </c>
      <c r="M550" s="2" t="s">
        <v>39</v>
      </c>
      <c r="N550" s="2" t="s">
        <v>38</v>
      </c>
      <c r="O550" s="2" t="s">
        <v>38</v>
      </c>
      <c r="P550" s="2" t="s">
        <v>39</v>
      </c>
      <c r="Q550" s="2" t="s">
        <v>39</v>
      </c>
      <c r="R550" s="2" t="s">
        <v>38</v>
      </c>
      <c r="S550" s="2" t="s">
        <v>38</v>
      </c>
      <c r="T550" s="2" t="s">
        <v>38</v>
      </c>
      <c r="U550" s="2" t="s">
        <v>38</v>
      </c>
      <c r="V550" s="2" t="s">
        <v>38</v>
      </c>
      <c r="W550" s="2" t="s">
        <v>38</v>
      </c>
      <c r="X550" s="2" t="s">
        <v>39</v>
      </c>
      <c r="Y550" s="2" t="s">
        <v>39</v>
      </c>
      <c r="Z550" s="2" t="s">
        <v>38</v>
      </c>
      <c r="AA550" s="2" t="s">
        <v>38</v>
      </c>
      <c r="AB550" s="2" t="s">
        <v>39</v>
      </c>
      <c r="AC550" s="2" t="s">
        <v>38</v>
      </c>
      <c r="AD550" s="2" t="s">
        <v>38</v>
      </c>
      <c r="AE550" s="2" t="s">
        <v>40</v>
      </c>
    </row>
    <row r="551" spans="1:31" ht="409.5">
      <c r="A551" s="2">
        <v>2759251</v>
      </c>
      <c r="B551" s="2">
        <f>HYPERLINK("https://platform.v2.vetology.net/cases/2759251/screening-report/1?type=pdf&amp;v=v6&amp;scorecard=1&amp;secret_key=BX%25IJ%24%2F65ieZ%29f6", 2759251)</f>
        <v>2759251</v>
      </c>
      <c r="C551" s="2">
        <f>HYPERLINK("https://platform.v2.vetology.net/report/v/final/"&amp;2759251, 2759251)</f>
        <v>2759251</v>
      </c>
      <c r="D551" s="2" t="s">
        <v>1919</v>
      </c>
      <c r="E551" s="2" t="s">
        <v>1920</v>
      </c>
      <c r="F551" s="2" t="s">
        <v>1921</v>
      </c>
      <c r="G551" s="2" t="s">
        <v>53</v>
      </c>
      <c r="H551" s="2" t="s">
        <v>1922</v>
      </c>
      <c r="I551" s="2" t="s">
        <v>73</v>
      </c>
      <c r="J551" s="2" t="s">
        <v>74</v>
      </c>
      <c r="K551" s="2" t="s">
        <v>38</v>
      </c>
      <c r="L551" s="2" t="s">
        <v>38</v>
      </c>
      <c r="M551" s="2" t="s">
        <v>38</v>
      </c>
      <c r="N551" s="2" t="s">
        <v>38</v>
      </c>
      <c r="O551" s="2" t="s">
        <v>38</v>
      </c>
      <c r="P551" s="2" t="s">
        <v>38</v>
      </c>
      <c r="Q551" s="2" t="s">
        <v>38</v>
      </c>
      <c r="R551" s="2" t="s">
        <v>38</v>
      </c>
      <c r="S551" s="2" t="s">
        <v>38</v>
      </c>
      <c r="T551" s="2" t="s">
        <v>38</v>
      </c>
      <c r="U551" s="2" t="s">
        <v>38</v>
      </c>
      <c r="V551" s="2" t="s">
        <v>38</v>
      </c>
      <c r="W551" s="2" t="s">
        <v>38</v>
      </c>
      <c r="X551" s="2" t="s">
        <v>38</v>
      </c>
      <c r="Y551" s="2" t="s">
        <v>38</v>
      </c>
      <c r="Z551" s="2" t="s">
        <v>38</v>
      </c>
      <c r="AA551" s="2" t="s">
        <v>38</v>
      </c>
      <c r="AB551" s="2" t="s">
        <v>38</v>
      </c>
      <c r="AC551" s="2" t="s">
        <v>38</v>
      </c>
      <c r="AD551" s="2" t="s">
        <v>38</v>
      </c>
      <c r="AE551" s="2" t="s">
        <v>40</v>
      </c>
    </row>
    <row r="552" spans="1:31" ht="409.5">
      <c r="A552" s="2">
        <v>2759250</v>
      </c>
      <c r="B552" s="2">
        <f>HYPERLINK("https://platform.v2.vetology.net/cases/2759250/screening-report/1?type=pdf&amp;v=v6&amp;scorecard=1&amp;secret_key=BX%25IJ%24%2F65ieZ%29f6", 2759250)</f>
        <v>2759250</v>
      </c>
      <c r="C552" s="2">
        <f>HYPERLINK("https://platform.v2.vetology.net/report/v/final/"&amp;2759250, 2759250)</f>
        <v>2759250</v>
      </c>
      <c r="D552" s="2" t="s">
        <v>1923</v>
      </c>
      <c r="E552" s="2" t="s">
        <v>1924</v>
      </c>
      <c r="F552" s="2" t="s">
        <v>1925</v>
      </c>
      <c r="G552" s="2" t="s">
        <v>556</v>
      </c>
      <c r="H552" s="2" t="s">
        <v>1926</v>
      </c>
      <c r="I552" s="2" t="s">
        <v>36</v>
      </c>
      <c r="J552" s="2" t="s">
        <v>37</v>
      </c>
      <c r="K552" s="2" t="s">
        <v>39</v>
      </c>
      <c r="L552" s="2" t="s">
        <v>38</v>
      </c>
      <c r="M552" s="2" t="s">
        <v>38</v>
      </c>
      <c r="N552" s="2" t="s">
        <v>38</v>
      </c>
      <c r="O552" s="2" t="s">
        <v>38</v>
      </c>
      <c r="P552" s="2" t="s">
        <v>39</v>
      </c>
      <c r="Q552" s="2" t="s">
        <v>39</v>
      </c>
      <c r="R552" s="2" t="s">
        <v>38</v>
      </c>
      <c r="S552" s="2" t="s">
        <v>38</v>
      </c>
      <c r="T552" s="2" t="s">
        <v>39</v>
      </c>
      <c r="U552" s="2" t="s">
        <v>38</v>
      </c>
      <c r="V552" s="2" t="s">
        <v>38</v>
      </c>
      <c r="W552" s="2" t="s">
        <v>38</v>
      </c>
      <c r="X552" s="2" t="s">
        <v>39</v>
      </c>
      <c r="Y552" s="2" t="s">
        <v>38</v>
      </c>
      <c r="Z552" s="2" t="s">
        <v>38</v>
      </c>
      <c r="AA552" s="2" t="s">
        <v>39</v>
      </c>
      <c r="AB552" s="2" t="s">
        <v>39</v>
      </c>
      <c r="AC552" s="2" t="s">
        <v>38</v>
      </c>
      <c r="AD552" s="2" t="s">
        <v>38</v>
      </c>
      <c r="AE552" s="2" t="s">
        <v>39</v>
      </c>
    </row>
    <row r="553" spans="1:31" ht="409.5">
      <c r="A553" s="2">
        <v>2759179</v>
      </c>
      <c r="B553" s="2">
        <f>HYPERLINK("https://platform.v2.vetology.net/cases/2759179/screening-report/1?type=pdf&amp;v=v6&amp;scorecard=1&amp;secret_key=BX%25IJ%24%2F65ieZ%29f6", 2759179)</f>
        <v>2759179</v>
      </c>
      <c r="C553" s="2">
        <f>HYPERLINK("https://platform.v2.vetology.net/report/v/final/"&amp;2759179, 2759179)</f>
        <v>2759179</v>
      </c>
      <c r="D553" s="2" t="s">
        <v>1927</v>
      </c>
      <c r="E553" s="2" t="s">
        <v>1928</v>
      </c>
      <c r="F553" s="2" t="s">
        <v>1929</v>
      </c>
      <c r="G553" s="2" t="s">
        <v>111</v>
      </c>
      <c r="H553" s="2" t="s">
        <v>1930</v>
      </c>
      <c r="I553" s="2" t="s">
        <v>36</v>
      </c>
      <c r="J553" s="2" t="s">
        <v>37</v>
      </c>
      <c r="K553" s="2" t="s">
        <v>38</v>
      </c>
      <c r="L553" s="2" t="s">
        <v>38</v>
      </c>
      <c r="M553" s="2" t="s">
        <v>38</v>
      </c>
      <c r="N553" s="2" t="s">
        <v>38</v>
      </c>
      <c r="O553" s="2" t="s">
        <v>38</v>
      </c>
      <c r="P553" s="2" t="s">
        <v>39</v>
      </c>
      <c r="Q553" s="2" t="s">
        <v>39</v>
      </c>
      <c r="R553" s="2" t="s">
        <v>38</v>
      </c>
      <c r="S553" s="2" t="s">
        <v>38</v>
      </c>
      <c r="T553" s="2" t="s">
        <v>38</v>
      </c>
      <c r="U553" s="2" t="s">
        <v>39</v>
      </c>
      <c r="V553" s="2" t="s">
        <v>38</v>
      </c>
      <c r="W553" s="2" t="s">
        <v>38</v>
      </c>
      <c r="X553" s="2" t="s">
        <v>39</v>
      </c>
      <c r="Y553" s="2" t="s">
        <v>39</v>
      </c>
      <c r="Z553" s="2" t="s">
        <v>38</v>
      </c>
      <c r="AA553" s="2" t="s">
        <v>39</v>
      </c>
      <c r="AB553" s="2" t="s">
        <v>39</v>
      </c>
      <c r="AC553" s="2" t="s">
        <v>38</v>
      </c>
      <c r="AD553" s="2" t="s">
        <v>38</v>
      </c>
      <c r="AE553" s="2" t="s">
        <v>39</v>
      </c>
    </row>
    <row r="554" spans="1:31" ht="409.5">
      <c r="A554" s="2">
        <v>2759175</v>
      </c>
      <c r="B554" s="2">
        <f>HYPERLINK("https://platform.v2.vetology.net/cases/2759175/screening-report/1?type=pdf&amp;v=v6&amp;scorecard=1&amp;secret_key=BX%25IJ%24%2F65ieZ%29f6", 2759175)</f>
        <v>2759175</v>
      </c>
      <c r="C554" s="2">
        <f>HYPERLINK("https://platform.v2.vetology.net/report/v/final/"&amp;2759175, 2759175)</f>
        <v>2759175</v>
      </c>
      <c r="D554" s="2" t="s">
        <v>1931</v>
      </c>
      <c r="E554" s="2" t="s">
        <v>1932</v>
      </c>
      <c r="F554" s="2" t="s">
        <v>1933</v>
      </c>
      <c r="G554" s="2" t="s">
        <v>53</v>
      </c>
      <c r="H554" s="2" t="s">
        <v>69</v>
      </c>
      <c r="I554" s="2" t="s">
        <v>46</v>
      </c>
      <c r="J554" s="2"/>
      <c r="K554" s="2" t="s">
        <v>39</v>
      </c>
      <c r="L554" s="2" t="s">
        <v>39</v>
      </c>
      <c r="M554" s="2" t="s">
        <v>39</v>
      </c>
      <c r="N554" s="2" t="s">
        <v>39</v>
      </c>
      <c r="O554" s="2" t="s">
        <v>39</v>
      </c>
      <c r="P554" s="2" t="s">
        <v>39</v>
      </c>
      <c r="Q554" s="2" t="s">
        <v>39</v>
      </c>
      <c r="R554" s="2" t="s">
        <v>39</v>
      </c>
      <c r="S554" s="2" t="s">
        <v>39</v>
      </c>
      <c r="T554" s="2" t="s">
        <v>39</v>
      </c>
      <c r="U554" s="2" t="s">
        <v>39</v>
      </c>
      <c r="V554" s="2" t="s">
        <v>38</v>
      </c>
      <c r="W554" s="2" t="s">
        <v>39</v>
      </c>
      <c r="X554" s="2" t="s">
        <v>39</v>
      </c>
      <c r="Y554" s="2" t="s">
        <v>39</v>
      </c>
      <c r="Z554" s="2" t="s">
        <v>39</v>
      </c>
      <c r="AA554" s="2" t="s">
        <v>39</v>
      </c>
      <c r="AB554" s="2" t="s">
        <v>39</v>
      </c>
      <c r="AC554" s="2" t="s">
        <v>39</v>
      </c>
      <c r="AD554" s="2" t="s">
        <v>38</v>
      </c>
      <c r="AE554" s="2" t="s">
        <v>39</v>
      </c>
    </row>
    <row r="555" spans="1:31" ht="409.5">
      <c r="A555" s="2">
        <v>2759168</v>
      </c>
      <c r="B555" s="2">
        <f>HYPERLINK("https://platform.v2.vetology.net/cases/2759168/screening-report/1?type=pdf&amp;v=v6&amp;scorecard=1&amp;secret_key=BX%25IJ%24%2F65ieZ%29f6", 2759168)</f>
        <v>2759168</v>
      </c>
      <c r="C555" s="2">
        <f>HYPERLINK("https://platform.v2.vetology.net/report/v/final/"&amp;2759168, 2759168)</f>
        <v>2759168</v>
      </c>
      <c r="D555" s="2" t="s">
        <v>1934</v>
      </c>
      <c r="E555" s="2" t="s">
        <v>1935</v>
      </c>
      <c r="F555" s="2" t="s">
        <v>1936</v>
      </c>
      <c r="G555" s="2" t="s">
        <v>170</v>
      </c>
      <c r="H555" s="2" t="s">
        <v>1937</v>
      </c>
      <c r="I555" s="2" t="s">
        <v>36</v>
      </c>
      <c r="J555" s="2" t="s">
        <v>37</v>
      </c>
      <c r="K555" s="2" t="s">
        <v>39</v>
      </c>
      <c r="L555" s="2" t="s">
        <v>39</v>
      </c>
      <c r="M555" s="2" t="s">
        <v>38</v>
      </c>
      <c r="N555" s="2" t="s">
        <v>38</v>
      </c>
      <c r="O555" s="2" t="s">
        <v>39</v>
      </c>
      <c r="P555" s="2" t="s">
        <v>39</v>
      </c>
      <c r="Q555" s="2" t="s">
        <v>39</v>
      </c>
      <c r="R555" s="2" t="s">
        <v>38</v>
      </c>
      <c r="S555" s="2" t="s">
        <v>39</v>
      </c>
      <c r="T555" s="2" t="s">
        <v>39</v>
      </c>
      <c r="U555" s="2" t="s">
        <v>38</v>
      </c>
      <c r="V555" s="2" t="s">
        <v>39</v>
      </c>
      <c r="W555" s="2" t="s">
        <v>38</v>
      </c>
      <c r="X555" s="2" t="s">
        <v>39</v>
      </c>
      <c r="Y555" s="2" t="s">
        <v>39</v>
      </c>
      <c r="Z555" s="2" t="s">
        <v>38</v>
      </c>
      <c r="AA555" s="2" t="s">
        <v>38</v>
      </c>
      <c r="AB555" s="2" t="s">
        <v>39</v>
      </c>
      <c r="AC555" s="2" t="s">
        <v>38</v>
      </c>
      <c r="AD555" s="2" t="s">
        <v>39</v>
      </c>
      <c r="AE555" s="2"/>
    </row>
    <row r="556" spans="1:31" ht="409.5">
      <c r="A556" s="2">
        <v>2759153</v>
      </c>
      <c r="B556" s="2">
        <f>HYPERLINK("https://platform.v2.vetology.net/cases/2759153/screening-report/1?type=pdf&amp;v=v6&amp;scorecard=1&amp;secret_key=BX%25IJ%24%2F65ieZ%29f6", 2759153)</f>
        <v>2759153</v>
      </c>
      <c r="C556" s="2">
        <f>HYPERLINK("https://platform.v2.vetology.net/report/v/final/"&amp;2759153, 2759153)</f>
        <v>2759153</v>
      </c>
      <c r="D556" s="2" t="s">
        <v>1938</v>
      </c>
      <c r="E556" s="2" t="s">
        <v>1939</v>
      </c>
      <c r="F556" s="2" t="s">
        <v>1940</v>
      </c>
      <c r="G556" s="2" t="s">
        <v>170</v>
      </c>
      <c r="H556" s="2" t="s">
        <v>45</v>
      </c>
      <c r="I556" s="2" t="s">
        <v>46</v>
      </c>
      <c r="J556" s="2"/>
      <c r="K556" s="2" t="s">
        <v>39</v>
      </c>
      <c r="L556" s="2" t="s">
        <v>39</v>
      </c>
      <c r="M556" s="2" t="s">
        <v>39</v>
      </c>
      <c r="N556" s="2" t="s">
        <v>39</v>
      </c>
      <c r="O556" s="2" t="s">
        <v>39</v>
      </c>
      <c r="P556" s="2" t="s">
        <v>39</v>
      </c>
      <c r="Q556" s="2" t="s">
        <v>39</v>
      </c>
      <c r="R556" s="2" t="s">
        <v>38</v>
      </c>
      <c r="S556" s="2" t="s">
        <v>39</v>
      </c>
      <c r="T556" s="2" t="s">
        <v>38</v>
      </c>
      <c r="U556" s="2" t="s">
        <v>39</v>
      </c>
      <c r="V556" s="2" t="s">
        <v>39</v>
      </c>
      <c r="W556" s="2" t="s">
        <v>39</v>
      </c>
      <c r="X556" s="2" t="s">
        <v>39</v>
      </c>
      <c r="Y556" s="2" t="s">
        <v>39</v>
      </c>
      <c r="Z556" s="2" t="s">
        <v>38</v>
      </c>
      <c r="AA556" s="2" t="s">
        <v>39</v>
      </c>
      <c r="AB556" s="2" t="s">
        <v>39</v>
      </c>
      <c r="AC556" s="2" t="s">
        <v>38</v>
      </c>
      <c r="AD556" s="2" t="s">
        <v>38</v>
      </c>
      <c r="AE556" s="2" t="s">
        <v>39</v>
      </c>
    </row>
    <row r="557" spans="1:31" ht="409.5">
      <c r="A557" s="2">
        <v>2759152</v>
      </c>
      <c r="B557" s="2">
        <f>HYPERLINK("https://platform.v2.vetology.net/cases/2759152/screening-report/1?type=pdf&amp;v=v6&amp;scorecard=1&amp;secret_key=BX%25IJ%24%2F65ieZ%29f6", 2759152)</f>
        <v>2759152</v>
      </c>
      <c r="C557" s="2">
        <f>HYPERLINK("https://platform.v2.vetology.net/report/v/final/"&amp;2759152, 2759152)</f>
        <v>2759152</v>
      </c>
      <c r="D557" s="2" t="s">
        <v>1941</v>
      </c>
      <c r="E557" s="2" t="s">
        <v>1942</v>
      </c>
      <c r="F557" s="2" t="s">
        <v>43</v>
      </c>
      <c r="G557" s="2" t="s">
        <v>507</v>
      </c>
      <c r="H557" s="2" t="s">
        <v>1175</v>
      </c>
      <c r="I557" s="2" t="s">
        <v>36</v>
      </c>
      <c r="J557" s="2" t="s">
        <v>37</v>
      </c>
      <c r="K557" s="2" t="s">
        <v>39</v>
      </c>
      <c r="L557" s="2" t="s">
        <v>39</v>
      </c>
      <c r="M557" s="2" t="s">
        <v>38</v>
      </c>
      <c r="N557" s="2" t="s">
        <v>39</v>
      </c>
      <c r="O557" s="2" t="s">
        <v>39</v>
      </c>
      <c r="P557" s="2" t="s">
        <v>39</v>
      </c>
      <c r="Q557" s="2" t="s">
        <v>39</v>
      </c>
      <c r="R557" s="2" t="s">
        <v>38</v>
      </c>
      <c r="S557" s="2" t="s">
        <v>39</v>
      </c>
      <c r="T557" s="2" t="s">
        <v>38</v>
      </c>
      <c r="U557" s="2" t="s">
        <v>39</v>
      </c>
      <c r="V557" s="2" t="s">
        <v>39</v>
      </c>
      <c r="W557" s="2" t="s">
        <v>38</v>
      </c>
      <c r="X557" s="2" t="s">
        <v>39</v>
      </c>
      <c r="Y557" s="2" t="s">
        <v>39</v>
      </c>
      <c r="Z557" s="2" t="s">
        <v>38</v>
      </c>
      <c r="AA557" s="2" t="s">
        <v>39</v>
      </c>
      <c r="AB557" s="2" t="s">
        <v>39</v>
      </c>
      <c r="AC557" s="2" t="s">
        <v>38</v>
      </c>
      <c r="AD557" s="2" t="s">
        <v>38</v>
      </c>
      <c r="AE557" s="2" t="s">
        <v>39</v>
      </c>
    </row>
    <row r="558" spans="1:31" ht="409.5">
      <c r="A558" s="2">
        <v>2759113</v>
      </c>
      <c r="B558" s="2">
        <f>HYPERLINK("https://platform.v2.vetology.net/cases/2759113/screening-report/1?type=pdf&amp;v=v6&amp;scorecard=1&amp;secret_key=BX%25IJ%24%2F65ieZ%29f6", 2759113)</f>
        <v>2759113</v>
      </c>
      <c r="C558" s="2">
        <f>HYPERLINK("https://platform.v2.vetology.net/report/v/final/"&amp;2759113, 2759113)</f>
        <v>2759113</v>
      </c>
      <c r="D558" s="2" t="s">
        <v>1943</v>
      </c>
      <c r="E558" s="2" t="s">
        <v>359</v>
      </c>
      <c r="F558" s="2"/>
      <c r="G558" s="2" t="s">
        <v>100</v>
      </c>
      <c r="H558" s="2" t="s">
        <v>1944</v>
      </c>
      <c r="I558" s="2" t="s">
        <v>36</v>
      </c>
      <c r="J558" s="2" t="s">
        <v>37</v>
      </c>
      <c r="K558" s="2" t="s">
        <v>38</v>
      </c>
      <c r="L558" s="2" t="s">
        <v>38</v>
      </c>
      <c r="M558" s="2" t="s">
        <v>39</v>
      </c>
      <c r="N558" s="2" t="s">
        <v>38</v>
      </c>
      <c r="O558" s="2" t="s">
        <v>38</v>
      </c>
      <c r="P558" s="2" t="s">
        <v>39</v>
      </c>
      <c r="Q558" s="2" t="s">
        <v>39</v>
      </c>
      <c r="R558" s="2" t="s">
        <v>38</v>
      </c>
      <c r="S558" s="2" t="s">
        <v>39</v>
      </c>
      <c r="T558" s="2" t="s">
        <v>39</v>
      </c>
      <c r="U558" s="2" t="s">
        <v>38</v>
      </c>
      <c r="V558" s="2" t="s">
        <v>38</v>
      </c>
      <c r="W558" s="2" t="s">
        <v>39</v>
      </c>
      <c r="X558" s="2" t="s">
        <v>39</v>
      </c>
      <c r="Y558" s="2" t="s">
        <v>39</v>
      </c>
      <c r="Z558" s="2" t="s">
        <v>39</v>
      </c>
      <c r="AA558" s="2" t="s">
        <v>39</v>
      </c>
      <c r="AB558" s="2" t="s">
        <v>39</v>
      </c>
      <c r="AC558" s="2" t="s">
        <v>38</v>
      </c>
      <c r="AD558" s="2" t="s">
        <v>38</v>
      </c>
      <c r="AE558" s="2" t="s">
        <v>39</v>
      </c>
    </row>
    <row r="559" spans="1:31" ht="409.5">
      <c r="A559" s="2">
        <v>2759108</v>
      </c>
      <c r="B559" s="2">
        <f>HYPERLINK("https://platform.v2.vetology.net/cases/2759108/screening-report/1?type=pdf&amp;v=v6&amp;scorecard=1&amp;secret_key=BX%25IJ%24%2F65ieZ%29f6", 2759108)</f>
        <v>2759108</v>
      </c>
      <c r="C559" s="2">
        <f>HYPERLINK("https://platform.v2.vetology.net/report/v/final/"&amp;2759108, 2759108)</f>
        <v>2759108</v>
      </c>
      <c r="D559" s="2" t="s">
        <v>1945</v>
      </c>
      <c r="E559" s="2" t="s">
        <v>1946</v>
      </c>
      <c r="F559" s="2" t="s">
        <v>1947</v>
      </c>
      <c r="G559" s="2" t="s">
        <v>53</v>
      </c>
      <c r="H559" s="2" t="s">
        <v>1948</v>
      </c>
      <c r="I559" s="2" t="s">
        <v>73</v>
      </c>
      <c r="J559" s="2" t="s">
        <v>74</v>
      </c>
      <c r="K559" s="2" t="s">
        <v>38</v>
      </c>
      <c r="L559" s="2" t="s">
        <v>38</v>
      </c>
      <c r="M559" s="2" t="s">
        <v>38</v>
      </c>
      <c r="N559" s="2" t="s">
        <v>38</v>
      </c>
      <c r="O559" s="2" t="s">
        <v>38</v>
      </c>
      <c r="P559" s="2" t="s">
        <v>38</v>
      </c>
      <c r="Q559" s="2" t="s">
        <v>38</v>
      </c>
      <c r="R559" s="2" t="s">
        <v>38</v>
      </c>
      <c r="S559" s="2" t="s">
        <v>38</v>
      </c>
      <c r="T559" s="2" t="s">
        <v>38</v>
      </c>
      <c r="U559" s="2" t="s">
        <v>38</v>
      </c>
      <c r="V559" s="2" t="s">
        <v>38</v>
      </c>
      <c r="W559" s="2" t="s">
        <v>38</v>
      </c>
      <c r="X559" s="2" t="s">
        <v>38</v>
      </c>
      <c r="Y559" s="2" t="s">
        <v>38</v>
      </c>
      <c r="Z559" s="2" t="s">
        <v>38</v>
      </c>
      <c r="AA559" s="2" t="s">
        <v>38</v>
      </c>
      <c r="AB559" s="2" t="s">
        <v>38</v>
      </c>
      <c r="AC559" s="2" t="s">
        <v>38</v>
      </c>
      <c r="AD559" s="2" t="s">
        <v>38</v>
      </c>
      <c r="AE559" s="2" t="s">
        <v>40</v>
      </c>
    </row>
    <row r="560" spans="1:31" ht="409.5">
      <c r="A560" s="2">
        <v>2759090</v>
      </c>
      <c r="B560" s="2">
        <f>HYPERLINK("https://platform.v2.vetology.net/cases/2759090/screening-report/1?type=pdf&amp;v=v6&amp;scorecard=1&amp;secret_key=BX%25IJ%24%2F65ieZ%29f6", 2759090)</f>
        <v>2759090</v>
      </c>
      <c r="C560" s="2">
        <f>HYPERLINK("https://platform.v2.vetology.net/report/v/final/"&amp;2759090, 2759090)</f>
        <v>2759090</v>
      </c>
      <c r="D560" s="2" t="s">
        <v>1949</v>
      </c>
      <c r="E560" s="2" t="s">
        <v>1950</v>
      </c>
      <c r="F560" s="2"/>
      <c r="G560" s="2" t="s">
        <v>100</v>
      </c>
      <c r="H560" s="2" t="s">
        <v>419</v>
      </c>
      <c r="I560" s="2" t="s">
        <v>36</v>
      </c>
      <c r="J560" s="2" t="s">
        <v>37</v>
      </c>
      <c r="K560" s="2" t="s">
        <v>39</v>
      </c>
      <c r="L560" s="2" t="s">
        <v>39</v>
      </c>
      <c r="M560" s="2" t="s">
        <v>38</v>
      </c>
      <c r="N560" s="2" t="s">
        <v>39</v>
      </c>
      <c r="O560" s="2" t="s">
        <v>39</v>
      </c>
      <c r="P560" s="2" t="s">
        <v>39</v>
      </c>
      <c r="Q560" s="2" t="s">
        <v>39</v>
      </c>
      <c r="R560" s="2" t="s">
        <v>38</v>
      </c>
      <c r="S560" s="2" t="s">
        <v>39</v>
      </c>
      <c r="T560" s="2" t="s">
        <v>39</v>
      </c>
      <c r="U560" s="2" t="s">
        <v>39</v>
      </c>
      <c r="V560" s="2" t="s">
        <v>39</v>
      </c>
      <c r="W560" s="2" t="s">
        <v>39</v>
      </c>
      <c r="X560" s="2" t="s">
        <v>39</v>
      </c>
      <c r="Y560" s="2" t="s">
        <v>39</v>
      </c>
      <c r="Z560" s="2" t="s">
        <v>38</v>
      </c>
      <c r="AA560" s="2" t="s">
        <v>39</v>
      </c>
      <c r="AB560" s="2" t="s">
        <v>39</v>
      </c>
      <c r="AC560" s="2" t="s">
        <v>38</v>
      </c>
      <c r="AD560" s="2" t="s">
        <v>39</v>
      </c>
      <c r="AE560" s="2" t="s">
        <v>39</v>
      </c>
    </row>
    <row r="561" spans="1:31" ht="409.5">
      <c r="A561" s="2">
        <v>2759083</v>
      </c>
      <c r="B561" s="2">
        <f>HYPERLINK("https://platform.v2.vetology.net/cases/2759083/screening-report/1?type=pdf&amp;v=v6&amp;scorecard=1&amp;secret_key=BX%25IJ%24%2F65ieZ%29f6", 2759083)</f>
        <v>2759083</v>
      </c>
      <c r="C561" s="2">
        <f>HYPERLINK("https://platform.v2.vetology.net/report/v/final/"&amp;2759083, 2759083)</f>
        <v>2759083</v>
      </c>
      <c r="D561" s="2" t="s">
        <v>1951</v>
      </c>
      <c r="E561" s="2" t="s">
        <v>1952</v>
      </c>
      <c r="F561" s="2" t="s">
        <v>43</v>
      </c>
      <c r="G561" s="2" t="s">
        <v>44</v>
      </c>
      <c r="H561" s="2" t="s">
        <v>1821</v>
      </c>
      <c r="I561" s="2" t="s">
        <v>36</v>
      </c>
      <c r="J561" s="2" t="s">
        <v>37</v>
      </c>
      <c r="K561" s="2" t="s">
        <v>39</v>
      </c>
      <c r="L561" s="2" t="s">
        <v>38</v>
      </c>
      <c r="M561" s="2" t="s">
        <v>39</v>
      </c>
      <c r="N561" s="2" t="s">
        <v>39</v>
      </c>
      <c r="O561" s="2" t="s">
        <v>39</v>
      </c>
      <c r="P561" s="2" t="s">
        <v>39</v>
      </c>
      <c r="Q561" s="2" t="s">
        <v>39</v>
      </c>
      <c r="R561" s="2" t="s">
        <v>39</v>
      </c>
      <c r="S561" s="2" t="s">
        <v>38</v>
      </c>
      <c r="T561" s="2" t="s">
        <v>38</v>
      </c>
      <c r="U561" s="2" t="s">
        <v>39</v>
      </c>
      <c r="V561" s="2" t="s">
        <v>39</v>
      </c>
      <c r="W561" s="2" t="s">
        <v>38</v>
      </c>
      <c r="X561" s="2" t="s">
        <v>39</v>
      </c>
      <c r="Y561" s="2" t="s">
        <v>39</v>
      </c>
      <c r="Z561" s="2" t="s">
        <v>38</v>
      </c>
      <c r="AA561" s="2" t="s">
        <v>39</v>
      </c>
      <c r="AB561" s="2" t="s">
        <v>39</v>
      </c>
      <c r="AC561" s="2" t="s">
        <v>39</v>
      </c>
      <c r="AD561" s="2" t="s">
        <v>38</v>
      </c>
      <c r="AE561" s="2" t="s">
        <v>39</v>
      </c>
    </row>
    <row r="562" spans="1:31" ht="409.5">
      <c r="A562" s="2">
        <v>2759071</v>
      </c>
      <c r="B562" s="2">
        <f>HYPERLINK("https://platform.v2.vetology.net/cases/2759071/screening-report/1?type=pdf&amp;v=v6&amp;scorecard=1&amp;secret_key=BX%25IJ%24%2F65ieZ%29f6", 2759071)</f>
        <v>2759071</v>
      </c>
      <c r="C562" s="2">
        <f>HYPERLINK("https://platform.v2.vetology.net/report/v/final/"&amp;2759071, 2759071)</f>
        <v>2759071</v>
      </c>
      <c r="D562" s="2" t="s">
        <v>1953</v>
      </c>
      <c r="E562" s="2" t="s">
        <v>1954</v>
      </c>
      <c r="F562" s="2" t="s">
        <v>1955</v>
      </c>
      <c r="G562" s="2" t="s">
        <v>53</v>
      </c>
      <c r="H562" s="2" t="s">
        <v>1956</v>
      </c>
      <c r="I562" s="2" t="s">
        <v>36</v>
      </c>
      <c r="J562" s="2" t="s">
        <v>37</v>
      </c>
      <c r="K562" s="2" t="s">
        <v>38</v>
      </c>
      <c r="L562" s="2" t="s">
        <v>39</v>
      </c>
      <c r="M562" s="2" t="s">
        <v>39</v>
      </c>
      <c r="N562" s="2" t="s">
        <v>38</v>
      </c>
      <c r="O562" s="2" t="s">
        <v>38</v>
      </c>
      <c r="P562" s="2" t="s">
        <v>38</v>
      </c>
      <c r="Q562" s="2" t="s">
        <v>38</v>
      </c>
      <c r="R562" s="2" t="s">
        <v>39</v>
      </c>
      <c r="S562" s="2" t="s">
        <v>39</v>
      </c>
      <c r="T562" s="2" t="s">
        <v>38</v>
      </c>
      <c r="U562" s="2" t="s">
        <v>38</v>
      </c>
      <c r="V562" s="2" t="s">
        <v>38</v>
      </c>
      <c r="W562" s="2" t="s">
        <v>38</v>
      </c>
      <c r="X562" s="2" t="s">
        <v>39</v>
      </c>
      <c r="Y562" s="2" t="s">
        <v>39</v>
      </c>
      <c r="Z562" s="2" t="s">
        <v>39</v>
      </c>
      <c r="AA562" s="2" t="s">
        <v>38</v>
      </c>
      <c r="AB562" s="2" t="s">
        <v>39</v>
      </c>
      <c r="AC562" s="2" t="s">
        <v>38</v>
      </c>
      <c r="AD562" s="2" t="s">
        <v>39</v>
      </c>
      <c r="AE562" s="2" t="s">
        <v>40</v>
      </c>
    </row>
    <row r="563" spans="1:31" ht="409.5">
      <c r="A563" s="2">
        <v>2759066</v>
      </c>
      <c r="B563" s="2">
        <f>HYPERLINK("https://platform.v2.vetology.net/cases/2759066/screening-report/1?type=pdf&amp;v=v6&amp;scorecard=1&amp;secret_key=BX%25IJ%24%2F65ieZ%29f6", 2759066)</f>
        <v>2759066</v>
      </c>
      <c r="C563" s="2">
        <f>HYPERLINK("https://platform.v2.vetology.net/report/v/final/"&amp;2759066, 2759066)</f>
        <v>2759066</v>
      </c>
      <c r="D563" s="2" t="s">
        <v>1957</v>
      </c>
      <c r="E563" s="2" t="s">
        <v>1958</v>
      </c>
      <c r="F563" s="2" t="s">
        <v>43</v>
      </c>
      <c r="G563" s="2" t="s">
        <v>44</v>
      </c>
      <c r="H563" s="2" t="s">
        <v>69</v>
      </c>
      <c r="I563" s="2" t="s">
        <v>46</v>
      </c>
      <c r="J563" s="2"/>
      <c r="K563" s="2" t="s">
        <v>39</v>
      </c>
      <c r="L563" s="2" t="s">
        <v>39</v>
      </c>
      <c r="M563" s="2" t="s">
        <v>39</v>
      </c>
      <c r="N563" s="2" t="s">
        <v>39</v>
      </c>
      <c r="O563" s="2" t="s">
        <v>39</v>
      </c>
      <c r="P563" s="2" t="s">
        <v>39</v>
      </c>
      <c r="Q563" s="2" t="s">
        <v>39</v>
      </c>
      <c r="R563" s="2" t="s">
        <v>39</v>
      </c>
      <c r="S563" s="2" t="s">
        <v>39</v>
      </c>
      <c r="T563" s="2" t="s">
        <v>39</v>
      </c>
      <c r="U563" s="2" t="s">
        <v>39</v>
      </c>
      <c r="V563" s="2" t="s">
        <v>39</v>
      </c>
      <c r="W563" s="2" t="s">
        <v>39</v>
      </c>
      <c r="X563" s="2" t="s">
        <v>39</v>
      </c>
      <c r="Y563" s="2" t="s">
        <v>39</v>
      </c>
      <c r="Z563" s="2" t="s">
        <v>39</v>
      </c>
      <c r="AA563" s="2" t="s">
        <v>39</v>
      </c>
      <c r="AB563" s="2" t="s">
        <v>39</v>
      </c>
      <c r="AC563" s="2" t="s">
        <v>38</v>
      </c>
      <c r="AD563" s="2" t="s">
        <v>39</v>
      </c>
      <c r="AE563" s="2" t="s">
        <v>39</v>
      </c>
    </row>
    <row r="564" spans="1:31" ht="409.5">
      <c r="A564" s="2">
        <v>2759019</v>
      </c>
      <c r="B564" s="2">
        <f>HYPERLINK("https://platform.v2.vetology.net/cases/2759019/screening-report/1?type=pdf&amp;v=v6&amp;scorecard=1&amp;secret_key=BX%25IJ%24%2F65ieZ%29f6", 2759019)</f>
        <v>2759019</v>
      </c>
      <c r="C564" s="2">
        <f>HYPERLINK("https://platform.v2.vetology.net/report/v/final/"&amp;2759019, 2759019)</f>
        <v>2759019</v>
      </c>
      <c r="D564" s="2" t="s">
        <v>1959</v>
      </c>
      <c r="E564" s="2" t="s">
        <v>1960</v>
      </c>
      <c r="F564" s="2" t="s">
        <v>43</v>
      </c>
      <c r="G564" s="2" t="s">
        <v>44</v>
      </c>
      <c r="H564" s="2" t="s">
        <v>1961</v>
      </c>
      <c r="I564" s="2" t="s">
        <v>73</v>
      </c>
      <c r="J564" s="2" t="s">
        <v>74</v>
      </c>
      <c r="K564" s="2" t="s">
        <v>38</v>
      </c>
      <c r="L564" s="2" t="s">
        <v>38</v>
      </c>
      <c r="M564" s="2" t="s">
        <v>38</v>
      </c>
      <c r="N564" s="2" t="s">
        <v>38</v>
      </c>
      <c r="O564" s="2" t="s">
        <v>38</v>
      </c>
      <c r="P564" s="2" t="s">
        <v>38</v>
      </c>
      <c r="Q564" s="2" t="s">
        <v>38</v>
      </c>
      <c r="R564" s="2" t="s">
        <v>38</v>
      </c>
      <c r="S564" s="2" t="s">
        <v>38</v>
      </c>
      <c r="T564" s="2" t="s">
        <v>38</v>
      </c>
      <c r="U564" s="2" t="s">
        <v>38</v>
      </c>
      <c r="V564" s="2" t="s">
        <v>38</v>
      </c>
      <c r="W564" s="2" t="s">
        <v>38</v>
      </c>
      <c r="X564" s="2" t="s">
        <v>38</v>
      </c>
      <c r="Y564" s="2" t="s">
        <v>39</v>
      </c>
      <c r="Z564" s="2" t="s">
        <v>38</v>
      </c>
      <c r="AA564" s="2" t="s">
        <v>38</v>
      </c>
      <c r="AB564" s="2" t="s">
        <v>38</v>
      </c>
      <c r="AC564" s="2" t="s">
        <v>38</v>
      </c>
      <c r="AD564" s="2" t="s">
        <v>38</v>
      </c>
      <c r="AE564" s="2" t="s">
        <v>40</v>
      </c>
    </row>
    <row r="565" spans="1:31" ht="409.5">
      <c r="A565" s="2">
        <v>2759002</v>
      </c>
      <c r="B565" s="2">
        <f>HYPERLINK("https://platform.v2.vetology.net/cases/2759002/screening-report/1?type=pdf&amp;v=v6&amp;scorecard=1&amp;secret_key=BX%25IJ%24%2F65ieZ%29f6", 2759002)</f>
        <v>2759002</v>
      </c>
      <c r="C565" s="2">
        <f>HYPERLINK("https://platform.v2.vetology.net/report/v/final/"&amp;2759002, 2759002)</f>
        <v>2759002</v>
      </c>
      <c r="D565" s="2" t="s">
        <v>1962</v>
      </c>
      <c r="E565" s="2" t="s">
        <v>1963</v>
      </c>
      <c r="F565" s="2" t="s">
        <v>43</v>
      </c>
      <c r="G565" s="2" t="s">
        <v>44</v>
      </c>
      <c r="H565" s="2" t="s">
        <v>1964</v>
      </c>
      <c r="I565" s="2" t="s">
        <v>36</v>
      </c>
      <c r="J565" s="2" t="s">
        <v>37</v>
      </c>
      <c r="K565" s="2" t="s">
        <v>38</v>
      </c>
      <c r="L565" s="2" t="s">
        <v>38</v>
      </c>
      <c r="M565" s="2" t="s">
        <v>38</v>
      </c>
      <c r="N565" s="2" t="s">
        <v>38</v>
      </c>
      <c r="O565" s="2" t="s">
        <v>38</v>
      </c>
      <c r="P565" s="2" t="s">
        <v>38</v>
      </c>
      <c r="Q565" s="2" t="s">
        <v>39</v>
      </c>
      <c r="R565" s="2" t="s">
        <v>38</v>
      </c>
      <c r="S565" s="2" t="s">
        <v>38</v>
      </c>
      <c r="T565" s="2" t="s">
        <v>39</v>
      </c>
      <c r="U565" s="2" t="s">
        <v>38</v>
      </c>
      <c r="V565" s="2" t="s">
        <v>38</v>
      </c>
      <c r="W565" s="2" t="s">
        <v>38</v>
      </c>
      <c r="X565" s="2" t="s">
        <v>39</v>
      </c>
      <c r="Y565" s="2" t="s">
        <v>38</v>
      </c>
      <c r="Z565" s="2" t="s">
        <v>38</v>
      </c>
      <c r="AA565" s="2" t="s">
        <v>38</v>
      </c>
      <c r="AB565" s="2" t="s">
        <v>39</v>
      </c>
      <c r="AC565" s="2" t="s">
        <v>38</v>
      </c>
      <c r="AD565" s="2" t="s">
        <v>38</v>
      </c>
      <c r="AE565" s="2" t="s">
        <v>39</v>
      </c>
    </row>
    <row r="566" spans="1:31" ht="409.5">
      <c r="A566" s="2">
        <v>2759000</v>
      </c>
      <c r="B566" s="2">
        <f>HYPERLINK("https://platform.v2.vetology.net/cases/2759000/screening-report/1?type=pdf&amp;v=v6&amp;scorecard=1&amp;secret_key=BX%25IJ%24%2F65ieZ%29f6", 2759000)</f>
        <v>2759000</v>
      </c>
      <c r="C566" s="2">
        <f>HYPERLINK("https://platform.v2.vetology.net/report/v/final/"&amp;2759000, 2759000)</f>
        <v>2759000</v>
      </c>
      <c r="D566" s="2" t="s">
        <v>1965</v>
      </c>
      <c r="E566" s="2" t="s">
        <v>1966</v>
      </c>
      <c r="F566" s="2" t="s">
        <v>43</v>
      </c>
      <c r="G566" s="2" t="s">
        <v>44</v>
      </c>
      <c r="H566" s="2" t="s">
        <v>1967</v>
      </c>
      <c r="I566" s="2" t="s">
        <v>73</v>
      </c>
      <c r="J566" s="2" t="s">
        <v>74</v>
      </c>
      <c r="K566" s="2" t="s">
        <v>38</v>
      </c>
      <c r="L566" s="2" t="s">
        <v>38</v>
      </c>
      <c r="M566" s="2" t="s">
        <v>38</v>
      </c>
      <c r="N566" s="2" t="s">
        <v>38</v>
      </c>
      <c r="O566" s="2" t="s">
        <v>38</v>
      </c>
      <c r="P566" s="2" t="s">
        <v>38</v>
      </c>
      <c r="Q566" s="2" t="s">
        <v>38</v>
      </c>
      <c r="R566" s="2" t="s">
        <v>38</v>
      </c>
      <c r="S566" s="2" t="s">
        <v>38</v>
      </c>
      <c r="T566" s="2" t="s">
        <v>39</v>
      </c>
      <c r="U566" s="2" t="s">
        <v>38</v>
      </c>
      <c r="V566" s="2" t="s">
        <v>38</v>
      </c>
      <c r="W566" s="2" t="s">
        <v>38</v>
      </c>
      <c r="X566" s="2" t="s">
        <v>38</v>
      </c>
      <c r="Y566" s="2" t="s">
        <v>38</v>
      </c>
      <c r="Z566" s="2" t="s">
        <v>38</v>
      </c>
      <c r="AA566" s="2" t="s">
        <v>38</v>
      </c>
      <c r="AB566" s="2" t="s">
        <v>38</v>
      </c>
      <c r="AC566" s="2" t="s">
        <v>38</v>
      </c>
      <c r="AD566" s="2" t="s">
        <v>38</v>
      </c>
      <c r="AE566" s="2" t="s">
        <v>40</v>
      </c>
    </row>
    <row r="567" spans="1:31" ht="409.5">
      <c r="A567" s="2">
        <v>2758903</v>
      </c>
      <c r="B567" s="2">
        <f>HYPERLINK("https://platform.v2.vetology.net/cases/2758903/screening-report/1?type=pdf&amp;v=v6&amp;scorecard=1&amp;secret_key=BX%25IJ%24%2F65ieZ%29f6", 2758903)</f>
        <v>2758903</v>
      </c>
      <c r="C567" s="2">
        <f>HYPERLINK("https://platform.v2.vetology.net/report/v/final/"&amp;2758903, 2758903)</f>
        <v>2758903</v>
      </c>
      <c r="D567" s="2" t="s">
        <v>1968</v>
      </c>
      <c r="E567" s="2" t="s">
        <v>1969</v>
      </c>
      <c r="F567" s="2" t="s">
        <v>43</v>
      </c>
      <c r="G567" s="2" t="s">
        <v>44</v>
      </c>
      <c r="H567" s="2" t="s">
        <v>1970</v>
      </c>
      <c r="I567" s="2" t="s">
        <v>257</v>
      </c>
      <c r="J567" s="2" t="s">
        <v>74</v>
      </c>
      <c r="K567" s="2" t="s">
        <v>38</v>
      </c>
      <c r="L567" s="2" t="s">
        <v>38</v>
      </c>
      <c r="M567" s="2" t="s">
        <v>38</v>
      </c>
      <c r="N567" s="2" t="s">
        <v>38</v>
      </c>
      <c r="O567" s="2" t="s">
        <v>38</v>
      </c>
      <c r="P567" s="2" t="s">
        <v>38</v>
      </c>
      <c r="Q567" s="2" t="s">
        <v>38</v>
      </c>
      <c r="R567" s="2" t="s">
        <v>38</v>
      </c>
      <c r="S567" s="2" t="s">
        <v>38</v>
      </c>
      <c r="T567" s="2" t="s">
        <v>38</v>
      </c>
      <c r="U567" s="2" t="s">
        <v>38</v>
      </c>
      <c r="V567" s="2" t="s">
        <v>38</v>
      </c>
      <c r="W567" s="2" t="s">
        <v>38</v>
      </c>
      <c r="X567" s="2" t="s">
        <v>38</v>
      </c>
      <c r="Y567" s="2" t="s">
        <v>38</v>
      </c>
      <c r="Z567" s="2" t="s">
        <v>38</v>
      </c>
      <c r="AA567" s="2" t="s">
        <v>38</v>
      </c>
      <c r="AB567" s="2" t="s">
        <v>38</v>
      </c>
      <c r="AC567" s="2" t="s">
        <v>38</v>
      </c>
      <c r="AD567" s="2" t="s">
        <v>38</v>
      </c>
      <c r="AE567" s="2" t="s">
        <v>40</v>
      </c>
    </row>
    <row r="568" spans="1:31" ht="409.5">
      <c r="A568" s="2">
        <v>2758750</v>
      </c>
      <c r="B568" s="2">
        <f>HYPERLINK("https://platform.v2.vetology.net/cases/2758750/screening-report/1?type=pdf&amp;v=v6&amp;scorecard=1&amp;secret_key=BX%25IJ%24%2F65ieZ%29f6", 2758750)</f>
        <v>2758750</v>
      </c>
      <c r="C568" s="2">
        <f>HYPERLINK("https://platform.v2.vetology.net/report/v/final/"&amp;2758750, 2758750)</f>
        <v>2758750</v>
      </c>
      <c r="D568" s="2" t="s">
        <v>1971</v>
      </c>
      <c r="E568" s="2" t="s">
        <v>1972</v>
      </c>
      <c r="F568" s="2"/>
      <c r="G568" s="2" t="s">
        <v>507</v>
      </c>
      <c r="H568" s="2" t="s">
        <v>500</v>
      </c>
      <c r="I568" s="2" t="s">
        <v>36</v>
      </c>
      <c r="J568" s="2" t="s">
        <v>37</v>
      </c>
      <c r="K568" s="2" t="s">
        <v>38</v>
      </c>
      <c r="L568" s="2" t="s">
        <v>38</v>
      </c>
      <c r="M568" s="2" t="s">
        <v>38</v>
      </c>
      <c r="N568" s="2" t="s">
        <v>38</v>
      </c>
      <c r="O568" s="2" t="s">
        <v>38</v>
      </c>
      <c r="P568" s="2" t="s">
        <v>38</v>
      </c>
      <c r="Q568" s="2" t="s">
        <v>39</v>
      </c>
      <c r="R568" s="2" t="s">
        <v>38</v>
      </c>
      <c r="S568" s="2" t="s">
        <v>38</v>
      </c>
      <c r="T568" s="2" t="s">
        <v>38</v>
      </c>
      <c r="U568" s="2" t="s">
        <v>38</v>
      </c>
      <c r="V568" s="2" t="s">
        <v>38</v>
      </c>
      <c r="W568" s="2" t="s">
        <v>38</v>
      </c>
      <c r="X568" s="2" t="s">
        <v>39</v>
      </c>
      <c r="Y568" s="2" t="s">
        <v>38</v>
      </c>
      <c r="Z568" s="2" t="s">
        <v>38</v>
      </c>
      <c r="AA568" s="2" t="s">
        <v>38</v>
      </c>
      <c r="AB568" s="2" t="s">
        <v>38</v>
      </c>
      <c r="AC568" s="2" t="s">
        <v>38</v>
      </c>
      <c r="AD568" s="2" t="s">
        <v>38</v>
      </c>
      <c r="AE568" s="2" t="s">
        <v>40</v>
      </c>
    </row>
    <row r="569" spans="1:31" ht="409.5">
      <c r="A569" s="2">
        <v>2758722</v>
      </c>
      <c r="B569" s="2">
        <f>HYPERLINK("https://platform.v2.vetology.net/cases/2758722/screening-report/1?type=pdf&amp;v=v6&amp;scorecard=1&amp;secret_key=BX%25IJ%24%2F65ieZ%29f6", 2758722)</f>
        <v>2758722</v>
      </c>
      <c r="C569" s="2">
        <f>HYPERLINK("https://platform.v2.vetology.net/report/v/final/"&amp;2758722, 2758722)</f>
        <v>2758722</v>
      </c>
      <c r="D569" s="2" t="s">
        <v>1973</v>
      </c>
      <c r="E569" s="2" t="s">
        <v>1974</v>
      </c>
      <c r="F569" s="2" t="s">
        <v>1975</v>
      </c>
      <c r="G569" s="2" t="s">
        <v>34</v>
      </c>
      <c r="H569" s="2" t="s">
        <v>1944</v>
      </c>
      <c r="I569" s="2" t="s">
        <v>36</v>
      </c>
      <c r="J569" s="2" t="s">
        <v>37</v>
      </c>
      <c r="K569" s="2" t="s">
        <v>38</v>
      </c>
      <c r="L569" s="2" t="s">
        <v>38</v>
      </c>
      <c r="M569" s="2" t="s">
        <v>39</v>
      </c>
      <c r="N569" s="2" t="s">
        <v>38</v>
      </c>
      <c r="O569" s="2" t="s">
        <v>38</v>
      </c>
      <c r="P569" s="2" t="s">
        <v>39</v>
      </c>
      <c r="Q569" s="2" t="s">
        <v>39</v>
      </c>
      <c r="R569" s="2" t="s">
        <v>38</v>
      </c>
      <c r="S569" s="2" t="s">
        <v>39</v>
      </c>
      <c r="T569" s="2" t="s">
        <v>39</v>
      </c>
      <c r="U569" s="2" t="s">
        <v>38</v>
      </c>
      <c r="V569" s="2" t="s">
        <v>38</v>
      </c>
      <c r="W569" s="2" t="s">
        <v>38</v>
      </c>
      <c r="X569" s="2" t="s">
        <v>39</v>
      </c>
      <c r="Y569" s="2" t="s">
        <v>39</v>
      </c>
      <c r="Z569" s="2" t="s">
        <v>39</v>
      </c>
      <c r="AA569" s="2" t="s">
        <v>38</v>
      </c>
      <c r="AB569" s="2" t="s">
        <v>39</v>
      </c>
      <c r="AC569" s="2" t="s">
        <v>38</v>
      </c>
      <c r="AD569" s="2" t="s">
        <v>38</v>
      </c>
      <c r="AE569" s="2" t="s">
        <v>40</v>
      </c>
    </row>
    <row r="570" spans="1:31" ht="409.5">
      <c r="A570" s="2">
        <v>2758708</v>
      </c>
      <c r="B570" s="2">
        <f>HYPERLINK("https://platform.v2.vetology.net/cases/2758708/screening-report/1?type=pdf&amp;v=v6&amp;scorecard=1&amp;secret_key=BX%25IJ%24%2F65ieZ%29f6", 2758708)</f>
        <v>2758708</v>
      </c>
      <c r="C570" s="2">
        <f>HYPERLINK("https://platform.v2.vetology.net/report/v/final/"&amp;2758708, 2758708)</f>
        <v>2758708</v>
      </c>
      <c r="D570" s="2" t="s">
        <v>1976</v>
      </c>
      <c r="E570" s="2" t="s">
        <v>1977</v>
      </c>
      <c r="F570" s="2" t="s">
        <v>43</v>
      </c>
      <c r="G570" s="2" t="s">
        <v>44</v>
      </c>
      <c r="H570" s="2" t="s">
        <v>69</v>
      </c>
      <c r="I570" s="2" t="s">
        <v>46</v>
      </c>
      <c r="J570" s="2"/>
      <c r="K570" s="2" t="s">
        <v>39</v>
      </c>
      <c r="L570" s="2" t="s">
        <v>39</v>
      </c>
      <c r="M570" s="2" t="s">
        <v>39</v>
      </c>
      <c r="N570" s="2" t="s">
        <v>39</v>
      </c>
      <c r="O570" s="2" t="s">
        <v>39</v>
      </c>
      <c r="P570" s="2" t="s">
        <v>39</v>
      </c>
      <c r="Q570" s="2" t="s">
        <v>39</v>
      </c>
      <c r="R570" s="2" t="s">
        <v>39</v>
      </c>
      <c r="S570" s="2" t="s">
        <v>39</v>
      </c>
      <c r="T570" s="2" t="s">
        <v>39</v>
      </c>
      <c r="U570" s="2" t="s">
        <v>39</v>
      </c>
      <c r="V570" s="2" t="s">
        <v>39</v>
      </c>
      <c r="W570" s="2" t="s">
        <v>39</v>
      </c>
      <c r="X570" s="2" t="s">
        <v>39</v>
      </c>
      <c r="Y570" s="2" t="s">
        <v>39</v>
      </c>
      <c r="Z570" s="2" t="s">
        <v>39</v>
      </c>
      <c r="AA570" s="2" t="s">
        <v>39</v>
      </c>
      <c r="AB570" s="2" t="s">
        <v>39</v>
      </c>
      <c r="AC570" s="2" t="s">
        <v>39</v>
      </c>
      <c r="AD570" s="2" t="s">
        <v>39</v>
      </c>
      <c r="AE570" s="2" t="s">
        <v>39</v>
      </c>
    </row>
    <row r="571" spans="1:31" ht="409.5">
      <c r="A571" s="2">
        <v>2758625</v>
      </c>
      <c r="B571" s="2">
        <f>HYPERLINK("https://platform.v2.vetology.net/cases/2758625/screening-report/1?type=pdf&amp;v=v6&amp;scorecard=1&amp;secret_key=BX%25IJ%24%2F65ieZ%29f6", 2758625)</f>
        <v>2758625</v>
      </c>
      <c r="C571" s="2">
        <f>HYPERLINK("https://platform.v2.vetology.net/report/v/final/"&amp;2758625, 2758625)</f>
        <v>2758625</v>
      </c>
      <c r="D571" s="2" t="s">
        <v>1978</v>
      </c>
      <c r="E571" s="2" t="s">
        <v>1979</v>
      </c>
      <c r="F571" s="2" t="s">
        <v>43</v>
      </c>
      <c r="G571" s="2" t="s">
        <v>507</v>
      </c>
      <c r="H571" s="2" t="s">
        <v>273</v>
      </c>
      <c r="I571" s="2" t="s">
        <v>46</v>
      </c>
      <c r="J571" s="2"/>
      <c r="K571" s="2" t="s">
        <v>39</v>
      </c>
      <c r="L571" s="2" t="s">
        <v>39</v>
      </c>
      <c r="M571" s="2" t="s">
        <v>39</v>
      </c>
      <c r="N571" s="2" t="s">
        <v>39</v>
      </c>
      <c r="O571" s="2" t="s">
        <v>38</v>
      </c>
      <c r="P571" s="2" t="s">
        <v>39</v>
      </c>
      <c r="Q571" s="2" t="s">
        <v>39</v>
      </c>
      <c r="R571" s="2" t="s">
        <v>39</v>
      </c>
      <c r="S571" s="2" t="s">
        <v>38</v>
      </c>
      <c r="T571" s="2" t="s">
        <v>38</v>
      </c>
      <c r="U571" s="2" t="s">
        <v>39</v>
      </c>
      <c r="V571" s="2" t="s">
        <v>38</v>
      </c>
      <c r="W571" s="2" t="s">
        <v>39</v>
      </c>
      <c r="X571" s="2" t="s">
        <v>39</v>
      </c>
      <c r="Y571" s="2" t="s">
        <v>39</v>
      </c>
      <c r="Z571" s="2" t="s">
        <v>39</v>
      </c>
      <c r="AA571" s="2" t="s">
        <v>39</v>
      </c>
      <c r="AB571" s="2" t="s">
        <v>39</v>
      </c>
      <c r="AC571" s="2" t="s">
        <v>39</v>
      </c>
      <c r="AD571" s="2" t="s">
        <v>38</v>
      </c>
      <c r="AE571" s="2"/>
    </row>
    <row r="572" spans="1:31" ht="409.5">
      <c r="A572" s="2">
        <v>2758594</v>
      </c>
      <c r="B572" s="2">
        <f>HYPERLINK("https://platform.v2.vetology.net/cases/2758594/screening-report/1?type=pdf&amp;v=v6&amp;scorecard=1&amp;secret_key=BX%25IJ%24%2F65ieZ%29f6", 2758594)</f>
        <v>2758594</v>
      </c>
      <c r="C572" s="2">
        <f>HYPERLINK("https://platform.v2.vetology.net/report/v/final/"&amp;2758594, 2758594)</f>
        <v>2758594</v>
      </c>
      <c r="D572" s="2" t="s">
        <v>1980</v>
      </c>
      <c r="E572" s="2" t="s">
        <v>1981</v>
      </c>
      <c r="F572" s="2" t="s">
        <v>1982</v>
      </c>
      <c r="G572" s="2" t="s">
        <v>100</v>
      </c>
      <c r="H572" s="2" t="s">
        <v>273</v>
      </c>
      <c r="I572" s="2" t="s">
        <v>46</v>
      </c>
      <c r="J572" s="2"/>
      <c r="K572" s="2" t="s">
        <v>39</v>
      </c>
      <c r="L572" s="2" t="s">
        <v>39</v>
      </c>
      <c r="M572" s="2" t="s">
        <v>39</v>
      </c>
      <c r="N572" s="2" t="s">
        <v>39</v>
      </c>
      <c r="O572" s="2" t="s">
        <v>39</v>
      </c>
      <c r="P572" s="2" t="s">
        <v>39</v>
      </c>
      <c r="Q572" s="2" t="s">
        <v>39</v>
      </c>
      <c r="R572" s="2" t="s">
        <v>39</v>
      </c>
      <c r="S572" s="2" t="s">
        <v>38</v>
      </c>
      <c r="T572" s="2" t="s">
        <v>39</v>
      </c>
      <c r="U572" s="2" t="s">
        <v>39</v>
      </c>
      <c r="V572" s="2" t="s">
        <v>39</v>
      </c>
      <c r="W572" s="2" t="s">
        <v>39</v>
      </c>
      <c r="X572" s="2" t="s">
        <v>39</v>
      </c>
      <c r="Y572" s="2" t="s">
        <v>39</v>
      </c>
      <c r="Z572" s="2" t="s">
        <v>38</v>
      </c>
      <c r="AA572" s="2" t="s">
        <v>39</v>
      </c>
      <c r="AB572" s="2" t="s">
        <v>39</v>
      </c>
      <c r="AC572" s="2" t="s">
        <v>39</v>
      </c>
      <c r="AD572" s="2" t="s">
        <v>39</v>
      </c>
      <c r="AE572" s="2"/>
    </row>
    <row r="573" spans="1:31" ht="409.5">
      <c r="A573" s="2">
        <v>2758555</v>
      </c>
      <c r="B573" s="2">
        <f>HYPERLINK("https://platform.v2.vetology.net/cases/2758555/screening-report/1?type=pdf&amp;v=v6&amp;scorecard=1&amp;secret_key=BX%25IJ%24%2F65ieZ%29f6", 2758555)</f>
        <v>2758555</v>
      </c>
      <c r="C573" s="2">
        <f>HYPERLINK("https://platform.v2.vetology.net/report/v/final/"&amp;2758555, 2758555)</f>
        <v>2758555</v>
      </c>
      <c r="D573" s="2" t="s">
        <v>1983</v>
      </c>
      <c r="E573" s="2" t="s">
        <v>1984</v>
      </c>
      <c r="F573" s="2" t="s">
        <v>43</v>
      </c>
      <c r="G573" s="2" t="s">
        <v>44</v>
      </c>
      <c r="H573" s="2" t="s">
        <v>1985</v>
      </c>
      <c r="I573" s="2" t="s">
        <v>36</v>
      </c>
      <c r="J573" s="2" t="s">
        <v>37</v>
      </c>
      <c r="K573" s="2" t="s">
        <v>39</v>
      </c>
      <c r="L573" s="2" t="s">
        <v>38</v>
      </c>
      <c r="M573" s="2" t="s">
        <v>38</v>
      </c>
      <c r="N573" s="2" t="s">
        <v>38</v>
      </c>
      <c r="O573" s="2" t="s">
        <v>38</v>
      </c>
      <c r="P573" s="2" t="s">
        <v>39</v>
      </c>
      <c r="Q573" s="2" t="s">
        <v>39</v>
      </c>
      <c r="R573" s="2" t="s">
        <v>39</v>
      </c>
      <c r="S573" s="2" t="s">
        <v>39</v>
      </c>
      <c r="T573" s="2" t="s">
        <v>38</v>
      </c>
      <c r="U573" s="2" t="s">
        <v>39</v>
      </c>
      <c r="V573" s="2" t="s">
        <v>39</v>
      </c>
      <c r="W573" s="2" t="s">
        <v>39</v>
      </c>
      <c r="X573" s="2" t="s">
        <v>39</v>
      </c>
      <c r="Y573" s="2" t="s">
        <v>39</v>
      </c>
      <c r="Z573" s="2" t="s">
        <v>38</v>
      </c>
      <c r="AA573" s="2" t="s">
        <v>39</v>
      </c>
      <c r="AB573" s="2" t="s">
        <v>39</v>
      </c>
      <c r="AC573" s="2" t="s">
        <v>39</v>
      </c>
      <c r="AD573" s="2" t="s">
        <v>38</v>
      </c>
      <c r="AE573" s="2" t="s">
        <v>40</v>
      </c>
    </row>
    <row r="574" spans="1:31" ht="409.5">
      <c r="A574" s="2">
        <v>2758553</v>
      </c>
      <c r="B574" s="2">
        <f>HYPERLINK("https://platform.v2.vetology.net/cases/2758553/screening-report/1?type=pdf&amp;v=v6&amp;scorecard=1&amp;secret_key=BX%25IJ%24%2F65ieZ%29f6", 2758553)</f>
        <v>2758553</v>
      </c>
      <c r="C574" s="2">
        <f>HYPERLINK("https://platform.v2.vetology.net/report/v/final/"&amp;2758553, 2758553)</f>
        <v>2758553</v>
      </c>
      <c r="D574" s="2" t="s">
        <v>1986</v>
      </c>
      <c r="E574" s="2" t="s">
        <v>1987</v>
      </c>
      <c r="F574" s="2" t="s">
        <v>43</v>
      </c>
      <c r="G574" s="2" t="s">
        <v>507</v>
      </c>
      <c r="H574" s="2" t="s">
        <v>1988</v>
      </c>
      <c r="I574" s="2" t="s">
        <v>129</v>
      </c>
      <c r="J574" s="2" t="s">
        <v>74</v>
      </c>
      <c r="K574" s="2" t="s">
        <v>39</v>
      </c>
      <c r="L574" s="2" t="s">
        <v>38</v>
      </c>
      <c r="M574" s="2" t="s">
        <v>38</v>
      </c>
      <c r="N574" s="2" t="s">
        <v>38</v>
      </c>
      <c r="O574" s="2" t="s">
        <v>38</v>
      </c>
      <c r="P574" s="2" t="s">
        <v>39</v>
      </c>
      <c r="Q574" s="2" t="s">
        <v>38</v>
      </c>
      <c r="R574" s="2" t="s">
        <v>38</v>
      </c>
      <c r="S574" s="2" t="s">
        <v>38</v>
      </c>
      <c r="T574" s="2" t="s">
        <v>39</v>
      </c>
      <c r="U574" s="2" t="s">
        <v>39</v>
      </c>
      <c r="V574" s="2" t="s">
        <v>39</v>
      </c>
      <c r="W574" s="2" t="s">
        <v>38</v>
      </c>
      <c r="X574" s="2" t="s">
        <v>38</v>
      </c>
      <c r="Y574" s="2" t="s">
        <v>39</v>
      </c>
      <c r="Z574" s="2" t="s">
        <v>38</v>
      </c>
      <c r="AA574" s="2" t="s">
        <v>38</v>
      </c>
      <c r="AB574" s="2" t="s">
        <v>38</v>
      </c>
      <c r="AC574" s="2" t="s">
        <v>38</v>
      </c>
      <c r="AD574" s="2" t="s">
        <v>38</v>
      </c>
      <c r="AE574" s="2" t="s">
        <v>40</v>
      </c>
    </row>
    <row r="575" spans="1:31" ht="409.5">
      <c r="A575" s="2">
        <v>2758504</v>
      </c>
      <c r="B575" s="2">
        <f>HYPERLINK("https://platform.v2.vetology.net/cases/2758504/screening-report/1?type=pdf&amp;v=v6&amp;scorecard=1&amp;secret_key=BX%25IJ%24%2F65ieZ%29f6", 2758504)</f>
        <v>2758504</v>
      </c>
      <c r="C575" s="2">
        <f>HYPERLINK("https://platform.v2.vetology.net/report/v/final/"&amp;2758504, 2758504)</f>
        <v>2758504</v>
      </c>
      <c r="D575" s="2" t="s">
        <v>1989</v>
      </c>
      <c r="E575" s="2" t="s">
        <v>1990</v>
      </c>
      <c r="F575" s="2" t="s">
        <v>1991</v>
      </c>
      <c r="G575" s="2" t="s">
        <v>251</v>
      </c>
      <c r="H575" s="2" t="s">
        <v>69</v>
      </c>
      <c r="I575" s="2" t="s">
        <v>46</v>
      </c>
      <c r="J575" s="2"/>
      <c r="K575" s="2" t="s">
        <v>39</v>
      </c>
      <c r="L575" s="2" t="s">
        <v>39</v>
      </c>
      <c r="M575" s="2" t="s">
        <v>39</v>
      </c>
      <c r="N575" s="2" t="s">
        <v>39</v>
      </c>
      <c r="O575" s="2" t="s">
        <v>39</v>
      </c>
      <c r="P575" s="2" t="s">
        <v>39</v>
      </c>
      <c r="Q575" s="2" t="s">
        <v>39</v>
      </c>
      <c r="R575" s="2" t="s">
        <v>39</v>
      </c>
      <c r="S575" s="2" t="s">
        <v>39</v>
      </c>
      <c r="T575" s="2" t="s">
        <v>39</v>
      </c>
      <c r="U575" s="2" t="s">
        <v>39</v>
      </c>
      <c r="V575" s="2" t="s">
        <v>39</v>
      </c>
      <c r="W575" s="2" t="s">
        <v>39</v>
      </c>
      <c r="X575" s="2" t="s">
        <v>39</v>
      </c>
      <c r="Y575" s="2" t="s">
        <v>39</v>
      </c>
      <c r="Z575" s="2" t="s">
        <v>39</v>
      </c>
      <c r="AA575" s="2" t="s">
        <v>39</v>
      </c>
      <c r="AB575" s="2" t="s">
        <v>39</v>
      </c>
      <c r="AC575" s="2" t="s">
        <v>38</v>
      </c>
      <c r="AD575" s="2" t="s">
        <v>38</v>
      </c>
      <c r="AE575" s="2" t="s">
        <v>39</v>
      </c>
    </row>
    <row r="576" spans="1:31" ht="409.5">
      <c r="A576" s="2">
        <v>2758493</v>
      </c>
      <c r="B576" s="2">
        <f>HYPERLINK("https://platform.v2.vetology.net/cases/2758493/screening-report/1?type=pdf&amp;v=v6&amp;scorecard=1&amp;secret_key=BX%25IJ%24%2F65ieZ%29f6", 2758493)</f>
        <v>2758493</v>
      </c>
      <c r="C576" s="2">
        <f>HYPERLINK("https://platform.v2.vetology.net/report/v/final/"&amp;2758493, 2758493)</f>
        <v>2758493</v>
      </c>
      <c r="D576" s="2" t="s">
        <v>1992</v>
      </c>
      <c r="E576" s="2" t="s">
        <v>1993</v>
      </c>
      <c r="F576" s="2" t="s">
        <v>43</v>
      </c>
      <c r="G576" s="2" t="s">
        <v>44</v>
      </c>
      <c r="H576" s="2" t="s">
        <v>1994</v>
      </c>
      <c r="I576" s="2" t="s">
        <v>36</v>
      </c>
      <c r="J576" s="2" t="s">
        <v>37</v>
      </c>
      <c r="K576" s="2" t="s">
        <v>38</v>
      </c>
      <c r="L576" s="2" t="s">
        <v>38</v>
      </c>
      <c r="M576" s="2" t="s">
        <v>39</v>
      </c>
      <c r="N576" s="2" t="s">
        <v>38</v>
      </c>
      <c r="O576" s="2" t="s">
        <v>38</v>
      </c>
      <c r="P576" s="2" t="s">
        <v>39</v>
      </c>
      <c r="Q576" s="2" t="s">
        <v>39</v>
      </c>
      <c r="R576" s="2" t="s">
        <v>38</v>
      </c>
      <c r="S576" s="2" t="s">
        <v>38</v>
      </c>
      <c r="T576" s="2" t="s">
        <v>38</v>
      </c>
      <c r="U576" s="2" t="s">
        <v>39</v>
      </c>
      <c r="V576" s="2" t="s">
        <v>38</v>
      </c>
      <c r="W576" s="2" t="s">
        <v>38</v>
      </c>
      <c r="X576" s="2" t="s">
        <v>39</v>
      </c>
      <c r="Y576" s="2" t="s">
        <v>39</v>
      </c>
      <c r="Z576" s="2" t="s">
        <v>38</v>
      </c>
      <c r="AA576" s="2" t="s">
        <v>38</v>
      </c>
      <c r="AB576" s="2" t="s">
        <v>39</v>
      </c>
      <c r="AC576" s="2" t="s">
        <v>38</v>
      </c>
      <c r="AD576" s="2" t="s">
        <v>38</v>
      </c>
      <c r="AE576" s="2" t="s">
        <v>40</v>
      </c>
    </row>
    <row r="577" spans="1:31" ht="409.5">
      <c r="A577" s="2">
        <v>2758489</v>
      </c>
      <c r="B577" s="2">
        <f>HYPERLINK("https://platform.v2.vetology.net/cases/2758489/screening-report/1?type=pdf&amp;v=v6&amp;scorecard=1&amp;secret_key=BX%25IJ%24%2F65ieZ%29f6", 2758489)</f>
        <v>2758489</v>
      </c>
      <c r="C577" s="2">
        <f>HYPERLINK("https://platform.v2.vetology.net/report/v/final/"&amp;2758489, 2758489)</f>
        <v>2758489</v>
      </c>
      <c r="D577" s="2" t="s">
        <v>1995</v>
      </c>
      <c r="E577" s="2" t="s">
        <v>1996</v>
      </c>
      <c r="F577" s="2" t="s">
        <v>1997</v>
      </c>
      <c r="G577" s="2" t="s">
        <v>170</v>
      </c>
      <c r="H577" s="2" t="s">
        <v>537</v>
      </c>
      <c r="I577" s="2" t="s">
        <v>59</v>
      </c>
      <c r="J577" s="2" t="s">
        <v>37</v>
      </c>
      <c r="K577" s="2" t="s">
        <v>38</v>
      </c>
      <c r="L577" s="2" t="s">
        <v>39</v>
      </c>
      <c r="M577" s="2" t="s">
        <v>39</v>
      </c>
      <c r="N577" s="2" t="s">
        <v>39</v>
      </c>
      <c r="O577" s="2" t="s">
        <v>39</v>
      </c>
      <c r="P577" s="2" t="s">
        <v>39</v>
      </c>
      <c r="Q577" s="2" t="s">
        <v>39</v>
      </c>
      <c r="R577" s="2" t="s">
        <v>39</v>
      </c>
      <c r="S577" s="2" t="s">
        <v>39</v>
      </c>
      <c r="T577" s="2" t="s">
        <v>39</v>
      </c>
      <c r="U577" s="2" t="s">
        <v>38</v>
      </c>
      <c r="V577" s="2" t="s">
        <v>38</v>
      </c>
      <c r="W577" s="2" t="s">
        <v>39</v>
      </c>
      <c r="X577" s="2" t="s">
        <v>38</v>
      </c>
      <c r="Y577" s="2" t="s">
        <v>39</v>
      </c>
      <c r="Z577" s="2" t="s">
        <v>39</v>
      </c>
      <c r="AA577" s="2" t="s">
        <v>39</v>
      </c>
      <c r="AB577" s="2" t="s">
        <v>39</v>
      </c>
      <c r="AC577" s="2" t="s">
        <v>39</v>
      </c>
      <c r="AD577" s="2" t="s">
        <v>39</v>
      </c>
      <c r="AE577" s="2" t="s">
        <v>40</v>
      </c>
    </row>
    <row r="578" spans="1:31" ht="409.5">
      <c r="A578" s="2">
        <v>2758485</v>
      </c>
      <c r="B578" s="2">
        <f>HYPERLINK("https://platform.v2.vetology.net/cases/2758485/screening-report/1?type=pdf&amp;v=v6&amp;scorecard=1&amp;secret_key=BX%25IJ%24%2F65ieZ%29f6", 2758485)</f>
        <v>2758485</v>
      </c>
      <c r="C578" s="2">
        <f>HYPERLINK("https://platform.v2.vetology.net/report/v/final/"&amp;2758485, 2758485)</f>
        <v>2758485</v>
      </c>
      <c r="D578" s="2" t="s">
        <v>1998</v>
      </c>
      <c r="E578" s="2" t="s">
        <v>1999</v>
      </c>
      <c r="F578" s="2" t="s">
        <v>2000</v>
      </c>
      <c r="G578" s="2" t="s">
        <v>100</v>
      </c>
      <c r="H578" s="2" t="s">
        <v>994</v>
      </c>
      <c r="I578" s="2" t="s">
        <v>36</v>
      </c>
      <c r="J578" s="2" t="s">
        <v>37</v>
      </c>
      <c r="K578" s="2" t="s">
        <v>39</v>
      </c>
      <c r="L578" s="2" t="s">
        <v>38</v>
      </c>
      <c r="M578" s="2" t="s">
        <v>39</v>
      </c>
      <c r="N578" s="2" t="s">
        <v>38</v>
      </c>
      <c r="O578" s="2" t="s">
        <v>38</v>
      </c>
      <c r="P578" s="2" t="s">
        <v>39</v>
      </c>
      <c r="Q578" s="2" t="s">
        <v>39</v>
      </c>
      <c r="R578" s="2" t="s">
        <v>38</v>
      </c>
      <c r="S578" s="2" t="s">
        <v>39</v>
      </c>
      <c r="T578" s="2" t="s">
        <v>38</v>
      </c>
      <c r="U578" s="2" t="s">
        <v>39</v>
      </c>
      <c r="V578" s="2" t="s">
        <v>38</v>
      </c>
      <c r="W578" s="2" t="s">
        <v>38</v>
      </c>
      <c r="X578" s="2" t="s">
        <v>39</v>
      </c>
      <c r="Y578" s="2" t="s">
        <v>38</v>
      </c>
      <c r="Z578" s="2" t="s">
        <v>38</v>
      </c>
      <c r="AA578" s="2" t="s">
        <v>39</v>
      </c>
      <c r="AB578" s="2" t="s">
        <v>39</v>
      </c>
      <c r="AC578" s="2" t="s">
        <v>38</v>
      </c>
      <c r="AD578" s="2" t="s">
        <v>39</v>
      </c>
      <c r="AE578" s="2" t="s">
        <v>39</v>
      </c>
    </row>
    <row r="579" spans="1:31" ht="409.5">
      <c r="A579" s="2">
        <v>2758466</v>
      </c>
      <c r="B579" s="2">
        <f>HYPERLINK("https://platform.v2.vetology.net/cases/2758466/screening-report/1?type=pdf&amp;v=v6&amp;scorecard=1&amp;secret_key=BX%25IJ%24%2F65ieZ%29f6", 2758466)</f>
        <v>2758466</v>
      </c>
      <c r="C579" s="2">
        <f>HYPERLINK("https://platform.v2.vetology.net/report/v/final/"&amp;2758466, 2758466)</f>
        <v>2758466</v>
      </c>
      <c r="D579" s="2" t="s">
        <v>2001</v>
      </c>
      <c r="E579" s="2" t="s">
        <v>2002</v>
      </c>
      <c r="F579" s="2" t="s">
        <v>43</v>
      </c>
      <c r="G579" s="2" t="s">
        <v>507</v>
      </c>
      <c r="H579" s="2" t="s">
        <v>2003</v>
      </c>
      <c r="I579" s="2" t="s">
        <v>46</v>
      </c>
      <c r="J579" s="2"/>
      <c r="K579" s="2" t="s">
        <v>39</v>
      </c>
      <c r="L579" s="2" t="s">
        <v>38</v>
      </c>
      <c r="M579" s="2" t="s">
        <v>39</v>
      </c>
      <c r="N579" s="2" t="s">
        <v>39</v>
      </c>
      <c r="O579" s="2" t="s">
        <v>38</v>
      </c>
      <c r="P579" s="2" t="s">
        <v>39</v>
      </c>
      <c r="Q579" s="2" t="s">
        <v>39</v>
      </c>
      <c r="R579" s="2" t="s">
        <v>38</v>
      </c>
      <c r="S579" s="2" t="s">
        <v>39</v>
      </c>
      <c r="T579" s="2" t="s">
        <v>39</v>
      </c>
      <c r="U579" s="2" t="s">
        <v>39</v>
      </c>
      <c r="V579" s="2" t="s">
        <v>38</v>
      </c>
      <c r="W579" s="2" t="s">
        <v>38</v>
      </c>
      <c r="X579" s="2" t="s">
        <v>39</v>
      </c>
      <c r="Y579" s="2" t="s">
        <v>39</v>
      </c>
      <c r="Z579" s="2" t="s">
        <v>38</v>
      </c>
      <c r="AA579" s="2" t="s">
        <v>39</v>
      </c>
      <c r="AB579" s="2" t="s">
        <v>39</v>
      </c>
      <c r="AC579" s="2" t="s">
        <v>38</v>
      </c>
      <c r="AD579" s="2" t="s">
        <v>38</v>
      </c>
      <c r="AE579" s="2" t="s">
        <v>40</v>
      </c>
    </row>
    <row r="580" spans="1:31" ht="409.5">
      <c r="A580" s="2">
        <v>2758433</v>
      </c>
      <c r="B580" s="2">
        <f>HYPERLINK("https://platform.v2.vetology.net/cases/2758433/screening-report/1?type=pdf&amp;v=v6&amp;scorecard=1&amp;secret_key=BX%25IJ%24%2F65ieZ%29f6", 2758433)</f>
        <v>2758433</v>
      </c>
      <c r="C580" s="2">
        <f>HYPERLINK("https://platform.v2.vetology.net/report/v/final/"&amp;2758433, 2758433)</f>
        <v>2758433</v>
      </c>
      <c r="D580" s="2" t="s">
        <v>2004</v>
      </c>
      <c r="E580" s="2" t="s">
        <v>2005</v>
      </c>
      <c r="F580" s="2" t="s">
        <v>2006</v>
      </c>
      <c r="G580" s="2" t="s">
        <v>170</v>
      </c>
      <c r="H580" s="2" t="s">
        <v>69</v>
      </c>
      <c r="I580" s="2" t="s">
        <v>46</v>
      </c>
      <c r="J580" s="2"/>
      <c r="K580" s="2" t="s">
        <v>39</v>
      </c>
      <c r="L580" s="2" t="s">
        <v>39</v>
      </c>
      <c r="M580" s="2" t="s">
        <v>39</v>
      </c>
      <c r="N580" s="2" t="s">
        <v>39</v>
      </c>
      <c r="O580" s="2" t="s">
        <v>39</v>
      </c>
      <c r="P580" s="2" t="s">
        <v>39</v>
      </c>
      <c r="Q580" s="2" t="s">
        <v>39</v>
      </c>
      <c r="R580" s="2" t="s">
        <v>39</v>
      </c>
      <c r="S580" s="2" t="s">
        <v>39</v>
      </c>
      <c r="T580" s="2" t="s">
        <v>39</v>
      </c>
      <c r="U580" s="2" t="s">
        <v>39</v>
      </c>
      <c r="V580" s="2" t="s">
        <v>39</v>
      </c>
      <c r="W580" s="2" t="s">
        <v>39</v>
      </c>
      <c r="X580" s="2" t="s">
        <v>39</v>
      </c>
      <c r="Y580" s="2" t="s">
        <v>39</v>
      </c>
      <c r="Z580" s="2" t="s">
        <v>39</v>
      </c>
      <c r="AA580" s="2" t="s">
        <v>38</v>
      </c>
      <c r="AB580" s="2" t="s">
        <v>39</v>
      </c>
      <c r="AC580" s="2" t="s">
        <v>39</v>
      </c>
      <c r="AD580" s="2" t="s">
        <v>39</v>
      </c>
      <c r="AE580" s="2" t="s">
        <v>39</v>
      </c>
    </row>
    <row r="581" spans="1:31" ht="409.5">
      <c r="A581" s="2">
        <v>2758430</v>
      </c>
      <c r="B581" s="2">
        <f>HYPERLINK("https://platform.v2.vetology.net/cases/2758430/screening-report/1?type=pdf&amp;v=v6&amp;scorecard=1&amp;secret_key=BX%25IJ%24%2F65ieZ%29f6", 2758430)</f>
        <v>2758430</v>
      </c>
      <c r="C581" s="2">
        <f>HYPERLINK("https://platform.v2.vetology.net/report/v/final/"&amp;2758430, 2758430)</f>
        <v>2758430</v>
      </c>
      <c r="D581" s="2" t="s">
        <v>2007</v>
      </c>
      <c r="E581" s="2" t="s">
        <v>2008</v>
      </c>
      <c r="F581" s="2" t="s">
        <v>43</v>
      </c>
      <c r="G581" s="2" t="s">
        <v>44</v>
      </c>
      <c r="H581" s="2" t="s">
        <v>2009</v>
      </c>
      <c r="I581" s="2" t="s">
        <v>129</v>
      </c>
      <c r="J581" s="2" t="s">
        <v>74</v>
      </c>
      <c r="K581" s="2" t="s">
        <v>39</v>
      </c>
      <c r="L581" s="2" t="s">
        <v>38</v>
      </c>
      <c r="M581" s="2" t="s">
        <v>38</v>
      </c>
      <c r="N581" s="2" t="s">
        <v>38</v>
      </c>
      <c r="O581" s="2" t="s">
        <v>38</v>
      </c>
      <c r="P581" s="2" t="s">
        <v>38</v>
      </c>
      <c r="Q581" s="2" t="s">
        <v>38</v>
      </c>
      <c r="R581" s="2" t="s">
        <v>38</v>
      </c>
      <c r="S581" s="2" t="s">
        <v>38</v>
      </c>
      <c r="T581" s="2" t="s">
        <v>38</v>
      </c>
      <c r="U581" s="2" t="s">
        <v>39</v>
      </c>
      <c r="V581" s="2" t="s">
        <v>38</v>
      </c>
      <c r="W581" s="2" t="s">
        <v>38</v>
      </c>
      <c r="X581" s="2" t="s">
        <v>38</v>
      </c>
      <c r="Y581" s="2" t="s">
        <v>39</v>
      </c>
      <c r="Z581" s="2" t="s">
        <v>38</v>
      </c>
      <c r="AA581" s="2" t="s">
        <v>38</v>
      </c>
      <c r="AB581" s="2" t="s">
        <v>39</v>
      </c>
      <c r="AC581" s="2" t="s">
        <v>38</v>
      </c>
      <c r="AD581" s="2" t="s">
        <v>39</v>
      </c>
      <c r="AE581" s="2" t="s">
        <v>39</v>
      </c>
    </row>
    <row r="582" spans="1:31" ht="409.5">
      <c r="A582" s="2">
        <v>2758428</v>
      </c>
      <c r="B582" s="2">
        <f>HYPERLINK("https://platform.v2.vetology.net/cases/2758428/screening-report/1?type=pdf&amp;v=v6&amp;scorecard=1&amp;secret_key=BX%25IJ%24%2F65ieZ%29f6", 2758428)</f>
        <v>2758428</v>
      </c>
      <c r="C582" s="2">
        <f>HYPERLINK("https://platform.v2.vetology.net/report/v/final/"&amp;2758428, 2758428)</f>
        <v>2758428</v>
      </c>
      <c r="D582" s="2" t="s">
        <v>2010</v>
      </c>
      <c r="E582" s="2" t="s">
        <v>2011</v>
      </c>
      <c r="F582" s="2" t="s">
        <v>2012</v>
      </c>
      <c r="G582" s="2" t="s">
        <v>556</v>
      </c>
      <c r="H582" s="2" t="s">
        <v>2013</v>
      </c>
      <c r="I582" s="2" t="s">
        <v>129</v>
      </c>
      <c r="J582" s="2" t="s">
        <v>74</v>
      </c>
      <c r="K582" s="2" t="s">
        <v>39</v>
      </c>
      <c r="L582" s="2" t="s">
        <v>39</v>
      </c>
      <c r="M582" s="2" t="s">
        <v>38</v>
      </c>
      <c r="N582" s="2" t="s">
        <v>39</v>
      </c>
      <c r="O582" s="2" t="s">
        <v>39</v>
      </c>
      <c r="P582" s="2" t="s">
        <v>39</v>
      </c>
      <c r="Q582" s="2" t="s">
        <v>38</v>
      </c>
      <c r="R582" s="2" t="s">
        <v>39</v>
      </c>
      <c r="S582" s="2" t="s">
        <v>38</v>
      </c>
      <c r="T582" s="2" t="s">
        <v>38</v>
      </c>
      <c r="U582" s="2" t="s">
        <v>39</v>
      </c>
      <c r="V582" s="2" t="s">
        <v>39</v>
      </c>
      <c r="W582" s="2" t="s">
        <v>38</v>
      </c>
      <c r="X582" s="2" t="s">
        <v>38</v>
      </c>
      <c r="Y582" s="2" t="s">
        <v>39</v>
      </c>
      <c r="Z582" s="2" t="s">
        <v>39</v>
      </c>
      <c r="AA582" s="2" t="s">
        <v>38</v>
      </c>
      <c r="AB582" s="2" t="s">
        <v>38</v>
      </c>
      <c r="AC582" s="2" t="s">
        <v>38</v>
      </c>
      <c r="AD582" s="2" t="s">
        <v>39</v>
      </c>
      <c r="AE582" s="2" t="s">
        <v>39</v>
      </c>
    </row>
    <row r="583" spans="1:31" ht="409.5">
      <c r="A583" s="2">
        <v>2758417</v>
      </c>
      <c r="B583" s="2">
        <f>HYPERLINK("https://platform.v2.vetology.net/cases/2758417/screening-report/1?type=pdf&amp;v=v6&amp;scorecard=1&amp;secret_key=BX%25IJ%24%2F65ieZ%29f6", 2758417)</f>
        <v>2758417</v>
      </c>
      <c r="C583" s="2">
        <f>HYPERLINK("https://platform.v2.vetology.net/report/v/final/"&amp;2758417, 2758417)</f>
        <v>2758417</v>
      </c>
      <c r="D583" s="2" t="s">
        <v>2014</v>
      </c>
      <c r="E583" s="2" t="s">
        <v>2015</v>
      </c>
      <c r="F583" s="2" t="s">
        <v>43</v>
      </c>
      <c r="G583" s="2" t="s">
        <v>507</v>
      </c>
      <c r="H583" s="2" t="s">
        <v>2016</v>
      </c>
      <c r="I583" s="2" t="s">
        <v>36</v>
      </c>
      <c r="J583" s="2" t="s">
        <v>37</v>
      </c>
      <c r="K583" s="2" t="s">
        <v>39</v>
      </c>
      <c r="L583" s="2" t="s">
        <v>38</v>
      </c>
      <c r="M583" s="2" t="s">
        <v>38</v>
      </c>
      <c r="N583" s="2" t="s">
        <v>38</v>
      </c>
      <c r="O583" s="2" t="s">
        <v>38</v>
      </c>
      <c r="P583" s="2" t="s">
        <v>38</v>
      </c>
      <c r="Q583" s="2" t="s">
        <v>39</v>
      </c>
      <c r="R583" s="2" t="s">
        <v>38</v>
      </c>
      <c r="S583" s="2" t="s">
        <v>38</v>
      </c>
      <c r="T583" s="2" t="s">
        <v>38</v>
      </c>
      <c r="U583" s="2" t="s">
        <v>39</v>
      </c>
      <c r="V583" s="2" t="s">
        <v>38</v>
      </c>
      <c r="W583" s="2" t="s">
        <v>38</v>
      </c>
      <c r="X583" s="2" t="s">
        <v>38</v>
      </c>
      <c r="Y583" s="2" t="s">
        <v>38</v>
      </c>
      <c r="Z583" s="2" t="s">
        <v>38</v>
      </c>
      <c r="AA583" s="2" t="s">
        <v>38</v>
      </c>
      <c r="AB583" s="2" t="s">
        <v>38</v>
      </c>
      <c r="AC583" s="2" t="s">
        <v>38</v>
      </c>
      <c r="AD583" s="2" t="s">
        <v>38</v>
      </c>
      <c r="AE583" s="2" t="s">
        <v>40</v>
      </c>
    </row>
    <row r="584" spans="1:31" ht="409.5">
      <c r="A584" s="2">
        <v>2758416</v>
      </c>
      <c r="B584" s="2">
        <f>HYPERLINK("https://platform.v2.vetology.net/cases/2758416/screening-report/1?type=pdf&amp;v=v6&amp;scorecard=1&amp;secret_key=BX%25IJ%24%2F65ieZ%29f6", 2758416)</f>
        <v>2758416</v>
      </c>
      <c r="C584" s="2">
        <f>HYPERLINK("https://platform.v2.vetology.net/report/v/final/"&amp;2758416, 2758416)</f>
        <v>2758416</v>
      </c>
      <c r="D584" s="2" t="s">
        <v>2017</v>
      </c>
      <c r="E584" s="2" t="s">
        <v>2018</v>
      </c>
      <c r="F584" s="2" t="s">
        <v>43</v>
      </c>
      <c r="G584" s="2" t="s">
        <v>44</v>
      </c>
      <c r="H584" s="2" t="s">
        <v>69</v>
      </c>
      <c r="I584" s="2" t="s">
        <v>46</v>
      </c>
      <c r="J584" s="2"/>
      <c r="K584" s="2" t="s">
        <v>39</v>
      </c>
      <c r="L584" s="2" t="s">
        <v>39</v>
      </c>
      <c r="M584" s="2" t="s">
        <v>39</v>
      </c>
      <c r="N584" s="2" t="s">
        <v>39</v>
      </c>
      <c r="O584" s="2" t="s">
        <v>39</v>
      </c>
      <c r="P584" s="2" t="s">
        <v>39</v>
      </c>
      <c r="Q584" s="2" t="s">
        <v>39</v>
      </c>
      <c r="R584" s="2" t="s">
        <v>39</v>
      </c>
      <c r="S584" s="2" t="s">
        <v>39</v>
      </c>
      <c r="T584" s="2" t="s">
        <v>39</v>
      </c>
      <c r="U584" s="2" t="s">
        <v>39</v>
      </c>
      <c r="V584" s="2" t="s">
        <v>39</v>
      </c>
      <c r="W584" s="2" t="s">
        <v>39</v>
      </c>
      <c r="X584" s="2" t="s">
        <v>39</v>
      </c>
      <c r="Y584" s="2" t="s">
        <v>39</v>
      </c>
      <c r="Z584" s="2" t="s">
        <v>39</v>
      </c>
      <c r="AA584" s="2" t="s">
        <v>39</v>
      </c>
      <c r="AB584" s="2" t="s">
        <v>39</v>
      </c>
      <c r="AC584" s="2" t="s">
        <v>39</v>
      </c>
      <c r="AD584" s="2" t="s">
        <v>38</v>
      </c>
      <c r="AE584" s="2" t="s">
        <v>39</v>
      </c>
    </row>
    <row r="585" spans="1:31" ht="409.5">
      <c r="A585" s="2">
        <v>2758413</v>
      </c>
      <c r="B585" s="2">
        <f>HYPERLINK("https://platform.v2.vetology.net/cases/2758413/screening-report/1?type=pdf&amp;v=v6&amp;scorecard=1&amp;secret_key=BX%25IJ%24%2F65ieZ%29f6", 2758413)</f>
        <v>2758413</v>
      </c>
      <c r="C585" s="2">
        <f>HYPERLINK("https://platform.v2.vetology.net/report/v/final/"&amp;2758413, 2758413)</f>
        <v>2758413</v>
      </c>
      <c r="D585" s="2" t="s">
        <v>2019</v>
      </c>
      <c r="E585" s="2" t="s">
        <v>2020</v>
      </c>
      <c r="F585" s="2"/>
      <c r="G585" s="2" t="s">
        <v>81</v>
      </c>
      <c r="H585" s="2" t="s">
        <v>45</v>
      </c>
      <c r="I585" s="2" t="s">
        <v>46</v>
      </c>
      <c r="J585" s="2"/>
      <c r="K585" s="2" t="s">
        <v>39</v>
      </c>
      <c r="L585" s="2" t="s">
        <v>39</v>
      </c>
      <c r="M585" s="2" t="s">
        <v>39</v>
      </c>
      <c r="N585" s="2" t="s">
        <v>39</v>
      </c>
      <c r="O585" s="2" t="s">
        <v>39</v>
      </c>
      <c r="P585" s="2" t="s">
        <v>39</v>
      </c>
      <c r="Q585" s="2" t="s">
        <v>39</v>
      </c>
      <c r="R585" s="2" t="s">
        <v>38</v>
      </c>
      <c r="S585" s="2" t="s">
        <v>39</v>
      </c>
      <c r="T585" s="2" t="s">
        <v>39</v>
      </c>
      <c r="U585" s="2" t="s">
        <v>39</v>
      </c>
      <c r="V585" s="2" t="s">
        <v>39</v>
      </c>
      <c r="W585" s="2" t="s">
        <v>39</v>
      </c>
      <c r="X585" s="2" t="s">
        <v>39</v>
      </c>
      <c r="Y585" s="2" t="s">
        <v>39</v>
      </c>
      <c r="Z585" s="2" t="s">
        <v>39</v>
      </c>
      <c r="AA585" s="2" t="s">
        <v>39</v>
      </c>
      <c r="AB585" s="2" t="s">
        <v>39</v>
      </c>
      <c r="AC585" s="2" t="s">
        <v>39</v>
      </c>
      <c r="AD585" s="2" t="s">
        <v>39</v>
      </c>
      <c r="AE585" s="2" t="s">
        <v>39</v>
      </c>
    </row>
    <row r="586" spans="1:31" ht="409.5">
      <c r="A586" s="2">
        <v>2758412</v>
      </c>
      <c r="B586" s="2">
        <f>HYPERLINK("https://platform.v2.vetology.net/cases/2758412/screening-report/1?type=pdf&amp;v=v6&amp;scorecard=1&amp;secret_key=BX%25IJ%24%2F65ieZ%29f6", 2758412)</f>
        <v>2758412</v>
      </c>
      <c r="C586" s="2">
        <f>HYPERLINK("https://platform.v2.vetology.net/report/v/final/"&amp;2758412, 2758412)</f>
        <v>2758412</v>
      </c>
      <c r="D586" s="2" t="s">
        <v>2021</v>
      </c>
      <c r="E586" s="2" t="s">
        <v>2022</v>
      </c>
      <c r="F586" s="2" t="s">
        <v>422</v>
      </c>
      <c r="G586" s="2" t="s">
        <v>34</v>
      </c>
      <c r="H586" s="2" t="s">
        <v>2023</v>
      </c>
      <c r="I586" s="2" t="s">
        <v>73</v>
      </c>
      <c r="J586" s="2" t="s">
        <v>74</v>
      </c>
      <c r="K586" s="2" t="s">
        <v>38</v>
      </c>
      <c r="L586" s="2" t="s">
        <v>38</v>
      </c>
      <c r="M586" s="2" t="s">
        <v>38</v>
      </c>
      <c r="N586" s="2" t="s">
        <v>38</v>
      </c>
      <c r="O586" s="2" t="s">
        <v>38</v>
      </c>
      <c r="P586" s="2" t="s">
        <v>38</v>
      </c>
      <c r="Q586" s="2" t="s">
        <v>38</v>
      </c>
      <c r="R586" s="2" t="s">
        <v>38</v>
      </c>
      <c r="S586" s="2" t="s">
        <v>38</v>
      </c>
      <c r="T586" s="2" t="s">
        <v>38</v>
      </c>
      <c r="U586" s="2" t="s">
        <v>38</v>
      </c>
      <c r="V586" s="2" t="s">
        <v>38</v>
      </c>
      <c r="W586" s="2" t="s">
        <v>38</v>
      </c>
      <c r="X586" s="2" t="s">
        <v>38</v>
      </c>
      <c r="Y586" s="2" t="s">
        <v>39</v>
      </c>
      <c r="Z586" s="2" t="s">
        <v>38</v>
      </c>
      <c r="AA586" s="2" t="s">
        <v>38</v>
      </c>
      <c r="AB586" s="2" t="s">
        <v>38</v>
      </c>
      <c r="AC586" s="2" t="s">
        <v>38</v>
      </c>
      <c r="AD586" s="2" t="s">
        <v>38</v>
      </c>
      <c r="AE586" s="2" t="s">
        <v>39</v>
      </c>
    </row>
    <row r="587" spans="1:31" ht="409.5">
      <c r="A587" s="2">
        <v>2758384</v>
      </c>
      <c r="B587" s="2">
        <f>HYPERLINK("https://platform.v2.vetology.net/cases/2758384/screening-report/1?type=pdf&amp;v=v6&amp;scorecard=1&amp;secret_key=BX%25IJ%24%2F65ieZ%29f6", 2758384)</f>
        <v>2758384</v>
      </c>
      <c r="C587" s="2">
        <f>HYPERLINK("https://platform.v2.vetology.net/report/v/final/"&amp;2758384, 2758384)</f>
        <v>2758384</v>
      </c>
      <c r="D587" s="2" t="s">
        <v>1090</v>
      </c>
      <c r="E587" s="2" t="s">
        <v>1091</v>
      </c>
      <c r="F587" s="2" t="s">
        <v>787</v>
      </c>
      <c r="G587" s="2" t="s">
        <v>100</v>
      </c>
      <c r="H587" s="2" t="s">
        <v>2024</v>
      </c>
      <c r="I587" s="2" t="s">
        <v>36</v>
      </c>
      <c r="J587" s="2" t="s">
        <v>37</v>
      </c>
      <c r="K587" s="2" t="s">
        <v>38</v>
      </c>
      <c r="L587" s="2" t="s">
        <v>39</v>
      </c>
      <c r="M587" s="2" t="s">
        <v>38</v>
      </c>
      <c r="N587" s="2" t="s">
        <v>38</v>
      </c>
      <c r="O587" s="2" t="s">
        <v>38</v>
      </c>
      <c r="P587" s="2" t="s">
        <v>39</v>
      </c>
      <c r="Q587" s="2" t="s">
        <v>39</v>
      </c>
      <c r="R587" s="2" t="s">
        <v>38</v>
      </c>
      <c r="S587" s="2" t="s">
        <v>39</v>
      </c>
      <c r="T587" s="2" t="s">
        <v>39</v>
      </c>
      <c r="U587" s="2" t="s">
        <v>38</v>
      </c>
      <c r="V587" s="2" t="s">
        <v>38</v>
      </c>
      <c r="W587" s="2" t="s">
        <v>39</v>
      </c>
      <c r="X587" s="2" t="s">
        <v>39</v>
      </c>
      <c r="Y587" s="2" t="s">
        <v>39</v>
      </c>
      <c r="Z587" s="2" t="s">
        <v>38</v>
      </c>
      <c r="AA587" s="2" t="s">
        <v>38</v>
      </c>
      <c r="AB587" s="2" t="s">
        <v>39</v>
      </c>
      <c r="AC587" s="2" t="s">
        <v>38</v>
      </c>
      <c r="AD587" s="2" t="s">
        <v>39</v>
      </c>
      <c r="AE587" s="2" t="s">
        <v>39</v>
      </c>
    </row>
    <row r="588" spans="1:31" ht="409.5">
      <c r="A588" s="2">
        <v>2758351</v>
      </c>
      <c r="B588" s="2">
        <f>HYPERLINK("https://platform.v2.vetology.net/cases/2758351/screening-report/1?type=pdf&amp;v=v6&amp;scorecard=1&amp;secret_key=BX%25IJ%24%2F65ieZ%29f6", 2758351)</f>
        <v>2758351</v>
      </c>
      <c r="C588" s="2">
        <f>HYPERLINK("https://platform.v2.vetology.net/report/v/final/"&amp;2758351, 2758351)</f>
        <v>2758351</v>
      </c>
      <c r="D588" s="2" t="s">
        <v>2025</v>
      </c>
      <c r="E588" s="2" t="s">
        <v>2026</v>
      </c>
      <c r="F588" s="2" t="s">
        <v>2027</v>
      </c>
      <c r="G588" s="2" t="s">
        <v>507</v>
      </c>
      <c r="H588" s="2" t="s">
        <v>2028</v>
      </c>
      <c r="I588" s="2" t="s">
        <v>36</v>
      </c>
      <c r="J588" s="2" t="s">
        <v>37</v>
      </c>
      <c r="K588" s="2" t="s">
        <v>38</v>
      </c>
      <c r="L588" s="2" t="s">
        <v>38</v>
      </c>
      <c r="M588" s="2" t="s">
        <v>38</v>
      </c>
      <c r="N588" s="2" t="s">
        <v>38</v>
      </c>
      <c r="O588" s="2" t="s">
        <v>38</v>
      </c>
      <c r="P588" s="2" t="s">
        <v>39</v>
      </c>
      <c r="Q588" s="2" t="s">
        <v>39</v>
      </c>
      <c r="R588" s="2" t="s">
        <v>38</v>
      </c>
      <c r="S588" s="2" t="s">
        <v>38</v>
      </c>
      <c r="T588" s="2" t="s">
        <v>39</v>
      </c>
      <c r="U588" s="2" t="s">
        <v>38</v>
      </c>
      <c r="V588" s="2" t="s">
        <v>38</v>
      </c>
      <c r="W588" s="2" t="s">
        <v>39</v>
      </c>
      <c r="X588" s="2" t="s">
        <v>38</v>
      </c>
      <c r="Y588" s="2" t="s">
        <v>39</v>
      </c>
      <c r="Z588" s="2" t="s">
        <v>38</v>
      </c>
      <c r="AA588" s="2" t="s">
        <v>38</v>
      </c>
      <c r="AB588" s="2" t="s">
        <v>39</v>
      </c>
      <c r="AC588" s="2" t="s">
        <v>38</v>
      </c>
      <c r="AD588" s="2" t="s">
        <v>39</v>
      </c>
      <c r="AE588" s="2" t="s">
        <v>39</v>
      </c>
    </row>
    <row r="589" spans="1:31" ht="409.5">
      <c r="A589" s="2">
        <v>2758339</v>
      </c>
      <c r="B589" s="2">
        <f>HYPERLINK("https://platform.v2.vetology.net/cases/2758339/screening-report/1?type=pdf&amp;v=v6&amp;scorecard=1&amp;secret_key=BX%25IJ%24%2F65ieZ%29f6", 2758339)</f>
        <v>2758339</v>
      </c>
      <c r="C589" s="2">
        <f>HYPERLINK("https://platform.v2.vetology.net/report/v/final/"&amp;2758339, 2758339)</f>
        <v>2758339</v>
      </c>
      <c r="D589" s="2" t="s">
        <v>2029</v>
      </c>
      <c r="E589" s="2" t="s">
        <v>2030</v>
      </c>
      <c r="F589" s="2" t="s">
        <v>174</v>
      </c>
      <c r="G589" s="2" t="s">
        <v>170</v>
      </c>
      <c r="H589" s="2" t="s">
        <v>2031</v>
      </c>
      <c r="I589" s="2" t="s">
        <v>73</v>
      </c>
      <c r="J589" s="2" t="s">
        <v>74</v>
      </c>
      <c r="K589" s="2" t="s">
        <v>38</v>
      </c>
      <c r="L589" s="2" t="s">
        <v>39</v>
      </c>
      <c r="M589" s="2" t="s">
        <v>39</v>
      </c>
      <c r="N589" s="2" t="s">
        <v>38</v>
      </c>
      <c r="O589" s="2" t="s">
        <v>39</v>
      </c>
      <c r="P589" s="2" t="s">
        <v>39</v>
      </c>
      <c r="Q589" s="2" t="s">
        <v>38</v>
      </c>
      <c r="R589" s="2" t="s">
        <v>39</v>
      </c>
      <c r="S589" s="2" t="s">
        <v>39</v>
      </c>
      <c r="T589" s="2" t="s">
        <v>38</v>
      </c>
      <c r="U589" s="2" t="s">
        <v>38</v>
      </c>
      <c r="V589" s="2" t="s">
        <v>38</v>
      </c>
      <c r="W589" s="2" t="s">
        <v>39</v>
      </c>
      <c r="X589" s="2" t="s">
        <v>39</v>
      </c>
      <c r="Y589" s="2" t="s">
        <v>39</v>
      </c>
      <c r="Z589" s="2" t="s">
        <v>39</v>
      </c>
      <c r="AA589" s="2" t="s">
        <v>39</v>
      </c>
      <c r="AB589" s="2" t="s">
        <v>38</v>
      </c>
      <c r="AC589" s="2" t="s">
        <v>39</v>
      </c>
      <c r="AD589" s="2" t="s">
        <v>39</v>
      </c>
      <c r="AE589" s="2" t="s">
        <v>40</v>
      </c>
    </row>
    <row r="590" spans="1:31" ht="409.5">
      <c r="A590" s="2">
        <v>2758328</v>
      </c>
      <c r="B590" s="2">
        <f>HYPERLINK("https://platform.v2.vetology.net/cases/2758328/screening-report/1?type=pdf&amp;v=v6&amp;scorecard=1&amp;secret_key=BX%25IJ%24%2F65ieZ%29f6", 2758328)</f>
        <v>2758328</v>
      </c>
      <c r="C590" s="2">
        <f>HYPERLINK("https://platform.v2.vetology.net/report/v/final/"&amp;2758328, 2758328)</f>
        <v>2758328</v>
      </c>
      <c r="D590" s="2" t="s">
        <v>2032</v>
      </c>
      <c r="E590" s="2" t="s">
        <v>2033</v>
      </c>
      <c r="F590" s="2" t="s">
        <v>43</v>
      </c>
      <c r="G590" s="2" t="s">
        <v>507</v>
      </c>
      <c r="H590" s="2" t="s">
        <v>2034</v>
      </c>
      <c r="I590" s="2" t="s">
        <v>36</v>
      </c>
      <c r="J590" s="2" t="s">
        <v>37</v>
      </c>
      <c r="K590" s="2" t="s">
        <v>38</v>
      </c>
      <c r="L590" s="2" t="s">
        <v>38</v>
      </c>
      <c r="M590" s="2" t="s">
        <v>39</v>
      </c>
      <c r="N590" s="2" t="s">
        <v>38</v>
      </c>
      <c r="O590" s="2" t="s">
        <v>38</v>
      </c>
      <c r="P590" s="2" t="s">
        <v>39</v>
      </c>
      <c r="Q590" s="2" t="s">
        <v>39</v>
      </c>
      <c r="R590" s="2" t="s">
        <v>39</v>
      </c>
      <c r="S590" s="2" t="s">
        <v>39</v>
      </c>
      <c r="T590" s="2" t="s">
        <v>39</v>
      </c>
      <c r="U590" s="2" t="s">
        <v>38</v>
      </c>
      <c r="V590" s="2" t="s">
        <v>38</v>
      </c>
      <c r="W590" s="2" t="s">
        <v>38</v>
      </c>
      <c r="X590" s="2" t="s">
        <v>39</v>
      </c>
      <c r="Y590" s="2" t="s">
        <v>39</v>
      </c>
      <c r="Z590" s="2" t="s">
        <v>39</v>
      </c>
      <c r="AA590" s="2" t="s">
        <v>39</v>
      </c>
      <c r="AB590" s="2" t="s">
        <v>39</v>
      </c>
      <c r="AC590" s="2" t="s">
        <v>38</v>
      </c>
      <c r="AD590" s="2" t="s">
        <v>39</v>
      </c>
      <c r="AE590" s="2" t="s">
        <v>40</v>
      </c>
    </row>
    <row r="591" spans="1:31" ht="409.5">
      <c r="A591" s="2">
        <v>2758285</v>
      </c>
      <c r="B591" s="2">
        <f>HYPERLINK("https://platform.v2.vetology.net/cases/2758285/screening-report/1?type=pdf&amp;v=v6&amp;scorecard=1&amp;secret_key=BX%25IJ%24%2F65ieZ%29f6", 2758285)</f>
        <v>2758285</v>
      </c>
      <c r="C591" s="2">
        <f>HYPERLINK("https://platform.v2.vetology.net/report/v/final/"&amp;2758285, 2758285)</f>
        <v>2758285</v>
      </c>
      <c r="D591" s="2" t="s">
        <v>2035</v>
      </c>
      <c r="E591" s="2" t="s">
        <v>2036</v>
      </c>
      <c r="F591" s="2" t="s">
        <v>2037</v>
      </c>
      <c r="G591" s="2" t="s">
        <v>34</v>
      </c>
      <c r="H591" s="2" t="s">
        <v>2038</v>
      </c>
      <c r="I591" s="2" t="s">
        <v>36</v>
      </c>
      <c r="J591" s="2" t="s">
        <v>37</v>
      </c>
      <c r="K591" s="2" t="s">
        <v>38</v>
      </c>
      <c r="L591" s="2" t="s">
        <v>38</v>
      </c>
      <c r="M591" s="2" t="s">
        <v>38</v>
      </c>
      <c r="N591" s="2" t="s">
        <v>38</v>
      </c>
      <c r="O591" s="2" t="s">
        <v>38</v>
      </c>
      <c r="P591" s="2" t="s">
        <v>39</v>
      </c>
      <c r="Q591" s="2" t="s">
        <v>39</v>
      </c>
      <c r="R591" s="2" t="s">
        <v>38</v>
      </c>
      <c r="S591" s="2" t="s">
        <v>38</v>
      </c>
      <c r="T591" s="2" t="s">
        <v>38</v>
      </c>
      <c r="U591" s="2" t="s">
        <v>38</v>
      </c>
      <c r="V591" s="2" t="s">
        <v>38</v>
      </c>
      <c r="W591" s="2" t="s">
        <v>38</v>
      </c>
      <c r="X591" s="2" t="s">
        <v>39</v>
      </c>
      <c r="Y591" s="2" t="s">
        <v>39</v>
      </c>
      <c r="Z591" s="2" t="s">
        <v>38</v>
      </c>
      <c r="AA591" s="2" t="s">
        <v>38</v>
      </c>
      <c r="AB591" s="2" t="s">
        <v>39</v>
      </c>
      <c r="AC591" s="2" t="s">
        <v>38</v>
      </c>
      <c r="AD591" s="2" t="s">
        <v>38</v>
      </c>
      <c r="AE591" s="2" t="s">
        <v>39</v>
      </c>
    </row>
    <row r="592" spans="1:31" ht="409.5">
      <c r="A592" s="2">
        <v>2758275</v>
      </c>
      <c r="B592" s="2">
        <f>HYPERLINK("https://platform.v2.vetology.net/cases/2758275/screening-report/1?type=pdf&amp;v=v6&amp;scorecard=1&amp;secret_key=BX%25IJ%24%2F65ieZ%29f6", 2758275)</f>
        <v>2758275</v>
      </c>
      <c r="C592" s="2">
        <f>HYPERLINK("https://platform.v2.vetology.net/report/v/final/"&amp;2758275, 2758275)</f>
        <v>2758275</v>
      </c>
      <c r="D592" s="2" t="s">
        <v>2039</v>
      </c>
      <c r="E592" s="2" t="s">
        <v>2040</v>
      </c>
      <c r="F592" s="2" t="s">
        <v>2041</v>
      </c>
      <c r="G592" s="2" t="s">
        <v>34</v>
      </c>
      <c r="H592" s="2" t="s">
        <v>2042</v>
      </c>
      <c r="I592" s="2" t="s">
        <v>73</v>
      </c>
      <c r="J592" s="2" t="s">
        <v>74</v>
      </c>
      <c r="K592" s="2" t="s">
        <v>38</v>
      </c>
      <c r="L592" s="2" t="s">
        <v>39</v>
      </c>
      <c r="M592" s="2" t="s">
        <v>38</v>
      </c>
      <c r="N592" s="2" t="s">
        <v>39</v>
      </c>
      <c r="O592" s="2" t="s">
        <v>38</v>
      </c>
      <c r="P592" s="2" t="s">
        <v>39</v>
      </c>
      <c r="Q592" s="2" t="s">
        <v>38</v>
      </c>
      <c r="R592" s="2" t="s">
        <v>39</v>
      </c>
      <c r="S592" s="2" t="s">
        <v>38</v>
      </c>
      <c r="T592" s="2" t="s">
        <v>38</v>
      </c>
      <c r="U592" s="2" t="s">
        <v>38</v>
      </c>
      <c r="V592" s="2" t="s">
        <v>38</v>
      </c>
      <c r="W592" s="2" t="s">
        <v>38</v>
      </c>
      <c r="X592" s="2" t="s">
        <v>39</v>
      </c>
      <c r="Y592" s="2" t="s">
        <v>39</v>
      </c>
      <c r="Z592" s="2" t="s">
        <v>38</v>
      </c>
      <c r="AA592" s="2" t="s">
        <v>38</v>
      </c>
      <c r="AB592" s="2" t="s">
        <v>39</v>
      </c>
      <c r="AC592" s="2" t="s">
        <v>38</v>
      </c>
      <c r="AD592" s="2" t="s">
        <v>38</v>
      </c>
      <c r="AE592" s="2" t="s">
        <v>40</v>
      </c>
    </row>
    <row r="593" spans="1:31" ht="409.5">
      <c r="A593" s="2">
        <v>2758249</v>
      </c>
      <c r="B593" s="2">
        <f>HYPERLINK("https://platform.v2.vetology.net/cases/2758249/screening-report/1?type=pdf&amp;v=v6&amp;scorecard=1&amp;secret_key=BX%25IJ%24%2F65ieZ%29f6", 2758249)</f>
        <v>2758249</v>
      </c>
      <c r="C593" s="2">
        <f>HYPERLINK("https://platform.v2.vetology.net/report/v/final/"&amp;2758249, 2758249)</f>
        <v>2758249</v>
      </c>
      <c r="D593" s="2" t="s">
        <v>2043</v>
      </c>
      <c r="E593" s="2" t="s">
        <v>2044</v>
      </c>
      <c r="F593" s="2" t="s">
        <v>2045</v>
      </c>
      <c r="G593" s="2" t="s">
        <v>44</v>
      </c>
      <c r="H593" s="2" t="s">
        <v>69</v>
      </c>
      <c r="I593" s="2" t="s">
        <v>46</v>
      </c>
      <c r="J593" s="2"/>
      <c r="K593" s="2" t="s">
        <v>39</v>
      </c>
      <c r="L593" s="2" t="s">
        <v>39</v>
      </c>
      <c r="M593" s="2" t="s">
        <v>39</v>
      </c>
      <c r="N593" s="2" t="s">
        <v>39</v>
      </c>
      <c r="O593" s="2" t="s">
        <v>39</v>
      </c>
      <c r="P593" s="2" t="s">
        <v>39</v>
      </c>
      <c r="Q593" s="2" t="s">
        <v>39</v>
      </c>
      <c r="R593" s="2" t="s">
        <v>39</v>
      </c>
      <c r="S593" s="2" t="s">
        <v>39</v>
      </c>
      <c r="T593" s="2" t="s">
        <v>39</v>
      </c>
      <c r="U593" s="2" t="s">
        <v>39</v>
      </c>
      <c r="V593" s="2" t="s">
        <v>39</v>
      </c>
      <c r="W593" s="2" t="s">
        <v>38</v>
      </c>
      <c r="X593" s="2" t="s">
        <v>39</v>
      </c>
      <c r="Y593" s="2" t="s">
        <v>39</v>
      </c>
      <c r="Z593" s="2" t="s">
        <v>38</v>
      </c>
      <c r="AA593" s="2" t="s">
        <v>39</v>
      </c>
      <c r="AB593" s="2" t="s">
        <v>39</v>
      </c>
      <c r="AC593" s="2" t="s">
        <v>38</v>
      </c>
      <c r="AD593" s="2" t="s">
        <v>39</v>
      </c>
      <c r="AE593" s="2" t="s">
        <v>40</v>
      </c>
    </row>
    <row r="594" spans="1:31" ht="409.5">
      <c r="A594" s="2">
        <v>2758196</v>
      </c>
      <c r="B594" s="2">
        <f>HYPERLINK("https://platform.v2.vetology.net/cases/2758196/screening-report/1?type=pdf&amp;v=v6&amp;scorecard=1&amp;secret_key=BX%25IJ%24%2F65ieZ%29f6", 2758196)</f>
        <v>2758196</v>
      </c>
      <c r="C594" s="2">
        <f>HYPERLINK("https://platform.v2.vetology.net/report/v/final/"&amp;2758196, 2758196)</f>
        <v>2758196</v>
      </c>
      <c r="D594" s="2" t="s">
        <v>2046</v>
      </c>
      <c r="E594" s="2" t="s">
        <v>2047</v>
      </c>
      <c r="F594" s="2" t="s">
        <v>2048</v>
      </c>
      <c r="G594" s="2" t="s">
        <v>44</v>
      </c>
      <c r="H594" s="2" t="s">
        <v>2049</v>
      </c>
      <c r="I594" s="2" t="s">
        <v>36</v>
      </c>
      <c r="J594" s="2" t="s">
        <v>37</v>
      </c>
      <c r="K594" s="2" t="s">
        <v>38</v>
      </c>
      <c r="L594" s="2" t="s">
        <v>39</v>
      </c>
      <c r="M594" s="2" t="s">
        <v>38</v>
      </c>
      <c r="N594" s="2" t="s">
        <v>39</v>
      </c>
      <c r="O594" s="2" t="s">
        <v>39</v>
      </c>
      <c r="P594" s="2" t="s">
        <v>39</v>
      </c>
      <c r="Q594" s="2" t="s">
        <v>39</v>
      </c>
      <c r="R594" s="2" t="s">
        <v>38</v>
      </c>
      <c r="S594" s="2" t="s">
        <v>39</v>
      </c>
      <c r="T594" s="2" t="s">
        <v>39</v>
      </c>
      <c r="U594" s="2" t="s">
        <v>38</v>
      </c>
      <c r="V594" s="2" t="s">
        <v>38</v>
      </c>
      <c r="W594" s="2" t="s">
        <v>39</v>
      </c>
      <c r="X594" s="2" t="s">
        <v>39</v>
      </c>
      <c r="Y594" s="2" t="s">
        <v>39</v>
      </c>
      <c r="Z594" s="2" t="s">
        <v>38</v>
      </c>
      <c r="AA594" s="2" t="s">
        <v>39</v>
      </c>
      <c r="AB594" s="2" t="s">
        <v>39</v>
      </c>
      <c r="AC594" s="2" t="s">
        <v>39</v>
      </c>
      <c r="AD594" s="2" t="s">
        <v>38</v>
      </c>
      <c r="AE594" s="2" t="s">
        <v>39</v>
      </c>
    </row>
    <row r="595" spans="1:31" ht="409.5">
      <c r="A595" s="2">
        <v>2758106</v>
      </c>
      <c r="B595" s="2">
        <f>HYPERLINK("https://platform.v2.vetology.net/cases/2758106/screening-report/1?type=pdf&amp;v=v6&amp;scorecard=1&amp;secret_key=BX%25IJ%24%2F65ieZ%29f6", 2758106)</f>
        <v>2758106</v>
      </c>
      <c r="C595" s="2">
        <f>HYPERLINK("https://platform.v2.vetology.net/report/v/final/"&amp;2758106, 2758106)</f>
        <v>2758106</v>
      </c>
      <c r="D595" s="2" t="s">
        <v>2050</v>
      </c>
      <c r="E595" s="2" t="s">
        <v>2051</v>
      </c>
      <c r="F595" s="2" t="s">
        <v>2052</v>
      </c>
      <c r="G595" s="2" t="s">
        <v>170</v>
      </c>
      <c r="H595" s="2" t="s">
        <v>1218</v>
      </c>
      <c r="I595" s="2" t="s">
        <v>36</v>
      </c>
      <c r="J595" s="2" t="s">
        <v>37</v>
      </c>
      <c r="K595" s="2" t="s">
        <v>38</v>
      </c>
      <c r="L595" s="2" t="s">
        <v>38</v>
      </c>
      <c r="M595" s="2" t="s">
        <v>38</v>
      </c>
      <c r="N595" s="2" t="s">
        <v>38</v>
      </c>
      <c r="O595" s="2" t="s">
        <v>39</v>
      </c>
      <c r="P595" s="2" t="s">
        <v>39</v>
      </c>
      <c r="Q595" s="2" t="s">
        <v>39</v>
      </c>
      <c r="R595" s="2" t="s">
        <v>38</v>
      </c>
      <c r="S595" s="2" t="s">
        <v>38</v>
      </c>
      <c r="T595" s="2" t="s">
        <v>39</v>
      </c>
      <c r="U595" s="2" t="s">
        <v>38</v>
      </c>
      <c r="V595" s="2" t="s">
        <v>38</v>
      </c>
      <c r="W595" s="2" t="s">
        <v>39</v>
      </c>
      <c r="X595" s="2" t="s">
        <v>39</v>
      </c>
      <c r="Y595" s="2" t="s">
        <v>39</v>
      </c>
      <c r="Z595" s="2" t="s">
        <v>39</v>
      </c>
      <c r="AA595" s="2" t="s">
        <v>39</v>
      </c>
      <c r="AB595" s="2" t="s">
        <v>39</v>
      </c>
      <c r="AC595" s="2" t="s">
        <v>38</v>
      </c>
      <c r="AD595" s="2" t="s">
        <v>39</v>
      </c>
      <c r="AE595" s="2"/>
    </row>
    <row r="596" spans="1:31" ht="409.5">
      <c r="A596" s="2">
        <v>2758099</v>
      </c>
      <c r="B596" s="2">
        <f>HYPERLINK("https://platform.v2.vetology.net/cases/2758099/screening-report/1?type=pdf&amp;v=v6&amp;scorecard=1&amp;secret_key=BX%25IJ%24%2F65ieZ%29f6", 2758099)</f>
        <v>2758099</v>
      </c>
      <c r="C596" s="2">
        <f>HYPERLINK("https://platform.v2.vetology.net/report/v/final/"&amp;2758099, 2758099)</f>
        <v>2758099</v>
      </c>
      <c r="D596" s="2" t="s">
        <v>2053</v>
      </c>
      <c r="E596" s="2" t="s">
        <v>2054</v>
      </c>
      <c r="F596" s="2" t="s">
        <v>2055</v>
      </c>
      <c r="G596" s="2" t="s">
        <v>170</v>
      </c>
      <c r="H596" s="2" t="s">
        <v>394</v>
      </c>
      <c r="I596" s="2" t="s">
        <v>59</v>
      </c>
      <c r="J596" s="2" t="s">
        <v>37</v>
      </c>
      <c r="K596" s="2" t="s">
        <v>38</v>
      </c>
      <c r="L596" s="2" t="s">
        <v>39</v>
      </c>
      <c r="M596" s="2" t="s">
        <v>39</v>
      </c>
      <c r="N596" s="2" t="s">
        <v>39</v>
      </c>
      <c r="O596" s="2" t="s">
        <v>39</v>
      </c>
      <c r="P596" s="2" t="s">
        <v>39</v>
      </c>
      <c r="Q596" s="2" t="s">
        <v>39</v>
      </c>
      <c r="R596" s="2" t="s">
        <v>39</v>
      </c>
      <c r="S596" s="2" t="s">
        <v>39</v>
      </c>
      <c r="T596" s="2" t="s">
        <v>39</v>
      </c>
      <c r="U596" s="2" t="s">
        <v>38</v>
      </c>
      <c r="V596" s="2" t="s">
        <v>38</v>
      </c>
      <c r="W596" s="2" t="s">
        <v>39</v>
      </c>
      <c r="X596" s="2" t="s">
        <v>39</v>
      </c>
      <c r="Y596" s="2" t="s">
        <v>39</v>
      </c>
      <c r="Z596" s="2" t="s">
        <v>39</v>
      </c>
      <c r="AA596" s="2" t="s">
        <v>39</v>
      </c>
      <c r="AB596" s="2" t="s">
        <v>39</v>
      </c>
      <c r="AC596" s="2" t="s">
        <v>38</v>
      </c>
      <c r="AD596" s="2" t="s">
        <v>39</v>
      </c>
      <c r="AE596" s="2" t="s">
        <v>39</v>
      </c>
    </row>
    <row r="597" spans="1:31" ht="409.5">
      <c r="A597" s="2">
        <v>2758096</v>
      </c>
      <c r="B597" s="2">
        <f>HYPERLINK("https://platform.v2.vetology.net/cases/2758096/screening-report/1?type=pdf&amp;v=v6&amp;scorecard=1&amp;secret_key=BX%25IJ%24%2F65ieZ%29f6", 2758096)</f>
        <v>2758096</v>
      </c>
      <c r="C597" s="2">
        <f>HYPERLINK("https://platform.v2.vetology.net/report/v/final/"&amp;2758096, 2758096)</f>
        <v>2758096</v>
      </c>
      <c r="D597" s="2" t="s">
        <v>2056</v>
      </c>
      <c r="E597" s="2" t="s">
        <v>2057</v>
      </c>
      <c r="F597" s="2" t="s">
        <v>2058</v>
      </c>
      <c r="G597" s="2" t="s">
        <v>170</v>
      </c>
      <c r="H597" s="2" t="s">
        <v>2059</v>
      </c>
      <c r="I597" s="2" t="s">
        <v>36</v>
      </c>
      <c r="J597" s="2" t="s">
        <v>37</v>
      </c>
      <c r="K597" s="2" t="s">
        <v>38</v>
      </c>
      <c r="L597" s="2" t="s">
        <v>38</v>
      </c>
      <c r="M597" s="2" t="s">
        <v>39</v>
      </c>
      <c r="N597" s="2" t="s">
        <v>38</v>
      </c>
      <c r="O597" s="2" t="s">
        <v>38</v>
      </c>
      <c r="P597" s="2" t="s">
        <v>39</v>
      </c>
      <c r="Q597" s="2" t="s">
        <v>39</v>
      </c>
      <c r="R597" s="2" t="s">
        <v>38</v>
      </c>
      <c r="S597" s="2" t="s">
        <v>38</v>
      </c>
      <c r="T597" s="2" t="s">
        <v>39</v>
      </c>
      <c r="U597" s="2" t="s">
        <v>38</v>
      </c>
      <c r="V597" s="2" t="s">
        <v>38</v>
      </c>
      <c r="W597" s="2" t="s">
        <v>38</v>
      </c>
      <c r="X597" s="2" t="s">
        <v>39</v>
      </c>
      <c r="Y597" s="2" t="s">
        <v>39</v>
      </c>
      <c r="Z597" s="2" t="s">
        <v>38</v>
      </c>
      <c r="AA597" s="2" t="s">
        <v>38</v>
      </c>
      <c r="AB597" s="2" t="s">
        <v>39</v>
      </c>
      <c r="AC597" s="2" t="s">
        <v>38</v>
      </c>
      <c r="AD597" s="2" t="s">
        <v>38</v>
      </c>
      <c r="AE597" s="2" t="s">
        <v>39</v>
      </c>
    </row>
    <row r="598" spans="1:31" ht="409.5">
      <c r="A598" s="2">
        <v>2758092</v>
      </c>
      <c r="B598" s="2">
        <f>HYPERLINK("https://platform.v2.vetology.net/cases/2758092/screening-report/1?type=pdf&amp;v=v6&amp;scorecard=1&amp;secret_key=BX%25IJ%24%2F65ieZ%29f6", 2758092)</f>
        <v>2758092</v>
      </c>
      <c r="C598" s="2">
        <f>HYPERLINK("https://platform.v2.vetology.net/report/v/final/"&amp;2758092, 2758092)</f>
        <v>2758092</v>
      </c>
      <c r="D598" s="2" t="s">
        <v>2060</v>
      </c>
      <c r="E598" s="2" t="s">
        <v>2061</v>
      </c>
      <c r="F598" s="2" t="s">
        <v>2062</v>
      </c>
      <c r="G598" s="2" t="s">
        <v>53</v>
      </c>
      <c r="H598" s="2" t="s">
        <v>611</v>
      </c>
      <c r="I598" s="2" t="s">
        <v>46</v>
      </c>
      <c r="J598" s="2"/>
      <c r="K598" s="2" t="s">
        <v>39</v>
      </c>
      <c r="L598" s="2" t="s">
        <v>39</v>
      </c>
      <c r="M598" s="2" t="s">
        <v>39</v>
      </c>
      <c r="N598" s="2" t="s">
        <v>39</v>
      </c>
      <c r="O598" s="2" t="s">
        <v>39</v>
      </c>
      <c r="P598" s="2" t="s">
        <v>39</v>
      </c>
      <c r="Q598" s="2" t="s">
        <v>39</v>
      </c>
      <c r="R598" s="2" t="s">
        <v>39</v>
      </c>
      <c r="S598" s="2" t="s">
        <v>39</v>
      </c>
      <c r="T598" s="2" t="s">
        <v>39</v>
      </c>
      <c r="U598" s="2" t="s">
        <v>39</v>
      </c>
      <c r="V598" s="2" t="s">
        <v>39</v>
      </c>
      <c r="W598" s="2" t="s">
        <v>39</v>
      </c>
      <c r="X598" s="2" t="s">
        <v>39</v>
      </c>
      <c r="Y598" s="2" t="s">
        <v>39</v>
      </c>
      <c r="Z598" s="2" t="s">
        <v>39</v>
      </c>
      <c r="AA598" s="2" t="s">
        <v>39</v>
      </c>
      <c r="AB598" s="2" t="s">
        <v>39</v>
      </c>
      <c r="AC598" s="2" t="s">
        <v>38</v>
      </c>
      <c r="AD598" s="2" t="s">
        <v>39</v>
      </c>
      <c r="AE598" s="2" t="s">
        <v>40</v>
      </c>
    </row>
    <row r="599" spans="1:31" ht="409.5">
      <c r="A599" s="2">
        <v>2758090</v>
      </c>
      <c r="B599" s="2">
        <f>HYPERLINK("https://platform.v2.vetology.net/cases/2758090/screening-report/1?type=pdf&amp;v=v6&amp;scorecard=1&amp;secret_key=BX%25IJ%24%2F65ieZ%29f6", 2758090)</f>
        <v>2758090</v>
      </c>
      <c r="C599" s="2">
        <f>HYPERLINK("https://platform.v2.vetology.net/report/v/final/"&amp;2758090, 2758090)</f>
        <v>2758090</v>
      </c>
      <c r="D599" s="2" t="s">
        <v>2063</v>
      </c>
      <c r="E599" s="2" t="s">
        <v>2064</v>
      </c>
      <c r="F599" s="2" t="s">
        <v>2065</v>
      </c>
      <c r="G599" s="2" t="s">
        <v>34</v>
      </c>
      <c r="H599" s="2" t="s">
        <v>2066</v>
      </c>
      <c r="I599" s="2" t="s">
        <v>36</v>
      </c>
      <c r="J599" s="2" t="s">
        <v>37</v>
      </c>
      <c r="K599" s="2" t="s">
        <v>38</v>
      </c>
      <c r="L599" s="2" t="s">
        <v>39</v>
      </c>
      <c r="M599" s="2" t="s">
        <v>38</v>
      </c>
      <c r="N599" s="2" t="s">
        <v>38</v>
      </c>
      <c r="O599" s="2" t="s">
        <v>39</v>
      </c>
      <c r="P599" s="2" t="s">
        <v>39</v>
      </c>
      <c r="Q599" s="2" t="s">
        <v>39</v>
      </c>
      <c r="R599" s="2" t="s">
        <v>38</v>
      </c>
      <c r="S599" s="2" t="s">
        <v>38</v>
      </c>
      <c r="T599" s="2" t="s">
        <v>38</v>
      </c>
      <c r="U599" s="2" t="s">
        <v>38</v>
      </c>
      <c r="V599" s="2" t="s">
        <v>38</v>
      </c>
      <c r="W599" s="2" t="s">
        <v>38</v>
      </c>
      <c r="X599" s="2" t="s">
        <v>39</v>
      </c>
      <c r="Y599" s="2" t="s">
        <v>39</v>
      </c>
      <c r="Z599" s="2" t="s">
        <v>38</v>
      </c>
      <c r="AA599" s="2" t="s">
        <v>39</v>
      </c>
      <c r="AB599" s="2" t="s">
        <v>39</v>
      </c>
      <c r="AC599" s="2" t="s">
        <v>38</v>
      </c>
      <c r="AD599" s="2" t="s">
        <v>39</v>
      </c>
      <c r="AE599" s="2" t="s">
        <v>39</v>
      </c>
    </row>
    <row r="600" spans="1:31" ht="409.5">
      <c r="A600" s="2">
        <v>2758085</v>
      </c>
      <c r="B600" s="2">
        <f>HYPERLINK("https://platform.v2.vetology.net/cases/2758085/screening-report/1?type=pdf&amp;v=v6&amp;scorecard=1&amp;secret_key=BX%25IJ%24%2F65ieZ%29f6", 2758085)</f>
        <v>2758085</v>
      </c>
      <c r="C600" s="2">
        <f>HYPERLINK("https://platform.v2.vetology.net/report/v/final/"&amp;2758085, 2758085)</f>
        <v>2758085</v>
      </c>
      <c r="D600" s="2" t="s">
        <v>2067</v>
      </c>
      <c r="E600" s="2" t="s">
        <v>2068</v>
      </c>
      <c r="F600" s="2" t="s">
        <v>2069</v>
      </c>
      <c r="G600" s="2" t="s">
        <v>53</v>
      </c>
      <c r="H600" s="2" t="s">
        <v>530</v>
      </c>
      <c r="I600" s="2" t="s">
        <v>59</v>
      </c>
      <c r="J600" s="2" t="s">
        <v>37</v>
      </c>
      <c r="K600" s="2" t="s">
        <v>38</v>
      </c>
      <c r="L600" s="2" t="s">
        <v>39</v>
      </c>
      <c r="M600" s="2" t="s">
        <v>39</v>
      </c>
      <c r="N600" s="2" t="s">
        <v>39</v>
      </c>
      <c r="O600" s="2" t="s">
        <v>39</v>
      </c>
      <c r="P600" s="2" t="s">
        <v>39</v>
      </c>
      <c r="Q600" s="2" t="s">
        <v>39</v>
      </c>
      <c r="R600" s="2" t="s">
        <v>39</v>
      </c>
      <c r="S600" s="2" t="s">
        <v>39</v>
      </c>
      <c r="T600" s="2" t="s">
        <v>38</v>
      </c>
      <c r="U600" s="2" t="s">
        <v>38</v>
      </c>
      <c r="V600" s="2" t="s">
        <v>38</v>
      </c>
      <c r="W600" s="2" t="s">
        <v>39</v>
      </c>
      <c r="X600" s="2" t="s">
        <v>39</v>
      </c>
      <c r="Y600" s="2" t="s">
        <v>39</v>
      </c>
      <c r="Z600" s="2" t="s">
        <v>39</v>
      </c>
      <c r="AA600" s="2" t="s">
        <v>39</v>
      </c>
      <c r="AB600" s="2" t="s">
        <v>39</v>
      </c>
      <c r="AC600" s="2" t="s">
        <v>38</v>
      </c>
      <c r="AD600" s="2" t="s">
        <v>39</v>
      </c>
      <c r="AE600" s="2" t="s">
        <v>40</v>
      </c>
    </row>
    <row r="601" spans="1:31" ht="409.5">
      <c r="A601" s="2">
        <v>2758075</v>
      </c>
      <c r="B601" s="2">
        <f>HYPERLINK("https://platform.v2.vetology.net/cases/2758075/screening-report/1?type=pdf&amp;v=v6&amp;scorecard=1&amp;secret_key=BX%25IJ%24%2F65ieZ%29f6", 2758075)</f>
        <v>2758075</v>
      </c>
      <c r="C601" s="2">
        <f>HYPERLINK("https://platform.v2.vetology.net/report/v/final/"&amp;2758075, 2758075)</f>
        <v>2758075</v>
      </c>
      <c r="D601" s="2" t="s">
        <v>2070</v>
      </c>
      <c r="E601" s="2" t="s">
        <v>2071</v>
      </c>
      <c r="F601" s="2" t="s">
        <v>2072</v>
      </c>
      <c r="G601" s="2" t="s">
        <v>170</v>
      </c>
      <c r="H601" s="2" t="s">
        <v>69</v>
      </c>
      <c r="I601" s="2" t="s">
        <v>46</v>
      </c>
      <c r="J601" s="2"/>
      <c r="K601" s="2" t="s">
        <v>39</v>
      </c>
      <c r="L601" s="2" t="s">
        <v>39</v>
      </c>
      <c r="M601" s="2" t="s">
        <v>39</v>
      </c>
      <c r="N601" s="2" t="s">
        <v>39</v>
      </c>
      <c r="O601" s="2" t="s">
        <v>39</v>
      </c>
      <c r="P601" s="2" t="s">
        <v>39</v>
      </c>
      <c r="Q601" s="2" t="s">
        <v>39</v>
      </c>
      <c r="R601" s="2" t="s">
        <v>39</v>
      </c>
      <c r="S601" s="2" t="s">
        <v>39</v>
      </c>
      <c r="T601" s="2" t="s">
        <v>39</v>
      </c>
      <c r="U601" s="2" t="s">
        <v>39</v>
      </c>
      <c r="V601" s="2" t="s">
        <v>39</v>
      </c>
      <c r="W601" s="2" t="s">
        <v>39</v>
      </c>
      <c r="X601" s="2" t="s">
        <v>39</v>
      </c>
      <c r="Y601" s="2" t="s">
        <v>39</v>
      </c>
      <c r="Z601" s="2" t="s">
        <v>39</v>
      </c>
      <c r="AA601" s="2" t="s">
        <v>39</v>
      </c>
      <c r="AB601" s="2" t="s">
        <v>39</v>
      </c>
      <c r="AC601" s="2" t="s">
        <v>39</v>
      </c>
      <c r="AD601" s="2" t="s">
        <v>39</v>
      </c>
      <c r="AE601" s="2" t="s">
        <v>39</v>
      </c>
    </row>
    <row r="602" spans="1:31" ht="409.5">
      <c r="A602" s="2">
        <v>2758059</v>
      </c>
      <c r="B602" s="2">
        <f>HYPERLINK("https://platform.v2.vetology.net/cases/2758059/screening-report/1?type=pdf&amp;v=v6&amp;scorecard=1&amp;secret_key=BX%25IJ%24%2F65ieZ%29f6", 2758059)</f>
        <v>2758059</v>
      </c>
      <c r="C602" s="2">
        <f>HYPERLINK("https://platform.v2.vetology.net/report/v/final/"&amp;2758059, 2758059)</f>
        <v>2758059</v>
      </c>
      <c r="D602" s="2" t="s">
        <v>2073</v>
      </c>
      <c r="E602" s="2" t="s">
        <v>2074</v>
      </c>
      <c r="F602" s="2" t="s">
        <v>2075</v>
      </c>
      <c r="G602" s="2" t="s">
        <v>170</v>
      </c>
      <c r="H602" s="2" t="s">
        <v>1685</v>
      </c>
      <c r="I602" s="2" t="s">
        <v>59</v>
      </c>
      <c r="J602" s="2" t="s">
        <v>37</v>
      </c>
      <c r="K602" s="2" t="s">
        <v>38</v>
      </c>
      <c r="L602" s="2" t="s">
        <v>39</v>
      </c>
      <c r="M602" s="2" t="s">
        <v>39</v>
      </c>
      <c r="N602" s="2" t="s">
        <v>39</v>
      </c>
      <c r="O602" s="2" t="s">
        <v>39</v>
      </c>
      <c r="P602" s="2" t="s">
        <v>39</v>
      </c>
      <c r="Q602" s="2" t="s">
        <v>39</v>
      </c>
      <c r="R602" s="2" t="s">
        <v>38</v>
      </c>
      <c r="S602" s="2" t="s">
        <v>39</v>
      </c>
      <c r="T602" s="2" t="s">
        <v>39</v>
      </c>
      <c r="U602" s="2" t="s">
        <v>38</v>
      </c>
      <c r="V602" s="2" t="s">
        <v>38</v>
      </c>
      <c r="W602" s="2" t="s">
        <v>38</v>
      </c>
      <c r="X602" s="2" t="s">
        <v>39</v>
      </c>
      <c r="Y602" s="2" t="s">
        <v>39</v>
      </c>
      <c r="Z602" s="2" t="s">
        <v>38</v>
      </c>
      <c r="AA602" s="2" t="s">
        <v>39</v>
      </c>
      <c r="AB602" s="2" t="s">
        <v>39</v>
      </c>
      <c r="AC602" s="2" t="s">
        <v>38</v>
      </c>
      <c r="AD602" s="2" t="s">
        <v>38</v>
      </c>
      <c r="AE602" s="2" t="s">
        <v>40</v>
      </c>
    </row>
    <row r="603" spans="1:31" ht="409.5">
      <c r="A603" s="2">
        <v>2758057</v>
      </c>
      <c r="B603" s="2">
        <f>HYPERLINK("https://platform.v2.vetology.net/cases/2758057/screening-report/1?type=pdf&amp;v=v6&amp;scorecard=1&amp;secret_key=BX%25IJ%24%2F65ieZ%29f6", 2758057)</f>
        <v>2758057</v>
      </c>
      <c r="C603" s="2">
        <f>HYPERLINK("https://platform.v2.vetology.net/report/v/final/"&amp;2758057, 2758057)</f>
        <v>2758057</v>
      </c>
      <c r="D603" s="2" t="s">
        <v>2076</v>
      </c>
      <c r="E603" s="2" t="s">
        <v>2077</v>
      </c>
      <c r="F603" s="2" t="s">
        <v>2078</v>
      </c>
      <c r="G603" s="2" t="s">
        <v>100</v>
      </c>
      <c r="H603" s="2" t="s">
        <v>2079</v>
      </c>
      <c r="I603" s="2" t="s">
        <v>73</v>
      </c>
      <c r="J603" s="2" t="s">
        <v>74</v>
      </c>
      <c r="K603" s="2" t="s">
        <v>38</v>
      </c>
      <c r="L603" s="2" t="s">
        <v>38</v>
      </c>
      <c r="M603" s="2" t="s">
        <v>38</v>
      </c>
      <c r="N603" s="2" t="s">
        <v>38</v>
      </c>
      <c r="O603" s="2" t="s">
        <v>38</v>
      </c>
      <c r="P603" s="2" t="s">
        <v>38</v>
      </c>
      <c r="Q603" s="2" t="s">
        <v>38</v>
      </c>
      <c r="R603" s="2" t="s">
        <v>38</v>
      </c>
      <c r="S603" s="2" t="s">
        <v>38</v>
      </c>
      <c r="T603" s="2" t="s">
        <v>38</v>
      </c>
      <c r="U603" s="2" t="s">
        <v>38</v>
      </c>
      <c r="V603" s="2" t="s">
        <v>38</v>
      </c>
      <c r="W603" s="2" t="s">
        <v>38</v>
      </c>
      <c r="X603" s="2" t="s">
        <v>38</v>
      </c>
      <c r="Y603" s="2" t="s">
        <v>38</v>
      </c>
      <c r="Z603" s="2" t="s">
        <v>38</v>
      </c>
      <c r="AA603" s="2" t="s">
        <v>38</v>
      </c>
      <c r="AB603" s="2" t="s">
        <v>38</v>
      </c>
      <c r="AC603" s="2" t="s">
        <v>38</v>
      </c>
      <c r="AD603" s="2" t="s">
        <v>38</v>
      </c>
      <c r="AE603" s="2" t="s">
        <v>40</v>
      </c>
    </row>
    <row r="604" spans="1:31" ht="409.5">
      <c r="A604" s="2">
        <v>2758056</v>
      </c>
      <c r="B604" s="2">
        <f>HYPERLINK("https://platform.v2.vetology.net/cases/2758056/screening-report/1?type=pdf&amp;v=v6&amp;scorecard=1&amp;secret_key=BX%25IJ%24%2F65ieZ%29f6", 2758056)</f>
        <v>2758056</v>
      </c>
      <c r="C604" s="2">
        <f>HYPERLINK("https://platform.v2.vetology.net/report/v/final/"&amp;2758056, 2758056)</f>
        <v>2758056</v>
      </c>
      <c r="D604" s="2" t="s">
        <v>2080</v>
      </c>
      <c r="E604" s="2" t="s">
        <v>2081</v>
      </c>
      <c r="F604" s="2" t="s">
        <v>2082</v>
      </c>
      <c r="G604" s="2" t="s">
        <v>170</v>
      </c>
      <c r="H604" s="2" t="s">
        <v>2083</v>
      </c>
      <c r="I604" s="2" t="s">
        <v>36</v>
      </c>
      <c r="J604" s="2" t="s">
        <v>37</v>
      </c>
      <c r="K604" s="2" t="s">
        <v>38</v>
      </c>
      <c r="L604" s="2" t="s">
        <v>38</v>
      </c>
      <c r="M604" s="2" t="s">
        <v>38</v>
      </c>
      <c r="N604" s="2" t="s">
        <v>38</v>
      </c>
      <c r="O604" s="2" t="s">
        <v>38</v>
      </c>
      <c r="P604" s="2" t="s">
        <v>39</v>
      </c>
      <c r="Q604" s="2" t="s">
        <v>39</v>
      </c>
      <c r="R604" s="2" t="s">
        <v>38</v>
      </c>
      <c r="S604" s="2" t="s">
        <v>38</v>
      </c>
      <c r="T604" s="2" t="s">
        <v>38</v>
      </c>
      <c r="U604" s="2" t="s">
        <v>39</v>
      </c>
      <c r="V604" s="2" t="s">
        <v>38</v>
      </c>
      <c r="W604" s="2" t="s">
        <v>38</v>
      </c>
      <c r="X604" s="2" t="s">
        <v>39</v>
      </c>
      <c r="Y604" s="2" t="s">
        <v>39</v>
      </c>
      <c r="Z604" s="2" t="s">
        <v>38</v>
      </c>
      <c r="AA604" s="2" t="s">
        <v>38</v>
      </c>
      <c r="AB604" s="2" t="s">
        <v>39</v>
      </c>
      <c r="AC604" s="2" t="s">
        <v>38</v>
      </c>
      <c r="AD604" s="2" t="s">
        <v>39</v>
      </c>
      <c r="AE604" s="2" t="s">
        <v>40</v>
      </c>
    </row>
    <row r="605" spans="1:31" ht="409.5">
      <c r="A605" s="2">
        <v>2757995</v>
      </c>
      <c r="B605" s="2">
        <f>HYPERLINK("https://platform.v2.vetology.net/cases/2757995/screening-report/1?type=pdf&amp;v=v6&amp;scorecard=1&amp;secret_key=BX%25IJ%24%2F65ieZ%29f6", 2757995)</f>
        <v>2757995</v>
      </c>
      <c r="C605" s="2">
        <f>HYPERLINK("https://platform.v2.vetology.net/report/v/final/"&amp;2757995, 2757995)</f>
        <v>2757995</v>
      </c>
      <c r="D605" s="2" t="s">
        <v>2084</v>
      </c>
      <c r="E605" s="2" t="s">
        <v>2085</v>
      </c>
      <c r="F605" s="2" t="s">
        <v>2086</v>
      </c>
      <c r="G605" s="2" t="s">
        <v>100</v>
      </c>
      <c r="H605" s="2" t="s">
        <v>58</v>
      </c>
      <c r="I605" s="2" t="s">
        <v>59</v>
      </c>
      <c r="J605" s="2" t="s">
        <v>37</v>
      </c>
      <c r="K605" s="2" t="s">
        <v>39</v>
      </c>
      <c r="L605" s="2" t="s">
        <v>39</v>
      </c>
      <c r="M605" s="2" t="s">
        <v>39</v>
      </c>
      <c r="N605" s="2" t="s">
        <v>39</v>
      </c>
      <c r="O605" s="2" t="s">
        <v>39</v>
      </c>
      <c r="P605" s="2" t="s">
        <v>39</v>
      </c>
      <c r="Q605" s="2" t="s">
        <v>39</v>
      </c>
      <c r="R605" s="2" t="s">
        <v>38</v>
      </c>
      <c r="S605" s="2" t="s">
        <v>38</v>
      </c>
      <c r="T605" s="2" t="s">
        <v>38</v>
      </c>
      <c r="U605" s="2" t="s">
        <v>39</v>
      </c>
      <c r="V605" s="2" t="s">
        <v>39</v>
      </c>
      <c r="W605" s="2" t="s">
        <v>38</v>
      </c>
      <c r="X605" s="2" t="s">
        <v>39</v>
      </c>
      <c r="Y605" s="2" t="s">
        <v>39</v>
      </c>
      <c r="Z605" s="2" t="s">
        <v>39</v>
      </c>
      <c r="AA605" s="2" t="s">
        <v>38</v>
      </c>
      <c r="AB605" s="2" t="s">
        <v>39</v>
      </c>
      <c r="AC605" s="2" t="s">
        <v>38</v>
      </c>
      <c r="AD605" s="2" t="s">
        <v>38</v>
      </c>
      <c r="AE605" s="2" t="s">
        <v>40</v>
      </c>
    </row>
    <row r="606" spans="1:31" ht="409.5">
      <c r="A606" s="2">
        <v>2757990</v>
      </c>
      <c r="B606" s="2">
        <f>HYPERLINK("https://platform.v2.vetology.net/cases/2757990/screening-report/1?type=pdf&amp;v=v6&amp;scorecard=1&amp;secret_key=BX%25IJ%24%2F65ieZ%29f6", 2757990)</f>
        <v>2757990</v>
      </c>
      <c r="C606" s="2">
        <f>HYPERLINK("https://platform.v2.vetology.net/report/v/final/"&amp;2757990, 2757990)</f>
        <v>2757990</v>
      </c>
      <c r="D606" s="2" t="s">
        <v>2087</v>
      </c>
      <c r="E606" s="2" t="s">
        <v>2088</v>
      </c>
      <c r="F606" s="2" t="s">
        <v>43</v>
      </c>
      <c r="G606" s="2" t="s">
        <v>44</v>
      </c>
      <c r="H606" s="2" t="s">
        <v>2089</v>
      </c>
      <c r="I606" s="2" t="s">
        <v>257</v>
      </c>
      <c r="J606" s="2" t="s">
        <v>74</v>
      </c>
      <c r="K606" s="2" t="s">
        <v>38</v>
      </c>
      <c r="L606" s="2" t="s">
        <v>38</v>
      </c>
      <c r="M606" s="2" t="s">
        <v>38</v>
      </c>
      <c r="N606" s="2" t="s">
        <v>38</v>
      </c>
      <c r="O606" s="2" t="s">
        <v>38</v>
      </c>
      <c r="P606" s="2" t="s">
        <v>38</v>
      </c>
      <c r="Q606" s="2" t="s">
        <v>38</v>
      </c>
      <c r="R606" s="2" t="s">
        <v>38</v>
      </c>
      <c r="S606" s="2" t="s">
        <v>38</v>
      </c>
      <c r="T606" s="2" t="s">
        <v>38</v>
      </c>
      <c r="U606" s="2" t="s">
        <v>38</v>
      </c>
      <c r="V606" s="2" t="s">
        <v>38</v>
      </c>
      <c r="W606" s="2" t="s">
        <v>38</v>
      </c>
      <c r="X606" s="2" t="s">
        <v>38</v>
      </c>
      <c r="Y606" s="2" t="s">
        <v>38</v>
      </c>
      <c r="Z606" s="2" t="s">
        <v>38</v>
      </c>
      <c r="AA606" s="2" t="s">
        <v>38</v>
      </c>
      <c r="AB606" s="2" t="s">
        <v>38</v>
      </c>
      <c r="AC606" s="2" t="s">
        <v>38</v>
      </c>
      <c r="AD606" s="2" t="s">
        <v>38</v>
      </c>
      <c r="AE606" s="2" t="s">
        <v>40</v>
      </c>
    </row>
    <row r="607" spans="1:31" ht="409.5">
      <c r="A607" s="2">
        <v>2757967</v>
      </c>
      <c r="B607" s="2">
        <f>HYPERLINK("https://platform.v2.vetology.net/cases/2757967/screening-report/1?type=pdf&amp;v=v6&amp;scorecard=1&amp;secret_key=BX%25IJ%24%2F65ieZ%29f6", 2757967)</f>
        <v>2757967</v>
      </c>
      <c r="C607" s="2">
        <f>HYPERLINK("https://platform.v2.vetology.net/report/v/final/"&amp;2757967, 2757967)</f>
        <v>2757967</v>
      </c>
      <c r="D607" s="2" t="s">
        <v>2090</v>
      </c>
      <c r="E607" s="2" t="s">
        <v>2091</v>
      </c>
      <c r="F607" s="2"/>
      <c r="G607" s="2" t="s">
        <v>100</v>
      </c>
      <c r="H607" s="2" t="s">
        <v>2092</v>
      </c>
      <c r="I607" s="2" t="s">
        <v>813</v>
      </c>
      <c r="J607" s="2" t="s">
        <v>37</v>
      </c>
      <c r="K607" s="2" t="s">
        <v>39</v>
      </c>
      <c r="L607" s="2" t="s">
        <v>39</v>
      </c>
      <c r="M607" s="2" t="s">
        <v>39</v>
      </c>
      <c r="N607" s="2" t="s">
        <v>39</v>
      </c>
      <c r="O607" s="2" t="s">
        <v>39</v>
      </c>
      <c r="P607" s="2" t="s">
        <v>39</v>
      </c>
      <c r="Q607" s="2" t="s">
        <v>39</v>
      </c>
      <c r="R607" s="2" t="s">
        <v>38</v>
      </c>
      <c r="S607" s="2" t="s">
        <v>39</v>
      </c>
      <c r="T607" s="2" t="s">
        <v>38</v>
      </c>
      <c r="U607" s="2" t="s">
        <v>39</v>
      </c>
      <c r="V607" s="2" t="s">
        <v>39</v>
      </c>
      <c r="W607" s="2" t="s">
        <v>39</v>
      </c>
      <c r="X607" s="2" t="s">
        <v>39</v>
      </c>
      <c r="Y607" s="2" t="s">
        <v>39</v>
      </c>
      <c r="Z607" s="2" t="s">
        <v>39</v>
      </c>
      <c r="AA607" s="2" t="s">
        <v>39</v>
      </c>
      <c r="AB607" s="2" t="s">
        <v>39</v>
      </c>
      <c r="AC607" s="2" t="s">
        <v>39</v>
      </c>
      <c r="AD607" s="2" t="s">
        <v>39</v>
      </c>
      <c r="AE607" s="2"/>
    </row>
    <row r="608" spans="1:31" ht="409.5">
      <c r="A608" s="2">
        <v>2757925</v>
      </c>
      <c r="B608" s="2">
        <f>HYPERLINK("https://platform.v2.vetology.net/cases/2757925/screening-report/1?type=pdf&amp;v=v6&amp;scorecard=1&amp;secret_key=BX%25IJ%24%2F65ieZ%29f6", 2757925)</f>
        <v>2757925</v>
      </c>
      <c r="C608" s="2">
        <f>HYPERLINK("https://platform.v2.vetology.net/report/v/final/"&amp;2757925, 2757925)</f>
        <v>2757925</v>
      </c>
      <c r="D608" s="2" t="s">
        <v>2093</v>
      </c>
      <c r="E608" s="2" t="s">
        <v>2094</v>
      </c>
      <c r="F608" s="2" t="s">
        <v>2095</v>
      </c>
      <c r="G608" s="2" t="s">
        <v>53</v>
      </c>
      <c r="H608" s="2" t="s">
        <v>2096</v>
      </c>
      <c r="I608" s="2" t="s">
        <v>36</v>
      </c>
      <c r="J608" s="2" t="s">
        <v>37</v>
      </c>
      <c r="K608" s="2" t="s">
        <v>38</v>
      </c>
      <c r="L608" s="2" t="s">
        <v>38</v>
      </c>
      <c r="M608" s="2" t="s">
        <v>39</v>
      </c>
      <c r="N608" s="2" t="s">
        <v>38</v>
      </c>
      <c r="O608" s="2" t="s">
        <v>39</v>
      </c>
      <c r="P608" s="2" t="s">
        <v>39</v>
      </c>
      <c r="Q608" s="2" t="s">
        <v>39</v>
      </c>
      <c r="R608" s="2" t="s">
        <v>39</v>
      </c>
      <c r="S608" s="2" t="s">
        <v>38</v>
      </c>
      <c r="T608" s="2" t="s">
        <v>39</v>
      </c>
      <c r="U608" s="2" t="s">
        <v>38</v>
      </c>
      <c r="V608" s="2" t="s">
        <v>38</v>
      </c>
      <c r="W608" s="2" t="s">
        <v>39</v>
      </c>
      <c r="X608" s="2" t="s">
        <v>39</v>
      </c>
      <c r="Y608" s="2" t="s">
        <v>39</v>
      </c>
      <c r="Z608" s="2" t="s">
        <v>38</v>
      </c>
      <c r="AA608" s="2" t="s">
        <v>39</v>
      </c>
      <c r="AB608" s="2" t="s">
        <v>39</v>
      </c>
      <c r="AC608" s="2" t="s">
        <v>39</v>
      </c>
      <c r="AD608" s="2" t="s">
        <v>38</v>
      </c>
      <c r="AE608" s="2" t="s">
        <v>39</v>
      </c>
    </row>
    <row r="609" spans="1:31" ht="409.5">
      <c r="A609" s="2">
        <v>2757888</v>
      </c>
      <c r="B609" s="2">
        <f>HYPERLINK("https://platform.v2.vetology.net/cases/2757888/screening-report/1?type=pdf&amp;v=v6&amp;scorecard=1&amp;secret_key=BX%25IJ%24%2F65ieZ%29f6", 2757888)</f>
        <v>2757888</v>
      </c>
      <c r="C609" s="2">
        <f>HYPERLINK("https://platform.v2.vetology.net/report/v/final/"&amp;2757888, 2757888)</f>
        <v>2757888</v>
      </c>
      <c r="D609" s="2" t="s">
        <v>2097</v>
      </c>
      <c r="E609" s="2" t="s">
        <v>2098</v>
      </c>
      <c r="F609" s="2" t="s">
        <v>2099</v>
      </c>
      <c r="G609" s="2" t="s">
        <v>53</v>
      </c>
      <c r="H609" s="2" t="s">
        <v>69</v>
      </c>
      <c r="I609" s="2" t="s">
        <v>46</v>
      </c>
      <c r="J609" s="2"/>
      <c r="K609" s="2" t="s">
        <v>39</v>
      </c>
      <c r="L609" s="2" t="s">
        <v>39</v>
      </c>
      <c r="M609" s="2" t="s">
        <v>39</v>
      </c>
      <c r="N609" s="2" t="s">
        <v>39</v>
      </c>
      <c r="O609" s="2" t="s">
        <v>39</v>
      </c>
      <c r="P609" s="2" t="s">
        <v>39</v>
      </c>
      <c r="Q609" s="2" t="s">
        <v>39</v>
      </c>
      <c r="R609" s="2" t="s">
        <v>39</v>
      </c>
      <c r="S609" s="2" t="s">
        <v>39</v>
      </c>
      <c r="T609" s="2" t="s">
        <v>39</v>
      </c>
      <c r="U609" s="2" t="s">
        <v>39</v>
      </c>
      <c r="V609" s="2" t="s">
        <v>39</v>
      </c>
      <c r="W609" s="2" t="s">
        <v>39</v>
      </c>
      <c r="X609" s="2" t="s">
        <v>39</v>
      </c>
      <c r="Y609" s="2" t="s">
        <v>39</v>
      </c>
      <c r="Z609" s="2" t="s">
        <v>39</v>
      </c>
      <c r="AA609" s="2" t="s">
        <v>39</v>
      </c>
      <c r="AB609" s="2" t="s">
        <v>39</v>
      </c>
      <c r="AC609" s="2" t="s">
        <v>39</v>
      </c>
      <c r="AD609" s="2" t="s">
        <v>39</v>
      </c>
      <c r="AE609" s="2"/>
    </row>
    <row r="610" spans="1:31" ht="409.5">
      <c r="A610" s="2">
        <v>2757874</v>
      </c>
      <c r="B610" s="2">
        <f>HYPERLINK("https://platform.v2.vetology.net/cases/2757874/screening-report/1?type=pdf&amp;v=v6&amp;scorecard=1&amp;secret_key=BX%25IJ%24%2F65ieZ%29f6", 2757874)</f>
        <v>2757874</v>
      </c>
      <c r="C610" s="2">
        <f>HYPERLINK("https://platform.v2.vetology.net/report/v/final/"&amp;2757874, 2757874)</f>
        <v>2757874</v>
      </c>
      <c r="D610" s="2" t="s">
        <v>2100</v>
      </c>
      <c r="E610" s="2" t="s">
        <v>2101</v>
      </c>
      <c r="F610" s="2" t="s">
        <v>2102</v>
      </c>
      <c r="G610" s="2" t="s">
        <v>34</v>
      </c>
      <c r="H610" s="2" t="s">
        <v>69</v>
      </c>
      <c r="I610" s="2" t="s">
        <v>46</v>
      </c>
      <c r="J610" s="2"/>
      <c r="K610" s="2" t="s">
        <v>39</v>
      </c>
      <c r="L610" s="2" t="s">
        <v>39</v>
      </c>
      <c r="M610" s="2" t="s">
        <v>39</v>
      </c>
      <c r="N610" s="2" t="s">
        <v>39</v>
      </c>
      <c r="O610" s="2" t="s">
        <v>39</v>
      </c>
      <c r="P610" s="2" t="s">
        <v>39</v>
      </c>
      <c r="Q610" s="2" t="s">
        <v>39</v>
      </c>
      <c r="R610" s="2" t="s">
        <v>39</v>
      </c>
      <c r="S610" s="2" t="s">
        <v>39</v>
      </c>
      <c r="T610" s="2" t="s">
        <v>39</v>
      </c>
      <c r="U610" s="2" t="s">
        <v>39</v>
      </c>
      <c r="V610" s="2" t="s">
        <v>38</v>
      </c>
      <c r="W610" s="2" t="s">
        <v>39</v>
      </c>
      <c r="X610" s="2" t="s">
        <v>39</v>
      </c>
      <c r="Y610" s="2" t="s">
        <v>39</v>
      </c>
      <c r="Z610" s="2" t="s">
        <v>39</v>
      </c>
      <c r="AA610" s="2" t="s">
        <v>39</v>
      </c>
      <c r="AB610" s="2" t="s">
        <v>39</v>
      </c>
      <c r="AC610" s="2" t="s">
        <v>39</v>
      </c>
      <c r="AD610" s="2" t="s">
        <v>38</v>
      </c>
      <c r="AE610" s="2"/>
    </row>
    <row r="611" spans="1:31" ht="409.5">
      <c r="A611" s="2">
        <v>2757841</v>
      </c>
      <c r="B611" s="2">
        <f>HYPERLINK("https://platform.v2.vetology.net/cases/2757841/screening-report/1?type=pdf&amp;v=v6&amp;scorecard=1&amp;secret_key=BX%25IJ%24%2F65ieZ%29f6", 2757841)</f>
        <v>2757841</v>
      </c>
      <c r="C611" s="2">
        <f>HYPERLINK("https://platform.v2.vetology.net/report/v/final/"&amp;2757841, 2757841)</f>
        <v>2757841</v>
      </c>
      <c r="D611" s="2" t="s">
        <v>2103</v>
      </c>
      <c r="E611" s="2" t="s">
        <v>2104</v>
      </c>
      <c r="F611" s="2" t="s">
        <v>2105</v>
      </c>
      <c r="G611" s="2" t="s">
        <v>34</v>
      </c>
      <c r="H611" s="2" t="s">
        <v>69</v>
      </c>
      <c r="I611" s="2" t="s">
        <v>46</v>
      </c>
      <c r="J611" s="2"/>
      <c r="K611" s="2" t="s">
        <v>39</v>
      </c>
      <c r="L611" s="2" t="s">
        <v>39</v>
      </c>
      <c r="M611" s="2" t="s">
        <v>39</v>
      </c>
      <c r="N611" s="2" t="s">
        <v>39</v>
      </c>
      <c r="O611" s="2" t="s">
        <v>39</v>
      </c>
      <c r="P611" s="2" t="s">
        <v>39</v>
      </c>
      <c r="Q611" s="2" t="s">
        <v>39</v>
      </c>
      <c r="R611" s="2" t="s">
        <v>39</v>
      </c>
      <c r="S611" s="2" t="s">
        <v>39</v>
      </c>
      <c r="T611" s="2" t="s">
        <v>39</v>
      </c>
      <c r="U611" s="2" t="s">
        <v>39</v>
      </c>
      <c r="V611" s="2" t="s">
        <v>39</v>
      </c>
      <c r="W611" s="2" t="s">
        <v>38</v>
      </c>
      <c r="X611" s="2" t="s">
        <v>39</v>
      </c>
      <c r="Y611" s="2" t="s">
        <v>39</v>
      </c>
      <c r="Z611" s="2" t="s">
        <v>39</v>
      </c>
      <c r="AA611" s="2" t="s">
        <v>39</v>
      </c>
      <c r="AB611" s="2" t="s">
        <v>39</v>
      </c>
      <c r="AC611" s="2" t="s">
        <v>39</v>
      </c>
      <c r="AD611" s="2" t="s">
        <v>39</v>
      </c>
      <c r="AE611" s="2"/>
    </row>
    <row r="612" spans="1:31" ht="409.5">
      <c r="A612" s="2">
        <v>2757828</v>
      </c>
      <c r="B612" s="2">
        <f>HYPERLINK("https://platform.v2.vetology.net/cases/2757828/screening-report/1?type=pdf&amp;v=v6&amp;scorecard=1&amp;secret_key=BX%25IJ%24%2F65ieZ%29f6", 2757828)</f>
        <v>2757828</v>
      </c>
      <c r="C612" s="2">
        <f>HYPERLINK("https://platform.v2.vetology.net/report/v/final/"&amp;2757828, 2757828)</f>
        <v>2757828</v>
      </c>
      <c r="D612" s="2" t="s">
        <v>2106</v>
      </c>
      <c r="E612" s="2" t="s">
        <v>2107</v>
      </c>
      <c r="F612" s="2" t="s">
        <v>2108</v>
      </c>
      <c r="G612" s="2" t="s">
        <v>507</v>
      </c>
      <c r="H612" s="2" t="s">
        <v>2109</v>
      </c>
      <c r="I612" s="2" t="s">
        <v>129</v>
      </c>
      <c r="J612" s="2" t="s">
        <v>74</v>
      </c>
      <c r="K612" s="2" t="s">
        <v>39</v>
      </c>
      <c r="L612" s="2" t="s">
        <v>38</v>
      </c>
      <c r="M612" s="2" t="s">
        <v>38</v>
      </c>
      <c r="N612" s="2" t="s">
        <v>38</v>
      </c>
      <c r="O612" s="2" t="s">
        <v>38</v>
      </c>
      <c r="P612" s="2" t="s">
        <v>38</v>
      </c>
      <c r="Q612" s="2" t="s">
        <v>38</v>
      </c>
      <c r="R612" s="2" t="s">
        <v>38</v>
      </c>
      <c r="S612" s="2" t="s">
        <v>38</v>
      </c>
      <c r="T612" s="2" t="s">
        <v>38</v>
      </c>
      <c r="U612" s="2" t="s">
        <v>39</v>
      </c>
      <c r="V612" s="2" t="s">
        <v>39</v>
      </c>
      <c r="W612" s="2" t="s">
        <v>38</v>
      </c>
      <c r="X612" s="2" t="s">
        <v>38</v>
      </c>
      <c r="Y612" s="2" t="s">
        <v>38</v>
      </c>
      <c r="Z612" s="2" t="s">
        <v>38</v>
      </c>
      <c r="AA612" s="2" t="s">
        <v>38</v>
      </c>
      <c r="AB612" s="2" t="s">
        <v>38</v>
      </c>
      <c r="AC612" s="2" t="s">
        <v>38</v>
      </c>
      <c r="AD612" s="2" t="s">
        <v>38</v>
      </c>
      <c r="AE612" s="2" t="s">
        <v>39</v>
      </c>
    </row>
    <row r="613" spans="1:31" ht="409.5">
      <c r="A613" s="2">
        <v>2757827</v>
      </c>
      <c r="B613" s="2">
        <f>HYPERLINK("https://platform.v2.vetology.net/cases/2757827/screening-report/1?type=pdf&amp;v=v6&amp;scorecard=1&amp;secret_key=BX%25IJ%24%2F65ieZ%29f6", 2757827)</f>
        <v>2757827</v>
      </c>
      <c r="C613" s="2">
        <f>HYPERLINK("https://platform.v2.vetology.net/report/v/final/"&amp;2757827, 2757827)</f>
        <v>2757827</v>
      </c>
      <c r="D613" s="2" t="s">
        <v>2110</v>
      </c>
      <c r="E613" s="2" t="s">
        <v>2111</v>
      </c>
      <c r="F613" s="2" t="s">
        <v>657</v>
      </c>
      <c r="G613" s="2" t="s">
        <v>34</v>
      </c>
      <c r="H613" s="2" t="s">
        <v>2112</v>
      </c>
      <c r="I613" s="2" t="s">
        <v>36</v>
      </c>
      <c r="J613" s="2" t="s">
        <v>37</v>
      </c>
      <c r="K613" s="2" t="s">
        <v>38</v>
      </c>
      <c r="L613" s="2" t="s">
        <v>38</v>
      </c>
      <c r="M613" s="2" t="s">
        <v>38</v>
      </c>
      <c r="N613" s="2" t="s">
        <v>38</v>
      </c>
      <c r="O613" s="2" t="s">
        <v>38</v>
      </c>
      <c r="P613" s="2" t="s">
        <v>38</v>
      </c>
      <c r="Q613" s="2" t="s">
        <v>39</v>
      </c>
      <c r="R613" s="2" t="s">
        <v>38</v>
      </c>
      <c r="S613" s="2" t="s">
        <v>38</v>
      </c>
      <c r="T613" s="2" t="s">
        <v>38</v>
      </c>
      <c r="U613" s="2" t="s">
        <v>38</v>
      </c>
      <c r="V613" s="2" t="s">
        <v>38</v>
      </c>
      <c r="W613" s="2" t="s">
        <v>38</v>
      </c>
      <c r="X613" s="2" t="s">
        <v>39</v>
      </c>
      <c r="Y613" s="2" t="s">
        <v>39</v>
      </c>
      <c r="Z613" s="2" t="s">
        <v>38</v>
      </c>
      <c r="AA613" s="2" t="s">
        <v>38</v>
      </c>
      <c r="AB613" s="2" t="s">
        <v>39</v>
      </c>
      <c r="AC613" s="2" t="s">
        <v>38</v>
      </c>
      <c r="AD613" s="2" t="s">
        <v>38</v>
      </c>
      <c r="AE613" s="2"/>
    </row>
    <row r="614" spans="1:31" ht="409.5">
      <c r="A614" s="2">
        <v>2757810</v>
      </c>
      <c r="B614" s="2">
        <f>HYPERLINK("https://platform.v2.vetology.net/cases/2757810/screening-report/1?type=pdf&amp;v=v6&amp;scorecard=1&amp;secret_key=BX%25IJ%24%2F65ieZ%29f6", 2757810)</f>
        <v>2757810</v>
      </c>
      <c r="C614" s="2">
        <f>HYPERLINK("https://platform.v2.vetology.net/report/v/final/"&amp;2757810, 2757810)</f>
        <v>2757810</v>
      </c>
      <c r="D614" s="2" t="s">
        <v>2113</v>
      </c>
      <c r="E614" s="2" t="s">
        <v>2114</v>
      </c>
      <c r="F614" s="2" t="s">
        <v>2115</v>
      </c>
      <c r="G614" s="2" t="s">
        <v>53</v>
      </c>
      <c r="H614" s="2" t="s">
        <v>2116</v>
      </c>
      <c r="I614" s="2" t="s">
        <v>36</v>
      </c>
      <c r="J614" s="2" t="s">
        <v>37</v>
      </c>
      <c r="K614" s="2" t="s">
        <v>38</v>
      </c>
      <c r="L614" s="2" t="s">
        <v>38</v>
      </c>
      <c r="M614" s="2" t="s">
        <v>38</v>
      </c>
      <c r="N614" s="2" t="s">
        <v>38</v>
      </c>
      <c r="O614" s="2" t="s">
        <v>38</v>
      </c>
      <c r="P614" s="2" t="s">
        <v>38</v>
      </c>
      <c r="Q614" s="2" t="s">
        <v>39</v>
      </c>
      <c r="R614" s="2" t="s">
        <v>38</v>
      </c>
      <c r="S614" s="2" t="s">
        <v>38</v>
      </c>
      <c r="T614" s="2" t="s">
        <v>38</v>
      </c>
      <c r="U614" s="2" t="s">
        <v>38</v>
      </c>
      <c r="V614" s="2" t="s">
        <v>38</v>
      </c>
      <c r="W614" s="2" t="s">
        <v>38</v>
      </c>
      <c r="X614" s="2" t="s">
        <v>38</v>
      </c>
      <c r="Y614" s="2" t="s">
        <v>38</v>
      </c>
      <c r="Z614" s="2" t="s">
        <v>38</v>
      </c>
      <c r="AA614" s="2" t="s">
        <v>38</v>
      </c>
      <c r="AB614" s="2" t="s">
        <v>39</v>
      </c>
      <c r="AC614" s="2" t="s">
        <v>38</v>
      </c>
      <c r="AD614" s="2" t="s">
        <v>38</v>
      </c>
      <c r="AE614" s="2" t="s">
        <v>40</v>
      </c>
    </row>
    <row r="615" spans="1:31" ht="409.5">
      <c r="A615" s="2">
        <v>2757777</v>
      </c>
      <c r="B615" s="2">
        <f>HYPERLINK("https://platform.v2.vetology.net/cases/2757777/screening-report/1?type=pdf&amp;v=v6&amp;scorecard=1&amp;secret_key=BX%25IJ%24%2F65ieZ%29f6", 2757777)</f>
        <v>2757777</v>
      </c>
      <c r="C615" s="2">
        <f>HYPERLINK("https://platform.v2.vetology.net/report/v/final/"&amp;2757777, 2757777)</f>
        <v>2757777</v>
      </c>
      <c r="D615" s="2" t="s">
        <v>2117</v>
      </c>
      <c r="E615" s="2" t="s">
        <v>2118</v>
      </c>
      <c r="F615" s="2" t="s">
        <v>2119</v>
      </c>
      <c r="G615" s="2" t="s">
        <v>53</v>
      </c>
      <c r="H615" s="2" t="s">
        <v>69</v>
      </c>
      <c r="I615" s="2" t="s">
        <v>46</v>
      </c>
      <c r="J615" s="2"/>
      <c r="K615" s="2" t="s">
        <v>39</v>
      </c>
      <c r="L615" s="2" t="s">
        <v>39</v>
      </c>
      <c r="M615" s="2" t="s">
        <v>39</v>
      </c>
      <c r="N615" s="2" t="s">
        <v>39</v>
      </c>
      <c r="O615" s="2" t="s">
        <v>39</v>
      </c>
      <c r="P615" s="2" t="s">
        <v>39</v>
      </c>
      <c r="Q615" s="2" t="s">
        <v>39</v>
      </c>
      <c r="R615" s="2" t="s">
        <v>39</v>
      </c>
      <c r="S615" s="2" t="s">
        <v>39</v>
      </c>
      <c r="T615" s="2" t="s">
        <v>39</v>
      </c>
      <c r="U615" s="2" t="s">
        <v>39</v>
      </c>
      <c r="V615" s="2" t="s">
        <v>39</v>
      </c>
      <c r="W615" s="2" t="s">
        <v>39</v>
      </c>
      <c r="X615" s="2" t="s">
        <v>39</v>
      </c>
      <c r="Y615" s="2" t="s">
        <v>39</v>
      </c>
      <c r="Z615" s="2" t="s">
        <v>38</v>
      </c>
      <c r="AA615" s="2" t="s">
        <v>39</v>
      </c>
      <c r="AB615" s="2" t="s">
        <v>39</v>
      </c>
      <c r="AC615" s="2" t="s">
        <v>38</v>
      </c>
      <c r="AD615" s="2" t="s">
        <v>39</v>
      </c>
      <c r="AE615" s="2" t="s">
        <v>39</v>
      </c>
    </row>
    <row r="616" spans="1:31" ht="409.5">
      <c r="A616" s="2">
        <v>2757662</v>
      </c>
      <c r="B616" s="2">
        <f>HYPERLINK("https://platform.v2.vetology.net/cases/2757662/screening-report/1?type=pdf&amp;v=v6&amp;scorecard=1&amp;secret_key=BX%25IJ%24%2F65ieZ%29f6", 2757662)</f>
        <v>2757662</v>
      </c>
      <c r="C616" s="2">
        <f>HYPERLINK("https://platform.v2.vetology.net/report/v/final/"&amp;2757662, 2757662)</f>
        <v>2757662</v>
      </c>
      <c r="D616" s="2" t="s">
        <v>2120</v>
      </c>
      <c r="E616" s="2" t="s">
        <v>2121</v>
      </c>
      <c r="F616" s="2" t="s">
        <v>2122</v>
      </c>
      <c r="G616" s="2" t="s">
        <v>44</v>
      </c>
      <c r="H616" s="2" t="s">
        <v>2123</v>
      </c>
      <c r="I616" s="2" t="s">
        <v>36</v>
      </c>
      <c r="J616" s="2" t="s">
        <v>37</v>
      </c>
      <c r="K616" s="2" t="s">
        <v>39</v>
      </c>
      <c r="L616" s="2" t="s">
        <v>39</v>
      </c>
      <c r="M616" s="2" t="s">
        <v>38</v>
      </c>
      <c r="N616" s="2" t="s">
        <v>38</v>
      </c>
      <c r="O616" s="2" t="s">
        <v>38</v>
      </c>
      <c r="P616" s="2" t="s">
        <v>38</v>
      </c>
      <c r="Q616" s="2" t="s">
        <v>39</v>
      </c>
      <c r="R616" s="2" t="s">
        <v>38</v>
      </c>
      <c r="S616" s="2" t="s">
        <v>38</v>
      </c>
      <c r="T616" s="2" t="s">
        <v>38</v>
      </c>
      <c r="U616" s="2" t="s">
        <v>39</v>
      </c>
      <c r="V616" s="2" t="s">
        <v>39</v>
      </c>
      <c r="W616" s="2" t="s">
        <v>39</v>
      </c>
      <c r="X616" s="2" t="s">
        <v>38</v>
      </c>
      <c r="Y616" s="2" t="s">
        <v>39</v>
      </c>
      <c r="Z616" s="2" t="s">
        <v>38</v>
      </c>
      <c r="AA616" s="2" t="s">
        <v>38</v>
      </c>
      <c r="AB616" s="2" t="s">
        <v>39</v>
      </c>
      <c r="AC616" s="2" t="s">
        <v>38</v>
      </c>
      <c r="AD616" s="2" t="s">
        <v>39</v>
      </c>
      <c r="AE616" s="2" t="s">
        <v>39</v>
      </c>
    </row>
    <row r="617" spans="1:31" ht="409.5">
      <c r="A617" s="2">
        <v>2757622</v>
      </c>
      <c r="B617" s="2">
        <f>HYPERLINK("https://platform.v2.vetology.net/cases/2757622/screening-report/1?type=pdf&amp;v=v6&amp;scorecard=1&amp;secret_key=BX%25IJ%24%2F65ieZ%29f6", 2757622)</f>
        <v>2757622</v>
      </c>
      <c r="C617" s="2">
        <f>HYPERLINK("https://platform.v2.vetology.net/report/v/final/"&amp;2757622, 2757622)</f>
        <v>2757622</v>
      </c>
      <c r="D617" s="2" t="s">
        <v>2124</v>
      </c>
      <c r="E617" s="2" t="s">
        <v>2125</v>
      </c>
      <c r="F617" s="2" t="s">
        <v>2126</v>
      </c>
      <c r="G617" s="2" t="s">
        <v>44</v>
      </c>
      <c r="H617" s="2" t="s">
        <v>2127</v>
      </c>
      <c r="I617" s="2" t="s">
        <v>129</v>
      </c>
      <c r="J617" s="2" t="s">
        <v>74</v>
      </c>
      <c r="K617" s="2" t="s">
        <v>39</v>
      </c>
      <c r="L617" s="2" t="s">
        <v>38</v>
      </c>
      <c r="M617" s="2" t="s">
        <v>38</v>
      </c>
      <c r="N617" s="2" t="s">
        <v>38</v>
      </c>
      <c r="O617" s="2" t="s">
        <v>38</v>
      </c>
      <c r="P617" s="2" t="s">
        <v>38</v>
      </c>
      <c r="Q617" s="2" t="s">
        <v>38</v>
      </c>
      <c r="R617" s="2" t="s">
        <v>38</v>
      </c>
      <c r="S617" s="2" t="s">
        <v>38</v>
      </c>
      <c r="T617" s="2" t="s">
        <v>38</v>
      </c>
      <c r="U617" s="2" t="s">
        <v>39</v>
      </c>
      <c r="V617" s="2" t="s">
        <v>39</v>
      </c>
      <c r="W617" s="2" t="s">
        <v>38</v>
      </c>
      <c r="X617" s="2" t="s">
        <v>39</v>
      </c>
      <c r="Y617" s="2" t="s">
        <v>39</v>
      </c>
      <c r="Z617" s="2" t="s">
        <v>38</v>
      </c>
      <c r="AA617" s="2" t="s">
        <v>38</v>
      </c>
      <c r="AB617" s="2" t="s">
        <v>39</v>
      </c>
      <c r="AC617" s="2" t="s">
        <v>38</v>
      </c>
      <c r="AD617" s="2" t="s">
        <v>39</v>
      </c>
      <c r="AE617" s="2" t="s">
        <v>39</v>
      </c>
    </row>
    <row r="618" spans="1:31" ht="409.5">
      <c r="A618" s="2">
        <v>2757617</v>
      </c>
      <c r="B618" s="2">
        <f>HYPERLINK("https://platform.v2.vetology.net/cases/2757617/screening-report/1?type=pdf&amp;v=v6&amp;scorecard=1&amp;secret_key=BX%25IJ%24%2F65ieZ%29f6", 2757617)</f>
        <v>2757617</v>
      </c>
      <c r="C618" s="2">
        <f>HYPERLINK("https://platform.v2.vetology.net/report/v/final/"&amp;2757617, 2757617)</f>
        <v>2757617</v>
      </c>
      <c r="D618" s="2" t="s">
        <v>2128</v>
      </c>
      <c r="E618" s="2" t="s">
        <v>2129</v>
      </c>
      <c r="F618" s="2" t="s">
        <v>2130</v>
      </c>
      <c r="G618" s="2" t="s">
        <v>44</v>
      </c>
      <c r="H618" s="2" t="s">
        <v>2131</v>
      </c>
      <c r="I618" s="2" t="s">
        <v>73</v>
      </c>
      <c r="J618" s="2" t="s">
        <v>74</v>
      </c>
      <c r="K618" s="2" t="s">
        <v>38</v>
      </c>
      <c r="L618" s="2" t="s">
        <v>39</v>
      </c>
      <c r="M618" s="2" t="s">
        <v>38</v>
      </c>
      <c r="N618" s="2" t="s">
        <v>38</v>
      </c>
      <c r="O618" s="2" t="s">
        <v>38</v>
      </c>
      <c r="P618" s="2" t="s">
        <v>39</v>
      </c>
      <c r="Q618" s="2" t="s">
        <v>38</v>
      </c>
      <c r="R618" s="2" t="s">
        <v>38</v>
      </c>
      <c r="S618" s="2" t="s">
        <v>38</v>
      </c>
      <c r="T618" s="2" t="s">
        <v>38</v>
      </c>
      <c r="U618" s="2" t="s">
        <v>39</v>
      </c>
      <c r="V618" s="2" t="s">
        <v>38</v>
      </c>
      <c r="W618" s="2" t="s">
        <v>38</v>
      </c>
      <c r="X618" s="2" t="s">
        <v>38</v>
      </c>
      <c r="Y618" s="2" t="s">
        <v>39</v>
      </c>
      <c r="Z618" s="2" t="s">
        <v>38</v>
      </c>
      <c r="AA618" s="2" t="s">
        <v>38</v>
      </c>
      <c r="AB618" s="2" t="s">
        <v>38</v>
      </c>
      <c r="AC618" s="2" t="s">
        <v>38</v>
      </c>
      <c r="AD618" s="2" t="s">
        <v>38</v>
      </c>
      <c r="AE618" s="2"/>
    </row>
    <row r="619" spans="1:31" ht="409.5">
      <c r="A619" s="2">
        <v>2757598</v>
      </c>
      <c r="B619" s="2">
        <f>HYPERLINK("https://platform.v2.vetology.net/cases/2757598/screening-report/1?type=pdf&amp;v=v6&amp;scorecard=1&amp;secret_key=BX%25IJ%24%2F65ieZ%29f6", 2757598)</f>
        <v>2757598</v>
      </c>
      <c r="C619" s="2">
        <f>HYPERLINK("https://platform.v2.vetology.net/report/v/final/"&amp;2757598, 2757598)</f>
        <v>2757598</v>
      </c>
      <c r="D619" s="2" t="s">
        <v>2132</v>
      </c>
      <c r="E619" s="2" t="s">
        <v>2133</v>
      </c>
      <c r="F619" s="2" t="s">
        <v>2134</v>
      </c>
      <c r="G619" s="2" t="s">
        <v>507</v>
      </c>
      <c r="H619" s="2" t="s">
        <v>1550</v>
      </c>
      <c r="I619" s="2" t="s">
        <v>73</v>
      </c>
      <c r="J619" s="2" t="s">
        <v>74</v>
      </c>
      <c r="K619" s="2" t="s">
        <v>38</v>
      </c>
      <c r="L619" s="2" t="s">
        <v>38</v>
      </c>
      <c r="M619" s="2" t="s">
        <v>38</v>
      </c>
      <c r="N619" s="2" t="s">
        <v>38</v>
      </c>
      <c r="O619" s="2" t="s">
        <v>38</v>
      </c>
      <c r="P619" s="2" t="s">
        <v>38</v>
      </c>
      <c r="Q619" s="2" t="s">
        <v>38</v>
      </c>
      <c r="R619" s="2" t="s">
        <v>38</v>
      </c>
      <c r="S619" s="2" t="s">
        <v>38</v>
      </c>
      <c r="T619" s="2" t="s">
        <v>38</v>
      </c>
      <c r="U619" s="2" t="s">
        <v>38</v>
      </c>
      <c r="V619" s="2" t="s">
        <v>38</v>
      </c>
      <c r="W619" s="2" t="s">
        <v>38</v>
      </c>
      <c r="X619" s="2" t="s">
        <v>38</v>
      </c>
      <c r="Y619" s="2" t="s">
        <v>38</v>
      </c>
      <c r="Z619" s="2" t="s">
        <v>38</v>
      </c>
      <c r="AA619" s="2" t="s">
        <v>38</v>
      </c>
      <c r="AB619" s="2" t="s">
        <v>38</v>
      </c>
      <c r="AC619" s="2" t="s">
        <v>38</v>
      </c>
      <c r="AD619" s="2" t="s">
        <v>38</v>
      </c>
      <c r="AE619" s="2" t="s">
        <v>40</v>
      </c>
    </row>
    <row r="620" spans="1:31" ht="409.5">
      <c r="A620" s="2">
        <v>2757590</v>
      </c>
      <c r="B620" s="2">
        <f>HYPERLINK("https://platform.v2.vetology.net/cases/2757590/screening-report/1?type=pdf&amp;v=v6&amp;scorecard=1&amp;secret_key=BX%25IJ%24%2F65ieZ%29f6", 2757590)</f>
        <v>2757590</v>
      </c>
      <c r="C620" s="2">
        <f>HYPERLINK("https://platform.v2.vetology.net/report/v/final/"&amp;2757590, 2757590)</f>
        <v>2757590</v>
      </c>
      <c r="D620" s="2" t="s">
        <v>2135</v>
      </c>
      <c r="E620" s="2" t="s">
        <v>2136</v>
      </c>
      <c r="F620" s="2" t="s">
        <v>43</v>
      </c>
      <c r="G620" s="2" t="s">
        <v>44</v>
      </c>
      <c r="H620" s="2" t="s">
        <v>2137</v>
      </c>
      <c r="I620" s="2" t="s">
        <v>73</v>
      </c>
      <c r="J620" s="2" t="s">
        <v>74</v>
      </c>
      <c r="K620" s="2" t="s">
        <v>38</v>
      </c>
      <c r="L620" s="2" t="s">
        <v>39</v>
      </c>
      <c r="M620" s="2" t="s">
        <v>39</v>
      </c>
      <c r="N620" s="2" t="s">
        <v>38</v>
      </c>
      <c r="O620" s="2" t="s">
        <v>38</v>
      </c>
      <c r="P620" s="2" t="s">
        <v>38</v>
      </c>
      <c r="Q620" s="2" t="s">
        <v>38</v>
      </c>
      <c r="R620" s="2" t="s">
        <v>38</v>
      </c>
      <c r="S620" s="2" t="s">
        <v>38</v>
      </c>
      <c r="T620" s="2" t="s">
        <v>38</v>
      </c>
      <c r="U620" s="2" t="s">
        <v>38</v>
      </c>
      <c r="V620" s="2" t="s">
        <v>38</v>
      </c>
      <c r="W620" s="2" t="s">
        <v>38</v>
      </c>
      <c r="X620" s="2" t="s">
        <v>38</v>
      </c>
      <c r="Y620" s="2" t="s">
        <v>39</v>
      </c>
      <c r="Z620" s="2" t="s">
        <v>38</v>
      </c>
      <c r="AA620" s="2" t="s">
        <v>38</v>
      </c>
      <c r="AB620" s="2" t="s">
        <v>38</v>
      </c>
      <c r="AC620" s="2" t="s">
        <v>38</v>
      </c>
      <c r="AD620" s="2" t="s">
        <v>39</v>
      </c>
      <c r="AE620" s="2" t="s">
        <v>39</v>
      </c>
    </row>
    <row r="621" spans="1:31" ht="409.5">
      <c r="A621" s="2">
        <v>2757582</v>
      </c>
      <c r="B621" s="2">
        <f>HYPERLINK("https://platform.v2.vetology.net/cases/2757582/screening-report/1?type=pdf&amp;v=v6&amp;scorecard=1&amp;secret_key=BX%25IJ%24%2F65ieZ%29f6", 2757582)</f>
        <v>2757582</v>
      </c>
      <c r="C621" s="2">
        <f>HYPERLINK("https://platform.v2.vetology.net/report/v/final/"&amp;2757582, 2757582)</f>
        <v>2757582</v>
      </c>
      <c r="D621" s="2" t="s">
        <v>2138</v>
      </c>
      <c r="E621" s="2" t="s">
        <v>2139</v>
      </c>
      <c r="F621" s="2" t="s">
        <v>43</v>
      </c>
      <c r="G621" s="2" t="s">
        <v>44</v>
      </c>
      <c r="H621" s="2" t="s">
        <v>2140</v>
      </c>
      <c r="I621" s="2" t="s">
        <v>36</v>
      </c>
      <c r="J621" s="2" t="s">
        <v>37</v>
      </c>
      <c r="K621" s="2" t="s">
        <v>38</v>
      </c>
      <c r="L621" s="2" t="s">
        <v>38</v>
      </c>
      <c r="M621" s="2" t="s">
        <v>38</v>
      </c>
      <c r="N621" s="2" t="s">
        <v>38</v>
      </c>
      <c r="O621" s="2" t="s">
        <v>38</v>
      </c>
      <c r="P621" s="2" t="s">
        <v>39</v>
      </c>
      <c r="Q621" s="2" t="s">
        <v>39</v>
      </c>
      <c r="R621" s="2" t="s">
        <v>38</v>
      </c>
      <c r="S621" s="2" t="s">
        <v>38</v>
      </c>
      <c r="T621" s="2" t="s">
        <v>39</v>
      </c>
      <c r="U621" s="2" t="s">
        <v>38</v>
      </c>
      <c r="V621" s="2" t="s">
        <v>38</v>
      </c>
      <c r="W621" s="2" t="s">
        <v>38</v>
      </c>
      <c r="X621" s="2" t="s">
        <v>38</v>
      </c>
      <c r="Y621" s="2" t="s">
        <v>38</v>
      </c>
      <c r="Z621" s="2" t="s">
        <v>38</v>
      </c>
      <c r="AA621" s="2" t="s">
        <v>38</v>
      </c>
      <c r="AB621" s="2" t="s">
        <v>38</v>
      </c>
      <c r="AC621" s="2" t="s">
        <v>38</v>
      </c>
      <c r="AD621" s="2" t="s">
        <v>38</v>
      </c>
      <c r="AE621" s="2" t="s">
        <v>40</v>
      </c>
    </row>
    <row r="622" spans="1:31" ht="409.5">
      <c r="A622" s="2">
        <v>2757575</v>
      </c>
      <c r="B622" s="2">
        <f>HYPERLINK("https://platform.v2.vetology.net/cases/2757575/screening-report/1?type=pdf&amp;v=v6&amp;scorecard=1&amp;secret_key=BX%25IJ%24%2F65ieZ%29f6", 2757575)</f>
        <v>2757575</v>
      </c>
      <c r="C622" s="2">
        <f>HYPERLINK("https://platform.v2.vetology.net/report/v/final/"&amp;2757575, 2757575)</f>
        <v>2757575</v>
      </c>
      <c r="D622" s="2" t="s">
        <v>2141</v>
      </c>
      <c r="E622" s="2" t="s">
        <v>2142</v>
      </c>
      <c r="F622" s="2" t="s">
        <v>43</v>
      </c>
      <c r="G622" s="2" t="s">
        <v>44</v>
      </c>
      <c r="H622" s="2" t="s">
        <v>2143</v>
      </c>
      <c r="I622" s="2" t="s">
        <v>36</v>
      </c>
      <c r="J622" s="2" t="s">
        <v>37</v>
      </c>
      <c r="K622" s="2" t="s">
        <v>39</v>
      </c>
      <c r="L622" s="2" t="s">
        <v>38</v>
      </c>
      <c r="M622" s="2" t="s">
        <v>39</v>
      </c>
      <c r="N622" s="2" t="s">
        <v>39</v>
      </c>
      <c r="O622" s="2" t="s">
        <v>39</v>
      </c>
      <c r="P622" s="2" t="s">
        <v>39</v>
      </c>
      <c r="Q622" s="2" t="s">
        <v>39</v>
      </c>
      <c r="R622" s="2" t="s">
        <v>38</v>
      </c>
      <c r="S622" s="2" t="s">
        <v>39</v>
      </c>
      <c r="T622" s="2" t="s">
        <v>39</v>
      </c>
      <c r="U622" s="2" t="s">
        <v>39</v>
      </c>
      <c r="V622" s="2" t="s">
        <v>39</v>
      </c>
      <c r="W622" s="2" t="s">
        <v>39</v>
      </c>
      <c r="X622" s="2" t="s">
        <v>39</v>
      </c>
      <c r="Y622" s="2" t="s">
        <v>39</v>
      </c>
      <c r="Z622" s="2" t="s">
        <v>38</v>
      </c>
      <c r="AA622" s="2" t="s">
        <v>39</v>
      </c>
      <c r="AB622" s="2" t="s">
        <v>39</v>
      </c>
      <c r="AC622" s="2" t="s">
        <v>38</v>
      </c>
      <c r="AD622" s="2" t="s">
        <v>39</v>
      </c>
      <c r="AE622" s="2" t="s">
        <v>39</v>
      </c>
    </row>
    <row r="623" spans="1:31" ht="409.5">
      <c r="A623" s="2">
        <v>2757560</v>
      </c>
      <c r="B623" s="2">
        <f>HYPERLINK("https://platform.v2.vetology.net/cases/2757560/screening-report/1?type=pdf&amp;v=v6&amp;scorecard=1&amp;secret_key=BX%25IJ%24%2F65ieZ%29f6", 2757560)</f>
        <v>2757560</v>
      </c>
      <c r="C623" s="2">
        <f>HYPERLINK("https://platform.v2.vetology.net/report/v/final/"&amp;2757560, 2757560)</f>
        <v>2757560</v>
      </c>
      <c r="D623" s="2" t="s">
        <v>2144</v>
      </c>
      <c r="E623" s="2" t="s">
        <v>2145</v>
      </c>
      <c r="F623" s="2" t="s">
        <v>2146</v>
      </c>
      <c r="G623" s="2" t="s">
        <v>251</v>
      </c>
      <c r="H623" s="2" t="s">
        <v>1763</v>
      </c>
      <c r="I623" s="2" t="s">
        <v>36</v>
      </c>
      <c r="J623" s="2" t="s">
        <v>37</v>
      </c>
      <c r="K623" s="2" t="s">
        <v>39</v>
      </c>
      <c r="L623" s="2" t="s">
        <v>38</v>
      </c>
      <c r="M623" s="2" t="s">
        <v>38</v>
      </c>
      <c r="N623" s="2" t="s">
        <v>38</v>
      </c>
      <c r="O623" s="2" t="s">
        <v>38</v>
      </c>
      <c r="P623" s="2" t="s">
        <v>39</v>
      </c>
      <c r="Q623" s="2" t="s">
        <v>39</v>
      </c>
      <c r="R623" s="2" t="s">
        <v>38</v>
      </c>
      <c r="S623" s="2" t="s">
        <v>38</v>
      </c>
      <c r="T623" s="2" t="s">
        <v>38</v>
      </c>
      <c r="U623" s="2" t="s">
        <v>39</v>
      </c>
      <c r="V623" s="2" t="s">
        <v>39</v>
      </c>
      <c r="W623" s="2" t="s">
        <v>38</v>
      </c>
      <c r="X623" s="2" t="s">
        <v>39</v>
      </c>
      <c r="Y623" s="2" t="s">
        <v>39</v>
      </c>
      <c r="Z623" s="2" t="s">
        <v>38</v>
      </c>
      <c r="AA623" s="2" t="s">
        <v>39</v>
      </c>
      <c r="AB623" s="2" t="s">
        <v>39</v>
      </c>
      <c r="AC623" s="2" t="s">
        <v>38</v>
      </c>
      <c r="AD623" s="2" t="s">
        <v>39</v>
      </c>
      <c r="AE623" s="2" t="s">
        <v>39</v>
      </c>
    </row>
    <row r="624" spans="1:31" ht="409.5">
      <c r="A624" s="2">
        <v>2757558</v>
      </c>
      <c r="B624" s="2">
        <f>HYPERLINK("https://platform.v2.vetology.net/cases/2757558/screening-report/1?type=pdf&amp;v=v6&amp;scorecard=1&amp;secret_key=BX%25IJ%24%2F65ieZ%29f6", 2757558)</f>
        <v>2757558</v>
      </c>
      <c r="C624" s="2">
        <f>HYPERLINK("https://platform.v2.vetology.net/report/v/final/"&amp;2757558, 2757558)</f>
        <v>2757558</v>
      </c>
      <c r="D624" s="2" t="s">
        <v>2147</v>
      </c>
      <c r="E624" s="2" t="s">
        <v>2148</v>
      </c>
      <c r="F624" s="2" t="s">
        <v>2149</v>
      </c>
      <c r="G624" s="2" t="s">
        <v>251</v>
      </c>
      <c r="H624" s="2" t="s">
        <v>2150</v>
      </c>
      <c r="I624" s="2" t="s">
        <v>36</v>
      </c>
      <c r="J624" s="2" t="s">
        <v>37</v>
      </c>
      <c r="K624" s="2" t="s">
        <v>39</v>
      </c>
      <c r="L624" s="2" t="s">
        <v>38</v>
      </c>
      <c r="M624" s="2" t="s">
        <v>38</v>
      </c>
      <c r="N624" s="2" t="s">
        <v>38</v>
      </c>
      <c r="O624" s="2" t="s">
        <v>38</v>
      </c>
      <c r="P624" s="2" t="s">
        <v>39</v>
      </c>
      <c r="Q624" s="2" t="s">
        <v>39</v>
      </c>
      <c r="R624" s="2" t="s">
        <v>38</v>
      </c>
      <c r="S624" s="2" t="s">
        <v>38</v>
      </c>
      <c r="T624" s="2" t="s">
        <v>39</v>
      </c>
      <c r="U624" s="2" t="s">
        <v>38</v>
      </c>
      <c r="V624" s="2" t="s">
        <v>38</v>
      </c>
      <c r="W624" s="2" t="s">
        <v>38</v>
      </c>
      <c r="X624" s="2" t="s">
        <v>39</v>
      </c>
      <c r="Y624" s="2" t="s">
        <v>39</v>
      </c>
      <c r="Z624" s="2" t="s">
        <v>38</v>
      </c>
      <c r="AA624" s="2" t="s">
        <v>38</v>
      </c>
      <c r="AB624" s="2" t="s">
        <v>39</v>
      </c>
      <c r="AC624" s="2" t="s">
        <v>38</v>
      </c>
      <c r="AD624" s="2" t="s">
        <v>38</v>
      </c>
      <c r="AE624" s="2"/>
    </row>
    <row r="625" spans="1:31" ht="409.5">
      <c r="A625" s="2">
        <v>2757546</v>
      </c>
      <c r="B625" s="2">
        <f>HYPERLINK("https://platform.v2.vetology.net/cases/2757546/screening-report/1?type=pdf&amp;v=v6&amp;scorecard=1&amp;secret_key=BX%25IJ%24%2F65ieZ%29f6", 2757546)</f>
        <v>2757546</v>
      </c>
      <c r="C625" s="2">
        <f>HYPERLINK("https://platform.v2.vetology.net/report/v/final/"&amp;2757546, 2757546)</f>
        <v>2757546</v>
      </c>
      <c r="D625" s="2" t="s">
        <v>2151</v>
      </c>
      <c r="E625" s="2" t="s">
        <v>2152</v>
      </c>
      <c r="F625" s="2" t="s">
        <v>43</v>
      </c>
      <c r="G625" s="2" t="s">
        <v>507</v>
      </c>
      <c r="H625" s="2" t="s">
        <v>45</v>
      </c>
      <c r="I625" s="2" t="s">
        <v>46</v>
      </c>
      <c r="J625" s="2"/>
      <c r="K625" s="2" t="s">
        <v>39</v>
      </c>
      <c r="L625" s="2" t="s">
        <v>39</v>
      </c>
      <c r="M625" s="2" t="s">
        <v>39</v>
      </c>
      <c r="N625" s="2" t="s">
        <v>39</v>
      </c>
      <c r="O625" s="2" t="s">
        <v>39</v>
      </c>
      <c r="P625" s="2" t="s">
        <v>39</v>
      </c>
      <c r="Q625" s="2" t="s">
        <v>39</v>
      </c>
      <c r="R625" s="2" t="s">
        <v>38</v>
      </c>
      <c r="S625" s="2" t="s">
        <v>39</v>
      </c>
      <c r="T625" s="2" t="s">
        <v>39</v>
      </c>
      <c r="U625" s="2" t="s">
        <v>39</v>
      </c>
      <c r="V625" s="2" t="s">
        <v>39</v>
      </c>
      <c r="W625" s="2" t="s">
        <v>38</v>
      </c>
      <c r="X625" s="2" t="s">
        <v>39</v>
      </c>
      <c r="Y625" s="2" t="s">
        <v>39</v>
      </c>
      <c r="Z625" s="2" t="s">
        <v>38</v>
      </c>
      <c r="AA625" s="2" t="s">
        <v>39</v>
      </c>
      <c r="AB625" s="2" t="s">
        <v>39</v>
      </c>
      <c r="AC625" s="2" t="s">
        <v>38</v>
      </c>
      <c r="AD625" s="2" t="s">
        <v>38</v>
      </c>
      <c r="AE625" s="2" t="s">
        <v>39</v>
      </c>
    </row>
    <row r="626" spans="1:31" ht="409.5">
      <c r="A626" s="2">
        <v>2757532</v>
      </c>
      <c r="B626" s="2">
        <f>HYPERLINK("https://platform.v2.vetology.net/cases/2757532/screening-report/1?type=pdf&amp;v=v6&amp;scorecard=1&amp;secret_key=BX%25IJ%24%2F65ieZ%29f6", 2757532)</f>
        <v>2757532</v>
      </c>
      <c r="C626" s="2">
        <f>HYPERLINK("https://platform.v2.vetology.net/report/v/final/"&amp;2757532, 2757532)</f>
        <v>2757532</v>
      </c>
      <c r="D626" s="2" t="s">
        <v>2153</v>
      </c>
      <c r="E626" s="2" t="s">
        <v>2154</v>
      </c>
      <c r="F626" s="2" t="s">
        <v>2155</v>
      </c>
      <c r="G626" s="2" t="s">
        <v>53</v>
      </c>
      <c r="H626" s="2" t="s">
        <v>2156</v>
      </c>
      <c r="I626" s="2" t="s">
        <v>73</v>
      </c>
      <c r="J626" s="2" t="s">
        <v>74</v>
      </c>
      <c r="K626" s="2" t="s">
        <v>38</v>
      </c>
      <c r="L626" s="2" t="s">
        <v>38</v>
      </c>
      <c r="M626" s="2" t="s">
        <v>38</v>
      </c>
      <c r="N626" s="2" t="s">
        <v>38</v>
      </c>
      <c r="O626" s="2" t="s">
        <v>38</v>
      </c>
      <c r="P626" s="2" t="s">
        <v>38</v>
      </c>
      <c r="Q626" s="2" t="s">
        <v>38</v>
      </c>
      <c r="R626" s="2" t="s">
        <v>38</v>
      </c>
      <c r="S626" s="2" t="s">
        <v>38</v>
      </c>
      <c r="T626" s="2" t="s">
        <v>38</v>
      </c>
      <c r="U626" s="2" t="s">
        <v>38</v>
      </c>
      <c r="V626" s="2" t="s">
        <v>38</v>
      </c>
      <c r="W626" s="2" t="s">
        <v>38</v>
      </c>
      <c r="X626" s="2" t="s">
        <v>39</v>
      </c>
      <c r="Y626" s="2" t="s">
        <v>39</v>
      </c>
      <c r="Z626" s="2" t="s">
        <v>38</v>
      </c>
      <c r="AA626" s="2" t="s">
        <v>38</v>
      </c>
      <c r="AB626" s="2" t="s">
        <v>38</v>
      </c>
      <c r="AC626" s="2" t="s">
        <v>38</v>
      </c>
      <c r="AD626" s="2" t="s">
        <v>38</v>
      </c>
      <c r="AE626" s="2" t="s">
        <v>40</v>
      </c>
    </row>
    <row r="627" spans="1:31" ht="409.5">
      <c r="A627" s="2">
        <v>2757530</v>
      </c>
      <c r="B627" s="2">
        <f>HYPERLINK("https://platform.v2.vetology.net/cases/2757530/screening-report/1?type=pdf&amp;v=v6&amp;scorecard=1&amp;secret_key=BX%25IJ%24%2F65ieZ%29f6", 2757530)</f>
        <v>2757530</v>
      </c>
      <c r="C627" s="2">
        <f>HYPERLINK("https://platform.v2.vetology.net/report/v/final/"&amp;2757530, 2757530)</f>
        <v>2757530</v>
      </c>
      <c r="D627" s="2" t="s">
        <v>2157</v>
      </c>
      <c r="E627" s="2" t="s">
        <v>2158</v>
      </c>
      <c r="F627" s="2" t="s">
        <v>43</v>
      </c>
      <c r="G627" s="2" t="s">
        <v>507</v>
      </c>
      <c r="H627" s="2" t="s">
        <v>2159</v>
      </c>
      <c r="I627" s="2" t="s">
        <v>36</v>
      </c>
      <c r="J627" s="2" t="s">
        <v>37</v>
      </c>
      <c r="K627" s="2" t="s">
        <v>38</v>
      </c>
      <c r="L627" s="2" t="s">
        <v>38</v>
      </c>
      <c r="M627" s="2" t="s">
        <v>38</v>
      </c>
      <c r="N627" s="2" t="s">
        <v>38</v>
      </c>
      <c r="O627" s="2" t="s">
        <v>38</v>
      </c>
      <c r="P627" s="2" t="s">
        <v>39</v>
      </c>
      <c r="Q627" s="2" t="s">
        <v>39</v>
      </c>
      <c r="R627" s="2" t="s">
        <v>38</v>
      </c>
      <c r="S627" s="2" t="s">
        <v>38</v>
      </c>
      <c r="T627" s="2" t="s">
        <v>38</v>
      </c>
      <c r="U627" s="2" t="s">
        <v>38</v>
      </c>
      <c r="V627" s="2" t="s">
        <v>38</v>
      </c>
      <c r="W627" s="2" t="s">
        <v>38</v>
      </c>
      <c r="X627" s="2" t="s">
        <v>39</v>
      </c>
      <c r="Y627" s="2" t="s">
        <v>39</v>
      </c>
      <c r="Z627" s="2" t="s">
        <v>38</v>
      </c>
      <c r="AA627" s="2" t="s">
        <v>38</v>
      </c>
      <c r="AB627" s="2" t="s">
        <v>39</v>
      </c>
      <c r="AC627" s="2" t="s">
        <v>38</v>
      </c>
      <c r="AD627" s="2" t="s">
        <v>38</v>
      </c>
      <c r="AE627" s="2" t="s">
        <v>39</v>
      </c>
    </row>
    <row r="628" spans="1:31" ht="409.5">
      <c r="A628" s="2">
        <v>2757527</v>
      </c>
      <c r="B628" s="2">
        <f>HYPERLINK("https://platform.v2.vetology.net/cases/2757527/screening-report/1?type=pdf&amp;v=v6&amp;scorecard=1&amp;secret_key=BX%25IJ%24%2F65ieZ%29f6", 2757527)</f>
        <v>2757527</v>
      </c>
      <c r="C628" s="2">
        <f>HYPERLINK("https://platform.v2.vetology.net/report/v/final/"&amp;2757527, 2757527)</f>
        <v>2757527</v>
      </c>
      <c r="D628" s="2" t="s">
        <v>2160</v>
      </c>
      <c r="E628" s="2" t="s">
        <v>2161</v>
      </c>
      <c r="F628" s="2" t="s">
        <v>2162</v>
      </c>
      <c r="G628" s="2" t="s">
        <v>170</v>
      </c>
      <c r="H628" s="2" t="s">
        <v>2163</v>
      </c>
      <c r="I628" s="2" t="s">
        <v>73</v>
      </c>
      <c r="J628" s="2" t="s">
        <v>74</v>
      </c>
      <c r="K628" s="2" t="s">
        <v>38</v>
      </c>
      <c r="L628" s="2" t="s">
        <v>38</v>
      </c>
      <c r="M628" s="2" t="s">
        <v>38</v>
      </c>
      <c r="N628" s="2" t="s">
        <v>38</v>
      </c>
      <c r="O628" s="2" t="s">
        <v>38</v>
      </c>
      <c r="P628" s="2" t="s">
        <v>38</v>
      </c>
      <c r="Q628" s="2" t="s">
        <v>38</v>
      </c>
      <c r="R628" s="2" t="s">
        <v>38</v>
      </c>
      <c r="S628" s="2" t="s">
        <v>38</v>
      </c>
      <c r="T628" s="2" t="s">
        <v>38</v>
      </c>
      <c r="U628" s="2" t="s">
        <v>38</v>
      </c>
      <c r="V628" s="2" t="s">
        <v>38</v>
      </c>
      <c r="W628" s="2" t="s">
        <v>38</v>
      </c>
      <c r="X628" s="2" t="s">
        <v>38</v>
      </c>
      <c r="Y628" s="2" t="s">
        <v>38</v>
      </c>
      <c r="Z628" s="2" t="s">
        <v>38</v>
      </c>
      <c r="AA628" s="2" t="s">
        <v>38</v>
      </c>
      <c r="AB628" s="2" t="s">
        <v>38</v>
      </c>
      <c r="AC628" s="2" t="s">
        <v>38</v>
      </c>
      <c r="AD628" s="2" t="s">
        <v>38</v>
      </c>
      <c r="AE628" s="2" t="s">
        <v>39</v>
      </c>
    </row>
    <row r="629" spans="1:31" ht="409.5">
      <c r="A629" s="2">
        <v>2757523</v>
      </c>
      <c r="B629" s="2">
        <f>HYPERLINK("https://platform.v2.vetology.net/cases/2757523/screening-report/1?type=pdf&amp;v=v6&amp;scorecard=1&amp;secret_key=BX%25IJ%24%2F65ieZ%29f6", 2757523)</f>
        <v>2757523</v>
      </c>
      <c r="C629" s="2">
        <f>HYPERLINK("https://platform.v2.vetology.net/report/v/final/"&amp;2757523, 2757523)</f>
        <v>2757523</v>
      </c>
      <c r="D629" s="2" t="s">
        <v>2164</v>
      </c>
      <c r="E629" s="2" t="s">
        <v>2165</v>
      </c>
      <c r="F629" s="2"/>
      <c r="G629" s="2" t="s">
        <v>81</v>
      </c>
      <c r="H629" s="2" t="s">
        <v>2166</v>
      </c>
      <c r="I629" s="2" t="s">
        <v>36</v>
      </c>
      <c r="J629" s="2" t="s">
        <v>37</v>
      </c>
      <c r="K629" s="2" t="s">
        <v>39</v>
      </c>
      <c r="L629" s="2" t="s">
        <v>38</v>
      </c>
      <c r="M629" s="2" t="s">
        <v>39</v>
      </c>
      <c r="N629" s="2" t="s">
        <v>39</v>
      </c>
      <c r="O629" s="2" t="s">
        <v>39</v>
      </c>
      <c r="P629" s="2" t="s">
        <v>39</v>
      </c>
      <c r="Q629" s="2" t="s">
        <v>39</v>
      </c>
      <c r="R629" s="2" t="s">
        <v>38</v>
      </c>
      <c r="S629" s="2" t="s">
        <v>39</v>
      </c>
      <c r="T629" s="2" t="s">
        <v>39</v>
      </c>
      <c r="U629" s="2" t="s">
        <v>39</v>
      </c>
      <c r="V629" s="2" t="s">
        <v>39</v>
      </c>
      <c r="W629" s="2" t="s">
        <v>39</v>
      </c>
      <c r="X629" s="2" t="s">
        <v>39</v>
      </c>
      <c r="Y629" s="2" t="s">
        <v>39</v>
      </c>
      <c r="Z629" s="2" t="s">
        <v>38</v>
      </c>
      <c r="AA629" s="2" t="s">
        <v>38</v>
      </c>
      <c r="AB629" s="2" t="s">
        <v>39</v>
      </c>
      <c r="AC629" s="2" t="s">
        <v>38</v>
      </c>
      <c r="AD629" s="2" t="s">
        <v>38</v>
      </c>
      <c r="AE629" s="2" t="s">
        <v>39</v>
      </c>
    </row>
    <row r="630" spans="1:31" ht="409.5">
      <c r="A630" s="2">
        <v>2757479</v>
      </c>
      <c r="B630" s="2">
        <f>HYPERLINK("https://platform.v2.vetology.net/cases/2757479/screening-report/1?type=pdf&amp;v=v6&amp;scorecard=1&amp;secret_key=BX%25IJ%24%2F65ieZ%29f6", 2757479)</f>
        <v>2757479</v>
      </c>
      <c r="C630" s="2">
        <f>HYPERLINK("https://platform.v2.vetology.net/report/v/final/"&amp;2757479, 2757479)</f>
        <v>2757479</v>
      </c>
      <c r="D630" s="2" t="s">
        <v>2167</v>
      </c>
      <c r="E630" s="2" t="s">
        <v>2168</v>
      </c>
      <c r="F630" s="2" t="s">
        <v>2169</v>
      </c>
      <c r="G630" s="2" t="s">
        <v>53</v>
      </c>
      <c r="H630" s="2" t="s">
        <v>561</v>
      </c>
      <c r="I630" s="2" t="s">
        <v>36</v>
      </c>
      <c r="J630" s="2" t="s">
        <v>37</v>
      </c>
      <c r="K630" s="2" t="s">
        <v>39</v>
      </c>
      <c r="L630" s="2" t="s">
        <v>38</v>
      </c>
      <c r="M630" s="2" t="s">
        <v>38</v>
      </c>
      <c r="N630" s="2" t="s">
        <v>38</v>
      </c>
      <c r="O630" s="2" t="s">
        <v>38</v>
      </c>
      <c r="P630" s="2" t="s">
        <v>39</v>
      </c>
      <c r="Q630" s="2" t="s">
        <v>39</v>
      </c>
      <c r="R630" s="2" t="s">
        <v>38</v>
      </c>
      <c r="S630" s="2" t="s">
        <v>38</v>
      </c>
      <c r="T630" s="2" t="s">
        <v>39</v>
      </c>
      <c r="U630" s="2" t="s">
        <v>39</v>
      </c>
      <c r="V630" s="2" t="s">
        <v>38</v>
      </c>
      <c r="W630" s="2" t="s">
        <v>38</v>
      </c>
      <c r="X630" s="2" t="s">
        <v>39</v>
      </c>
      <c r="Y630" s="2" t="s">
        <v>39</v>
      </c>
      <c r="Z630" s="2" t="s">
        <v>38</v>
      </c>
      <c r="AA630" s="2" t="s">
        <v>39</v>
      </c>
      <c r="AB630" s="2" t="s">
        <v>39</v>
      </c>
      <c r="AC630" s="2" t="s">
        <v>38</v>
      </c>
      <c r="AD630" s="2" t="s">
        <v>38</v>
      </c>
      <c r="AE630" s="2" t="s">
        <v>39</v>
      </c>
    </row>
    <row r="631" spans="1:31" ht="409.5">
      <c r="A631" s="2">
        <v>2757403</v>
      </c>
      <c r="B631" s="2">
        <f>HYPERLINK("https://platform.v2.vetology.net/cases/2757403/screening-report/1?type=pdf&amp;v=v6&amp;scorecard=1&amp;secret_key=BX%25IJ%24%2F65ieZ%29f6", 2757403)</f>
        <v>2757403</v>
      </c>
      <c r="C631" s="2">
        <f>HYPERLINK("https://platform.v2.vetology.net/report/v/final/"&amp;2757403, 2757403)</f>
        <v>2757403</v>
      </c>
      <c r="D631" s="2" t="s">
        <v>2170</v>
      </c>
      <c r="E631" s="2" t="s">
        <v>2171</v>
      </c>
      <c r="F631" s="2" t="s">
        <v>43</v>
      </c>
      <c r="G631" s="2" t="s">
        <v>507</v>
      </c>
      <c r="H631" s="2" t="s">
        <v>2172</v>
      </c>
      <c r="I631" s="2" t="s">
        <v>129</v>
      </c>
      <c r="J631" s="2" t="s">
        <v>74</v>
      </c>
      <c r="K631" s="2" t="s">
        <v>38</v>
      </c>
      <c r="L631" s="2" t="s">
        <v>39</v>
      </c>
      <c r="M631" s="2" t="s">
        <v>38</v>
      </c>
      <c r="N631" s="2" t="s">
        <v>38</v>
      </c>
      <c r="O631" s="2" t="s">
        <v>39</v>
      </c>
      <c r="P631" s="2" t="s">
        <v>38</v>
      </c>
      <c r="Q631" s="2" t="s">
        <v>38</v>
      </c>
      <c r="R631" s="2" t="s">
        <v>39</v>
      </c>
      <c r="S631" s="2" t="s">
        <v>39</v>
      </c>
      <c r="T631" s="2" t="s">
        <v>38</v>
      </c>
      <c r="U631" s="2" t="s">
        <v>39</v>
      </c>
      <c r="V631" s="2" t="s">
        <v>39</v>
      </c>
      <c r="W631" s="2" t="s">
        <v>38</v>
      </c>
      <c r="X631" s="2" t="s">
        <v>38</v>
      </c>
      <c r="Y631" s="2" t="s">
        <v>39</v>
      </c>
      <c r="Z631" s="2" t="s">
        <v>38</v>
      </c>
      <c r="AA631" s="2" t="s">
        <v>38</v>
      </c>
      <c r="AB631" s="2" t="s">
        <v>38</v>
      </c>
      <c r="AC631" s="2" t="s">
        <v>39</v>
      </c>
      <c r="AD631" s="2" t="s">
        <v>39</v>
      </c>
      <c r="AE631" s="2" t="s">
        <v>40</v>
      </c>
    </row>
    <row r="632" spans="1:31" ht="409.5">
      <c r="A632" s="2">
        <v>2757320</v>
      </c>
      <c r="B632" s="2">
        <f>HYPERLINK("https://platform.v2.vetology.net/cases/2757320/screening-report/1?type=pdf&amp;v=v6&amp;scorecard=1&amp;secret_key=BX%25IJ%24%2F65ieZ%29f6", 2757320)</f>
        <v>2757320</v>
      </c>
      <c r="C632" s="2">
        <f>HYPERLINK("https://platform.v2.vetology.net/report/v/final/"&amp;2757320, 2757320)</f>
        <v>2757320</v>
      </c>
      <c r="D632" s="2" t="s">
        <v>2173</v>
      </c>
      <c r="E632" s="2" t="s">
        <v>2174</v>
      </c>
      <c r="F632" s="2" t="s">
        <v>2175</v>
      </c>
      <c r="G632" s="2" t="s">
        <v>507</v>
      </c>
      <c r="H632" s="2" t="s">
        <v>2176</v>
      </c>
      <c r="I632" s="2" t="s">
        <v>36</v>
      </c>
      <c r="J632" s="2" t="s">
        <v>37</v>
      </c>
      <c r="K632" s="2" t="s">
        <v>38</v>
      </c>
      <c r="L632" s="2" t="s">
        <v>38</v>
      </c>
      <c r="M632" s="2" t="s">
        <v>38</v>
      </c>
      <c r="N632" s="2" t="s">
        <v>38</v>
      </c>
      <c r="O632" s="2" t="s">
        <v>38</v>
      </c>
      <c r="P632" s="2" t="s">
        <v>38</v>
      </c>
      <c r="Q632" s="2" t="s">
        <v>39</v>
      </c>
      <c r="R632" s="2" t="s">
        <v>39</v>
      </c>
      <c r="S632" s="2" t="s">
        <v>38</v>
      </c>
      <c r="T632" s="2" t="s">
        <v>38</v>
      </c>
      <c r="U632" s="2" t="s">
        <v>39</v>
      </c>
      <c r="V632" s="2" t="s">
        <v>38</v>
      </c>
      <c r="W632" s="2" t="s">
        <v>38</v>
      </c>
      <c r="X632" s="2" t="s">
        <v>38</v>
      </c>
      <c r="Y632" s="2" t="s">
        <v>39</v>
      </c>
      <c r="Z632" s="2" t="s">
        <v>38</v>
      </c>
      <c r="AA632" s="2" t="s">
        <v>38</v>
      </c>
      <c r="AB632" s="2" t="s">
        <v>38</v>
      </c>
      <c r="AC632" s="2" t="s">
        <v>38</v>
      </c>
      <c r="AD632" s="2" t="s">
        <v>38</v>
      </c>
      <c r="AE632" s="2" t="s">
        <v>40</v>
      </c>
    </row>
    <row r="633" spans="1:31" ht="409.5">
      <c r="A633" s="2">
        <v>2757303</v>
      </c>
      <c r="B633" s="2">
        <f>HYPERLINK("https://platform.v2.vetology.net/cases/2757303/screening-report/1?type=pdf&amp;v=v6&amp;scorecard=1&amp;secret_key=BX%25IJ%24%2F65ieZ%29f6", 2757303)</f>
        <v>2757303</v>
      </c>
      <c r="C633" s="2">
        <f>HYPERLINK("https://platform.v2.vetology.net/report/v/final/"&amp;2757303, 2757303)</f>
        <v>2757303</v>
      </c>
      <c r="D633" s="2" t="s">
        <v>2177</v>
      </c>
      <c r="E633" s="2" t="s">
        <v>2178</v>
      </c>
      <c r="F633" s="2" t="s">
        <v>2179</v>
      </c>
      <c r="G633" s="2" t="s">
        <v>34</v>
      </c>
      <c r="H633" s="2" t="s">
        <v>2180</v>
      </c>
      <c r="I633" s="2" t="s">
        <v>59</v>
      </c>
      <c r="J633" s="2" t="s">
        <v>37</v>
      </c>
      <c r="K633" s="2" t="s">
        <v>38</v>
      </c>
      <c r="L633" s="2" t="s">
        <v>39</v>
      </c>
      <c r="M633" s="2" t="s">
        <v>39</v>
      </c>
      <c r="N633" s="2" t="s">
        <v>38</v>
      </c>
      <c r="O633" s="2" t="s">
        <v>39</v>
      </c>
      <c r="P633" s="2" t="s">
        <v>39</v>
      </c>
      <c r="Q633" s="2" t="s">
        <v>39</v>
      </c>
      <c r="R633" s="2" t="s">
        <v>38</v>
      </c>
      <c r="S633" s="2" t="s">
        <v>39</v>
      </c>
      <c r="T633" s="2" t="s">
        <v>39</v>
      </c>
      <c r="U633" s="2" t="s">
        <v>39</v>
      </c>
      <c r="V633" s="2" t="s">
        <v>38</v>
      </c>
      <c r="W633" s="2" t="s">
        <v>38</v>
      </c>
      <c r="X633" s="2" t="s">
        <v>39</v>
      </c>
      <c r="Y633" s="2" t="s">
        <v>39</v>
      </c>
      <c r="Z633" s="2" t="s">
        <v>39</v>
      </c>
      <c r="AA633" s="2" t="s">
        <v>39</v>
      </c>
      <c r="AB633" s="2" t="s">
        <v>39</v>
      </c>
      <c r="AC633" s="2" t="s">
        <v>38</v>
      </c>
      <c r="AD633" s="2" t="s">
        <v>39</v>
      </c>
      <c r="AE633" s="2" t="s">
        <v>39</v>
      </c>
    </row>
    <row r="634" spans="1:31" ht="409.5">
      <c r="A634" s="2">
        <v>2757281</v>
      </c>
      <c r="B634" s="2">
        <f>HYPERLINK("https://platform.v2.vetology.net/cases/2757281/screening-report/1?type=pdf&amp;v=v6&amp;scorecard=1&amp;secret_key=BX%25IJ%24%2F65ieZ%29f6", 2757281)</f>
        <v>2757281</v>
      </c>
      <c r="C634" s="2">
        <f>HYPERLINK("https://platform.v2.vetology.net/report/v/final/"&amp;2757281, 2757281)</f>
        <v>2757281</v>
      </c>
      <c r="D634" s="2" t="s">
        <v>2181</v>
      </c>
      <c r="E634" s="2" t="s">
        <v>2182</v>
      </c>
      <c r="F634" s="2" t="s">
        <v>2183</v>
      </c>
      <c r="G634" s="2" t="s">
        <v>100</v>
      </c>
      <c r="H634" s="2" t="s">
        <v>1526</v>
      </c>
      <c r="I634" s="2" t="s">
        <v>36</v>
      </c>
      <c r="J634" s="2" t="s">
        <v>37</v>
      </c>
      <c r="K634" s="2" t="s">
        <v>39</v>
      </c>
      <c r="L634" s="2" t="s">
        <v>38</v>
      </c>
      <c r="M634" s="2" t="s">
        <v>39</v>
      </c>
      <c r="N634" s="2" t="s">
        <v>38</v>
      </c>
      <c r="O634" s="2" t="s">
        <v>39</v>
      </c>
      <c r="P634" s="2" t="s">
        <v>39</v>
      </c>
      <c r="Q634" s="2" t="s">
        <v>39</v>
      </c>
      <c r="R634" s="2" t="s">
        <v>38</v>
      </c>
      <c r="S634" s="2" t="s">
        <v>38</v>
      </c>
      <c r="T634" s="2" t="s">
        <v>39</v>
      </c>
      <c r="U634" s="2" t="s">
        <v>39</v>
      </c>
      <c r="V634" s="2" t="s">
        <v>39</v>
      </c>
      <c r="W634" s="2" t="s">
        <v>38</v>
      </c>
      <c r="X634" s="2" t="s">
        <v>39</v>
      </c>
      <c r="Y634" s="2" t="s">
        <v>38</v>
      </c>
      <c r="Z634" s="2" t="s">
        <v>38</v>
      </c>
      <c r="AA634" s="2" t="s">
        <v>38</v>
      </c>
      <c r="AB634" s="2" t="s">
        <v>39</v>
      </c>
      <c r="AC634" s="2" t="s">
        <v>38</v>
      </c>
      <c r="AD634" s="2" t="s">
        <v>38</v>
      </c>
      <c r="AE634" s="2" t="s">
        <v>39</v>
      </c>
    </row>
    <row r="635" spans="1:31" ht="409.5">
      <c r="A635" s="2">
        <v>2757273</v>
      </c>
      <c r="B635" s="2">
        <f>HYPERLINK("https://platform.v2.vetology.net/cases/2757273/screening-report/1?type=pdf&amp;v=v6&amp;scorecard=1&amp;secret_key=BX%25IJ%24%2F65ieZ%29f6", 2757273)</f>
        <v>2757273</v>
      </c>
      <c r="C635" s="2">
        <f>HYPERLINK("https://platform.v2.vetology.net/report/v/final/"&amp;2757273, 2757273)</f>
        <v>2757273</v>
      </c>
      <c r="D635" s="2" t="s">
        <v>2184</v>
      </c>
      <c r="E635" s="2" t="s">
        <v>2185</v>
      </c>
      <c r="F635" s="2" t="s">
        <v>43</v>
      </c>
      <c r="G635" s="2" t="s">
        <v>44</v>
      </c>
      <c r="H635" s="2" t="s">
        <v>2186</v>
      </c>
      <c r="I635" s="2" t="s">
        <v>46</v>
      </c>
      <c r="J635" s="2"/>
      <c r="K635" s="2" t="s">
        <v>38</v>
      </c>
      <c r="L635" s="2" t="s">
        <v>38</v>
      </c>
      <c r="M635" s="2" t="s">
        <v>39</v>
      </c>
      <c r="N635" s="2" t="s">
        <v>39</v>
      </c>
      <c r="O635" s="2" t="s">
        <v>39</v>
      </c>
      <c r="P635" s="2" t="s">
        <v>39</v>
      </c>
      <c r="Q635" s="2" t="s">
        <v>39</v>
      </c>
      <c r="R635" s="2" t="s">
        <v>39</v>
      </c>
      <c r="S635" s="2" t="s">
        <v>38</v>
      </c>
      <c r="T635" s="2" t="s">
        <v>38</v>
      </c>
      <c r="U635" s="2" t="s">
        <v>38</v>
      </c>
      <c r="V635" s="2" t="s">
        <v>38</v>
      </c>
      <c r="W635" s="2" t="s">
        <v>38</v>
      </c>
      <c r="X635" s="2" t="s">
        <v>39</v>
      </c>
      <c r="Y635" s="2" t="s">
        <v>39</v>
      </c>
      <c r="Z635" s="2" t="s">
        <v>38</v>
      </c>
      <c r="AA635" s="2" t="s">
        <v>39</v>
      </c>
      <c r="AB635" s="2" t="s">
        <v>39</v>
      </c>
      <c r="AC635" s="2" t="s">
        <v>38</v>
      </c>
      <c r="AD635" s="2" t="s">
        <v>39</v>
      </c>
      <c r="AE635" s="2" t="s">
        <v>39</v>
      </c>
    </row>
    <row r="636" spans="1:31" ht="409.5">
      <c r="A636" s="2">
        <v>2757242</v>
      </c>
      <c r="B636" s="2">
        <f>HYPERLINK("https://platform.v2.vetology.net/cases/2757242/screening-report/1?type=pdf&amp;v=v6&amp;scorecard=1&amp;secret_key=BX%25IJ%24%2F65ieZ%29f6", 2757242)</f>
        <v>2757242</v>
      </c>
      <c r="C636" s="2">
        <f>HYPERLINK("https://platform.v2.vetology.net/report/v/final/"&amp;2757242, 2757242)</f>
        <v>2757242</v>
      </c>
      <c r="D636" s="2" t="s">
        <v>2187</v>
      </c>
      <c r="E636" s="2" t="s">
        <v>2188</v>
      </c>
      <c r="F636" s="2" t="s">
        <v>2082</v>
      </c>
      <c r="G636" s="2" t="s">
        <v>170</v>
      </c>
      <c r="H636" s="2" t="s">
        <v>62</v>
      </c>
      <c r="I636" s="2" t="s">
        <v>46</v>
      </c>
      <c r="J636" s="2"/>
      <c r="K636" s="2" t="s">
        <v>39</v>
      </c>
      <c r="L636" s="2" t="s">
        <v>39</v>
      </c>
      <c r="M636" s="2" t="s">
        <v>39</v>
      </c>
      <c r="N636" s="2" t="s">
        <v>39</v>
      </c>
      <c r="O636" s="2" t="s">
        <v>39</v>
      </c>
      <c r="P636" s="2" t="s">
        <v>39</v>
      </c>
      <c r="Q636" s="2" t="s">
        <v>39</v>
      </c>
      <c r="R636" s="2" t="s">
        <v>38</v>
      </c>
      <c r="S636" s="2" t="s">
        <v>38</v>
      </c>
      <c r="T636" s="2" t="s">
        <v>39</v>
      </c>
      <c r="U636" s="2" t="s">
        <v>39</v>
      </c>
      <c r="V636" s="2" t="s">
        <v>39</v>
      </c>
      <c r="W636" s="2" t="s">
        <v>39</v>
      </c>
      <c r="X636" s="2" t="s">
        <v>39</v>
      </c>
      <c r="Y636" s="2" t="s">
        <v>39</v>
      </c>
      <c r="Z636" s="2" t="s">
        <v>38</v>
      </c>
      <c r="AA636" s="2" t="s">
        <v>39</v>
      </c>
      <c r="AB636" s="2" t="s">
        <v>39</v>
      </c>
      <c r="AC636" s="2" t="s">
        <v>38</v>
      </c>
      <c r="AD636" s="2" t="s">
        <v>38</v>
      </c>
      <c r="AE636" s="2" t="s">
        <v>39</v>
      </c>
    </row>
    <row r="637" spans="1:31" ht="409.5">
      <c r="A637" s="2">
        <v>2757201</v>
      </c>
      <c r="B637" s="2">
        <f>HYPERLINK("https://platform.v2.vetology.net/cases/2757201/screening-report/1?type=pdf&amp;v=v6&amp;scorecard=1&amp;secret_key=BX%25IJ%24%2F65ieZ%29f6", 2757201)</f>
        <v>2757201</v>
      </c>
      <c r="C637" s="2">
        <f>HYPERLINK("https://platform.v2.vetology.net/report/v/final/"&amp;2757201, 2757201)</f>
        <v>2757201</v>
      </c>
      <c r="D637" s="2" t="s">
        <v>2189</v>
      </c>
      <c r="E637" s="2" t="s">
        <v>2190</v>
      </c>
      <c r="F637" s="2" t="s">
        <v>2191</v>
      </c>
      <c r="G637" s="2" t="s">
        <v>34</v>
      </c>
      <c r="H637" s="2" t="s">
        <v>1248</v>
      </c>
      <c r="I637" s="2" t="s">
        <v>813</v>
      </c>
      <c r="J637" s="2" t="s">
        <v>37</v>
      </c>
      <c r="K637" s="2" t="s">
        <v>39</v>
      </c>
      <c r="L637" s="2" t="s">
        <v>39</v>
      </c>
      <c r="M637" s="2" t="s">
        <v>39</v>
      </c>
      <c r="N637" s="2" t="s">
        <v>39</v>
      </c>
      <c r="O637" s="2" t="s">
        <v>39</v>
      </c>
      <c r="P637" s="2" t="s">
        <v>39</v>
      </c>
      <c r="Q637" s="2" t="s">
        <v>39</v>
      </c>
      <c r="R637" s="2" t="s">
        <v>38</v>
      </c>
      <c r="S637" s="2" t="s">
        <v>39</v>
      </c>
      <c r="T637" s="2" t="s">
        <v>39</v>
      </c>
      <c r="U637" s="2" t="s">
        <v>39</v>
      </c>
      <c r="V637" s="2" t="s">
        <v>38</v>
      </c>
      <c r="W637" s="2" t="s">
        <v>39</v>
      </c>
      <c r="X637" s="2" t="s">
        <v>39</v>
      </c>
      <c r="Y637" s="2" t="s">
        <v>39</v>
      </c>
      <c r="Z637" s="2" t="s">
        <v>39</v>
      </c>
      <c r="AA637" s="2" t="s">
        <v>39</v>
      </c>
      <c r="AB637" s="2" t="s">
        <v>39</v>
      </c>
      <c r="AC637" s="2" t="s">
        <v>38</v>
      </c>
      <c r="AD637" s="2" t="s">
        <v>38</v>
      </c>
      <c r="AE637" s="2" t="s">
        <v>39</v>
      </c>
    </row>
    <row r="638" spans="1:31" ht="409.5">
      <c r="A638" s="2">
        <v>2757169</v>
      </c>
      <c r="B638" s="2">
        <f>HYPERLINK("https://platform.v2.vetology.net/cases/2757169/screening-report/1?type=pdf&amp;v=v6&amp;scorecard=1&amp;secret_key=BX%25IJ%24%2F65ieZ%29f6", 2757169)</f>
        <v>2757169</v>
      </c>
      <c r="C638" s="2">
        <f>HYPERLINK("https://platform.v2.vetology.net/report/v/final/"&amp;2757169, 2757169)</f>
        <v>2757169</v>
      </c>
      <c r="D638" s="2" t="s">
        <v>2192</v>
      </c>
      <c r="E638" s="2" t="s">
        <v>2193</v>
      </c>
      <c r="F638" s="2" t="s">
        <v>2194</v>
      </c>
      <c r="G638" s="2" t="s">
        <v>507</v>
      </c>
      <c r="H638" s="2" t="s">
        <v>2195</v>
      </c>
      <c r="I638" s="2" t="s">
        <v>46</v>
      </c>
      <c r="J638" s="2"/>
      <c r="K638" s="2" t="s">
        <v>39</v>
      </c>
      <c r="L638" s="2" t="s">
        <v>38</v>
      </c>
      <c r="M638" s="2" t="s">
        <v>39</v>
      </c>
      <c r="N638" s="2" t="s">
        <v>39</v>
      </c>
      <c r="O638" s="2" t="s">
        <v>38</v>
      </c>
      <c r="P638" s="2" t="s">
        <v>39</v>
      </c>
      <c r="Q638" s="2" t="s">
        <v>39</v>
      </c>
      <c r="R638" s="2" t="s">
        <v>38</v>
      </c>
      <c r="S638" s="2" t="s">
        <v>38</v>
      </c>
      <c r="T638" s="2" t="s">
        <v>39</v>
      </c>
      <c r="U638" s="2" t="s">
        <v>38</v>
      </c>
      <c r="V638" s="2" t="s">
        <v>39</v>
      </c>
      <c r="W638" s="2" t="s">
        <v>39</v>
      </c>
      <c r="X638" s="2" t="s">
        <v>39</v>
      </c>
      <c r="Y638" s="2" t="s">
        <v>38</v>
      </c>
      <c r="Z638" s="2" t="s">
        <v>39</v>
      </c>
      <c r="AA638" s="2" t="s">
        <v>39</v>
      </c>
      <c r="AB638" s="2" t="s">
        <v>39</v>
      </c>
      <c r="AC638" s="2" t="s">
        <v>38</v>
      </c>
      <c r="AD638" s="2" t="s">
        <v>39</v>
      </c>
      <c r="AE638" s="2" t="s">
        <v>40</v>
      </c>
    </row>
    <row r="639" spans="1:31" ht="409.5">
      <c r="A639" s="2">
        <v>2757134</v>
      </c>
      <c r="B639" s="2">
        <f>HYPERLINK("https://platform.v2.vetology.net/cases/2757134/screening-report/1?type=pdf&amp;v=v6&amp;scorecard=1&amp;secret_key=BX%25IJ%24%2F65ieZ%29f6", 2757134)</f>
        <v>2757134</v>
      </c>
      <c r="C639" s="2">
        <f>HYPERLINK("https://platform.v2.vetology.net/report/v/final/"&amp;2757134, 2757134)</f>
        <v>2757134</v>
      </c>
      <c r="D639" s="2" t="s">
        <v>2196</v>
      </c>
      <c r="E639" s="2" t="s">
        <v>2197</v>
      </c>
      <c r="F639" s="2" t="s">
        <v>43</v>
      </c>
      <c r="G639" s="2" t="s">
        <v>100</v>
      </c>
      <c r="H639" s="2" t="s">
        <v>2198</v>
      </c>
      <c r="I639" s="2" t="s">
        <v>73</v>
      </c>
      <c r="J639" s="2" t="s">
        <v>74</v>
      </c>
      <c r="K639" s="2" t="s">
        <v>38</v>
      </c>
      <c r="L639" s="2" t="s">
        <v>38</v>
      </c>
      <c r="M639" s="2" t="s">
        <v>38</v>
      </c>
      <c r="N639" s="2" t="s">
        <v>38</v>
      </c>
      <c r="O639" s="2" t="s">
        <v>38</v>
      </c>
      <c r="P639" s="2" t="s">
        <v>38</v>
      </c>
      <c r="Q639" s="2" t="s">
        <v>38</v>
      </c>
      <c r="R639" s="2" t="s">
        <v>38</v>
      </c>
      <c r="S639" s="2" t="s">
        <v>38</v>
      </c>
      <c r="T639" s="2" t="s">
        <v>38</v>
      </c>
      <c r="U639" s="2" t="s">
        <v>38</v>
      </c>
      <c r="V639" s="2" t="s">
        <v>38</v>
      </c>
      <c r="W639" s="2" t="s">
        <v>38</v>
      </c>
      <c r="X639" s="2" t="s">
        <v>38</v>
      </c>
      <c r="Y639" s="2" t="s">
        <v>38</v>
      </c>
      <c r="Z639" s="2" t="s">
        <v>38</v>
      </c>
      <c r="AA639" s="2" t="s">
        <v>38</v>
      </c>
      <c r="AB639" s="2" t="s">
        <v>38</v>
      </c>
      <c r="AC639" s="2" t="s">
        <v>38</v>
      </c>
      <c r="AD639" s="2" t="s">
        <v>39</v>
      </c>
      <c r="AE639" s="2" t="s">
        <v>40</v>
      </c>
    </row>
    <row r="640" spans="1:31" ht="409.5">
      <c r="A640" s="2">
        <v>2757121</v>
      </c>
      <c r="B640" s="2">
        <f>HYPERLINK("https://platform.v2.vetology.net/cases/2757121/screening-report/1?type=pdf&amp;v=v6&amp;scorecard=1&amp;secret_key=BX%25IJ%24%2F65ieZ%29f6", 2757121)</f>
        <v>2757121</v>
      </c>
      <c r="C640" s="2">
        <f>HYPERLINK("https://platform.v2.vetology.net/report/v/final/"&amp;2757121, 2757121)</f>
        <v>2757121</v>
      </c>
      <c r="D640" s="2" t="s">
        <v>2199</v>
      </c>
      <c r="E640" s="2" t="s">
        <v>2200</v>
      </c>
      <c r="F640" s="2" t="s">
        <v>2201</v>
      </c>
      <c r="G640" s="2" t="s">
        <v>34</v>
      </c>
      <c r="H640" s="2" t="s">
        <v>2202</v>
      </c>
      <c r="I640" s="2" t="s">
        <v>36</v>
      </c>
      <c r="J640" s="2" t="s">
        <v>37</v>
      </c>
      <c r="K640" s="2" t="s">
        <v>38</v>
      </c>
      <c r="L640" s="2" t="s">
        <v>39</v>
      </c>
      <c r="M640" s="2" t="s">
        <v>38</v>
      </c>
      <c r="N640" s="2" t="s">
        <v>39</v>
      </c>
      <c r="O640" s="2" t="s">
        <v>39</v>
      </c>
      <c r="P640" s="2" t="s">
        <v>39</v>
      </c>
      <c r="Q640" s="2" t="s">
        <v>39</v>
      </c>
      <c r="R640" s="2" t="s">
        <v>38</v>
      </c>
      <c r="S640" s="2" t="s">
        <v>39</v>
      </c>
      <c r="T640" s="2" t="s">
        <v>39</v>
      </c>
      <c r="U640" s="2" t="s">
        <v>39</v>
      </c>
      <c r="V640" s="2" t="s">
        <v>38</v>
      </c>
      <c r="W640" s="2" t="s">
        <v>38</v>
      </c>
      <c r="X640" s="2" t="s">
        <v>39</v>
      </c>
      <c r="Y640" s="2" t="s">
        <v>39</v>
      </c>
      <c r="Z640" s="2" t="s">
        <v>39</v>
      </c>
      <c r="AA640" s="2" t="s">
        <v>38</v>
      </c>
      <c r="AB640" s="2" t="s">
        <v>39</v>
      </c>
      <c r="AC640" s="2" t="s">
        <v>38</v>
      </c>
      <c r="AD640" s="2" t="s">
        <v>39</v>
      </c>
      <c r="AE640" s="2" t="s">
        <v>40</v>
      </c>
    </row>
    <row r="641" spans="1:31" ht="409.5">
      <c r="A641" s="2">
        <v>2757118</v>
      </c>
      <c r="B641" s="2">
        <f>HYPERLINK("https://platform.v2.vetology.net/cases/2757118/screening-report/1?type=pdf&amp;v=v6&amp;scorecard=1&amp;secret_key=BX%25IJ%24%2F65ieZ%29f6", 2757118)</f>
        <v>2757118</v>
      </c>
      <c r="C641" s="2">
        <f>HYPERLINK("https://platform.v2.vetology.net/report/v/final/"&amp;2757118, 2757118)</f>
        <v>2757118</v>
      </c>
      <c r="D641" s="2" t="s">
        <v>2203</v>
      </c>
      <c r="E641" s="2" t="s">
        <v>2204</v>
      </c>
      <c r="F641" s="2" t="s">
        <v>2205</v>
      </c>
      <c r="G641" s="2" t="s">
        <v>53</v>
      </c>
      <c r="H641" s="2" t="s">
        <v>2206</v>
      </c>
      <c r="I641" s="2" t="s">
        <v>36</v>
      </c>
      <c r="J641" s="2" t="s">
        <v>37</v>
      </c>
      <c r="K641" s="2" t="s">
        <v>39</v>
      </c>
      <c r="L641" s="2" t="s">
        <v>38</v>
      </c>
      <c r="M641" s="2" t="s">
        <v>39</v>
      </c>
      <c r="N641" s="2" t="s">
        <v>39</v>
      </c>
      <c r="O641" s="2" t="s">
        <v>39</v>
      </c>
      <c r="P641" s="2" t="s">
        <v>39</v>
      </c>
      <c r="Q641" s="2" t="s">
        <v>39</v>
      </c>
      <c r="R641" s="2" t="s">
        <v>38</v>
      </c>
      <c r="S641" s="2" t="s">
        <v>38</v>
      </c>
      <c r="T641" s="2" t="s">
        <v>39</v>
      </c>
      <c r="U641" s="2" t="s">
        <v>39</v>
      </c>
      <c r="V641" s="2" t="s">
        <v>39</v>
      </c>
      <c r="W641" s="2" t="s">
        <v>38</v>
      </c>
      <c r="X641" s="2" t="s">
        <v>39</v>
      </c>
      <c r="Y641" s="2" t="s">
        <v>39</v>
      </c>
      <c r="Z641" s="2" t="s">
        <v>38</v>
      </c>
      <c r="AA641" s="2" t="s">
        <v>38</v>
      </c>
      <c r="AB641" s="2" t="s">
        <v>39</v>
      </c>
      <c r="AC641" s="2" t="s">
        <v>38</v>
      </c>
      <c r="AD641" s="2" t="s">
        <v>38</v>
      </c>
      <c r="AE641" s="2" t="s">
        <v>39</v>
      </c>
    </row>
    <row r="642" spans="1:31" ht="409.5">
      <c r="A642" s="2">
        <v>2757116</v>
      </c>
      <c r="B642" s="2">
        <f>HYPERLINK("https://platform.v2.vetology.net/cases/2757116/screening-report/1?type=pdf&amp;v=v6&amp;scorecard=1&amp;secret_key=BX%25IJ%24%2F65ieZ%29f6", 2757116)</f>
        <v>2757116</v>
      </c>
      <c r="C642" s="2">
        <f>HYPERLINK("https://platform.v2.vetology.net/report/v/final/"&amp;2757116, 2757116)</f>
        <v>2757116</v>
      </c>
      <c r="D642" s="2" t="s">
        <v>2207</v>
      </c>
      <c r="E642" s="2" t="s">
        <v>2208</v>
      </c>
      <c r="F642" s="2" t="s">
        <v>43</v>
      </c>
      <c r="G642" s="2" t="s">
        <v>507</v>
      </c>
      <c r="H642" s="2" t="s">
        <v>2209</v>
      </c>
      <c r="I642" s="2" t="s">
        <v>36</v>
      </c>
      <c r="J642" s="2" t="s">
        <v>37</v>
      </c>
      <c r="K642" s="2" t="s">
        <v>38</v>
      </c>
      <c r="L642" s="2" t="s">
        <v>38</v>
      </c>
      <c r="M642" s="2" t="s">
        <v>39</v>
      </c>
      <c r="N642" s="2" t="s">
        <v>38</v>
      </c>
      <c r="O642" s="2" t="s">
        <v>38</v>
      </c>
      <c r="P642" s="2" t="s">
        <v>39</v>
      </c>
      <c r="Q642" s="2" t="s">
        <v>39</v>
      </c>
      <c r="R642" s="2" t="s">
        <v>38</v>
      </c>
      <c r="S642" s="2" t="s">
        <v>39</v>
      </c>
      <c r="T642" s="2" t="s">
        <v>38</v>
      </c>
      <c r="U642" s="2" t="s">
        <v>39</v>
      </c>
      <c r="V642" s="2" t="s">
        <v>38</v>
      </c>
      <c r="W642" s="2" t="s">
        <v>38</v>
      </c>
      <c r="X642" s="2" t="s">
        <v>39</v>
      </c>
      <c r="Y642" s="2" t="s">
        <v>38</v>
      </c>
      <c r="Z642" s="2" t="s">
        <v>38</v>
      </c>
      <c r="AA642" s="2" t="s">
        <v>39</v>
      </c>
      <c r="AB642" s="2" t="s">
        <v>38</v>
      </c>
      <c r="AC642" s="2" t="s">
        <v>38</v>
      </c>
      <c r="AD642" s="2" t="s">
        <v>38</v>
      </c>
      <c r="AE642" s="2" t="s">
        <v>39</v>
      </c>
    </row>
    <row r="643" spans="1:31" ht="409.5">
      <c r="A643" s="2">
        <v>2757108</v>
      </c>
      <c r="B643" s="2">
        <f>HYPERLINK("https://platform.v2.vetology.net/cases/2757108/screening-report/1?type=pdf&amp;v=v6&amp;scorecard=1&amp;secret_key=BX%25IJ%24%2F65ieZ%29f6", 2757108)</f>
        <v>2757108</v>
      </c>
      <c r="C643" s="2">
        <f>HYPERLINK("https://platform.v2.vetology.net/report/v/final/"&amp;2757108, 2757108)</f>
        <v>2757108</v>
      </c>
      <c r="D643" s="2" t="s">
        <v>2210</v>
      </c>
      <c r="E643" s="2" t="s">
        <v>2211</v>
      </c>
      <c r="F643" s="2" t="s">
        <v>43</v>
      </c>
      <c r="G643" s="2" t="s">
        <v>44</v>
      </c>
      <c r="H643" s="2" t="s">
        <v>947</v>
      </c>
      <c r="I643" s="2" t="s">
        <v>59</v>
      </c>
      <c r="J643" s="2" t="s">
        <v>37</v>
      </c>
      <c r="K643" s="2" t="s">
        <v>38</v>
      </c>
      <c r="L643" s="2" t="s">
        <v>39</v>
      </c>
      <c r="M643" s="2" t="s">
        <v>39</v>
      </c>
      <c r="N643" s="2" t="s">
        <v>39</v>
      </c>
      <c r="O643" s="2" t="s">
        <v>39</v>
      </c>
      <c r="P643" s="2" t="s">
        <v>39</v>
      </c>
      <c r="Q643" s="2" t="s">
        <v>39</v>
      </c>
      <c r="R643" s="2" t="s">
        <v>38</v>
      </c>
      <c r="S643" s="2" t="s">
        <v>38</v>
      </c>
      <c r="T643" s="2" t="s">
        <v>39</v>
      </c>
      <c r="U643" s="2" t="s">
        <v>38</v>
      </c>
      <c r="V643" s="2" t="s">
        <v>38</v>
      </c>
      <c r="W643" s="2" t="s">
        <v>38</v>
      </c>
      <c r="X643" s="2" t="s">
        <v>39</v>
      </c>
      <c r="Y643" s="2" t="s">
        <v>39</v>
      </c>
      <c r="Z643" s="2" t="s">
        <v>39</v>
      </c>
      <c r="AA643" s="2" t="s">
        <v>39</v>
      </c>
      <c r="AB643" s="2" t="s">
        <v>39</v>
      </c>
      <c r="AC643" s="2" t="s">
        <v>39</v>
      </c>
      <c r="AD643" s="2" t="s">
        <v>39</v>
      </c>
      <c r="AE643" s="2" t="s">
        <v>39</v>
      </c>
    </row>
    <row r="644" spans="1:31" ht="409.5">
      <c r="A644" s="2">
        <v>2757077</v>
      </c>
      <c r="B644" s="2">
        <f>HYPERLINK("https://platform.v2.vetology.net/cases/2757077/screening-report/1?type=pdf&amp;v=v6&amp;scorecard=1&amp;secret_key=BX%25IJ%24%2F65ieZ%29f6", 2757077)</f>
        <v>2757077</v>
      </c>
      <c r="C644" s="2">
        <f>HYPERLINK("https://platform.v2.vetology.net/report/v/final/"&amp;2757077, 2757077)</f>
        <v>2757077</v>
      </c>
      <c r="D644" s="2" t="s">
        <v>2212</v>
      </c>
      <c r="E644" s="2" t="s">
        <v>2213</v>
      </c>
      <c r="F644" s="2" t="s">
        <v>2214</v>
      </c>
      <c r="G644" s="2" t="s">
        <v>251</v>
      </c>
      <c r="H644" s="2" t="s">
        <v>69</v>
      </c>
      <c r="I644" s="2" t="s">
        <v>46</v>
      </c>
      <c r="J644" s="2"/>
      <c r="K644" s="2" t="s">
        <v>39</v>
      </c>
      <c r="L644" s="2" t="s">
        <v>39</v>
      </c>
      <c r="M644" s="2" t="s">
        <v>39</v>
      </c>
      <c r="N644" s="2" t="s">
        <v>39</v>
      </c>
      <c r="O644" s="2" t="s">
        <v>39</v>
      </c>
      <c r="P644" s="2" t="s">
        <v>39</v>
      </c>
      <c r="Q644" s="2" t="s">
        <v>39</v>
      </c>
      <c r="R644" s="2" t="s">
        <v>39</v>
      </c>
      <c r="S644" s="2" t="s">
        <v>39</v>
      </c>
      <c r="T644" s="2" t="s">
        <v>39</v>
      </c>
      <c r="U644" s="2" t="s">
        <v>39</v>
      </c>
      <c r="V644" s="2" t="s">
        <v>39</v>
      </c>
      <c r="W644" s="2" t="s">
        <v>39</v>
      </c>
      <c r="X644" s="2" t="s">
        <v>39</v>
      </c>
      <c r="Y644" s="2" t="s">
        <v>39</v>
      </c>
      <c r="Z644" s="2" t="s">
        <v>39</v>
      </c>
      <c r="AA644" s="2" t="s">
        <v>39</v>
      </c>
      <c r="AB644" s="2" t="s">
        <v>39</v>
      </c>
      <c r="AC644" s="2" t="s">
        <v>39</v>
      </c>
      <c r="AD644" s="2" t="s">
        <v>38</v>
      </c>
      <c r="AE644" s="2" t="s">
        <v>39</v>
      </c>
    </row>
    <row r="645" spans="1:31" ht="409.5">
      <c r="A645" s="2">
        <v>2757072</v>
      </c>
      <c r="B645" s="2">
        <f>HYPERLINK("https://platform.v2.vetology.net/cases/2757072/screening-report/1?type=pdf&amp;v=v6&amp;scorecard=1&amp;secret_key=BX%25IJ%24%2F65ieZ%29f6", 2757072)</f>
        <v>2757072</v>
      </c>
      <c r="C645" s="2">
        <f>HYPERLINK("https://platform.v2.vetology.net/report/v/final/"&amp;2757072, 2757072)</f>
        <v>2757072</v>
      </c>
      <c r="D645" s="2" t="s">
        <v>2215</v>
      </c>
      <c r="E645" s="2" t="s">
        <v>2216</v>
      </c>
      <c r="F645" s="2" t="s">
        <v>657</v>
      </c>
      <c r="G645" s="2" t="s">
        <v>34</v>
      </c>
      <c r="H645" s="2" t="s">
        <v>2217</v>
      </c>
      <c r="I645" s="2" t="s">
        <v>36</v>
      </c>
      <c r="J645" s="2" t="s">
        <v>37</v>
      </c>
      <c r="K645" s="2" t="s">
        <v>39</v>
      </c>
      <c r="L645" s="2" t="s">
        <v>38</v>
      </c>
      <c r="M645" s="2" t="s">
        <v>38</v>
      </c>
      <c r="N645" s="2" t="s">
        <v>39</v>
      </c>
      <c r="O645" s="2" t="s">
        <v>38</v>
      </c>
      <c r="P645" s="2" t="s">
        <v>39</v>
      </c>
      <c r="Q645" s="2" t="s">
        <v>39</v>
      </c>
      <c r="R645" s="2" t="s">
        <v>38</v>
      </c>
      <c r="S645" s="2" t="s">
        <v>38</v>
      </c>
      <c r="T645" s="2" t="s">
        <v>38</v>
      </c>
      <c r="U645" s="2" t="s">
        <v>39</v>
      </c>
      <c r="V645" s="2" t="s">
        <v>39</v>
      </c>
      <c r="W645" s="2" t="s">
        <v>39</v>
      </c>
      <c r="X645" s="2" t="s">
        <v>39</v>
      </c>
      <c r="Y645" s="2" t="s">
        <v>39</v>
      </c>
      <c r="Z645" s="2" t="s">
        <v>38</v>
      </c>
      <c r="AA645" s="2" t="s">
        <v>38</v>
      </c>
      <c r="AB645" s="2" t="s">
        <v>39</v>
      </c>
      <c r="AC645" s="2" t="s">
        <v>38</v>
      </c>
      <c r="AD645" s="2" t="s">
        <v>38</v>
      </c>
      <c r="AE645" s="2" t="s">
        <v>39</v>
      </c>
    </row>
    <row r="646" spans="1:31" ht="409.5">
      <c r="A646" s="2">
        <v>2757067</v>
      </c>
      <c r="B646" s="2">
        <f>HYPERLINK("https://platform.v2.vetology.net/cases/2757067/screening-report/1?type=pdf&amp;v=v6&amp;scorecard=1&amp;secret_key=BX%25IJ%24%2F65ieZ%29f6", 2757067)</f>
        <v>2757067</v>
      </c>
      <c r="C646" s="2">
        <f>HYPERLINK("https://platform.v2.vetology.net/report/v/final/"&amp;2757067, 2757067)</f>
        <v>2757067</v>
      </c>
      <c r="D646" s="2" t="s">
        <v>2218</v>
      </c>
      <c r="E646" s="2" t="s">
        <v>2219</v>
      </c>
      <c r="F646" s="2" t="s">
        <v>1225</v>
      </c>
      <c r="G646" s="2" t="s">
        <v>44</v>
      </c>
      <c r="H646" s="2" t="s">
        <v>1985</v>
      </c>
      <c r="I646" s="2" t="s">
        <v>36</v>
      </c>
      <c r="J646" s="2" t="s">
        <v>37</v>
      </c>
      <c r="K646" s="2" t="s">
        <v>39</v>
      </c>
      <c r="L646" s="2" t="s">
        <v>39</v>
      </c>
      <c r="M646" s="2" t="s">
        <v>39</v>
      </c>
      <c r="N646" s="2" t="s">
        <v>39</v>
      </c>
      <c r="O646" s="2" t="s">
        <v>39</v>
      </c>
      <c r="P646" s="2" t="s">
        <v>39</v>
      </c>
      <c r="Q646" s="2" t="s">
        <v>39</v>
      </c>
      <c r="R646" s="2" t="s">
        <v>39</v>
      </c>
      <c r="S646" s="2" t="s">
        <v>39</v>
      </c>
      <c r="T646" s="2" t="s">
        <v>38</v>
      </c>
      <c r="U646" s="2" t="s">
        <v>39</v>
      </c>
      <c r="V646" s="2" t="s">
        <v>38</v>
      </c>
      <c r="W646" s="2" t="s">
        <v>39</v>
      </c>
      <c r="X646" s="2" t="s">
        <v>39</v>
      </c>
      <c r="Y646" s="2" t="s">
        <v>39</v>
      </c>
      <c r="Z646" s="2" t="s">
        <v>39</v>
      </c>
      <c r="AA646" s="2" t="s">
        <v>39</v>
      </c>
      <c r="AB646" s="2" t="s">
        <v>39</v>
      </c>
      <c r="AC646" s="2" t="s">
        <v>39</v>
      </c>
      <c r="AD646" s="2" t="s">
        <v>39</v>
      </c>
      <c r="AE646" s="2" t="s">
        <v>39</v>
      </c>
    </row>
    <row r="647" spans="1:31" ht="409.5">
      <c r="A647" s="2">
        <v>2757057</v>
      </c>
      <c r="B647" s="2">
        <f>HYPERLINK("https://platform.v2.vetology.net/cases/2757057/screening-report/1?type=pdf&amp;v=v6&amp;scorecard=1&amp;secret_key=BX%25IJ%24%2F65ieZ%29f6", 2757057)</f>
        <v>2757057</v>
      </c>
      <c r="C647" s="2">
        <f>HYPERLINK("https://platform.v2.vetology.net/report/v/final/"&amp;2757057, 2757057)</f>
        <v>2757057</v>
      </c>
      <c r="D647" s="2" t="s">
        <v>2220</v>
      </c>
      <c r="E647" s="2" t="s">
        <v>2221</v>
      </c>
      <c r="F647" s="2" t="s">
        <v>2222</v>
      </c>
      <c r="G647" s="2" t="s">
        <v>556</v>
      </c>
      <c r="H647" s="2" t="s">
        <v>2223</v>
      </c>
      <c r="I647" s="2" t="s">
        <v>73</v>
      </c>
      <c r="J647" s="2" t="s">
        <v>74</v>
      </c>
      <c r="K647" s="2" t="s">
        <v>38</v>
      </c>
      <c r="L647" s="2" t="s">
        <v>39</v>
      </c>
      <c r="M647" s="2" t="s">
        <v>39</v>
      </c>
      <c r="N647" s="2" t="s">
        <v>38</v>
      </c>
      <c r="O647" s="2" t="s">
        <v>39</v>
      </c>
      <c r="P647" s="2" t="s">
        <v>38</v>
      </c>
      <c r="Q647" s="2" t="s">
        <v>38</v>
      </c>
      <c r="R647" s="2" t="s">
        <v>39</v>
      </c>
      <c r="S647" s="2" t="s">
        <v>39</v>
      </c>
      <c r="T647" s="2" t="s">
        <v>38</v>
      </c>
      <c r="U647" s="2" t="s">
        <v>38</v>
      </c>
      <c r="V647" s="2" t="s">
        <v>38</v>
      </c>
      <c r="W647" s="2" t="s">
        <v>38</v>
      </c>
      <c r="X647" s="2" t="s">
        <v>39</v>
      </c>
      <c r="Y647" s="2" t="s">
        <v>39</v>
      </c>
      <c r="Z647" s="2" t="s">
        <v>39</v>
      </c>
      <c r="AA647" s="2" t="s">
        <v>38</v>
      </c>
      <c r="AB647" s="2" t="s">
        <v>39</v>
      </c>
      <c r="AC647" s="2" t="s">
        <v>39</v>
      </c>
      <c r="AD647" s="2" t="s">
        <v>39</v>
      </c>
      <c r="AE647" s="2" t="s">
        <v>39</v>
      </c>
    </row>
    <row r="648" spans="1:31" ht="409.5">
      <c r="A648" s="2">
        <v>2757048</v>
      </c>
      <c r="B648" s="2">
        <f>HYPERLINK("https://platform.v2.vetology.net/cases/2757048/screening-report/1?type=pdf&amp;v=v6&amp;scorecard=1&amp;secret_key=BX%25IJ%24%2F65ieZ%29f6", 2757048)</f>
        <v>2757048</v>
      </c>
      <c r="C648" s="2">
        <f>HYPERLINK("https://platform.v2.vetology.net/report/v/final/"&amp;2757048, 2757048)</f>
        <v>2757048</v>
      </c>
      <c r="D648" s="2" t="s">
        <v>2224</v>
      </c>
      <c r="E648" s="2" t="s">
        <v>2225</v>
      </c>
      <c r="F648" s="2" t="s">
        <v>2226</v>
      </c>
      <c r="G648" s="2" t="s">
        <v>100</v>
      </c>
      <c r="H648" s="2" t="s">
        <v>2227</v>
      </c>
      <c r="I648" s="2" t="s">
        <v>36</v>
      </c>
      <c r="J648" s="2" t="s">
        <v>37</v>
      </c>
      <c r="K648" s="2" t="s">
        <v>39</v>
      </c>
      <c r="L648" s="2" t="s">
        <v>38</v>
      </c>
      <c r="M648" s="2" t="s">
        <v>38</v>
      </c>
      <c r="N648" s="2" t="s">
        <v>38</v>
      </c>
      <c r="O648" s="2" t="s">
        <v>38</v>
      </c>
      <c r="P648" s="2" t="s">
        <v>38</v>
      </c>
      <c r="Q648" s="2" t="s">
        <v>39</v>
      </c>
      <c r="R648" s="2" t="s">
        <v>39</v>
      </c>
      <c r="S648" s="2" t="s">
        <v>38</v>
      </c>
      <c r="T648" s="2" t="s">
        <v>38</v>
      </c>
      <c r="U648" s="2" t="s">
        <v>39</v>
      </c>
      <c r="V648" s="2" t="s">
        <v>39</v>
      </c>
      <c r="W648" s="2" t="s">
        <v>38</v>
      </c>
      <c r="X648" s="2" t="s">
        <v>39</v>
      </c>
      <c r="Y648" s="2" t="s">
        <v>39</v>
      </c>
      <c r="Z648" s="2" t="s">
        <v>38</v>
      </c>
      <c r="AA648" s="2" t="s">
        <v>38</v>
      </c>
      <c r="AB648" s="2" t="s">
        <v>39</v>
      </c>
      <c r="AC648" s="2" t="s">
        <v>39</v>
      </c>
      <c r="AD648" s="2" t="s">
        <v>39</v>
      </c>
      <c r="AE648" s="2"/>
    </row>
    <row r="649" spans="1:31" ht="409.5">
      <c r="A649" s="2">
        <v>2757028</v>
      </c>
      <c r="B649" s="2">
        <f>HYPERLINK("https://platform.v2.vetology.net/cases/2757028/screening-report/1?type=pdf&amp;v=v6&amp;scorecard=1&amp;secret_key=BX%25IJ%24%2F65ieZ%29f6", 2757028)</f>
        <v>2757028</v>
      </c>
      <c r="C649" s="2">
        <f>HYPERLINK("https://platform.v2.vetology.net/report/v/final/"&amp;2757028, 2757028)</f>
        <v>2757028</v>
      </c>
      <c r="D649" s="2" t="s">
        <v>2228</v>
      </c>
      <c r="E649" s="2" t="s">
        <v>2229</v>
      </c>
      <c r="F649" s="2" t="s">
        <v>2230</v>
      </c>
      <c r="G649" s="2" t="s">
        <v>170</v>
      </c>
      <c r="H649" s="2" t="s">
        <v>2231</v>
      </c>
      <c r="I649" s="2" t="s">
        <v>73</v>
      </c>
      <c r="J649" s="2" t="s">
        <v>74</v>
      </c>
      <c r="K649" s="2" t="s">
        <v>38</v>
      </c>
      <c r="L649" s="2" t="s">
        <v>38</v>
      </c>
      <c r="M649" s="2" t="s">
        <v>38</v>
      </c>
      <c r="N649" s="2" t="s">
        <v>38</v>
      </c>
      <c r="O649" s="2" t="s">
        <v>38</v>
      </c>
      <c r="P649" s="2" t="s">
        <v>38</v>
      </c>
      <c r="Q649" s="2" t="s">
        <v>38</v>
      </c>
      <c r="R649" s="2" t="s">
        <v>38</v>
      </c>
      <c r="S649" s="2" t="s">
        <v>38</v>
      </c>
      <c r="T649" s="2" t="s">
        <v>38</v>
      </c>
      <c r="U649" s="2" t="s">
        <v>38</v>
      </c>
      <c r="V649" s="2" t="s">
        <v>38</v>
      </c>
      <c r="W649" s="2" t="s">
        <v>38</v>
      </c>
      <c r="X649" s="2" t="s">
        <v>38</v>
      </c>
      <c r="Y649" s="2" t="s">
        <v>39</v>
      </c>
      <c r="Z649" s="2" t="s">
        <v>38</v>
      </c>
      <c r="AA649" s="2" t="s">
        <v>38</v>
      </c>
      <c r="AB649" s="2" t="s">
        <v>38</v>
      </c>
      <c r="AC649" s="2" t="s">
        <v>38</v>
      </c>
      <c r="AD649" s="2" t="s">
        <v>38</v>
      </c>
      <c r="AE649" s="2" t="s">
        <v>39</v>
      </c>
    </row>
    <row r="650" spans="1:31" ht="409.5">
      <c r="A650" s="2">
        <v>2757022</v>
      </c>
      <c r="B650" s="2">
        <f>HYPERLINK("https://platform.v2.vetology.net/cases/2757022/screening-report/1?type=pdf&amp;v=v6&amp;scorecard=1&amp;secret_key=BX%25IJ%24%2F65ieZ%29f6", 2757022)</f>
        <v>2757022</v>
      </c>
      <c r="C650" s="2">
        <f>HYPERLINK("https://platform.v2.vetology.net/report/v/final/"&amp;2757022, 2757022)</f>
        <v>2757022</v>
      </c>
      <c r="D650" s="2" t="s">
        <v>2232</v>
      </c>
      <c r="E650" s="2" t="s">
        <v>2233</v>
      </c>
      <c r="F650" s="2" t="s">
        <v>2234</v>
      </c>
      <c r="G650" s="2" t="s">
        <v>53</v>
      </c>
      <c r="H650" s="2" t="s">
        <v>2235</v>
      </c>
      <c r="I650" s="2" t="s">
        <v>257</v>
      </c>
      <c r="J650" s="2" t="s">
        <v>74</v>
      </c>
      <c r="K650" s="2" t="s">
        <v>38</v>
      </c>
      <c r="L650" s="2" t="s">
        <v>38</v>
      </c>
      <c r="M650" s="2" t="s">
        <v>38</v>
      </c>
      <c r="N650" s="2" t="s">
        <v>38</v>
      </c>
      <c r="O650" s="2" t="s">
        <v>38</v>
      </c>
      <c r="P650" s="2" t="s">
        <v>38</v>
      </c>
      <c r="Q650" s="2" t="s">
        <v>38</v>
      </c>
      <c r="R650" s="2" t="s">
        <v>38</v>
      </c>
      <c r="S650" s="2" t="s">
        <v>38</v>
      </c>
      <c r="T650" s="2" t="s">
        <v>38</v>
      </c>
      <c r="U650" s="2" t="s">
        <v>38</v>
      </c>
      <c r="V650" s="2" t="s">
        <v>38</v>
      </c>
      <c r="W650" s="2" t="s">
        <v>38</v>
      </c>
      <c r="X650" s="2" t="s">
        <v>38</v>
      </c>
      <c r="Y650" s="2" t="s">
        <v>38</v>
      </c>
      <c r="Z650" s="2" t="s">
        <v>38</v>
      </c>
      <c r="AA650" s="2" t="s">
        <v>38</v>
      </c>
      <c r="AB650" s="2" t="s">
        <v>38</v>
      </c>
      <c r="AC650" s="2" t="s">
        <v>38</v>
      </c>
      <c r="AD650" s="2" t="s">
        <v>38</v>
      </c>
      <c r="AE650" s="2" t="s">
        <v>40</v>
      </c>
    </row>
    <row r="651" spans="1:31" ht="409.5">
      <c r="A651" s="2">
        <v>2757009</v>
      </c>
      <c r="B651" s="2">
        <f>HYPERLINK("https://platform.v2.vetology.net/cases/2757009/screening-report/1?type=pdf&amp;v=v6&amp;scorecard=1&amp;secret_key=BX%25IJ%24%2F65ieZ%29f6", 2757009)</f>
        <v>2757009</v>
      </c>
      <c r="C651" s="2">
        <f>HYPERLINK("https://platform.v2.vetology.net/report/v/final/"&amp;2757009, 2757009)</f>
        <v>2757009</v>
      </c>
      <c r="D651" s="2" t="s">
        <v>2236</v>
      </c>
      <c r="E651" s="2" t="s">
        <v>2237</v>
      </c>
      <c r="F651" s="2" t="s">
        <v>2238</v>
      </c>
      <c r="G651" s="2" t="s">
        <v>53</v>
      </c>
      <c r="H651" s="2" t="s">
        <v>2239</v>
      </c>
      <c r="I651" s="2" t="s">
        <v>73</v>
      </c>
      <c r="J651" s="2" t="s">
        <v>74</v>
      </c>
      <c r="K651" s="2" t="s">
        <v>38</v>
      </c>
      <c r="L651" s="2" t="s">
        <v>38</v>
      </c>
      <c r="M651" s="2" t="s">
        <v>39</v>
      </c>
      <c r="N651" s="2" t="s">
        <v>38</v>
      </c>
      <c r="O651" s="2" t="s">
        <v>38</v>
      </c>
      <c r="P651" s="2" t="s">
        <v>39</v>
      </c>
      <c r="Q651" s="2" t="s">
        <v>38</v>
      </c>
      <c r="R651" s="2" t="s">
        <v>38</v>
      </c>
      <c r="S651" s="2" t="s">
        <v>38</v>
      </c>
      <c r="T651" s="2" t="s">
        <v>38</v>
      </c>
      <c r="U651" s="2" t="s">
        <v>38</v>
      </c>
      <c r="V651" s="2" t="s">
        <v>38</v>
      </c>
      <c r="W651" s="2" t="s">
        <v>38</v>
      </c>
      <c r="X651" s="2" t="s">
        <v>38</v>
      </c>
      <c r="Y651" s="2" t="s">
        <v>39</v>
      </c>
      <c r="Z651" s="2" t="s">
        <v>38</v>
      </c>
      <c r="AA651" s="2" t="s">
        <v>38</v>
      </c>
      <c r="AB651" s="2" t="s">
        <v>38</v>
      </c>
      <c r="AC651" s="2" t="s">
        <v>38</v>
      </c>
      <c r="AD651" s="2" t="s">
        <v>38</v>
      </c>
      <c r="AE651" s="2" t="s">
        <v>39</v>
      </c>
    </row>
    <row r="652" spans="1:31" ht="409.5">
      <c r="A652" s="2">
        <v>2756971</v>
      </c>
      <c r="B652" s="2">
        <f>HYPERLINK("https://platform.v2.vetology.net/cases/2756971/screening-report/1?type=pdf&amp;v=v6&amp;scorecard=1&amp;secret_key=BX%25IJ%24%2F65ieZ%29f6", 2756971)</f>
        <v>2756971</v>
      </c>
      <c r="C652" s="2">
        <f>HYPERLINK("https://platform.v2.vetology.net/report/v/final/"&amp;2756971, 2756971)</f>
        <v>2756971</v>
      </c>
      <c r="D652" s="2" t="s">
        <v>2240</v>
      </c>
      <c r="E652" s="2" t="s">
        <v>2241</v>
      </c>
      <c r="F652" s="2"/>
      <c r="G652" s="2" t="s">
        <v>100</v>
      </c>
      <c r="H652" s="2" t="s">
        <v>2242</v>
      </c>
      <c r="I652" s="2" t="s">
        <v>129</v>
      </c>
      <c r="J652" s="2" t="s">
        <v>74</v>
      </c>
      <c r="K652" s="2" t="s">
        <v>38</v>
      </c>
      <c r="L652" s="2" t="s">
        <v>38</v>
      </c>
      <c r="M652" s="2" t="s">
        <v>38</v>
      </c>
      <c r="N652" s="2" t="s">
        <v>38</v>
      </c>
      <c r="O652" s="2" t="s">
        <v>38</v>
      </c>
      <c r="P652" s="2" t="s">
        <v>38</v>
      </c>
      <c r="Q652" s="2" t="s">
        <v>38</v>
      </c>
      <c r="R652" s="2" t="s">
        <v>39</v>
      </c>
      <c r="S652" s="2" t="s">
        <v>39</v>
      </c>
      <c r="T652" s="2" t="s">
        <v>38</v>
      </c>
      <c r="U652" s="2" t="s">
        <v>39</v>
      </c>
      <c r="V652" s="2" t="s">
        <v>39</v>
      </c>
      <c r="W652" s="2" t="s">
        <v>39</v>
      </c>
      <c r="X652" s="2" t="s">
        <v>38</v>
      </c>
      <c r="Y652" s="2" t="s">
        <v>39</v>
      </c>
      <c r="Z652" s="2" t="s">
        <v>38</v>
      </c>
      <c r="AA652" s="2" t="s">
        <v>38</v>
      </c>
      <c r="AB652" s="2" t="s">
        <v>38</v>
      </c>
      <c r="AC652" s="2" t="s">
        <v>38</v>
      </c>
      <c r="AD652" s="2" t="s">
        <v>39</v>
      </c>
      <c r="AE652" s="2" t="s">
        <v>40</v>
      </c>
    </row>
    <row r="653" spans="1:31" ht="409.5">
      <c r="A653" s="2">
        <v>2756913</v>
      </c>
      <c r="B653" s="2">
        <f>HYPERLINK("https://platform.v2.vetology.net/cases/2756913/screening-report/1?type=pdf&amp;v=v6&amp;scorecard=1&amp;secret_key=BX%25IJ%24%2F65ieZ%29f6", 2756913)</f>
        <v>2756913</v>
      </c>
      <c r="C653" s="2">
        <f>HYPERLINK("https://platform.v2.vetology.net/report/v/final/"&amp;2756913, 2756913)</f>
        <v>2756913</v>
      </c>
      <c r="D653" s="2" t="s">
        <v>2243</v>
      </c>
      <c r="E653" s="2" t="s">
        <v>2244</v>
      </c>
      <c r="F653" s="2" t="s">
        <v>2245</v>
      </c>
      <c r="G653" s="2" t="s">
        <v>415</v>
      </c>
      <c r="H653" s="2" t="s">
        <v>69</v>
      </c>
      <c r="I653" s="2" t="s">
        <v>46</v>
      </c>
      <c r="J653" s="2"/>
      <c r="K653" s="2" t="s">
        <v>39</v>
      </c>
      <c r="L653" s="2" t="s">
        <v>39</v>
      </c>
      <c r="M653" s="2" t="s">
        <v>39</v>
      </c>
      <c r="N653" s="2" t="s">
        <v>39</v>
      </c>
      <c r="O653" s="2" t="s">
        <v>39</v>
      </c>
      <c r="P653" s="2" t="s">
        <v>39</v>
      </c>
      <c r="Q653" s="2" t="s">
        <v>39</v>
      </c>
      <c r="R653" s="2" t="s">
        <v>39</v>
      </c>
      <c r="S653" s="2" t="s">
        <v>39</v>
      </c>
      <c r="T653" s="2" t="s">
        <v>39</v>
      </c>
      <c r="U653" s="2" t="s">
        <v>39</v>
      </c>
      <c r="V653" s="2" t="s">
        <v>39</v>
      </c>
      <c r="W653" s="2" t="s">
        <v>39</v>
      </c>
      <c r="X653" s="2" t="s">
        <v>39</v>
      </c>
      <c r="Y653" s="2" t="s">
        <v>39</v>
      </c>
      <c r="Z653" s="2" t="s">
        <v>39</v>
      </c>
      <c r="AA653" s="2" t="s">
        <v>39</v>
      </c>
      <c r="AB653" s="2" t="s">
        <v>39</v>
      </c>
      <c r="AC653" s="2" t="s">
        <v>39</v>
      </c>
      <c r="AD653" s="2" t="s">
        <v>39</v>
      </c>
      <c r="AE653" s="2" t="s">
        <v>39</v>
      </c>
    </row>
    <row r="654" spans="1:31" ht="409.5">
      <c r="A654" s="2">
        <v>2756910</v>
      </c>
      <c r="B654" s="2">
        <f>HYPERLINK("https://platform.v2.vetology.net/cases/2756910/screening-report/1?type=pdf&amp;v=v6&amp;scorecard=1&amp;secret_key=BX%25IJ%24%2F65ieZ%29f6", 2756910)</f>
        <v>2756910</v>
      </c>
      <c r="C654" s="2">
        <f>HYPERLINK("https://platform.v2.vetology.net/report/v/final/"&amp;2756910, 2756910)</f>
        <v>2756910</v>
      </c>
      <c r="D654" s="2" t="s">
        <v>2246</v>
      </c>
      <c r="E654" s="2" t="s">
        <v>2247</v>
      </c>
      <c r="F654" s="2"/>
      <c r="G654" s="2" t="s">
        <v>507</v>
      </c>
      <c r="H654" s="2" t="s">
        <v>2248</v>
      </c>
      <c r="I654" s="2" t="s">
        <v>36</v>
      </c>
      <c r="J654" s="2" t="s">
        <v>37</v>
      </c>
      <c r="K654" s="2" t="s">
        <v>38</v>
      </c>
      <c r="L654" s="2" t="s">
        <v>38</v>
      </c>
      <c r="M654" s="2" t="s">
        <v>38</v>
      </c>
      <c r="N654" s="2" t="s">
        <v>38</v>
      </c>
      <c r="O654" s="2" t="s">
        <v>38</v>
      </c>
      <c r="P654" s="2" t="s">
        <v>38</v>
      </c>
      <c r="Q654" s="2" t="s">
        <v>39</v>
      </c>
      <c r="R654" s="2" t="s">
        <v>38</v>
      </c>
      <c r="S654" s="2" t="s">
        <v>38</v>
      </c>
      <c r="T654" s="2" t="s">
        <v>38</v>
      </c>
      <c r="U654" s="2" t="s">
        <v>38</v>
      </c>
      <c r="V654" s="2" t="s">
        <v>38</v>
      </c>
      <c r="W654" s="2" t="s">
        <v>38</v>
      </c>
      <c r="X654" s="2" t="s">
        <v>39</v>
      </c>
      <c r="Y654" s="2" t="s">
        <v>39</v>
      </c>
      <c r="Z654" s="2" t="s">
        <v>38</v>
      </c>
      <c r="AA654" s="2" t="s">
        <v>38</v>
      </c>
      <c r="AB654" s="2" t="s">
        <v>39</v>
      </c>
      <c r="AC654" s="2" t="s">
        <v>38</v>
      </c>
      <c r="AD654" s="2" t="s">
        <v>38</v>
      </c>
      <c r="AE654" s="2" t="s">
        <v>39</v>
      </c>
    </row>
    <row r="655" spans="1:31" ht="409.5">
      <c r="A655" s="2">
        <v>2756903</v>
      </c>
      <c r="B655" s="2">
        <f>HYPERLINK("https://platform.v2.vetology.net/cases/2756903/screening-report/1?type=pdf&amp;v=v6&amp;scorecard=1&amp;secret_key=BX%25IJ%24%2F65ieZ%29f6", 2756903)</f>
        <v>2756903</v>
      </c>
      <c r="C655" s="2">
        <f>HYPERLINK("https://platform.v2.vetology.net/report/v/final/"&amp;2756903, 2756903)</f>
        <v>2756903</v>
      </c>
      <c r="D655" s="2" t="s">
        <v>2249</v>
      </c>
      <c r="E655" s="2" t="s">
        <v>1457</v>
      </c>
      <c r="F655" s="2"/>
      <c r="G655" s="2" t="s">
        <v>100</v>
      </c>
      <c r="H655" s="2" t="s">
        <v>537</v>
      </c>
      <c r="I655" s="2" t="s">
        <v>59</v>
      </c>
      <c r="J655" s="2" t="s">
        <v>37</v>
      </c>
      <c r="K655" s="2" t="s">
        <v>38</v>
      </c>
      <c r="L655" s="2" t="s">
        <v>39</v>
      </c>
      <c r="M655" s="2" t="s">
        <v>39</v>
      </c>
      <c r="N655" s="2" t="s">
        <v>39</v>
      </c>
      <c r="O655" s="2" t="s">
        <v>39</v>
      </c>
      <c r="P655" s="2" t="s">
        <v>39</v>
      </c>
      <c r="Q655" s="2" t="s">
        <v>39</v>
      </c>
      <c r="R655" s="2" t="s">
        <v>39</v>
      </c>
      <c r="S655" s="2" t="s">
        <v>39</v>
      </c>
      <c r="T655" s="2" t="s">
        <v>39</v>
      </c>
      <c r="U655" s="2" t="s">
        <v>38</v>
      </c>
      <c r="V655" s="2" t="s">
        <v>38</v>
      </c>
      <c r="W655" s="2" t="s">
        <v>39</v>
      </c>
      <c r="X655" s="2" t="s">
        <v>39</v>
      </c>
      <c r="Y655" s="2" t="s">
        <v>39</v>
      </c>
      <c r="Z655" s="2" t="s">
        <v>39</v>
      </c>
      <c r="AA655" s="2" t="s">
        <v>39</v>
      </c>
      <c r="AB655" s="2" t="s">
        <v>39</v>
      </c>
      <c r="AC655" s="2" t="s">
        <v>38</v>
      </c>
      <c r="AD655" s="2" t="s">
        <v>39</v>
      </c>
      <c r="AE655" s="2" t="s">
        <v>39</v>
      </c>
    </row>
    <row r="656" spans="1:31" ht="409.5">
      <c r="A656" s="2">
        <v>2756869</v>
      </c>
      <c r="B656" s="2">
        <f>HYPERLINK("https://platform.v2.vetology.net/cases/2756869/screening-report/1?type=pdf&amp;v=v6&amp;scorecard=1&amp;secret_key=BX%25IJ%24%2F65ieZ%29f6", 2756869)</f>
        <v>2756869</v>
      </c>
      <c r="C656" s="2">
        <f>HYPERLINK("https://platform.v2.vetology.net/report/v/final/"&amp;2756869, 2756869)</f>
        <v>2756869</v>
      </c>
      <c r="D656" s="2" t="s">
        <v>2250</v>
      </c>
      <c r="E656" s="2" t="s">
        <v>2251</v>
      </c>
      <c r="F656" s="2" t="s">
        <v>2252</v>
      </c>
      <c r="G656" s="2" t="s">
        <v>170</v>
      </c>
      <c r="H656" s="2" t="s">
        <v>2253</v>
      </c>
      <c r="I656" s="2" t="s">
        <v>36</v>
      </c>
      <c r="J656" s="2" t="s">
        <v>37</v>
      </c>
      <c r="K656" s="2" t="s">
        <v>38</v>
      </c>
      <c r="L656" s="2" t="s">
        <v>38</v>
      </c>
      <c r="M656" s="2" t="s">
        <v>38</v>
      </c>
      <c r="N656" s="2" t="s">
        <v>38</v>
      </c>
      <c r="O656" s="2" t="s">
        <v>38</v>
      </c>
      <c r="P656" s="2" t="s">
        <v>38</v>
      </c>
      <c r="Q656" s="2" t="s">
        <v>38</v>
      </c>
      <c r="R656" s="2" t="s">
        <v>38</v>
      </c>
      <c r="S656" s="2" t="s">
        <v>38</v>
      </c>
      <c r="T656" s="2" t="s">
        <v>38</v>
      </c>
      <c r="U656" s="2" t="s">
        <v>38</v>
      </c>
      <c r="V656" s="2" t="s">
        <v>38</v>
      </c>
      <c r="W656" s="2" t="s">
        <v>38</v>
      </c>
      <c r="X656" s="2" t="s">
        <v>38</v>
      </c>
      <c r="Y656" s="2" t="s">
        <v>38</v>
      </c>
      <c r="Z656" s="2" t="s">
        <v>38</v>
      </c>
      <c r="AA656" s="2" t="s">
        <v>38</v>
      </c>
      <c r="AB656" s="2" t="s">
        <v>38</v>
      </c>
      <c r="AC656" s="2" t="s">
        <v>38</v>
      </c>
      <c r="AD656" s="2" t="s">
        <v>39</v>
      </c>
      <c r="AE656" s="2" t="s">
        <v>40</v>
      </c>
    </row>
    <row r="657" spans="1:31" ht="409.5">
      <c r="A657" s="2">
        <v>2756836</v>
      </c>
      <c r="B657" s="2">
        <f>HYPERLINK("https://platform.v2.vetology.net/cases/2756836/screening-report/1?type=pdf&amp;v=v6&amp;scorecard=1&amp;secret_key=BX%25IJ%24%2F65ieZ%29f6", 2756836)</f>
        <v>2756836</v>
      </c>
      <c r="C657" s="2">
        <f>HYPERLINK("https://platform.v2.vetology.net/report/v/final/"&amp;2756836, 2756836)</f>
        <v>2756836</v>
      </c>
      <c r="D657" s="2" t="s">
        <v>2254</v>
      </c>
      <c r="E657" s="2" t="s">
        <v>2255</v>
      </c>
      <c r="F657" s="2" t="s">
        <v>43</v>
      </c>
      <c r="G657" s="2" t="s">
        <v>507</v>
      </c>
      <c r="H657" s="2" t="s">
        <v>2256</v>
      </c>
      <c r="I657" s="2" t="s">
        <v>36</v>
      </c>
      <c r="J657" s="2" t="s">
        <v>37</v>
      </c>
      <c r="K657" s="2" t="s">
        <v>39</v>
      </c>
      <c r="L657" s="2" t="s">
        <v>38</v>
      </c>
      <c r="M657" s="2" t="s">
        <v>38</v>
      </c>
      <c r="N657" s="2" t="s">
        <v>38</v>
      </c>
      <c r="O657" s="2" t="s">
        <v>38</v>
      </c>
      <c r="P657" s="2" t="s">
        <v>39</v>
      </c>
      <c r="Q657" s="2" t="s">
        <v>39</v>
      </c>
      <c r="R657" s="2" t="s">
        <v>38</v>
      </c>
      <c r="S657" s="2" t="s">
        <v>39</v>
      </c>
      <c r="T657" s="2" t="s">
        <v>39</v>
      </c>
      <c r="U657" s="2" t="s">
        <v>38</v>
      </c>
      <c r="V657" s="2" t="s">
        <v>38</v>
      </c>
      <c r="W657" s="2" t="s">
        <v>38</v>
      </c>
      <c r="X657" s="2" t="s">
        <v>39</v>
      </c>
      <c r="Y657" s="2" t="s">
        <v>39</v>
      </c>
      <c r="Z657" s="2" t="s">
        <v>38</v>
      </c>
      <c r="AA657" s="2" t="s">
        <v>38</v>
      </c>
      <c r="AB657" s="2" t="s">
        <v>39</v>
      </c>
      <c r="AC657" s="2" t="s">
        <v>38</v>
      </c>
      <c r="AD657" s="2" t="s">
        <v>39</v>
      </c>
      <c r="AE657" s="2"/>
    </row>
    <row r="658" spans="1:31" ht="409.5">
      <c r="A658" s="2">
        <v>2756802</v>
      </c>
      <c r="B658" s="2">
        <f>HYPERLINK("https://platform.v2.vetology.net/cases/2756802/screening-report/1?type=pdf&amp;v=v6&amp;scorecard=1&amp;secret_key=BX%25IJ%24%2F65ieZ%29f6", 2756802)</f>
        <v>2756802</v>
      </c>
      <c r="C658" s="2">
        <f>HYPERLINK("https://platform.v2.vetology.net/report/v/final/"&amp;2756802, 2756802)</f>
        <v>2756802</v>
      </c>
      <c r="D658" s="2" t="s">
        <v>2257</v>
      </c>
      <c r="E658" s="2" t="s">
        <v>2258</v>
      </c>
      <c r="F658" s="2" t="s">
        <v>2259</v>
      </c>
      <c r="G658" s="2" t="s">
        <v>111</v>
      </c>
      <c r="H658" s="2" t="s">
        <v>2260</v>
      </c>
      <c r="I658" s="2" t="s">
        <v>73</v>
      </c>
      <c r="J658" s="2" t="s">
        <v>74</v>
      </c>
      <c r="K658" s="2" t="s">
        <v>38</v>
      </c>
      <c r="L658" s="2" t="s">
        <v>38</v>
      </c>
      <c r="M658" s="2" t="s">
        <v>38</v>
      </c>
      <c r="N658" s="2" t="s">
        <v>38</v>
      </c>
      <c r="O658" s="2" t="s">
        <v>38</v>
      </c>
      <c r="P658" s="2" t="s">
        <v>38</v>
      </c>
      <c r="Q658" s="2" t="s">
        <v>38</v>
      </c>
      <c r="R658" s="2" t="s">
        <v>38</v>
      </c>
      <c r="S658" s="2" t="s">
        <v>38</v>
      </c>
      <c r="T658" s="2" t="s">
        <v>38</v>
      </c>
      <c r="U658" s="2" t="s">
        <v>38</v>
      </c>
      <c r="V658" s="2" t="s">
        <v>38</v>
      </c>
      <c r="W658" s="2" t="s">
        <v>38</v>
      </c>
      <c r="X658" s="2" t="s">
        <v>38</v>
      </c>
      <c r="Y658" s="2" t="s">
        <v>38</v>
      </c>
      <c r="Z658" s="2" t="s">
        <v>38</v>
      </c>
      <c r="AA658" s="2" t="s">
        <v>38</v>
      </c>
      <c r="AB658" s="2" t="s">
        <v>38</v>
      </c>
      <c r="AC658" s="2" t="s">
        <v>38</v>
      </c>
      <c r="AD658" s="2" t="s">
        <v>38</v>
      </c>
      <c r="AE658" s="2" t="s">
        <v>39</v>
      </c>
    </row>
    <row r="659" spans="1:31" ht="409.5">
      <c r="A659" s="2">
        <v>2756775</v>
      </c>
      <c r="B659" s="2">
        <f>HYPERLINK("https://platform.v2.vetology.net/cases/2756775/screening-report/1?type=pdf&amp;v=v6&amp;scorecard=1&amp;secret_key=BX%25IJ%24%2F65ieZ%29f6", 2756775)</f>
        <v>2756775</v>
      </c>
      <c r="C659" s="2">
        <f>HYPERLINK("https://platform.v2.vetology.net/report/v/final/"&amp;2756775, 2756775)</f>
        <v>2756775</v>
      </c>
      <c r="D659" s="2" t="s">
        <v>2261</v>
      </c>
      <c r="E659" s="2" t="s">
        <v>2262</v>
      </c>
      <c r="F659" s="2" t="s">
        <v>2263</v>
      </c>
      <c r="G659" s="2" t="s">
        <v>170</v>
      </c>
      <c r="H659" s="2" t="s">
        <v>69</v>
      </c>
      <c r="I659" s="2" t="s">
        <v>46</v>
      </c>
      <c r="J659" s="2"/>
      <c r="K659" s="2" t="s">
        <v>39</v>
      </c>
      <c r="L659" s="2" t="s">
        <v>39</v>
      </c>
      <c r="M659" s="2" t="s">
        <v>39</v>
      </c>
      <c r="N659" s="2" t="s">
        <v>39</v>
      </c>
      <c r="O659" s="2" t="s">
        <v>39</v>
      </c>
      <c r="P659" s="2" t="s">
        <v>39</v>
      </c>
      <c r="Q659" s="2" t="s">
        <v>39</v>
      </c>
      <c r="R659" s="2" t="s">
        <v>39</v>
      </c>
      <c r="S659" s="2" t="s">
        <v>39</v>
      </c>
      <c r="T659" s="2" t="s">
        <v>39</v>
      </c>
      <c r="U659" s="2" t="s">
        <v>39</v>
      </c>
      <c r="V659" s="2" t="s">
        <v>39</v>
      </c>
      <c r="W659" s="2" t="s">
        <v>39</v>
      </c>
      <c r="X659" s="2" t="s">
        <v>39</v>
      </c>
      <c r="Y659" s="2" t="s">
        <v>39</v>
      </c>
      <c r="Z659" s="2" t="s">
        <v>39</v>
      </c>
      <c r="AA659" s="2" t="s">
        <v>39</v>
      </c>
      <c r="AB659" s="2" t="s">
        <v>39</v>
      </c>
      <c r="AC659" s="2" t="s">
        <v>39</v>
      </c>
      <c r="AD659" s="2" t="s">
        <v>38</v>
      </c>
      <c r="AE659" s="2" t="s">
        <v>39</v>
      </c>
    </row>
    <row r="660" spans="1:31" ht="409.5">
      <c r="A660" s="2">
        <v>2756770</v>
      </c>
      <c r="B660" s="2">
        <f>HYPERLINK("https://platform.v2.vetology.net/cases/2756770/screening-report/1?type=pdf&amp;v=v6&amp;scorecard=1&amp;secret_key=BX%25IJ%24%2F65ieZ%29f6", 2756770)</f>
        <v>2756770</v>
      </c>
      <c r="C660" s="2">
        <f>HYPERLINK("https://platform.v2.vetology.net/report/v/final/"&amp;2756770, 2756770)</f>
        <v>2756770</v>
      </c>
      <c r="D660" s="2" t="s">
        <v>2264</v>
      </c>
      <c r="E660" s="2" t="s">
        <v>2265</v>
      </c>
      <c r="F660" s="2" t="s">
        <v>2266</v>
      </c>
      <c r="G660" s="2" t="s">
        <v>53</v>
      </c>
      <c r="H660" s="2" t="s">
        <v>2267</v>
      </c>
      <c r="I660" s="2" t="s">
        <v>129</v>
      </c>
      <c r="J660" s="2" t="s">
        <v>74</v>
      </c>
      <c r="K660" s="2" t="s">
        <v>38</v>
      </c>
      <c r="L660" s="2" t="s">
        <v>38</v>
      </c>
      <c r="M660" s="2" t="s">
        <v>38</v>
      </c>
      <c r="N660" s="2" t="s">
        <v>39</v>
      </c>
      <c r="O660" s="2" t="s">
        <v>39</v>
      </c>
      <c r="P660" s="2" t="s">
        <v>38</v>
      </c>
      <c r="Q660" s="2" t="s">
        <v>38</v>
      </c>
      <c r="R660" s="2" t="s">
        <v>38</v>
      </c>
      <c r="S660" s="2" t="s">
        <v>39</v>
      </c>
      <c r="T660" s="2" t="s">
        <v>38</v>
      </c>
      <c r="U660" s="2" t="s">
        <v>39</v>
      </c>
      <c r="V660" s="2" t="s">
        <v>39</v>
      </c>
      <c r="W660" s="2" t="s">
        <v>38</v>
      </c>
      <c r="X660" s="2" t="s">
        <v>39</v>
      </c>
      <c r="Y660" s="2" t="s">
        <v>39</v>
      </c>
      <c r="Z660" s="2" t="s">
        <v>39</v>
      </c>
      <c r="AA660" s="2" t="s">
        <v>38</v>
      </c>
      <c r="AB660" s="2" t="s">
        <v>39</v>
      </c>
      <c r="AC660" s="2" t="s">
        <v>38</v>
      </c>
      <c r="AD660" s="2" t="s">
        <v>39</v>
      </c>
      <c r="AE660" s="2" t="s">
        <v>40</v>
      </c>
    </row>
    <row r="661" spans="1:31" ht="409.5">
      <c r="A661" s="2">
        <v>2756769</v>
      </c>
      <c r="B661" s="2">
        <f>HYPERLINK("https://platform.v2.vetology.net/cases/2756769/screening-report/1?type=pdf&amp;v=v6&amp;scorecard=1&amp;secret_key=BX%25IJ%24%2F65ieZ%29f6", 2756769)</f>
        <v>2756769</v>
      </c>
      <c r="C661" s="2">
        <f>HYPERLINK("https://platform.v2.vetology.net/report/v/final/"&amp;2756769, 2756769)</f>
        <v>2756769</v>
      </c>
      <c r="D661" s="2" t="s">
        <v>2268</v>
      </c>
      <c r="E661" s="2" t="s">
        <v>2269</v>
      </c>
      <c r="F661" s="2" t="s">
        <v>2270</v>
      </c>
      <c r="G661" s="2" t="s">
        <v>170</v>
      </c>
      <c r="H661" s="2" t="s">
        <v>2271</v>
      </c>
      <c r="I661" s="2" t="s">
        <v>129</v>
      </c>
      <c r="J661" s="2" t="s">
        <v>74</v>
      </c>
      <c r="K661" s="2" t="s">
        <v>38</v>
      </c>
      <c r="L661" s="2" t="s">
        <v>39</v>
      </c>
      <c r="M661" s="2" t="s">
        <v>38</v>
      </c>
      <c r="N661" s="2" t="s">
        <v>38</v>
      </c>
      <c r="O661" s="2" t="s">
        <v>38</v>
      </c>
      <c r="P661" s="2" t="s">
        <v>38</v>
      </c>
      <c r="Q661" s="2" t="s">
        <v>38</v>
      </c>
      <c r="R661" s="2" t="s">
        <v>39</v>
      </c>
      <c r="S661" s="2" t="s">
        <v>38</v>
      </c>
      <c r="T661" s="2" t="s">
        <v>38</v>
      </c>
      <c r="U661" s="2" t="s">
        <v>38</v>
      </c>
      <c r="V661" s="2" t="s">
        <v>38</v>
      </c>
      <c r="W661" s="2" t="s">
        <v>38</v>
      </c>
      <c r="X661" s="2" t="s">
        <v>38</v>
      </c>
      <c r="Y661" s="2" t="s">
        <v>39</v>
      </c>
      <c r="Z661" s="2" t="s">
        <v>38</v>
      </c>
      <c r="AA661" s="2" t="s">
        <v>38</v>
      </c>
      <c r="AB661" s="2" t="s">
        <v>38</v>
      </c>
      <c r="AC661" s="2" t="s">
        <v>38</v>
      </c>
      <c r="AD661" s="2" t="s">
        <v>39</v>
      </c>
      <c r="AE661" s="2" t="s">
        <v>40</v>
      </c>
    </row>
    <row r="662" spans="1:31" ht="409.5">
      <c r="A662" s="2">
        <v>2756714</v>
      </c>
      <c r="B662" s="2">
        <f>HYPERLINK("https://platform.v2.vetology.net/cases/2756714/screening-report/1?type=pdf&amp;v=v6&amp;scorecard=1&amp;secret_key=BX%25IJ%24%2F65ieZ%29f6", 2756714)</f>
        <v>2756714</v>
      </c>
      <c r="C662" s="2">
        <f>HYPERLINK("https://platform.v2.vetology.net/report/v/final/"&amp;2756714, 2756714)</f>
        <v>2756714</v>
      </c>
      <c r="D662" s="2" t="s">
        <v>2272</v>
      </c>
      <c r="E662" s="2" t="s">
        <v>2273</v>
      </c>
      <c r="F662" s="2"/>
      <c r="G662" s="2" t="s">
        <v>507</v>
      </c>
      <c r="H662" s="2" t="s">
        <v>2274</v>
      </c>
      <c r="I662" s="2" t="s">
        <v>129</v>
      </c>
      <c r="J662" s="2" t="s">
        <v>74</v>
      </c>
      <c r="K662" s="2" t="s">
        <v>39</v>
      </c>
      <c r="L662" s="2" t="s">
        <v>38</v>
      </c>
      <c r="M662" s="2" t="s">
        <v>38</v>
      </c>
      <c r="N662" s="2" t="s">
        <v>38</v>
      </c>
      <c r="O662" s="2" t="s">
        <v>38</v>
      </c>
      <c r="P662" s="2" t="s">
        <v>38</v>
      </c>
      <c r="Q662" s="2" t="s">
        <v>38</v>
      </c>
      <c r="R662" s="2" t="s">
        <v>38</v>
      </c>
      <c r="S662" s="2" t="s">
        <v>38</v>
      </c>
      <c r="T662" s="2" t="s">
        <v>38</v>
      </c>
      <c r="U662" s="2" t="s">
        <v>39</v>
      </c>
      <c r="V662" s="2" t="s">
        <v>39</v>
      </c>
      <c r="W662" s="2" t="s">
        <v>38</v>
      </c>
      <c r="X662" s="2" t="s">
        <v>38</v>
      </c>
      <c r="Y662" s="2" t="s">
        <v>38</v>
      </c>
      <c r="Z662" s="2" t="s">
        <v>38</v>
      </c>
      <c r="AA662" s="2" t="s">
        <v>38</v>
      </c>
      <c r="AB662" s="2" t="s">
        <v>38</v>
      </c>
      <c r="AC662" s="2" t="s">
        <v>38</v>
      </c>
      <c r="AD662" s="2" t="s">
        <v>38</v>
      </c>
      <c r="AE662" s="2"/>
    </row>
    <row r="663" spans="1:31" ht="409.5">
      <c r="A663" s="2">
        <v>2756708</v>
      </c>
      <c r="B663" s="2">
        <f>HYPERLINK("https://platform.v2.vetology.net/cases/2756708/screening-report/1?type=pdf&amp;v=v6&amp;scorecard=1&amp;secret_key=BX%25IJ%24%2F65ieZ%29f6", 2756708)</f>
        <v>2756708</v>
      </c>
      <c r="C663" s="2">
        <f>HYPERLINK("https://platform.v2.vetology.net/report/v/final/"&amp;2756708, 2756708)</f>
        <v>2756708</v>
      </c>
      <c r="D663" s="2" t="s">
        <v>2275</v>
      </c>
      <c r="E663" s="2" t="s">
        <v>2276</v>
      </c>
      <c r="F663" s="2" t="s">
        <v>2277</v>
      </c>
      <c r="G663" s="2" t="s">
        <v>170</v>
      </c>
      <c r="H663" s="2" t="s">
        <v>537</v>
      </c>
      <c r="I663" s="2" t="s">
        <v>59</v>
      </c>
      <c r="J663" s="2" t="s">
        <v>37</v>
      </c>
      <c r="K663" s="2" t="s">
        <v>38</v>
      </c>
      <c r="L663" s="2" t="s">
        <v>39</v>
      </c>
      <c r="M663" s="2" t="s">
        <v>39</v>
      </c>
      <c r="N663" s="2" t="s">
        <v>39</v>
      </c>
      <c r="O663" s="2" t="s">
        <v>39</v>
      </c>
      <c r="P663" s="2" t="s">
        <v>39</v>
      </c>
      <c r="Q663" s="2" t="s">
        <v>39</v>
      </c>
      <c r="R663" s="2" t="s">
        <v>39</v>
      </c>
      <c r="S663" s="2" t="s">
        <v>39</v>
      </c>
      <c r="T663" s="2" t="s">
        <v>39</v>
      </c>
      <c r="U663" s="2" t="s">
        <v>39</v>
      </c>
      <c r="V663" s="2" t="s">
        <v>38</v>
      </c>
      <c r="W663" s="2" t="s">
        <v>39</v>
      </c>
      <c r="X663" s="2" t="s">
        <v>39</v>
      </c>
      <c r="Y663" s="2" t="s">
        <v>39</v>
      </c>
      <c r="Z663" s="2" t="s">
        <v>39</v>
      </c>
      <c r="AA663" s="2" t="s">
        <v>39</v>
      </c>
      <c r="AB663" s="2" t="s">
        <v>39</v>
      </c>
      <c r="AC663" s="2" t="s">
        <v>39</v>
      </c>
      <c r="AD663" s="2" t="s">
        <v>39</v>
      </c>
      <c r="AE663" s="2" t="s">
        <v>39</v>
      </c>
    </row>
    <row r="664" spans="1:31" ht="409.5">
      <c r="A664" s="2">
        <v>2756707</v>
      </c>
      <c r="B664" s="2">
        <f>HYPERLINK("https://platform.v2.vetology.net/cases/2756707/screening-report/1?type=pdf&amp;v=v6&amp;scorecard=1&amp;secret_key=BX%25IJ%24%2F65ieZ%29f6", 2756707)</f>
        <v>2756707</v>
      </c>
      <c r="C664" s="2">
        <f>HYPERLINK("https://platform.v2.vetology.net/report/v/final/"&amp;2756707, 2756707)</f>
        <v>2756707</v>
      </c>
      <c r="D664" s="2" t="s">
        <v>2278</v>
      </c>
      <c r="E664" s="2" t="s">
        <v>2279</v>
      </c>
      <c r="F664" s="2" t="s">
        <v>2280</v>
      </c>
      <c r="G664" s="2" t="s">
        <v>170</v>
      </c>
      <c r="H664" s="2" t="s">
        <v>2281</v>
      </c>
      <c r="I664" s="2" t="s">
        <v>59</v>
      </c>
      <c r="J664" s="2" t="s">
        <v>37</v>
      </c>
      <c r="K664" s="2" t="s">
        <v>38</v>
      </c>
      <c r="L664" s="2" t="s">
        <v>38</v>
      </c>
      <c r="M664" s="2" t="s">
        <v>39</v>
      </c>
      <c r="N664" s="2" t="s">
        <v>39</v>
      </c>
      <c r="O664" s="2" t="s">
        <v>39</v>
      </c>
      <c r="P664" s="2" t="s">
        <v>39</v>
      </c>
      <c r="Q664" s="2" t="s">
        <v>39</v>
      </c>
      <c r="R664" s="2" t="s">
        <v>39</v>
      </c>
      <c r="S664" s="2" t="s">
        <v>39</v>
      </c>
      <c r="T664" s="2" t="s">
        <v>38</v>
      </c>
      <c r="U664" s="2" t="s">
        <v>39</v>
      </c>
      <c r="V664" s="2" t="s">
        <v>38</v>
      </c>
      <c r="W664" s="2" t="s">
        <v>39</v>
      </c>
      <c r="X664" s="2" t="s">
        <v>39</v>
      </c>
      <c r="Y664" s="2" t="s">
        <v>39</v>
      </c>
      <c r="Z664" s="2" t="s">
        <v>39</v>
      </c>
      <c r="AA664" s="2" t="s">
        <v>39</v>
      </c>
      <c r="AB664" s="2" t="s">
        <v>39</v>
      </c>
      <c r="AC664" s="2" t="s">
        <v>39</v>
      </c>
      <c r="AD664" s="2" t="s">
        <v>39</v>
      </c>
      <c r="AE664" s="2" t="s">
        <v>39</v>
      </c>
    </row>
    <row r="665" spans="1:31" ht="409.5">
      <c r="A665" s="2">
        <v>2756706</v>
      </c>
      <c r="B665" s="2">
        <f>HYPERLINK("https://platform.v2.vetology.net/cases/2756706/screening-report/1?type=pdf&amp;v=v6&amp;scorecard=1&amp;secret_key=BX%25IJ%24%2F65ieZ%29f6", 2756706)</f>
        <v>2756706</v>
      </c>
      <c r="C665" s="2">
        <f>HYPERLINK("https://platform.v2.vetology.net/report/v/final/"&amp;2756706, 2756706)</f>
        <v>2756706</v>
      </c>
      <c r="D665" s="2" t="s">
        <v>2282</v>
      </c>
      <c r="E665" s="2" t="s">
        <v>2283</v>
      </c>
      <c r="F665" s="2" t="s">
        <v>2284</v>
      </c>
      <c r="G665" s="2" t="s">
        <v>170</v>
      </c>
      <c r="H665" s="2" t="s">
        <v>2285</v>
      </c>
      <c r="I665" s="2" t="s">
        <v>257</v>
      </c>
      <c r="J665" s="2" t="s">
        <v>74</v>
      </c>
      <c r="K665" s="2" t="s">
        <v>38</v>
      </c>
      <c r="L665" s="2" t="s">
        <v>38</v>
      </c>
      <c r="M665" s="2" t="s">
        <v>38</v>
      </c>
      <c r="N665" s="2" t="s">
        <v>38</v>
      </c>
      <c r="O665" s="2" t="s">
        <v>38</v>
      </c>
      <c r="P665" s="2" t="s">
        <v>38</v>
      </c>
      <c r="Q665" s="2" t="s">
        <v>38</v>
      </c>
      <c r="R665" s="2" t="s">
        <v>38</v>
      </c>
      <c r="S665" s="2" t="s">
        <v>38</v>
      </c>
      <c r="T665" s="2" t="s">
        <v>38</v>
      </c>
      <c r="U665" s="2" t="s">
        <v>38</v>
      </c>
      <c r="V665" s="2" t="s">
        <v>38</v>
      </c>
      <c r="W665" s="2" t="s">
        <v>38</v>
      </c>
      <c r="X665" s="2" t="s">
        <v>38</v>
      </c>
      <c r="Y665" s="2" t="s">
        <v>38</v>
      </c>
      <c r="Z665" s="2" t="s">
        <v>38</v>
      </c>
      <c r="AA665" s="2" t="s">
        <v>38</v>
      </c>
      <c r="AB665" s="2" t="s">
        <v>38</v>
      </c>
      <c r="AC665" s="2" t="s">
        <v>38</v>
      </c>
      <c r="AD665" s="2" t="s">
        <v>38</v>
      </c>
      <c r="AE665" s="2" t="s">
        <v>40</v>
      </c>
    </row>
    <row r="666" spans="1:31" ht="409.5">
      <c r="A666" s="2">
        <v>2756696</v>
      </c>
      <c r="B666" s="2">
        <f>HYPERLINK("https://platform.v2.vetology.net/cases/2756696/screening-report/1?type=pdf&amp;v=v6&amp;scorecard=1&amp;secret_key=BX%25IJ%24%2F65ieZ%29f6", 2756696)</f>
        <v>2756696</v>
      </c>
      <c r="C666" s="2">
        <f>HYPERLINK("https://platform.v2.vetology.net/report/v/final/"&amp;2756696, 2756696)</f>
        <v>2756696</v>
      </c>
      <c r="D666" s="2" t="s">
        <v>2286</v>
      </c>
      <c r="E666" s="2" t="s">
        <v>2287</v>
      </c>
      <c r="F666" s="2" t="s">
        <v>2288</v>
      </c>
      <c r="G666" s="2" t="s">
        <v>556</v>
      </c>
      <c r="H666" s="2" t="s">
        <v>2289</v>
      </c>
      <c r="I666" s="2" t="s">
        <v>129</v>
      </c>
      <c r="J666" s="2" t="s">
        <v>74</v>
      </c>
      <c r="K666" s="2" t="s">
        <v>39</v>
      </c>
      <c r="L666" s="2" t="s">
        <v>39</v>
      </c>
      <c r="M666" s="2" t="s">
        <v>38</v>
      </c>
      <c r="N666" s="2" t="s">
        <v>39</v>
      </c>
      <c r="O666" s="2" t="s">
        <v>39</v>
      </c>
      <c r="P666" s="2" t="s">
        <v>39</v>
      </c>
      <c r="Q666" s="2" t="s">
        <v>38</v>
      </c>
      <c r="R666" s="2" t="s">
        <v>38</v>
      </c>
      <c r="S666" s="2" t="s">
        <v>39</v>
      </c>
      <c r="T666" s="2" t="s">
        <v>39</v>
      </c>
      <c r="U666" s="2" t="s">
        <v>39</v>
      </c>
      <c r="V666" s="2" t="s">
        <v>39</v>
      </c>
      <c r="W666" s="2" t="s">
        <v>39</v>
      </c>
      <c r="X666" s="2" t="s">
        <v>38</v>
      </c>
      <c r="Y666" s="2" t="s">
        <v>39</v>
      </c>
      <c r="Z666" s="2" t="s">
        <v>39</v>
      </c>
      <c r="AA666" s="2" t="s">
        <v>39</v>
      </c>
      <c r="AB666" s="2" t="s">
        <v>39</v>
      </c>
      <c r="AC666" s="2" t="s">
        <v>38</v>
      </c>
      <c r="AD666" s="2" t="s">
        <v>39</v>
      </c>
      <c r="AE666" s="2" t="s">
        <v>40</v>
      </c>
    </row>
    <row r="667" spans="1:31" ht="409.5">
      <c r="A667" s="2">
        <v>2756635</v>
      </c>
      <c r="B667" s="2">
        <f>HYPERLINK("https://platform.v2.vetology.net/cases/2756635/screening-report/1?type=pdf&amp;v=v6&amp;scorecard=1&amp;secret_key=BX%25IJ%24%2F65ieZ%29f6", 2756635)</f>
        <v>2756635</v>
      </c>
      <c r="C667" s="2">
        <f>HYPERLINK("https://platform.v2.vetology.net/report/v/final/"&amp;2756635, 2756635)</f>
        <v>2756635</v>
      </c>
      <c r="D667" s="2" t="s">
        <v>2290</v>
      </c>
      <c r="E667" s="2" t="s">
        <v>2291</v>
      </c>
      <c r="F667" s="2" t="s">
        <v>2292</v>
      </c>
      <c r="G667" s="2" t="s">
        <v>44</v>
      </c>
      <c r="H667" s="2" t="s">
        <v>2293</v>
      </c>
      <c r="I667" s="2" t="s">
        <v>36</v>
      </c>
      <c r="J667" s="2" t="s">
        <v>37</v>
      </c>
      <c r="K667" s="2" t="s">
        <v>38</v>
      </c>
      <c r="L667" s="2" t="s">
        <v>38</v>
      </c>
      <c r="M667" s="2" t="s">
        <v>38</v>
      </c>
      <c r="N667" s="2" t="s">
        <v>38</v>
      </c>
      <c r="O667" s="2" t="s">
        <v>38</v>
      </c>
      <c r="P667" s="2" t="s">
        <v>38</v>
      </c>
      <c r="Q667" s="2" t="s">
        <v>39</v>
      </c>
      <c r="R667" s="2" t="s">
        <v>38</v>
      </c>
      <c r="S667" s="2" t="s">
        <v>38</v>
      </c>
      <c r="T667" s="2" t="s">
        <v>38</v>
      </c>
      <c r="U667" s="2" t="s">
        <v>39</v>
      </c>
      <c r="V667" s="2" t="s">
        <v>38</v>
      </c>
      <c r="W667" s="2" t="s">
        <v>38</v>
      </c>
      <c r="X667" s="2" t="s">
        <v>38</v>
      </c>
      <c r="Y667" s="2" t="s">
        <v>38</v>
      </c>
      <c r="Z667" s="2" t="s">
        <v>38</v>
      </c>
      <c r="AA667" s="2" t="s">
        <v>38</v>
      </c>
      <c r="AB667" s="2" t="s">
        <v>38</v>
      </c>
      <c r="AC667" s="2" t="s">
        <v>38</v>
      </c>
      <c r="AD667" s="2" t="s">
        <v>38</v>
      </c>
      <c r="AE667" s="2" t="s">
        <v>40</v>
      </c>
    </row>
    <row r="668" spans="1:31" ht="409.5">
      <c r="A668" s="2">
        <v>2756621</v>
      </c>
      <c r="B668" s="2">
        <f>HYPERLINK("https://platform.v2.vetology.net/cases/2756621/screening-report/1?type=pdf&amp;v=v6&amp;scorecard=1&amp;secret_key=BX%25IJ%24%2F65ieZ%29f6", 2756621)</f>
        <v>2756621</v>
      </c>
      <c r="C668" s="2">
        <f>HYPERLINK("https://platform.v2.vetology.net/report/v/final/"&amp;2756621, 2756621)</f>
        <v>2756621</v>
      </c>
      <c r="D668" s="2" t="s">
        <v>2294</v>
      </c>
      <c r="E668" s="2" t="s">
        <v>2295</v>
      </c>
      <c r="F668" s="2" t="s">
        <v>43</v>
      </c>
      <c r="G668" s="2" t="s">
        <v>44</v>
      </c>
      <c r="H668" s="2" t="s">
        <v>394</v>
      </c>
      <c r="I668" s="2" t="s">
        <v>59</v>
      </c>
      <c r="J668" s="2" t="s">
        <v>37</v>
      </c>
      <c r="K668" s="2" t="s">
        <v>38</v>
      </c>
      <c r="L668" s="2" t="s">
        <v>39</v>
      </c>
      <c r="M668" s="2" t="s">
        <v>39</v>
      </c>
      <c r="N668" s="2" t="s">
        <v>39</v>
      </c>
      <c r="O668" s="2" t="s">
        <v>39</v>
      </c>
      <c r="P668" s="2" t="s">
        <v>39</v>
      </c>
      <c r="Q668" s="2" t="s">
        <v>39</v>
      </c>
      <c r="R668" s="2" t="s">
        <v>39</v>
      </c>
      <c r="S668" s="2" t="s">
        <v>39</v>
      </c>
      <c r="T668" s="2" t="s">
        <v>39</v>
      </c>
      <c r="U668" s="2" t="s">
        <v>38</v>
      </c>
      <c r="V668" s="2" t="s">
        <v>38</v>
      </c>
      <c r="W668" s="2" t="s">
        <v>39</v>
      </c>
      <c r="X668" s="2" t="s">
        <v>39</v>
      </c>
      <c r="Y668" s="2" t="s">
        <v>39</v>
      </c>
      <c r="Z668" s="2" t="s">
        <v>39</v>
      </c>
      <c r="AA668" s="2" t="s">
        <v>39</v>
      </c>
      <c r="AB668" s="2" t="s">
        <v>39</v>
      </c>
      <c r="AC668" s="2" t="s">
        <v>39</v>
      </c>
      <c r="AD668" s="2" t="s">
        <v>38</v>
      </c>
      <c r="AE668" s="2" t="s">
        <v>39</v>
      </c>
    </row>
    <row r="669" spans="1:31" ht="409.5">
      <c r="A669" s="2">
        <v>2756609</v>
      </c>
      <c r="B669" s="2">
        <f>HYPERLINK("https://platform.v2.vetology.net/cases/2756609/screening-report/1?type=pdf&amp;v=v6&amp;scorecard=1&amp;secret_key=BX%25IJ%24%2F65ieZ%29f6", 2756609)</f>
        <v>2756609</v>
      </c>
      <c r="C669" s="2">
        <f>HYPERLINK("https://platform.v2.vetology.net/report/v/final/"&amp;2756609, 2756609)</f>
        <v>2756609</v>
      </c>
      <c r="D669" s="2" t="s">
        <v>2296</v>
      </c>
      <c r="E669" s="2" t="s">
        <v>2297</v>
      </c>
      <c r="F669" s="2" t="s">
        <v>43</v>
      </c>
      <c r="G669" s="2" t="s">
        <v>44</v>
      </c>
      <c r="H669" s="2" t="s">
        <v>1689</v>
      </c>
      <c r="I669" s="2" t="s">
        <v>257</v>
      </c>
      <c r="J669" s="2" t="s">
        <v>74</v>
      </c>
      <c r="K669" s="2" t="s">
        <v>38</v>
      </c>
      <c r="L669" s="2" t="s">
        <v>38</v>
      </c>
      <c r="M669" s="2" t="s">
        <v>38</v>
      </c>
      <c r="N669" s="2" t="s">
        <v>38</v>
      </c>
      <c r="O669" s="2" t="s">
        <v>38</v>
      </c>
      <c r="P669" s="2" t="s">
        <v>38</v>
      </c>
      <c r="Q669" s="2" t="s">
        <v>38</v>
      </c>
      <c r="R669" s="2" t="s">
        <v>38</v>
      </c>
      <c r="S669" s="2" t="s">
        <v>38</v>
      </c>
      <c r="T669" s="2" t="s">
        <v>38</v>
      </c>
      <c r="U669" s="2" t="s">
        <v>38</v>
      </c>
      <c r="V669" s="2" t="s">
        <v>38</v>
      </c>
      <c r="W669" s="2" t="s">
        <v>38</v>
      </c>
      <c r="X669" s="2" t="s">
        <v>38</v>
      </c>
      <c r="Y669" s="2" t="s">
        <v>38</v>
      </c>
      <c r="Z669" s="2" t="s">
        <v>38</v>
      </c>
      <c r="AA669" s="2" t="s">
        <v>38</v>
      </c>
      <c r="AB669" s="2" t="s">
        <v>38</v>
      </c>
      <c r="AC669" s="2" t="s">
        <v>38</v>
      </c>
      <c r="AD669" s="2" t="s">
        <v>38</v>
      </c>
      <c r="AE669" s="2" t="s">
        <v>39</v>
      </c>
    </row>
    <row r="670" spans="1:31" ht="409.5">
      <c r="A670" s="2">
        <v>2756590</v>
      </c>
      <c r="B670" s="2">
        <f>HYPERLINK("https://platform.v2.vetology.net/cases/2756590/screening-report/1?type=pdf&amp;v=v6&amp;scorecard=1&amp;secret_key=BX%25IJ%24%2F65ieZ%29f6", 2756590)</f>
        <v>2756590</v>
      </c>
      <c r="C670" s="2">
        <f>HYPERLINK("https://platform.v2.vetology.net/report/v/final/"&amp;2756590, 2756590)</f>
        <v>2756590</v>
      </c>
      <c r="D670" s="2" t="s">
        <v>2298</v>
      </c>
      <c r="E670" s="2" t="s">
        <v>2299</v>
      </c>
      <c r="F670" s="2" t="s">
        <v>43</v>
      </c>
      <c r="G670" s="2" t="s">
        <v>507</v>
      </c>
      <c r="H670" s="2" t="s">
        <v>2300</v>
      </c>
      <c r="I670" s="2" t="s">
        <v>36</v>
      </c>
      <c r="J670" s="2" t="s">
        <v>37</v>
      </c>
      <c r="K670" s="2" t="s">
        <v>38</v>
      </c>
      <c r="L670" s="2" t="s">
        <v>38</v>
      </c>
      <c r="M670" s="2" t="s">
        <v>38</v>
      </c>
      <c r="N670" s="2" t="s">
        <v>38</v>
      </c>
      <c r="O670" s="2" t="s">
        <v>38</v>
      </c>
      <c r="P670" s="2" t="s">
        <v>38</v>
      </c>
      <c r="Q670" s="2" t="s">
        <v>39</v>
      </c>
      <c r="R670" s="2" t="s">
        <v>38</v>
      </c>
      <c r="S670" s="2" t="s">
        <v>38</v>
      </c>
      <c r="T670" s="2" t="s">
        <v>38</v>
      </c>
      <c r="U670" s="2" t="s">
        <v>38</v>
      </c>
      <c r="V670" s="2" t="s">
        <v>38</v>
      </c>
      <c r="W670" s="2" t="s">
        <v>38</v>
      </c>
      <c r="X670" s="2" t="s">
        <v>39</v>
      </c>
      <c r="Y670" s="2" t="s">
        <v>39</v>
      </c>
      <c r="Z670" s="2" t="s">
        <v>38</v>
      </c>
      <c r="AA670" s="2" t="s">
        <v>38</v>
      </c>
      <c r="AB670" s="2" t="s">
        <v>39</v>
      </c>
      <c r="AC670" s="2" t="s">
        <v>38</v>
      </c>
      <c r="AD670" s="2" t="s">
        <v>38</v>
      </c>
      <c r="AE670" s="2" t="s">
        <v>40</v>
      </c>
    </row>
    <row r="671" spans="1:31" ht="409.5">
      <c r="A671" s="2">
        <v>2756566</v>
      </c>
      <c r="B671" s="2">
        <f>HYPERLINK("https://platform.v2.vetology.net/cases/2756566/screening-report/1?type=pdf&amp;v=v6&amp;scorecard=1&amp;secret_key=BX%25IJ%24%2F65ieZ%29f6", 2756566)</f>
        <v>2756566</v>
      </c>
      <c r="C671" s="2">
        <f>HYPERLINK("https://platform.v2.vetology.net/report/v/final/"&amp;2756566, 2756566)</f>
        <v>2756566</v>
      </c>
      <c r="D671" s="2" t="s">
        <v>2301</v>
      </c>
      <c r="E671" s="2" t="s">
        <v>2302</v>
      </c>
      <c r="F671" s="2" t="s">
        <v>2303</v>
      </c>
      <c r="G671" s="2" t="s">
        <v>415</v>
      </c>
      <c r="H671" s="2" t="s">
        <v>2304</v>
      </c>
      <c r="I671" s="2" t="s">
        <v>73</v>
      </c>
      <c r="J671" s="2" t="s">
        <v>74</v>
      </c>
      <c r="K671" s="2" t="s">
        <v>38</v>
      </c>
      <c r="L671" s="2" t="s">
        <v>38</v>
      </c>
      <c r="M671" s="2" t="s">
        <v>38</v>
      </c>
      <c r="N671" s="2" t="s">
        <v>38</v>
      </c>
      <c r="O671" s="2" t="s">
        <v>38</v>
      </c>
      <c r="P671" s="2" t="s">
        <v>38</v>
      </c>
      <c r="Q671" s="2" t="s">
        <v>38</v>
      </c>
      <c r="R671" s="2" t="s">
        <v>39</v>
      </c>
      <c r="S671" s="2" t="s">
        <v>38</v>
      </c>
      <c r="T671" s="2" t="s">
        <v>38</v>
      </c>
      <c r="U671" s="2" t="s">
        <v>39</v>
      </c>
      <c r="V671" s="2" t="s">
        <v>38</v>
      </c>
      <c r="W671" s="2" t="s">
        <v>38</v>
      </c>
      <c r="X671" s="2" t="s">
        <v>38</v>
      </c>
      <c r="Y671" s="2" t="s">
        <v>38</v>
      </c>
      <c r="Z671" s="2" t="s">
        <v>38</v>
      </c>
      <c r="AA671" s="2" t="s">
        <v>38</v>
      </c>
      <c r="AB671" s="2" t="s">
        <v>38</v>
      </c>
      <c r="AC671" s="2" t="s">
        <v>38</v>
      </c>
      <c r="AD671" s="2" t="s">
        <v>39</v>
      </c>
      <c r="AE671" s="2" t="s">
        <v>40</v>
      </c>
    </row>
    <row r="672" spans="1:31" ht="409.5">
      <c r="A672" s="2">
        <v>2756523</v>
      </c>
      <c r="B672" s="2">
        <f>HYPERLINK("https://platform.v2.vetology.net/cases/2756523/screening-report/1?type=pdf&amp;v=v6&amp;scorecard=1&amp;secret_key=BX%25IJ%24%2F65ieZ%29f6", 2756523)</f>
        <v>2756523</v>
      </c>
      <c r="C672" s="2">
        <f>HYPERLINK("https://platform.v2.vetology.net/report/v/final/"&amp;2756523, 2756523)</f>
        <v>2756523</v>
      </c>
      <c r="D672" s="2" t="s">
        <v>2305</v>
      </c>
      <c r="E672" s="2" t="s">
        <v>2306</v>
      </c>
      <c r="F672" s="2" t="s">
        <v>43</v>
      </c>
      <c r="G672" s="2" t="s">
        <v>507</v>
      </c>
      <c r="H672" s="2" t="s">
        <v>394</v>
      </c>
      <c r="I672" s="2" t="s">
        <v>59</v>
      </c>
      <c r="J672" s="2" t="s">
        <v>37</v>
      </c>
      <c r="K672" s="2" t="s">
        <v>38</v>
      </c>
      <c r="L672" s="2" t="s">
        <v>39</v>
      </c>
      <c r="M672" s="2" t="s">
        <v>39</v>
      </c>
      <c r="N672" s="2" t="s">
        <v>39</v>
      </c>
      <c r="O672" s="2" t="s">
        <v>39</v>
      </c>
      <c r="P672" s="2" t="s">
        <v>39</v>
      </c>
      <c r="Q672" s="2" t="s">
        <v>39</v>
      </c>
      <c r="R672" s="2" t="s">
        <v>39</v>
      </c>
      <c r="S672" s="2" t="s">
        <v>39</v>
      </c>
      <c r="T672" s="2" t="s">
        <v>39</v>
      </c>
      <c r="U672" s="2" t="s">
        <v>38</v>
      </c>
      <c r="V672" s="2" t="s">
        <v>38</v>
      </c>
      <c r="W672" s="2" t="s">
        <v>39</v>
      </c>
      <c r="X672" s="2" t="s">
        <v>39</v>
      </c>
      <c r="Y672" s="2" t="s">
        <v>39</v>
      </c>
      <c r="Z672" s="2" t="s">
        <v>39</v>
      </c>
      <c r="AA672" s="2" t="s">
        <v>39</v>
      </c>
      <c r="AB672" s="2" t="s">
        <v>39</v>
      </c>
      <c r="AC672" s="2" t="s">
        <v>39</v>
      </c>
      <c r="AD672" s="2" t="s">
        <v>38</v>
      </c>
      <c r="AE672" s="2" t="s">
        <v>39</v>
      </c>
    </row>
    <row r="673" spans="1:31" ht="409.5">
      <c r="A673" s="2">
        <v>2756458</v>
      </c>
      <c r="B673" s="2">
        <f>HYPERLINK("https://platform.v2.vetology.net/cases/2756458/screening-report/1?type=pdf&amp;v=v6&amp;scorecard=1&amp;secret_key=BX%25IJ%24%2F65ieZ%29f6", 2756458)</f>
        <v>2756458</v>
      </c>
      <c r="C673" s="2">
        <f>HYPERLINK("https://platform.v2.vetology.net/report/v/final/"&amp;2756458, 2756458)</f>
        <v>2756458</v>
      </c>
      <c r="D673" s="2" t="s">
        <v>2307</v>
      </c>
      <c r="E673" s="2" t="s">
        <v>2308</v>
      </c>
      <c r="F673" s="2" t="s">
        <v>43</v>
      </c>
      <c r="G673" s="2" t="s">
        <v>44</v>
      </c>
      <c r="H673" s="2" t="s">
        <v>2309</v>
      </c>
      <c r="I673" s="2" t="s">
        <v>36</v>
      </c>
      <c r="J673" s="2" t="s">
        <v>37</v>
      </c>
      <c r="K673" s="2" t="s">
        <v>38</v>
      </c>
      <c r="L673" s="2" t="s">
        <v>38</v>
      </c>
      <c r="M673" s="2" t="s">
        <v>38</v>
      </c>
      <c r="N673" s="2" t="s">
        <v>38</v>
      </c>
      <c r="O673" s="2" t="s">
        <v>38</v>
      </c>
      <c r="P673" s="2" t="s">
        <v>39</v>
      </c>
      <c r="Q673" s="2" t="s">
        <v>39</v>
      </c>
      <c r="R673" s="2" t="s">
        <v>38</v>
      </c>
      <c r="S673" s="2" t="s">
        <v>38</v>
      </c>
      <c r="T673" s="2" t="s">
        <v>39</v>
      </c>
      <c r="U673" s="2" t="s">
        <v>38</v>
      </c>
      <c r="V673" s="2" t="s">
        <v>38</v>
      </c>
      <c r="W673" s="2" t="s">
        <v>38</v>
      </c>
      <c r="X673" s="2" t="s">
        <v>38</v>
      </c>
      <c r="Y673" s="2" t="s">
        <v>38</v>
      </c>
      <c r="Z673" s="2" t="s">
        <v>38</v>
      </c>
      <c r="AA673" s="2" t="s">
        <v>38</v>
      </c>
      <c r="AB673" s="2" t="s">
        <v>39</v>
      </c>
      <c r="AC673" s="2" t="s">
        <v>38</v>
      </c>
      <c r="AD673" s="2" t="s">
        <v>38</v>
      </c>
      <c r="AE673" s="2" t="s">
        <v>39</v>
      </c>
    </row>
    <row r="674" spans="1:31" ht="409.5">
      <c r="A674" s="2">
        <v>2756434</v>
      </c>
      <c r="B674" s="2">
        <f>HYPERLINK("https://platform.v2.vetology.net/cases/2756434/screening-report/1?type=pdf&amp;v=v6&amp;scorecard=1&amp;secret_key=BX%25IJ%24%2F65ieZ%29f6", 2756434)</f>
        <v>2756434</v>
      </c>
      <c r="C674" s="2">
        <f>HYPERLINK("https://platform.v2.vetology.net/report/v/final/"&amp;2756434, 2756434)</f>
        <v>2756434</v>
      </c>
      <c r="D674" s="2" t="s">
        <v>2310</v>
      </c>
      <c r="E674" s="2" t="s">
        <v>2311</v>
      </c>
      <c r="F674" s="2" t="s">
        <v>43</v>
      </c>
      <c r="G674" s="2" t="s">
        <v>507</v>
      </c>
      <c r="H674" s="2" t="s">
        <v>2312</v>
      </c>
      <c r="I674" s="2" t="s">
        <v>36</v>
      </c>
      <c r="J674" s="2" t="s">
        <v>37</v>
      </c>
      <c r="K674" s="2" t="s">
        <v>38</v>
      </c>
      <c r="L674" s="2" t="s">
        <v>39</v>
      </c>
      <c r="M674" s="2" t="s">
        <v>38</v>
      </c>
      <c r="N674" s="2" t="s">
        <v>39</v>
      </c>
      <c r="O674" s="2" t="s">
        <v>38</v>
      </c>
      <c r="P674" s="2" t="s">
        <v>39</v>
      </c>
      <c r="Q674" s="2" t="s">
        <v>39</v>
      </c>
      <c r="R674" s="2" t="s">
        <v>38</v>
      </c>
      <c r="S674" s="2" t="s">
        <v>39</v>
      </c>
      <c r="T674" s="2" t="s">
        <v>38</v>
      </c>
      <c r="U674" s="2" t="s">
        <v>38</v>
      </c>
      <c r="V674" s="2" t="s">
        <v>38</v>
      </c>
      <c r="W674" s="2" t="s">
        <v>39</v>
      </c>
      <c r="X674" s="2" t="s">
        <v>39</v>
      </c>
      <c r="Y674" s="2" t="s">
        <v>39</v>
      </c>
      <c r="Z674" s="2" t="s">
        <v>38</v>
      </c>
      <c r="AA674" s="2" t="s">
        <v>39</v>
      </c>
      <c r="AB674" s="2" t="s">
        <v>39</v>
      </c>
      <c r="AC674" s="2" t="s">
        <v>38</v>
      </c>
      <c r="AD674" s="2" t="s">
        <v>39</v>
      </c>
      <c r="AE674" s="2" t="s">
        <v>39</v>
      </c>
    </row>
    <row r="675" spans="1:31" ht="409.5">
      <c r="A675" s="2">
        <v>2756411</v>
      </c>
      <c r="B675" s="2">
        <f>HYPERLINK("https://platform.v2.vetology.net/cases/2756411/screening-report/1?type=pdf&amp;v=v6&amp;scorecard=1&amp;secret_key=BX%25IJ%24%2F65ieZ%29f6", 2756411)</f>
        <v>2756411</v>
      </c>
      <c r="C675" s="2">
        <f>HYPERLINK("https://platform.v2.vetology.net/report/v/final/"&amp;2756411, 2756411)</f>
        <v>2756411</v>
      </c>
      <c r="D675" s="2" t="s">
        <v>2313</v>
      </c>
      <c r="E675" s="2" t="s">
        <v>2314</v>
      </c>
      <c r="F675" s="2" t="s">
        <v>2315</v>
      </c>
      <c r="G675" s="2" t="s">
        <v>44</v>
      </c>
      <c r="H675" s="2" t="s">
        <v>449</v>
      </c>
      <c r="I675" s="2" t="s">
        <v>36</v>
      </c>
      <c r="J675" s="2" t="s">
        <v>37</v>
      </c>
      <c r="K675" s="2" t="s">
        <v>39</v>
      </c>
      <c r="L675" s="2" t="s">
        <v>38</v>
      </c>
      <c r="M675" s="2" t="s">
        <v>39</v>
      </c>
      <c r="N675" s="2" t="s">
        <v>38</v>
      </c>
      <c r="O675" s="2" t="s">
        <v>38</v>
      </c>
      <c r="P675" s="2" t="s">
        <v>39</v>
      </c>
      <c r="Q675" s="2" t="s">
        <v>39</v>
      </c>
      <c r="R675" s="2" t="s">
        <v>38</v>
      </c>
      <c r="S675" s="2" t="s">
        <v>38</v>
      </c>
      <c r="T675" s="2" t="s">
        <v>39</v>
      </c>
      <c r="U675" s="2" t="s">
        <v>39</v>
      </c>
      <c r="V675" s="2" t="s">
        <v>39</v>
      </c>
      <c r="W675" s="2" t="s">
        <v>38</v>
      </c>
      <c r="X675" s="2" t="s">
        <v>39</v>
      </c>
      <c r="Y675" s="2" t="s">
        <v>39</v>
      </c>
      <c r="Z675" s="2" t="s">
        <v>38</v>
      </c>
      <c r="AA675" s="2" t="s">
        <v>38</v>
      </c>
      <c r="AB675" s="2" t="s">
        <v>39</v>
      </c>
      <c r="AC675" s="2" t="s">
        <v>38</v>
      </c>
      <c r="AD675" s="2" t="s">
        <v>39</v>
      </c>
      <c r="AE675" s="2" t="s">
        <v>39</v>
      </c>
    </row>
    <row r="676" spans="1:31" ht="409.5">
      <c r="A676" s="2">
        <v>2756403</v>
      </c>
      <c r="B676" s="2">
        <f>HYPERLINK("https://platform.v2.vetology.net/cases/2756403/screening-report/1?type=pdf&amp;v=v6&amp;scorecard=1&amp;secret_key=BX%25IJ%24%2F65ieZ%29f6", 2756403)</f>
        <v>2756403</v>
      </c>
      <c r="C676" s="2">
        <f>HYPERLINK("https://platform.v2.vetology.net/report/v/final/"&amp;2756403, 2756403)</f>
        <v>2756403</v>
      </c>
      <c r="D676" s="2" t="s">
        <v>2316</v>
      </c>
      <c r="E676" s="2" t="s">
        <v>2317</v>
      </c>
      <c r="F676" s="2" t="s">
        <v>43</v>
      </c>
      <c r="G676" s="2" t="s">
        <v>44</v>
      </c>
      <c r="H676" s="2" t="s">
        <v>2318</v>
      </c>
      <c r="I676" s="2" t="s">
        <v>257</v>
      </c>
      <c r="J676" s="2" t="s">
        <v>74</v>
      </c>
      <c r="K676" s="2" t="s">
        <v>38</v>
      </c>
      <c r="L676" s="2" t="s">
        <v>38</v>
      </c>
      <c r="M676" s="2" t="s">
        <v>38</v>
      </c>
      <c r="N676" s="2" t="s">
        <v>38</v>
      </c>
      <c r="O676" s="2" t="s">
        <v>38</v>
      </c>
      <c r="P676" s="2" t="s">
        <v>38</v>
      </c>
      <c r="Q676" s="2" t="s">
        <v>38</v>
      </c>
      <c r="R676" s="2" t="s">
        <v>38</v>
      </c>
      <c r="S676" s="2" t="s">
        <v>38</v>
      </c>
      <c r="T676" s="2" t="s">
        <v>38</v>
      </c>
      <c r="U676" s="2" t="s">
        <v>38</v>
      </c>
      <c r="V676" s="2" t="s">
        <v>38</v>
      </c>
      <c r="W676" s="2" t="s">
        <v>38</v>
      </c>
      <c r="X676" s="2" t="s">
        <v>38</v>
      </c>
      <c r="Y676" s="2" t="s">
        <v>38</v>
      </c>
      <c r="Z676" s="2" t="s">
        <v>38</v>
      </c>
      <c r="AA676" s="2" t="s">
        <v>38</v>
      </c>
      <c r="AB676" s="2" t="s">
        <v>38</v>
      </c>
      <c r="AC676" s="2" t="s">
        <v>38</v>
      </c>
      <c r="AD676" s="2" t="s">
        <v>38</v>
      </c>
      <c r="AE676" s="2" t="s">
        <v>40</v>
      </c>
    </row>
    <row r="677" spans="1:31" ht="409.5">
      <c r="A677" s="2">
        <v>2756396</v>
      </c>
      <c r="B677" s="2">
        <f>HYPERLINK("https://platform.v2.vetology.net/cases/2756396/screening-report/1?type=pdf&amp;v=v6&amp;scorecard=1&amp;secret_key=BX%25IJ%24%2F65ieZ%29f6", 2756396)</f>
        <v>2756396</v>
      </c>
      <c r="C677" s="2">
        <f>HYPERLINK("https://platform.v2.vetology.net/report/v/final/"&amp;2756396, 2756396)</f>
        <v>2756396</v>
      </c>
      <c r="D677" s="2" t="s">
        <v>2319</v>
      </c>
      <c r="E677" s="2" t="s">
        <v>2320</v>
      </c>
      <c r="F677" s="2" t="s">
        <v>43</v>
      </c>
      <c r="G677" s="2" t="s">
        <v>44</v>
      </c>
      <c r="H677" s="2" t="s">
        <v>1526</v>
      </c>
      <c r="I677" s="2" t="s">
        <v>36</v>
      </c>
      <c r="J677" s="2" t="s">
        <v>37</v>
      </c>
      <c r="K677" s="2" t="s">
        <v>39</v>
      </c>
      <c r="L677" s="2" t="s">
        <v>38</v>
      </c>
      <c r="M677" s="2" t="s">
        <v>39</v>
      </c>
      <c r="N677" s="2" t="s">
        <v>38</v>
      </c>
      <c r="O677" s="2" t="s">
        <v>38</v>
      </c>
      <c r="P677" s="2" t="s">
        <v>39</v>
      </c>
      <c r="Q677" s="2" t="s">
        <v>39</v>
      </c>
      <c r="R677" s="2" t="s">
        <v>38</v>
      </c>
      <c r="S677" s="2" t="s">
        <v>38</v>
      </c>
      <c r="T677" s="2" t="s">
        <v>39</v>
      </c>
      <c r="U677" s="2" t="s">
        <v>38</v>
      </c>
      <c r="V677" s="2" t="s">
        <v>38</v>
      </c>
      <c r="W677" s="2" t="s">
        <v>38</v>
      </c>
      <c r="X677" s="2" t="s">
        <v>39</v>
      </c>
      <c r="Y677" s="2" t="s">
        <v>38</v>
      </c>
      <c r="Z677" s="2" t="s">
        <v>38</v>
      </c>
      <c r="AA677" s="2" t="s">
        <v>38</v>
      </c>
      <c r="AB677" s="2" t="s">
        <v>38</v>
      </c>
      <c r="AC677" s="2" t="s">
        <v>38</v>
      </c>
      <c r="AD677" s="2" t="s">
        <v>38</v>
      </c>
      <c r="AE677" s="2" t="s">
        <v>39</v>
      </c>
    </row>
    <row r="678" spans="1:31" ht="409.5">
      <c r="A678" s="2">
        <v>2756378</v>
      </c>
      <c r="B678" s="2">
        <f>HYPERLINK("https://platform.v2.vetology.net/cases/2756378/screening-report/1?type=pdf&amp;v=v6&amp;scorecard=1&amp;secret_key=BX%25IJ%24%2F65ieZ%29f6", 2756378)</f>
        <v>2756378</v>
      </c>
      <c r="C678" s="2">
        <f>HYPERLINK("https://platform.v2.vetology.net/report/v/final/"&amp;2756378, 2756378)</f>
        <v>2756378</v>
      </c>
      <c r="D678" s="2" t="s">
        <v>2321</v>
      </c>
      <c r="E678" s="2" t="s">
        <v>2322</v>
      </c>
      <c r="F678" s="2" t="s">
        <v>43</v>
      </c>
      <c r="G678" s="2" t="s">
        <v>44</v>
      </c>
      <c r="H678" s="2" t="s">
        <v>2323</v>
      </c>
      <c r="I678" s="2" t="s">
        <v>59</v>
      </c>
      <c r="J678" s="2" t="s">
        <v>37</v>
      </c>
      <c r="K678" s="2" t="s">
        <v>38</v>
      </c>
      <c r="L678" s="2" t="s">
        <v>39</v>
      </c>
      <c r="M678" s="2" t="s">
        <v>39</v>
      </c>
      <c r="N678" s="2" t="s">
        <v>39</v>
      </c>
      <c r="O678" s="2" t="s">
        <v>39</v>
      </c>
      <c r="P678" s="2" t="s">
        <v>39</v>
      </c>
      <c r="Q678" s="2" t="s">
        <v>39</v>
      </c>
      <c r="R678" s="2" t="s">
        <v>38</v>
      </c>
      <c r="S678" s="2" t="s">
        <v>38</v>
      </c>
      <c r="T678" s="2" t="s">
        <v>39</v>
      </c>
      <c r="U678" s="2" t="s">
        <v>38</v>
      </c>
      <c r="V678" s="2" t="s">
        <v>38</v>
      </c>
      <c r="W678" s="2" t="s">
        <v>39</v>
      </c>
      <c r="X678" s="2" t="s">
        <v>39</v>
      </c>
      <c r="Y678" s="2" t="s">
        <v>39</v>
      </c>
      <c r="Z678" s="2" t="s">
        <v>39</v>
      </c>
      <c r="AA678" s="2" t="s">
        <v>38</v>
      </c>
      <c r="AB678" s="2" t="s">
        <v>39</v>
      </c>
      <c r="AC678" s="2" t="s">
        <v>38</v>
      </c>
      <c r="AD678" s="2" t="s">
        <v>39</v>
      </c>
      <c r="AE678" s="2" t="s">
        <v>39</v>
      </c>
    </row>
    <row r="679" spans="1:31" ht="409.5">
      <c r="A679" s="2">
        <v>2756301</v>
      </c>
      <c r="B679" s="2">
        <f>HYPERLINK("https://platform.v2.vetology.net/cases/2756301/screening-report/1?type=pdf&amp;v=v6&amp;scorecard=1&amp;secret_key=BX%25IJ%24%2F65ieZ%29f6", 2756301)</f>
        <v>2756301</v>
      </c>
      <c r="C679" s="2">
        <f>HYPERLINK("https://platform.v2.vetology.net/report/v/final/"&amp;2756301, 2756301)</f>
        <v>2756301</v>
      </c>
      <c r="D679" s="2" t="s">
        <v>2324</v>
      </c>
      <c r="E679" s="2" t="s">
        <v>2325</v>
      </c>
      <c r="F679" s="2" t="s">
        <v>2326</v>
      </c>
      <c r="G679" s="2" t="s">
        <v>170</v>
      </c>
      <c r="H679" s="2" t="s">
        <v>2327</v>
      </c>
      <c r="I679" s="2" t="s">
        <v>73</v>
      </c>
      <c r="J679" s="2" t="s">
        <v>74</v>
      </c>
      <c r="K679" s="2" t="s">
        <v>38</v>
      </c>
      <c r="L679" s="2" t="s">
        <v>38</v>
      </c>
      <c r="M679" s="2" t="s">
        <v>38</v>
      </c>
      <c r="N679" s="2" t="s">
        <v>38</v>
      </c>
      <c r="O679" s="2" t="s">
        <v>38</v>
      </c>
      <c r="P679" s="2" t="s">
        <v>38</v>
      </c>
      <c r="Q679" s="2" t="s">
        <v>38</v>
      </c>
      <c r="R679" s="2" t="s">
        <v>38</v>
      </c>
      <c r="S679" s="2" t="s">
        <v>38</v>
      </c>
      <c r="T679" s="2" t="s">
        <v>38</v>
      </c>
      <c r="U679" s="2" t="s">
        <v>38</v>
      </c>
      <c r="V679" s="2" t="s">
        <v>38</v>
      </c>
      <c r="W679" s="2" t="s">
        <v>38</v>
      </c>
      <c r="X679" s="2" t="s">
        <v>38</v>
      </c>
      <c r="Y679" s="2" t="s">
        <v>38</v>
      </c>
      <c r="Z679" s="2" t="s">
        <v>38</v>
      </c>
      <c r="AA679" s="2" t="s">
        <v>38</v>
      </c>
      <c r="AB679" s="2" t="s">
        <v>38</v>
      </c>
      <c r="AC679" s="2" t="s">
        <v>38</v>
      </c>
      <c r="AD679" s="2" t="s">
        <v>38</v>
      </c>
      <c r="AE679" s="2" t="s">
        <v>40</v>
      </c>
    </row>
    <row r="680" spans="1:31" ht="409.5">
      <c r="A680" s="2">
        <v>2756296</v>
      </c>
      <c r="B680" s="2">
        <f>HYPERLINK("https://platform.v2.vetology.net/cases/2756296/screening-report/1?type=pdf&amp;v=v6&amp;scorecard=1&amp;secret_key=BX%25IJ%24%2F65ieZ%29f6", 2756296)</f>
        <v>2756296</v>
      </c>
      <c r="C680" s="2">
        <f>HYPERLINK("https://platform.v2.vetology.net/report/v/final/"&amp;2756296, 2756296)</f>
        <v>2756296</v>
      </c>
      <c r="D680" s="2" t="s">
        <v>2328</v>
      </c>
      <c r="E680" s="2" t="s">
        <v>2329</v>
      </c>
      <c r="F680" s="2" t="s">
        <v>2330</v>
      </c>
      <c r="G680" s="2" t="s">
        <v>53</v>
      </c>
      <c r="H680" s="2" t="s">
        <v>2331</v>
      </c>
      <c r="I680" s="2" t="s">
        <v>73</v>
      </c>
      <c r="J680" s="2" t="s">
        <v>74</v>
      </c>
      <c r="K680" s="2" t="s">
        <v>38</v>
      </c>
      <c r="L680" s="2" t="s">
        <v>39</v>
      </c>
      <c r="M680" s="2" t="s">
        <v>38</v>
      </c>
      <c r="N680" s="2" t="s">
        <v>38</v>
      </c>
      <c r="O680" s="2" t="s">
        <v>38</v>
      </c>
      <c r="P680" s="2" t="s">
        <v>38</v>
      </c>
      <c r="Q680" s="2" t="s">
        <v>38</v>
      </c>
      <c r="R680" s="2" t="s">
        <v>39</v>
      </c>
      <c r="S680" s="2" t="s">
        <v>39</v>
      </c>
      <c r="T680" s="2" t="s">
        <v>38</v>
      </c>
      <c r="U680" s="2" t="s">
        <v>39</v>
      </c>
      <c r="V680" s="2" t="s">
        <v>39</v>
      </c>
      <c r="W680" s="2" t="s">
        <v>39</v>
      </c>
      <c r="X680" s="2" t="s">
        <v>38</v>
      </c>
      <c r="Y680" s="2" t="s">
        <v>39</v>
      </c>
      <c r="Z680" s="2" t="s">
        <v>39</v>
      </c>
      <c r="AA680" s="2" t="s">
        <v>39</v>
      </c>
      <c r="AB680" s="2" t="s">
        <v>39</v>
      </c>
      <c r="AC680" s="2" t="s">
        <v>39</v>
      </c>
      <c r="AD680" s="2" t="s">
        <v>39</v>
      </c>
      <c r="AE680" s="2" t="s">
        <v>39</v>
      </c>
    </row>
    <row r="681" spans="1:31" ht="409.5">
      <c r="A681" s="2">
        <v>2756272</v>
      </c>
      <c r="B681" s="2">
        <f>HYPERLINK("https://platform.v2.vetology.net/cases/2756272/screening-report/1?type=pdf&amp;v=v6&amp;scorecard=1&amp;secret_key=BX%25IJ%24%2F65ieZ%29f6", 2756272)</f>
        <v>2756272</v>
      </c>
      <c r="C681" s="2">
        <f>HYPERLINK("https://platform.v2.vetology.net/report/v/final/"&amp;2756272, 2756272)</f>
        <v>2756272</v>
      </c>
      <c r="D681" s="2" t="s">
        <v>2332</v>
      </c>
      <c r="E681" s="2" t="s">
        <v>2333</v>
      </c>
      <c r="F681" s="2"/>
      <c r="G681" s="2" t="s">
        <v>507</v>
      </c>
      <c r="H681" s="2" t="s">
        <v>2334</v>
      </c>
      <c r="I681" s="2" t="s">
        <v>129</v>
      </c>
      <c r="J681" s="2" t="s">
        <v>74</v>
      </c>
      <c r="K681" s="2" t="s">
        <v>39</v>
      </c>
      <c r="L681" s="2" t="s">
        <v>39</v>
      </c>
      <c r="M681" s="2" t="s">
        <v>38</v>
      </c>
      <c r="N681" s="2" t="s">
        <v>39</v>
      </c>
      <c r="O681" s="2" t="s">
        <v>38</v>
      </c>
      <c r="P681" s="2" t="s">
        <v>38</v>
      </c>
      <c r="Q681" s="2" t="s">
        <v>38</v>
      </c>
      <c r="R681" s="2" t="s">
        <v>38</v>
      </c>
      <c r="S681" s="2" t="s">
        <v>38</v>
      </c>
      <c r="T681" s="2" t="s">
        <v>38</v>
      </c>
      <c r="U681" s="2" t="s">
        <v>39</v>
      </c>
      <c r="V681" s="2" t="s">
        <v>39</v>
      </c>
      <c r="W681" s="2" t="s">
        <v>38</v>
      </c>
      <c r="X681" s="2" t="s">
        <v>38</v>
      </c>
      <c r="Y681" s="2" t="s">
        <v>39</v>
      </c>
      <c r="Z681" s="2" t="s">
        <v>39</v>
      </c>
      <c r="AA681" s="2" t="s">
        <v>39</v>
      </c>
      <c r="AB681" s="2" t="s">
        <v>38</v>
      </c>
      <c r="AC681" s="2" t="s">
        <v>39</v>
      </c>
      <c r="AD681" s="2" t="s">
        <v>38</v>
      </c>
      <c r="AE681" s="2" t="s">
        <v>39</v>
      </c>
    </row>
    <row r="682" spans="1:31" ht="409.5">
      <c r="A682" s="2">
        <v>2756233</v>
      </c>
      <c r="B682" s="2">
        <f>HYPERLINK("https://platform.v2.vetology.net/cases/2756233/screening-report/1?type=pdf&amp;v=v6&amp;scorecard=1&amp;secret_key=BX%25IJ%24%2F65ieZ%29f6", 2756233)</f>
        <v>2756233</v>
      </c>
      <c r="C682" s="2">
        <f>HYPERLINK("https://platform.v2.vetology.net/report/v/final/"&amp;2756233, 2756233)</f>
        <v>2756233</v>
      </c>
      <c r="D682" s="2" t="s">
        <v>2335</v>
      </c>
      <c r="E682" s="2" t="s">
        <v>2336</v>
      </c>
      <c r="F682" s="2" t="s">
        <v>43</v>
      </c>
      <c r="G682" s="2" t="s">
        <v>507</v>
      </c>
      <c r="H682" s="2" t="s">
        <v>2337</v>
      </c>
      <c r="I682" s="2" t="s">
        <v>73</v>
      </c>
      <c r="J682" s="2" t="s">
        <v>74</v>
      </c>
      <c r="K682" s="2" t="s">
        <v>38</v>
      </c>
      <c r="L682" s="2" t="s">
        <v>38</v>
      </c>
      <c r="M682" s="2" t="s">
        <v>38</v>
      </c>
      <c r="N682" s="2" t="s">
        <v>38</v>
      </c>
      <c r="O682" s="2" t="s">
        <v>38</v>
      </c>
      <c r="P682" s="2" t="s">
        <v>38</v>
      </c>
      <c r="Q682" s="2" t="s">
        <v>38</v>
      </c>
      <c r="R682" s="2" t="s">
        <v>38</v>
      </c>
      <c r="S682" s="2" t="s">
        <v>38</v>
      </c>
      <c r="T682" s="2" t="s">
        <v>38</v>
      </c>
      <c r="U682" s="2" t="s">
        <v>38</v>
      </c>
      <c r="V682" s="2" t="s">
        <v>38</v>
      </c>
      <c r="W682" s="2" t="s">
        <v>38</v>
      </c>
      <c r="X682" s="2" t="s">
        <v>38</v>
      </c>
      <c r="Y682" s="2" t="s">
        <v>38</v>
      </c>
      <c r="Z682" s="2" t="s">
        <v>38</v>
      </c>
      <c r="AA682" s="2" t="s">
        <v>38</v>
      </c>
      <c r="AB682" s="2" t="s">
        <v>38</v>
      </c>
      <c r="AC682" s="2" t="s">
        <v>38</v>
      </c>
      <c r="AD682" s="2" t="s">
        <v>38</v>
      </c>
      <c r="AE682" s="2" t="s">
        <v>40</v>
      </c>
    </row>
    <row r="683" spans="1:31" ht="409.5">
      <c r="A683" s="2">
        <v>2756176</v>
      </c>
      <c r="B683" s="2">
        <f>HYPERLINK("https://platform.v2.vetology.net/cases/2756176/screening-report/1?type=pdf&amp;v=v6&amp;scorecard=1&amp;secret_key=BX%25IJ%24%2F65ieZ%29f6", 2756176)</f>
        <v>2756176</v>
      </c>
      <c r="C683" s="2">
        <f>HYPERLINK("https://platform.v2.vetology.net/report/v/final/"&amp;2756176, 2756176)</f>
        <v>2756176</v>
      </c>
      <c r="D683" s="2" t="s">
        <v>2338</v>
      </c>
      <c r="E683" s="2" t="s">
        <v>2339</v>
      </c>
      <c r="F683" s="2" t="s">
        <v>2340</v>
      </c>
      <c r="G683" s="2" t="s">
        <v>170</v>
      </c>
      <c r="H683" s="2" t="s">
        <v>2341</v>
      </c>
      <c r="I683" s="2" t="s">
        <v>36</v>
      </c>
      <c r="J683" s="2" t="s">
        <v>37</v>
      </c>
      <c r="K683" s="2" t="s">
        <v>38</v>
      </c>
      <c r="L683" s="2" t="s">
        <v>38</v>
      </c>
      <c r="M683" s="2" t="s">
        <v>38</v>
      </c>
      <c r="N683" s="2" t="s">
        <v>38</v>
      </c>
      <c r="O683" s="2" t="s">
        <v>38</v>
      </c>
      <c r="P683" s="2" t="s">
        <v>39</v>
      </c>
      <c r="Q683" s="2" t="s">
        <v>39</v>
      </c>
      <c r="R683" s="2" t="s">
        <v>38</v>
      </c>
      <c r="S683" s="2" t="s">
        <v>38</v>
      </c>
      <c r="T683" s="2" t="s">
        <v>39</v>
      </c>
      <c r="U683" s="2" t="s">
        <v>38</v>
      </c>
      <c r="V683" s="2" t="s">
        <v>38</v>
      </c>
      <c r="W683" s="2" t="s">
        <v>38</v>
      </c>
      <c r="X683" s="2" t="s">
        <v>39</v>
      </c>
      <c r="Y683" s="2" t="s">
        <v>39</v>
      </c>
      <c r="Z683" s="2" t="s">
        <v>38</v>
      </c>
      <c r="AA683" s="2" t="s">
        <v>38</v>
      </c>
      <c r="AB683" s="2" t="s">
        <v>39</v>
      </c>
      <c r="AC683" s="2" t="s">
        <v>38</v>
      </c>
      <c r="AD683" s="2" t="s">
        <v>38</v>
      </c>
      <c r="AE683" s="2"/>
    </row>
    <row r="684" spans="1:31" ht="409.5">
      <c r="A684" s="2">
        <v>2756066</v>
      </c>
      <c r="B684" s="2">
        <f>HYPERLINK("https://platform.v2.vetology.net/cases/2756066/screening-report/1?type=pdf&amp;v=v6&amp;scorecard=1&amp;secret_key=BX%25IJ%24%2F65ieZ%29f6", 2756066)</f>
        <v>2756066</v>
      </c>
      <c r="C684" s="2">
        <f>HYPERLINK("https://platform.v2.vetology.net/report/v/final/"&amp;2756066, 2756066)</f>
        <v>2756066</v>
      </c>
      <c r="D684" s="2" t="s">
        <v>2342</v>
      </c>
      <c r="E684" s="2" t="s">
        <v>2343</v>
      </c>
      <c r="F684" s="2" t="s">
        <v>43</v>
      </c>
      <c r="G684" s="2" t="s">
        <v>507</v>
      </c>
      <c r="H684" s="2" t="s">
        <v>2344</v>
      </c>
      <c r="I684" s="2" t="s">
        <v>36</v>
      </c>
      <c r="J684" s="2" t="s">
        <v>37</v>
      </c>
      <c r="K684" s="2" t="s">
        <v>39</v>
      </c>
      <c r="L684" s="2" t="s">
        <v>39</v>
      </c>
      <c r="M684" s="2" t="s">
        <v>38</v>
      </c>
      <c r="N684" s="2" t="s">
        <v>38</v>
      </c>
      <c r="O684" s="2" t="s">
        <v>38</v>
      </c>
      <c r="P684" s="2" t="s">
        <v>38</v>
      </c>
      <c r="Q684" s="2" t="s">
        <v>38</v>
      </c>
      <c r="R684" s="2" t="s">
        <v>39</v>
      </c>
      <c r="S684" s="2" t="s">
        <v>38</v>
      </c>
      <c r="T684" s="2" t="s">
        <v>38</v>
      </c>
      <c r="U684" s="2" t="s">
        <v>39</v>
      </c>
      <c r="V684" s="2" t="s">
        <v>38</v>
      </c>
      <c r="W684" s="2" t="s">
        <v>38</v>
      </c>
      <c r="X684" s="2" t="s">
        <v>38</v>
      </c>
      <c r="Y684" s="2" t="s">
        <v>39</v>
      </c>
      <c r="Z684" s="2" t="s">
        <v>38</v>
      </c>
      <c r="AA684" s="2" t="s">
        <v>38</v>
      </c>
      <c r="AB684" s="2" t="s">
        <v>38</v>
      </c>
      <c r="AC684" s="2" t="s">
        <v>38</v>
      </c>
      <c r="AD684" s="2" t="s">
        <v>38</v>
      </c>
      <c r="AE684" s="2" t="s">
        <v>40</v>
      </c>
    </row>
    <row r="685" spans="1:31" ht="409.5">
      <c r="A685" s="2">
        <v>2756061</v>
      </c>
      <c r="B685" s="2">
        <f>HYPERLINK("https://platform.v2.vetology.net/cases/2756061/screening-report/1?type=pdf&amp;v=v6&amp;scorecard=1&amp;secret_key=BX%25IJ%24%2F65ieZ%29f6", 2756061)</f>
        <v>2756061</v>
      </c>
      <c r="C685" s="2">
        <f>HYPERLINK("https://platform.v2.vetology.net/report/v/final/"&amp;2756061, 2756061)</f>
        <v>2756061</v>
      </c>
      <c r="D685" s="2" t="s">
        <v>2345</v>
      </c>
      <c r="E685" s="2" t="s">
        <v>2346</v>
      </c>
      <c r="F685" s="2" t="s">
        <v>2347</v>
      </c>
      <c r="G685" s="2" t="s">
        <v>507</v>
      </c>
      <c r="H685" s="2" t="s">
        <v>2348</v>
      </c>
      <c r="I685" s="2" t="s">
        <v>73</v>
      </c>
      <c r="J685" s="2" t="s">
        <v>74</v>
      </c>
      <c r="K685" s="2" t="s">
        <v>38</v>
      </c>
      <c r="L685" s="2" t="s">
        <v>39</v>
      </c>
      <c r="M685" s="2" t="s">
        <v>39</v>
      </c>
      <c r="N685" s="2" t="s">
        <v>38</v>
      </c>
      <c r="O685" s="2" t="s">
        <v>38</v>
      </c>
      <c r="P685" s="2" t="s">
        <v>38</v>
      </c>
      <c r="Q685" s="2" t="s">
        <v>38</v>
      </c>
      <c r="R685" s="2" t="s">
        <v>39</v>
      </c>
      <c r="S685" s="2" t="s">
        <v>38</v>
      </c>
      <c r="T685" s="2" t="s">
        <v>38</v>
      </c>
      <c r="U685" s="2" t="s">
        <v>38</v>
      </c>
      <c r="V685" s="2" t="s">
        <v>38</v>
      </c>
      <c r="W685" s="2" t="s">
        <v>38</v>
      </c>
      <c r="X685" s="2" t="s">
        <v>38</v>
      </c>
      <c r="Y685" s="2" t="s">
        <v>39</v>
      </c>
      <c r="Z685" s="2" t="s">
        <v>39</v>
      </c>
      <c r="AA685" s="2" t="s">
        <v>38</v>
      </c>
      <c r="AB685" s="2" t="s">
        <v>38</v>
      </c>
      <c r="AC685" s="2" t="s">
        <v>38</v>
      </c>
      <c r="AD685" s="2" t="s">
        <v>39</v>
      </c>
      <c r="AE685" s="2" t="s">
        <v>40</v>
      </c>
    </row>
    <row r="686" spans="1:31" ht="409.5">
      <c r="A686" s="2">
        <v>2756059</v>
      </c>
      <c r="B686" s="2">
        <f>HYPERLINK("https://platform.v2.vetology.net/cases/2756059/screening-report/1?type=pdf&amp;v=v6&amp;scorecard=1&amp;secret_key=BX%25IJ%24%2F65ieZ%29f6", 2756059)</f>
        <v>2756059</v>
      </c>
      <c r="C686" s="2">
        <f>HYPERLINK("https://platform.v2.vetology.net/report/v/final/"&amp;2756059, 2756059)</f>
        <v>2756059</v>
      </c>
      <c r="D686" s="2" t="s">
        <v>2349</v>
      </c>
      <c r="E686" s="2" t="s">
        <v>2350</v>
      </c>
      <c r="F686" s="2" t="s">
        <v>2351</v>
      </c>
      <c r="G686" s="2" t="s">
        <v>251</v>
      </c>
      <c r="H686" s="2" t="s">
        <v>2352</v>
      </c>
      <c r="I686" s="2" t="s">
        <v>129</v>
      </c>
      <c r="J686" s="2" t="s">
        <v>74</v>
      </c>
      <c r="K686" s="2" t="s">
        <v>39</v>
      </c>
      <c r="L686" s="2" t="s">
        <v>38</v>
      </c>
      <c r="M686" s="2" t="s">
        <v>38</v>
      </c>
      <c r="N686" s="2" t="s">
        <v>38</v>
      </c>
      <c r="O686" s="2" t="s">
        <v>38</v>
      </c>
      <c r="P686" s="2" t="s">
        <v>38</v>
      </c>
      <c r="Q686" s="2" t="s">
        <v>38</v>
      </c>
      <c r="R686" s="2" t="s">
        <v>39</v>
      </c>
      <c r="S686" s="2" t="s">
        <v>39</v>
      </c>
      <c r="T686" s="2" t="s">
        <v>38</v>
      </c>
      <c r="U686" s="2" t="s">
        <v>39</v>
      </c>
      <c r="V686" s="2" t="s">
        <v>39</v>
      </c>
      <c r="W686" s="2" t="s">
        <v>38</v>
      </c>
      <c r="X686" s="2" t="s">
        <v>38</v>
      </c>
      <c r="Y686" s="2" t="s">
        <v>38</v>
      </c>
      <c r="Z686" s="2" t="s">
        <v>38</v>
      </c>
      <c r="AA686" s="2" t="s">
        <v>38</v>
      </c>
      <c r="AB686" s="2" t="s">
        <v>38</v>
      </c>
      <c r="AC686" s="2" t="s">
        <v>38</v>
      </c>
      <c r="AD686" s="2" t="s">
        <v>38</v>
      </c>
      <c r="AE686" s="2"/>
    </row>
    <row r="687" spans="1:31" ht="409.5">
      <c r="A687" s="2">
        <v>2755997</v>
      </c>
      <c r="B687" s="2">
        <f>HYPERLINK("https://platform.v2.vetology.net/cases/2755997/screening-report/1?type=pdf&amp;v=v6&amp;scorecard=1&amp;secret_key=BX%25IJ%24%2F65ieZ%29f6", 2755997)</f>
        <v>2755997</v>
      </c>
      <c r="C687" s="2">
        <f>HYPERLINK("https://platform.v2.vetology.net/report/v/final/"&amp;2755997, 2755997)</f>
        <v>2755997</v>
      </c>
      <c r="D687" s="2" t="s">
        <v>2353</v>
      </c>
      <c r="E687" s="2" t="s">
        <v>359</v>
      </c>
      <c r="F687" s="2"/>
      <c r="G687" s="2" t="s">
        <v>100</v>
      </c>
      <c r="H687" s="2" t="s">
        <v>530</v>
      </c>
      <c r="I687" s="2" t="s">
        <v>59</v>
      </c>
      <c r="J687" s="2" t="s">
        <v>37</v>
      </c>
      <c r="K687" s="2" t="s">
        <v>38</v>
      </c>
      <c r="L687" s="2" t="s">
        <v>39</v>
      </c>
      <c r="M687" s="2" t="s">
        <v>39</v>
      </c>
      <c r="N687" s="2" t="s">
        <v>39</v>
      </c>
      <c r="O687" s="2" t="s">
        <v>39</v>
      </c>
      <c r="P687" s="2" t="s">
        <v>39</v>
      </c>
      <c r="Q687" s="2" t="s">
        <v>39</v>
      </c>
      <c r="R687" s="2" t="s">
        <v>39</v>
      </c>
      <c r="S687" s="2" t="s">
        <v>39</v>
      </c>
      <c r="T687" s="2" t="s">
        <v>38</v>
      </c>
      <c r="U687" s="2" t="s">
        <v>38</v>
      </c>
      <c r="V687" s="2" t="s">
        <v>38</v>
      </c>
      <c r="W687" s="2" t="s">
        <v>39</v>
      </c>
      <c r="X687" s="2" t="s">
        <v>39</v>
      </c>
      <c r="Y687" s="2" t="s">
        <v>39</v>
      </c>
      <c r="Z687" s="2" t="s">
        <v>39</v>
      </c>
      <c r="AA687" s="2" t="s">
        <v>39</v>
      </c>
      <c r="AB687" s="2" t="s">
        <v>39</v>
      </c>
      <c r="AC687" s="2" t="s">
        <v>39</v>
      </c>
      <c r="AD687" s="2" t="s">
        <v>39</v>
      </c>
      <c r="AE687" s="2" t="s">
        <v>39</v>
      </c>
    </row>
    <row r="688" spans="1:31" ht="409.5">
      <c r="A688" s="2">
        <v>2755978</v>
      </c>
      <c r="B688" s="2">
        <f>HYPERLINK("https://platform.v2.vetology.net/cases/2755978/screening-report/1?type=pdf&amp;v=v6&amp;scorecard=1&amp;secret_key=BX%25IJ%24%2F65ieZ%29f6", 2755978)</f>
        <v>2755978</v>
      </c>
      <c r="C688" s="2">
        <f>HYPERLINK("https://platform.v2.vetology.net/report/v/final/"&amp;2755978, 2755978)</f>
        <v>2755978</v>
      </c>
      <c r="D688" s="2" t="s">
        <v>2354</v>
      </c>
      <c r="E688" s="2" t="s">
        <v>2355</v>
      </c>
      <c r="F688" s="2" t="s">
        <v>356</v>
      </c>
      <c r="G688" s="2" t="s">
        <v>100</v>
      </c>
      <c r="H688" s="2" t="s">
        <v>2356</v>
      </c>
      <c r="I688" s="2" t="s">
        <v>257</v>
      </c>
      <c r="J688" s="2" t="s">
        <v>74</v>
      </c>
      <c r="K688" s="2" t="s">
        <v>38</v>
      </c>
      <c r="L688" s="2" t="s">
        <v>38</v>
      </c>
      <c r="M688" s="2" t="s">
        <v>38</v>
      </c>
      <c r="N688" s="2" t="s">
        <v>38</v>
      </c>
      <c r="O688" s="2" t="s">
        <v>38</v>
      </c>
      <c r="P688" s="2" t="s">
        <v>38</v>
      </c>
      <c r="Q688" s="2" t="s">
        <v>38</v>
      </c>
      <c r="R688" s="2" t="s">
        <v>38</v>
      </c>
      <c r="S688" s="2" t="s">
        <v>38</v>
      </c>
      <c r="T688" s="2" t="s">
        <v>38</v>
      </c>
      <c r="U688" s="2" t="s">
        <v>38</v>
      </c>
      <c r="V688" s="2" t="s">
        <v>38</v>
      </c>
      <c r="W688" s="2" t="s">
        <v>38</v>
      </c>
      <c r="X688" s="2" t="s">
        <v>38</v>
      </c>
      <c r="Y688" s="2" t="s">
        <v>38</v>
      </c>
      <c r="Z688" s="2" t="s">
        <v>38</v>
      </c>
      <c r="AA688" s="2" t="s">
        <v>38</v>
      </c>
      <c r="AB688" s="2" t="s">
        <v>38</v>
      </c>
      <c r="AC688" s="2" t="s">
        <v>38</v>
      </c>
      <c r="AD688" s="2" t="s">
        <v>38</v>
      </c>
      <c r="AE688" s="2" t="s">
        <v>40</v>
      </c>
    </row>
    <row r="689" spans="1:31" ht="409.5">
      <c r="A689" s="2">
        <v>2755918</v>
      </c>
      <c r="B689" s="2">
        <f>HYPERLINK("https://platform.v2.vetology.net/cases/2755918/screening-report/1?type=pdf&amp;v=v6&amp;scorecard=1&amp;secret_key=BX%25IJ%24%2F65ieZ%29f6", 2755918)</f>
        <v>2755918</v>
      </c>
      <c r="C689" s="2">
        <f>HYPERLINK("https://platform.v2.vetology.net/report/v/final/"&amp;2755918, 2755918)</f>
        <v>2755918</v>
      </c>
      <c r="D689" s="2" t="s">
        <v>2357</v>
      </c>
      <c r="E689" s="2" t="s">
        <v>2358</v>
      </c>
      <c r="F689" s="2" t="s">
        <v>610</v>
      </c>
      <c r="G689" s="2" t="s">
        <v>251</v>
      </c>
      <c r="H689" s="2" t="s">
        <v>398</v>
      </c>
      <c r="I689" s="2" t="s">
        <v>46</v>
      </c>
      <c r="J689" s="2"/>
      <c r="K689" s="2" t="s">
        <v>38</v>
      </c>
      <c r="L689" s="2" t="s">
        <v>39</v>
      </c>
      <c r="M689" s="2" t="s">
        <v>39</v>
      </c>
      <c r="N689" s="2" t="s">
        <v>39</v>
      </c>
      <c r="O689" s="2" t="s">
        <v>39</v>
      </c>
      <c r="P689" s="2" t="s">
        <v>39</v>
      </c>
      <c r="Q689" s="2" t="s">
        <v>39</v>
      </c>
      <c r="R689" s="2" t="s">
        <v>39</v>
      </c>
      <c r="S689" s="2" t="s">
        <v>39</v>
      </c>
      <c r="T689" s="2" t="s">
        <v>39</v>
      </c>
      <c r="U689" s="2" t="s">
        <v>38</v>
      </c>
      <c r="V689" s="2" t="s">
        <v>38</v>
      </c>
      <c r="W689" s="2" t="s">
        <v>39</v>
      </c>
      <c r="X689" s="2" t="s">
        <v>39</v>
      </c>
      <c r="Y689" s="2" t="s">
        <v>39</v>
      </c>
      <c r="Z689" s="2" t="s">
        <v>39</v>
      </c>
      <c r="AA689" s="2" t="s">
        <v>39</v>
      </c>
      <c r="AB689" s="2" t="s">
        <v>39</v>
      </c>
      <c r="AC689" s="2" t="s">
        <v>39</v>
      </c>
      <c r="AD689" s="2" t="s">
        <v>38</v>
      </c>
      <c r="AE689" s="2" t="s">
        <v>39</v>
      </c>
    </row>
    <row r="690" spans="1:31" ht="409.5">
      <c r="A690" s="2">
        <v>2755915</v>
      </c>
      <c r="B690" s="2">
        <f>HYPERLINK("https://platform.v2.vetology.net/cases/2755915/screening-report/1?type=pdf&amp;v=v6&amp;scorecard=1&amp;secret_key=BX%25IJ%24%2F65ieZ%29f6", 2755915)</f>
        <v>2755915</v>
      </c>
      <c r="C690" s="2">
        <f>HYPERLINK("https://platform.v2.vetology.net/report/v/final/"&amp;2755915, 2755915)</f>
        <v>2755915</v>
      </c>
      <c r="D690" s="2" t="s">
        <v>2359</v>
      </c>
      <c r="E690" s="2" t="s">
        <v>2360</v>
      </c>
      <c r="F690" s="2" t="s">
        <v>2361</v>
      </c>
      <c r="G690" s="2" t="s">
        <v>170</v>
      </c>
      <c r="H690" s="2" t="s">
        <v>2362</v>
      </c>
      <c r="I690" s="2" t="s">
        <v>257</v>
      </c>
      <c r="J690" s="2" t="s">
        <v>74</v>
      </c>
      <c r="K690" s="2" t="s">
        <v>38</v>
      </c>
      <c r="L690" s="2" t="s">
        <v>38</v>
      </c>
      <c r="M690" s="2" t="s">
        <v>38</v>
      </c>
      <c r="N690" s="2" t="s">
        <v>38</v>
      </c>
      <c r="O690" s="2" t="s">
        <v>38</v>
      </c>
      <c r="P690" s="2" t="s">
        <v>38</v>
      </c>
      <c r="Q690" s="2" t="s">
        <v>38</v>
      </c>
      <c r="R690" s="2" t="s">
        <v>38</v>
      </c>
      <c r="S690" s="2" t="s">
        <v>38</v>
      </c>
      <c r="T690" s="2" t="s">
        <v>38</v>
      </c>
      <c r="U690" s="2" t="s">
        <v>38</v>
      </c>
      <c r="V690" s="2" t="s">
        <v>38</v>
      </c>
      <c r="W690" s="2" t="s">
        <v>38</v>
      </c>
      <c r="X690" s="2" t="s">
        <v>38</v>
      </c>
      <c r="Y690" s="2" t="s">
        <v>38</v>
      </c>
      <c r="Z690" s="2" t="s">
        <v>38</v>
      </c>
      <c r="AA690" s="2" t="s">
        <v>38</v>
      </c>
      <c r="AB690" s="2" t="s">
        <v>38</v>
      </c>
      <c r="AC690" s="2" t="s">
        <v>38</v>
      </c>
      <c r="AD690" s="2" t="s">
        <v>38</v>
      </c>
      <c r="AE690" s="2" t="s">
        <v>39</v>
      </c>
    </row>
    <row r="691" spans="1:31" ht="409.5">
      <c r="A691" s="2">
        <v>2755883</v>
      </c>
      <c r="B691" s="2">
        <f>HYPERLINK("https://platform.v2.vetology.net/cases/2755883/screening-report/1?type=pdf&amp;v=v6&amp;scorecard=1&amp;secret_key=BX%25IJ%24%2F65ieZ%29f6", 2755883)</f>
        <v>2755883</v>
      </c>
      <c r="C691" s="2">
        <f>HYPERLINK("https://platform.v2.vetology.net/report/v/final/"&amp;2755883, 2755883)</f>
        <v>2755883</v>
      </c>
      <c r="D691" s="2" t="s">
        <v>2363</v>
      </c>
      <c r="E691" s="2" t="s">
        <v>2364</v>
      </c>
      <c r="F691" s="2" t="s">
        <v>43</v>
      </c>
      <c r="G691" s="2" t="s">
        <v>44</v>
      </c>
      <c r="H691" s="2" t="s">
        <v>2365</v>
      </c>
      <c r="I691" s="2" t="s">
        <v>129</v>
      </c>
      <c r="J691" s="2" t="s">
        <v>74</v>
      </c>
      <c r="K691" s="2" t="s">
        <v>38</v>
      </c>
      <c r="L691" s="2" t="s">
        <v>38</v>
      </c>
      <c r="M691" s="2" t="s">
        <v>38</v>
      </c>
      <c r="N691" s="2" t="s">
        <v>38</v>
      </c>
      <c r="O691" s="2" t="s">
        <v>38</v>
      </c>
      <c r="P691" s="2" t="s">
        <v>38</v>
      </c>
      <c r="Q691" s="2" t="s">
        <v>38</v>
      </c>
      <c r="R691" s="2" t="s">
        <v>38</v>
      </c>
      <c r="S691" s="2" t="s">
        <v>38</v>
      </c>
      <c r="T691" s="2" t="s">
        <v>38</v>
      </c>
      <c r="U691" s="2" t="s">
        <v>39</v>
      </c>
      <c r="V691" s="2" t="s">
        <v>38</v>
      </c>
      <c r="W691" s="2" t="s">
        <v>38</v>
      </c>
      <c r="X691" s="2" t="s">
        <v>38</v>
      </c>
      <c r="Y691" s="2" t="s">
        <v>39</v>
      </c>
      <c r="Z691" s="2" t="s">
        <v>38</v>
      </c>
      <c r="AA691" s="2" t="s">
        <v>39</v>
      </c>
      <c r="AB691" s="2" t="s">
        <v>38</v>
      </c>
      <c r="AC691" s="2" t="s">
        <v>38</v>
      </c>
      <c r="AD691" s="2" t="s">
        <v>38</v>
      </c>
      <c r="AE691" s="2" t="s">
        <v>39</v>
      </c>
    </row>
    <row r="692" spans="1:31" ht="409.5">
      <c r="A692" s="2">
        <v>2755861</v>
      </c>
      <c r="B692" s="2">
        <f>HYPERLINK("https://platform.v2.vetology.net/cases/2755861/screening-report/1?type=pdf&amp;v=v6&amp;scorecard=1&amp;secret_key=BX%25IJ%24%2F65ieZ%29f6", 2755861)</f>
        <v>2755861</v>
      </c>
      <c r="C692" s="2">
        <f>HYPERLINK("https://platform.v2.vetology.net/report/v/final/"&amp;2755861, 2755861)</f>
        <v>2755861</v>
      </c>
      <c r="D692" s="2" t="s">
        <v>2366</v>
      </c>
      <c r="E692" s="2" t="s">
        <v>359</v>
      </c>
      <c r="F692" s="2"/>
      <c r="G692" s="2" t="s">
        <v>100</v>
      </c>
      <c r="H692" s="2" t="s">
        <v>69</v>
      </c>
      <c r="I692" s="2" t="s">
        <v>46</v>
      </c>
      <c r="J692" s="2"/>
      <c r="K692" s="2" t="s">
        <v>39</v>
      </c>
      <c r="L692" s="2" t="s">
        <v>39</v>
      </c>
      <c r="M692" s="2" t="s">
        <v>39</v>
      </c>
      <c r="N692" s="2" t="s">
        <v>39</v>
      </c>
      <c r="O692" s="2" t="s">
        <v>39</v>
      </c>
      <c r="P692" s="2" t="s">
        <v>39</v>
      </c>
      <c r="Q692" s="2" t="s">
        <v>39</v>
      </c>
      <c r="R692" s="2" t="s">
        <v>39</v>
      </c>
      <c r="S692" s="2" t="s">
        <v>39</v>
      </c>
      <c r="T692" s="2" t="s">
        <v>38</v>
      </c>
      <c r="U692" s="2" t="s">
        <v>39</v>
      </c>
      <c r="V692" s="2" t="s">
        <v>39</v>
      </c>
      <c r="W692" s="2" t="s">
        <v>39</v>
      </c>
      <c r="X692" s="2" t="s">
        <v>39</v>
      </c>
      <c r="Y692" s="2" t="s">
        <v>39</v>
      </c>
      <c r="Z692" s="2" t="s">
        <v>38</v>
      </c>
      <c r="AA692" s="2" t="s">
        <v>39</v>
      </c>
      <c r="AB692" s="2" t="s">
        <v>39</v>
      </c>
      <c r="AC692" s="2" t="s">
        <v>38</v>
      </c>
      <c r="AD692" s="2" t="s">
        <v>39</v>
      </c>
      <c r="AE692" s="2" t="s">
        <v>39</v>
      </c>
    </row>
    <row r="693" spans="1:31" ht="409.5">
      <c r="A693" s="2">
        <v>2755855</v>
      </c>
      <c r="B693" s="2">
        <f>HYPERLINK("https://platform.v2.vetology.net/cases/2755855/screening-report/1?type=pdf&amp;v=v6&amp;scorecard=1&amp;secret_key=BX%25IJ%24%2F65ieZ%29f6", 2755855)</f>
        <v>2755855</v>
      </c>
      <c r="C693" s="2">
        <f>HYPERLINK("https://platform.v2.vetology.net/report/v/final/"&amp;2755855, 2755855)</f>
        <v>2755855</v>
      </c>
      <c r="D693" s="2" t="s">
        <v>2367</v>
      </c>
      <c r="E693" s="2" t="s">
        <v>726</v>
      </c>
      <c r="F693" s="2" t="s">
        <v>2368</v>
      </c>
      <c r="G693" s="2" t="s">
        <v>170</v>
      </c>
      <c r="H693" s="2" t="s">
        <v>2369</v>
      </c>
      <c r="I693" s="2" t="s">
        <v>36</v>
      </c>
      <c r="J693" s="2" t="s">
        <v>37</v>
      </c>
      <c r="K693" s="2" t="s">
        <v>39</v>
      </c>
      <c r="L693" s="2" t="s">
        <v>38</v>
      </c>
      <c r="M693" s="2" t="s">
        <v>38</v>
      </c>
      <c r="N693" s="2" t="s">
        <v>38</v>
      </c>
      <c r="O693" s="2" t="s">
        <v>39</v>
      </c>
      <c r="P693" s="2" t="s">
        <v>38</v>
      </c>
      <c r="Q693" s="2" t="s">
        <v>39</v>
      </c>
      <c r="R693" s="2" t="s">
        <v>38</v>
      </c>
      <c r="S693" s="2" t="s">
        <v>38</v>
      </c>
      <c r="T693" s="2" t="s">
        <v>38</v>
      </c>
      <c r="U693" s="2" t="s">
        <v>39</v>
      </c>
      <c r="V693" s="2" t="s">
        <v>39</v>
      </c>
      <c r="W693" s="2" t="s">
        <v>39</v>
      </c>
      <c r="X693" s="2" t="s">
        <v>39</v>
      </c>
      <c r="Y693" s="2" t="s">
        <v>39</v>
      </c>
      <c r="Z693" s="2" t="s">
        <v>38</v>
      </c>
      <c r="AA693" s="2" t="s">
        <v>39</v>
      </c>
      <c r="AB693" s="2" t="s">
        <v>39</v>
      </c>
      <c r="AC693" s="2" t="s">
        <v>38</v>
      </c>
      <c r="AD693" s="2" t="s">
        <v>39</v>
      </c>
      <c r="AE693" s="2" t="s">
        <v>39</v>
      </c>
    </row>
    <row r="694" spans="1:31" ht="409.5">
      <c r="A694" s="2">
        <v>2755828</v>
      </c>
      <c r="B694" s="2">
        <f>HYPERLINK("https://platform.v2.vetology.net/cases/2755828/screening-report/1?type=pdf&amp;v=v6&amp;scorecard=1&amp;secret_key=BX%25IJ%24%2F65ieZ%29f6", 2755828)</f>
        <v>2755828</v>
      </c>
      <c r="C694" s="2">
        <f>HYPERLINK("https://platform.v2.vetology.net/report/v/final/"&amp;2755828, 2755828)</f>
        <v>2755828</v>
      </c>
      <c r="D694" s="2" t="s">
        <v>2370</v>
      </c>
      <c r="E694" s="2" t="s">
        <v>2371</v>
      </c>
      <c r="F694" s="2" t="s">
        <v>2372</v>
      </c>
      <c r="G694" s="2" t="s">
        <v>100</v>
      </c>
      <c r="H694" s="2" t="s">
        <v>69</v>
      </c>
      <c r="I694" s="2" t="s">
        <v>46</v>
      </c>
      <c r="J694" s="2"/>
      <c r="K694" s="2" t="s">
        <v>39</v>
      </c>
      <c r="L694" s="2" t="s">
        <v>39</v>
      </c>
      <c r="M694" s="2" t="s">
        <v>39</v>
      </c>
      <c r="N694" s="2" t="s">
        <v>39</v>
      </c>
      <c r="O694" s="2" t="s">
        <v>39</v>
      </c>
      <c r="P694" s="2" t="s">
        <v>39</v>
      </c>
      <c r="Q694" s="2" t="s">
        <v>39</v>
      </c>
      <c r="R694" s="2" t="s">
        <v>39</v>
      </c>
      <c r="S694" s="2" t="s">
        <v>39</v>
      </c>
      <c r="T694" s="2" t="s">
        <v>38</v>
      </c>
      <c r="U694" s="2" t="s">
        <v>39</v>
      </c>
      <c r="V694" s="2" t="s">
        <v>39</v>
      </c>
      <c r="W694" s="2" t="s">
        <v>39</v>
      </c>
      <c r="X694" s="2" t="s">
        <v>39</v>
      </c>
      <c r="Y694" s="2" t="s">
        <v>39</v>
      </c>
      <c r="Z694" s="2" t="s">
        <v>39</v>
      </c>
      <c r="AA694" s="2" t="s">
        <v>39</v>
      </c>
      <c r="AB694" s="2" t="s">
        <v>39</v>
      </c>
      <c r="AC694" s="2" t="s">
        <v>39</v>
      </c>
      <c r="AD694" s="2" t="s">
        <v>38</v>
      </c>
      <c r="AE694" s="2" t="s">
        <v>40</v>
      </c>
    </row>
    <row r="695" spans="1:31" ht="409.5">
      <c r="A695" s="2">
        <v>2755826</v>
      </c>
      <c r="B695" s="2">
        <f>HYPERLINK("https://platform.v2.vetology.net/cases/2755826/screening-report/1?type=pdf&amp;v=v6&amp;scorecard=1&amp;secret_key=BX%25IJ%24%2F65ieZ%29f6", 2755826)</f>
        <v>2755826</v>
      </c>
      <c r="C695" s="2">
        <f>HYPERLINK("https://platform.v2.vetology.net/report/v/final/"&amp;2755826, 2755826)</f>
        <v>2755826</v>
      </c>
      <c r="D695" s="2" t="s">
        <v>2373</v>
      </c>
      <c r="E695" s="2" t="s">
        <v>2374</v>
      </c>
      <c r="F695" s="2" t="s">
        <v>2375</v>
      </c>
      <c r="G695" s="2" t="s">
        <v>53</v>
      </c>
      <c r="H695" s="2" t="s">
        <v>2376</v>
      </c>
      <c r="I695" s="2" t="s">
        <v>36</v>
      </c>
      <c r="J695" s="2" t="s">
        <v>37</v>
      </c>
      <c r="K695" s="2" t="s">
        <v>38</v>
      </c>
      <c r="L695" s="2" t="s">
        <v>38</v>
      </c>
      <c r="M695" s="2" t="s">
        <v>38</v>
      </c>
      <c r="N695" s="2" t="s">
        <v>38</v>
      </c>
      <c r="O695" s="2" t="s">
        <v>38</v>
      </c>
      <c r="P695" s="2" t="s">
        <v>38</v>
      </c>
      <c r="Q695" s="2" t="s">
        <v>38</v>
      </c>
      <c r="R695" s="2" t="s">
        <v>38</v>
      </c>
      <c r="S695" s="2" t="s">
        <v>38</v>
      </c>
      <c r="T695" s="2" t="s">
        <v>39</v>
      </c>
      <c r="U695" s="2" t="s">
        <v>38</v>
      </c>
      <c r="V695" s="2" t="s">
        <v>38</v>
      </c>
      <c r="W695" s="2" t="s">
        <v>39</v>
      </c>
      <c r="X695" s="2" t="s">
        <v>38</v>
      </c>
      <c r="Y695" s="2" t="s">
        <v>39</v>
      </c>
      <c r="Z695" s="2" t="s">
        <v>38</v>
      </c>
      <c r="AA695" s="2" t="s">
        <v>38</v>
      </c>
      <c r="AB695" s="2" t="s">
        <v>39</v>
      </c>
      <c r="AC695" s="2" t="s">
        <v>38</v>
      </c>
      <c r="AD695" s="2" t="s">
        <v>38</v>
      </c>
      <c r="AE695" s="2" t="s">
        <v>40</v>
      </c>
    </row>
    <row r="696" spans="1:31" ht="409.5">
      <c r="A696" s="2">
        <v>2755774</v>
      </c>
      <c r="B696" s="2">
        <f>HYPERLINK("https://platform.v2.vetology.net/cases/2755774/screening-report/1?type=pdf&amp;v=v6&amp;scorecard=1&amp;secret_key=BX%25IJ%24%2F65ieZ%29f6", 2755774)</f>
        <v>2755774</v>
      </c>
      <c r="C696" s="2">
        <f>HYPERLINK("https://platform.v2.vetology.net/report/v/final/"&amp;2755774, 2755774)</f>
        <v>2755774</v>
      </c>
      <c r="D696" s="2" t="s">
        <v>2377</v>
      </c>
      <c r="E696" s="2" t="s">
        <v>2378</v>
      </c>
      <c r="F696" s="2" t="s">
        <v>43</v>
      </c>
      <c r="G696" s="2" t="s">
        <v>44</v>
      </c>
      <c r="H696" s="2" t="s">
        <v>45</v>
      </c>
      <c r="I696" s="2" t="s">
        <v>46</v>
      </c>
      <c r="J696" s="2"/>
      <c r="K696" s="2" t="s">
        <v>39</v>
      </c>
      <c r="L696" s="2" t="s">
        <v>39</v>
      </c>
      <c r="M696" s="2" t="s">
        <v>39</v>
      </c>
      <c r="N696" s="2" t="s">
        <v>39</v>
      </c>
      <c r="O696" s="2" t="s">
        <v>39</v>
      </c>
      <c r="P696" s="2" t="s">
        <v>39</v>
      </c>
      <c r="Q696" s="2" t="s">
        <v>39</v>
      </c>
      <c r="R696" s="2" t="s">
        <v>38</v>
      </c>
      <c r="S696" s="2" t="s">
        <v>39</v>
      </c>
      <c r="T696" s="2" t="s">
        <v>38</v>
      </c>
      <c r="U696" s="2" t="s">
        <v>39</v>
      </c>
      <c r="V696" s="2" t="s">
        <v>39</v>
      </c>
      <c r="W696" s="2" t="s">
        <v>38</v>
      </c>
      <c r="X696" s="2" t="s">
        <v>39</v>
      </c>
      <c r="Y696" s="2" t="s">
        <v>39</v>
      </c>
      <c r="Z696" s="2" t="s">
        <v>39</v>
      </c>
      <c r="AA696" s="2" t="s">
        <v>39</v>
      </c>
      <c r="AB696" s="2" t="s">
        <v>39</v>
      </c>
      <c r="AC696" s="2" t="s">
        <v>38</v>
      </c>
      <c r="AD696" s="2" t="s">
        <v>39</v>
      </c>
      <c r="AE696" s="2" t="s">
        <v>39</v>
      </c>
    </row>
    <row r="697" spans="1:31" ht="409.5">
      <c r="A697" s="2">
        <v>2755768</v>
      </c>
      <c r="B697" s="2">
        <f>HYPERLINK("https://platform.v2.vetology.net/cases/2755768/screening-report/1?type=pdf&amp;v=v6&amp;scorecard=1&amp;secret_key=BX%25IJ%24%2F65ieZ%29f6", 2755768)</f>
        <v>2755768</v>
      </c>
      <c r="C697" s="2">
        <f>HYPERLINK("https://platform.v2.vetology.net/report/v/final/"&amp;2755768, 2755768)</f>
        <v>2755768</v>
      </c>
      <c r="D697" s="2" t="s">
        <v>2379</v>
      </c>
      <c r="E697" s="2" t="s">
        <v>2380</v>
      </c>
      <c r="F697" s="2" t="s">
        <v>2381</v>
      </c>
      <c r="G697" s="2" t="s">
        <v>415</v>
      </c>
      <c r="H697" s="2" t="s">
        <v>2382</v>
      </c>
      <c r="I697" s="2" t="s">
        <v>36</v>
      </c>
      <c r="J697" s="2" t="s">
        <v>37</v>
      </c>
      <c r="K697" s="2" t="s">
        <v>38</v>
      </c>
      <c r="L697" s="2" t="s">
        <v>38</v>
      </c>
      <c r="M697" s="2" t="s">
        <v>39</v>
      </c>
      <c r="N697" s="2" t="s">
        <v>38</v>
      </c>
      <c r="O697" s="2" t="s">
        <v>38</v>
      </c>
      <c r="P697" s="2" t="s">
        <v>39</v>
      </c>
      <c r="Q697" s="2" t="s">
        <v>39</v>
      </c>
      <c r="R697" s="2" t="s">
        <v>38</v>
      </c>
      <c r="S697" s="2" t="s">
        <v>39</v>
      </c>
      <c r="T697" s="2" t="s">
        <v>39</v>
      </c>
      <c r="U697" s="2" t="s">
        <v>38</v>
      </c>
      <c r="V697" s="2" t="s">
        <v>38</v>
      </c>
      <c r="W697" s="2" t="s">
        <v>38</v>
      </c>
      <c r="X697" s="2" t="s">
        <v>39</v>
      </c>
      <c r="Y697" s="2" t="s">
        <v>39</v>
      </c>
      <c r="Z697" s="2" t="s">
        <v>38</v>
      </c>
      <c r="AA697" s="2" t="s">
        <v>38</v>
      </c>
      <c r="AB697" s="2" t="s">
        <v>39</v>
      </c>
      <c r="AC697" s="2" t="s">
        <v>38</v>
      </c>
      <c r="AD697" s="2" t="s">
        <v>38</v>
      </c>
      <c r="AE697" s="2" t="s">
        <v>39</v>
      </c>
    </row>
    <row r="698" spans="1:31" ht="409.5">
      <c r="A698" s="2">
        <v>2755729</v>
      </c>
      <c r="B698" s="2">
        <f>HYPERLINK("https://platform.v2.vetology.net/cases/2755729/screening-report/1?type=pdf&amp;v=v6&amp;scorecard=1&amp;secret_key=BX%25IJ%24%2F65ieZ%29f6", 2755729)</f>
        <v>2755729</v>
      </c>
      <c r="C698" s="2">
        <f>HYPERLINK("https://platform.v2.vetology.net/report/v/final/"&amp;2755729, 2755729)</f>
        <v>2755729</v>
      </c>
      <c r="D698" s="2" t="s">
        <v>2383</v>
      </c>
      <c r="E698" s="2" t="s">
        <v>2384</v>
      </c>
      <c r="F698" s="2" t="s">
        <v>2385</v>
      </c>
      <c r="G698" s="2" t="s">
        <v>415</v>
      </c>
      <c r="H698" s="2" t="s">
        <v>2386</v>
      </c>
      <c r="I698" s="2" t="s">
        <v>59</v>
      </c>
      <c r="J698" s="2" t="s">
        <v>37</v>
      </c>
      <c r="K698" s="2" t="s">
        <v>38</v>
      </c>
      <c r="L698" s="2" t="s">
        <v>39</v>
      </c>
      <c r="M698" s="2" t="s">
        <v>39</v>
      </c>
      <c r="N698" s="2" t="s">
        <v>39</v>
      </c>
      <c r="O698" s="2" t="s">
        <v>39</v>
      </c>
      <c r="P698" s="2" t="s">
        <v>39</v>
      </c>
      <c r="Q698" s="2" t="s">
        <v>39</v>
      </c>
      <c r="R698" s="2" t="s">
        <v>38</v>
      </c>
      <c r="S698" s="2" t="s">
        <v>38</v>
      </c>
      <c r="T698" s="2" t="s">
        <v>39</v>
      </c>
      <c r="U698" s="2" t="s">
        <v>39</v>
      </c>
      <c r="V698" s="2" t="s">
        <v>38</v>
      </c>
      <c r="W698" s="2" t="s">
        <v>39</v>
      </c>
      <c r="X698" s="2" t="s">
        <v>39</v>
      </c>
      <c r="Y698" s="2" t="s">
        <v>39</v>
      </c>
      <c r="Z698" s="2" t="s">
        <v>38</v>
      </c>
      <c r="AA698" s="2" t="s">
        <v>39</v>
      </c>
      <c r="AB698" s="2" t="s">
        <v>39</v>
      </c>
      <c r="AC698" s="2" t="s">
        <v>38</v>
      </c>
      <c r="AD698" s="2" t="s">
        <v>39</v>
      </c>
      <c r="AE698" s="2" t="s">
        <v>40</v>
      </c>
    </row>
    <row r="699" spans="1:31" ht="409.5">
      <c r="A699" s="2">
        <v>2755724</v>
      </c>
      <c r="B699" s="2">
        <f>HYPERLINK("https://platform.v2.vetology.net/cases/2755724/screening-report/1?type=pdf&amp;v=v6&amp;scorecard=1&amp;secret_key=BX%25IJ%24%2F65ieZ%29f6", 2755724)</f>
        <v>2755724</v>
      </c>
      <c r="C699" s="2">
        <f>HYPERLINK("https://platform.v2.vetology.net/report/v/final/"&amp;2755724, 2755724)</f>
        <v>2755724</v>
      </c>
      <c r="D699" s="2" t="s">
        <v>2387</v>
      </c>
      <c r="E699" s="2" t="s">
        <v>2388</v>
      </c>
      <c r="F699" s="2" t="s">
        <v>2389</v>
      </c>
      <c r="G699" s="2" t="s">
        <v>100</v>
      </c>
      <c r="H699" s="2" t="s">
        <v>45</v>
      </c>
      <c r="I699" s="2" t="s">
        <v>46</v>
      </c>
      <c r="J699" s="2"/>
      <c r="K699" s="2" t="s">
        <v>39</v>
      </c>
      <c r="L699" s="2" t="s">
        <v>39</v>
      </c>
      <c r="M699" s="2" t="s">
        <v>39</v>
      </c>
      <c r="N699" s="2" t="s">
        <v>39</v>
      </c>
      <c r="O699" s="2" t="s">
        <v>39</v>
      </c>
      <c r="P699" s="2" t="s">
        <v>39</v>
      </c>
      <c r="Q699" s="2" t="s">
        <v>39</v>
      </c>
      <c r="R699" s="2" t="s">
        <v>38</v>
      </c>
      <c r="S699" s="2" t="s">
        <v>39</v>
      </c>
      <c r="T699" s="2" t="s">
        <v>39</v>
      </c>
      <c r="U699" s="2" t="s">
        <v>39</v>
      </c>
      <c r="V699" s="2" t="s">
        <v>39</v>
      </c>
      <c r="W699" s="2" t="s">
        <v>39</v>
      </c>
      <c r="X699" s="2" t="s">
        <v>39</v>
      </c>
      <c r="Y699" s="2" t="s">
        <v>39</v>
      </c>
      <c r="Z699" s="2" t="s">
        <v>38</v>
      </c>
      <c r="AA699" s="2" t="s">
        <v>39</v>
      </c>
      <c r="AB699" s="2" t="s">
        <v>39</v>
      </c>
      <c r="AC699" s="2" t="s">
        <v>38</v>
      </c>
      <c r="AD699" s="2" t="s">
        <v>39</v>
      </c>
      <c r="AE699" s="2" t="s">
        <v>39</v>
      </c>
    </row>
    <row r="700" spans="1:31" ht="409.5">
      <c r="A700" s="2">
        <v>2755722</v>
      </c>
      <c r="B700" s="2">
        <f>HYPERLINK("https://platform.v2.vetology.net/cases/2755722/screening-report/1?type=pdf&amp;v=v6&amp;scorecard=1&amp;secret_key=BX%25IJ%24%2F65ieZ%29f6", 2755722)</f>
        <v>2755722</v>
      </c>
      <c r="C700" s="2">
        <f>HYPERLINK("https://platform.v2.vetology.net/report/v/final/"&amp;2755722, 2755722)</f>
        <v>2755722</v>
      </c>
      <c r="D700" s="2" t="s">
        <v>2390</v>
      </c>
      <c r="E700" s="2" t="s">
        <v>2391</v>
      </c>
      <c r="F700" s="2" t="s">
        <v>2392</v>
      </c>
      <c r="G700" s="2" t="s">
        <v>170</v>
      </c>
      <c r="H700" s="2" t="s">
        <v>2393</v>
      </c>
      <c r="I700" s="2" t="s">
        <v>73</v>
      </c>
      <c r="J700" s="2" t="s">
        <v>74</v>
      </c>
      <c r="K700" s="2" t="s">
        <v>38</v>
      </c>
      <c r="L700" s="2" t="s">
        <v>38</v>
      </c>
      <c r="M700" s="2" t="s">
        <v>38</v>
      </c>
      <c r="N700" s="2" t="s">
        <v>38</v>
      </c>
      <c r="O700" s="2" t="s">
        <v>38</v>
      </c>
      <c r="P700" s="2" t="s">
        <v>38</v>
      </c>
      <c r="Q700" s="2" t="s">
        <v>38</v>
      </c>
      <c r="R700" s="2" t="s">
        <v>38</v>
      </c>
      <c r="S700" s="2" t="s">
        <v>38</v>
      </c>
      <c r="T700" s="2" t="s">
        <v>38</v>
      </c>
      <c r="U700" s="2" t="s">
        <v>38</v>
      </c>
      <c r="V700" s="2" t="s">
        <v>38</v>
      </c>
      <c r="W700" s="2" t="s">
        <v>38</v>
      </c>
      <c r="X700" s="2" t="s">
        <v>38</v>
      </c>
      <c r="Y700" s="2" t="s">
        <v>38</v>
      </c>
      <c r="Z700" s="2" t="s">
        <v>38</v>
      </c>
      <c r="AA700" s="2" t="s">
        <v>38</v>
      </c>
      <c r="AB700" s="2" t="s">
        <v>38</v>
      </c>
      <c r="AC700" s="2" t="s">
        <v>38</v>
      </c>
      <c r="AD700" s="2" t="s">
        <v>38</v>
      </c>
      <c r="AE700" s="2" t="s">
        <v>40</v>
      </c>
    </row>
    <row r="701" spans="1:31" ht="409.5">
      <c r="A701" s="2">
        <v>2755710</v>
      </c>
      <c r="B701" s="2">
        <f>HYPERLINK("https://platform.v2.vetology.net/cases/2755710/screening-report/1?type=pdf&amp;v=v6&amp;scorecard=1&amp;secret_key=BX%25IJ%24%2F65ieZ%29f6", 2755710)</f>
        <v>2755710</v>
      </c>
      <c r="C701" s="2">
        <f>HYPERLINK("https://platform.v2.vetology.net/report/v/final/"&amp;2755710, 2755710)</f>
        <v>2755710</v>
      </c>
      <c r="D701" s="2" t="s">
        <v>2394</v>
      </c>
      <c r="E701" s="2" t="s">
        <v>2395</v>
      </c>
      <c r="F701" s="2" t="s">
        <v>2396</v>
      </c>
      <c r="G701" s="2" t="s">
        <v>170</v>
      </c>
      <c r="H701" s="2" t="s">
        <v>158</v>
      </c>
      <c r="I701" s="2" t="s">
        <v>59</v>
      </c>
      <c r="J701" s="2" t="s">
        <v>37</v>
      </c>
      <c r="K701" s="2" t="s">
        <v>38</v>
      </c>
      <c r="L701" s="2" t="s">
        <v>39</v>
      </c>
      <c r="M701" s="2" t="s">
        <v>39</v>
      </c>
      <c r="N701" s="2" t="s">
        <v>39</v>
      </c>
      <c r="O701" s="2" t="s">
        <v>39</v>
      </c>
      <c r="P701" s="2" t="s">
        <v>39</v>
      </c>
      <c r="Q701" s="2" t="s">
        <v>39</v>
      </c>
      <c r="R701" s="2" t="s">
        <v>39</v>
      </c>
      <c r="S701" s="2" t="s">
        <v>39</v>
      </c>
      <c r="T701" s="2" t="s">
        <v>39</v>
      </c>
      <c r="U701" s="2" t="s">
        <v>39</v>
      </c>
      <c r="V701" s="2" t="s">
        <v>39</v>
      </c>
      <c r="W701" s="2" t="s">
        <v>39</v>
      </c>
      <c r="X701" s="2" t="s">
        <v>39</v>
      </c>
      <c r="Y701" s="2" t="s">
        <v>39</v>
      </c>
      <c r="Z701" s="2" t="s">
        <v>39</v>
      </c>
      <c r="AA701" s="2" t="s">
        <v>39</v>
      </c>
      <c r="AB701" s="2" t="s">
        <v>39</v>
      </c>
      <c r="AC701" s="2" t="s">
        <v>39</v>
      </c>
      <c r="AD701" s="2" t="s">
        <v>38</v>
      </c>
      <c r="AE701" s="2" t="s">
        <v>39</v>
      </c>
    </row>
    <row r="702" spans="1:31" ht="409.5">
      <c r="A702" s="2">
        <v>2755687</v>
      </c>
      <c r="B702" s="2">
        <f>HYPERLINK("https://platform.v2.vetology.net/cases/2755687/screening-report/1?type=pdf&amp;v=v6&amp;scorecard=1&amp;secret_key=BX%25IJ%24%2F65ieZ%29f6", 2755687)</f>
        <v>2755687</v>
      </c>
      <c r="C702" s="2">
        <f>HYPERLINK("https://platform.v2.vetology.net/report/v/final/"&amp;2755687, 2755687)</f>
        <v>2755687</v>
      </c>
      <c r="D702" s="2" t="s">
        <v>2397</v>
      </c>
      <c r="E702" s="2" t="s">
        <v>2398</v>
      </c>
      <c r="F702" s="2" t="s">
        <v>2399</v>
      </c>
      <c r="G702" s="2" t="s">
        <v>111</v>
      </c>
      <c r="H702" s="2" t="s">
        <v>2400</v>
      </c>
      <c r="I702" s="2" t="s">
        <v>73</v>
      </c>
      <c r="J702" s="2" t="s">
        <v>74</v>
      </c>
      <c r="K702" s="2" t="s">
        <v>38</v>
      </c>
      <c r="L702" s="2" t="s">
        <v>38</v>
      </c>
      <c r="M702" s="2" t="s">
        <v>38</v>
      </c>
      <c r="N702" s="2" t="s">
        <v>38</v>
      </c>
      <c r="O702" s="2" t="s">
        <v>38</v>
      </c>
      <c r="P702" s="2" t="s">
        <v>38</v>
      </c>
      <c r="Q702" s="2" t="s">
        <v>38</v>
      </c>
      <c r="R702" s="2" t="s">
        <v>39</v>
      </c>
      <c r="S702" s="2" t="s">
        <v>38</v>
      </c>
      <c r="T702" s="2" t="s">
        <v>38</v>
      </c>
      <c r="U702" s="2" t="s">
        <v>38</v>
      </c>
      <c r="V702" s="2" t="s">
        <v>38</v>
      </c>
      <c r="W702" s="2" t="s">
        <v>38</v>
      </c>
      <c r="X702" s="2" t="s">
        <v>38</v>
      </c>
      <c r="Y702" s="2" t="s">
        <v>38</v>
      </c>
      <c r="Z702" s="2" t="s">
        <v>38</v>
      </c>
      <c r="AA702" s="2" t="s">
        <v>39</v>
      </c>
      <c r="AB702" s="2" t="s">
        <v>38</v>
      </c>
      <c r="AC702" s="2" t="s">
        <v>38</v>
      </c>
      <c r="AD702" s="2" t="s">
        <v>38</v>
      </c>
      <c r="AE702" s="2" t="s">
        <v>40</v>
      </c>
    </row>
    <row r="703" spans="1:31" ht="409.5">
      <c r="A703" s="2">
        <v>2755543</v>
      </c>
      <c r="B703" s="2">
        <f>HYPERLINK("https://platform.v2.vetology.net/cases/2755543/screening-report/1?type=pdf&amp;v=v6&amp;scorecard=1&amp;secret_key=BX%25IJ%24%2F65ieZ%29f6", 2755543)</f>
        <v>2755543</v>
      </c>
      <c r="C703" s="2">
        <f>HYPERLINK("https://platform.v2.vetology.net/report/v/final/"&amp;2755543, 2755543)</f>
        <v>2755543</v>
      </c>
      <c r="D703" s="2" t="s">
        <v>2401</v>
      </c>
      <c r="E703" s="2" t="s">
        <v>2402</v>
      </c>
      <c r="F703" s="2" t="s">
        <v>2403</v>
      </c>
      <c r="G703" s="2" t="s">
        <v>145</v>
      </c>
      <c r="H703" s="2" t="s">
        <v>2404</v>
      </c>
      <c r="I703" s="2" t="s">
        <v>73</v>
      </c>
      <c r="J703" s="2" t="s">
        <v>74</v>
      </c>
      <c r="K703" s="2" t="s">
        <v>38</v>
      </c>
      <c r="L703" s="2" t="s">
        <v>38</v>
      </c>
      <c r="M703" s="2" t="s">
        <v>38</v>
      </c>
      <c r="N703" s="2" t="s">
        <v>38</v>
      </c>
      <c r="O703" s="2" t="s">
        <v>38</v>
      </c>
      <c r="P703" s="2" t="s">
        <v>38</v>
      </c>
      <c r="Q703" s="2" t="s">
        <v>38</v>
      </c>
      <c r="R703" s="2" t="s">
        <v>38</v>
      </c>
      <c r="S703" s="2" t="s">
        <v>38</v>
      </c>
      <c r="T703" s="2" t="s">
        <v>38</v>
      </c>
      <c r="U703" s="2" t="s">
        <v>38</v>
      </c>
      <c r="V703" s="2" t="s">
        <v>38</v>
      </c>
      <c r="W703" s="2" t="s">
        <v>38</v>
      </c>
      <c r="X703" s="2" t="s">
        <v>38</v>
      </c>
      <c r="Y703" s="2" t="s">
        <v>38</v>
      </c>
      <c r="Z703" s="2" t="s">
        <v>38</v>
      </c>
      <c r="AA703" s="2" t="s">
        <v>38</v>
      </c>
      <c r="AB703" s="2" t="s">
        <v>38</v>
      </c>
      <c r="AC703" s="2" t="s">
        <v>38</v>
      </c>
      <c r="AD703" s="2" t="s">
        <v>38</v>
      </c>
      <c r="AE703" s="2" t="s">
        <v>40</v>
      </c>
    </row>
    <row r="704" spans="1:31" ht="409.5">
      <c r="A704" s="2">
        <v>2755530</v>
      </c>
      <c r="B704" s="2">
        <f>HYPERLINK("https://platform.v2.vetology.net/cases/2755530/screening-report/1?type=pdf&amp;v=v6&amp;scorecard=1&amp;secret_key=BX%25IJ%24%2F65ieZ%29f6", 2755530)</f>
        <v>2755530</v>
      </c>
      <c r="C704" s="2">
        <f>HYPERLINK("https://platform.v2.vetology.net/report/v/final/"&amp;2755530, 2755530)</f>
        <v>2755530</v>
      </c>
      <c r="D704" s="2" t="s">
        <v>2405</v>
      </c>
      <c r="E704" s="2" t="s">
        <v>2406</v>
      </c>
      <c r="F704" s="2" t="s">
        <v>43</v>
      </c>
      <c r="G704" s="2" t="s">
        <v>44</v>
      </c>
      <c r="H704" s="2" t="s">
        <v>2407</v>
      </c>
      <c r="I704" s="2" t="s">
        <v>36</v>
      </c>
      <c r="J704" s="2" t="s">
        <v>37</v>
      </c>
      <c r="K704" s="2" t="s">
        <v>39</v>
      </c>
      <c r="L704" s="2" t="s">
        <v>38</v>
      </c>
      <c r="M704" s="2" t="s">
        <v>38</v>
      </c>
      <c r="N704" s="2" t="s">
        <v>38</v>
      </c>
      <c r="O704" s="2" t="s">
        <v>38</v>
      </c>
      <c r="P704" s="2" t="s">
        <v>38</v>
      </c>
      <c r="Q704" s="2" t="s">
        <v>39</v>
      </c>
      <c r="R704" s="2" t="s">
        <v>38</v>
      </c>
      <c r="S704" s="2" t="s">
        <v>38</v>
      </c>
      <c r="T704" s="2" t="s">
        <v>38</v>
      </c>
      <c r="U704" s="2" t="s">
        <v>38</v>
      </c>
      <c r="V704" s="2" t="s">
        <v>39</v>
      </c>
      <c r="W704" s="2" t="s">
        <v>38</v>
      </c>
      <c r="X704" s="2" t="s">
        <v>38</v>
      </c>
      <c r="Y704" s="2" t="s">
        <v>38</v>
      </c>
      <c r="Z704" s="2" t="s">
        <v>38</v>
      </c>
      <c r="AA704" s="2" t="s">
        <v>38</v>
      </c>
      <c r="AB704" s="2" t="s">
        <v>39</v>
      </c>
      <c r="AC704" s="2" t="s">
        <v>38</v>
      </c>
      <c r="AD704" s="2" t="s">
        <v>38</v>
      </c>
      <c r="AE704" s="2"/>
    </row>
    <row r="705" spans="1:31" ht="409.5">
      <c r="A705" s="2">
        <v>2755475</v>
      </c>
      <c r="B705" s="2">
        <f>HYPERLINK("https://platform.v2.vetology.net/cases/2755475/screening-report/1?type=pdf&amp;v=v6&amp;scorecard=1&amp;secret_key=BX%25IJ%24%2F65ieZ%29f6", 2755475)</f>
        <v>2755475</v>
      </c>
      <c r="C705" s="2">
        <f>HYPERLINK("https://platform.v2.vetology.net/report/v/final/"&amp;2755475, 2755475)</f>
        <v>2755475</v>
      </c>
      <c r="D705" s="2" t="s">
        <v>2408</v>
      </c>
      <c r="E705" s="2" t="s">
        <v>2409</v>
      </c>
      <c r="F705" s="2" t="s">
        <v>43</v>
      </c>
      <c r="G705" s="2" t="s">
        <v>44</v>
      </c>
      <c r="H705" s="2" t="s">
        <v>2410</v>
      </c>
      <c r="I705" s="2" t="s">
        <v>73</v>
      </c>
      <c r="J705" s="2" t="s">
        <v>74</v>
      </c>
      <c r="K705" s="2" t="s">
        <v>38</v>
      </c>
      <c r="L705" s="2" t="s">
        <v>38</v>
      </c>
      <c r="M705" s="2" t="s">
        <v>38</v>
      </c>
      <c r="N705" s="2" t="s">
        <v>38</v>
      </c>
      <c r="O705" s="2" t="s">
        <v>38</v>
      </c>
      <c r="P705" s="2" t="s">
        <v>38</v>
      </c>
      <c r="Q705" s="2" t="s">
        <v>38</v>
      </c>
      <c r="R705" s="2" t="s">
        <v>38</v>
      </c>
      <c r="S705" s="2" t="s">
        <v>38</v>
      </c>
      <c r="T705" s="2" t="s">
        <v>38</v>
      </c>
      <c r="U705" s="2" t="s">
        <v>38</v>
      </c>
      <c r="V705" s="2" t="s">
        <v>38</v>
      </c>
      <c r="W705" s="2" t="s">
        <v>38</v>
      </c>
      <c r="X705" s="2" t="s">
        <v>38</v>
      </c>
      <c r="Y705" s="2" t="s">
        <v>38</v>
      </c>
      <c r="Z705" s="2" t="s">
        <v>38</v>
      </c>
      <c r="AA705" s="2" t="s">
        <v>38</v>
      </c>
      <c r="AB705" s="2" t="s">
        <v>38</v>
      </c>
      <c r="AC705" s="2" t="s">
        <v>38</v>
      </c>
      <c r="AD705" s="2" t="s">
        <v>38</v>
      </c>
      <c r="AE705" s="2" t="s">
        <v>40</v>
      </c>
    </row>
    <row r="706" spans="1:31" ht="409.5">
      <c r="A706" s="2">
        <v>2755472</v>
      </c>
      <c r="B706" s="2">
        <f>HYPERLINK("https://platform.v2.vetology.net/cases/2755472/screening-report/1?type=pdf&amp;v=v6&amp;scorecard=1&amp;secret_key=BX%25IJ%24%2F65ieZ%29f6", 2755472)</f>
        <v>2755472</v>
      </c>
      <c r="C706" s="2">
        <f>HYPERLINK("https://platform.v2.vetology.net/report/v/final/"&amp;2755472, 2755472)</f>
        <v>2755472</v>
      </c>
      <c r="D706" s="2" t="s">
        <v>2411</v>
      </c>
      <c r="E706" s="2" t="s">
        <v>2412</v>
      </c>
      <c r="F706" s="2" t="s">
        <v>2413</v>
      </c>
      <c r="G706" s="2" t="s">
        <v>2414</v>
      </c>
      <c r="H706" s="2" t="s">
        <v>2415</v>
      </c>
      <c r="I706" s="2" t="s">
        <v>257</v>
      </c>
      <c r="J706" s="2" t="s">
        <v>74</v>
      </c>
      <c r="K706" s="2" t="s">
        <v>38</v>
      </c>
      <c r="L706" s="2" t="s">
        <v>38</v>
      </c>
      <c r="M706" s="2" t="s">
        <v>38</v>
      </c>
      <c r="N706" s="2" t="s">
        <v>38</v>
      </c>
      <c r="O706" s="2" t="s">
        <v>38</v>
      </c>
      <c r="P706" s="2" t="s">
        <v>38</v>
      </c>
      <c r="Q706" s="2" t="s">
        <v>38</v>
      </c>
      <c r="R706" s="2" t="s">
        <v>38</v>
      </c>
      <c r="S706" s="2" t="s">
        <v>38</v>
      </c>
      <c r="T706" s="2" t="s">
        <v>38</v>
      </c>
      <c r="U706" s="2" t="s">
        <v>38</v>
      </c>
      <c r="V706" s="2" t="s">
        <v>38</v>
      </c>
      <c r="W706" s="2" t="s">
        <v>38</v>
      </c>
      <c r="X706" s="2" t="s">
        <v>38</v>
      </c>
      <c r="Y706" s="2" t="s">
        <v>38</v>
      </c>
      <c r="Z706" s="2" t="s">
        <v>38</v>
      </c>
      <c r="AA706" s="2" t="s">
        <v>38</v>
      </c>
      <c r="AB706" s="2" t="s">
        <v>38</v>
      </c>
      <c r="AC706" s="2" t="s">
        <v>38</v>
      </c>
      <c r="AD706" s="2" t="s">
        <v>38</v>
      </c>
      <c r="AE706" s="2"/>
    </row>
    <row r="707" spans="1:31" ht="409.5">
      <c r="A707" s="2">
        <v>2755463</v>
      </c>
      <c r="B707" s="2">
        <f>HYPERLINK("https://platform.v2.vetology.net/cases/2755463/screening-report/1?type=pdf&amp;v=v6&amp;scorecard=1&amp;secret_key=BX%25IJ%24%2F65ieZ%29f6", 2755463)</f>
        <v>2755463</v>
      </c>
      <c r="C707" s="2">
        <f>HYPERLINK("https://platform.v2.vetology.net/report/v/final/"&amp;2755463, 2755463)</f>
        <v>2755463</v>
      </c>
      <c r="D707" s="2" t="s">
        <v>2416</v>
      </c>
      <c r="E707" s="2" t="s">
        <v>2417</v>
      </c>
      <c r="F707" s="2" t="s">
        <v>43</v>
      </c>
      <c r="G707" s="2" t="s">
        <v>44</v>
      </c>
      <c r="H707" s="2" t="s">
        <v>2418</v>
      </c>
      <c r="I707" s="2" t="s">
        <v>36</v>
      </c>
      <c r="J707" s="2" t="s">
        <v>37</v>
      </c>
      <c r="K707" s="2" t="s">
        <v>39</v>
      </c>
      <c r="L707" s="2" t="s">
        <v>38</v>
      </c>
      <c r="M707" s="2" t="s">
        <v>38</v>
      </c>
      <c r="N707" s="2" t="s">
        <v>38</v>
      </c>
      <c r="O707" s="2" t="s">
        <v>38</v>
      </c>
      <c r="P707" s="2" t="s">
        <v>38</v>
      </c>
      <c r="Q707" s="2" t="s">
        <v>39</v>
      </c>
      <c r="R707" s="2" t="s">
        <v>38</v>
      </c>
      <c r="S707" s="2" t="s">
        <v>38</v>
      </c>
      <c r="T707" s="2" t="s">
        <v>39</v>
      </c>
      <c r="U707" s="2" t="s">
        <v>39</v>
      </c>
      <c r="V707" s="2" t="s">
        <v>38</v>
      </c>
      <c r="W707" s="2" t="s">
        <v>38</v>
      </c>
      <c r="X707" s="2" t="s">
        <v>39</v>
      </c>
      <c r="Y707" s="2" t="s">
        <v>38</v>
      </c>
      <c r="Z707" s="2" t="s">
        <v>38</v>
      </c>
      <c r="AA707" s="2" t="s">
        <v>38</v>
      </c>
      <c r="AB707" s="2" t="s">
        <v>39</v>
      </c>
      <c r="AC707" s="2" t="s">
        <v>38</v>
      </c>
      <c r="AD707" s="2" t="s">
        <v>38</v>
      </c>
      <c r="AE707" s="2" t="s">
        <v>40</v>
      </c>
    </row>
    <row r="708" spans="1:31" ht="409.5">
      <c r="A708" s="2">
        <v>2755364</v>
      </c>
      <c r="B708" s="2">
        <f>HYPERLINK("https://platform.v2.vetology.net/cases/2755364/screening-report/1?type=pdf&amp;v=v6&amp;scorecard=1&amp;secret_key=BX%25IJ%24%2F65ieZ%29f6", 2755364)</f>
        <v>2755364</v>
      </c>
      <c r="C708" s="2">
        <f>HYPERLINK("https://platform.v2.vetology.net/report/v/final/"&amp;2755364, 2755364)</f>
        <v>2755364</v>
      </c>
      <c r="D708" s="2" t="s">
        <v>2419</v>
      </c>
      <c r="E708" s="2" t="s">
        <v>2420</v>
      </c>
      <c r="F708" s="2" t="s">
        <v>2421</v>
      </c>
      <c r="G708" s="2" t="s">
        <v>111</v>
      </c>
      <c r="H708" s="2" t="s">
        <v>2217</v>
      </c>
      <c r="I708" s="2" t="s">
        <v>36</v>
      </c>
      <c r="J708" s="2" t="s">
        <v>37</v>
      </c>
      <c r="K708" s="2" t="s">
        <v>39</v>
      </c>
      <c r="L708" s="2" t="s">
        <v>38</v>
      </c>
      <c r="M708" s="2" t="s">
        <v>38</v>
      </c>
      <c r="N708" s="2" t="s">
        <v>39</v>
      </c>
      <c r="O708" s="2" t="s">
        <v>38</v>
      </c>
      <c r="P708" s="2" t="s">
        <v>39</v>
      </c>
      <c r="Q708" s="2" t="s">
        <v>39</v>
      </c>
      <c r="R708" s="2" t="s">
        <v>38</v>
      </c>
      <c r="S708" s="2" t="s">
        <v>38</v>
      </c>
      <c r="T708" s="2" t="s">
        <v>39</v>
      </c>
      <c r="U708" s="2" t="s">
        <v>39</v>
      </c>
      <c r="V708" s="2" t="s">
        <v>39</v>
      </c>
      <c r="W708" s="2" t="s">
        <v>39</v>
      </c>
      <c r="X708" s="2" t="s">
        <v>39</v>
      </c>
      <c r="Y708" s="2" t="s">
        <v>39</v>
      </c>
      <c r="Z708" s="2" t="s">
        <v>39</v>
      </c>
      <c r="AA708" s="2" t="s">
        <v>38</v>
      </c>
      <c r="AB708" s="2" t="s">
        <v>39</v>
      </c>
      <c r="AC708" s="2" t="s">
        <v>38</v>
      </c>
      <c r="AD708" s="2" t="s">
        <v>38</v>
      </c>
      <c r="AE708" s="2"/>
    </row>
    <row r="709" spans="1:31" ht="409.5">
      <c r="A709" s="2">
        <v>2755360</v>
      </c>
      <c r="B709" s="2">
        <f>HYPERLINK("https://platform.v2.vetology.net/cases/2755360/screening-report/1?type=pdf&amp;v=v6&amp;scorecard=1&amp;secret_key=BX%25IJ%24%2F65ieZ%29f6", 2755360)</f>
        <v>2755360</v>
      </c>
      <c r="C709" s="2">
        <f>HYPERLINK("https://platform.v2.vetology.net/report/v/final/"&amp;2755360, 2755360)</f>
        <v>2755360</v>
      </c>
      <c r="D709" s="2" t="s">
        <v>2422</v>
      </c>
      <c r="E709" s="2" t="s">
        <v>2423</v>
      </c>
      <c r="F709" s="2"/>
      <c r="G709" s="2" t="s">
        <v>81</v>
      </c>
      <c r="H709" s="2" t="s">
        <v>2424</v>
      </c>
      <c r="I709" s="2" t="s">
        <v>36</v>
      </c>
      <c r="J709" s="2" t="s">
        <v>37</v>
      </c>
      <c r="K709" s="2" t="s">
        <v>39</v>
      </c>
      <c r="L709" s="2" t="s">
        <v>39</v>
      </c>
      <c r="M709" s="2" t="s">
        <v>38</v>
      </c>
      <c r="N709" s="2" t="s">
        <v>38</v>
      </c>
      <c r="O709" s="2" t="s">
        <v>38</v>
      </c>
      <c r="P709" s="2" t="s">
        <v>39</v>
      </c>
      <c r="Q709" s="2" t="s">
        <v>39</v>
      </c>
      <c r="R709" s="2" t="s">
        <v>38</v>
      </c>
      <c r="S709" s="2" t="s">
        <v>39</v>
      </c>
      <c r="T709" s="2" t="s">
        <v>38</v>
      </c>
      <c r="U709" s="2" t="s">
        <v>39</v>
      </c>
      <c r="V709" s="2" t="s">
        <v>39</v>
      </c>
      <c r="W709" s="2" t="s">
        <v>38</v>
      </c>
      <c r="X709" s="2" t="s">
        <v>39</v>
      </c>
      <c r="Y709" s="2" t="s">
        <v>39</v>
      </c>
      <c r="Z709" s="2" t="s">
        <v>39</v>
      </c>
      <c r="AA709" s="2" t="s">
        <v>39</v>
      </c>
      <c r="AB709" s="2" t="s">
        <v>39</v>
      </c>
      <c r="AC709" s="2" t="s">
        <v>38</v>
      </c>
      <c r="AD709" s="2" t="s">
        <v>39</v>
      </c>
      <c r="AE709" s="2" t="s">
        <v>39</v>
      </c>
    </row>
    <row r="710" spans="1:31" ht="409.5">
      <c r="A710" s="2">
        <v>2755346</v>
      </c>
      <c r="B710" s="2">
        <f>HYPERLINK("https://platform.v2.vetology.net/cases/2755346/screening-report/1?type=pdf&amp;v=v6&amp;scorecard=1&amp;secret_key=BX%25IJ%24%2F65ieZ%29f6", 2755346)</f>
        <v>2755346</v>
      </c>
      <c r="C710" s="2">
        <f>HYPERLINK("https://platform.v2.vetology.net/report/v/final/"&amp;2755346, 2755346)</f>
        <v>2755346</v>
      </c>
      <c r="D710" s="2" t="s">
        <v>2425</v>
      </c>
      <c r="E710" s="2" t="s">
        <v>2426</v>
      </c>
      <c r="F710" s="2" t="s">
        <v>43</v>
      </c>
      <c r="G710" s="2" t="s">
        <v>44</v>
      </c>
      <c r="H710" s="2" t="s">
        <v>2427</v>
      </c>
      <c r="I710" s="2" t="s">
        <v>36</v>
      </c>
      <c r="J710" s="2" t="s">
        <v>37</v>
      </c>
      <c r="K710" s="2" t="s">
        <v>38</v>
      </c>
      <c r="L710" s="2" t="s">
        <v>38</v>
      </c>
      <c r="M710" s="2" t="s">
        <v>38</v>
      </c>
      <c r="N710" s="2" t="s">
        <v>38</v>
      </c>
      <c r="O710" s="2" t="s">
        <v>38</v>
      </c>
      <c r="P710" s="2" t="s">
        <v>39</v>
      </c>
      <c r="Q710" s="2" t="s">
        <v>39</v>
      </c>
      <c r="R710" s="2" t="s">
        <v>38</v>
      </c>
      <c r="S710" s="2" t="s">
        <v>38</v>
      </c>
      <c r="T710" s="2" t="s">
        <v>38</v>
      </c>
      <c r="U710" s="2" t="s">
        <v>38</v>
      </c>
      <c r="V710" s="2" t="s">
        <v>38</v>
      </c>
      <c r="W710" s="2" t="s">
        <v>38</v>
      </c>
      <c r="X710" s="2" t="s">
        <v>39</v>
      </c>
      <c r="Y710" s="2" t="s">
        <v>38</v>
      </c>
      <c r="Z710" s="2" t="s">
        <v>38</v>
      </c>
      <c r="AA710" s="2" t="s">
        <v>38</v>
      </c>
      <c r="AB710" s="2" t="s">
        <v>39</v>
      </c>
      <c r="AC710" s="2" t="s">
        <v>38</v>
      </c>
      <c r="AD710" s="2" t="s">
        <v>38</v>
      </c>
      <c r="AE710" s="2" t="s">
        <v>39</v>
      </c>
    </row>
    <row r="711" spans="1:31" ht="409.5">
      <c r="A711" s="2">
        <v>2755320</v>
      </c>
      <c r="B711" s="2">
        <f>HYPERLINK("https://platform.v2.vetology.net/cases/2755320/screening-report/1?type=pdf&amp;v=v6&amp;scorecard=1&amp;secret_key=BX%25IJ%24%2F65ieZ%29f6", 2755320)</f>
        <v>2755320</v>
      </c>
      <c r="C711" s="2">
        <f>HYPERLINK("https://platform.v2.vetology.net/report/v/final/"&amp;2755320, 2755320)</f>
        <v>2755320</v>
      </c>
      <c r="D711" s="2" t="s">
        <v>2428</v>
      </c>
      <c r="E711" s="2" t="s">
        <v>2429</v>
      </c>
      <c r="F711" s="2" t="s">
        <v>2430</v>
      </c>
      <c r="G711" s="2" t="s">
        <v>170</v>
      </c>
      <c r="H711" s="2" t="s">
        <v>2431</v>
      </c>
      <c r="I711" s="2" t="s">
        <v>36</v>
      </c>
      <c r="J711" s="2" t="s">
        <v>37</v>
      </c>
      <c r="K711" s="2" t="s">
        <v>38</v>
      </c>
      <c r="L711" s="2" t="s">
        <v>38</v>
      </c>
      <c r="M711" s="2" t="s">
        <v>38</v>
      </c>
      <c r="N711" s="2" t="s">
        <v>38</v>
      </c>
      <c r="O711" s="2" t="s">
        <v>38</v>
      </c>
      <c r="P711" s="2" t="s">
        <v>39</v>
      </c>
      <c r="Q711" s="2" t="s">
        <v>39</v>
      </c>
      <c r="R711" s="2" t="s">
        <v>38</v>
      </c>
      <c r="S711" s="2" t="s">
        <v>38</v>
      </c>
      <c r="T711" s="2" t="s">
        <v>38</v>
      </c>
      <c r="U711" s="2" t="s">
        <v>38</v>
      </c>
      <c r="V711" s="2" t="s">
        <v>38</v>
      </c>
      <c r="W711" s="2" t="s">
        <v>38</v>
      </c>
      <c r="X711" s="2" t="s">
        <v>39</v>
      </c>
      <c r="Y711" s="2" t="s">
        <v>39</v>
      </c>
      <c r="Z711" s="2" t="s">
        <v>38</v>
      </c>
      <c r="AA711" s="2" t="s">
        <v>38</v>
      </c>
      <c r="AB711" s="2" t="s">
        <v>39</v>
      </c>
      <c r="AC711" s="2" t="s">
        <v>38</v>
      </c>
      <c r="AD711" s="2" t="s">
        <v>38</v>
      </c>
      <c r="AE711" s="2" t="s">
        <v>39</v>
      </c>
    </row>
    <row r="712" spans="1:31" ht="409.5">
      <c r="A712" s="2">
        <v>2755305</v>
      </c>
      <c r="B712" s="2">
        <f>HYPERLINK("https://platform.v2.vetology.net/cases/2755305/screening-report/1?type=pdf&amp;v=v6&amp;scorecard=1&amp;secret_key=BX%25IJ%24%2F65ieZ%29f6", 2755305)</f>
        <v>2755305</v>
      </c>
      <c r="C712" s="2">
        <f>HYPERLINK("https://platform.v2.vetology.net/report/v/final/"&amp;2755305, 2755305)</f>
        <v>2755305</v>
      </c>
      <c r="D712" s="2" t="s">
        <v>2432</v>
      </c>
      <c r="E712" s="2" t="s">
        <v>2433</v>
      </c>
      <c r="F712" s="2" t="s">
        <v>2434</v>
      </c>
      <c r="G712" s="2" t="s">
        <v>111</v>
      </c>
      <c r="H712" s="2" t="s">
        <v>2435</v>
      </c>
      <c r="I712" s="2" t="s">
        <v>36</v>
      </c>
      <c r="J712" s="2" t="s">
        <v>37</v>
      </c>
      <c r="K712" s="2" t="s">
        <v>38</v>
      </c>
      <c r="L712" s="2" t="s">
        <v>38</v>
      </c>
      <c r="M712" s="2" t="s">
        <v>38</v>
      </c>
      <c r="N712" s="2" t="s">
        <v>39</v>
      </c>
      <c r="O712" s="2" t="s">
        <v>38</v>
      </c>
      <c r="P712" s="2" t="s">
        <v>39</v>
      </c>
      <c r="Q712" s="2" t="s">
        <v>39</v>
      </c>
      <c r="R712" s="2" t="s">
        <v>39</v>
      </c>
      <c r="S712" s="2" t="s">
        <v>38</v>
      </c>
      <c r="T712" s="2" t="s">
        <v>38</v>
      </c>
      <c r="U712" s="2" t="s">
        <v>39</v>
      </c>
      <c r="V712" s="2" t="s">
        <v>39</v>
      </c>
      <c r="W712" s="2" t="s">
        <v>38</v>
      </c>
      <c r="X712" s="2" t="s">
        <v>39</v>
      </c>
      <c r="Y712" s="2" t="s">
        <v>39</v>
      </c>
      <c r="Z712" s="2" t="s">
        <v>38</v>
      </c>
      <c r="AA712" s="2" t="s">
        <v>38</v>
      </c>
      <c r="AB712" s="2" t="s">
        <v>39</v>
      </c>
      <c r="AC712" s="2" t="s">
        <v>38</v>
      </c>
      <c r="AD712" s="2" t="s">
        <v>38</v>
      </c>
      <c r="AE712" s="2" t="s">
        <v>39</v>
      </c>
    </row>
    <row r="713" spans="1:31" ht="409.5">
      <c r="A713" s="2">
        <v>2755303</v>
      </c>
      <c r="B713" s="2">
        <f>HYPERLINK("https://platform.v2.vetology.net/cases/2755303/screening-report/1?type=pdf&amp;v=v6&amp;scorecard=1&amp;secret_key=BX%25IJ%24%2F65ieZ%29f6", 2755303)</f>
        <v>2755303</v>
      </c>
      <c r="C713" s="2">
        <f>HYPERLINK("https://platform.v2.vetology.net/report/v/final/"&amp;2755303, 2755303)</f>
        <v>2755303</v>
      </c>
      <c r="D713" s="2" t="s">
        <v>2436</v>
      </c>
      <c r="E713" s="2" t="s">
        <v>2437</v>
      </c>
      <c r="F713" s="2" t="s">
        <v>2438</v>
      </c>
      <c r="G713" s="2" t="s">
        <v>44</v>
      </c>
      <c r="H713" s="2" t="s">
        <v>2439</v>
      </c>
      <c r="I713" s="2" t="s">
        <v>36</v>
      </c>
      <c r="J713" s="2" t="s">
        <v>37</v>
      </c>
      <c r="K713" s="2" t="s">
        <v>39</v>
      </c>
      <c r="L713" s="2" t="s">
        <v>39</v>
      </c>
      <c r="M713" s="2" t="s">
        <v>38</v>
      </c>
      <c r="N713" s="2" t="s">
        <v>38</v>
      </c>
      <c r="O713" s="2" t="s">
        <v>38</v>
      </c>
      <c r="P713" s="2" t="s">
        <v>39</v>
      </c>
      <c r="Q713" s="2" t="s">
        <v>39</v>
      </c>
      <c r="R713" s="2" t="s">
        <v>39</v>
      </c>
      <c r="S713" s="2" t="s">
        <v>38</v>
      </c>
      <c r="T713" s="2" t="s">
        <v>39</v>
      </c>
      <c r="U713" s="2" t="s">
        <v>39</v>
      </c>
      <c r="V713" s="2" t="s">
        <v>39</v>
      </c>
      <c r="W713" s="2" t="s">
        <v>38</v>
      </c>
      <c r="X713" s="2" t="s">
        <v>39</v>
      </c>
      <c r="Y713" s="2" t="s">
        <v>39</v>
      </c>
      <c r="Z713" s="2" t="s">
        <v>38</v>
      </c>
      <c r="AA713" s="2" t="s">
        <v>39</v>
      </c>
      <c r="AB713" s="2" t="s">
        <v>39</v>
      </c>
      <c r="AC713" s="2" t="s">
        <v>38</v>
      </c>
      <c r="AD713" s="2" t="s">
        <v>38</v>
      </c>
      <c r="AE713" s="2" t="s">
        <v>40</v>
      </c>
    </row>
    <row r="714" spans="1:31" ht="409.5">
      <c r="A714" s="2">
        <v>2755245</v>
      </c>
      <c r="B714" s="2">
        <f>HYPERLINK("https://platform.v2.vetology.net/cases/2755245/screening-report/1?type=pdf&amp;v=v6&amp;scorecard=1&amp;secret_key=BX%25IJ%24%2F65ieZ%29f6", 2755245)</f>
        <v>2755245</v>
      </c>
      <c r="C714" s="2">
        <f>HYPERLINK("https://platform.v2.vetology.net/report/v/final/"&amp;2755245, 2755245)</f>
        <v>2755245</v>
      </c>
      <c r="D714" s="2" t="s">
        <v>2440</v>
      </c>
      <c r="E714" s="2" t="s">
        <v>2441</v>
      </c>
      <c r="F714" s="2" t="s">
        <v>2442</v>
      </c>
      <c r="G714" s="2" t="s">
        <v>170</v>
      </c>
      <c r="H714" s="2" t="s">
        <v>69</v>
      </c>
      <c r="I714" s="2" t="s">
        <v>46</v>
      </c>
      <c r="J714" s="2"/>
      <c r="K714" s="2" t="s">
        <v>39</v>
      </c>
      <c r="L714" s="2" t="s">
        <v>39</v>
      </c>
      <c r="M714" s="2" t="s">
        <v>39</v>
      </c>
      <c r="N714" s="2" t="s">
        <v>39</v>
      </c>
      <c r="O714" s="2" t="s">
        <v>39</v>
      </c>
      <c r="P714" s="2" t="s">
        <v>39</v>
      </c>
      <c r="Q714" s="2" t="s">
        <v>39</v>
      </c>
      <c r="R714" s="2" t="s">
        <v>39</v>
      </c>
      <c r="S714" s="2" t="s">
        <v>39</v>
      </c>
      <c r="T714" s="2" t="s">
        <v>38</v>
      </c>
      <c r="U714" s="2" t="s">
        <v>39</v>
      </c>
      <c r="V714" s="2" t="s">
        <v>39</v>
      </c>
      <c r="W714" s="2" t="s">
        <v>39</v>
      </c>
      <c r="X714" s="2" t="s">
        <v>39</v>
      </c>
      <c r="Y714" s="2" t="s">
        <v>39</v>
      </c>
      <c r="Z714" s="2" t="s">
        <v>39</v>
      </c>
      <c r="AA714" s="2" t="s">
        <v>39</v>
      </c>
      <c r="AB714" s="2" t="s">
        <v>39</v>
      </c>
      <c r="AC714" s="2" t="s">
        <v>39</v>
      </c>
      <c r="AD714" s="2" t="s">
        <v>38</v>
      </c>
      <c r="AE714" s="2"/>
    </row>
    <row r="715" spans="1:31" ht="409.5">
      <c r="A715" s="2">
        <v>2755242</v>
      </c>
      <c r="B715" s="2">
        <f>HYPERLINK("https://platform.v2.vetology.net/cases/2755242/screening-report/1?type=pdf&amp;v=v6&amp;scorecard=1&amp;secret_key=BX%25IJ%24%2F65ieZ%29f6", 2755242)</f>
        <v>2755242</v>
      </c>
      <c r="C715" s="2">
        <f>HYPERLINK("https://platform.v2.vetology.net/report/v/final/"&amp;2755242, 2755242)</f>
        <v>2755242</v>
      </c>
      <c r="D715" s="2" t="s">
        <v>2443</v>
      </c>
      <c r="E715" s="2" t="s">
        <v>2444</v>
      </c>
      <c r="F715" s="2" t="s">
        <v>2445</v>
      </c>
      <c r="G715" s="2" t="s">
        <v>111</v>
      </c>
      <c r="H715" s="2" t="s">
        <v>2446</v>
      </c>
      <c r="I715" s="2" t="s">
        <v>36</v>
      </c>
      <c r="J715" s="2" t="s">
        <v>37</v>
      </c>
      <c r="K715" s="2" t="s">
        <v>38</v>
      </c>
      <c r="L715" s="2" t="s">
        <v>38</v>
      </c>
      <c r="M715" s="2" t="s">
        <v>38</v>
      </c>
      <c r="N715" s="2" t="s">
        <v>38</v>
      </c>
      <c r="O715" s="2" t="s">
        <v>38</v>
      </c>
      <c r="P715" s="2" t="s">
        <v>38</v>
      </c>
      <c r="Q715" s="2" t="s">
        <v>39</v>
      </c>
      <c r="R715" s="2" t="s">
        <v>38</v>
      </c>
      <c r="S715" s="2" t="s">
        <v>38</v>
      </c>
      <c r="T715" s="2" t="s">
        <v>38</v>
      </c>
      <c r="U715" s="2" t="s">
        <v>38</v>
      </c>
      <c r="V715" s="2" t="s">
        <v>38</v>
      </c>
      <c r="W715" s="2" t="s">
        <v>38</v>
      </c>
      <c r="X715" s="2" t="s">
        <v>39</v>
      </c>
      <c r="Y715" s="2" t="s">
        <v>38</v>
      </c>
      <c r="Z715" s="2" t="s">
        <v>38</v>
      </c>
      <c r="AA715" s="2" t="s">
        <v>38</v>
      </c>
      <c r="AB715" s="2" t="s">
        <v>39</v>
      </c>
      <c r="AC715" s="2" t="s">
        <v>38</v>
      </c>
      <c r="AD715" s="2" t="s">
        <v>38</v>
      </c>
      <c r="AE715" s="2"/>
    </row>
    <row r="716" spans="1:31" ht="409.5">
      <c r="A716" s="2">
        <v>2755184</v>
      </c>
      <c r="B716" s="2">
        <f>HYPERLINK("https://platform.v2.vetology.net/cases/2755184/screening-report/1?type=pdf&amp;v=v6&amp;scorecard=1&amp;secret_key=BX%25IJ%24%2F65ieZ%29f6", 2755184)</f>
        <v>2755184</v>
      </c>
      <c r="C716" s="2">
        <f>HYPERLINK("https://platform.v2.vetology.net/report/v/final/"&amp;2755184, 2755184)</f>
        <v>2755184</v>
      </c>
      <c r="D716" s="2" t="s">
        <v>2447</v>
      </c>
      <c r="E716" s="2" t="s">
        <v>2448</v>
      </c>
      <c r="F716" s="2" t="s">
        <v>2449</v>
      </c>
      <c r="G716" s="2" t="s">
        <v>507</v>
      </c>
      <c r="H716" s="2" t="s">
        <v>2450</v>
      </c>
      <c r="I716" s="2" t="s">
        <v>36</v>
      </c>
      <c r="J716" s="2" t="s">
        <v>37</v>
      </c>
      <c r="K716" s="2" t="s">
        <v>38</v>
      </c>
      <c r="L716" s="2" t="s">
        <v>38</v>
      </c>
      <c r="M716" s="2" t="s">
        <v>38</v>
      </c>
      <c r="N716" s="2" t="s">
        <v>38</v>
      </c>
      <c r="O716" s="2" t="s">
        <v>38</v>
      </c>
      <c r="P716" s="2" t="s">
        <v>39</v>
      </c>
      <c r="Q716" s="2" t="s">
        <v>39</v>
      </c>
      <c r="R716" s="2" t="s">
        <v>38</v>
      </c>
      <c r="S716" s="2" t="s">
        <v>38</v>
      </c>
      <c r="T716" s="2" t="s">
        <v>39</v>
      </c>
      <c r="U716" s="2" t="s">
        <v>38</v>
      </c>
      <c r="V716" s="2" t="s">
        <v>38</v>
      </c>
      <c r="W716" s="2" t="s">
        <v>39</v>
      </c>
      <c r="X716" s="2" t="s">
        <v>38</v>
      </c>
      <c r="Y716" s="2" t="s">
        <v>39</v>
      </c>
      <c r="Z716" s="2" t="s">
        <v>38</v>
      </c>
      <c r="AA716" s="2" t="s">
        <v>39</v>
      </c>
      <c r="AB716" s="2" t="s">
        <v>39</v>
      </c>
      <c r="AC716" s="2" t="s">
        <v>38</v>
      </c>
      <c r="AD716" s="2" t="s">
        <v>38</v>
      </c>
      <c r="AE716" s="2" t="s">
        <v>40</v>
      </c>
    </row>
    <row r="717" spans="1:31" ht="409.5">
      <c r="A717" s="2">
        <v>2755076</v>
      </c>
      <c r="B717" s="2">
        <f>HYPERLINK("https://platform.v2.vetology.net/cases/2755076/screening-report/1?type=pdf&amp;v=v6&amp;scorecard=1&amp;secret_key=BX%25IJ%24%2F65ieZ%29f6", 2755076)</f>
        <v>2755076</v>
      </c>
      <c r="C717" s="2">
        <f>HYPERLINK("https://platform.v2.vetology.net/report/v/final/"&amp;2755076, 2755076)</f>
        <v>2755076</v>
      </c>
      <c r="D717" s="2" t="s">
        <v>2451</v>
      </c>
      <c r="E717" s="2" t="s">
        <v>2452</v>
      </c>
      <c r="F717" s="2" t="s">
        <v>2453</v>
      </c>
      <c r="G717" s="2" t="s">
        <v>170</v>
      </c>
      <c r="H717" s="2" t="s">
        <v>2454</v>
      </c>
      <c r="I717" s="2" t="s">
        <v>257</v>
      </c>
      <c r="J717" s="2" t="s">
        <v>74</v>
      </c>
      <c r="K717" s="2" t="s">
        <v>38</v>
      </c>
      <c r="L717" s="2" t="s">
        <v>38</v>
      </c>
      <c r="M717" s="2" t="s">
        <v>38</v>
      </c>
      <c r="N717" s="2" t="s">
        <v>38</v>
      </c>
      <c r="O717" s="2" t="s">
        <v>38</v>
      </c>
      <c r="P717" s="2" t="s">
        <v>38</v>
      </c>
      <c r="Q717" s="2" t="s">
        <v>38</v>
      </c>
      <c r="R717" s="2" t="s">
        <v>38</v>
      </c>
      <c r="S717" s="2" t="s">
        <v>38</v>
      </c>
      <c r="T717" s="2" t="s">
        <v>38</v>
      </c>
      <c r="U717" s="2" t="s">
        <v>38</v>
      </c>
      <c r="V717" s="2" t="s">
        <v>38</v>
      </c>
      <c r="W717" s="2" t="s">
        <v>38</v>
      </c>
      <c r="X717" s="2" t="s">
        <v>38</v>
      </c>
      <c r="Y717" s="2" t="s">
        <v>38</v>
      </c>
      <c r="Z717" s="2" t="s">
        <v>38</v>
      </c>
      <c r="AA717" s="2" t="s">
        <v>38</v>
      </c>
      <c r="AB717" s="2" t="s">
        <v>38</v>
      </c>
      <c r="AC717" s="2" t="s">
        <v>38</v>
      </c>
      <c r="AD717" s="2" t="s">
        <v>38</v>
      </c>
      <c r="AE717" s="2" t="s">
        <v>40</v>
      </c>
    </row>
    <row r="718" spans="1:31" ht="409.5">
      <c r="A718" s="2">
        <v>2755072</v>
      </c>
      <c r="B718" s="2">
        <f>HYPERLINK("https://platform.v2.vetology.net/cases/2755072/screening-report/1?type=pdf&amp;v=v6&amp;scorecard=1&amp;secret_key=BX%25IJ%24%2F65ieZ%29f6", 2755072)</f>
        <v>2755072</v>
      </c>
      <c r="C718" s="2">
        <f>HYPERLINK("https://platform.v2.vetology.net/report/v/final/"&amp;2755072, 2755072)</f>
        <v>2755072</v>
      </c>
      <c r="D718" s="2" t="s">
        <v>2455</v>
      </c>
      <c r="E718" s="2" t="s">
        <v>2456</v>
      </c>
      <c r="F718" s="2" t="s">
        <v>2457</v>
      </c>
      <c r="G718" s="2" t="s">
        <v>170</v>
      </c>
      <c r="H718" s="2" t="s">
        <v>69</v>
      </c>
      <c r="I718" s="2" t="s">
        <v>46</v>
      </c>
      <c r="J718" s="2"/>
      <c r="K718" s="2" t="s">
        <v>39</v>
      </c>
      <c r="L718" s="2" t="s">
        <v>39</v>
      </c>
      <c r="M718" s="2" t="s">
        <v>39</v>
      </c>
      <c r="N718" s="2" t="s">
        <v>39</v>
      </c>
      <c r="O718" s="2" t="s">
        <v>39</v>
      </c>
      <c r="P718" s="2" t="s">
        <v>39</v>
      </c>
      <c r="Q718" s="2" t="s">
        <v>39</v>
      </c>
      <c r="R718" s="2" t="s">
        <v>39</v>
      </c>
      <c r="S718" s="2" t="s">
        <v>39</v>
      </c>
      <c r="T718" s="2" t="s">
        <v>39</v>
      </c>
      <c r="U718" s="2" t="s">
        <v>39</v>
      </c>
      <c r="V718" s="2" t="s">
        <v>39</v>
      </c>
      <c r="W718" s="2" t="s">
        <v>39</v>
      </c>
      <c r="X718" s="2" t="s">
        <v>39</v>
      </c>
      <c r="Y718" s="2" t="s">
        <v>39</v>
      </c>
      <c r="Z718" s="2" t="s">
        <v>39</v>
      </c>
      <c r="AA718" s="2" t="s">
        <v>39</v>
      </c>
      <c r="AB718" s="2" t="s">
        <v>38</v>
      </c>
      <c r="AC718" s="2" t="s">
        <v>39</v>
      </c>
      <c r="AD718" s="2" t="s">
        <v>39</v>
      </c>
      <c r="AE718" s="2" t="s">
        <v>39</v>
      </c>
    </row>
    <row r="719" spans="1:31" ht="409.5">
      <c r="A719" s="2">
        <v>2755059</v>
      </c>
      <c r="B719" s="2">
        <f>HYPERLINK("https://platform.v2.vetology.net/cases/2755059/screening-report/1?type=pdf&amp;v=v6&amp;scorecard=1&amp;secret_key=BX%25IJ%24%2F65ieZ%29f6", 2755059)</f>
        <v>2755059</v>
      </c>
      <c r="C719" s="2">
        <f>HYPERLINK("https://platform.v2.vetology.net/report/v/final/"&amp;2755059, 2755059)</f>
        <v>2755059</v>
      </c>
      <c r="D719" s="2" t="s">
        <v>2458</v>
      </c>
      <c r="E719" s="2" t="s">
        <v>2459</v>
      </c>
      <c r="F719" s="2" t="s">
        <v>2460</v>
      </c>
      <c r="G719" s="2" t="s">
        <v>170</v>
      </c>
      <c r="H719" s="2" t="s">
        <v>2461</v>
      </c>
      <c r="I719" s="2" t="s">
        <v>36</v>
      </c>
      <c r="J719" s="2" t="s">
        <v>37</v>
      </c>
      <c r="K719" s="2" t="s">
        <v>38</v>
      </c>
      <c r="L719" s="2" t="s">
        <v>38</v>
      </c>
      <c r="M719" s="2" t="s">
        <v>38</v>
      </c>
      <c r="N719" s="2" t="s">
        <v>38</v>
      </c>
      <c r="O719" s="2" t="s">
        <v>38</v>
      </c>
      <c r="P719" s="2" t="s">
        <v>39</v>
      </c>
      <c r="Q719" s="2" t="s">
        <v>39</v>
      </c>
      <c r="R719" s="2" t="s">
        <v>39</v>
      </c>
      <c r="S719" s="2" t="s">
        <v>38</v>
      </c>
      <c r="T719" s="2" t="s">
        <v>39</v>
      </c>
      <c r="U719" s="2" t="s">
        <v>39</v>
      </c>
      <c r="V719" s="2" t="s">
        <v>38</v>
      </c>
      <c r="W719" s="2" t="s">
        <v>38</v>
      </c>
      <c r="X719" s="2" t="s">
        <v>39</v>
      </c>
      <c r="Y719" s="2" t="s">
        <v>39</v>
      </c>
      <c r="Z719" s="2" t="s">
        <v>38</v>
      </c>
      <c r="AA719" s="2" t="s">
        <v>38</v>
      </c>
      <c r="AB719" s="2" t="s">
        <v>39</v>
      </c>
      <c r="AC719" s="2" t="s">
        <v>38</v>
      </c>
      <c r="AD719" s="2" t="s">
        <v>38</v>
      </c>
      <c r="AE719" s="2" t="s">
        <v>40</v>
      </c>
    </row>
    <row r="720" spans="1:31" ht="409.5">
      <c r="A720" s="2">
        <v>2755055</v>
      </c>
      <c r="B720" s="2">
        <f>HYPERLINK("https://platform.v2.vetology.net/cases/2755055/screening-report/1?type=pdf&amp;v=v6&amp;scorecard=1&amp;secret_key=BX%25IJ%24%2F65ieZ%29f6", 2755055)</f>
        <v>2755055</v>
      </c>
      <c r="C720" s="2">
        <f>HYPERLINK("https://platform.v2.vetology.net/report/v/final/"&amp;2755055, 2755055)</f>
        <v>2755055</v>
      </c>
      <c r="D720" s="2" t="s">
        <v>2462</v>
      </c>
      <c r="E720" s="2" t="s">
        <v>2463</v>
      </c>
      <c r="F720" s="2" t="s">
        <v>2464</v>
      </c>
      <c r="G720" s="2" t="s">
        <v>53</v>
      </c>
      <c r="H720" s="2" t="s">
        <v>2465</v>
      </c>
      <c r="I720" s="2" t="s">
        <v>36</v>
      </c>
      <c r="J720" s="2" t="s">
        <v>37</v>
      </c>
      <c r="K720" s="2" t="s">
        <v>39</v>
      </c>
      <c r="L720" s="2" t="s">
        <v>38</v>
      </c>
      <c r="M720" s="2" t="s">
        <v>38</v>
      </c>
      <c r="N720" s="2" t="s">
        <v>38</v>
      </c>
      <c r="O720" s="2" t="s">
        <v>38</v>
      </c>
      <c r="P720" s="2" t="s">
        <v>38</v>
      </c>
      <c r="Q720" s="2" t="s">
        <v>39</v>
      </c>
      <c r="R720" s="2" t="s">
        <v>39</v>
      </c>
      <c r="S720" s="2" t="s">
        <v>38</v>
      </c>
      <c r="T720" s="2" t="s">
        <v>39</v>
      </c>
      <c r="U720" s="2" t="s">
        <v>39</v>
      </c>
      <c r="V720" s="2" t="s">
        <v>38</v>
      </c>
      <c r="W720" s="2" t="s">
        <v>38</v>
      </c>
      <c r="X720" s="2" t="s">
        <v>39</v>
      </c>
      <c r="Y720" s="2" t="s">
        <v>39</v>
      </c>
      <c r="Z720" s="2" t="s">
        <v>38</v>
      </c>
      <c r="AA720" s="2" t="s">
        <v>38</v>
      </c>
      <c r="AB720" s="2" t="s">
        <v>39</v>
      </c>
      <c r="AC720" s="2" t="s">
        <v>38</v>
      </c>
      <c r="AD720" s="2" t="s">
        <v>38</v>
      </c>
      <c r="AE720" s="2" t="s">
        <v>39</v>
      </c>
    </row>
    <row r="721" spans="1:31" ht="409.5">
      <c r="A721" s="2">
        <v>2755045</v>
      </c>
      <c r="B721" s="2">
        <f>HYPERLINK("https://platform.v2.vetology.net/cases/2755045/screening-report/1?type=pdf&amp;v=v6&amp;scorecard=1&amp;secret_key=BX%25IJ%24%2F65ieZ%29f6", 2755045)</f>
        <v>2755045</v>
      </c>
      <c r="C721" s="2">
        <f>HYPERLINK("https://platform.v2.vetology.net/report/v/final/"&amp;2755045, 2755045)</f>
        <v>2755045</v>
      </c>
      <c r="D721" s="2" t="s">
        <v>2466</v>
      </c>
      <c r="E721" s="2" t="s">
        <v>2467</v>
      </c>
      <c r="F721" s="2" t="s">
        <v>2468</v>
      </c>
      <c r="G721" s="2" t="s">
        <v>53</v>
      </c>
      <c r="H721" s="2" t="s">
        <v>2469</v>
      </c>
      <c r="I721" s="2" t="s">
        <v>73</v>
      </c>
      <c r="J721" s="2" t="s">
        <v>74</v>
      </c>
      <c r="K721" s="2" t="s">
        <v>38</v>
      </c>
      <c r="L721" s="2" t="s">
        <v>38</v>
      </c>
      <c r="M721" s="2" t="s">
        <v>38</v>
      </c>
      <c r="N721" s="2" t="s">
        <v>38</v>
      </c>
      <c r="O721" s="2" t="s">
        <v>38</v>
      </c>
      <c r="P721" s="2" t="s">
        <v>38</v>
      </c>
      <c r="Q721" s="2" t="s">
        <v>38</v>
      </c>
      <c r="R721" s="2" t="s">
        <v>38</v>
      </c>
      <c r="S721" s="2" t="s">
        <v>38</v>
      </c>
      <c r="T721" s="2" t="s">
        <v>38</v>
      </c>
      <c r="U721" s="2" t="s">
        <v>38</v>
      </c>
      <c r="V721" s="2" t="s">
        <v>38</v>
      </c>
      <c r="W721" s="2" t="s">
        <v>38</v>
      </c>
      <c r="X721" s="2" t="s">
        <v>38</v>
      </c>
      <c r="Y721" s="2" t="s">
        <v>39</v>
      </c>
      <c r="Z721" s="2" t="s">
        <v>38</v>
      </c>
      <c r="AA721" s="2" t="s">
        <v>38</v>
      </c>
      <c r="AB721" s="2" t="s">
        <v>38</v>
      </c>
      <c r="AC721" s="2" t="s">
        <v>38</v>
      </c>
      <c r="AD721" s="2" t="s">
        <v>38</v>
      </c>
      <c r="AE721" s="2" t="s">
        <v>40</v>
      </c>
    </row>
    <row r="722" spans="1:31" ht="409.5">
      <c r="A722" s="2">
        <v>2754879</v>
      </c>
      <c r="B722" s="2">
        <f>HYPERLINK("https://platform.v2.vetology.net/cases/2754879/screening-report/1?type=pdf&amp;v=v6&amp;scorecard=1&amp;secret_key=BX%25IJ%24%2F65ieZ%29f6", 2754879)</f>
        <v>2754879</v>
      </c>
      <c r="C722" s="2">
        <f>HYPERLINK("https://platform.v2.vetology.net/report/v/final/"&amp;2754879, 2754879)</f>
        <v>2754879</v>
      </c>
      <c r="D722" s="2" t="s">
        <v>2470</v>
      </c>
      <c r="E722" s="2" t="s">
        <v>2471</v>
      </c>
      <c r="F722" s="2" t="s">
        <v>2472</v>
      </c>
      <c r="G722" s="2" t="s">
        <v>53</v>
      </c>
      <c r="H722" s="2" t="s">
        <v>2473</v>
      </c>
      <c r="I722" s="2" t="s">
        <v>129</v>
      </c>
      <c r="J722" s="2" t="s">
        <v>74</v>
      </c>
      <c r="K722" s="2" t="s">
        <v>38</v>
      </c>
      <c r="L722" s="2" t="s">
        <v>38</v>
      </c>
      <c r="M722" s="2" t="s">
        <v>38</v>
      </c>
      <c r="N722" s="2" t="s">
        <v>38</v>
      </c>
      <c r="O722" s="2" t="s">
        <v>38</v>
      </c>
      <c r="P722" s="2" t="s">
        <v>38</v>
      </c>
      <c r="Q722" s="2" t="s">
        <v>38</v>
      </c>
      <c r="R722" s="2" t="s">
        <v>39</v>
      </c>
      <c r="S722" s="2" t="s">
        <v>38</v>
      </c>
      <c r="T722" s="2" t="s">
        <v>38</v>
      </c>
      <c r="U722" s="2" t="s">
        <v>39</v>
      </c>
      <c r="V722" s="2" t="s">
        <v>38</v>
      </c>
      <c r="W722" s="2" t="s">
        <v>38</v>
      </c>
      <c r="X722" s="2" t="s">
        <v>38</v>
      </c>
      <c r="Y722" s="2" t="s">
        <v>38</v>
      </c>
      <c r="Z722" s="2" t="s">
        <v>38</v>
      </c>
      <c r="AA722" s="2" t="s">
        <v>38</v>
      </c>
      <c r="AB722" s="2" t="s">
        <v>38</v>
      </c>
      <c r="AC722" s="2" t="s">
        <v>38</v>
      </c>
      <c r="AD722" s="2" t="s">
        <v>39</v>
      </c>
      <c r="AE722" s="2" t="s">
        <v>39</v>
      </c>
    </row>
    <row r="723" spans="1:31" ht="409.5">
      <c r="A723" s="2">
        <v>2754872</v>
      </c>
      <c r="B723" s="2">
        <f>HYPERLINK("https://platform.v2.vetology.net/cases/2754872/screening-report/1?type=pdf&amp;v=v6&amp;scorecard=1&amp;secret_key=BX%25IJ%24%2F65ieZ%29f6", 2754872)</f>
        <v>2754872</v>
      </c>
      <c r="C723" s="2">
        <f>HYPERLINK("https://platform.v2.vetology.net/report/v/final/"&amp;2754872, 2754872)</f>
        <v>2754872</v>
      </c>
      <c r="D723" s="2" t="s">
        <v>2474</v>
      </c>
      <c r="E723" s="2" t="s">
        <v>2475</v>
      </c>
      <c r="F723" s="2" t="s">
        <v>787</v>
      </c>
      <c r="G723" s="2" t="s">
        <v>100</v>
      </c>
      <c r="H723" s="2" t="s">
        <v>2476</v>
      </c>
      <c r="I723" s="2" t="s">
        <v>257</v>
      </c>
      <c r="J723" s="2" t="s">
        <v>74</v>
      </c>
      <c r="K723" s="2" t="s">
        <v>38</v>
      </c>
      <c r="L723" s="2" t="s">
        <v>38</v>
      </c>
      <c r="M723" s="2" t="s">
        <v>38</v>
      </c>
      <c r="N723" s="2" t="s">
        <v>38</v>
      </c>
      <c r="O723" s="2" t="s">
        <v>38</v>
      </c>
      <c r="P723" s="2" t="s">
        <v>38</v>
      </c>
      <c r="Q723" s="2" t="s">
        <v>38</v>
      </c>
      <c r="R723" s="2" t="s">
        <v>38</v>
      </c>
      <c r="S723" s="2" t="s">
        <v>38</v>
      </c>
      <c r="T723" s="2" t="s">
        <v>38</v>
      </c>
      <c r="U723" s="2" t="s">
        <v>38</v>
      </c>
      <c r="V723" s="2" t="s">
        <v>38</v>
      </c>
      <c r="W723" s="2" t="s">
        <v>38</v>
      </c>
      <c r="X723" s="2" t="s">
        <v>39</v>
      </c>
      <c r="Y723" s="2" t="s">
        <v>38</v>
      </c>
      <c r="Z723" s="2" t="s">
        <v>38</v>
      </c>
      <c r="AA723" s="2" t="s">
        <v>38</v>
      </c>
      <c r="AB723" s="2" t="s">
        <v>39</v>
      </c>
      <c r="AC723" s="2" t="s">
        <v>38</v>
      </c>
      <c r="AD723" s="2" t="s">
        <v>38</v>
      </c>
      <c r="AE723" s="2" t="s">
        <v>40</v>
      </c>
    </row>
    <row r="724" spans="1:31" ht="409.5">
      <c r="A724" s="2">
        <v>2754842</v>
      </c>
      <c r="B724" s="2">
        <f>HYPERLINK("https://platform.v2.vetology.net/cases/2754842/screening-report/1?type=pdf&amp;v=v6&amp;scorecard=1&amp;secret_key=BX%25IJ%24%2F65ieZ%29f6", 2754842)</f>
        <v>2754842</v>
      </c>
      <c r="C724" s="2">
        <f>HYPERLINK("https://platform.v2.vetology.net/report/v/final/"&amp;2754842, 2754842)</f>
        <v>2754842</v>
      </c>
      <c r="D724" s="2" t="s">
        <v>2477</v>
      </c>
      <c r="E724" s="2" t="s">
        <v>2478</v>
      </c>
      <c r="F724" s="2"/>
      <c r="G724" s="2" t="s">
        <v>507</v>
      </c>
      <c r="H724" s="2" t="s">
        <v>2479</v>
      </c>
      <c r="I724" s="2" t="s">
        <v>36</v>
      </c>
      <c r="J724" s="2" t="s">
        <v>37</v>
      </c>
      <c r="K724" s="2" t="s">
        <v>38</v>
      </c>
      <c r="L724" s="2" t="s">
        <v>39</v>
      </c>
      <c r="M724" s="2" t="s">
        <v>38</v>
      </c>
      <c r="N724" s="2" t="s">
        <v>38</v>
      </c>
      <c r="O724" s="2" t="s">
        <v>38</v>
      </c>
      <c r="P724" s="2" t="s">
        <v>39</v>
      </c>
      <c r="Q724" s="2" t="s">
        <v>38</v>
      </c>
      <c r="R724" s="2" t="s">
        <v>38</v>
      </c>
      <c r="S724" s="2" t="s">
        <v>38</v>
      </c>
      <c r="T724" s="2" t="s">
        <v>38</v>
      </c>
      <c r="U724" s="2" t="s">
        <v>38</v>
      </c>
      <c r="V724" s="2" t="s">
        <v>38</v>
      </c>
      <c r="W724" s="2" t="s">
        <v>38</v>
      </c>
      <c r="X724" s="2" t="s">
        <v>38</v>
      </c>
      <c r="Y724" s="2" t="s">
        <v>39</v>
      </c>
      <c r="Z724" s="2" t="s">
        <v>38</v>
      </c>
      <c r="AA724" s="2" t="s">
        <v>38</v>
      </c>
      <c r="AB724" s="2" t="s">
        <v>39</v>
      </c>
      <c r="AC724" s="2" t="s">
        <v>38</v>
      </c>
      <c r="AD724" s="2" t="s">
        <v>39</v>
      </c>
      <c r="AE724" s="2" t="s">
        <v>40</v>
      </c>
    </row>
    <row r="725" spans="1:31" ht="409.5">
      <c r="A725" s="2">
        <v>2754839</v>
      </c>
      <c r="B725" s="2">
        <f>HYPERLINK("https://platform.v2.vetology.net/cases/2754839/screening-report/1?type=pdf&amp;v=v6&amp;scorecard=1&amp;secret_key=BX%25IJ%24%2F65ieZ%29f6", 2754839)</f>
        <v>2754839</v>
      </c>
      <c r="C725" s="2">
        <f>HYPERLINK("https://platform.v2.vetology.net/report/v/final/"&amp;2754839, 2754839)</f>
        <v>2754839</v>
      </c>
      <c r="D725" s="2" t="s">
        <v>2480</v>
      </c>
      <c r="E725" s="2" t="s">
        <v>2481</v>
      </c>
      <c r="F725" s="2" t="s">
        <v>2482</v>
      </c>
      <c r="G725" s="2" t="s">
        <v>44</v>
      </c>
      <c r="H725" s="2" t="s">
        <v>2483</v>
      </c>
      <c r="I725" s="2" t="s">
        <v>36</v>
      </c>
      <c r="J725" s="2" t="s">
        <v>37</v>
      </c>
      <c r="K725" s="2" t="s">
        <v>38</v>
      </c>
      <c r="L725" s="2" t="s">
        <v>38</v>
      </c>
      <c r="M725" s="2" t="s">
        <v>38</v>
      </c>
      <c r="N725" s="2" t="s">
        <v>38</v>
      </c>
      <c r="O725" s="2" t="s">
        <v>38</v>
      </c>
      <c r="P725" s="2" t="s">
        <v>38</v>
      </c>
      <c r="Q725" s="2" t="s">
        <v>39</v>
      </c>
      <c r="R725" s="2" t="s">
        <v>38</v>
      </c>
      <c r="S725" s="2" t="s">
        <v>38</v>
      </c>
      <c r="T725" s="2" t="s">
        <v>39</v>
      </c>
      <c r="U725" s="2" t="s">
        <v>38</v>
      </c>
      <c r="V725" s="2" t="s">
        <v>38</v>
      </c>
      <c r="W725" s="2" t="s">
        <v>38</v>
      </c>
      <c r="X725" s="2" t="s">
        <v>39</v>
      </c>
      <c r="Y725" s="2" t="s">
        <v>38</v>
      </c>
      <c r="Z725" s="2" t="s">
        <v>38</v>
      </c>
      <c r="AA725" s="2" t="s">
        <v>38</v>
      </c>
      <c r="AB725" s="2" t="s">
        <v>39</v>
      </c>
      <c r="AC725" s="2" t="s">
        <v>38</v>
      </c>
      <c r="AD725" s="2" t="s">
        <v>38</v>
      </c>
      <c r="AE725" s="2" t="s">
        <v>39</v>
      </c>
    </row>
    <row r="726" spans="1:31" ht="409.5">
      <c r="A726" s="2">
        <v>2754826</v>
      </c>
      <c r="B726" s="2">
        <f>HYPERLINK("https://platform.v2.vetology.net/cases/2754826/screening-report/1?type=pdf&amp;v=v6&amp;scorecard=1&amp;secret_key=BX%25IJ%24%2F65ieZ%29f6", 2754826)</f>
        <v>2754826</v>
      </c>
      <c r="C726" s="2">
        <f>HYPERLINK("https://platform.v2.vetology.net/report/v/final/"&amp;2754826, 2754826)</f>
        <v>2754826</v>
      </c>
      <c r="D726" s="2" t="s">
        <v>2484</v>
      </c>
      <c r="E726" s="2" t="s">
        <v>2485</v>
      </c>
      <c r="F726" s="2" t="s">
        <v>2486</v>
      </c>
      <c r="G726" s="2" t="s">
        <v>53</v>
      </c>
      <c r="H726" s="2" t="s">
        <v>2487</v>
      </c>
      <c r="I726" s="2" t="s">
        <v>129</v>
      </c>
      <c r="J726" s="2" t="s">
        <v>74</v>
      </c>
      <c r="K726" s="2" t="s">
        <v>39</v>
      </c>
      <c r="L726" s="2" t="s">
        <v>38</v>
      </c>
      <c r="M726" s="2" t="s">
        <v>38</v>
      </c>
      <c r="N726" s="2" t="s">
        <v>38</v>
      </c>
      <c r="O726" s="2" t="s">
        <v>38</v>
      </c>
      <c r="P726" s="2" t="s">
        <v>38</v>
      </c>
      <c r="Q726" s="2" t="s">
        <v>38</v>
      </c>
      <c r="R726" s="2" t="s">
        <v>39</v>
      </c>
      <c r="S726" s="2" t="s">
        <v>38</v>
      </c>
      <c r="T726" s="2" t="s">
        <v>38</v>
      </c>
      <c r="U726" s="2" t="s">
        <v>39</v>
      </c>
      <c r="V726" s="2" t="s">
        <v>39</v>
      </c>
      <c r="W726" s="2" t="s">
        <v>38</v>
      </c>
      <c r="X726" s="2" t="s">
        <v>38</v>
      </c>
      <c r="Y726" s="2" t="s">
        <v>39</v>
      </c>
      <c r="Z726" s="2" t="s">
        <v>38</v>
      </c>
      <c r="AA726" s="2" t="s">
        <v>38</v>
      </c>
      <c r="AB726" s="2" t="s">
        <v>38</v>
      </c>
      <c r="AC726" s="2" t="s">
        <v>38</v>
      </c>
      <c r="AD726" s="2" t="s">
        <v>38</v>
      </c>
      <c r="AE726" s="2" t="s">
        <v>39</v>
      </c>
    </row>
    <row r="727" spans="1:31" ht="409.5">
      <c r="A727" s="2">
        <v>2754822</v>
      </c>
      <c r="B727" s="2">
        <f>HYPERLINK("https://platform.v2.vetology.net/cases/2754822/screening-report/1?type=pdf&amp;v=v6&amp;scorecard=1&amp;secret_key=BX%25IJ%24%2F65ieZ%29f6", 2754822)</f>
        <v>2754822</v>
      </c>
      <c r="C727" s="2">
        <f>HYPERLINK("https://platform.v2.vetology.net/report/v/final/"&amp;2754822, 2754822)</f>
        <v>2754822</v>
      </c>
      <c r="D727" s="2" t="s">
        <v>2488</v>
      </c>
      <c r="E727" s="2" t="s">
        <v>2489</v>
      </c>
      <c r="F727" s="2" t="s">
        <v>2490</v>
      </c>
      <c r="G727" s="2" t="s">
        <v>100</v>
      </c>
      <c r="H727" s="2" t="s">
        <v>394</v>
      </c>
      <c r="I727" s="2" t="s">
        <v>59</v>
      </c>
      <c r="J727" s="2" t="s">
        <v>37</v>
      </c>
      <c r="K727" s="2" t="s">
        <v>38</v>
      </c>
      <c r="L727" s="2" t="s">
        <v>39</v>
      </c>
      <c r="M727" s="2" t="s">
        <v>39</v>
      </c>
      <c r="N727" s="2" t="s">
        <v>39</v>
      </c>
      <c r="O727" s="2" t="s">
        <v>39</v>
      </c>
      <c r="P727" s="2" t="s">
        <v>39</v>
      </c>
      <c r="Q727" s="2" t="s">
        <v>39</v>
      </c>
      <c r="R727" s="2" t="s">
        <v>39</v>
      </c>
      <c r="S727" s="2" t="s">
        <v>39</v>
      </c>
      <c r="T727" s="2" t="s">
        <v>39</v>
      </c>
      <c r="U727" s="2" t="s">
        <v>39</v>
      </c>
      <c r="V727" s="2" t="s">
        <v>38</v>
      </c>
      <c r="W727" s="2" t="s">
        <v>39</v>
      </c>
      <c r="X727" s="2" t="s">
        <v>39</v>
      </c>
      <c r="Y727" s="2" t="s">
        <v>39</v>
      </c>
      <c r="Z727" s="2" t="s">
        <v>39</v>
      </c>
      <c r="AA727" s="2" t="s">
        <v>39</v>
      </c>
      <c r="AB727" s="2" t="s">
        <v>39</v>
      </c>
      <c r="AC727" s="2" t="s">
        <v>39</v>
      </c>
      <c r="AD727" s="2" t="s">
        <v>39</v>
      </c>
      <c r="AE727" s="2" t="s">
        <v>39</v>
      </c>
    </row>
    <row r="728" spans="1:31" ht="409.5">
      <c r="A728" s="2">
        <v>2754820</v>
      </c>
      <c r="B728" s="2">
        <f>HYPERLINK("https://platform.v2.vetology.net/cases/2754820/screening-report/1?type=pdf&amp;v=v6&amp;scorecard=1&amp;secret_key=BX%25IJ%24%2F65ieZ%29f6", 2754820)</f>
        <v>2754820</v>
      </c>
      <c r="C728" s="2">
        <f>HYPERLINK("https://platform.v2.vetology.net/report/v/final/"&amp;2754820, 2754820)</f>
        <v>2754820</v>
      </c>
      <c r="D728" s="2" t="s">
        <v>2491</v>
      </c>
      <c r="E728" s="2" t="s">
        <v>2492</v>
      </c>
      <c r="F728" s="2" t="s">
        <v>43</v>
      </c>
      <c r="G728" s="2" t="s">
        <v>507</v>
      </c>
      <c r="H728" s="2" t="s">
        <v>2493</v>
      </c>
      <c r="I728" s="2" t="s">
        <v>73</v>
      </c>
      <c r="J728" s="2" t="s">
        <v>74</v>
      </c>
      <c r="K728" s="2" t="s">
        <v>38</v>
      </c>
      <c r="L728" s="2" t="s">
        <v>38</v>
      </c>
      <c r="M728" s="2" t="s">
        <v>38</v>
      </c>
      <c r="N728" s="2" t="s">
        <v>38</v>
      </c>
      <c r="O728" s="2" t="s">
        <v>38</v>
      </c>
      <c r="P728" s="2" t="s">
        <v>38</v>
      </c>
      <c r="Q728" s="2" t="s">
        <v>38</v>
      </c>
      <c r="R728" s="2" t="s">
        <v>39</v>
      </c>
      <c r="S728" s="2" t="s">
        <v>38</v>
      </c>
      <c r="T728" s="2" t="s">
        <v>38</v>
      </c>
      <c r="U728" s="2" t="s">
        <v>38</v>
      </c>
      <c r="V728" s="2" t="s">
        <v>38</v>
      </c>
      <c r="W728" s="2" t="s">
        <v>38</v>
      </c>
      <c r="X728" s="2" t="s">
        <v>38</v>
      </c>
      <c r="Y728" s="2" t="s">
        <v>39</v>
      </c>
      <c r="Z728" s="2" t="s">
        <v>38</v>
      </c>
      <c r="AA728" s="2" t="s">
        <v>38</v>
      </c>
      <c r="AB728" s="2" t="s">
        <v>38</v>
      </c>
      <c r="AC728" s="2" t="s">
        <v>38</v>
      </c>
      <c r="AD728" s="2" t="s">
        <v>38</v>
      </c>
      <c r="AE728" s="2" t="s">
        <v>39</v>
      </c>
    </row>
    <row r="729" spans="1:31" ht="409.5">
      <c r="A729" s="2">
        <v>2754792</v>
      </c>
      <c r="B729" s="2">
        <f>HYPERLINK("https://platform.v2.vetology.net/cases/2754792/screening-report/1?type=pdf&amp;v=v6&amp;scorecard=1&amp;secret_key=BX%25IJ%24%2F65ieZ%29f6", 2754792)</f>
        <v>2754792</v>
      </c>
      <c r="C729" s="2">
        <f>HYPERLINK("https://platform.v2.vetology.net/report/v/final/"&amp;2754792, 2754792)</f>
        <v>2754792</v>
      </c>
      <c r="D729" s="2" t="s">
        <v>2494</v>
      </c>
      <c r="E729" s="2" t="s">
        <v>2495</v>
      </c>
      <c r="F729" s="2" t="s">
        <v>43</v>
      </c>
      <c r="G729" s="2" t="s">
        <v>44</v>
      </c>
      <c r="H729" s="2" t="s">
        <v>530</v>
      </c>
      <c r="I729" s="2" t="s">
        <v>59</v>
      </c>
      <c r="J729" s="2" t="s">
        <v>37</v>
      </c>
      <c r="K729" s="2" t="s">
        <v>38</v>
      </c>
      <c r="L729" s="2" t="s">
        <v>39</v>
      </c>
      <c r="M729" s="2" t="s">
        <v>39</v>
      </c>
      <c r="N729" s="2" t="s">
        <v>39</v>
      </c>
      <c r="O729" s="2" t="s">
        <v>39</v>
      </c>
      <c r="P729" s="2" t="s">
        <v>39</v>
      </c>
      <c r="Q729" s="2" t="s">
        <v>39</v>
      </c>
      <c r="R729" s="2" t="s">
        <v>39</v>
      </c>
      <c r="S729" s="2" t="s">
        <v>39</v>
      </c>
      <c r="T729" s="2" t="s">
        <v>39</v>
      </c>
      <c r="U729" s="2" t="s">
        <v>38</v>
      </c>
      <c r="V729" s="2" t="s">
        <v>38</v>
      </c>
      <c r="W729" s="2" t="s">
        <v>39</v>
      </c>
      <c r="X729" s="2" t="s">
        <v>39</v>
      </c>
      <c r="Y729" s="2" t="s">
        <v>39</v>
      </c>
      <c r="Z729" s="2" t="s">
        <v>39</v>
      </c>
      <c r="AA729" s="2" t="s">
        <v>39</v>
      </c>
      <c r="AB729" s="2" t="s">
        <v>39</v>
      </c>
      <c r="AC729" s="2" t="s">
        <v>39</v>
      </c>
      <c r="AD729" s="2" t="s">
        <v>38</v>
      </c>
      <c r="AE729" s="2" t="s">
        <v>39</v>
      </c>
    </row>
    <row r="730" spans="1:31" ht="409.5">
      <c r="A730" s="2">
        <v>2754715</v>
      </c>
      <c r="B730" s="2">
        <f>HYPERLINK("https://platform.v2.vetology.net/cases/2754715/screening-report/1?type=pdf&amp;v=v6&amp;scorecard=1&amp;secret_key=BX%25IJ%24%2F65ieZ%29f6", 2754715)</f>
        <v>2754715</v>
      </c>
      <c r="C730" s="2">
        <f>HYPERLINK("https://platform.v2.vetology.net/report/v/final/"&amp;2754715, 2754715)</f>
        <v>2754715</v>
      </c>
      <c r="D730" s="2" t="s">
        <v>2496</v>
      </c>
      <c r="E730" s="2" t="s">
        <v>2497</v>
      </c>
      <c r="F730" s="2" t="s">
        <v>2498</v>
      </c>
      <c r="G730" s="2" t="s">
        <v>53</v>
      </c>
      <c r="H730" s="2" t="s">
        <v>2499</v>
      </c>
      <c r="I730" s="2" t="s">
        <v>36</v>
      </c>
      <c r="J730" s="2" t="s">
        <v>37</v>
      </c>
      <c r="K730" s="2" t="s">
        <v>38</v>
      </c>
      <c r="L730" s="2" t="s">
        <v>39</v>
      </c>
      <c r="M730" s="2" t="s">
        <v>38</v>
      </c>
      <c r="N730" s="2" t="s">
        <v>38</v>
      </c>
      <c r="O730" s="2" t="s">
        <v>38</v>
      </c>
      <c r="P730" s="2" t="s">
        <v>39</v>
      </c>
      <c r="Q730" s="2" t="s">
        <v>39</v>
      </c>
      <c r="R730" s="2" t="s">
        <v>38</v>
      </c>
      <c r="S730" s="2" t="s">
        <v>38</v>
      </c>
      <c r="T730" s="2" t="s">
        <v>39</v>
      </c>
      <c r="U730" s="2" t="s">
        <v>39</v>
      </c>
      <c r="V730" s="2" t="s">
        <v>38</v>
      </c>
      <c r="W730" s="2" t="s">
        <v>39</v>
      </c>
      <c r="X730" s="2" t="s">
        <v>39</v>
      </c>
      <c r="Y730" s="2" t="s">
        <v>38</v>
      </c>
      <c r="Z730" s="2" t="s">
        <v>38</v>
      </c>
      <c r="AA730" s="2" t="s">
        <v>38</v>
      </c>
      <c r="AB730" s="2" t="s">
        <v>39</v>
      </c>
      <c r="AC730" s="2" t="s">
        <v>38</v>
      </c>
      <c r="AD730" s="2" t="s">
        <v>38</v>
      </c>
      <c r="AE730" s="2" t="s">
        <v>39</v>
      </c>
    </row>
    <row r="731" spans="1:31" ht="409.5">
      <c r="A731" s="2">
        <v>2754694</v>
      </c>
      <c r="B731" s="2">
        <f>HYPERLINK("https://platform.v2.vetology.net/cases/2754694/screening-report/1?type=pdf&amp;v=v6&amp;scorecard=1&amp;secret_key=BX%25IJ%24%2F65ieZ%29f6", 2754694)</f>
        <v>2754694</v>
      </c>
      <c r="C731" s="2">
        <f>HYPERLINK("https://platform.v2.vetology.net/report/v/final/"&amp;2754694, 2754694)</f>
        <v>2754694</v>
      </c>
      <c r="D731" s="2" t="s">
        <v>2500</v>
      </c>
      <c r="E731" s="2" t="s">
        <v>2501</v>
      </c>
      <c r="F731" s="2" t="s">
        <v>43</v>
      </c>
      <c r="G731" s="2" t="s">
        <v>507</v>
      </c>
      <c r="H731" s="2" t="s">
        <v>66</v>
      </c>
      <c r="I731" s="2" t="s">
        <v>36</v>
      </c>
      <c r="J731" s="2" t="s">
        <v>37</v>
      </c>
      <c r="K731" s="2" t="s">
        <v>39</v>
      </c>
      <c r="L731" s="2" t="s">
        <v>39</v>
      </c>
      <c r="M731" s="2" t="s">
        <v>38</v>
      </c>
      <c r="N731" s="2" t="s">
        <v>39</v>
      </c>
      <c r="O731" s="2" t="s">
        <v>38</v>
      </c>
      <c r="P731" s="2" t="s">
        <v>39</v>
      </c>
      <c r="Q731" s="2" t="s">
        <v>39</v>
      </c>
      <c r="R731" s="2" t="s">
        <v>39</v>
      </c>
      <c r="S731" s="2" t="s">
        <v>39</v>
      </c>
      <c r="T731" s="2" t="s">
        <v>39</v>
      </c>
      <c r="U731" s="2" t="s">
        <v>39</v>
      </c>
      <c r="V731" s="2" t="s">
        <v>39</v>
      </c>
      <c r="W731" s="2" t="s">
        <v>39</v>
      </c>
      <c r="X731" s="2" t="s">
        <v>39</v>
      </c>
      <c r="Y731" s="2" t="s">
        <v>39</v>
      </c>
      <c r="Z731" s="2" t="s">
        <v>39</v>
      </c>
      <c r="AA731" s="2" t="s">
        <v>39</v>
      </c>
      <c r="AB731" s="2" t="s">
        <v>39</v>
      </c>
      <c r="AC731" s="2" t="s">
        <v>39</v>
      </c>
      <c r="AD731" s="2" t="s">
        <v>38</v>
      </c>
      <c r="AE731" s="2" t="s">
        <v>39</v>
      </c>
    </row>
    <row r="732" spans="1:31" ht="409.5">
      <c r="A732" s="2">
        <v>2754622</v>
      </c>
      <c r="B732" s="2">
        <f>HYPERLINK("https://platform.v2.vetology.net/cases/2754622/screening-report/1?type=pdf&amp;v=v6&amp;scorecard=1&amp;secret_key=BX%25IJ%24%2F65ieZ%29f6", 2754622)</f>
        <v>2754622</v>
      </c>
      <c r="C732" s="2">
        <f>HYPERLINK("https://platform.v2.vetology.net/report/v/final/"&amp;2754622, 2754622)</f>
        <v>2754622</v>
      </c>
      <c r="D732" s="2" t="s">
        <v>2502</v>
      </c>
      <c r="E732" s="2" t="s">
        <v>2503</v>
      </c>
      <c r="F732" s="2" t="s">
        <v>2504</v>
      </c>
      <c r="G732" s="2" t="s">
        <v>53</v>
      </c>
      <c r="H732" s="2" t="s">
        <v>2505</v>
      </c>
      <c r="I732" s="2" t="s">
        <v>73</v>
      </c>
      <c r="J732" s="2" t="s">
        <v>74</v>
      </c>
      <c r="K732" s="2" t="s">
        <v>38</v>
      </c>
      <c r="L732" s="2" t="s">
        <v>38</v>
      </c>
      <c r="M732" s="2" t="s">
        <v>38</v>
      </c>
      <c r="N732" s="2" t="s">
        <v>38</v>
      </c>
      <c r="O732" s="2" t="s">
        <v>38</v>
      </c>
      <c r="P732" s="2" t="s">
        <v>38</v>
      </c>
      <c r="Q732" s="2" t="s">
        <v>38</v>
      </c>
      <c r="R732" s="2" t="s">
        <v>38</v>
      </c>
      <c r="S732" s="2" t="s">
        <v>38</v>
      </c>
      <c r="T732" s="2" t="s">
        <v>38</v>
      </c>
      <c r="U732" s="2" t="s">
        <v>38</v>
      </c>
      <c r="V732" s="2" t="s">
        <v>38</v>
      </c>
      <c r="W732" s="2" t="s">
        <v>38</v>
      </c>
      <c r="X732" s="2" t="s">
        <v>38</v>
      </c>
      <c r="Y732" s="2" t="s">
        <v>38</v>
      </c>
      <c r="Z732" s="2" t="s">
        <v>38</v>
      </c>
      <c r="AA732" s="2" t="s">
        <v>38</v>
      </c>
      <c r="AB732" s="2" t="s">
        <v>38</v>
      </c>
      <c r="AC732" s="2" t="s">
        <v>38</v>
      </c>
      <c r="AD732" s="2" t="s">
        <v>38</v>
      </c>
      <c r="AE732" s="2" t="s">
        <v>40</v>
      </c>
    </row>
    <row r="733" spans="1:31" ht="409.5">
      <c r="A733" s="2">
        <v>2754561</v>
      </c>
      <c r="B733" s="2">
        <f>HYPERLINK("https://platform.v2.vetology.net/cases/2754561/screening-report/1?type=pdf&amp;v=v6&amp;scorecard=1&amp;secret_key=BX%25IJ%24%2F65ieZ%29f6", 2754561)</f>
        <v>2754561</v>
      </c>
      <c r="C733" s="2">
        <f>HYPERLINK("https://platform.v2.vetology.net/report/v/final/"&amp;2754561, 2754561)</f>
        <v>2754561</v>
      </c>
      <c r="D733" s="2" t="s">
        <v>2506</v>
      </c>
      <c r="E733" s="2" t="s">
        <v>2507</v>
      </c>
      <c r="F733" s="2"/>
      <c r="G733" s="2" t="s">
        <v>507</v>
      </c>
      <c r="H733" s="2" t="s">
        <v>2508</v>
      </c>
      <c r="I733" s="2" t="s">
        <v>36</v>
      </c>
      <c r="J733" s="2" t="s">
        <v>37</v>
      </c>
      <c r="K733" s="2" t="s">
        <v>39</v>
      </c>
      <c r="L733" s="2" t="s">
        <v>38</v>
      </c>
      <c r="M733" s="2" t="s">
        <v>38</v>
      </c>
      <c r="N733" s="2" t="s">
        <v>38</v>
      </c>
      <c r="O733" s="2" t="s">
        <v>38</v>
      </c>
      <c r="P733" s="2" t="s">
        <v>39</v>
      </c>
      <c r="Q733" s="2" t="s">
        <v>39</v>
      </c>
      <c r="R733" s="2" t="s">
        <v>38</v>
      </c>
      <c r="S733" s="2" t="s">
        <v>38</v>
      </c>
      <c r="T733" s="2" t="s">
        <v>39</v>
      </c>
      <c r="U733" s="2" t="s">
        <v>38</v>
      </c>
      <c r="V733" s="2" t="s">
        <v>39</v>
      </c>
      <c r="W733" s="2" t="s">
        <v>38</v>
      </c>
      <c r="X733" s="2" t="s">
        <v>39</v>
      </c>
      <c r="Y733" s="2" t="s">
        <v>39</v>
      </c>
      <c r="Z733" s="2" t="s">
        <v>38</v>
      </c>
      <c r="AA733" s="2" t="s">
        <v>39</v>
      </c>
      <c r="AB733" s="2" t="s">
        <v>39</v>
      </c>
      <c r="AC733" s="2" t="s">
        <v>38</v>
      </c>
      <c r="AD733" s="2" t="s">
        <v>38</v>
      </c>
      <c r="AE733" s="2" t="s">
        <v>39</v>
      </c>
    </row>
    <row r="734" spans="1:31" ht="409.5">
      <c r="A734" s="2">
        <v>2754520</v>
      </c>
      <c r="B734" s="2">
        <f>HYPERLINK("https://platform.v2.vetology.net/cases/2754520/screening-report/1?type=pdf&amp;v=v6&amp;scorecard=1&amp;secret_key=BX%25IJ%24%2F65ieZ%29f6", 2754520)</f>
        <v>2754520</v>
      </c>
      <c r="C734" s="2">
        <f>HYPERLINK("https://platform.v2.vetology.net/report/v/final/"&amp;2754520, 2754520)</f>
        <v>2754520</v>
      </c>
      <c r="D734" s="2" t="s">
        <v>2509</v>
      </c>
      <c r="E734" s="2" t="s">
        <v>2510</v>
      </c>
      <c r="F734" s="2" t="s">
        <v>2511</v>
      </c>
      <c r="G734" s="2" t="s">
        <v>53</v>
      </c>
      <c r="H734" s="2" t="s">
        <v>2512</v>
      </c>
      <c r="I734" s="2" t="s">
        <v>129</v>
      </c>
      <c r="J734" s="2" t="s">
        <v>74</v>
      </c>
      <c r="K734" s="2" t="s">
        <v>38</v>
      </c>
      <c r="L734" s="2" t="s">
        <v>38</v>
      </c>
      <c r="M734" s="2" t="s">
        <v>38</v>
      </c>
      <c r="N734" s="2" t="s">
        <v>38</v>
      </c>
      <c r="O734" s="2" t="s">
        <v>38</v>
      </c>
      <c r="P734" s="2" t="s">
        <v>38</v>
      </c>
      <c r="Q734" s="2" t="s">
        <v>38</v>
      </c>
      <c r="R734" s="2" t="s">
        <v>38</v>
      </c>
      <c r="S734" s="2" t="s">
        <v>38</v>
      </c>
      <c r="T734" s="2" t="s">
        <v>38</v>
      </c>
      <c r="U734" s="2" t="s">
        <v>38</v>
      </c>
      <c r="V734" s="2" t="s">
        <v>38</v>
      </c>
      <c r="W734" s="2" t="s">
        <v>38</v>
      </c>
      <c r="X734" s="2" t="s">
        <v>38</v>
      </c>
      <c r="Y734" s="2" t="s">
        <v>38</v>
      </c>
      <c r="Z734" s="2" t="s">
        <v>38</v>
      </c>
      <c r="AA734" s="2" t="s">
        <v>38</v>
      </c>
      <c r="AB734" s="2" t="s">
        <v>38</v>
      </c>
      <c r="AC734" s="2" t="s">
        <v>38</v>
      </c>
      <c r="AD734" s="2" t="s">
        <v>38</v>
      </c>
      <c r="AE734" s="2"/>
    </row>
    <row r="735" spans="1:31" ht="409.5">
      <c r="A735" s="2">
        <v>2754510</v>
      </c>
      <c r="B735" s="2">
        <f>HYPERLINK("https://platform.v2.vetology.net/cases/2754510/screening-report/1?type=pdf&amp;v=v6&amp;scorecard=1&amp;secret_key=BX%25IJ%24%2F65ieZ%29f6", 2754510)</f>
        <v>2754510</v>
      </c>
      <c r="C735" s="2">
        <f>HYPERLINK("https://platform.v2.vetology.net/report/v/final/"&amp;2754510, 2754510)</f>
        <v>2754510</v>
      </c>
      <c r="D735" s="2" t="s">
        <v>2513</v>
      </c>
      <c r="E735" s="2" t="s">
        <v>2514</v>
      </c>
      <c r="F735" s="2" t="s">
        <v>43</v>
      </c>
      <c r="G735" s="2" t="s">
        <v>44</v>
      </c>
      <c r="H735" s="2" t="s">
        <v>2515</v>
      </c>
      <c r="I735" s="2" t="s">
        <v>36</v>
      </c>
      <c r="J735" s="2" t="s">
        <v>37</v>
      </c>
      <c r="K735" s="2" t="s">
        <v>38</v>
      </c>
      <c r="L735" s="2" t="s">
        <v>38</v>
      </c>
      <c r="M735" s="2" t="s">
        <v>38</v>
      </c>
      <c r="N735" s="2" t="s">
        <v>39</v>
      </c>
      <c r="O735" s="2" t="s">
        <v>38</v>
      </c>
      <c r="P735" s="2" t="s">
        <v>39</v>
      </c>
      <c r="Q735" s="2" t="s">
        <v>39</v>
      </c>
      <c r="R735" s="2" t="s">
        <v>38</v>
      </c>
      <c r="S735" s="2" t="s">
        <v>38</v>
      </c>
      <c r="T735" s="2" t="s">
        <v>39</v>
      </c>
      <c r="U735" s="2" t="s">
        <v>38</v>
      </c>
      <c r="V735" s="2" t="s">
        <v>38</v>
      </c>
      <c r="W735" s="2" t="s">
        <v>39</v>
      </c>
      <c r="X735" s="2" t="s">
        <v>39</v>
      </c>
      <c r="Y735" s="2" t="s">
        <v>39</v>
      </c>
      <c r="Z735" s="2" t="s">
        <v>38</v>
      </c>
      <c r="AA735" s="2" t="s">
        <v>38</v>
      </c>
      <c r="AB735" s="2" t="s">
        <v>39</v>
      </c>
      <c r="AC735" s="2" t="s">
        <v>38</v>
      </c>
      <c r="AD735" s="2" t="s">
        <v>38</v>
      </c>
      <c r="AE735" s="2" t="s">
        <v>39</v>
      </c>
    </row>
    <row r="736" spans="1:31" ht="409.5">
      <c r="A736" s="2">
        <v>2754482</v>
      </c>
      <c r="B736" s="2">
        <f>HYPERLINK("https://platform.v2.vetology.net/cases/2754482/screening-report/1?type=pdf&amp;v=v6&amp;scorecard=1&amp;secret_key=BX%25IJ%24%2F65ieZ%29f6", 2754482)</f>
        <v>2754482</v>
      </c>
      <c r="C736" s="2">
        <f>HYPERLINK("https://platform.v2.vetology.net/report/v/final/"&amp;2754482, 2754482)</f>
        <v>2754482</v>
      </c>
      <c r="D736" s="2" t="s">
        <v>2516</v>
      </c>
      <c r="E736" s="2" t="s">
        <v>2517</v>
      </c>
      <c r="F736" s="2" t="s">
        <v>914</v>
      </c>
      <c r="G736" s="2" t="s">
        <v>170</v>
      </c>
      <c r="H736" s="2" t="s">
        <v>2518</v>
      </c>
      <c r="I736" s="2" t="s">
        <v>59</v>
      </c>
      <c r="J736" s="2" t="s">
        <v>37</v>
      </c>
      <c r="K736" s="2" t="s">
        <v>38</v>
      </c>
      <c r="L736" s="2" t="s">
        <v>39</v>
      </c>
      <c r="M736" s="2" t="s">
        <v>39</v>
      </c>
      <c r="N736" s="2" t="s">
        <v>38</v>
      </c>
      <c r="O736" s="2" t="s">
        <v>39</v>
      </c>
      <c r="P736" s="2" t="s">
        <v>39</v>
      </c>
      <c r="Q736" s="2" t="s">
        <v>39</v>
      </c>
      <c r="R736" s="2" t="s">
        <v>39</v>
      </c>
      <c r="S736" s="2" t="s">
        <v>39</v>
      </c>
      <c r="T736" s="2" t="s">
        <v>38</v>
      </c>
      <c r="U736" s="2" t="s">
        <v>38</v>
      </c>
      <c r="V736" s="2" t="s">
        <v>38</v>
      </c>
      <c r="W736" s="2" t="s">
        <v>39</v>
      </c>
      <c r="X736" s="2" t="s">
        <v>39</v>
      </c>
      <c r="Y736" s="2" t="s">
        <v>39</v>
      </c>
      <c r="Z736" s="2" t="s">
        <v>38</v>
      </c>
      <c r="AA736" s="2" t="s">
        <v>39</v>
      </c>
      <c r="AB736" s="2" t="s">
        <v>39</v>
      </c>
      <c r="AC736" s="2" t="s">
        <v>38</v>
      </c>
      <c r="AD736" s="2" t="s">
        <v>39</v>
      </c>
      <c r="AE736" s="2"/>
    </row>
    <row r="737" spans="1:31" ht="409.5">
      <c r="A737" s="2">
        <v>2754479</v>
      </c>
      <c r="B737" s="2">
        <f>HYPERLINK("https://platform.v2.vetology.net/cases/2754479/screening-report/1?type=pdf&amp;v=v6&amp;scorecard=1&amp;secret_key=BX%25IJ%24%2F65ieZ%29f6", 2754479)</f>
        <v>2754479</v>
      </c>
      <c r="C737" s="2">
        <f>HYPERLINK("https://platform.v2.vetology.net/report/v/final/"&amp;2754479, 2754479)</f>
        <v>2754479</v>
      </c>
      <c r="D737" s="2" t="s">
        <v>2519</v>
      </c>
      <c r="E737" s="2" t="s">
        <v>2520</v>
      </c>
      <c r="F737" s="2" t="s">
        <v>2521</v>
      </c>
      <c r="G737" s="2" t="s">
        <v>100</v>
      </c>
      <c r="H737" s="2" t="s">
        <v>611</v>
      </c>
      <c r="I737" s="2" t="s">
        <v>46</v>
      </c>
      <c r="J737" s="2"/>
      <c r="K737" s="2" t="s">
        <v>39</v>
      </c>
      <c r="L737" s="2" t="s">
        <v>39</v>
      </c>
      <c r="M737" s="2" t="s">
        <v>39</v>
      </c>
      <c r="N737" s="2" t="s">
        <v>39</v>
      </c>
      <c r="O737" s="2" t="s">
        <v>39</v>
      </c>
      <c r="P737" s="2" t="s">
        <v>39</v>
      </c>
      <c r="Q737" s="2" t="s">
        <v>39</v>
      </c>
      <c r="R737" s="2" t="s">
        <v>39</v>
      </c>
      <c r="S737" s="2" t="s">
        <v>39</v>
      </c>
      <c r="T737" s="2" t="s">
        <v>38</v>
      </c>
      <c r="U737" s="2" t="s">
        <v>39</v>
      </c>
      <c r="V737" s="2" t="s">
        <v>39</v>
      </c>
      <c r="W737" s="2" t="s">
        <v>38</v>
      </c>
      <c r="X737" s="2" t="s">
        <v>39</v>
      </c>
      <c r="Y737" s="2" t="s">
        <v>39</v>
      </c>
      <c r="Z737" s="2" t="s">
        <v>38</v>
      </c>
      <c r="AA737" s="2" t="s">
        <v>39</v>
      </c>
      <c r="AB737" s="2" t="s">
        <v>39</v>
      </c>
      <c r="AC737" s="2" t="s">
        <v>38</v>
      </c>
      <c r="AD737" s="2" t="s">
        <v>38</v>
      </c>
      <c r="AE737" s="2" t="s">
        <v>39</v>
      </c>
    </row>
    <row r="738" spans="1:31" ht="409.5">
      <c r="A738" s="2">
        <v>2754465</v>
      </c>
      <c r="B738" s="2">
        <f>HYPERLINK("https://platform.v2.vetology.net/cases/2754465/screening-report/1?type=pdf&amp;v=v6&amp;scorecard=1&amp;secret_key=BX%25IJ%24%2F65ieZ%29f6", 2754465)</f>
        <v>2754465</v>
      </c>
      <c r="C738" s="2">
        <f>HYPERLINK("https://platform.v2.vetology.net/report/v/final/"&amp;2754465, 2754465)</f>
        <v>2754465</v>
      </c>
      <c r="D738" s="2" t="s">
        <v>2522</v>
      </c>
      <c r="E738" s="2" t="s">
        <v>2523</v>
      </c>
      <c r="F738" s="2" t="s">
        <v>43</v>
      </c>
      <c r="G738" s="2" t="s">
        <v>507</v>
      </c>
      <c r="H738" s="2" t="s">
        <v>2524</v>
      </c>
      <c r="I738" s="2" t="s">
        <v>73</v>
      </c>
      <c r="J738" s="2" t="s">
        <v>74</v>
      </c>
      <c r="K738" s="2" t="s">
        <v>38</v>
      </c>
      <c r="L738" s="2" t="s">
        <v>38</v>
      </c>
      <c r="M738" s="2" t="s">
        <v>38</v>
      </c>
      <c r="N738" s="2" t="s">
        <v>38</v>
      </c>
      <c r="O738" s="2" t="s">
        <v>38</v>
      </c>
      <c r="P738" s="2" t="s">
        <v>38</v>
      </c>
      <c r="Q738" s="2" t="s">
        <v>38</v>
      </c>
      <c r="R738" s="2" t="s">
        <v>38</v>
      </c>
      <c r="S738" s="2" t="s">
        <v>38</v>
      </c>
      <c r="T738" s="2" t="s">
        <v>38</v>
      </c>
      <c r="U738" s="2" t="s">
        <v>38</v>
      </c>
      <c r="V738" s="2" t="s">
        <v>38</v>
      </c>
      <c r="W738" s="2" t="s">
        <v>38</v>
      </c>
      <c r="X738" s="2" t="s">
        <v>38</v>
      </c>
      <c r="Y738" s="2" t="s">
        <v>38</v>
      </c>
      <c r="Z738" s="2" t="s">
        <v>38</v>
      </c>
      <c r="AA738" s="2" t="s">
        <v>38</v>
      </c>
      <c r="AB738" s="2" t="s">
        <v>38</v>
      </c>
      <c r="AC738" s="2" t="s">
        <v>38</v>
      </c>
      <c r="AD738" s="2" t="s">
        <v>38</v>
      </c>
      <c r="AE738" s="2" t="s">
        <v>40</v>
      </c>
    </row>
    <row r="739" spans="1:31" ht="409.5">
      <c r="A739" s="2">
        <v>2754459</v>
      </c>
      <c r="B739" s="2">
        <f>HYPERLINK("https://platform.v2.vetology.net/cases/2754459/screening-report/1?type=pdf&amp;v=v6&amp;scorecard=1&amp;secret_key=BX%25IJ%24%2F65ieZ%29f6", 2754459)</f>
        <v>2754459</v>
      </c>
      <c r="C739" s="2">
        <f>HYPERLINK("https://platform.v2.vetology.net/report/v/final/"&amp;2754459, 2754459)</f>
        <v>2754459</v>
      </c>
      <c r="D739" s="2" t="s">
        <v>2525</v>
      </c>
      <c r="E739" s="2" t="s">
        <v>2526</v>
      </c>
      <c r="F739" s="2" t="s">
        <v>2527</v>
      </c>
      <c r="G739" s="2" t="s">
        <v>53</v>
      </c>
      <c r="H739" s="2" t="s">
        <v>2528</v>
      </c>
      <c r="I739" s="2" t="s">
        <v>129</v>
      </c>
      <c r="J739" s="2" t="s">
        <v>74</v>
      </c>
      <c r="K739" s="2" t="s">
        <v>39</v>
      </c>
      <c r="L739" s="2" t="s">
        <v>39</v>
      </c>
      <c r="M739" s="2" t="s">
        <v>38</v>
      </c>
      <c r="N739" s="2" t="s">
        <v>38</v>
      </c>
      <c r="O739" s="2" t="s">
        <v>38</v>
      </c>
      <c r="P739" s="2" t="s">
        <v>39</v>
      </c>
      <c r="Q739" s="2" t="s">
        <v>38</v>
      </c>
      <c r="R739" s="2" t="s">
        <v>39</v>
      </c>
      <c r="S739" s="2" t="s">
        <v>38</v>
      </c>
      <c r="T739" s="2" t="s">
        <v>38</v>
      </c>
      <c r="U739" s="2" t="s">
        <v>38</v>
      </c>
      <c r="V739" s="2" t="s">
        <v>39</v>
      </c>
      <c r="W739" s="2" t="s">
        <v>38</v>
      </c>
      <c r="X739" s="2" t="s">
        <v>38</v>
      </c>
      <c r="Y739" s="2" t="s">
        <v>38</v>
      </c>
      <c r="Z739" s="2" t="s">
        <v>39</v>
      </c>
      <c r="AA739" s="2" t="s">
        <v>39</v>
      </c>
      <c r="AB739" s="2" t="s">
        <v>39</v>
      </c>
      <c r="AC739" s="2" t="s">
        <v>38</v>
      </c>
      <c r="AD739" s="2" t="s">
        <v>39</v>
      </c>
      <c r="AE739" s="2" t="s">
        <v>39</v>
      </c>
    </row>
    <row r="740" spans="1:31" ht="409.5">
      <c r="A740" s="2">
        <v>2754456</v>
      </c>
      <c r="B740" s="2">
        <f>HYPERLINK("https://platform.v2.vetology.net/cases/2754456/screening-report/1?type=pdf&amp;v=v6&amp;scorecard=1&amp;secret_key=BX%25IJ%24%2F65ieZ%29f6", 2754456)</f>
        <v>2754456</v>
      </c>
      <c r="C740" s="2">
        <f>HYPERLINK("https://platform.v2.vetology.net/report/v/final/"&amp;2754456, 2754456)</f>
        <v>2754456</v>
      </c>
      <c r="D740" s="2" t="s">
        <v>2529</v>
      </c>
      <c r="E740" s="2" t="s">
        <v>2530</v>
      </c>
      <c r="F740" s="2" t="s">
        <v>43</v>
      </c>
      <c r="G740" s="2" t="s">
        <v>507</v>
      </c>
      <c r="H740" s="2" t="s">
        <v>1450</v>
      </c>
      <c r="I740" s="2" t="s">
        <v>73</v>
      </c>
      <c r="J740" s="2" t="s">
        <v>74</v>
      </c>
      <c r="K740" s="2" t="s">
        <v>38</v>
      </c>
      <c r="L740" s="2" t="s">
        <v>38</v>
      </c>
      <c r="M740" s="2" t="s">
        <v>38</v>
      </c>
      <c r="N740" s="2" t="s">
        <v>38</v>
      </c>
      <c r="O740" s="2" t="s">
        <v>38</v>
      </c>
      <c r="P740" s="2" t="s">
        <v>38</v>
      </c>
      <c r="Q740" s="2" t="s">
        <v>38</v>
      </c>
      <c r="R740" s="2" t="s">
        <v>38</v>
      </c>
      <c r="S740" s="2" t="s">
        <v>38</v>
      </c>
      <c r="T740" s="2" t="s">
        <v>38</v>
      </c>
      <c r="U740" s="2" t="s">
        <v>38</v>
      </c>
      <c r="V740" s="2" t="s">
        <v>38</v>
      </c>
      <c r="W740" s="2" t="s">
        <v>38</v>
      </c>
      <c r="X740" s="2" t="s">
        <v>38</v>
      </c>
      <c r="Y740" s="2" t="s">
        <v>38</v>
      </c>
      <c r="Z740" s="2" t="s">
        <v>38</v>
      </c>
      <c r="AA740" s="2" t="s">
        <v>38</v>
      </c>
      <c r="AB740" s="2" t="s">
        <v>38</v>
      </c>
      <c r="AC740" s="2" t="s">
        <v>38</v>
      </c>
      <c r="AD740" s="2" t="s">
        <v>38</v>
      </c>
      <c r="AE740" s="2" t="s">
        <v>39</v>
      </c>
    </row>
    <row r="741" spans="1:31" ht="409.5">
      <c r="A741" s="2">
        <v>2754415</v>
      </c>
      <c r="B741" s="2">
        <f>HYPERLINK("https://platform.v2.vetology.net/cases/2754415/screening-report/1?type=pdf&amp;v=v6&amp;scorecard=1&amp;secret_key=BX%25IJ%24%2F65ieZ%29f6", 2754415)</f>
        <v>2754415</v>
      </c>
      <c r="C741" s="2">
        <f>HYPERLINK("https://platform.v2.vetology.net/report/v/final/"&amp;2754415, 2754415)</f>
        <v>2754415</v>
      </c>
      <c r="D741" s="2" t="s">
        <v>2531</v>
      </c>
      <c r="E741" s="2" t="s">
        <v>2532</v>
      </c>
      <c r="F741" s="2" t="s">
        <v>2533</v>
      </c>
      <c r="G741" s="2" t="s">
        <v>170</v>
      </c>
      <c r="H741" s="2" t="s">
        <v>2534</v>
      </c>
      <c r="I741" s="2" t="s">
        <v>684</v>
      </c>
      <c r="J741" s="2" t="s">
        <v>74</v>
      </c>
      <c r="K741" s="2" t="s">
        <v>39</v>
      </c>
      <c r="L741" s="2" t="s">
        <v>39</v>
      </c>
      <c r="M741" s="2" t="s">
        <v>39</v>
      </c>
      <c r="N741" s="2" t="s">
        <v>39</v>
      </c>
      <c r="O741" s="2" t="s">
        <v>39</v>
      </c>
      <c r="P741" s="2" t="s">
        <v>39</v>
      </c>
      <c r="Q741" s="2" t="s">
        <v>38</v>
      </c>
      <c r="R741" s="2" t="s">
        <v>39</v>
      </c>
      <c r="S741" s="2" t="s">
        <v>39</v>
      </c>
      <c r="T741" s="2" t="s">
        <v>39</v>
      </c>
      <c r="U741" s="2" t="s">
        <v>39</v>
      </c>
      <c r="V741" s="2" t="s">
        <v>39</v>
      </c>
      <c r="W741" s="2" t="s">
        <v>38</v>
      </c>
      <c r="X741" s="2" t="s">
        <v>38</v>
      </c>
      <c r="Y741" s="2" t="s">
        <v>39</v>
      </c>
      <c r="Z741" s="2" t="s">
        <v>39</v>
      </c>
      <c r="AA741" s="2" t="s">
        <v>39</v>
      </c>
      <c r="AB741" s="2" t="s">
        <v>38</v>
      </c>
      <c r="AC741" s="2" t="s">
        <v>39</v>
      </c>
      <c r="AD741" s="2" t="s">
        <v>39</v>
      </c>
      <c r="AE741" s="2" t="s">
        <v>39</v>
      </c>
    </row>
    <row r="742" spans="1:31" ht="409.5">
      <c r="A742" s="2">
        <v>2754408</v>
      </c>
      <c r="B742" s="2">
        <f>HYPERLINK("https://platform.v2.vetology.net/cases/2754408/screening-report/1?type=pdf&amp;v=v6&amp;scorecard=1&amp;secret_key=BX%25IJ%24%2F65ieZ%29f6", 2754408)</f>
        <v>2754408</v>
      </c>
      <c r="C742" s="2">
        <f>HYPERLINK("https://platform.v2.vetology.net/report/v/final/"&amp;2754408, 2754408)</f>
        <v>2754408</v>
      </c>
      <c r="D742" s="2" t="s">
        <v>2535</v>
      </c>
      <c r="E742" s="2" t="s">
        <v>2536</v>
      </c>
      <c r="F742" s="2" t="s">
        <v>2537</v>
      </c>
      <c r="G742" s="2" t="s">
        <v>507</v>
      </c>
      <c r="H742" s="2" t="s">
        <v>2538</v>
      </c>
      <c r="I742" s="2" t="s">
        <v>73</v>
      </c>
      <c r="J742" s="2" t="s">
        <v>74</v>
      </c>
      <c r="K742" s="2" t="s">
        <v>38</v>
      </c>
      <c r="L742" s="2" t="s">
        <v>38</v>
      </c>
      <c r="M742" s="2" t="s">
        <v>38</v>
      </c>
      <c r="N742" s="2" t="s">
        <v>38</v>
      </c>
      <c r="O742" s="2" t="s">
        <v>38</v>
      </c>
      <c r="P742" s="2" t="s">
        <v>38</v>
      </c>
      <c r="Q742" s="2" t="s">
        <v>38</v>
      </c>
      <c r="R742" s="2" t="s">
        <v>38</v>
      </c>
      <c r="S742" s="2" t="s">
        <v>38</v>
      </c>
      <c r="T742" s="2" t="s">
        <v>38</v>
      </c>
      <c r="U742" s="2" t="s">
        <v>38</v>
      </c>
      <c r="V742" s="2" t="s">
        <v>38</v>
      </c>
      <c r="W742" s="2" t="s">
        <v>38</v>
      </c>
      <c r="X742" s="2" t="s">
        <v>38</v>
      </c>
      <c r="Y742" s="2" t="s">
        <v>38</v>
      </c>
      <c r="Z742" s="2" t="s">
        <v>38</v>
      </c>
      <c r="AA742" s="2" t="s">
        <v>38</v>
      </c>
      <c r="AB742" s="2" t="s">
        <v>38</v>
      </c>
      <c r="AC742" s="2" t="s">
        <v>38</v>
      </c>
      <c r="AD742" s="2" t="s">
        <v>39</v>
      </c>
      <c r="AE742" s="2" t="s">
        <v>40</v>
      </c>
    </row>
    <row r="743" spans="1:31" ht="409.5">
      <c r="A743" s="2">
        <v>2754398</v>
      </c>
      <c r="B743" s="2">
        <f>HYPERLINK("https://platform.v2.vetology.net/cases/2754398/screening-report/1?type=pdf&amp;v=v6&amp;scorecard=1&amp;secret_key=BX%25IJ%24%2F65ieZ%29f6", 2754398)</f>
        <v>2754398</v>
      </c>
      <c r="C743" s="2">
        <f>HYPERLINK("https://platform.v2.vetology.net/report/v/final/"&amp;2754398, 2754398)</f>
        <v>2754398</v>
      </c>
      <c r="D743" s="2" t="s">
        <v>2539</v>
      </c>
      <c r="E743" s="2" t="s">
        <v>2540</v>
      </c>
      <c r="F743" s="2" t="s">
        <v>2541</v>
      </c>
      <c r="G743" s="2" t="s">
        <v>53</v>
      </c>
      <c r="H743" s="2" t="s">
        <v>69</v>
      </c>
      <c r="I743" s="2" t="s">
        <v>46</v>
      </c>
      <c r="J743" s="2"/>
      <c r="K743" s="2" t="s">
        <v>39</v>
      </c>
      <c r="L743" s="2" t="s">
        <v>39</v>
      </c>
      <c r="M743" s="2" t="s">
        <v>39</v>
      </c>
      <c r="N743" s="2" t="s">
        <v>39</v>
      </c>
      <c r="O743" s="2" t="s">
        <v>39</v>
      </c>
      <c r="P743" s="2" t="s">
        <v>39</v>
      </c>
      <c r="Q743" s="2" t="s">
        <v>39</v>
      </c>
      <c r="R743" s="2" t="s">
        <v>39</v>
      </c>
      <c r="S743" s="2" t="s">
        <v>39</v>
      </c>
      <c r="T743" s="2" t="s">
        <v>39</v>
      </c>
      <c r="U743" s="2" t="s">
        <v>39</v>
      </c>
      <c r="V743" s="2" t="s">
        <v>39</v>
      </c>
      <c r="W743" s="2" t="s">
        <v>38</v>
      </c>
      <c r="X743" s="2" t="s">
        <v>39</v>
      </c>
      <c r="Y743" s="2" t="s">
        <v>39</v>
      </c>
      <c r="Z743" s="2" t="s">
        <v>38</v>
      </c>
      <c r="AA743" s="2" t="s">
        <v>38</v>
      </c>
      <c r="AB743" s="2" t="s">
        <v>39</v>
      </c>
      <c r="AC743" s="2" t="s">
        <v>38</v>
      </c>
      <c r="AD743" s="2" t="s">
        <v>38</v>
      </c>
      <c r="AE743" s="2" t="s">
        <v>40</v>
      </c>
    </row>
    <row r="744" spans="1:31" ht="409.5">
      <c r="A744" s="2">
        <v>2754342</v>
      </c>
      <c r="B744" s="2">
        <f>HYPERLINK("https://platform.v2.vetology.net/cases/2754342/screening-report/1?type=pdf&amp;v=v6&amp;scorecard=1&amp;secret_key=BX%25IJ%24%2F65ieZ%29f6", 2754342)</f>
        <v>2754342</v>
      </c>
      <c r="C744" s="2">
        <f>HYPERLINK("https://platform.v2.vetology.net/report/v/final/"&amp;2754342, 2754342)</f>
        <v>2754342</v>
      </c>
      <c r="D744" s="2" t="s">
        <v>2542</v>
      </c>
      <c r="E744" s="2" t="s">
        <v>2543</v>
      </c>
      <c r="F744" s="2" t="s">
        <v>2544</v>
      </c>
      <c r="G744" s="2" t="s">
        <v>170</v>
      </c>
      <c r="H744" s="2" t="s">
        <v>2545</v>
      </c>
      <c r="I744" s="2" t="s">
        <v>36</v>
      </c>
      <c r="J744" s="2" t="s">
        <v>37</v>
      </c>
      <c r="K744" s="2" t="s">
        <v>39</v>
      </c>
      <c r="L744" s="2" t="s">
        <v>38</v>
      </c>
      <c r="M744" s="2" t="s">
        <v>38</v>
      </c>
      <c r="N744" s="2" t="s">
        <v>38</v>
      </c>
      <c r="O744" s="2" t="s">
        <v>38</v>
      </c>
      <c r="P744" s="2" t="s">
        <v>38</v>
      </c>
      <c r="Q744" s="2" t="s">
        <v>39</v>
      </c>
      <c r="R744" s="2" t="s">
        <v>38</v>
      </c>
      <c r="S744" s="2" t="s">
        <v>38</v>
      </c>
      <c r="T744" s="2" t="s">
        <v>38</v>
      </c>
      <c r="U744" s="2" t="s">
        <v>39</v>
      </c>
      <c r="V744" s="2" t="s">
        <v>39</v>
      </c>
      <c r="W744" s="2" t="s">
        <v>38</v>
      </c>
      <c r="X744" s="2" t="s">
        <v>39</v>
      </c>
      <c r="Y744" s="2" t="s">
        <v>38</v>
      </c>
      <c r="Z744" s="2" t="s">
        <v>38</v>
      </c>
      <c r="AA744" s="2" t="s">
        <v>38</v>
      </c>
      <c r="AB744" s="2" t="s">
        <v>39</v>
      </c>
      <c r="AC744" s="2" t="s">
        <v>38</v>
      </c>
      <c r="AD744" s="2" t="s">
        <v>38</v>
      </c>
      <c r="AE744" s="2" t="s">
        <v>39</v>
      </c>
    </row>
    <row r="745" spans="1:31" ht="409.5">
      <c r="A745" s="2">
        <v>2754328</v>
      </c>
      <c r="B745" s="2">
        <f>HYPERLINK("https://platform.v2.vetology.net/cases/2754328/screening-report/1?type=pdf&amp;v=v6&amp;scorecard=1&amp;secret_key=BX%25IJ%24%2F65ieZ%29f6", 2754328)</f>
        <v>2754328</v>
      </c>
      <c r="C745" s="2">
        <f>HYPERLINK("https://platform.v2.vetology.net/report/v/final/"&amp;2754328, 2754328)</f>
        <v>2754328</v>
      </c>
      <c r="D745" s="2" t="s">
        <v>2546</v>
      </c>
      <c r="E745" s="2" t="s">
        <v>2547</v>
      </c>
      <c r="F745" s="2" t="s">
        <v>2548</v>
      </c>
      <c r="G745" s="2" t="s">
        <v>111</v>
      </c>
      <c r="H745" s="2" t="s">
        <v>2549</v>
      </c>
      <c r="I745" s="2" t="s">
        <v>73</v>
      </c>
      <c r="J745" s="2" t="s">
        <v>74</v>
      </c>
      <c r="K745" s="2" t="s">
        <v>38</v>
      </c>
      <c r="L745" s="2" t="s">
        <v>38</v>
      </c>
      <c r="M745" s="2" t="s">
        <v>38</v>
      </c>
      <c r="N745" s="2" t="s">
        <v>38</v>
      </c>
      <c r="O745" s="2" t="s">
        <v>38</v>
      </c>
      <c r="P745" s="2" t="s">
        <v>39</v>
      </c>
      <c r="Q745" s="2" t="s">
        <v>38</v>
      </c>
      <c r="R745" s="2" t="s">
        <v>39</v>
      </c>
      <c r="S745" s="2" t="s">
        <v>38</v>
      </c>
      <c r="T745" s="2" t="s">
        <v>38</v>
      </c>
      <c r="U745" s="2" t="s">
        <v>38</v>
      </c>
      <c r="V745" s="2" t="s">
        <v>38</v>
      </c>
      <c r="W745" s="2" t="s">
        <v>39</v>
      </c>
      <c r="X745" s="2" t="s">
        <v>38</v>
      </c>
      <c r="Y745" s="2" t="s">
        <v>39</v>
      </c>
      <c r="Z745" s="2" t="s">
        <v>39</v>
      </c>
      <c r="AA745" s="2" t="s">
        <v>38</v>
      </c>
      <c r="AB745" s="2" t="s">
        <v>38</v>
      </c>
      <c r="AC745" s="2" t="s">
        <v>38</v>
      </c>
      <c r="AD745" s="2" t="s">
        <v>38</v>
      </c>
      <c r="AE745" s="2" t="s">
        <v>40</v>
      </c>
    </row>
    <row r="746" spans="1:31" ht="409.5">
      <c r="A746" s="2">
        <v>2754326</v>
      </c>
      <c r="B746" s="2">
        <f>HYPERLINK("https://platform.v2.vetology.net/cases/2754326/screening-report/1?type=pdf&amp;v=v6&amp;scorecard=1&amp;secret_key=BX%25IJ%24%2F65ieZ%29f6", 2754326)</f>
        <v>2754326</v>
      </c>
      <c r="C746" s="2">
        <f>HYPERLINK("https://platform.v2.vetology.net/report/v/final/"&amp;2754326, 2754326)</f>
        <v>2754326</v>
      </c>
      <c r="D746" s="2" t="s">
        <v>2550</v>
      </c>
      <c r="E746" s="2" t="s">
        <v>2551</v>
      </c>
      <c r="F746" s="2" t="s">
        <v>2552</v>
      </c>
      <c r="G746" s="2" t="s">
        <v>53</v>
      </c>
      <c r="H746" s="2" t="s">
        <v>69</v>
      </c>
      <c r="I746" s="2" t="s">
        <v>46</v>
      </c>
      <c r="J746" s="2"/>
      <c r="K746" s="2" t="s">
        <v>39</v>
      </c>
      <c r="L746" s="2" t="s">
        <v>39</v>
      </c>
      <c r="M746" s="2" t="s">
        <v>39</v>
      </c>
      <c r="N746" s="2" t="s">
        <v>39</v>
      </c>
      <c r="O746" s="2" t="s">
        <v>39</v>
      </c>
      <c r="P746" s="2" t="s">
        <v>39</v>
      </c>
      <c r="Q746" s="2" t="s">
        <v>39</v>
      </c>
      <c r="R746" s="2" t="s">
        <v>39</v>
      </c>
      <c r="S746" s="2" t="s">
        <v>39</v>
      </c>
      <c r="T746" s="2" t="s">
        <v>39</v>
      </c>
      <c r="U746" s="2" t="s">
        <v>39</v>
      </c>
      <c r="V746" s="2" t="s">
        <v>39</v>
      </c>
      <c r="W746" s="2" t="s">
        <v>39</v>
      </c>
      <c r="X746" s="2" t="s">
        <v>39</v>
      </c>
      <c r="Y746" s="2" t="s">
        <v>39</v>
      </c>
      <c r="Z746" s="2" t="s">
        <v>39</v>
      </c>
      <c r="AA746" s="2" t="s">
        <v>39</v>
      </c>
      <c r="AB746" s="2" t="s">
        <v>39</v>
      </c>
      <c r="AC746" s="2" t="s">
        <v>39</v>
      </c>
      <c r="AD746" s="2" t="s">
        <v>39</v>
      </c>
      <c r="AE746" s="2" t="s">
        <v>39</v>
      </c>
    </row>
    <row r="747" spans="1:31" ht="409.5">
      <c r="A747" s="2">
        <v>2754314</v>
      </c>
      <c r="B747" s="2">
        <f>HYPERLINK("https://platform.v2.vetology.net/cases/2754314/screening-report/1?type=pdf&amp;v=v6&amp;scorecard=1&amp;secret_key=BX%25IJ%24%2F65ieZ%29f6", 2754314)</f>
        <v>2754314</v>
      </c>
      <c r="C747" s="2">
        <f>HYPERLINK("https://platform.v2.vetology.net/report/v/final/"&amp;2754314, 2754314)</f>
        <v>2754314</v>
      </c>
      <c r="D747" s="2" t="s">
        <v>2553</v>
      </c>
      <c r="E747" s="2" t="s">
        <v>2554</v>
      </c>
      <c r="F747" s="2" t="s">
        <v>174</v>
      </c>
      <c r="G747" s="2" t="s">
        <v>170</v>
      </c>
      <c r="H747" s="2" t="s">
        <v>2555</v>
      </c>
      <c r="I747" s="2" t="s">
        <v>59</v>
      </c>
      <c r="J747" s="2" t="s">
        <v>37</v>
      </c>
      <c r="K747" s="2" t="s">
        <v>38</v>
      </c>
      <c r="L747" s="2" t="s">
        <v>38</v>
      </c>
      <c r="M747" s="2" t="s">
        <v>39</v>
      </c>
      <c r="N747" s="2" t="s">
        <v>39</v>
      </c>
      <c r="O747" s="2" t="s">
        <v>39</v>
      </c>
      <c r="P747" s="2" t="s">
        <v>39</v>
      </c>
      <c r="Q747" s="2" t="s">
        <v>39</v>
      </c>
      <c r="R747" s="2" t="s">
        <v>39</v>
      </c>
      <c r="S747" s="2" t="s">
        <v>39</v>
      </c>
      <c r="T747" s="2" t="s">
        <v>39</v>
      </c>
      <c r="U747" s="2" t="s">
        <v>39</v>
      </c>
      <c r="V747" s="2" t="s">
        <v>38</v>
      </c>
      <c r="W747" s="2" t="s">
        <v>39</v>
      </c>
      <c r="X747" s="2" t="s">
        <v>39</v>
      </c>
      <c r="Y747" s="2" t="s">
        <v>39</v>
      </c>
      <c r="Z747" s="2" t="s">
        <v>38</v>
      </c>
      <c r="AA747" s="2" t="s">
        <v>39</v>
      </c>
      <c r="AB747" s="2" t="s">
        <v>39</v>
      </c>
      <c r="AC747" s="2" t="s">
        <v>38</v>
      </c>
      <c r="AD747" s="2" t="s">
        <v>38</v>
      </c>
      <c r="AE747" s="2" t="s">
        <v>40</v>
      </c>
    </row>
    <row r="748" spans="1:31" ht="409.5">
      <c r="A748" s="2">
        <v>2754302</v>
      </c>
      <c r="B748" s="2">
        <f>HYPERLINK("https://platform.v2.vetology.net/cases/2754302/screening-report/1?type=pdf&amp;v=v6&amp;scorecard=1&amp;secret_key=BX%25IJ%24%2F65ieZ%29f6", 2754302)</f>
        <v>2754302</v>
      </c>
      <c r="C748" s="2">
        <f>HYPERLINK("https://platform.v2.vetology.net/report/v/final/"&amp;2754302, 2754302)</f>
        <v>2754302</v>
      </c>
      <c r="D748" s="2" t="s">
        <v>2556</v>
      </c>
      <c r="E748" s="2" t="s">
        <v>2557</v>
      </c>
      <c r="F748" s="2" t="s">
        <v>2558</v>
      </c>
      <c r="G748" s="2" t="s">
        <v>53</v>
      </c>
      <c r="H748" s="2" t="s">
        <v>394</v>
      </c>
      <c r="I748" s="2" t="s">
        <v>59</v>
      </c>
      <c r="J748" s="2" t="s">
        <v>37</v>
      </c>
      <c r="K748" s="2" t="s">
        <v>38</v>
      </c>
      <c r="L748" s="2" t="s">
        <v>39</v>
      </c>
      <c r="M748" s="2" t="s">
        <v>39</v>
      </c>
      <c r="N748" s="2" t="s">
        <v>39</v>
      </c>
      <c r="O748" s="2" t="s">
        <v>39</v>
      </c>
      <c r="P748" s="2" t="s">
        <v>39</v>
      </c>
      <c r="Q748" s="2" t="s">
        <v>39</v>
      </c>
      <c r="R748" s="2" t="s">
        <v>39</v>
      </c>
      <c r="S748" s="2" t="s">
        <v>39</v>
      </c>
      <c r="T748" s="2" t="s">
        <v>39</v>
      </c>
      <c r="U748" s="2" t="s">
        <v>39</v>
      </c>
      <c r="V748" s="2" t="s">
        <v>38</v>
      </c>
      <c r="W748" s="2" t="s">
        <v>39</v>
      </c>
      <c r="X748" s="2" t="s">
        <v>39</v>
      </c>
      <c r="Y748" s="2" t="s">
        <v>39</v>
      </c>
      <c r="Z748" s="2" t="s">
        <v>39</v>
      </c>
      <c r="AA748" s="2" t="s">
        <v>39</v>
      </c>
      <c r="AB748" s="2" t="s">
        <v>39</v>
      </c>
      <c r="AC748" s="2" t="s">
        <v>38</v>
      </c>
      <c r="AD748" s="2" t="s">
        <v>39</v>
      </c>
      <c r="AE748" s="2" t="s">
        <v>39</v>
      </c>
    </row>
    <row r="749" spans="1:31" ht="409.5">
      <c r="A749" s="2">
        <v>2754298</v>
      </c>
      <c r="B749" s="2">
        <f>HYPERLINK("https://platform.v2.vetology.net/cases/2754298/screening-report/1?type=pdf&amp;v=v6&amp;scorecard=1&amp;secret_key=BX%25IJ%24%2F65ieZ%29f6", 2754298)</f>
        <v>2754298</v>
      </c>
      <c r="C749" s="2">
        <f>HYPERLINK("https://platform.v2.vetology.net/report/v/final/"&amp;2754298, 2754298)</f>
        <v>2754298</v>
      </c>
      <c r="D749" s="2" t="s">
        <v>2559</v>
      </c>
      <c r="E749" s="2" t="s">
        <v>2560</v>
      </c>
      <c r="F749" s="2" t="s">
        <v>2561</v>
      </c>
      <c r="G749" s="2" t="s">
        <v>170</v>
      </c>
      <c r="H749" s="2" t="s">
        <v>2003</v>
      </c>
      <c r="I749" s="2" t="s">
        <v>46</v>
      </c>
      <c r="J749" s="2"/>
      <c r="K749" s="2" t="s">
        <v>39</v>
      </c>
      <c r="L749" s="2" t="s">
        <v>38</v>
      </c>
      <c r="M749" s="2" t="s">
        <v>39</v>
      </c>
      <c r="N749" s="2" t="s">
        <v>39</v>
      </c>
      <c r="O749" s="2" t="s">
        <v>39</v>
      </c>
      <c r="P749" s="2" t="s">
        <v>39</v>
      </c>
      <c r="Q749" s="2" t="s">
        <v>39</v>
      </c>
      <c r="R749" s="2" t="s">
        <v>38</v>
      </c>
      <c r="S749" s="2" t="s">
        <v>39</v>
      </c>
      <c r="T749" s="2" t="s">
        <v>39</v>
      </c>
      <c r="U749" s="2" t="s">
        <v>39</v>
      </c>
      <c r="V749" s="2" t="s">
        <v>39</v>
      </c>
      <c r="W749" s="2" t="s">
        <v>38</v>
      </c>
      <c r="X749" s="2" t="s">
        <v>39</v>
      </c>
      <c r="Y749" s="2" t="s">
        <v>39</v>
      </c>
      <c r="Z749" s="2" t="s">
        <v>38</v>
      </c>
      <c r="AA749" s="2" t="s">
        <v>39</v>
      </c>
      <c r="AB749" s="2" t="s">
        <v>39</v>
      </c>
      <c r="AC749" s="2" t="s">
        <v>38</v>
      </c>
      <c r="AD749" s="2" t="s">
        <v>39</v>
      </c>
      <c r="AE749" s="2" t="s">
        <v>39</v>
      </c>
    </row>
    <row r="750" spans="1:31" ht="409.5">
      <c r="A750" s="2">
        <v>2754297</v>
      </c>
      <c r="B750" s="2">
        <f>HYPERLINK("https://platform.v2.vetology.net/cases/2754297/screening-report/1?type=pdf&amp;v=v6&amp;scorecard=1&amp;secret_key=BX%25IJ%24%2F65ieZ%29f6", 2754297)</f>
        <v>2754297</v>
      </c>
      <c r="C750" s="2">
        <f>HYPERLINK("https://platform.v2.vetology.net/report/v/final/"&amp;2754297, 2754297)</f>
        <v>2754297</v>
      </c>
      <c r="D750" s="2" t="s">
        <v>2562</v>
      </c>
      <c r="E750" s="2" t="s">
        <v>2563</v>
      </c>
      <c r="F750" s="2" t="s">
        <v>43</v>
      </c>
      <c r="G750" s="2" t="s">
        <v>507</v>
      </c>
      <c r="H750" s="2" t="s">
        <v>69</v>
      </c>
      <c r="I750" s="2" t="s">
        <v>46</v>
      </c>
      <c r="J750" s="2"/>
      <c r="K750" s="2" t="s">
        <v>39</v>
      </c>
      <c r="L750" s="2" t="s">
        <v>39</v>
      </c>
      <c r="M750" s="2" t="s">
        <v>39</v>
      </c>
      <c r="N750" s="2" t="s">
        <v>39</v>
      </c>
      <c r="O750" s="2" t="s">
        <v>39</v>
      </c>
      <c r="P750" s="2" t="s">
        <v>39</v>
      </c>
      <c r="Q750" s="2" t="s">
        <v>39</v>
      </c>
      <c r="R750" s="2" t="s">
        <v>39</v>
      </c>
      <c r="S750" s="2" t="s">
        <v>39</v>
      </c>
      <c r="T750" s="2" t="s">
        <v>39</v>
      </c>
      <c r="U750" s="2" t="s">
        <v>39</v>
      </c>
      <c r="V750" s="2" t="s">
        <v>38</v>
      </c>
      <c r="W750" s="2" t="s">
        <v>39</v>
      </c>
      <c r="X750" s="2" t="s">
        <v>39</v>
      </c>
      <c r="Y750" s="2" t="s">
        <v>39</v>
      </c>
      <c r="Z750" s="2" t="s">
        <v>39</v>
      </c>
      <c r="AA750" s="2" t="s">
        <v>39</v>
      </c>
      <c r="AB750" s="2" t="s">
        <v>39</v>
      </c>
      <c r="AC750" s="2" t="s">
        <v>39</v>
      </c>
      <c r="AD750" s="2" t="s">
        <v>39</v>
      </c>
      <c r="AE750" s="2" t="s">
        <v>39</v>
      </c>
    </row>
    <row r="751" spans="1:31" ht="409.5">
      <c r="A751" s="2">
        <v>2754296</v>
      </c>
      <c r="B751" s="2">
        <f>HYPERLINK("https://platform.v2.vetology.net/cases/2754296/screening-report/1?type=pdf&amp;v=v6&amp;scorecard=1&amp;secret_key=BX%25IJ%24%2F65ieZ%29f6", 2754296)</f>
        <v>2754296</v>
      </c>
      <c r="C751" s="2">
        <f>HYPERLINK("https://platform.v2.vetology.net/report/v/final/"&amp;2754296, 2754296)</f>
        <v>2754296</v>
      </c>
      <c r="D751" s="2" t="s">
        <v>2564</v>
      </c>
      <c r="E751" s="2" t="s">
        <v>2565</v>
      </c>
      <c r="F751" s="2" t="s">
        <v>43</v>
      </c>
      <c r="G751" s="2" t="s">
        <v>507</v>
      </c>
      <c r="H751" s="2" t="s">
        <v>2566</v>
      </c>
      <c r="I751" s="2" t="s">
        <v>129</v>
      </c>
      <c r="J751" s="2" t="s">
        <v>74</v>
      </c>
      <c r="K751" s="2" t="s">
        <v>39</v>
      </c>
      <c r="L751" s="2" t="s">
        <v>38</v>
      </c>
      <c r="M751" s="2" t="s">
        <v>38</v>
      </c>
      <c r="N751" s="2" t="s">
        <v>38</v>
      </c>
      <c r="O751" s="2" t="s">
        <v>38</v>
      </c>
      <c r="P751" s="2" t="s">
        <v>38</v>
      </c>
      <c r="Q751" s="2" t="s">
        <v>38</v>
      </c>
      <c r="R751" s="2" t="s">
        <v>39</v>
      </c>
      <c r="S751" s="2" t="s">
        <v>38</v>
      </c>
      <c r="T751" s="2" t="s">
        <v>38</v>
      </c>
      <c r="U751" s="2" t="s">
        <v>39</v>
      </c>
      <c r="V751" s="2" t="s">
        <v>38</v>
      </c>
      <c r="W751" s="2" t="s">
        <v>38</v>
      </c>
      <c r="X751" s="2" t="s">
        <v>38</v>
      </c>
      <c r="Y751" s="2" t="s">
        <v>39</v>
      </c>
      <c r="Z751" s="2" t="s">
        <v>38</v>
      </c>
      <c r="AA751" s="2" t="s">
        <v>38</v>
      </c>
      <c r="AB751" s="2" t="s">
        <v>38</v>
      </c>
      <c r="AC751" s="2" t="s">
        <v>38</v>
      </c>
      <c r="AD751" s="2" t="s">
        <v>39</v>
      </c>
      <c r="AE751" s="2" t="s">
        <v>39</v>
      </c>
    </row>
    <row r="752" spans="1:31" ht="409.5">
      <c r="A752" s="2">
        <v>2754280</v>
      </c>
      <c r="B752" s="2">
        <f>HYPERLINK("https://platform.v2.vetology.net/cases/2754280/screening-report/1?type=pdf&amp;v=v6&amp;scorecard=1&amp;secret_key=BX%25IJ%24%2F65ieZ%29f6", 2754280)</f>
        <v>2754280</v>
      </c>
      <c r="C752" s="2">
        <f>HYPERLINK("https://platform.v2.vetology.net/report/v/final/"&amp;2754280, 2754280)</f>
        <v>2754280</v>
      </c>
      <c r="D752" s="2" t="s">
        <v>2567</v>
      </c>
      <c r="E752" s="2" t="s">
        <v>2568</v>
      </c>
      <c r="F752" s="2" t="s">
        <v>43</v>
      </c>
      <c r="G752" s="2" t="s">
        <v>507</v>
      </c>
      <c r="H752" s="2" t="s">
        <v>2569</v>
      </c>
      <c r="I752" s="2" t="s">
        <v>73</v>
      </c>
      <c r="J752" s="2" t="s">
        <v>74</v>
      </c>
      <c r="K752" s="2" t="s">
        <v>38</v>
      </c>
      <c r="L752" s="2" t="s">
        <v>38</v>
      </c>
      <c r="M752" s="2" t="s">
        <v>38</v>
      </c>
      <c r="N752" s="2" t="s">
        <v>38</v>
      </c>
      <c r="O752" s="2" t="s">
        <v>38</v>
      </c>
      <c r="P752" s="2" t="s">
        <v>38</v>
      </c>
      <c r="Q752" s="2" t="s">
        <v>38</v>
      </c>
      <c r="R752" s="2" t="s">
        <v>38</v>
      </c>
      <c r="S752" s="2" t="s">
        <v>38</v>
      </c>
      <c r="T752" s="2" t="s">
        <v>38</v>
      </c>
      <c r="U752" s="2" t="s">
        <v>38</v>
      </c>
      <c r="V752" s="2" t="s">
        <v>38</v>
      </c>
      <c r="W752" s="2" t="s">
        <v>38</v>
      </c>
      <c r="X752" s="2" t="s">
        <v>38</v>
      </c>
      <c r="Y752" s="2" t="s">
        <v>38</v>
      </c>
      <c r="Z752" s="2" t="s">
        <v>38</v>
      </c>
      <c r="AA752" s="2" t="s">
        <v>38</v>
      </c>
      <c r="AB752" s="2" t="s">
        <v>38</v>
      </c>
      <c r="AC752" s="2" t="s">
        <v>38</v>
      </c>
      <c r="AD752" s="2" t="s">
        <v>38</v>
      </c>
      <c r="AE752" s="2" t="s">
        <v>40</v>
      </c>
    </row>
    <row r="753" spans="1:31" ht="409.5">
      <c r="A753" s="2">
        <v>2754254</v>
      </c>
      <c r="B753" s="2">
        <f>HYPERLINK("https://platform.v2.vetology.net/cases/2754254/screening-report/1?type=pdf&amp;v=v6&amp;scorecard=1&amp;secret_key=BX%25IJ%24%2F65ieZ%29f6", 2754254)</f>
        <v>2754254</v>
      </c>
      <c r="C753" s="2">
        <f>HYPERLINK("https://platform.v2.vetology.net/report/v/final/"&amp;2754254, 2754254)</f>
        <v>2754254</v>
      </c>
      <c r="D753" s="2" t="s">
        <v>2570</v>
      </c>
      <c r="E753" s="2" t="s">
        <v>2571</v>
      </c>
      <c r="F753" s="2" t="s">
        <v>787</v>
      </c>
      <c r="G753" s="2" t="s">
        <v>100</v>
      </c>
      <c r="H753" s="2" t="s">
        <v>2572</v>
      </c>
      <c r="I753" s="2" t="s">
        <v>36</v>
      </c>
      <c r="J753" s="2" t="s">
        <v>37</v>
      </c>
      <c r="K753" s="2" t="s">
        <v>39</v>
      </c>
      <c r="L753" s="2" t="s">
        <v>38</v>
      </c>
      <c r="M753" s="2" t="s">
        <v>38</v>
      </c>
      <c r="N753" s="2" t="s">
        <v>38</v>
      </c>
      <c r="O753" s="2" t="s">
        <v>39</v>
      </c>
      <c r="P753" s="2" t="s">
        <v>39</v>
      </c>
      <c r="Q753" s="2" t="s">
        <v>39</v>
      </c>
      <c r="R753" s="2" t="s">
        <v>38</v>
      </c>
      <c r="S753" s="2" t="s">
        <v>38</v>
      </c>
      <c r="T753" s="2" t="s">
        <v>39</v>
      </c>
      <c r="U753" s="2" t="s">
        <v>39</v>
      </c>
      <c r="V753" s="2" t="s">
        <v>39</v>
      </c>
      <c r="W753" s="2" t="s">
        <v>38</v>
      </c>
      <c r="X753" s="2" t="s">
        <v>39</v>
      </c>
      <c r="Y753" s="2" t="s">
        <v>39</v>
      </c>
      <c r="Z753" s="2" t="s">
        <v>38</v>
      </c>
      <c r="AA753" s="2" t="s">
        <v>38</v>
      </c>
      <c r="AB753" s="2" t="s">
        <v>39</v>
      </c>
      <c r="AC753" s="2" t="s">
        <v>38</v>
      </c>
      <c r="AD753" s="2" t="s">
        <v>38</v>
      </c>
      <c r="AE753" s="2" t="s">
        <v>39</v>
      </c>
    </row>
    <row r="754" spans="1:31" ht="409.5">
      <c r="A754" s="2">
        <v>2754221</v>
      </c>
      <c r="B754" s="2">
        <f>HYPERLINK("https://platform.v2.vetology.net/cases/2754221/screening-report/1?type=pdf&amp;v=v6&amp;scorecard=1&amp;secret_key=BX%25IJ%24%2F65ieZ%29f6", 2754221)</f>
        <v>2754221</v>
      </c>
      <c r="C754" s="2">
        <f>HYPERLINK("https://platform.v2.vetology.net/report/v/final/"&amp;2754221, 2754221)</f>
        <v>2754221</v>
      </c>
      <c r="D754" s="2" t="s">
        <v>2573</v>
      </c>
      <c r="E754" s="2" t="s">
        <v>2574</v>
      </c>
      <c r="F754" s="2" t="s">
        <v>1128</v>
      </c>
      <c r="G754" s="2" t="s">
        <v>100</v>
      </c>
      <c r="H754" s="2" t="s">
        <v>2575</v>
      </c>
      <c r="I754" s="2" t="s">
        <v>36</v>
      </c>
      <c r="J754" s="2" t="s">
        <v>37</v>
      </c>
      <c r="K754" s="2" t="s">
        <v>39</v>
      </c>
      <c r="L754" s="2" t="s">
        <v>38</v>
      </c>
      <c r="M754" s="2" t="s">
        <v>38</v>
      </c>
      <c r="N754" s="2" t="s">
        <v>38</v>
      </c>
      <c r="O754" s="2" t="s">
        <v>38</v>
      </c>
      <c r="P754" s="2" t="s">
        <v>39</v>
      </c>
      <c r="Q754" s="2" t="s">
        <v>39</v>
      </c>
      <c r="R754" s="2" t="s">
        <v>38</v>
      </c>
      <c r="S754" s="2" t="s">
        <v>38</v>
      </c>
      <c r="T754" s="2" t="s">
        <v>39</v>
      </c>
      <c r="U754" s="2" t="s">
        <v>39</v>
      </c>
      <c r="V754" s="2" t="s">
        <v>38</v>
      </c>
      <c r="W754" s="2" t="s">
        <v>38</v>
      </c>
      <c r="X754" s="2" t="s">
        <v>39</v>
      </c>
      <c r="Y754" s="2" t="s">
        <v>38</v>
      </c>
      <c r="Z754" s="2" t="s">
        <v>38</v>
      </c>
      <c r="AA754" s="2" t="s">
        <v>38</v>
      </c>
      <c r="AB754" s="2" t="s">
        <v>39</v>
      </c>
      <c r="AC754" s="2" t="s">
        <v>38</v>
      </c>
      <c r="AD754" s="2" t="s">
        <v>38</v>
      </c>
      <c r="AE754" s="2" t="s">
        <v>40</v>
      </c>
    </row>
    <row r="755" spans="1:31" ht="409.5">
      <c r="A755" s="2">
        <v>2754213</v>
      </c>
      <c r="B755" s="2">
        <f>HYPERLINK("https://platform.v2.vetology.net/cases/2754213/screening-report/1?type=pdf&amp;v=v6&amp;scorecard=1&amp;secret_key=BX%25IJ%24%2F65ieZ%29f6", 2754213)</f>
        <v>2754213</v>
      </c>
      <c r="C755" s="2">
        <f>HYPERLINK("https://platform.v2.vetology.net/report/v/final/"&amp;2754213, 2754213)</f>
        <v>2754213</v>
      </c>
      <c r="D755" s="2" t="s">
        <v>1543</v>
      </c>
      <c r="E755" s="2" t="s">
        <v>2576</v>
      </c>
      <c r="F755" s="2" t="s">
        <v>787</v>
      </c>
      <c r="G755" s="2" t="s">
        <v>100</v>
      </c>
      <c r="H755" s="2" t="s">
        <v>277</v>
      </c>
      <c r="I755" s="2" t="s">
        <v>46</v>
      </c>
      <c r="J755" s="2"/>
      <c r="K755" s="2" t="s">
        <v>39</v>
      </c>
      <c r="L755" s="2" t="s">
        <v>38</v>
      </c>
      <c r="M755" s="2" t="s">
        <v>39</v>
      </c>
      <c r="N755" s="2" t="s">
        <v>39</v>
      </c>
      <c r="O755" s="2" t="s">
        <v>39</v>
      </c>
      <c r="P755" s="2" t="s">
        <v>39</v>
      </c>
      <c r="Q755" s="2" t="s">
        <v>39</v>
      </c>
      <c r="R755" s="2" t="s">
        <v>39</v>
      </c>
      <c r="S755" s="2" t="s">
        <v>39</v>
      </c>
      <c r="T755" s="2" t="s">
        <v>39</v>
      </c>
      <c r="U755" s="2" t="s">
        <v>39</v>
      </c>
      <c r="V755" s="2" t="s">
        <v>39</v>
      </c>
      <c r="W755" s="2" t="s">
        <v>39</v>
      </c>
      <c r="X755" s="2" t="s">
        <v>39</v>
      </c>
      <c r="Y755" s="2" t="s">
        <v>39</v>
      </c>
      <c r="Z755" s="2" t="s">
        <v>39</v>
      </c>
      <c r="AA755" s="2" t="s">
        <v>39</v>
      </c>
      <c r="AB755" s="2" t="s">
        <v>39</v>
      </c>
      <c r="AC755" s="2" t="s">
        <v>39</v>
      </c>
      <c r="AD755" s="2" t="s">
        <v>39</v>
      </c>
      <c r="AE755" s="2" t="s">
        <v>39</v>
      </c>
    </row>
    <row r="756" spans="1:31" ht="409.5">
      <c r="A756" s="2">
        <v>2754209</v>
      </c>
      <c r="B756" s="2">
        <f>HYPERLINK("https://platform.v2.vetology.net/cases/2754209/screening-report/1?type=pdf&amp;v=v6&amp;scorecard=1&amp;secret_key=BX%25IJ%24%2F65ieZ%29f6", 2754209)</f>
        <v>2754209</v>
      </c>
      <c r="C756" s="2">
        <f>HYPERLINK("https://platform.v2.vetology.net/report/v/final/"&amp;2754209, 2754209)</f>
        <v>2754209</v>
      </c>
      <c r="D756" s="2" t="s">
        <v>2577</v>
      </c>
      <c r="E756" s="2" t="s">
        <v>2578</v>
      </c>
      <c r="F756" s="2" t="s">
        <v>2579</v>
      </c>
      <c r="G756" s="2" t="s">
        <v>53</v>
      </c>
      <c r="H756" s="2" t="s">
        <v>2580</v>
      </c>
      <c r="I756" s="2" t="s">
        <v>59</v>
      </c>
      <c r="J756" s="2" t="s">
        <v>37</v>
      </c>
      <c r="K756" s="2" t="s">
        <v>38</v>
      </c>
      <c r="L756" s="2" t="s">
        <v>38</v>
      </c>
      <c r="M756" s="2" t="s">
        <v>39</v>
      </c>
      <c r="N756" s="2" t="s">
        <v>39</v>
      </c>
      <c r="O756" s="2" t="s">
        <v>39</v>
      </c>
      <c r="P756" s="2" t="s">
        <v>39</v>
      </c>
      <c r="Q756" s="2" t="s">
        <v>39</v>
      </c>
      <c r="R756" s="2" t="s">
        <v>38</v>
      </c>
      <c r="S756" s="2" t="s">
        <v>39</v>
      </c>
      <c r="T756" s="2" t="s">
        <v>39</v>
      </c>
      <c r="U756" s="2" t="s">
        <v>38</v>
      </c>
      <c r="V756" s="2" t="s">
        <v>38</v>
      </c>
      <c r="W756" s="2" t="s">
        <v>39</v>
      </c>
      <c r="X756" s="2" t="s">
        <v>39</v>
      </c>
      <c r="Y756" s="2" t="s">
        <v>39</v>
      </c>
      <c r="Z756" s="2" t="s">
        <v>38</v>
      </c>
      <c r="AA756" s="2" t="s">
        <v>39</v>
      </c>
      <c r="AB756" s="2" t="s">
        <v>39</v>
      </c>
      <c r="AC756" s="2" t="s">
        <v>38</v>
      </c>
      <c r="AD756" s="2" t="s">
        <v>38</v>
      </c>
      <c r="AE756" s="2"/>
    </row>
    <row r="757" spans="1:31" ht="409.5">
      <c r="A757" s="2">
        <v>2754178</v>
      </c>
      <c r="B757" s="2">
        <f>HYPERLINK("https://platform.v2.vetology.net/cases/2754178/screening-report/1?type=pdf&amp;v=v6&amp;scorecard=1&amp;secret_key=BX%25IJ%24%2F65ieZ%29f6", 2754178)</f>
        <v>2754178</v>
      </c>
      <c r="C757" s="2">
        <f>HYPERLINK("https://platform.v2.vetology.net/report/v/final/"&amp;2754178, 2754178)</f>
        <v>2754178</v>
      </c>
      <c r="D757" s="2" t="s">
        <v>2581</v>
      </c>
      <c r="E757" s="2" t="s">
        <v>2582</v>
      </c>
      <c r="F757" s="2" t="s">
        <v>2583</v>
      </c>
      <c r="G757" s="2" t="s">
        <v>170</v>
      </c>
      <c r="H757" s="2" t="s">
        <v>2584</v>
      </c>
      <c r="I757" s="2" t="s">
        <v>129</v>
      </c>
      <c r="J757" s="2" t="s">
        <v>74</v>
      </c>
      <c r="K757" s="2" t="s">
        <v>39</v>
      </c>
      <c r="L757" s="2" t="s">
        <v>39</v>
      </c>
      <c r="M757" s="2" t="s">
        <v>38</v>
      </c>
      <c r="N757" s="2" t="s">
        <v>38</v>
      </c>
      <c r="O757" s="2" t="s">
        <v>38</v>
      </c>
      <c r="P757" s="2" t="s">
        <v>38</v>
      </c>
      <c r="Q757" s="2" t="s">
        <v>38</v>
      </c>
      <c r="R757" s="2" t="s">
        <v>38</v>
      </c>
      <c r="S757" s="2" t="s">
        <v>39</v>
      </c>
      <c r="T757" s="2" t="s">
        <v>38</v>
      </c>
      <c r="U757" s="2" t="s">
        <v>38</v>
      </c>
      <c r="V757" s="2" t="s">
        <v>39</v>
      </c>
      <c r="W757" s="2" t="s">
        <v>38</v>
      </c>
      <c r="X757" s="2" t="s">
        <v>38</v>
      </c>
      <c r="Y757" s="2" t="s">
        <v>39</v>
      </c>
      <c r="Z757" s="2" t="s">
        <v>38</v>
      </c>
      <c r="AA757" s="2" t="s">
        <v>39</v>
      </c>
      <c r="AB757" s="2" t="s">
        <v>38</v>
      </c>
      <c r="AC757" s="2" t="s">
        <v>38</v>
      </c>
      <c r="AD757" s="2" t="s">
        <v>38</v>
      </c>
      <c r="AE757" s="2" t="s">
        <v>39</v>
      </c>
    </row>
    <row r="758" spans="1:31" ht="409.5">
      <c r="A758" s="2">
        <v>2754156</v>
      </c>
      <c r="B758" s="2">
        <f>HYPERLINK("https://platform.v2.vetology.net/cases/2754156/screening-report/1?type=pdf&amp;v=v6&amp;scorecard=1&amp;secret_key=BX%25IJ%24%2F65ieZ%29f6", 2754156)</f>
        <v>2754156</v>
      </c>
      <c r="C758" s="2">
        <f>HYPERLINK("https://platform.v2.vetology.net/report/v/final/"&amp;2754156, 2754156)</f>
        <v>2754156</v>
      </c>
      <c r="D758" s="2" t="s">
        <v>2585</v>
      </c>
      <c r="E758" s="2" t="s">
        <v>2586</v>
      </c>
      <c r="F758" s="2" t="s">
        <v>2587</v>
      </c>
      <c r="G758" s="2" t="s">
        <v>53</v>
      </c>
      <c r="H758" s="2" t="s">
        <v>2588</v>
      </c>
      <c r="I758" s="2" t="s">
        <v>73</v>
      </c>
      <c r="J758" s="2" t="s">
        <v>74</v>
      </c>
      <c r="K758" s="2" t="s">
        <v>38</v>
      </c>
      <c r="L758" s="2" t="s">
        <v>38</v>
      </c>
      <c r="M758" s="2" t="s">
        <v>38</v>
      </c>
      <c r="N758" s="2" t="s">
        <v>38</v>
      </c>
      <c r="O758" s="2" t="s">
        <v>38</v>
      </c>
      <c r="P758" s="2" t="s">
        <v>38</v>
      </c>
      <c r="Q758" s="2" t="s">
        <v>38</v>
      </c>
      <c r="R758" s="2" t="s">
        <v>38</v>
      </c>
      <c r="S758" s="2" t="s">
        <v>38</v>
      </c>
      <c r="T758" s="2" t="s">
        <v>38</v>
      </c>
      <c r="U758" s="2" t="s">
        <v>38</v>
      </c>
      <c r="V758" s="2" t="s">
        <v>38</v>
      </c>
      <c r="W758" s="2" t="s">
        <v>38</v>
      </c>
      <c r="X758" s="2" t="s">
        <v>38</v>
      </c>
      <c r="Y758" s="2" t="s">
        <v>38</v>
      </c>
      <c r="Z758" s="2" t="s">
        <v>38</v>
      </c>
      <c r="AA758" s="2" t="s">
        <v>38</v>
      </c>
      <c r="AB758" s="2" t="s">
        <v>38</v>
      </c>
      <c r="AC758" s="2" t="s">
        <v>38</v>
      </c>
      <c r="AD758" s="2" t="s">
        <v>38</v>
      </c>
      <c r="AE758" s="2" t="s">
        <v>40</v>
      </c>
    </row>
    <row r="759" spans="1:31" ht="409.5">
      <c r="A759" s="2">
        <v>2754143</v>
      </c>
      <c r="B759" s="2">
        <f>HYPERLINK("https://platform.v2.vetology.net/cases/2754143/screening-report/1?type=pdf&amp;v=v6&amp;scorecard=1&amp;secret_key=BX%25IJ%24%2F65ieZ%29f6", 2754143)</f>
        <v>2754143</v>
      </c>
      <c r="C759" s="2">
        <f>HYPERLINK("https://platform.v2.vetology.net/report/v/final/"&amp;2754143, 2754143)</f>
        <v>2754143</v>
      </c>
      <c r="D759" s="2" t="s">
        <v>2589</v>
      </c>
      <c r="E759" s="2" t="s">
        <v>2590</v>
      </c>
      <c r="F759" s="2" t="s">
        <v>43</v>
      </c>
      <c r="G759" s="2" t="s">
        <v>100</v>
      </c>
      <c r="H759" s="2" t="s">
        <v>2591</v>
      </c>
      <c r="I759" s="2" t="s">
        <v>73</v>
      </c>
      <c r="J759" s="2" t="s">
        <v>74</v>
      </c>
      <c r="K759" s="2" t="s">
        <v>38</v>
      </c>
      <c r="L759" s="2" t="s">
        <v>38</v>
      </c>
      <c r="M759" s="2" t="s">
        <v>38</v>
      </c>
      <c r="N759" s="2" t="s">
        <v>38</v>
      </c>
      <c r="O759" s="2" t="s">
        <v>38</v>
      </c>
      <c r="P759" s="2" t="s">
        <v>38</v>
      </c>
      <c r="Q759" s="2" t="s">
        <v>38</v>
      </c>
      <c r="R759" s="2" t="s">
        <v>38</v>
      </c>
      <c r="S759" s="2" t="s">
        <v>38</v>
      </c>
      <c r="T759" s="2" t="s">
        <v>38</v>
      </c>
      <c r="U759" s="2" t="s">
        <v>39</v>
      </c>
      <c r="V759" s="2" t="s">
        <v>38</v>
      </c>
      <c r="W759" s="2" t="s">
        <v>38</v>
      </c>
      <c r="X759" s="2" t="s">
        <v>38</v>
      </c>
      <c r="Y759" s="2" t="s">
        <v>39</v>
      </c>
      <c r="Z759" s="2" t="s">
        <v>38</v>
      </c>
      <c r="AA759" s="2" t="s">
        <v>38</v>
      </c>
      <c r="AB759" s="2" t="s">
        <v>38</v>
      </c>
      <c r="AC759" s="2" t="s">
        <v>38</v>
      </c>
      <c r="AD759" s="2" t="s">
        <v>38</v>
      </c>
      <c r="AE759" s="2" t="s">
        <v>40</v>
      </c>
    </row>
    <row r="760" spans="1:31" ht="409.5">
      <c r="A760" s="2">
        <v>2754122</v>
      </c>
      <c r="B760" s="2">
        <f>HYPERLINK("https://platform.v2.vetology.net/cases/2754122/screening-report/1?type=pdf&amp;v=v6&amp;scorecard=1&amp;secret_key=BX%25IJ%24%2F65ieZ%29f6", 2754122)</f>
        <v>2754122</v>
      </c>
      <c r="C760" s="2">
        <f>HYPERLINK("https://platform.v2.vetology.net/report/v/final/"&amp;2754122, 2754122)</f>
        <v>2754122</v>
      </c>
      <c r="D760" s="2" t="s">
        <v>2592</v>
      </c>
      <c r="E760" s="2" t="s">
        <v>2593</v>
      </c>
      <c r="F760" s="2" t="s">
        <v>174</v>
      </c>
      <c r="G760" s="2" t="s">
        <v>170</v>
      </c>
      <c r="H760" s="2" t="s">
        <v>2594</v>
      </c>
      <c r="I760" s="2" t="s">
        <v>36</v>
      </c>
      <c r="J760" s="2" t="s">
        <v>37</v>
      </c>
      <c r="K760" s="2" t="s">
        <v>38</v>
      </c>
      <c r="L760" s="2" t="s">
        <v>38</v>
      </c>
      <c r="M760" s="2" t="s">
        <v>38</v>
      </c>
      <c r="N760" s="2" t="s">
        <v>39</v>
      </c>
      <c r="O760" s="2" t="s">
        <v>38</v>
      </c>
      <c r="P760" s="2" t="s">
        <v>39</v>
      </c>
      <c r="Q760" s="2" t="s">
        <v>39</v>
      </c>
      <c r="R760" s="2" t="s">
        <v>39</v>
      </c>
      <c r="S760" s="2" t="s">
        <v>39</v>
      </c>
      <c r="T760" s="2" t="s">
        <v>39</v>
      </c>
      <c r="U760" s="2" t="s">
        <v>38</v>
      </c>
      <c r="V760" s="2" t="s">
        <v>38</v>
      </c>
      <c r="W760" s="2" t="s">
        <v>38</v>
      </c>
      <c r="X760" s="2" t="s">
        <v>39</v>
      </c>
      <c r="Y760" s="2" t="s">
        <v>39</v>
      </c>
      <c r="Z760" s="2" t="s">
        <v>39</v>
      </c>
      <c r="AA760" s="2" t="s">
        <v>38</v>
      </c>
      <c r="AB760" s="2" t="s">
        <v>39</v>
      </c>
      <c r="AC760" s="2" t="s">
        <v>38</v>
      </c>
      <c r="AD760" s="2" t="s">
        <v>39</v>
      </c>
      <c r="AE760" s="2" t="s">
        <v>40</v>
      </c>
    </row>
    <row r="761" spans="1:31" ht="409.5">
      <c r="A761" s="2">
        <v>2754119</v>
      </c>
      <c r="B761" s="2">
        <f>HYPERLINK("https://platform.v2.vetology.net/cases/2754119/screening-report/1?type=pdf&amp;v=v6&amp;scorecard=1&amp;secret_key=BX%25IJ%24%2F65ieZ%29f6", 2754119)</f>
        <v>2754119</v>
      </c>
      <c r="C761" s="2">
        <f>HYPERLINK("https://platform.v2.vetology.net/report/v/final/"&amp;2754119, 2754119)</f>
        <v>2754119</v>
      </c>
      <c r="D761" s="2" t="s">
        <v>2595</v>
      </c>
      <c r="E761" s="2" t="s">
        <v>2596</v>
      </c>
      <c r="F761" s="2" t="s">
        <v>1744</v>
      </c>
      <c r="G761" s="2" t="s">
        <v>100</v>
      </c>
      <c r="H761" s="2" t="s">
        <v>2597</v>
      </c>
      <c r="I761" s="2" t="s">
        <v>73</v>
      </c>
      <c r="J761" s="2" t="s">
        <v>74</v>
      </c>
      <c r="K761" s="2" t="s">
        <v>38</v>
      </c>
      <c r="L761" s="2" t="s">
        <v>38</v>
      </c>
      <c r="M761" s="2" t="s">
        <v>38</v>
      </c>
      <c r="N761" s="2" t="s">
        <v>38</v>
      </c>
      <c r="O761" s="2" t="s">
        <v>38</v>
      </c>
      <c r="P761" s="2" t="s">
        <v>38</v>
      </c>
      <c r="Q761" s="2" t="s">
        <v>38</v>
      </c>
      <c r="R761" s="2" t="s">
        <v>39</v>
      </c>
      <c r="S761" s="2" t="s">
        <v>39</v>
      </c>
      <c r="T761" s="2" t="s">
        <v>38</v>
      </c>
      <c r="U761" s="2" t="s">
        <v>38</v>
      </c>
      <c r="V761" s="2" t="s">
        <v>38</v>
      </c>
      <c r="W761" s="2" t="s">
        <v>39</v>
      </c>
      <c r="X761" s="2" t="s">
        <v>38</v>
      </c>
      <c r="Y761" s="2" t="s">
        <v>39</v>
      </c>
      <c r="Z761" s="2" t="s">
        <v>38</v>
      </c>
      <c r="AA761" s="2" t="s">
        <v>38</v>
      </c>
      <c r="AB761" s="2" t="s">
        <v>38</v>
      </c>
      <c r="AC761" s="2" t="s">
        <v>39</v>
      </c>
      <c r="AD761" s="2" t="s">
        <v>38</v>
      </c>
      <c r="AE761" s="2" t="s">
        <v>39</v>
      </c>
    </row>
    <row r="762" spans="1:31" ht="409.5">
      <c r="A762" s="2">
        <v>2754115</v>
      </c>
      <c r="B762" s="2">
        <f>HYPERLINK("https://platform.v2.vetology.net/cases/2754115/screening-report/1?type=pdf&amp;v=v6&amp;scorecard=1&amp;secret_key=BX%25IJ%24%2F65ieZ%29f6", 2754115)</f>
        <v>2754115</v>
      </c>
      <c r="C762" s="2">
        <f>HYPERLINK("https://platform.v2.vetology.net/report/v/final/"&amp;2754115, 2754115)</f>
        <v>2754115</v>
      </c>
      <c r="D762" s="2" t="s">
        <v>1843</v>
      </c>
      <c r="E762" s="2" t="s">
        <v>513</v>
      </c>
      <c r="F762" s="2" t="s">
        <v>2598</v>
      </c>
      <c r="G762" s="2" t="s">
        <v>111</v>
      </c>
      <c r="H762" s="2" t="s">
        <v>398</v>
      </c>
      <c r="I762" s="2" t="s">
        <v>46</v>
      </c>
      <c r="J762" s="2"/>
      <c r="K762" s="2" t="s">
        <v>38</v>
      </c>
      <c r="L762" s="2" t="s">
        <v>39</v>
      </c>
      <c r="M762" s="2" t="s">
        <v>39</v>
      </c>
      <c r="N762" s="2" t="s">
        <v>39</v>
      </c>
      <c r="O762" s="2" t="s">
        <v>39</v>
      </c>
      <c r="P762" s="2" t="s">
        <v>39</v>
      </c>
      <c r="Q762" s="2" t="s">
        <v>39</v>
      </c>
      <c r="R762" s="2" t="s">
        <v>39</v>
      </c>
      <c r="S762" s="2" t="s">
        <v>39</v>
      </c>
      <c r="T762" s="2" t="s">
        <v>39</v>
      </c>
      <c r="U762" s="2" t="s">
        <v>38</v>
      </c>
      <c r="V762" s="2" t="s">
        <v>38</v>
      </c>
      <c r="W762" s="2" t="s">
        <v>38</v>
      </c>
      <c r="X762" s="2" t="s">
        <v>39</v>
      </c>
      <c r="Y762" s="2" t="s">
        <v>39</v>
      </c>
      <c r="Z762" s="2" t="s">
        <v>39</v>
      </c>
      <c r="AA762" s="2" t="s">
        <v>39</v>
      </c>
      <c r="AB762" s="2" t="s">
        <v>39</v>
      </c>
      <c r="AC762" s="2" t="s">
        <v>38</v>
      </c>
      <c r="AD762" s="2" t="s">
        <v>39</v>
      </c>
      <c r="AE762" s="2" t="s">
        <v>40</v>
      </c>
    </row>
    <row r="763" spans="1:31" ht="409.5">
      <c r="A763" s="2">
        <v>2754078</v>
      </c>
      <c r="B763" s="2">
        <f>HYPERLINK("https://platform.v2.vetology.net/cases/2754078/screening-report/1?type=pdf&amp;v=v6&amp;scorecard=1&amp;secret_key=BX%25IJ%24%2F65ieZ%29f6", 2754078)</f>
        <v>2754078</v>
      </c>
      <c r="C763" s="2">
        <f>HYPERLINK("https://platform.v2.vetology.net/report/v/final/"&amp;2754078, 2754078)</f>
        <v>2754078</v>
      </c>
      <c r="D763" s="2" t="s">
        <v>2599</v>
      </c>
      <c r="E763" s="2" t="s">
        <v>2600</v>
      </c>
      <c r="F763" s="2" t="s">
        <v>43</v>
      </c>
      <c r="G763" s="2" t="s">
        <v>100</v>
      </c>
      <c r="H763" s="2" t="s">
        <v>2601</v>
      </c>
      <c r="I763" s="2" t="s">
        <v>73</v>
      </c>
      <c r="J763" s="2" t="s">
        <v>74</v>
      </c>
      <c r="K763" s="2" t="s">
        <v>38</v>
      </c>
      <c r="L763" s="2" t="s">
        <v>38</v>
      </c>
      <c r="M763" s="2" t="s">
        <v>38</v>
      </c>
      <c r="N763" s="2" t="s">
        <v>38</v>
      </c>
      <c r="O763" s="2" t="s">
        <v>38</v>
      </c>
      <c r="P763" s="2" t="s">
        <v>38</v>
      </c>
      <c r="Q763" s="2" t="s">
        <v>38</v>
      </c>
      <c r="R763" s="2" t="s">
        <v>38</v>
      </c>
      <c r="S763" s="2" t="s">
        <v>38</v>
      </c>
      <c r="T763" s="2" t="s">
        <v>38</v>
      </c>
      <c r="U763" s="2" t="s">
        <v>39</v>
      </c>
      <c r="V763" s="2" t="s">
        <v>38</v>
      </c>
      <c r="W763" s="2" t="s">
        <v>38</v>
      </c>
      <c r="X763" s="2" t="s">
        <v>38</v>
      </c>
      <c r="Y763" s="2" t="s">
        <v>39</v>
      </c>
      <c r="Z763" s="2" t="s">
        <v>38</v>
      </c>
      <c r="AA763" s="2" t="s">
        <v>38</v>
      </c>
      <c r="AB763" s="2" t="s">
        <v>38</v>
      </c>
      <c r="AC763" s="2" t="s">
        <v>38</v>
      </c>
      <c r="AD763" s="2" t="s">
        <v>38</v>
      </c>
      <c r="AE763" s="2" t="s">
        <v>40</v>
      </c>
    </row>
    <row r="764" spans="1:31" ht="409.5">
      <c r="A764" s="2">
        <v>2754055</v>
      </c>
      <c r="B764" s="2">
        <f>HYPERLINK("https://platform.v2.vetology.net/cases/2754055/screening-report/1?type=pdf&amp;v=v6&amp;scorecard=1&amp;secret_key=BX%25IJ%24%2F65ieZ%29f6", 2754055)</f>
        <v>2754055</v>
      </c>
      <c r="C764" s="2">
        <f>HYPERLINK("https://platform.v2.vetology.net/report/v/final/"&amp;2754055, 2754055)</f>
        <v>2754055</v>
      </c>
      <c r="D764" s="2" t="s">
        <v>2602</v>
      </c>
      <c r="E764" s="2" t="s">
        <v>2603</v>
      </c>
      <c r="F764" s="2" t="s">
        <v>2604</v>
      </c>
      <c r="G764" s="2" t="s">
        <v>53</v>
      </c>
      <c r="H764" s="2" t="s">
        <v>69</v>
      </c>
      <c r="I764" s="2" t="s">
        <v>46</v>
      </c>
      <c r="J764" s="2"/>
      <c r="K764" s="2" t="s">
        <v>39</v>
      </c>
      <c r="L764" s="2" t="s">
        <v>39</v>
      </c>
      <c r="M764" s="2" t="s">
        <v>39</v>
      </c>
      <c r="N764" s="2" t="s">
        <v>39</v>
      </c>
      <c r="O764" s="2" t="s">
        <v>39</v>
      </c>
      <c r="P764" s="2" t="s">
        <v>39</v>
      </c>
      <c r="Q764" s="2" t="s">
        <v>39</v>
      </c>
      <c r="R764" s="2" t="s">
        <v>39</v>
      </c>
      <c r="S764" s="2" t="s">
        <v>39</v>
      </c>
      <c r="T764" s="2" t="s">
        <v>39</v>
      </c>
      <c r="U764" s="2" t="s">
        <v>39</v>
      </c>
      <c r="V764" s="2" t="s">
        <v>39</v>
      </c>
      <c r="W764" s="2" t="s">
        <v>39</v>
      </c>
      <c r="X764" s="2" t="s">
        <v>39</v>
      </c>
      <c r="Y764" s="2" t="s">
        <v>39</v>
      </c>
      <c r="Z764" s="2" t="s">
        <v>39</v>
      </c>
      <c r="AA764" s="2" t="s">
        <v>39</v>
      </c>
      <c r="AB764" s="2" t="s">
        <v>39</v>
      </c>
      <c r="AC764" s="2" t="s">
        <v>39</v>
      </c>
      <c r="AD764" s="2" t="s">
        <v>39</v>
      </c>
      <c r="AE764" s="2" t="s">
        <v>39</v>
      </c>
    </row>
    <row r="765" spans="1:31" ht="409.5">
      <c r="A765" s="2">
        <v>2754054</v>
      </c>
      <c r="B765" s="2">
        <f>HYPERLINK("https://platform.v2.vetology.net/cases/2754054/screening-report/1?type=pdf&amp;v=v6&amp;scorecard=1&amp;secret_key=BX%25IJ%24%2F65ieZ%29f6", 2754054)</f>
        <v>2754054</v>
      </c>
      <c r="C765" s="2">
        <f>HYPERLINK("https://platform.v2.vetology.net/report/v/final/"&amp;2754054, 2754054)</f>
        <v>2754054</v>
      </c>
      <c r="D765" s="2" t="s">
        <v>2605</v>
      </c>
      <c r="E765" s="2" t="s">
        <v>2606</v>
      </c>
      <c r="F765" s="2" t="s">
        <v>2607</v>
      </c>
      <c r="G765" s="2" t="s">
        <v>53</v>
      </c>
      <c r="H765" s="2" t="s">
        <v>2608</v>
      </c>
      <c r="I765" s="2" t="s">
        <v>36</v>
      </c>
      <c r="J765" s="2" t="s">
        <v>37</v>
      </c>
      <c r="K765" s="2" t="s">
        <v>38</v>
      </c>
      <c r="L765" s="2" t="s">
        <v>38</v>
      </c>
      <c r="M765" s="2" t="s">
        <v>38</v>
      </c>
      <c r="N765" s="2" t="s">
        <v>39</v>
      </c>
      <c r="O765" s="2" t="s">
        <v>39</v>
      </c>
      <c r="P765" s="2" t="s">
        <v>38</v>
      </c>
      <c r="Q765" s="2" t="s">
        <v>39</v>
      </c>
      <c r="R765" s="2" t="s">
        <v>39</v>
      </c>
      <c r="S765" s="2" t="s">
        <v>38</v>
      </c>
      <c r="T765" s="2" t="s">
        <v>38</v>
      </c>
      <c r="U765" s="2" t="s">
        <v>38</v>
      </c>
      <c r="V765" s="2" t="s">
        <v>38</v>
      </c>
      <c r="W765" s="2" t="s">
        <v>39</v>
      </c>
      <c r="X765" s="2" t="s">
        <v>39</v>
      </c>
      <c r="Y765" s="2" t="s">
        <v>39</v>
      </c>
      <c r="Z765" s="2" t="s">
        <v>39</v>
      </c>
      <c r="AA765" s="2" t="s">
        <v>39</v>
      </c>
      <c r="AB765" s="2" t="s">
        <v>39</v>
      </c>
      <c r="AC765" s="2" t="s">
        <v>38</v>
      </c>
      <c r="AD765" s="2" t="s">
        <v>39</v>
      </c>
      <c r="AE765" s="2" t="s">
        <v>40</v>
      </c>
    </row>
    <row r="766" spans="1:31" ht="409.5">
      <c r="A766" s="2">
        <v>2754022</v>
      </c>
      <c r="B766" s="2">
        <f>HYPERLINK("https://platform.v2.vetology.net/cases/2754022/screening-report/1?type=pdf&amp;v=v6&amp;scorecard=1&amp;secret_key=BX%25IJ%24%2F65ieZ%29f6", 2754022)</f>
        <v>2754022</v>
      </c>
      <c r="C766" s="2">
        <f>HYPERLINK("https://platform.v2.vetology.net/report/v/final/"&amp;2754022, 2754022)</f>
        <v>2754022</v>
      </c>
      <c r="D766" s="2" t="s">
        <v>2609</v>
      </c>
      <c r="E766" s="2" t="s">
        <v>2610</v>
      </c>
      <c r="F766" s="2" t="s">
        <v>2611</v>
      </c>
      <c r="G766" s="2" t="s">
        <v>170</v>
      </c>
      <c r="H766" s="2" t="s">
        <v>2612</v>
      </c>
      <c r="I766" s="2" t="s">
        <v>36</v>
      </c>
      <c r="J766" s="2" t="s">
        <v>37</v>
      </c>
      <c r="K766" s="2" t="s">
        <v>38</v>
      </c>
      <c r="L766" s="2" t="s">
        <v>38</v>
      </c>
      <c r="M766" s="2" t="s">
        <v>39</v>
      </c>
      <c r="N766" s="2" t="s">
        <v>38</v>
      </c>
      <c r="O766" s="2" t="s">
        <v>38</v>
      </c>
      <c r="P766" s="2" t="s">
        <v>39</v>
      </c>
      <c r="Q766" s="2" t="s">
        <v>39</v>
      </c>
      <c r="R766" s="2" t="s">
        <v>38</v>
      </c>
      <c r="S766" s="2" t="s">
        <v>38</v>
      </c>
      <c r="T766" s="2" t="s">
        <v>39</v>
      </c>
      <c r="U766" s="2" t="s">
        <v>38</v>
      </c>
      <c r="V766" s="2" t="s">
        <v>38</v>
      </c>
      <c r="W766" s="2" t="s">
        <v>39</v>
      </c>
      <c r="X766" s="2" t="s">
        <v>39</v>
      </c>
      <c r="Y766" s="2" t="s">
        <v>39</v>
      </c>
      <c r="Z766" s="2" t="s">
        <v>39</v>
      </c>
      <c r="AA766" s="2" t="s">
        <v>39</v>
      </c>
      <c r="AB766" s="2" t="s">
        <v>39</v>
      </c>
      <c r="AC766" s="2" t="s">
        <v>38</v>
      </c>
      <c r="AD766" s="2" t="s">
        <v>38</v>
      </c>
      <c r="AE766" s="2" t="s">
        <v>39</v>
      </c>
    </row>
    <row r="767" spans="1:31" ht="409.5">
      <c r="A767" s="2">
        <v>2753938</v>
      </c>
      <c r="B767" s="2">
        <f>HYPERLINK("https://platform.v2.vetology.net/cases/2753938/screening-report/1?type=pdf&amp;v=v6&amp;scorecard=1&amp;secret_key=BX%25IJ%24%2F65ieZ%29f6", 2753938)</f>
        <v>2753938</v>
      </c>
      <c r="C767" s="2">
        <f>HYPERLINK("https://platform.v2.vetology.net/report/v/final/"&amp;2753938, 2753938)</f>
        <v>2753938</v>
      </c>
      <c r="D767" s="2" t="s">
        <v>2613</v>
      </c>
      <c r="E767" s="2" t="s">
        <v>2614</v>
      </c>
      <c r="F767" s="2" t="s">
        <v>2615</v>
      </c>
      <c r="G767" s="2" t="s">
        <v>111</v>
      </c>
      <c r="H767" s="2" t="s">
        <v>45</v>
      </c>
      <c r="I767" s="2" t="s">
        <v>46</v>
      </c>
      <c r="J767" s="2"/>
      <c r="K767" s="2" t="s">
        <v>39</v>
      </c>
      <c r="L767" s="2" t="s">
        <v>39</v>
      </c>
      <c r="M767" s="2" t="s">
        <v>39</v>
      </c>
      <c r="N767" s="2" t="s">
        <v>39</v>
      </c>
      <c r="O767" s="2" t="s">
        <v>39</v>
      </c>
      <c r="P767" s="2" t="s">
        <v>39</v>
      </c>
      <c r="Q767" s="2" t="s">
        <v>39</v>
      </c>
      <c r="R767" s="2" t="s">
        <v>38</v>
      </c>
      <c r="S767" s="2" t="s">
        <v>39</v>
      </c>
      <c r="T767" s="2" t="s">
        <v>39</v>
      </c>
      <c r="U767" s="2" t="s">
        <v>39</v>
      </c>
      <c r="V767" s="2" t="s">
        <v>39</v>
      </c>
      <c r="W767" s="2" t="s">
        <v>38</v>
      </c>
      <c r="X767" s="2" t="s">
        <v>39</v>
      </c>
      <c r="Y767" s="2" t="s">
        <v>39</v>
      </c>
      <c r="Z767" s="2" t="s">
        <v>39</v>
      </c>
      <c r="AA767" s="2" t="s">
        <v>39</v>
      </c>
      <c r="AB767" s="2" t="s">
        <v>39</v>
      </c>
      <c r="AC767" s="2" t="s">
        <v>38</v>
      </c>
      <c r="AD767" s="2" t="s">
        <v>38</v>
      </c>
      <c r="AE767" s="2" t="s">
        <v>40</v>
      </c>
    </row>
    <row r="768" spans="1:31" ht="409.5">
      <c r="A768" s="2">
        <v>2753888</v>
      </c>
      <c r="B768" s="2">
        <f>HYPERLINK("https://platform.v2.vetology.net/cases/2753888/screening-report/1?type=pdf&amp;v=v6&amp;scorecard=1&amp;secret_key=BX%25IJ%24%2F65ieZ%29f6", 2753888)</f>
        <v>2753888</v>
      </c>
      <c r="C768" s="2">
        <f>HYPERLINK("https://platform.v2.vetology.net/report/v/final/"&amp;2753888, 2753888)</f>
        <v>2753888</v>
      </c>
      <c r="D768" s="2" t="s">
        <v>2616</v>
      </c>
      <c r="E768" s="2" t="s">
        <v>2617</v>
      </c>
      <c r="F768" s="2"/>
      <c r="G768" s="2" t="s">
        <v>81</v>
      </c>
      <c r="H768" s="2" t="s">
        <v>2618</v>
      </c>
      <c r="I768" s="2" t="s">
        <v>36</v>
      </c>
      <c r="J768" s="2" t="s">
        <v>37</v>
      </c>
      <c r="K768" s="2" t="s">
        <v>39</v>
      </c>
      <c r="L768" s="2" t="s">
        <v>38</v>
      </c>
      <c r="M768" s="2" t="s">
        <v>39</v>
      </c>
      <c r="N768" s="2" t="s">
        <v>39</v>
      </c>
      <c r="O768" s="2" t="s">
        <v>39</v>
      </c>
      <c r="P768" s="2" t="s">
        <v>39</v>
      </c>
      <c r="Q768" s="2" t="s">
        <v>39</v>
      </c>
      <c r="R768" s="2" t="s">
        <v>38</v>
      </c>
      <c r="S768" s="2" t="s">
        <v>39</v>
      </c>
      <c r="T768" s="2" t="s">
        <v>39</v>
      </c>
      <c r="U768" s="2" t="s">
        <v>39</v>
      </c>
      <c r="V768" s="2" t="s">
        <v>39</v>
      </c>
      <c r="W768" s="2" t="s">
        <v>38</v>
      </c>
      <c r="X768" s="2" t="s">
        <v>39</v>
      </c>
      <c r="Y768" s="2" t="s">
        <v>39</v>
      </c>
      <c r="Z768" s="2" t="s">
        <v>39</v>
      </c>
      <c r="AA768" s="2" t="s">
        <v>39</v>
      </c>
      <c r="AB768" s="2" t="s">
        <v>39</v>
      </c>
      <c r="AC768" s="2" t="s">
        <v>39</v>
      </c>
      <c r="AD768" s="2" t="s">
        <v>39</v>
      </c>
      <c r="AE768" s="2" t="s">
        <v>39</v>
      </c>
    </row>
    <row r="769" spans="1:31" ht="409.5">
      <c r="A769" s="2">
        <v>2753886</v>
      </c>
      <c r="B769" s="2">
        <f>HYPERLINK("https://platform.v2.vetology.net/cases/2753886/screening-report/1?type=pdf&amp;v=v6&amp;scorecard=1&amp;secret_key=BX%25IJ%24%2F65ieZ%29f6", 2753886)</f>
        <v>2753886</v>
      </c>
      <c r="C769" s="2">
        <f>HYPERLINK("https://platform.v2.vetology.net/report/v/final/"&amp;2753886, 2753886)</f>
        <v>2753886</v>
      </c>
      <c r="D769" s="2" t="s">
        <v>2619</v>
      </c>
      <c r="E769" s="2" t="s">
        <v>2620</v>
      </c>
      <c r="F769" s="2"/>
      <c r="G769" s="2" t="s">
        <v>81</v>
      </c>
      <c r="H769" s="2" t="s">
        <v>2621</v>
      </c>
      <c r="I769" s="2" t="s">
        <v>36</v>
      </c>
      <c r="J769" s="2" t="s">
        <v>37</v>
      </c>
      <c r="K769" s="2" t="s">
        <v>38</v>
      </c>
      <c r="L769" s="2" t="s">
        <v>39</v>
      </c>
      <c r="M769" s="2" t="s">
        <v>38</v>
      </c>
      <c r="N769" s="2" t="s">
        <v>38</v>
      </c>
      <c r="O769" s="2" t="s">
        <v>39</v>
      </c>
      <c r="P769" s="2" t="s">
        <v>39</v>
      </c>
      <c r="Q769" s="2" t="s">
        <v>39</v>
      </c>
      <c r="R769" s="2" t="s">
        <v>38</v>
      </c>
      <c r="S769" s="2" t="s">
        <v>38</v>
      </c>
      <c r="T769" s="2" t="s">
        <v>38</v>
      </c>
      <c r="U769" s="2" t="s">
        <v>38</v>
      </c>
      <c r="V769" s="2" t="s">
        <v>38</v>
      </c>
      <c r="W769" s="2" t="s">
        <v>38</v>
      </c>
      <c r="X769" s="2" t="s">
        <v>39</v>
      </c>
      <c r="Y769" s="2" t="s">
        <v>39</v>
      </c>
      <c r="Z769" s="2" t="s">
        <v>38</v>
      </c>
      <c r="AA769" s="2" t="s">
        <v>39</v>
      </c>
      <c r="AB769" s="2" t="s">
        <v>39</v>
      </c>
      <c r="AC769" s="2" t="s">
        <v>38</v>
      </c>
      <c r="AD769" s="2" t="s">
        <v>38</v>
      </c>
      <c r="AE769" s="2" t="s">
        <v>39</v>
      </c>
    </row>
    <row r="770" spans="1:31" ht="409.5">
      <c r="A770" s="2">
        <v>2753872</v>
      </c>
      <c r="B770" s="2">
        <f>HYPERLINK("https://platform.v2.vetology.net/cases/2753872/screening-report/1?type=pdf&amp;v=v6&amp;scorecard=1&amp;secret_key=BX%25IJ%24%2F65ieZ%29f6", 2753872)</f>
        <v>2753872</v>
      </c>
      <c r="C770" s="2">
        <f>HYPERLINK("https://platform.v2.vetology.net/report/v/final/"&amp;2753872, 2753872)</f>
        <v>2753872</v>
      </c>
      <c r="D770" s="2" t="s">
        <v>1090</v>
      </c>
      <c r="E770" s="2" t="s">
        <v>1091</v>
      </c>
      <c r="F770" s="2" t="s">
        <v>787</v>
      </c>
      <c r="G770" s="2" t="s">
        <v>100</v>
      </c>
      <c r="H770" s="2" t="s">
        <v>398</v>
      </c>
      <c r="I770" s="2" t="s">
        <v>46</v>
      </c>
      <c r="J770" s="2"/>
      <c r="K770" s="2" t="s">
        <v>38</v>
      </c>
      <c r="L770" s="2" t="s">
        <v>39</v>
      </c>
      <c r="M770" s="2" t="s">
        <v>39</v>
      </c>
      <c r="N770" s="2" t="s">
        <v>39</v>
      </c>
      <c r="O770" s="2" t="s">
        <v>39</v>
      </c>
      <c r="P770" s="2" t="s">
        <v>39</v>
      </c>
      <c r="Q770" s="2" t="s">
        <v>39</v>
      </c>
      <c r="R770" s="2" t="s">
        <v>39</v>
      </c>
      <c r="S770" s="2" t="s">
        <v>39</v>
      </c>
      <c r="T770" s="2" t="s">
        <v>39</v>
      </c>
      <c r="U770" s="2" t="s">
        <v>39</v>
      </c>
      <c r="V770" s="2" t="s">
        <v>39</v>
      </c>
      <c r="W770" s="2" t="s">
        <v>39</v>
      </c>
      <c r="X770" s="2" t="s">
        <v>39</v>
      </c>
      <c r="Y770" s="2" t="s">
        <v>39</v>
      </c>
      <c r="Z770" s="2" t="s">
        <v>39</v>
      </c>
      <c r="AA770" s="2" t="s">
        <v>39</v>
      </c>
      <c r="AB770" s="2" t="s">
        <v>39</v>
      </c>
      <c r="AC770" s="2" t="s">
        <v>39</v>
      </c>
      <c r="AD770" s="2" t="s">
        <v>39</v>
      </c>
      <c r="AE770" s="2" t="s">
        <v>39</v>
      </c>
    </row>
    <row r="771" spans="1:31" ht="409.5">
      <c r="A771" s="2">
        <v>2753862</v>
      </c>
      <c r="B771" s="2">
        <f>HYPERLINK("https://platform.v2.vetology.net/cases/2753862/screening-report/1?type=pdf&amp;v=v6&amp;scorecard=1&amp;secret_key=BX%25IJ%24%2F65ieZ%29f6", 2753862)</f>
        <v>2753862</v>
      </c>
      <c r="C771" s="2">
        <f>HYPERLINK("https://platform.v2.vetology.net/report/v/final/"&amp;2753862, 2753862)</f>
        <v>2753862</v>
      </c>
      <c r="D771" s="2" t="s">
        <v>2622</v>
      </c>
      <c r="E771" s="2" t="s">
        <v>2623</v>
      </c>
      <c r="F771" s="2" t="s">
        <v>2624</v>
      </c>
      <c r="G771" s="2" t="s">
        <v>507</v>
      </c>
      <c r="H771" s="2" t="s">
        <v>2625</v>
      </c>
      <c r="I771" s="2" t="s">
        <v>129</v>
      </c>
      <c r="J771" s="2" t="s">
        <v>74</v>
      </c>
      <c r="K771" s="2" t="s">
        <v>39</v>
      </c>
      <c r="L771" s="2" t="s">
        <v>39</v>
      </c>
      <c r="M771" s="2" t="s">
        <v>39</v>
      </c>
      <c r="N771" s="2" t="s">
        <v>39</v>
      </c>
      <c r="O771" s="2" t="s">
        <v>39</v>
      </c>
      <c r="P771" s="2" t="s">
        <v>38</v>
      </c>
      <c r="Q771" s="2" t="s">
        <v>38</v>
      </c>
      <c r="R771" s="2" t="s">
        <v>39</v>
      </c>
      <c r="S771" s="2" t="s">
        <v>39</v>
      </c>
      <c r="T771" s="2" t="s">
        <v>38</v>
      </c>
      <c r="U771" s="2" t="s">
        <v>39</v>
      </c>
      <c r="V771" s="2" t="s">
        <v>39</v>
      </c>
      <c r="W771" s="2" t="s">
        <v>39</v>
      </c>
      <c r="X771" s="2" t="s">
        <v>38</v>
      </c>
      <c r="Y771" s="2" t="s">
        <v>39</v>
      </c>
      <c r="Z771" s="2" t="s">
        <v>38</v>
      </c>
      <c r="AA771" s="2" t="s">
        <v>39</v>
      </c>
      <c r="AB771" s="2" t="s">
        <v>39</v>
      </c>
      <c r="AC771" s="2" t="s">
        <v>39</v>
      </c>
      <c r="AD771" s="2" t="s">
        <v>39</v>
      </c>
      <c r="AE771" s="2" t="s">
        <v>39</v>
      </c>
    </row>
    <row r="772" spans="1:31" ht="409.5">
      <c r="A772" s="2">
        <v>2753856</v>
      </c>
      <c r="B772" s="2">
        <f>HYPERLINK("https://platform.v2.vetology.net/cases/2753856/screening-report/1?type=pdf&amp;v=v6&amp;scorecard=1&amp;secret_key=BX%25IJ%24%2F65ieZ%29f6", 2753856)</f>
        <v>2753856</v>
      </c>
      <c r="C772" s="2">
        <f>HYPERLINK("https://platform.v2.vetology.net/report/v/final/"&amp;2753856, 2753856)</f>
        <v>2753856</v>
      </c>
      <c r="D772" s="2" t="s">
        <v>2626</v>
      </c>
      <c r="E772" s="2" t="s">
        <v>2627</v>
      </c>
      <c r="F772" s="2" t="s">
        <v>2226</v>
      </c>
      <c r="G772" s="2" t="s">
        <v>100</v>
      </c>
      <c r="H772" s="2" t="s">
        <v>2628</v>
      </c>
      <c r="I772" s="2" t="s">
        <v>36</v>
      </c>
      <c r="J772" s="2" t="s">
        <v>37</v>
      </c>
      <c r="K772" s="2" t="s">
        <v>38</v>
      </c>
      <c r="L772" s="2" t="s">
        <v>38</v>
      </c>
      <c r="M772" s="2" t="s">
        <v>39</v>
      </c>
      <c r="N772" s="2" t="s">
        <v>38</v>
      </c>
      <c r="O772" s="2" t="s">
        <v>38</v>
      </c>
      <c r="P772" s="2" t="s">
        <v>38</v>
      </c>
      <c r="Q772" s="2" t="s">
        <v>39</v>
      </c>
      <c r="R772" s="2" t="s">
        <v>39</v>
      </c>
      <c r="S772" s="2" t="s">
        <v>38</v>
      </c>
      <c r="T772" s="2" t="s">
        <v>39</v>
      </c>
      <c r="U772" s="2" t="s">
        <v>38</v>
      </c>
      <c r="V772" s="2" t="s">
        <v>38</v>
      </c>
      <c r="W772" s="2" t="s">
        <v>38</v>
      </c>
      <c r="X772" s="2" t="s">
        <v>39</v>
      </c>
      <c r="Y772" s="2" t="s">
        <v>39</v>
      </c>
      <c r="Z772" s="2" t="s">
        <v>38</v>
      </c>
      <c r="AA772" s="2" t="s">
        <v>38</v>
      </c>
      <c r="AB772" s="2" t="s">
        <v>39</v>
      </c>
      <c r="AC772" s="2" t="s">
        <v>38</v>
      </c>
      <c r="AD772" s="2" t="s">
        <v>39</v>
      </c>
      <c r="AE772" s="2" t="s">
        <v>39</v>
      </c>
    </row>
    <row r="773" spans="1:31" ht="409.5">
      <c r="A773" s="2">
        <v>2753831</v>
      </c>
      <c r="B773" s="2">
        <f>HYPERLINK("https://platform.v2.vetology.net/cases/2753831/screening-report/1?type=pdf&amp;v=v6&amp;scorecard=1&amp;secret_key=BX%25IJ%24%2F65ieZ%29f6", 2753831)</f>
        <v>2753831</v>
      </c>
      <c r="C773" s="2">
        <f>HYPERLINK("https://platform.v2.vetology.net/report/v/final/"&amp;2753831, 2753831)</f>
        <v>2753831</v>
      </c>
      <c r="D773" s="2" t="s">
        <v>2629</v>
      </c>
      <c r="E773" s="2" t="s">
        <v>118</v>
      </c>
      <c r="F773" s="2" t="s">
        <v>1498</v>
      </c>
      <c r="G773" s="2" t="s">
        <v>111</v>
      </c>
      <c r="H773" s="2" t="s">
        <v>45</v>
      </c>
      <c r="I773" s="2" t="s">
        <v>46</v>
      </c>
      <c r="J773" s="2"/>
      <c r="K773" s="2" t="s">
        <v>39</v>
      </c>
      <c r="L773" s="2" t="s">
        <v>39</v>
      </c>
      <c r="M773" s="2" t="s">
        <v>39</v>
      </c>
      <c r="N773" s="2" t="s">
        <v>39</v>
      </c>
      <c r="O773" s="2" t="s">
        <v>39</v>
      </c>
      <c r="P773" s="2" t="s">
        <v>39</v>
      </c>
      <c r="Q773" s="2" t="s">
        <v>39</v>
      </c>
      <c r="R773" s="2" t="s">
        <v>38</v>
      </c>
      <c r="S773" s="2" t="s">
        <v>39</v>
      </c>
      <c r="T773" s="2" t="s">
        <v>39</v>
      </c>
      <c r="U773" s="2" t="s">
        <v>39</v>
      </c>
      <c r="V773" s="2" t="s">
        <v>39</v>
      </c>
      <c r="W773" s="2" t="s">
        <v>39</v>
      </c>
      <c r="X773" s="2" t="s">
        <v>39</v>
      </c>
      <c r="Y773" s="2" t="s">
        <v>39</v>
      </c>
      <c r="Z773" s="2" t="s">
        <v>39</v>
      </c>
      <c r="AA773" s="2" t="s">
        <v>39</v>
      </c>
      <c r="AB773" s="2" t="s">
        <v>39</v>
      </c>
      <c r="AC773" s="2" t="s">
        <v>38</v>
      </c>
      <c r="AD773" s="2" t="s">
        <v>39</v>
      </c>
      <c r="AE773" s="2" t="s">
        <v>39</v>
      </c>
    </row>
    <row r="774" spans="1:31" ht="409.5">
      <c r="A774" s="2">
        <v>2753824</v>
      </c>
      <c r="B774" s="2">
        <f>HYPERLINK("https://platform.v2.vetology.net/cases/2753824/screening-report/1?type=pdf&amp;v=v6&amp;scorecard=1&amp;secret_key=BX%25IJ%24%2F65ieZ%29f6", 2753824)</f>
        <v>2753824</v>
      </c>
      <c r="C774" s="2">
        <f>HYPERLINK("https://platform.v2.vetology.net/report/v/final/"&amp;2753824, 2753824)</f>
        <v>2753824</v>
      </c>
      <c r="D774" s="2" t="s">
        <v>2630</v>
      </c>
      <c r="E774" s="2" t="s">
        <v>2631</v>
      </c>
      <c r="F774" s="2"/>
      <c r="G774" s="2" t="s">
        <v>507</v>
      </c>
      <c r="H774" s="2" t="s">
        <v>2632</v>
      </c>
      <c r="I774" s="2" t="s">
        <v>36</v>
      </c>
      <c r="J774" s="2" t="s">
        <v>37</v>
      </c>
      <c r="K774" s="2" t="s">
        <v>39</v>
      </c>
      <c r="L774" s="2" t="s">
        <v>38</v>
      </c>
      <c r="M774" s="2" t="s">
        <v>39</v>
      </c>
      <c r="N774" s="2" t="s">
        <v>38</v>
      </c>
      <c r="O774" s="2" t="s">
        <v>38</v>
      </c>
      <c r="P774" s="2" t="s">
        <v>39</v>
      </c>
      <c r="Q774" s="2" t="s">
        <v>39</v>
      </c>
      <c r="R774" s="2" t="s">
        <v>38</v>
      </c>
      <c r="S774" s="2" t="s">
        <v>38</v>
      </c>
      <c r="T774" s="2" t="s">
        <v>38</v>
      </c>
      <c r="U774" s="2" t="s">
        <v>39</v>
      </c>
      <c r="V774" s="2" t="s">
        <v>38</v>
      </c>
      <c r="W774" s="2" t="s">
        <v>38</v>
      </c>
      <c r="X774" s="2" t="s">
        <v>39</v>
      </c>
      <c r="Y774" s="2" t="s">
        <v>39</v>
      </c>
      <c r="Z774" s="2" t="s">
        <v>38</v>
      </c>
      <c r="AA774" s="2" t="s">
        <v>38</v>
      </c>
      <c r="AB774" s="2" t="s">
        <v>39</v>
      </c>
      <c r="AC774" s="2" t="s">
        <v>38</v>
      </c>
      <c r="AD774" s="2" t="s">
        <v>38</v>
      </c>
      <c r="AE774" s="2" t="s">
        <v>39</v>
      </c>
    </row>
    <row r="775" spans="1:31" ht="409.5">
      <c r="A775" s="2">
        <v>2753812</v>
      </c>
      <c r="B775" s="2">
        <f>HYPERLINK("https://platform.v2.vetology.net/cases/2753812/screening-report/1?type=pdf&amp;v=v6&amp;scorecard=1&amp;secret_key=BX%25IJ%24%2F65ieZ%29f6", 2753812)</f>
        <v>2753812</v>
      </c>
      <c r="C775" s="2">
        <f>HYPERLINK("https://platform.v2.vetology.net/report/v/final/"&amp;2753812, 2753812)</f>
        <v>2753812</v>
      </c>
      <c r="D775" s="2" t="s">
        <v>302</v>
      </c>
      <c r="E775" s="2" t="s">
        <v>99</v>
      </c>
      <c r="F775" s="2" t="s">
        <v>2633</v>
      </c>
      <c r="G775" s="2" t="s">
        <v>100</v>
      </c>
      <c r="H775" s="2" t="s">
        <v>419</v>
      </c>
      <c r="I775" s="2" t="s">
        <v>36</v>
      </c>
      <c r="J775" s="2" t="s">
        <v>37</v>
      </c>
      <c r="K775" s="2" t="s">
        <v>39</v>
      </c>
      <c r="L775" s="2" t="s">
        <v>39</v>
      </c>
      <c r="M775" s="2" t="s">
        <v>38</v>
      </c>
      <c r="N775" s="2" t="s">
        <v>39</v>
      </c>
      <c r="O775" s="2" t="s">
        <v>38</v>
      </c>
      <c r="P775" s="2" t="s">
        <v>39</v>
      </c>
      <c r="Q775" s="2" t="s">
        <v>39</v>
      </c>
      <c r="R775" s="2" t="s">
        <v>38</v>
      </c>
      <c r="S775" s="2" t="s">
        <v>39</v>
      </c>
      <c r="T775" s="2" t="s">
        <v>39</v>
      </c>
      <c r="U775" s="2" t="s">
        <v>39</v>
      </c>
      <c r="V775" s="2" t="s">
        <v>39</v>
      </c>
      <c r="W775" s="2" t="s">
        <v>39</v>
      </c>
      <c r="X775" s="2" t="s">
        <v>39</v>
      </c>
      <c r="Y775" s="2" t="s">
        <v>39</v>
      </c>
      <c r="Z775" s="2" t="s">
        <v>39</v>
      </c>
      <c r="AA775" s="2" t="s">
        <v>39</v>
      </c>
      <c r="AB775" s="2" t="s">
        <v>39</v>
      </c>
      <c r="AC775" s="2" t="s">
        <v>39</v>
      </c>
      <c r="AD775" s="2" t="s">
        <v>39</v>
      </c>
      <c r="AE775" s="2" t="s">
        <v>39</v>
      </c>
    </row>
    <row r="776" spans="1:31" ht="409.5">
      <c r="A776" s="2">
        <v>2753791</v>
      </c>
      <c r="B776" s="2">
        <f>HYPERLINK("https://platform.v2.vetology.net/cases/2753791/screening-report/1?type=pdf&amp;v=v6&amp;scorecard=1&amp;secret_key=BX%25IJ%24%2F65ieZ%29f6", 2753791)</f>
        <v>2753791</v>
      </c>
      <c r="C776" s="2">
        <f>HYPERLINK("https://platform.v2.vetology.net/report/v/final/"&amp;2753791, 2753791)</f>
        <v>2753791</v>
      </c>
      <c r="D776" s="2" t="s">
        <v>1090</v>
      </c>
      <c r="E776" s="2" t="s">
        <v>1091</v>
      </c>
      <c r="F776" s="2" t="s">
        <v>787</v>
      </c>
      <c r="G776" s="2" t="s">
        <v>100</v>
      </c>
      <c r="H776" s="2" t="s">
        <v>69</v>
      </c>
      <c r="I776" s="2" t="s">
        <v>46</v>
      </c>
      <c r="J776" s="2"/>
      <c r="K776" s="2" t="s">
        <v>39</v>
      </c>
      <c r="L776" s="2" t="s">
        <v>39</v>
      </c>
      <c r="M776" s="2" t="s">
        <v>39</v>
      </c>
      <c r="N776" s="2" t="s">
        <v>39</v>
      </c>
      <c r="O776" s="2" t="s">
        <v>39</v>
      </c>
      <c r="P776" s="2" t="s">
        <v>39</v>
      </c>
      <c r="Q776" s="2" t="s">
        <v>39</v>
      </c>
      <c r="R776" s="2" t="s">
        <v>39</v>
      </c>
      <c r="S776" s="2" t="s">
        <v>39</v>
      </c>
      <c r="T776" s="2" t="s">
        <v>39</v>
      </c>
      <c r="U776" s="2" t="s">
        <v>39</v>
      </c>
      <c r="V776" s="2" t="s">
        <v>39</v>
      </c>
      <c r="W776" s="2" t="s">
        <v>39</v>
      </c>
      <c r="X776" s="2" t="s">
        <v>39</v>
      </c>
      <c r="Y776" s="2" t="s">
        <v>39</v>
      </c>
      <c r="Z776" s="2" t="s">
        <v>39</v>
      </c>
      <c r="AA776" s="2" t="s">
        <v>39</v>
      </c>
      <c r="AB776" s="2" t="s">
        <v>39</v>
      </c>
      <c r="AC776" s="2" t="s">
        <v>39</v>
      </c>
      <c r="AD776" s="2" t="s">
        <v>39</v>
      </c>
      <c r="AE776" s="2" t="s">
        <v>39</v>
      </c>
    </row>
    <row r="777" spans="1:31" ht="409.5">
      <c r="A777" s="2">
        <v>2753779</v>
      </c>
      <c r="B777" s="2">
        <f>HYPERLINK("https://platform.v2.vetology.net/cases/2753779/screening-report/1?type=pdf&amp;v=v6&amp;scorecard=1&amp;secret_key=BX%25IJ%24%2F65ieZ%29f6", 2753779)</f>
        <v>2753779</v>
      </c>
      <c r="C777" s="2">
        <f>HYPERLINK("https://platform.v2.vetology.net/report/v/final/"&amp;2753779, 2753779)</f>
        <v>2753779</v>
      </c>
      <c r="D777" s="2" t="s">
        <v>2634</v>
      </c>
      <c r="E777" s="2" t="s">
        <v>2635</v>
      </c>
      <c r="F777" s="2" t="s">
        <v>2636</v>
      </c>
      <c r="G777" s="2" t="s">
        <v>507</v>
      </c>
      <c r="H777" s="2" t="s">
        <v>2637</v>
      </c>
      <c r="I777" s="2" t="s">
        <v>36</v>
      </c>
      <c r="J777" s="2" t="s">
        <v>37</v>
      </c>
      <c r="K777" s="2" t="s">
        <v>38</v>
      </c>
      <c r="L777" s="2" t="s">
        <v>38</v>
      </c>
      <c r="M777" s="2" t="s">
        <v>38</v>
      </c>
      <c r="N777" s="2" t="s">
        <v>38</v>
      </c>
      <c r="O777" s="2" t="s">
        <v>38</v>
      </c>
      <c r="P777" s="2" t="s">
        <v>39</v>
      </c>
      <c r="Q777" s="2" t="s">
        <v>39</v>
      </c>
      <c r="R777" s="2" t="s">
        <v>38</v>
      </c>
      <c r="S777" s="2" t="s">
        <v>38</v>
      </c>
      <c r="T777" s="2" t="s">
        <v>38</v>
      </c>
      <c r="U777" s="2" t="s">
        <v>39</v>
      </c>
      <c r="V777" s="2" t="s">
        <v>38</v>
      </c>
      <c r="W777" s="2" t="s">
        <v>38</v>
      </c>
      <c r="X777" s="2" t="s">
        <v>39</v>
      </c>
      <c r="Y777" s="2" t="s">
        <v>39</v>
      </c>
      <c r="Z777" s="2" t="s">
        <v>38</v>
      </c>
      <c r="AA777" s="2" t="s">
        <v>38</v>
      </c>
      <c r="AB777" s="2" t="s">
        <v>39</v>
      </c>
      <c r="AC777" s="2" t="s">
        <v>38</v>
      </c>
      <c r="AD777" s="2" t="s">
        <v>38</v>
      </c>
      <c r="AE777" s="2" t="s">
        <v>40</v>
      </c>
    </row>
    <row r="778" spans="1:31" ht="409.5">
      <c r="A778" s="2">
        <v>2753770</v>
      </c>
      <c r="B778" s="2">
        <f>HYPERLINK("https://platform.v2.vetology.net/cases/2753770/screening-report/1?type=pdf&amp;v=v6&amp;scorecard=1&amp;secret_key=BX%25IJ%24%2F65ieZ%29f6", 2753770)</f>
        <v>2753770</v>
      </c>
      <c r="C778" s="2">
        <f>HYPERLINK("https://platform.v2.vetology.net/report/v/final/"&amp;2753770, 2753770)</f>
        <v>2753770</v>
      </c>
      <c r="D778" s="2" t="s">
        <v>2638</v>
      </c>
      <c r="E778" s="2" t="s">
        <v>2639</v>
      </c>
      <c r="F778" s="2" t="s">
        <v>2640</v>
      </c>
      <c r="G778" s="2" t="s">
        <v>111</v>
      </c>
      <c r="H778" s="2" t="s">
        <v>2641</v>
      </c>
      <c r="I778" s="2" t="s">
        <v>257</v>
      </c>
      <c r="J778" s="2" t="s">
        <v>74</v>
      </c>
      <c r="K778" s="2" t="s">
        <v>38</v>
      </c>
      <c r="L778" s="2" t="s">
        <v>38</v>
      </c>
      <c r="M778" s="2" t="s">
        <v>38</v>
      </c>
      <c r="N778" s="2" t="s">
        <v>38</v>
      </c>
      <c r="O778" s="2" t="s">
        <v>38</v>
      </c>
      <c r="P778" s="2" t="s">
        <v>38</v>
      </c>
      <c r="Q778" s="2" t="s">
        <v>38</v>
      </c>
      <c r="R778" s="2" t="s">
        <v>38</v>
      </c>
      <c r="S778" s="2" t="s">
        <v>38</v>
      </c>
      <c r="T778" s="2" t="s">
        <v>38</v>
      </c>
      <c r="U778" s="2" t="s">
        <v>38</v>
      </c>
      <c r="V778" s="2" t="s">
        <v>38</v>
      </c>
      <c r="W778" s="2" t="s">
        <v>38</v>
      </c>
      <c r="X778" s="2" t="s">
        <v>38</v>
      </c>
      <c r="Y778" s="2" t="s">
        <v>38</v>
      </c>
      <c r="Z778" s="2" t="s">
        <v>38</v>
      </c>
      <c r="AA778" s="2" t="s">
        <v>38</v>
      </c>
      <c r="AB778" s="2" t="s">
        <v>38</v>
      </c>
      <c r="AC778" s="2" t="s">
        <v>38</v>
      </c>
      <c r="AD778" s="2" t="s">
        <v>38</v>
      </c>
      <c r="AE778" s="2" t="s">
        <v>39</v>
      </c>
    </row>
    <row r="779" spans="1:31" ht="409.5">
      <c r="A779" s="2">
        <v>2753763</v>
      </c>
      <c r="B779" s="2">
        <f>HYPERLINK("https://platform.v2.vetology.net/cases/2753763/screening-report/1?type=pdf&amp;v=v6&amp;scorecard=1&amp;secret_key=BX%25IJ%24%2F65ieZ%29f6", 2753763)</f>
        <v>2753763</v>
      </c>
      <c r="C779" s="2">
        <f>HYPERLINK("https://platform.v2.vetology.net/report/v/final/"&amp;2753763, 2753763)</f>
        <v>2753763</v>
      </c>
      <c r="D779" s="2" t="s">
        <v>2642</v>
      </c>
      <c r="E779" s="2" t="s">
        <v>2643</v>
      </c>
      <c r="F779" s="2" t="s">
        <v>43</v>
      </c>
      <c r="G779" s="2" t="s">
        <v>507</v>
      </c>
      <c r="H779" s="2" t="s">
        <v>2644</v>
      </c>
      <c r="I779" s="2" t="s">
        <v>36</v>
      </c>
      <c r="J779" s="2" t="s">
        <v>37</v>
      </c>
      <c r="K779" s="2" t="s">
        <v>39</v>
      </c>
      <c r="L779" s="2" t="s">
        <v>38</v>
      </c>
      <c r="M779" s="2" t="s">
        <v>38</v>
      </c>
      <c r="N779" s="2" t="s">
        <v>38</v>
      </c>
      <c r="O779" s="2" t="s">
        <v>38</v>
      </c>
      <c r="P779" s="2" t="s">
        <v>39</v>
      </c>
      <c r="Q779" s="2" t="s">
        <v>39</v>
      </c>
      <c r="R779" s="2" t="s">
        <v>38</v>
      </c>
      <c r="S779" s="2" t="s">
        <v>38</v>
      </c>
      <c r="T779" s="2" t="s">
        <v>39</v>
      </c>
      <c r="U779" s="2" t="s">
        <v>39</v>
      </c>
      <c r="V779" s="2" t="s">
        <v>39</v>
      </c>
      <c r="W779" s="2" t="s">
        <v>38</v>
      </c>
      <c r="X779" s="2" t="s">
        <v>39</v>
      </c>
      <c r="Y779" s="2" t="s">
        <v>39</v>
      </c>
      <c r="Z779" s="2" t="s">
        <v>38</v>
      </c>
      <c r="AA779" s="2" t="s">
        <v>38</v>
      </c>
      <c r="AB779" s="2" t="s">
        <v>39</v>
      </c>
      <c r="AC779" s="2" t="s">
        <v>38</v>
      </c>
      <c r="AD779" s="2" t="s">
        <v>38</v>
      </c>
      <c r="AE779" s="2" t="s">
        <v>39</v>
      </c>
    </row>
    <row r="780" spans="1:31" ht="409.5">
      <c r="A780" s="2">
        <v>2753743</v>
      </c>
      <c r="B780" s="2">
        <f>HYPERLINK("https://platform.v2.vetology.net/cases/2753743/screening-report/1?type=pdf&amp;v=v6&amp;scorecard=1&amp;secret_key=BX%25IJ%24%2F65ieZ%29f6", 2753743)</f>
        <v>2753743</v>
      </c>
      <c r="C780" s="2">
        <f>HYPERLINK("https://platform.v2.vetology.net/report/v/final/"&amp;2753743, 2753743)</f>
        <v>2753743</v>
      </c>
      <c r="D780" s="2" t="s">
        <v>2645</v>
      </c>
      <c r="E780" s="2" t="s">
        <v>2646</v>
      </c>
      <c r="F780" s="2" t="s">
        <v>43</v>
      </c>
      <c r="G780" s="2" t="s">
        <v>507</v>
      </c>
      <c r="H780" s="2" t="s">
        <v>2647</v>
      </c>
      <c r="I780" s="2" t="s">
        <v>36</v>
      </c>
      <c r="J780" s="2" t="s">
        <v>37</v>
      </c>
      <c r="K780" s="2" t="s">
        <v>38</v>
      </c>
      <c r="L780" s="2" t="s">
        <v>39</v>
      </c>
      <c r="M780" s="2" t="s">
        <v>38</v>
      </c>
      <c r="N780" s="2" t="s">
        <v>38</v>
      </c>
      <c r="O780" s="2" t="s">
        <v>39</v>
      </c>
      <c r="P780" s="2" t="s">
        <v>39</v>
      </c>
      <c r="Q780" s="2" t="s">
        <v>38</v>
      </c>
      <c r="R780" s="2" t="s">
        <v>38</v>
      </c>
      <c r="S780" s="2" t="s">
        <v>39</v>
      </c>
      <c r="T780" s="2" t="s">
        <v>38</v>
      </c>
      <c r="U780" s="2" t="s">
        <v>39</v>
      </c>
      <c r="V780" s="2" t="s">
        <v>38</v>
      </c>
      <c r="W780" s="2" t="s">
        <v>38</v>
      </c>
      <c r="X780" s="2" t="s">
        <v>38</v>
      </c>
      <c r="Y780" s="2" t="s">
        <v>39</v>
      </c>
      <c r="Z780" s="2" t="s">
        <v>38</v>
      </c>
      <c r="AA780" s="2" t="s">
        <v>39</v>
      </c>
      <c r="AB780" s="2" t="s">
        <v>39</v>
      </c>
      <c r="AC780" s="2" t="s">
        <v>38</v>
      </c>
      <c r="AD780" s="2" t="s">
        <v>39</v>
      </c>
      <c r="AE780" s="2" t="s">
        <v>39</v>
      </c>
    </row>
    <row r="781" spans="1:31" ht="409.5">
      <c r="A781" s="2">
        <v>2753722</v>
      </c>
      <c r="B781" s="2">
        <f>HYPERLINK("https://platform.v2.vetology.net/cases/2753722/screening-report/1?type=pdf&amp;v=v6&amp;scorecard=1&amp;secret_key=BX%25IJ%24%2F65ieZ%29f6", 2753722)</f>
        <v>2753722</v>
      </c>
      <c r="C781" s="2">
        <f>HYPERLINK("https://platform.v2.vetology.net/report/v/final/"&amp;2753722, 2753722)</f>
        <v>2753722</v>
      </c>
      <c r="D781" s="2" t="s">
        <v>2648</v>
      </c>
      <c r="E781" s="2" t="s">
        <v>2649</v>
      </c>
      <c r="F781" s="2" t="s">
        <v>2340</v>
      </c>
      <c r="G781" s="2" t="s">
        <v>170</v>
      </c>
      <c r="H781" s="2" t="s">
        <v>2650</v>
      </c>
      <c r="I781" s="2" t="s">
        <v>257</v>
      </c>
      <c r="J781" s="2" t="s">
        <v>74</v>
      </c>
      <c r="K781" s="2" t="s">
        <v>38</v>
      </c>
      <c r="L781" s="2" t="s">
        <v>38</v>
      </c>
      <c r="M781" s="2" t="s">
        <v>38</v>
      </c>
      <c r="N781" s="2" t="s">
        <v>38</v>
      </c>
      <c r="O781" s="2" t="s">
        <v>38</v>
      </c>
      <c r="P781" s="2" t="s">
        <v>38</v>
      </c>
      <c r="Q781" s="2" t="s">
        <v>38</v>
      </c>
      <c r="R781" s="2" t="s">
        <v>38</v>
      </c>
      <c r="S781" s="2" t="s">
        <v>38</v>
      </c>
      <c r="T781" s="2" t="s">
        <v>38</v>
      </c>
      <c r="U781" s="2" t="s">
        <v>38</v>
      </c>
      <c r="V781" s="2" t="s">
        <v>38</v>
      </c>
      <c r="W781" s="2" t="s">
        <v>38</v>
      </c>
      <c r="X781" s="2" t="s">
        <v>38</v>
      </c>
      <c r="Y781" s="2" t="s">
        <v>38</v>
      </c>
      <c r="Z781" s="2" t="s">
        <v>38</v>
      </c>
      <c r="AA781" s="2" t="s">
        <v>38</v>
      </c>
      <c r="AB781" s="2" t="s">
        <v>38</v>
      </c>
      <c r="AC781" s="2" t="s">
        <v>38</v>
      </c>
      <c r="AD781" s="2" t="s">
        <v>38</v>
      </c>
      <c r="AE781" s="2" t="s">
        <v>39</v>
      </c>
    </row>
    <row r="782" spans="1:31" ht="409.5">
      <c r="A782" s="2">
        <v>2753715</v>
      </c>
      <c r="B782" s="2">
        <f>HYPERLINK("https://platform.v2.vetology.net/cases/2753715/screening-report/1?type=pdf&amp;v=v6&amp;scorecard=1&amp;secret_key=BX%25IJ%24%2F65ieZ%29f6", 2753715)</f>
        <v>2753715</v>
      </c>
      <c r="C782" s="2">
        <f>HYPERLINK("https://platform.v2.vetology.net/report/v/final/"&amp;2753715, 2753715)</f>
        <v>2753715</v>
      </c>
      <c r="D782" s="2" t="s">
        <v>2651</v>
      </c>
      <c r="E782" s="2" t="s">
        <v>2652</v>
      </c>
      <c r="F782" s="2" t="s">
        <v>2653</v>
      </c>
      <c r="G782" s="2" t="s">
        <v>170</v>
      </c>
      <c r="H782" s="2" t="s">
        <v>2654</v>
      </c>
      <c r="I782" s="2" t="s">
        <v>257</v>
      </c>
      <c r="J782" s="2" t="s">
        <v>74</v>
      </c>
      <c r="K782" s="2" t="s">
        <v>38</v>
      </c>
      <c r="L782" s="2" t="s">
        <v>39</v>
      </c>
      <c r="M782" s="2" t="s">
        <v>38</v>
      </c>
      <c r="N782" s="2" t="s">
        <v>38</v>
      </c>
      <c r="O782" s="2" t="s">
        <v>38</v>
      </c>
      <c r="P782" s="2" t="s">
        <v>38</v>
      </c>
      <c r="Q782" s="2" t="s">
        <v>38</v>
      </c>
      <c r="R782" s="2" t="s">
        <v>38</v>
      </c>
      <c r="S782" s="2" t="s">
        <v>38</v>
      </c>
      <c r="T782" s="2" t="s">
        <v>38</v>
      </c>
      <c r="U782" s="2" t="s">
        <v>38</v>
      </c>
      <c r="V782" s="2" t="s">
        <v>38</v>
      </c>
      <c r="W782" s="2" t="s">
        <v>38</v>
      </c>
      <c r="X782" s="2" t="s">
        <v>38</v>
      </c>
      <c r="Y782" s="2" t="s">
        <v>38</v>
      </c>
      <c r="Z782" s="2" t="s">
        <v>38</v>
      </c>
      <c r="AA782" s="2" t="s">
        <v>38</v>
      </c>
      <c r="AB782" s="2" t="s">
        <v>38</v>
      </c>
      <c r="AC782" s="2" t="s">
        <v>38</v>
      </c>
      <c r="AD782" s="2" t="s">
        <v>38</v>
      </c>
      <c r="AE782" s="2" t="s">
        <v>40</v>
      </c>
    </row>
    <row r="783" spans="1:31" ht="409.5">
      <c r="A783" s="2">
        <v>2753419</v>
      </c>
      <c r="B783" s="2">
        <f>HYPERLINK("https://platform.v2.vetology.net/cases/2753419/screening-report/1?type=pdf&amp;v=v6&amp;scorecard=1&amp;secret_key=BX%25IJ%24%2F65ieZ%29f6", 2753419)</f>
        <v>2753419</v>
      </c>
      <c r="C783" s="2">
        <f>HYPERLINK("https://platform.v2.vetology.net/report/v/final/"&amp;2753419, 2753419)</f>
        <v>2753419</v>
      </c>
      <c r="D783" s="2" t="s">
        <v>2655</v>
      </c>
      <c r="E783" s="2" t="s">
        <v>2656</v>
      </c>
      <c r="F783" s="2" t="s">
        <v>2657</v>
      </c>
      <c r="G783" s="2" t="s">
        <v>170</v>
      </c>
      <c r="H783" s="2" t="s">
        <v>2658</v>
      </c>
      <c r="I783" s="2" t="s">
        <v>129</v>
      </c>
      <c r="J783" s="2" t="s">
        <v>74</v>
      </c>
      <c r="K783" s="2" t="s">
        <v>38</v>
      </c>
      <c r="L783" s="2" t="s">
        <v>38</v>
      </c>
      <c r="M783" s="2" t="s">
        <v>38</v>
      </c>
      <c r="N783" s="2" t="s">
        <v>38</v>
      </c>
      <c r="O783" s="2" t="s">
        <v>38</v>
      </c>
      <c r="P783" s="2" t="s">
        <v>38</v>
      </c>
      <c r="Q783" s="2" t="s">
        <v>38</v>
      </c>
      <c r="R783" s="2" t="s">
        <v>38</v>
      </c>
      <c r="S783" s="2" t="s">
        <v>38</v>
      </c>
      <c r="T783" s="2" t="s">
        <v>38</v>
      </c>
      <c r="U783" s="2" t="s">
        <v>38</v>
      </c>
      <c r="V783" s="2" t="s">
        <v>39</v>
      </c>
      <c r="W783" s="2" t="s">
        <v>38</v>
      </c>
      <c r="X783" s="2" t="s">
        <v>38</v>
      </c>
      <c r="Y783" s="2" t="s">
        <v>39</v>
      </c>
      <c r="Z783" s="2" t="s">
        <v>38</v>
      </c>
      <c r="AA783" s="2" t="s">
        <v>38</v>
      </c>
      <c r="AB783" s="2" t="s">
        <v>38</v>
      </c>
      <c r="AC783" s="2" t="s">
        <v>38</v>
      </c>
      <c r="AD783" s="2" t="s">
        <v>38</v>
      </c>
      <c r="AE783" s="2" t="s">
        <v>39</v>
      </c>
    </row>
    <row r="784" spans="1:31" ht="409.5">
      <c r="A784" s="2">
        <v>2753088</v>
      </c>
      <c r="B784" s="2">
        <f>HYPERLINK("https://platform.v2.vetology.net/cases/2753088/screening-report/1?type=pdf&amp;v=v6&amp;scorecard=1&amp;secret_key=BX%25IJ%24%2F65ieZ%29f6", 2753088)</f>
        <v>2753088</v>
      </c>
      <c r="C784" s="2">
        <f>HYPERLINK("https://platform.v2.vetology.net/report/v/final/"&amp;2753088, 2753088)</f>
        <v>2753088</v>
      </c>
      <c r="D784" s="2" t="s">
        <v>1090</v>
      </c>
      <c r="E784" s="2" t="s">
        <v>1091</v>
      </c>
      <c r="F784" s="2" t="s">
        <v>787</v>
      </c>
      <c r="G784" s="2" t="s">
        <v>100</v>
      </c>
      <c r="H784" s="2" t="s">
        <v>1099</v>
      </c>
      <c r="I784" s="2" t="s">
        <v>36</v>
      </c>
      <c r="J784" s="2" t="s">
        <v>37</v>
      </c>
      <c r="K784" s="2" t="s">
        <v>39</v>
      </c>
      <c r="L784" s="2" t="s">
        <v>38</v>
      </c>
      <c r="M784" s="2" t="s">
        <v>38</v>
      </c>
      <c r="N784" s="2" t="s">
        <v>38</v>
      </c>
      <c r="O784" s="2" t="s">
        <v>39</v>
      </c>
      <c r="P784" s="2" t="s">
        <v>39</v>
      </c>
      <c r="Q784" s="2" t="s">
        <v>39</v>
      </c>
      <c r="R784" s="2" t="s">
        <v>38</v>
      </c>
      <c r="S784" s="2" t="s">
        <v>38</v>
      </c>
      <c r="T784" s="2" t="s">
        <v>39</v>
      </c>
      <c r="U784" s="2" t="s">
        <v>39</v>
      </c>
      <c r="V784" s="2" t="s">
        <v>39</v>
      </c>
      <c r="W784" s="2" t="s">
        <v>39</v>
      </c>
      <c r="X784" s="2" t="s">
        <v>39</v>
      </c>
      <c r="Y784" s="2" t="s">
        <v>39</v>
      </c>
      <c r="Z784" s="2" t="s">
        <v>38</v>
      </c>
      <c r="AA784" s="2" t="s">
        <v>39</v>
      </c>
      <c r="AB784" s="2" t="s">
        <v>39</v>
      </c>
      <c r="AC784" s="2" t="s">
        <v>38</v>
      </c>
      <c r="AD784" s="2" t="s">
        <v>38</v>
      </c>
      <c r="AE784" s="2" t="s">
        <v>39</v>
      </c>
    </row>
    <row r="785" spans="1:31" ht="409.5">
      <c r="A785" s="2">
        <v>2753086</v>
      </c>
      <c r="B785" s="2">
        <f>HYPERLINK("https://platform.v2.vetology.net/cases/2753086/screening-report/1?type=pdf&amp;v=v6&amp;scorecard=1&amp;secret_key=BX%25IJ%24%2F65ieZ%29f6", 2753086)</f>
        <v>2753086</v>
      </c>
      <c r="C785" s="2">
        <f>HYPERLINK("https://platform.v2.vetology.net/report/v/final/"&amp;2753086, 2753086)</f>
        <v>2753086</v>
      </c>
      <c r="D785" s="2" t="s">
        <v>2659</v>
      </c>
      <c r="E785" s="2" t="s">
        <v>2660</v>
      </c>
      <c r="F785" s="2" t="s">
        <v>43</v>
      </c>
      <c r="G785" s="2" t="s">
        <v>44</v>
      </c>
      <c r="H785" s="2" t="s">
        <v>69</v>
      </c>
      <c r="I785" s="2" t="s">
        <v>46</v>
      </c>
      <c r="J785" s="2"/>
      <c r="K785" s="2" t="s">
        <v>39</v>
      </c>
      <c r="L785" s="2" t="s">
        <v>39</v>
      </c>
      <c r="M785" s="2" t="s">
        <v>39</v>
      </c>
      <c r="N785" s="2" t="s">
        <v>39</v>
      </c>
      <c r="O785" s="2" t="s">
        <v>39</v>
      </c>
      <c r="P785" s="2" t="s">
        <v>39</v>
      </c>
      <c r="Q785" s="2" t="s">
        <v>39</v>
      </c>
      <c r="R785" s="2" t="s">
        <v>39</v>
      </c>
      <c r="S785" s="2" t="s">
        <v>39</v>
      </c>
      <c r="T785" s="2" t="s">
        <v>39</v>
      </c>
      <c r="U785" s="2" t="s">
        <v>39</v>
      </c>
      <c r="V785" s="2" t="s">
        <v>39</v>
      </c>
      <c r="W785" s="2" t="s">
        <v>39</v>
      </c>
      <c r="X785" s="2" t="s">
        <v>39</v>
      </c>
      <c r="Y785" s="2" t="s">
        <v>39</v>
      </c>
      <c r="Z785" s="2" t="s">
        <v>39</v>
      </c>
      <c r="AA785" s="2" t="s">
        <v>39</v>
      </c>
      <c r="AB785" s="2" t="s">
        <v>39</v>
      </c>
      <c r="AC785" s="2" t="s">
        <v>39</v>
      </c>
      <c r="AD785" s="2" t="s">
        <v>38</v>
      </c>
      <c r="AE785" s="2" t="s">
        <v>39</v>
      </c>
    </row>
    <row r="786" spans="1:31" ht="409.5">
      <c r="A786" s="2">
        <v>2753073</v>
      </c>
      <c r="B786" s="2">
        <f>HYPERLINK("https://platform.v2.vetology.net/cases/2753073/screening-report/1?type=pdf&amp;v=v6&amp;scorecard=1&amp;secret_key=BX%25IJ%24%2F65ieZ%29f6", 2753073)</f>
        <v>2753073</v>
      </c>
      <c r="C786" s="2">
        <f>HYPERLINK("https://platform.v2.vetology.net/report/v/final/"&amp;2753073, 2753073)</f>
        <v>2753073</v>
      </c>
      <c r="D786" s="2" t="s">
        <v>2661</v>
      </c>
      <c r="E786" s="2" t="s">
        <v>2662</v>
      </c>
      <c r="F786" s="2" t="s">
        <v>43</v>
      </c>
      <c r="G786" s="2" t="s">
        <v>100</v>
      </c>
      <c r="H786" s="2" t="s">
        <v>2663</v>
      </c>
      <c r="I786" s="2" t="s">
        <v>129</v>
      </c>
      <c r="J786" s="2" t="s">
        <v>74</v>
      </c>
      <c r="K786" s="2" t="s">
        <v>38</v>
      </c>
      <c r="L786" s="2" t="s">
        <v>38</v>
      </c>
      <c r="M786" s="2" t="s">
        <v>38</v>
      </c>
      <c r="N786" s="2" t="s">
        <v>38</v>
      </c>
      <c r="O786" s="2" t="s">
        <v>38</v>
      </c>
      <c r="P786" s="2" t="s">
        <v>38</v>
      </c>
      <c r="Q786" s="2" t="s">
        <v>38</v>
      </c>
      <c r="R786" s="2" t="s">
        <v>38</v>
      </c>
      <c r="S786" s="2" t="s">
        <v>38</v>
      </c>
      <c r="T786" s="2" t="s">
        <v>38</v>
      </c>
      <c r="U786" s="2" t="s">
        <v>38</v>
      </c>
      <c r="V786" s="2" t="s">
        <v>39</v>
      </c>
      <c r="W786" s="2" t="s">
        <v>38</v>
      </c>
      <c r="X786" s="2" t="s">
        <v>38</v>
      </c>
      <c r="Y786" s="2" t="s">
        <v>38</v>
      </c>
      <c r="Z786" s="2" t="s">
        <v>38</v>
      </c>
      <c r="AA786" s="2" t="s">
        <v>38</v>
      </c>
      <c r="AB786" s="2" t="s">
        <v>38</v>
      </c>
      <c r="AC786" s="2" t="s">
        <v>38</v>
      </c>
      <c r="AD786" s="2" t="s">
        <v>39</v>
      </c>
      <c r="AE786" s="2" t="s">
        <v>40</v>
      </c>
    </row>
    <row r="787" spans="1:31" ht="409.5">
      <c r="A787" s="2">
        <v>2753066</v>
      </c>
      <c r="B787" s="2">
        <f>HYPERLINK("https://platform.v2.vetology.net/cases/2753066/screening-report/1?type=pdf&amp;v=v6&amp;scorecard=1&amp;secret_key=BX%25IJ%24%2F65ieZ%29f6", 2753066)</f>
        <v>2753066</v>
      </c>
      <c r="C787" s="2">
        <f>HYPERLINK("https://platform.v2.vetology.net/report/v/final/"&amp;2753066, 2753066)</f>
        <v>2753066</v>
      </c>
      <c r="D787" s="2" t="s">
        <v>2664</v>
      </c>
      <c r="E787" s="2" t="s">
        <v>2665</v>
      </c>
      <c r="F787" s="2" t="s">
        <v>1501</v>
      </c>
      <c r="G787" s="2" t="s">
        <v>34</v>
      </c>
      <c r="H787" s="2" t="s">
        <v>2666</v>
      </c>
      <c r="I787" s="2" t="s">
        <v>36</v>
      </c>
      <c r="J787" s="2" t="s">
        <v>37</v>
      </c>
      <c r="K787" s="2" t="s">
        <v>38</v>
      </c>
      <c r="L787" s="2" t="s">
        <v>39</v>
      </c>
      <c r="M787" s="2" t="s">
        <v>38</v>
      </c>
      <c r="N787" s="2" t="s">
        <v>39</v>
      </c>
      <c r="O787" s="2" t="s">
        <v>38</v>
      </c>
      <c r="P787" s="2" t="s">
        <v>39</v>
      </c>
      <c r="Q787" s="2" t="s">
        <v>39</v>
      </c>
      <c r="R787" s="2" t="s">
        <v>38</v>
      </c>
      <c r="S787" s="2" t="s">
        <v>38</v>
      </c>
      <c r="T787" s="2" t="s">
        <v>38</v>
      </c>
      <c r="U787" s="2" t="s">
        <v>39</v>
      </c>
      <c r="V787" s="2" t="s">
        <v>38</v>
      </c>
      <c r="W787" s="2" t="s">
        <v>39</v>
      </c>
      <c r="X787" s="2" t="s">
        <v>39</v>
      </c>
      <c r="Y787" s="2" t="s">
        <v>39</v>
      </c>
      <c r="Z787" s="2" t="s">
        <v>38</v>
      </c>
      <c r="AA787" s="2" t="s">
        <v>39</v>
      </c>
      <c r="AB787" s="2" t="s">
        <v>39</v>
      </c>
      <c r="AC787" s="2" t="s">
        <v>38</v>
      </c>
      <c r="AD787" s="2" t="s">
        <v>38</v>
      </c>
      <c r="AE787" s="2" t="s">
        <v>39</v>
      </c>
    </row>
    <row r="788" spans="1:31" ht="409.5">
      <c r="A788" s="2">
        <v>2753055</v>
      </c>
      <c r="B788" s="2">
        <f>HYPERLINK("https://platform.v2.vetology.net/cases/2753055/screening-report/1?type=pdf&amp;v=v6&amp;scorecard=1&amp;secret_key=BX%25IJ%24%2F65ieZ%29f6", 2753055)</f>
        <v>2753055</v>
      </c>
      <c r="C788" s="2">
        <f>HYPERLINK("https://platform.v2.vetology.net/report/v/final/"&amp;2753055, 2753055)</f>
        <v>2753055</v>
      </c>
      <c r="D788" s="2" t="s">
        <v>2667</v>
      </c>
      <c r="E788" s="2" t="s">
        <v>2668</v>
      </c>
      <c r="F788" s="2" t="s">
        <v>787</v>
      </c>
      <c r="G788" s="2" t="s">
        <v>100</v>
      </c>
      <c r="H788" s="2" t="s">
        <v>2669</v>
      </c>
      <c r="I788" s="2" t="s">
        <v>36</v>
      </c>
      <c r="J788" s="2" t="s">
        <v>37</v>
      </c>
      <c r="K788" s="2" t="s">
        <v>38</v>
      </c>
      <c r="L788" s="2" t="s">
        <v>38</v>
      </c>
      <c r="M788" s="2" t="s">
        <v>39</v>
      </c>
      <c r="N788" s="2" t="s">
        <v>39</v>
      </c>
      <c r="O788" s="2" t="s">
        <v>39</v>
      </c>
      <c r="P788" s="2" t="s">
        <v>39</v>
      </c>
      <c r="Q788" s="2" t="s">
        <v>39</v>
      </c>
      <c r="R788" s="2" t="s">
        <v>38</v>
      </c>
      <c r="S788" s="2" t="s">
        <v>38</v>
      </c>
      <c r="T788" s="2" t="s">
        <v>39</v>
      </c>
      <c r="U788" s="2" t="s">
        <v>38</v>
      </c>
      <c r="V788" s="2" t="s">
        <v>39</v>
      </c>
      <c r="W788" s="2" t="s">
        <v>39</v>
      </c>
      <c r="X788" s="2" t="s">
        <v>39</v>
      </c>
      <c r="Y788" s="2" t="s">
        <v>39</v>
      </c>
      <c r="Z788" s="2" t="s">
        <v>39</v>
      </c>
      <c r="AA788" s="2" t="s">
        <v>39</v>
      </c>
      <c r="AB788" s="2" t="s">
        <v>39</v>
      </c>
      <c r="AC788" s="2" t="s">
        <v>38</v>
      </c>
      <c r="AD788" s="2" t="s">
        <v>39</v>
      </c>
      <c r="AE788" s="2" t="s">
        <v>39</v>
      </c>
    </row>
    <row r="789" spans="1:31" ht="409.5">
      <c r="A789" s="2">
        <v>2753015</v>
      </c>
      <c r="B789" s="2">
        <f>HYPERLINK("https://platform.v2.vetology.net/cases/2753015/screening-report/1?type=pdf&amp;v=v6&amp;scorecard=1&amp;secret_key=BX%25IJ%24%2F65ieZ%29f6", 2753015)</f>
        <v>2753015</v>
      </c>
      <c r="C789" s="2">
        <f>HYPERLINK("https://platform.v2.vetology.net/report/v/final/"&amp;2753015, 2753015)</f>
        <v>2753015</v>
      </c>
      <c r="D789" s="2" t="s">
        <v>2670</v>
      </c>
      <c r="E789" s="2" t="s">
        <v>2671</v>
      </c>
      <c r="F789" s="2" t="s">
        <v>2672</v>
      </c>
      <c r="G789" s="2" t="s">
        <v>507</v>
      </c>
      <c r="H789" s="2" t="s">
        <v>2673</v>
      </c>
      <c r="I789" s="2" t="s">
        <v>129</v>
      </c>
      <c r="J789" s="2" t="s">
        <v>74</v>
      </c>
      <c r="K789" s="2" t="s">
        <v>39</v>
      </c>
      <c r="L789" s="2" t="s">
        <v>39</v>
      </c>
      <c r="M789" s="2" t="s">
        <v>39</v>
      </c>
      <c r="N789" s="2" t="s">
        <v>39</v>
      </c>
      <c r="O789" s="2" t="s">
        <v>39</v>
      </c>
      <c r="P789" s="2" t="s">
        <v>38</v>
      </c>
      <c r="Q789" s="2" t="s">
        <v>38</v>
      </c>
      <c r="R789" s="2" t="s">
        <v>39</v>
      </c>
      <c r="S789" s="2" t="s">
        <v>39</v>
      </c>
      <c r="T789" s="2" t="s">
        <v>38</v>
      </c>
      <c r="U789" s="2" t="s">
        <v>39</v>
      </c>
      <c r="V789" s="2" t="s">
        <v>39</v>
      </c>
      <c r="W789" s="2" t="s">
        <v>38</v>
      </c>
      <c r="X789" s="2" t="s">
        <v>38</v>
      </c>
      <c r="Y789" s="2" t="s">
        <v>39</v>
      </c>
      <c r="Z789" s="2" t="s">
        <v>39</v>
      </c>
      <c r="AA789" s="2" t="s">
        <v>39</v>
      </c>
      <c r="AB789" s="2" t="s">
        <v>38</v>
      </c>
      <c r="AC789" s="2" t="s">
        <v>38</v>
      </c>
      <c r="AD789" s="2" t="s">
        <v>39</v>
      </c>
      <c r="AE789" s="2"/>
    </row>
    <row r="790" spans="1:31" ht="409.5">
      <c r="A790" s="2">
        <v>2753013</v>
      </c>
      <c r="B790" s="2">
        <f>HYPERLINK("https://platform.v2.vetology.net/cases/2753013/screening-report/1?type=pdf&amp;v=v6&amp;scorecard=1&amp;secret_key=BX%25IJ%24%2F65ieZ%29f6", 2753013)</f>
        <v>2753013</v>
      </c>
      <c r="C790" s="2">
        <f>HYPERLINK("https://platform.v2.vetology.net/report/v/final/"&amp;2753013, 2753013)</f>
        <v>2753013</v>
      </c>
      <c r="D790" s="2" t="s">
        <v>2674</v>
      </c>
      <c r="E790" s="2" t="s">
        <v>2675</v>
      </c>
      <c r="F790" s="2" t="s">
        <v>43</v>
      </c>
      <c r="G790" s="2" t="s">
        <v>507</v>
      </c>
      <c r="H790" s="2" t="s">
        <v>2676</v>
      </c>
      <c r="I790" s="2" t="s">
        <v>73</v>
      </c>
      <c r="J790" s="2" t="s">
        <v>74</v>
      </c>
      <c r="K790" s="2" t="s">
        <v>38</v>
      </c>
      <c r="L790" s="2" t="s">
        <v>38</v>
      </c>
      <c r="M790" s="2" t="s">
        <v>38</v>
      </c>
      <c r="N790" s="2" t="s">
        <v>38</v>
      </c>
      <c r="O790" s="2" t="s">
        <v>38</v>
      </c>
      <c r="P790" s="2" t="s">
        <v>38</v>
      </c>
      <c r="Q790" s="2" t="s">
        <v>38</v>
      </c>
      <c r="R790" s="2" t="s">
        <v>38</v>
      </c>
      <c r="S790" s="2" t="s">
        <v>38</v>
      </c>
      <c r="T790" s="2" t="s">
        <v>38</v>
      </c>
      <c r="U790" s="2" t="s">
        <v>38</v>
      </c>
      <c r="V790" s="2" t="s">
        <v>38</v>
      </c>
      <c r="W790" s="2" t="s">
        <v>38</v>
      </c>
      <c r="X790" s="2" t="s">
        <v>38</v>
      </c>
      <c r="Y790" s="2" t="s">
        <v>39</v>
      </c>
      <c r="Z790" s="2" t="s">
        <v>38</v>
      </c>
      <c r="AA790" s="2" t="s">
        <v>38</v>
      </c>
      <c r="AB790" s="2" t="s">
        <v>38</v>
      </c>
      <c r="AC790" s="2" t="s">
        <v>38</v>
      </c>
      <c r="AD790" s="2" t="s">
        <v>38</v>
      </c>
      <c r="AE790" s="2" t="s">
        <v>40</v>
      </c>
    </row>
    <row r="791" spans="1:31" ht="409.5">
      <c r="A791" s="2">
        <v>2753003</v>
      </c>
      <c r="B791" s="2">
        <f>HYPERLINK("https://platform.v2.vetology.net/cases/2753003/screening-report/1?type=pdf&amp;v=v6&amp;scorecard=1&amp;secret_key=BX%25IJ%24%2F65ieZ%29f6", 2753003)</f>
        <v>2753003</v>
      </c>
      <c r="C791" s="2">
        <f>HYPERLINK("https://platform.v2.vetology.net/report/v/final/"&amp;2753003, 2753003)</f>
        <v>2753003</v>
      </c>
      <c r="D791" s="2" t="s">
        <v>2677</v>
      </c>
      <c r="E791" s="2" t="s">
        <v>2678</v>
      </c>
      <c r="F791" s="2" t="s">
        <v>2679</v>
      </c>
      <c r="G791" s="2" t="s">
        <v>507</v>
      </c>
      <c r="H791" s="2" t="s">
        <v>2680</v>
      </c>
      <c r="I791" s="2" t="s">
        <v>129</v>
      </c>
      <c r="J791" s="2" t="s">
        <v>74</v>
      </c>
      <c r="K791" s="2" t="s">
        <v>39</v>
      </c>
      <c r="L791" s="2" t="s">
        <v>39</v>
      </c>
      <c r="M791" s="2" t="s">
        <v>38</v>
      </c>
      <c r="N791" s="2" t="s">
        <v>38</v>
      </c>
      <c r="O791" s="2" t="s">
        <v>38</v>
      </c>
      <c r="P791" s="2" t="s">
        <v>38</v>
      </c>
      <c r="Q791" s="2" t="s">
        <v>38</v>
      </c>
      <c r="R791" s="2" t="s">
        <v>39</v>
      </c>
      <c r="S791" s="2" t="s">
        <v>38</v>
      </c>
      <c r="T791" s="2" t="s">
        <v>38</v>
      </c>
      <c r="U791" s="2" t="s">
        <v>39</v>
      </c>
      <c r="V791" s="2" t="s">
        <v>39</v>
      </c>
      <c r="W791" s="2" t="s">
        <v>38</v>
      </c>
      <c r="X791" s="2" t="s">
        <v>38</v>
      </c>
      <c r="Y791" s="2" t="s">
        <v>39</v>
      </c>
      <c r="Z791" s="2" t="s">
        <v>38</v>
      </c>
      <c r="AA791" s="2" t="s">
        <v>39</v>
      </c>
      <c r="AB791" s="2" t="s">
        <v>38</v>
      </c>
      <c r="AC791" s="2" t="s">
        <v>38</v>
      </c>
      <c r="AD791" s="2" t="s">
        <v>39</v>
      </c>
      <c r="AE791" s="2" t="s">
        <v>40</v>
      </c>
    </row>
    <row r="792" spans="1:31" ht="409.5">
      <c r="A792" s="2">
        <v>2752991</v>
      </c>
      <c r="B792" s="2">
        <f>HYPERLINK("https://platform.v2.vetology.net/cases/2752991/screening-report/1?type=pdf&amp;v=v6&amp;scorecard=1&amp;secret_key=BX%25IJ%24%2F65ieZ%29f6", 2752991)</f>
        <v>2752991</v>
      </c>
      <c r="C792" s="2">
        <f>HYPERLINK("https://platform.v2.vetology.net/report/v/final/"&amp;2752991, 2752991)</f>
        <v>2752991</v>
      </c>
      <c r="D792" s="2" t="s">
        <v>2681</v>
      </c>
      <c r="E792" s="2" t="s">
        <v>2682</v>
      </c>
      <c r="F792" s="2" t="s">
        <v>43</v>
      </c>
      <c r="G792" s="2" t="s">
        <v>44</v>
      </c>
      <c r="H792" s="2" t="s">
        <v>2683</v>
      </c>
      <c r="I792" s="2" t="s">
        <v>36</v>
      </c>
      <c r="J792" s="2" t="s">
        <v>37</v>
      </c>
      <c r="K792" s="2" t="s">
        <v>38</v>
      </c>
      <c r="L792" s="2" t="s">
        <v>38</v>
      </c>
      <c r="M792" s="2" t="s">
        <v>38</v>
      </c>
      <c r="N792" s="2" t="s">
        <v>38</v>
      </c>
      <c r="O792" s="2" t="s">
        <v>38</v>
      </c>
      <c r="P792" s="2" t="s">
        <v>38</v>
      </c>
      <c r="Q792" s="2" t="s">
        <v>39</v>
      </c>
      <c r="R792" s="2" t="s">
        <v>39</v>
      </c>
      <c r="S792" s="2" t="s">
        <v>38</v>
      </c>
      <c r="T792" s="2" t="s">
        <v>39</v>
      </c>
      <c r="U792" s="2" t="s">
        <v>38</v>
      </c>
      <c r="V792" s="2" t="s">
        <v>38</v>
      </c>
      <c r="W792" s="2" t="s">
        <v>38</v>
      </c>
      <c r="X792" s="2" t="s">
        <v>39</v>
      </c>
      <c r="Y792" s="2" t="s">
        <v>39</v>
      </c>
      <c r="Z792" s="2" t="s">
        <v>38</v>
      </c>
      <c r="AA792" s="2" t="s">
        <v>38</v>
      </c>
      <c r="AB792" s="2" t="s">
        <v>39</v>
      </c>
      <c r="AC792" s="2" t="s">
        <v>38</v>
      </c>
      <c r="AD792" s="2" t="s">
        <v>38</v>
      </c>
      <c r="AE792" s="2" t="s">
        <v>40</v>
      </c>
    </row>
    <row r="793" spans="1:31" ht="409.5">
      <c r="A793" s="2">
        <v>2752940</v>
      </c>
      <c r="B793" s="2">
        <f>HYPERLINK("https://platform.v2.vetology.net/cases/2752940/screening-report/1?type=pdf&amp;v=v6&amp;scorecard=1&amp;secret_key=BX%25IJ%24%2F65ieZ%29f6", 2752940)</f>
        <v>2752940</v>
      </c>
      <c r="C793" s="2">
        <f>HYPERLINK("https://platform.v2.vetology.net/report/v/final/"&amp;2752940, 2752940)</f>
        <v>2752940</v>
      </c>
      <c r="D793" s="2" t="s">
        <v>2684</v>
      </c>
      <c r="E793" s="2" t="s">
        <v>2685</v>
      </c>
      <c r="F793" s="2" t="s">
        <v>787</v>
      </c>
      <c r="G793" s="2" t="s">
        <v>100</v>
      </c>
      <c r="H793" s="2" t="s">
        <v>2686</v>
      </c>
      <c r="I793" s="2" t="s">
        <v>257</v>
      </c>
      <c r="J793" s="2" t="s">
        <v>74</v>
      </c>
      <c r="K793" s="2" t="s">
        <v>38</v>
      </c>
      <c r="L793" s="2" t="s">
        <v>38</v>
      </c>
      <c r="M793" s="2" t="s">
        <v>38</v>
      </c>
      <c r="N793" s="2" t="s">
        <v>38</v>
      </c>
      <c r="O793" s="2" t="s">
        <v>38</v>
      </c>
      <c r="P793" s="2" t="s">
        <v>38</v>
      </c>
      <c r="Q793" s="2" t="s">
        <v>38</v>
      </c>
      <c r="R793" s="2" t="s">
        <v>38</v>
      </c>
      <c r="S793" s="2" t="s">
        <v>38</v>
      </c>
      <c r="T793" s="2" t="s">
        <v>38</v>
      </c>
      <c r="U793" s="2" t="s">
        <v>38</v>
      </c>
      <c r="V793" s="2" t="s">
        <v>38</v>
      </c>
      <c r="W793" s="2" t="s">
        <v>38</v>
      </c>
      <c r="X793" s="2" t="s">
        <v>38</v>
      </c>
      <c r="Y793" s="2" t="s">
        <v>38</v>
      </c>
      <c r="Z793" s="2" t="s">
        <v>38</v>
      </c>
      <c r="AA793" s="2" t="s">
        <v>38</v>
      </c>
      <c r="AB793" s="2" t="s">
        <v>38</v>
      </c>
      <c r="AC793" s="2" t="s">
        <v>38</v>
      </c>
      <c r="AD793" s="2" t="s">
        <v>38</v>
      </c>
      <c r="AE793" s="2" t="s">
        <v>40</v>
      </c>
    </row>
    <row r="794" spans="1:31" ht="409.5">
      <c r="A794" s="2">
        <v>2752931</v>
      </c>
      <c r="B794" s="2">
        <f>HYPERLINK("https://platform.v2.vetology.net/cases/2752931/screening-report/1?type=pdf&amp;v=v6&amp;scorecard=1&amp;secret_key=BX%25IJ%24%2F65ieZ%29f6", 2752931)</f>
        <v>2752931</v>
      </c>
      <c r="C794" s="2">
        <f>HYPERLINK("https://platform.v2.vetology.net/report/v/final/"&amp;2752931, 2752931)</f>
        <v>2752931</v>
      </c>
      <c r="D794" s="2" t="s">
        <v>2687</v>
      </c>
      <c r="E794" s="2" t="s">
        <v>2688</v>
      </c>
      <c r="F794" s="2" t="s">
        <v>43</v>
      </c>
      <c r="G794" s="2" t="s">
        <v>507</v>
      </c>
      <c r="H794" s="2" t="s">
        <v>2689</v>
      </c>
      <c r="I794" s="2" t="s">
        <v>36</v>
      </c>
      <c r="J794" s="2" t="s">
        <v>37</v>
      </c>
      <c r="K794" s="2" t="s">
        <v>39</v>
      </c>
      <c r="L794" s="2" t="s">
        <v>38</v>
      </c>
      <c r="M794" s="2" t="s">
        <v>38</v>
      </c>
      <c r="N794" s="2" t="s">
        <v>38</v>
      </c>
      <c r="O794" s="2" t="s">
        <v>38</v>
      </c>
      <c r="P794" s="2" t="s">
        <v>38</v>
      </c>
      <c r="Q794" s="2" t="s">
        <v>39</v>
      </c>
      <c r="R794" s="2" t="s">
        <v>38</v>
      </c>
      <c r="S794" s="2" t="s">
        <v>38</v>
      </c>
      <c r="T794" s="2" t="s">
        <v>38</v>
      </c>
      <c r="U794" s="2" t="s">
        <v>39</v>
      </c>
      <c r="V794" s="2" t="s">
        <v>39</v>
      </c>
      <c r="W794" s="2" t="s">
        <v>38</v>
      </c>
      <c r="X794" s="2" t="s">
        <v>39</v>
      </c>
      <c r="Y794" s="2" t="s">
        <v>39</v>
      </c>
      <c r="Z794" s="2" t="s">
        <v>38</v>
      </c>
      <c r="AA794" s="2" t="s">
        <v>39</v>
      </c>
      <c r="AB794" s="2" t="s">
        <v>39</v>
      </c>
      <c r="AC794" s="2" t="s">
        <v>38</v>
      </c>
      <c r="AD794" s="2" t="s">
        <v>38</v>
      </c>
      <c r="AE794" s="2" t="s">
        <v>40</v>
      </c>
    </row>
    <row r="795" spans="1:31" ht="409.5">
      <c r="A795" s="2">
        <v>2752888</v>
      </c>
      <c r="B795" s="2">
        <f>HYPERLINK("https://platform.v2.vetology.net/cases/2752888/screening-report/1?type=pdf&amp;v=v6&amp;scorecard=1&amp;secret_key=BX%25IJ%24%2F65ieZ%29f6", 2752888)</f>
        <v>2752888</v>
      </c>
      <c r="C795" s="2">
        <f>HYPERLINK("https://platform.v2.vetology.net/report/v/final/"&amp;2752888, 2752888)</f>
        <v>2752888</v>
      </c>
      <c r="D795" s="2" t="s">
        <v>2690</v>
      </c>
      <c r="E795" s="2" t="s">
        <v>2691</v>
      </c>
      <c r="F795" s="2"/>
      <c r="G795" s="2" t="s">
        <v>100</v>
      </c>
      <c r="H795" s="2" t="s">
        <v>2692</v>
      </c>
      <c r="I795" s="2" t="s">
        <v>129</v>
      </c>
      <c r="J795" s="2" t="s">
        <v>74</v>
      </c>
      <c r="K795" s="2" t="s">
        <v>39</v>
      </c>
      <c r="L795" s="2" t="s">
        <v>38</v>
      </c>
      <c r="M795" s="2" t="s">
        <v>39</v>
      </c>
      <c r="N795" s="2" t="s">
        <v>38</v>
      </c>
      <c r="O795" s="2" t="s">
        <v>38</v>
      </c>
      <c r="P795" s="2" t="s">
        <v>38</v>
      </c>
      <c r="Q795" s="2" t="s">
        <v>38</v>
      </c>
      <c r="R795" s="2" t="s">
        <v>39</v>
      </c>
      <c r="S795" s="2" t="s">
        <v>38</v>
      </c>
      <c r="T795" s="2" t="s">
        <v>38</v>
      </c>
      <c r="U795" s="2" t="s">
        <v>39</v>
      </c>
      <c r="V795" s="2" t="s">
        <v>38</v>
      </c>
      <c r="W795" s="2" t="s">
        <v>38</v>
      </c>
      <c r="X795" s="2" t="s">
        <v>38</v>
      </c>
      <c r="Y795" s="2" t="s">
        <v>39</v>
      </c>
      <c r="Z795" s="2" t="s">
        <v>38</v>
      </c>
      <c r="AA795" s="2" t="s">
        <v>38</v>
      </c>
      <c r="AB795" s="2" t="s">
        <v>39</v>
      </c>
      <c r="AC795" s="2" t="s">
        <v>38</v>
      </c>
      <c r="AD795" s="2" t="s">
        <v>38</v>
      </c>
      <c r="AE795" s="2" t="s">
        <v>39</v>
      </c>
    </row>
    <row r="796" spans="1:31" ht="409.5">
      <c r="A796" s="2">
        <v>2752883</v>
      </c>
      <c r="B796" s="2">
        <f>HYPERLINK("https://platform.v2.vetology.net/cases/2752883/screening-report/1?type=pdf&amp;v=v6&amp;scorecard=1&amp;secret_key=BX%25IJ%24%2F65ieZ%29f6", 2752883)</f>
        <v>2752883</v>
      </c>
      <c r="C796" s="2">
        <f>HYPERLINK("https://platform.v2.vetology.net/report/v/final/"&amp;2752883, 2752883)</f>
        <v>2752883</v>
      </c>
      <c r="D796" s="2" t="s">
        <v>2693</v>
      </c>
      <c r="E796" s="2" t="s">
        <v>2694</v>
      </c>
      <c r="F796" s="2" t="s">
        <v>2695</v>
      </c>
      <c r="G796" s="2" t="s">
        <v>127</v>
      </c>
      <c r="H796" s="2" t="s">
        <v>2696</v>
      </c>
      <c r="I796" s="2" t="s">
        <v>73</v>
      </c>
      <c r="J796" s="2" t="s">
        <v>74</v>
      </c>
      <c r="K796" s="2" t="s">
        <v>38</v>
      </c>
      <c r="L796" s="2" t="s">
        <v>38</v>
      </c>
      <c r="M796" s="2" t="s">
        <v>38</v>
      </c>
      <c r="N796" s="2" t="s">
        <v>38</v>
      </c>
      <c r="O796" s="2" t="s">
        <v>38</v>
      </c>
      <c r="P796" s="2" t="s">
        <v>38</v>
      </c>
      <c r="Q796" s="2" t="s">
        <v>38</v>
      </c>
      <c r="R796" s="2" t="s">
        <v>38</v>
      </c>
      <c r="S796" s="2" t="s">
        <v>38</v>
      </c>
      <c r="T796" s="2" t="s">
        <v>38</v>
      </c>
      <c r="U796" s="2" t="s">
        <v>38</v>
      </c>
      <c r="V796" s="2" t="s">
        <v>38</v>
      </c>
      <c r="W796" s="2" t="s">
        <v>38</v>
      </c>
      <c r="X796" s="2" t="s">
        <v>39</v>
      </c>
      <c r="Y796" s="2" t="s">
        <v>39</v>
      </c>
      <c r="Z796" s="2" t="s">
        <v>38</v>
      </c>
      <c r="AA796" s="2" t="s">
        <v>38</v>
      </c>
      <c r="AB796" s="2" t="s">
        <v>38</v>
      </c>
      <c r="AC796" s="2" t="s">
        <v>38</v>
      </c>
      <c r="AD796" s="2" t="s">
        <v>39</v>
      </c>
      <c r="AE796" s="2" t="s">
        <v>40</v>
      </c>
    </row>
    <row r="797" spans="1:31" ht="409.5">
      <c r="A797" s="2">
        <v>2752877</v>
      </c>
      <c r="B797" s="2">
        <f>HYPERLINK("https://platform.v2.vetology.net/cases/2752877/screening-report/1?type=pdf&amp;v=v6&amp;scorecard=1&amp;secret_key=BX%25IJ%24%2F65ieZ%29f6", 2752877)</f>
        <v>2752877</v>
      </c>
      <c r="C797" s="2">
        <f>HYPERLINK("https://platform.v2.vetology.net/report/v/final/"&amp;2752877, 2752877)</f>
        <v>2752877</v>
      </c>
      <c r="D797" s="2" t="s">
        <v>2697</v>
      </c>
      <c r="E797" s="2" t="s">
        <v>2698</v>
      </c>
      <c r="F797" s="2" t="s">
        <v>2699</v>
      </c>
      <c r="G797" s="2" t="s">
        <v>170</v>
      </c>
      <c r="H797" s="2" t="s">
        <v>2700</v>
      </c>
      <c r="I797" s="2" t="s">
        <v>36</v>
      </c>
      <c r="J797" s="2" t="s">
        <v>37</v>
      </c>
      <c r="K797" s="2" t="s">
        <v>38</v>
      </c>
      <c r="L797" s="2" t="s">
        <v>39</v>
      </c>
      <c r="M797" s="2" t="s">
        <v>38</v>
      </c>
      <c r="N797" s="2" t="s">
        <v>38</v>
      </c>
      <c r="O797" s="2" t="s">
        <v>38</v>
      </c>
      <c r="P797" s="2" t="s">
        <v>39</v>
      </c>
      <c r="Q797" s="2" t="s">
        <v>38</v>
      </c>
      <c r="R797" s="2" t="s">
        <v>38</v>
      </c>
      <c r="S797" s="2" t="s">
        <v>38</v>
      </c>
      <c r="T797" s="2" t="s">
        <v>39</v>
      </c>
      <c r="U797" s="2" t="s">
        <v>38</v>
      </c>
      <c r="V797" s="2" t="s">
        <v>38</v>
      </c>
      <c r="W797" s="2" t="s">
        <v>38</v>
      </c>
      <c r="X797" s="2" t="s">
        <v>38</v>
      </c>
      <c r="Y797" s="2" t="s">
        <v>39</v>
      </c>
      <c r="Z797" s="2" t="s">
        <v>38</v>
      </c>
      <c r="AA797" s="2" t="s">
        <v>38</v>
      </c>
      <c r="AB797" s="2" t="s">
        <v>39</v>
      </c>
      <c r="AC797" s="2" t="s">
        <v>38</v>
      </c>
      <c r="AD797" s="2" t="s">
        <v>39</v>
      </c>
      <c r="AE797" s="2" t="s">
        <v>39</v>
      </c>
    </row>
    <row r="798" spans="1:31" ht="409.5">
      <c r="A798" s="2">
        <v>2752862</v>
      </c>
      <c r="B798" s="2">
        <f>HYPERLINK("https://platform.v2.vetology.net/cases/2752862/screening-report/1?type=pdf&amp;v=v6&amp;scorecard=1&amp;secret_key=BX%25IJ%24%2F65ieZ%29f6", 2752862)</f>
        <v>2752862</v>
      </c>
      <c r="C798" s="2">
        <f>HYPERLINK("https://platform.v2.vetology.net/report/v/final/"&amp;2752862, 2752862)</f>
        <v>2752862</v>
      </c>
      <c r="D798" s="2" t="s">
        <v>2701</v>
      </c>
      <c r="E798" s="2" t="s">
        <v>2702</v>
      </c>
      <c r="F798" s="2" t="s">
        <v>43</v>
      </c>
      <c r="G798" s="2" t="s">
        <v>44</v>
      </c>
      <c r="H798" s="2" t="s">
        <v>2703</v>
      </c>
      <c r="I798" s="2" t="s">
        <v>36</v>
      </c>
      <c r="J798" s="2" t="s">
        <v>37</v>
      </c>
      <c r="K798" s="2" t="s">
        <v>38</v>
      </c>
      <c r="L798" s="2" t="s">
        <v>39</v>
      </c>
      <c r="M798" s="2" t="s">
        <v>38</v>
      </c>
      <c r="N798" s="2" t="s">
        <v>39</v>
      </c>
      <c r="O798" s="2" t="s">
        <v>39</v>
      </c>
      <c r="P798" s="2" t="s">
        <v>39</v>
      </c>
      <c r="Q798" s="2" t="s">
        <v>39</v>
      </c>
      <c r="R798" s="2" t="s">
        <v>39</v>
      </c>
      <c r="S798" s="2" t="s">
        <v>39</v>
      </c>
      <c r="T798" s="2" t="s">
        <v>39</v>
      </c>
      <c r="U798" s="2" t="s">
        <v>38</v>
      </c>
      <c r="V798" s="2" t="s">
        <v>38</v>
      </c>
      <c r="W798" s="2" t="s">
        <v>38</v>
      </c>
      <c r="X798" s="2" t="s">
        <v>39</v>
      </c>
      <c r="Y798" s="2" t="s">
        <v>39</v>
      </c>
      <c r="Z798" s="2" t="s">
        <v>39</v>
      </c>
      <c r="AA798" s="2" t="s">
        <v>39</v>
      </c>
      <c r="AB798" s="2" t="s">
        <v>39</v>
      </c>
      <c r="AC798" s="2" t="s">
        <v>38</v>
      </c>
      <c r="AD798" s="2" t="s">
        <v>39</v>
      </c>
      <c r="AE798" s="2" t="s">
        <v>40</v>
      </c>
    </row>
    <row r="799" spans="1:31" ht="409.5">
      <c r="A799" s="2">
        <v>2752842</v>
      </c>
      <c r="B799" s="2">
        <f>HYPERLINK("https://platform.v2.vetology.net/cases/2752842/screening-report/1?type=pdf&amp;v=v6&amp;scorecard=1&amp;secret_key=BX%25IJ%24%2F65ieZ%29f6", 2752842)</f>
        <v>2752842</v>
      </c>
      <c r="C799" s="2">
        <f>HYPERLINK("https://platform.v2.vetology.net/report/v/final/"&amp;2752842, 2752842)</f>
        <v>2752842</v>
      </c>
      <c r="D799" s="2" t="s">
        <v>2704</v>
      </c>
      <c r="E799" s="2" t="s">
        <v>2705</v>
      </c>
      <c r="F799" s="2" t="s">
        <v>2706</v>
      </c>
      <c r="G799" s="2" t="s">
        <v>170</v>
      </c>
      <c r="H799" s="2" t="s">
        <v>2707</v>
      </c>
      <c r="I799" s="2" t="s">
        <v>73</v>
      </c>
      <c r="J799" s="2" t="s">
        <v>74</v>
      </c>
      <c r="K799" s="2" t="s">
        <v>38</v>
      </c>
      <c r="L799" s="2" t="s">
        <v>38</v>
      </c>
      <c r="M799" s="2" t="s">
        <v>38</v>
      </c>
      <c r="N799" s="2" t="s">
        <v>38</v>
      </c>
      <c r="O799" s="2" t="s">
        <v>38</v>
      </c>
      <c r="P799" s="2" t="s">
        <v>38</v>
      </c>
      <c r="Q799" s="2" t="s">
        <v>38</v>
      </c>
      <c r="R799" s="2" t="s">
        <v>38</v>
      </c>
      <c r="S799" s="2" t="s">
        <v>38</v>
      </c>
      <c r="T799" s="2" t="s">
        <v>38</v>
      </c>
      <c r="U799" s="2" t="s">
        <v>39</v>
      </c>
      <c r="V799" s="2" t="s">
        <v>38</v>
      </c>
      <c r="W799" s="2" t="s">
        <v>38</v>
      </c>
      <c r="X799" s="2" t="s">
        <v>38</v>
      </c>
      <c r="Y799" s="2" t="s">
        <v>39</v>
      </c>
      <c r="Z799" s="2" t="s">
        <v>38</v>
      </c>
      <c r="AA799" s="2" t="s">
        <v>38</v>
      </c>
      <c r="AB799" s="2" t="s">
        <v>38</v>
      </c>
      <c r="AC799" s="2" t="s">
        <v>38</v>
      </c>
      <c r="AD799" s="2" t="s">
        <v>38</v>
      </c>
      <c r="AE799" s="2" t="s">
        <v>39</v>
      </c>
    </row>
    <row r="800" spans="1:31" ht="409.5">
      <c r="A800" s="2">
        <v>2752828</v>
      </c>
      <c r="B800" s="2">
        <f>HYPERLINK("https://platform.v2.vetology.net/cases/2752828/screening-report/1?type=pdf&amp;v=v6&amp;scorecard=1&amp;secret_key=BX%25IJ%24%2F65ieZ%29f6", 2752828)</f>
        <v>2752828</v>
      </c>
      <c r="C800" s="2">
        <f>HYPERLINK("https://platform.v2.vetology.net/report/v/final/"&amp;2752828, 2752828)</f>
        <v>2752828</v>
      </c>
      <c r="D800" s="2" t="s">
        <v>2708</v>
      </c>
      <c r="E800" s="2" t="s">
        <v>2709</v>
      </c>
      <c r="F800" s="2" t="s">
        <v>2710</v>
      </c>
      <c r="G800" s="2" t="s">
        <v>53</v>
      </c>
      <c r="H800" s="2" t="s">
        <v>500</v>
      </c>
      <c r="I800" s="2" t="s">
        <v>36</v>
      </c>
      <c r="J800" s="2" t="s">
        <v>37</v>
      </c>
      <c r="K800" s="2" t="s">
        <v>39</v>
      </c>
      <c r="L800" s="2" t="s">
        <v>38</v>
      </c>
      <c r="M800" s="2" t="s">
        <v>38</v>
      </c>
      <c r="N800" s="2" t="s">
        <v>38</v>
      </c>
      <c r="O800" s="2" t="s">
        <v>38</v>
      </c>
      <c r="P800" s="2" t="s">
        <v>38</v>
      </c>
      <c r="Q800" s="2" t="s">
        <v>39</v>
      </c>
      <c r="R800" s="2" t="s">
        <v>38</v>
      </c>
      <c r="S800" s="2" t="s">
        <v>38</v>
      </c>
      <c r="T800" s="2" t="s">
        <v>39</v>
      </c>
      <c r="U800" s="2" t="s">
        <v>39</v>
      </c>
      <c r="V800" s="2" t="s">
        <v>39</v>
      </c>
      <c r="W800" s="2" t="s">
        <v>38</v>
      </c>
      <c r="X800" s="2" t="s">
        <v>39</v>
      </c>
      <c r="Y800" s="2" t="s">
        <v>38</v>
      </c>
      <c r="Z800" s="2" t="s">
        <v>38</v>
      </c>
      <c r="AA800" s="2" t="s">
        <v>38</v>
      </c>
      <c r="AB800" s="2" t="s">
        <v>38</v>
      </c>
      <c r="AC800" s="2" t="s">
        <v>38</v>
      </c>
      <c r="AD800" s="2" t="s">
        <v>38</v>
      </c>
      <c r="AE800" s="2" t="s">
        <v>40</v>
      </c>
    </row>
    <row r="801" spans="1:31" ht="409.5">
      <c r="A801" s="2">
        <v>2752820</v>
      </c>
      <c r="B801" s="2">
        <f>HYPERLINK("https://platform.v2.vetology.net/cases/2752820/screening-report/1?type=pdf&amp;v=v6&amp;scorecard=1&amp;secret_key=BX%25IJ%24%2F65ieZ%29f6", 2752820)</f>
        <v>2752820</v>
      </c>
      <c r="C801" s="2">
        <f>HYPERLINK("https://platform.v2.vetology.net/report/v/final/"&amp;2752820, 2752820)</f>
        <v>2752820</v>
      </c>
      <c r="D801" s="2" t="s">
        <v>2711</v>
      </c>
      <c r="E801" s="2" t="s">
        <v>2712</v>
      </c>
      <c r="F801" s="2" t="s">
        <v>1389</v>
      </c>
      <c r="G801" s="2" t="s">
        <v>100</v>
      </c>
      <c r="H801" s="2" t="s">
        <v>2713</v>
      </c>
      <c r="I801" s="2" t="s">
        <v>36</v>
      </c>
      <c r="J801" s="2" t="s">
        <v>37</v>
      </c>
      <c r="K801" s="2" t="s">
        <v>38</v>
      </c>
      <c r="L801" s="2" t="s">
        <v>38</v>
      </c>
      <c r="M801" s="2" t="s">
        <v>38</v>
      </c>
      <c r="N801" s="2" t="s">
        <v>38</v>
      </c>
      <c r="O801" s="2" t="s">
        <v>38</v>
      </c>
      <c r="P801" s="2" t="s">
        <v>38</v>
      </c>
      <c r="Q801" s="2" t="s">
        <v>39</v>
      </c>
      <c r="R801" s="2" t="s">
        <v>38</v>
      </c>
      <c r="S801" s="2" t="s">
        <v>38</v>
      </c>
      <c r="T801" s="2" t="s">
        <v>38</v>
      </c>
      <c r="U801" s="2" t="s">
        <v>38</v>
      </c>
      <c r="V801" s="2" t="s">
        <v>38</v>
      </c>
      <c r="W801" s="2" t="s">
        <v>38</v>
      </c>
      <c r="X801" s="2" t="s">
        <v>39</v>
      </c>
      <c r="Y801" s="2" t="s">
        <v>39</v>
      </c>
      <c r="Z801" s="2" t="s">
        <v>38</v>
      </c>
      <c r="AA801" s="2" t="s">
        <v>38</v>
      </c>
      <c r="AB801" s="2" t="s">
        <v>38</v>
      </c>
      <c r="AC801" s="2" t="s">
        <v>38</v>
      </c>
      <c r="AD801" s="2" t="s">
        <v>38</v>
      </c>
      <c r="AE801" s="2" t="s">
        <v>40</v>
      </c>
    </row>
    <row r="802" spans="1:31" ht="409.5">
      <c r="A802" s="2">
        <v>2752800</v>
      </c>
      <c r="B802" s="2">
        <f>HYPERLINK("https://platform.v2.vetology.net/cases/2752800/screening-report/1?type=pdf&amp;v=v6&amp;scorecard=1&amp;secret_key=BX%25IJ%24%2F65ieZ%29f6", 2752800)</f>
        <v>2752800</v>
      </c>
      <c r="C802" s="2">
        <f>HYPERLINK("https://platform.v2.vetology.net/report/v/final/"&amp;2752800, 2752800)</f>
        <v>2752800</v>
      </c>
      <c r="D802" s="2" t="s">
        <v>2714</v>
      </c>
      <c r="E802" s="2" t="s">
        <v>2715</v>
      </c>
      <c r="F802" s="2" t="s">
        <v>1225</v>
      </c>
      <c r="G802" s="2" t="s">
        <v>44</v>
      </c>
      <c r="H802" s="2" t="s">
        <v>69</v>
      </c>
      <c r="I802" s="2" t="s">
        <v>46</v>
      </c>
      <c r="J802" s="2"/>
      <c r="K802" s="2" t="s">
        <v>39</v>
      </c>
      <c r="L802" s="2" t="s">
        <v>39</v>
      </c>
      <c r="M802" s="2" t="s">
        <v>39</v>
      </c>
      <c r="N802" s="2" t="s">
        <v>39</v>
      </c>
      <c r="O802" s="2" t="s">
        <v>39</v>
      </c>
      <c r="P802" s="2" t="s">
        <v>39</v>
      </c>
      <c r="Q802" s="2" t="s">
        <v>39</v>
      </c>
      <c r="R802" s="2" t="s">
        <v>39</v>
      </c>
      <c r="S802" s="2" t="s">
        <v>39</v>
      </c>
      <c r="T802" s="2" t="s">
        <v>39</v>
      </c>
      <c r="U802" s="2" t="s">
        <v>39</v>
      </c>
      <c r="V802" s="2" t="s">
        <v>39</v>
      </c>
      <c r="W802" s="2" t="s">
        <v>39</v>
      </c>
      <c r="X802" s="2" t="s">
        <v>39</v>
      </c>
      <c r="Y802" s="2" t="s">
        <v>39</v>
      </c>
      <c r="Z802" s="2" t="s">
        <v>39</v>
      </c>
      <c r="AA802" s="2" t="s">
        <v>39</v>
      </c>
      <c r="AB802" s="2" t="s">
        <v>39</v>
      </c>
      <c r="AC802" s="2" t="s">
        <v>38</v>
      </c>
      <c r="AD802" s="2" t="s">
        <v>39</v>
      </c>
      <c r="AE802" s="2" t="s">
        <v>39</v>
      </c>
    </row>
    <row r="803" spans="1:31" ht="409.5">
      <c r="A803" s="2">
        <v>2752794</v>
      </c>
      <c r="B803" s="2">
        <f>HYPERLINK("https://platform.v2.vetology.net/cases/2752794/screening-report/1?type=pdf&amp;v=v6&amp;scorecard=1&amp;secret_key=BX%25IJ%24%2F65ieZ%29f6", 2752794)</f>
        <v>2752794</v>
      </c>
      <c r="C803" s="2">
        <f>HYPERLINK("https://platform.v2.vetology.net/report/v/final/"&amp;2752794, 2752794)</f>
        <v>2752794</v>
      </c>
      <c r="D803" s="2" t="s">
        <v>2716</v>
      </c>
      <c r="E803" s="2" t="s">
        <v>2717</v>
      </c>
      <c r="F803" s="2" t="s">
        <v>2718</v>
      </c>
      <c r="G803" s="2" t="s">
        <v>53</v>
      </c>
      <c r="H803" s="2" t="s">
        <v>2719</v>
      </c>
      <c r="I803" s="2" t="s">
        <v>36</v>
      </c>
      <c r="J803" s="2" t="s">
        <v>37</v>
      </c>
      <c r="K803" s="2" t="s">
        <v>38</v>
      </c>
      <c r="L803" s="2" t="s">
        <v>39</v>
      </c>
      <c r="M803" s="2" t="s">
        <v>38</v>
      </c>
      <c r="N803" s="2" t="s">
        <v>39</v>
      </c>
      <c r="O803" s="2" t="s">
        <v>39</v>
      </c>
      <c r="P803" s="2" t="s">
        <v>39</v>
      </c>
      <c r="Q803" s="2" t="s">
        <v>39</v>
      </c>
      <c r="R803" s="2" t="s">
        <v>39</v>
      </c>
      <c r="S803" s="2" t="s">
        <v>39</v>
      </c>
      <c r="T803" s="2" t="s">
        <v>39</v>
      </c>
      <c r="U803" s="2" t="s">
        <v>39</v>
      </c>
      <c r="V803" s="2" t="s">
        <v>39</v>
      </c>
      <c r="W803" s="2" t="s">
        <v>38</v>
      </c>
      <c r="X803" s="2" t="s">
        <v>39</v>
      </c>
      <c r="Y803" s="2" t="s">
        <v>39</v>
      </c>
      <c r="Z803" s="2" t="s">
        <v>38</v>
      </c>
      <c r="AA803" s="2" t="s">
        <v>39</v>
      </c>
      <c r="AB803" s="2" t="s">
        <v>39</v>
      </c>
      <c r="AC803" s="2" t="s">
        <v>38</v>
      </c>
      <c r="AD803" s="2" t="s">
        <v>39</v>
      </c>
      <c r="AE803" s="2" t="s">
        <v>39</v>
      </c>
    </row>
    <row r="804" spans="1:31" ht="409.5">
      <c r="A804" s="2">
        <v>2752790</v>
      </c>
      <c r="B804" s="2">
        <f>HYPERLINK("https://platform.v2.vetology.net/cases/2752790/screening-report/1?type=pdf&amp;v=v6&amp;scorecard=1&amp;secret_key=BX%25IJ%24%2F65ieZ%29f6", 2752790)</f>
        <v>2752790</v>
      </c>
      <c r="C804" s="2">
        <f>HYPERLINK("https://platform.v2.vetology.net/report/v/final/"&amp;2752790, 2752790)</f>
        <v>2752790</v>
      </c>
      <c r="D804" s="2" t="s">
        <v>2720</v>
      </c>
      <c r="E804" s="2" t="s">
        <v>2721</v>
      </c>
      <c r="F804" s="2" t="s">
        <v>2722</v>
      </c>
      <c r="G804" s="2" t="s">
        <v>251</v>
      </c>
      <c r="H804" s="2" t="s">
        <v>69</v>
      </c>
      <c r="I804" s="2" t="s">
        <v>46</v>
      </c>
      <c r="J804" s="2"/>
      <c r="K804" s="2" t="s">
        <v>39</v>
      </c>
      <c r="L804" s="2" t="s">
        <v>39</v>
      </c>
      <c r="M804" s="2" t="s">
        <v>39</v>
      </c>
      <c r="N804" s="2" t="s">
        <v>39</v>
      </c>
      <c r="O804" s="2" t="s">
        <v>39</v>
      </c>
      <c r="P804" s="2" t="s">
        <v>39</v>
      </c>
      <c r="Q804" s="2" t="s">
        <v>39</v>
      </c>
      <c r="R804" s="2" t="s">
        <v>39</v>
      </c>
      <c r="S804" s="2" t="s">
        <v>39</v>
      </c>
      <c r="T804" s="2" t="s">
        <v>39</v>
      </c>
      <c r="U804" s="2" t="s">
        <v>39</v>
      </c>
      <c r="V804" s="2" t="s">
        <v>39</v>
      </c>
      <c r="W804" s="2" t="s">
        <v>39</v>
      </c>
      <c r="X804" s="2" t="s">
        <v>39</v>
      </c>
      <c r="Y804" s="2" t="s">
        <v>39</v>
      </c>
      <c r="Z804" s="2" t="s">
        <v>39</v>
      </c>
      <c r="AA804" s="2" t="s">
        <v>39</v>
      </c>
      <c r="AB804" s="2" t="s">
        <v>39</v>
      </c>
      <c r="AC804" s="2" t="s">
        <v>39</v>
      </c>
      <c r="AD804" s="2" t="s">
        <v>38</v>
      </c>
      <c r="AE804" s="2" t="s">
        <v>39</v>
      </c>
    </row>
    <row r="805" spans="1:31" ht="409.5">
      <c r="A805" s="2">
        <v>2752786</v>
      </c>
      <c r="B805" s="2">
        <f>HYPERLINK("https://platform.v2.vetology.net/cases/2752786/screening-report/1?type=pdf&amp;v=v6&amp;scorecard=1&amp;secret_key=BX%25IJ%24%2F65ieZ%29f6", 2752786)</f>
        <v>2752786</v>
      </c>
      <c r="C805" s="2">
        <f>HYPERLINK("https://platform.v2.vetology.net/report/v/final/"&amp;2752786, 2752786)</f>
        <v>2752786</v>
      </c>
      <c r="D805" s="2" t="s">
        <v>2723</v>
      </c>
      <c r="E805" s="2" t="s">
        <v>2724</v>
      </c>
      <c r="F805" s="2" t="s">
        <v>2725</v>
      </c>
      <c r="G805" s="2" t="s">
        <v>170</v>
      </c>
      <c r="H805" s="2" t="s">
        <v>611</v>
      </c>
      <c r="I805" s="2" t="s">
        <v>46</v>
      </c>
      <c r="J805" s="2"/>
      <c r="K805" s="2" t="s">
        <v>39</v>
      </c>
      <c r="L805" s="2" t="s">
        <v>39</v>
      </c>
      <c r="M805" s="2" t="s">
        <v>39</v>
      </c>
      <c r="N805" s="2" t="s">
        <v>39</v>
      </c>
      <c r="O805" s="2" t="s">
        <v>39</v>
      </c>
      <c r="P805" s="2" t="s">
        <v>39</v>
      </c>
      <c r="Q805" s="2" t="s">
        <v>39</v>
      </c>
      <c r="R805" s="2" t="s">
        <v>39</v>
      </c>
      <c r="S805" s="2" t="s">
        <v>39</v>
      </c>
      <c r="T805" s="2" t="s">
        <v>39</v>
      </c>
      <c r="U805" s="2" t="s">
        <v>39</v>
      </c>
      <c r="V805" s="2" t="s">
        <v>39</v>
      </c>
      <c r="W805" s="2" t="s">
        <v>38</v>
      </c>
      <c r="X805" s="2" t="s">
        <v>39</v>
      </c>
      <c r="Y805" s="2" t="s">
        <v>39</v>
      </c>
      <c r="Z805" s="2" t="s">
        <v>39</v>
      </c>
      <c r="AA805" s="2" t="s">
        <v>39</v>
      </c>
      <c r="AB805" s="2" t="s">
        <v>39</v>
      </c>
      <c r="AC805" s="2" t="s">
        <v>38</v>
      </c>
      <c r="AD805" s="2" t="s">
        <v>39</v>
      </c>
      <c r="AE805" s="2" t="s">
        <v>39</v>
      </c>
    </row>
    <row r="806" spans="1:31" ht="409.5">
      <c r="A806" s="2">
        <v>2752774</v>
      </c>
      <c r="B806" s="2">
        <f>HYPERLINK("https://platform.v2.vetology.net/cases/2752774/screening-report/1?type=pdf&amp;v=v6&amp;scorecard=1&amp;secret_key=BX%25IJ%24%2F65ieZ%29f6", 2752774)</f>
        <v>2752774</v>
      </c>
      <c r="C806" s="2">
        <f>HYPERLINK("https://platform.v2.vetology.net/report/v/final/"&amp;2752774, 2752774)</f>
        <v>2752774</v>
      </c>
      <c r="D806" s="2" t="s">
        <v>2726</v>
      </c>
      <c r="E806" s="2" t="s">
        <v>2727</v>
      </c>
      <c r="F806" s="2"/>
      <c r="G806" s="2" t="s">
        <v>507</v>
      </c>
      <c r="H806" s="2" t="s">
        <v>2728</v>
      </c>
      <c r="I806" s="2" t="s">
        <v>129</v>
      </c>
      <c r="J806" s="2" t="s">
        <v>74</v>
      </c>
      <c r="K806" s="2" t="s">
        <v>38</v>
      </c>
      <c r="L806" s="2" t="s">
        <v>38</v>
      </c>
      <c r="M806" s="2" t="s">
        <v>38</v>
      </c>
      <c r="N806" s="2" t="s">
        <v>38</v>
      </c>
      <c r="O806" s="2" t="s">
        <v>38</v>
      </c>
      <c r="P806" s="2" t="s">
        <v>38</v>
      </c>
      <c r="Q806" s="2" t="s">
        <v>38</v>
      </c>
      <c r="R806" s="2" t="s">
        <v>39</v>
      </c>
      <c r="S806" s="2" t="s">
        <v>38</v>
      </c>
      <c r="T806" s="2" t="s">
        <v>38</v>
      </c>
      <c r="U806" s="2" t="s">
        <v>39</v>
      </c>
      <c r="V806" s="2" t="s">
        <v>38</v>
      </c>
      <c r="W806" s="2" t="s">
        <v>38</v>
      </c>
      <c r="X806" s="2" t="s">
        <v>38</v>
      </c>
      <c r="Y806" s="2" t="s">
        <v>38</v>
      </c>
      <c r="Z806" s="2" t="s">
        <v>38</v>
      </c>
      <c r="AA806" s="2" t="s">
        <v>39</v>
      </c>
      <c r="AB806" s="2" t="s">
        <v>38</v>
      </c>
      <c r="AC806" s="2" t="s">
        <v>38</v>
      </c>
      <c r="AD806" s="2" t="s">
        <v>38</v>
      </c>
      <c r="AE806" s="2" t="s">
        <v>39</v>
      </c>
    </row>
    <row r="807" spans="1:31" ht="409.5">
      <c r="A807" s="2">
        <v>2752773</v>
      </c>
      <c r="B807" s="2">
        <f>HYPERLINK("https://platform.v2.vetology.net/cases/2752773/screening-report/1?type=pdf&amp;v=v6&amp;scorecard=1&amp;secret_key=BX%25IJ%24%2F65ieZ%29f6", 2752773)</f>
        <v>2752773</v>
      </c>
      <c r="C807" s="2">
        <f>HYPERLINK("https://platform.v2.vetology.net/report/v/final/"&amp;2752773, 2752773)</f>
        <v>2752773</v>
      </c>
      <c r="D807" s="2" t="s">
        <v>2729</v>
      </c>
      <c r="E807" s="2" t="s">
        <v>2730</v>
      </c>
      <c r="F807" s="2" t="s">
        <v>43</v>
      </c>
      <c r="G807" s="2" t="s">
        <v>44</v>
      </c>
      <c r="H807" s="2" t="s">
        <v>515</v>
      </c>
      <c r="I807" s="2" t="s">
        <v>36</v>
      </c>
      <c r="J807" s="2" t="s">
        <v>37</v>
      </c>
      <c r="K807" s="2" t="s">
        <v>39</v>
      </c>
      <c r="L807" s="2" t="s">
        <v>39</v>
      </c>
      <c r="M807" s="2" t="s">
        <v>38</v>
      </c>
      <c r="N807" s="2" t="s">
        <v>39</v>
      </c>
      <c r="O807" s="2" t="s">
        <v>39</v>
      </c>
      <c r="P807" s="2" t="s">
        <v>39</v>
      </c>
      <c r="Q807" s="2" t="s">
        <v>39</v>
      </c>
      <c r="R807" s="2" t="s">
        <v>39</v>
      </c>
      <c r="S807" s="2" t="s">
        <v>39</v>
      </c>
      <c r="T807" s="2" t="s">
        <v>39</v>
      </c>
      <c r="U807" s="2" t="s">
        <v>39</v>
      </c>
      <c r="V807" s="2" t="s">
        <v>39</v>
      </c>
      <c r="W807" s="2" t="s">
        <v>38</v>
      </c>
      <c r="X807" s="2" t="s">
        <v>39</v>
      </c>
      <c r="Y807" s="2" t="s">
        <v>39</v>
      </c>
      <c r="Z807" s="2" t="s">
        <v>39</v>
      </c>
      <c r="AA807" s="2" t="s">
        <v>38</v>
      </c>
      <c r="AB807" s="2" t="s">
        <v>39</v>
      </c>
      <c r="AC807" s="2" t="s">
        <v>38</v>
      </c>
      <c r="AD807" s="2" t="s">
        <v>39</v>
      </c>
      <c r="AE807" s="2" t="s">
        <v>40</v>
      </c>
    </row>
    <row r="808" spans="1:31" ht="409.5">
      <c r="A808" s="2">
        <v>2752766</v>
      </c>
      <c r="B808" s="2">
        <f>HYPERLINK("https://platform.v2.vetology.net/cases/2752766/screening-report/1?type=pdf&amp;v=v6&amp;scorecard=1&amp;secret_key=BX%25IJ%24%2F65ieZ%29f6", 2752766)</f>
        <v>2752766</v>
      </c>
      <c r="C808" s="2">
        <f>HYPERLINK("https://platform.v2.vetology.net/report/v/final/"&amp;2752766, 2752766)</f>
        <v>2752766</v>
      </c>
      <c r="D808" s="2" t="s">
        <v>2731</v>
      </c>
      <c r="E808" s="2" t="s">
        <v>2732</v>
      </c>
      <c r="F808" s="2" t="s">
        <v>43</v>
      </c>
      <c r="G808" s="2" t="s">
        <v>44</v>
      </c>
      <c r="H808" s="2" t="s">
        <v>2733</v>
      </c>
      <c r="I808" s="2" t="s">
        <v>36</v>
      </c>
      <c r="J808" s="2" t="s">
        <v>37</v>
      </c>
      <c r="K808" s="2" t="s">
        <v>38</v>
      </c>
      <c r="L808" s="2" t="s">
        <v>38</v>
      </c>
      <c r="M808" s="2" t="s">
        <v>38</v>
      </c>
      <c r="N808" s="2" t="s">
        <v>38</v>
      </c>
      <c r="O808" s="2" t="s">
        <v>38</v>
      </c>
      <c r="P808" s="2" t="s">
        <v>38</v>
      </c>
      <c r="Q808" s="2" t="s">
        <v>39</v>
      </c>
      <c r="R808" s="2" t="s">
        <v>39</v>
      </c>
      <c r="S808" s="2" t="s">
        <v>38</v>
      </c>
      <c r="T808" s="2" t="s">
        <v>39</v>
      </c>
      <c r="U808" s="2" t="s">
        <v>39</v>
      </c>
      <c r="V808" s="2" t="s">
        <v>39</v>
      </c>
      <c r="W808" s="2" t="s">
        <v>38</v>
      </c>
      <c r="X808" s="2" t="s">
        <v>39</v>
      </c>
      <c r="Y808" s="2" t="s">
        <v>39</v>
      </c>
      <c r="Z808" s="2" t="s">
        <v>38</v>
      </c>
      <c r="AA808" s="2" t="s">
        <v>38</v>
      </c>
      <c r="AB808" s="2" t="s">
        <v>39</v>
      </c>
      <c r="AC808" s="2" t="s">
        <v>38</v>
      </c>
      <c r="AD808" s="2" t="s">
        <v>38</v>
      </c>
      <c r="AE808" s="2" t="s">
        <v>40</v>
      </c>
    </row>
    <row r="809" spans="1:31" ht="409.5">
      <c r="A809" s="2">
        <v>2752699</v>
      </c>
      <c r="B809" s="2">
        <f>HYPERLINK("https://platform.v2.vetology.net/cases/2752699/screening-report/1?type=pdf&amp;v=v6&amp;scorecard=1&amp;secret_key=BX%25IJ%24%2F65ieZ%29f6", 2752699)</f>
        <v>2752699</v>
      </c>
      <c r="C809" s="2">
        <f>HYPERLINK("https://platform.v2.vetology.net/report/v/final/"&amp;2752699, 2752699)</f>
        <v>2752699</v>
      </c>
      <c r="D809" s="2" t="s">
        <v>2734</v>
      </c>
      <c r="E809" s="2" t="s">
        <v>2735</v>
      </c>
      <c r="F809" s="2" t="s">
        <v>787</v>
      </c>
      <c r="G809" s="2" t="s">
        <v>100</v>
      </c>
      <c r="H809" s="2" t="s">
        <v>1814</v>
      </c>
      <c r="I809" s="2" t="s">
        <v>36</v>
      </c>
      <c r="J809" s="2" t="s">
        <v>37</v>
      </c>
      <c r="K809" s="2" t="s">
        <v>39</v>
      </c>
      <c r="L809" s="2" t="s">
        <v>38</v>
      </c>
      <c r="M809" s="2" t="s">
        <v>38</v>
      </c>
      <c r="N809" s="2" t="s">
        <v>38</v>
      </c>
      <c r="O809" s="2" t="s">
        <v>38</v>
      </c>
      <c r="P809" s="2" t="s">
        <v>39</v>
      </c>
      <c r="Q809" s="2" t="s">
        <v>39</v>
      </c>
      <c r="R809" s="2" t="s">
        <v>39</v>
      </c>
      <c r="S809" s="2" t="s">
        <v>38</v>
      </c>
      <c r="T809" s="2" t="s">
        <v>39</v>
      </c>
      <c r="U809" s="2" t="s">
        <v>39</v>
      </c>
      <c r="V809" s="2" t="s">
        <v>39</v>
      </c>
      <c r="W809" s="2" t="s">
        <v>38</v>
      </c>
      <c r="X809" s="2" t="s">
        <v>39</v>
      </c>
      <c r="Y809" s="2" t="s">
        <v>39</v>
      </c>
      <c r="Z809" s="2" t="s">
        <v>38</v>
      </c>
      <c r="AA809" s="2" t="s">
        <v>39</v>
      </c>
      <c r="AB809" s="2" t="s">
        <v>39</v>
      </c>
      <c r="AC809" s="2" t="s">
        <v>38</v>
      </c>
      <c r="AD809" s="2" t="s">
        <v>38</v>
      </c>
      <c r="AE809" s="2" t="s">
        <v>39</v>
      </c>
    </row>
    <row r="810" spans="1:31" ht="409.5">
      <c r="A810" s="2">
        <v>2752616</v>
      </c>
      <c r="B810" s="2">
        <f>HYPERLINK("https://platform.v2.vetology.net/cases/2752616/screening-report/1?type=pdf&amp;v=v6&amp;scorecard=1&amp;secret_key=BX%25IJ%24%2F65ieZ%29f6", 2752616)</f>
        <v>2752616</v>
      </c>
      <c r="C810" s="2">
        <f>HYPERLINK("https://platform.v2.vetology.net/report/v/final/"&amp;2752616, 2752616)</f>
        <v>2752616</v>
      </c>
      <c r="D810" s="2" t="s">
        <v>2736</v>
      </c>
      <c r="E810" s="2" t="s">
        <v>2737</v>
      </c>
      <c r="F810" s="2" t="s">
        <v>2738</v>
      </c>
      <c r="G810" s="2" t="s">
        <v>415</v>
      </c>
      <c r="H810" s="2" t="s">
        <v>797</v>
      </c>
      <c r="I810" s="2" t="s">
        <v>59</v>
      </c>
      <c r="J810" s="2" t="s">
        <v>37</v>
      </c>
      <c r="K810" s="2" t="s">
        <v>38</v>
      </c>
      <c r="L810" s="2" t="s">
        <v>39</v>
      </c>
      <c r="M810" s="2" t="s">
        <v>39</v>
      </c>
      <c r="N810" s="2" t="s">
        <v>39</v>
      </c>
      <c r="O810" s="2" t="s">
        <v>39</v>
      </c>
      <c r="P810" s="2" t="s">
        <v>39</v>
      </c>
      <c r="Q810" s="2" t="s">
        <v>39</v>
      </c>
      <c r="R810" s="2" t="s">
        <v>38</v>
      </c>
      <c r="S810" s="2" t="s">
        <v>39</v>
      </c>
      <c r="T810" s="2" t="s">
        <v>39</v>
      </c>
      <c r="U810" s="2" t="s">
        <v>39</v>
      </c>
      <c r="V810" s="2" t="s">
        <v>38</v>
      </c>
      <c r="W810" s="2" t="s">
        <v>38</v>
      </c>
      <c r="X810" s="2" t="s">
        <v>39</v>
      </c>
      <c r="Y810" s="2" t="s">
        <v>39</v>
      </c>
      <c r="Z810" s="2" t="s">
        <v>39</v>
      </c>
      <c r="AA810" s="2" t="s">
        <v>39</v>
      </c>
      <c r="AB810" s="2" t="s">
        <v>39</v>
      </c>
      <c r="AC810" s="2" t="s">
        <v>38</v>
      </c>
      <c r="AD810" s="2" t="s">
        <v>39</v>
      </c>
      <c r="AE810" s="2" t="s">
        <v>40</v>
      </c>
    </row>
    <row r="811" spans="1:31" ht="409.5">
      <c r="A811" s="2">
        <v>2752583</v>
      </c>
      <c r="B811" s="2">
        <f>HYPERLINK("https://platform.v2.vetology.net/cases/2752583/screening-report/1?type=pdf&amp;v=v6&amp;scorecard=1&amp;secret_key=BX%25IJ%24%2F65ieZ%29f6", 2752583)</f>
        <v>2752583</v>
      </c>
      <c r="C811" s="2">
        <f>HYPERLINK("https://platform.v2.vetology.net/report/v/final/"&amp;2752583, 2752583)</f>
        <v>2752583</v>
      </c>
      <c r="D811" s="2" t="s">
        <v>2739</v>
      </c>
      <c r="E811" s="2" t="s">
        <v>2740</v>
      </c>
      <c r="F811" s="2" t="s">
        <v>43</v>
      </c>
      <c r="G811" s="2" t="s">
        <v>44</v>
      </c>
      <c r="H811" s="2" t="s">
        <v>2741</v>
      </c>
      <c r="I811" s="2" t="s">
        <v>36</v>
      </c>
      <c r="J811" s="2" t="s">
        <v>37</v>
      </c>
      <c r="K811" s="2" t="s">
        <v>39</v>
      </c>
      <c r="L811" s="2" t="s">
        <v>38</v>
      </c>
      <c r="M811" s="2" t="s">
        <v>38</v>
      </c>
      <c r="N811" s="2" t="s">
        <v>38</v>
      </c>
      <c r="O811" s="2" t="s">
        <v>38</v>
      </c>
      <c r="P811" s="2" t="s">
        <v>38</v>
      </c>
      <c r="Q811" s="2" t="s">
        <v>39</v>
      </c>
      <c r="R811" s="2" t="s">
        <v>38</v>
      </c>
      <c r="S811" s="2" t="s">
        <v>38</v>
      </c>
      <c r="T811" s="2" t="s">
        <v>39</v>
      </c>
      <c r="U811" s="2" t="s">
        <v>38</v>
      </c>
      <c r="V811" s="2" t="s">
        <v>39</v>
      </c>
      <c r="W811" s="2" t="s">
        <v>38</v>
      </c>
      <c r="X811" s="2" t="s">
        <v>39</v>
      </c>
      <c r="Y811" s="2" t="s">
        <v>38</v>
      </c>
      <c r="Z811" s="2" t="s">
        <v>38</v>
      </c>
      <c r="AA811" s="2" t="s">
        <v>38</v>
      </c>
      <c r="AB811" s="2" t="s">
        <v>39</v>
      </c>
      <c r="AC811" s="2" t="s">
        <v>38</v>
      </c>
      <c r="AD811" s="2" t="s">
        <v>38</v>
      </c>
      <c r="AE811" s="2"/>
    </row>
    <row r="812" spans="1:31" ht="409.5">
      <c r="A812" s="2">
        <v>2752569</v>
      </c>
      <c r="B812" s="2">
        <f>HYPERLINK("https://platform.v2.vetology.net/cases/2752569/screening-report/1?type=pdf&amp;v=v6&amp;scorecard=1&amp;secret_key=BX%25IJ%24%2F65ieZ%29f6", 2752569)</f>
        <v>2752569</v>
      </c>
      <c r="C812" s="2">
        <f>HYPERLINK("https://platform.v2.vetology.net/report/v/final/"&amp;2752569, 2752569)</f>
        <v>2752569</v>
      </c>
      <c r="D812" s="2" t="s">
        <v>2742</v>
      </c>
      <c r="E812" s="2" t="s">
        <v>2743</v>
      </c>
      <c r="F812" s="2" t="s">
        <v>43</v>
      </c>
      <c r="G812" s="2" t="s">
        <v>44</v>
      </c>
      <c r="H812" s="2" t="s">
        <v>2744</v>
      </c>
      <c r="I812" s="2" t="s">
        <v>36</v>
      </c>
      <c r="J812" s="2" t="s">
        <v>37</v>
      </c>
      <c r="K812" s="2" t="s">
        <v>38</v>
      </c>
      <c r="L812" s="2" t="s">
        <v>38</v>
      </c>
      <c r="M812" s="2" t="s">
        <v>38</v>
      </c>
      <c r="N812" s="2" t="s">
        <v>38</v>
      </c>
      <c r="O812" s="2" t="s">
        <v>38</v>
      </c>
      <c r="P812" s="2" t="s">
        <v>38</v>
      </c>
      <c r="Q812" s="2" t="s">
        <v>39</v>
      </c>
      <c r="R812" s="2" t="s">
        <v>38</v>
      </c>
      <c r="S812" s="2" t="s">
        <v>38</v>
      </c>
      <c r="T812" s="2" t="s">
        <v>39</v>
      </c>
      <c r="U812" s="2" t="s">
        <v>38</v>
      </c>
      <c r="V812" s="2" t="s">
        <v>38</v>
      </c>
      <c r="W812" s="2" t="s">
        <v>38</v>
      </c>
      <c r="X812" s="2" t="s">
        <v>39</v>
      </c>
      <c r="Y812" s="2" t="s">
        <v>38</v>
      </c>
      <c r="Z812" s="2" t="s">
        <v>38</v>
      </c>
      <c r="AA812" s="2" t="s">
        <v>38</v>
      </c>
      <c r="AB812" s="2" t="s">
        <v>39</v>
      </c>
      <c r="AC812" s="2" t="s">
        <v>38</v>
      </c>
      <c r="AD812" s="2" t="s">
        <v>38</v>
      </c>
      <c r="AE812" s="2"/>
    </row>
    <row r="813" spans="1:31" ht="409.5">
      <c r="A813" s="2">
        <v>2752557</v>
      </c>
      <c r="B813" s="2">
        <f>HYPERLINK("https://platform.v2.vetology.net/cases/2752557/screening-report/1?type=pdf&amp;v=v6&amp;scorecard=1&amp;secret_key=BX%25IJ%24%2F65ieZ%29f6", 2752557)</f>
        <v>2752557</v>
      </c>
      <c r="C813" s="2">
        <f>HYPERLINK("https://platform.v2.vetology.net/report/v/final/"&amp;2752557, 2752557)</f>
        <v>2752557</v>
      </c>
      <c r="D813" s="2" t="s">
        <v>2745</v>
      </c>
      <c r="E813" s="2" t="s">
        <v>2746</v>
      </c>
      <c r="F813" s="2" t="s">
        <v>2747</v>
      </c>
      <c r="G813" s="2" t="s">
        <v>170</v>
      </c>
      <c r="H813" s="2" t="s">
        <v>2748</v>
      </c>
      <c r="I813" s="2" t="s">
        <v>73</v>
      </c>
      <c r="J813" s="2" t="s">
        <v>74</v>
      </c>
      <c r="K813" s="2" t="s">
        <v>38</v>
      </c>
      <c r="L813" s="2" t="s">
        <v>38</v>
      </c>
      <c r="M813" s="2" t="s">
        <v>38</v>
      </c>
      <c r="N813" s="2" t="s">
        <v>38</v>
      </c>
      <c r="O813" s="2" t="s">
        <v>38</v>
      </c>
      <c r="P813" s="2" t="s">
        <v>39</v>
      </c>
      <c r="Q813" s="2" t="s">
        <v>38</v>
      </c>
      <c r="R813" s="2" t="s">
        <v>38</v>
      </c>
      <c r="S813" s="2" t="s">
        <v>38</v>
      </c>
      <c r="T813" s="2" t="s">
        <v>39</v>
      </c>
      <c r="U813" s="2" t="s">
        <v>38</v>
      </c>
      <c r="V813" s="2" t="s">
        <v>38</v>
      </c>
      <c r="W813" s="2" t="s">
        <v>39</v>
      </c>
      <c r="X813" s="2" t="s">
        <v>38</v>
      </c>
      <c r="Y813" s="2" t="s">
        <v>39</v>
      </c>
      <c r="Z813" s="2" t="s">
        <v>38</v>
      </c>
      <c r="AA813" s="2" t="s">
        <v>38</v>
      </c>
      <c r="AB813" s="2" t="s">
        <v>38</v>
      </c>
      <c r="AC813" s="2" t="s">
        <v>38</v>
      </c>
      <c r="AD813" s="2" t="s">
        <v>39</v>
      </c>
      <c r="AE813" s="2" t="s">
        <v>39</v>
      </c>
    </row>
    <row r="814" spans="1:31" ht="409.5">
      <c r="A814" s="2">
        <v>2752514</v>
      </c>
      <c r="B814" s="2">
        <f>HYPERLINK("https://platform.v2.vetology.net/cases/2752514/screening-report/1?type=pdf&amp;v=v6&amp;scorecard=1&amp;secret_key=BX%25IJ%24%2F65ieZ%29f6", 2752514)</f>
        <v>2752514</v>
      </c>
      <c r="C814" s="2">
        <f>HYPERLINK("https://platform.v2.vetology.net/report/v/final/"&amp;2752514, 2752514)</f>
        <v>2752514</v>
      </c>
      <c r="D814" s="2" t="s">
        <v>2749</v>
      </c>
      <c r="E814" s="2" t="s">
        <v>2750</v>
      </c>
      <c r="F814" s="2" t="s">
        <v>2751</v>
      </c>
      <c r="G814" s="2" t="s">
        <v>111</v>
      </c>
      <c r="H814" s="2" t="s">
        <v>2752</v>
      </c>
      <c r="I814" s="2" t="s">
        <v>36</v>
      </c>
      <c r="J814" s="2" t="s">
        <v>37</v>
      </c>
      <c r="K814" s="2" t="s">
        <v>38</v>
      </c>
      <c r="L814" s="2" t="s">
        <v>38</v>
      </c>
      <c r="M814" s="2" t="s">
        <v>38</v>
      </c>
      <c r="N814" s="2" t="s">
        <v>38</v>
      </c>
      <c r="O814" s="2" t="s">
        <v>38</v>
      </c>
      <c r="P814" s="2" t="s">
        <v>39</v>
      </c>
      <c r="Q814" s="2" t="s">
        <v>39</v>
      </c>
      <c r="R814" s="2" t="s">
        <v>38</v>
      </c>
      <c r="S814" s="2" t="s">
        <v>39</v>
      </c>
      <c r="T814" s="2" t="s">
        <v>39</v>
      </c>
      <c r="U814" s="2" t="s">
        <v>38</v>
      </c>
      <c r="V814" s="2" t="s">
        <v>38</v>
      </c>
      <c r="W814" s="2" t="s">
        <v>39</v>
      </c>
      <c r="X814" s="2" t="s">
        <v>39</v>
      </c>
      <c r="Y814" s="2" t="s">
        <v>39</v>
      </c>
      <c r="Z814" s="2" t="s">
        <v>38</v>
      </c>
      <c r="AA814" s="2" t="s">
        <v>38</v>
      </c>
      <c r="AB814" s="2" t="s">
        <v>39</v>
      </c>
      <c r="AC814" s="2" t="s">
        <v>38</v>
      </c>
      <c r="AD814" s="2" t="s">
        <v>38</v>
      </c>
      <c r="AE814" s="2" t="s">
        <v>39</v>
      </c>
    </row>
    <row r="815" spans="1:31" ht="409.5">
      <c r="A815" s="2">
        <v>2752424</v>
      </c>
      <c r="B815" s="2">
        <f>HYPERLINK("https://platform.v2.vetology.net/cases/2752424/screening-report/1?type=pdf&amp;v=v6&amp;scorecard=1&amp;secret_key=BX%25IJ%24%2F65ieZ%29f6", 2752424)</f>
        <v>2752424</v>
      </c>
      <c r="C815" s="2">
        <f>HYPERLINK("https://platform.v2.vetology.net/report/v/final/"&amp;2752424, 2752424)</f>
        <v>2752424</v>
      </c>
      <c r="D815" s="2" t="s">
        <v>2629</v>
      </c>
      <c r="E815" s="2" t="s">
        <v>118</v>
      </c>
      <c r="F815" s="2" t="s">
        <v>2753</v>
      </c>
      <c r="G815" s="2" t="s">
        <v>111</v>
      </c>
      <c r="H815" s="2" t="s">
        <v>45</v>
      </c>
      <c r="I815" s="2" t="s">
        <v>46</v>
      </c>
      <c r="J815" s="2"/>
      <c r="K815" s="2" t="s">
        <v>39</v>
      </c>
      <c r="L815" s="2" t="s">
        <v>39</v>
      </c>
      <c r="M815" s="2" t="s">
        <v>39</v>
      </c>
      <c r="N815" s="2" t="s">
        <v>39</v>
      </c>
      <c r="O815" s="2" t="s">
        <v>39</v>
      </c>
      <c r="P815" s="2" t="s">
        <v>39</v>
      </c>
      <c r="Q815" s="2" t="s">
        <v>39</v>
      </c>
      <c r="R815" s="2" t="s">
        <v>38</v>
      </c>
      <c r="S815" s="2" t="s">
        <v>39</v>
      </c>
      <c r="T815" s="2" t="s">
        <v>39</v>
      </c>
      <c r="U815" s="2" t="s">
        <v>38</v>
      </c>
      <c r="V815" s="2" t="s">
        <v>39</v>
      </c>
      <c r="W815" s="2" t="s">
        <v>39</v>
      </c>
      <c r="X815" s="2" t="s">
        <v>39</v>
      </c>
      <c r="Y815" s="2" t="s">
        <v>39</v>
      </c>
      <c r="Z815" s="2" t="s">
        <v>39</v>
      </c>
      <c r="AA815" s="2" t="s">
        <v>39</v>
      </c>
      <c r="AB815" s="2" t="s">
        <v>39</v>
      </c>
      <c r="AC815" s="2" t="s">
        <v>38</v>
      </c>
      <c r="AD815" s="2" t="s">
        <v>39</v>
      </c>
      <c r="AE815" s="2" t="s">
        <v>39</v>
      </c>
    </row>
    <row r="816" spans="1:31" ht="409.5">
      <c r="A816" s="2">
        <v>2752412</v>
      </c>
      <c r="B816" s="2">
        <f>HYPERLINK("https://platform.v2.vetology.net/cases/2752412/screening-report/1?type=pdf&amp;v=v6&amp;scorecard=1&amp;secret_key=BX%25IJ%24%2F65ieZ%29f6", 2752412)</f>
        <v>2752412</v>
      </c>
      <c r="C816" s="2">
        <f>HYPERLINK("https://platform.v2.vetology.net/report/v/final/"&amp;2752412, 2752412)</f>
        <v>2752412</v>
      </c>
      <c r="D816" s="2" t="s">
        <v>2754</v>
      </c>
      <c r="E816" s="2" t="s">
        <v>2755</v>
      </c>
      <c r="F816" s="2" t="s">
        <v>2756</v>
      </c>
      <c r="G816" s="2" t="s">
        <v>111</v>
      </c>
      <c r="H816" s="2" t="s">
        <v>1175</v>
      </c>
      <c r="I816" s="2" t="s">
        <v>36</v>
      </c>
      <c r="J816" s="2" t="s">
        <v>37</v>
      </c>
      <c r="K816" s="2" t="s">
        <v>39</v>
      </c>
      <c r="L816" s="2" t="s">
        <v>39</v>
      </c>
      <c r="M816" s="2" t="s">
        <v>38</v>
      </c>
      <c r="N816" s="2" t="s">
        <v>39</v>
      </c>
      <c r="O816" s="2" t="s">
        <v>39</v>
      </c>
      <c r="P816" s="2" t="s">
        <v>39</v>
      </c>
      <c r="Q816" s="2" t="s">
        <v>39</v>
      </c>
      <c r="R816" s="2" t="s">
        <v>38</v>
      </c>
      <c r="S816" s="2" t="s">
        <v>39</v>
      </c>
      <c r="T816" s="2" t="s">
        <v>38</v>
      </c>
      <c r="U816" s="2" t="s">
        <v>39</v>
      </c>
      <c r="V816" s="2" t="s">
        <v>39</v>
      </c>
      <c r="W816" s="2" t="s">
        <v>38</v>
      </c>
      <c r="X816" s="2" t="s">
        <v>39</v>
      </c>
      <c r="Y816" s="2" t="s">
        <v>39</v>
      </c>
      <c r="Z816" s="2" t="s">
        <v>38</v>
      </c>
      <c r="AA816" s="2" t="s">
        <v>39</v>
      </c>
      <c r="AB816" s="2" t="s">
        <v>39</v>
      </c>
      <c r="AC816" s="2" t="s">
        <v>38</v>
      </c>
      <c r="AD816" s="2" t="s">
        <v>39</v>
      </c>
      <c r="AE816" s="2" t="s">
        <v>39</v>
      </c>
    </row>
    <row r="817" spans="1:31" ht="409.5">
      <c r="A817" s="2">
        <v>2752391</v>
      </c>
      <c r="B817" s="2">
        <f>HYPERLINK("https://platform.v2.vetology.net/cases/2752391/screening-report/1?type=pdf&amp;v=v6&amp;scorecard=1&amp;secret_key=BX%25IJ%24%2F65ieZ%29f6", 2752391)</f>
        <v>2752391</v>
      </c>
      <c r="C817" s="2">
        <f>HYPERLINK("https://platform.v2.vetology.net/report/v/final/"&amp;2752391, 2752391)</f>
        <v>2752391</v>
      </c>
      <c r="D817" s="2" t="s">
        <v>2757</v>
      </c>
      <c r="E817" s="2" t="s">
        <v>2758</v>
      </c>
      <c r="F817" s="2" t="s">
        <v>2759</v>
      </c>
      <c r="G817" s="2" t="s">
        <v>53</v>
      </c>
      <c r="H817" s="2" t="s">
        <v>2760</v>
      </c>
      <c r="I817" s="2" t="s">
        <v>59</v>
      </c>
      <c r="J817" s="2" t="s">
        <v>37</v>
      </c>
      <c r="K817" s="2" t="s">
        <v>39</v>
      </c>
      <c r="L817" s="2" t="s">
        <v>39</v>
      </c>
      <c r="M817" s="2" t="s">
        <v>39</v>
      </c>
      <c r="N817" s="2" t="s">
        <v>38</v>
      </c>
      <c r="O817" s="2" t="s">
        <v>38</v>
      </c>
      <c r="P817" s="2" t="s">
        <v>39</v>
      </c>
      <c r="Q817" s="2" t="s">
        <v>39</v>
      </c>
      <c r="R817" s="2" t="s">
        <v>38</v>
      </c>
      <c r="S817" s="2" t="s">
        <v>38</v>
      </c>
      <c r="T817" s="2" t="s">
        <v>38</v>
      </c>
      <c r="U817" s="2" t="s">
        <v>39</v>
      </c>
      <c r="V817" s="2" t="s">
        <v>38</v>
      </c>
      <c r="W817" s="2" t="s">
        <v>38</v>
      </c>
      <c r="X817" s="2" t="s">
        <v>39</v>
      </c>
      <c r="Y817" s="2" t="s">
        <v>39</v>
      </c>
      <c r="Z817" s="2" t="s">
        <v>38</v>
      </c>
      <c r="AA817" s="2" t="s">
        <v>38</v>
      </c>
      <c r="AB817" s="2" t="s">
        <v>39</v>
      </c>
      <c r="AC817" s="2" t="s">
        <v>38</v>
      </c>
      <c r="AD817" s="2" t="s">
        <v>38</v>
      </c>
      <c r="AE817" s="2" t="s">
        <v>40</v>
      </c>
    </row>
    <row r="818" spans="1:31" ht="409.5">
      <c r="A818" s="2">
        <v>2752390</v>
      </c>
      <c r="B818" s="2">
        <f>HYPERLINK("https://platform.v2.vetology.net/cases/2752390/screening-report/1?type=pdf&amp;v=v6&amp;scorecard=1&amp;secret_key=BX%25IJ%24%2F65ieZ%29f6", 2752390)</f>
        <v>2752390</v>
      </c>
      <c r="C818" s="2">
        <f>HYPERLINK("https://platform.v2.vetology.net/report/v/final/"&amp;2752390, 2752390)</f>
        <v>2752390</v>
      </c>
      <c r="D818" s="2" t="s">
        <v>1847</v>
      </c>
      <c r="E818" s="2" t="s">
        <v>1484</v>
      </c>
      <c r="F818" s="2" t="s">
        <v>2761</v>
      </c>
      <c r="G818" s="2" t="s">
        <v>111</v>
      </c>
      <c r="H818" s="2" t="s">
        <v>423</v>
      </c>
      <c r="I818" s="2" t="s">
        <v>73</v>
      </c>
      <c r="J818" s="2" t="s">
        <v>74</v>
      </c>
      <c r="K818" s="2" t="s">
        <v>38</v>
      </c>
      <c r="L818" s="2" t="s">
        <v>38</v>
      </c>
      <c r="M818" s="2" t="s">
        <v>38</v>
      </c>
      <c r="N818" s="2" t="s">
        <v>38</v>
      </c>
      <c r="O818" s="2" t="s">
        <v>38</v>
      </c>
      <c r="P818" s="2" t="s">
        <v>38</v>
      </c>
      <c r="Q818" s="2" t="s">
        <v>38</v>
      </c>
      <c r="R818" s="2" t="s">
        <v>38</v>
      </c>
      <c r="S818" s="2" t="s">
        <v>38</v>
      </c>
      <c r="T818" s="2" t="s">
        <v>38</v>
      </c>
      <c r="U818" s="2" t="s">
        <v>38</v>
      </c>
      <c r="V818" s="2" t="s">
        <v>38</v>
      </c>
      <c r="W818" s="2" t="s">
        <v>38</v>
      </c>
      <c r="X818" s="2" t="s">
        <v>38</v>
      </c>
      <c r="Y818" s="2" t="s">
        <v>38</v>
      </c>
      <c r="Z818" s="2" t="s">
        <v>38</v>
      </c>
      <c r="AA818" s="2" t="s">
        <v>38</v>
      </c>
      <c r="AB818" s="2" t="s">
        <v>38</v>
      </c>
      <c r="AC818" s="2" t="s">
        <v>38</v>
      </c>
      <c r="AD818" s="2" t="s">
        <v>38</v>
      </c>
      <c r="AE818" s="2" t="s">
        <v>40</v>
      </c>
    </row>
    <row r="819" spans="1:31" ht="409.5">
      <c r="A819" s="2">
        <v>2752362</v>
      </c>
      <c r="B819" s="2">
        <f>HYPERLINK("https://platform.v2.vetology.net/cases/2752362/screening-report/1?type=pdf&amp;v=v6&amp;scorecard=1&amp;secret_key=BX%25IJ%24%2F65ieZ%29f6", 2752362)</f>
        <v>2752362</v>
      </c>
      <c r="C819" s="2">
        <f>HYPERLINK("https://platform.v2.vetology.net/report/v/final/"&amp;2752362, 2752362)</f>
        <v>2752362</v>
      </c>
      <c r="D819" s="2" t="s">
        <v>2762</v>
      </c>
      <c r="E819" s="2" t="s">
        <v>2763</v>
      </c>
      <c r="F819" s="2" t="s">
        <v>2764</v>
      </c>
      <c r="G819" s="2" t="s">
        <v>111</v>
      </c>
      <c r="H819" s="2" t="s">
        <v>2765</v>
      </c>
      <c r="I819" s="2" t="s">
        <v>73</v>
      </c>
      <c r="J819" s="2" t="s">
        <v>74</v>
      </c>
      <c r="K819" s="2" t="s">
        <v>38</v>
      </c>
      <c r="L819" s="2" t="s">
        <v>38</v>
      </c>
      <c r="M819" s="2" t="s">
        <v>38</v>
      </c>
      <c r="N819" s="2" t="s">
        <v>38</v>
      </c>
      <c r="O819" s="2" t="s">
        <v>38</v>
      </c>
      <c r="P819" s="2" t="s">
        <v>38</v>
      </c>
      <c r="Q819" s="2" t="s">
        <v>38</v>
      </c>
      <c r="R819" s="2" t="s">
        <v>39</v>
      </c>
      <c r="S819" s="2" t="s">
        <v>39</v>
      </c>
      <c r="T819" s="2" t="s">
        <v>38</v>
      </c>
      <c r="U819" s="2" t="s">
        <v>38</v>
      </c>
      <c r="V819" s="2" t="s">
        <v>38</v>
      </c>
      <c r="W819" s="2" t="s">
        <v>39</v>
      </c>
      <c r="X819" s="2" t="s">
        <v>38</v>
      </c>
      <c r="Y819" s="2" t="s">
        <v>39</v>
      </c>
      <c r="Z819" s="2" t="s">
        <v>38</v>
      </c>
      <c r="AA819" s="2" t="s">
        <v>38</v>
      </c>
      <c r="AB819" s="2" t="s">
        <v>38</v>
      </c>
      <c r="AC819" s="2" t="s">
        <v>38</v>
      </c>
      <c r="AD819" s="2" t="s">
        <v>39</v>
      </c>
      <c r="AE819" s="2" t="s">
        <v>40</v>
      </c>
    </row>
    <row r="820" spans="1:31" ht="409.5">
      <c r="A820" s="2">
        <v>2752357</v>
      </c>
      <c r="B820" s="2">
        <f>HYPERLINK("https://platform.v2.vetology.net/cases/2752357/screening-report/1?type=pdf&amp;v=v6&amp;scorecard=1&amp;secret_key=BX%25IJ%24%2F65ieZ%29f6", 2752357)</f>
        <v>2752357</v>
      </c>
      <c r="C820" s="2">
        <f>HYPERLINK("https://platform.v2.vetology.net/report/v/final/"&amp;2752357, 2752357)</f>
        <v>2752357</v>
      </c>
      <c r="D820" s="2" t="s">
        <v>2766</v>
      </c>
      <c r="E820" s="2" t="s">
        <v>2767</v>
      </c>
      <c r="F820" s="2" t="s">
        <v>43</v>
      </c>
      <c r="G820" s="2" t="s">
        <v>507</v>
      </c>
      <c r="H820" s="2" t="s">
        <v>2768</v>
      </c>
      <c r="I820" s="2" t="s">
        <v>73</v>
      </c>
      <c r="J820" s="2" t="s">
        <v>74</v>
      </c>
      <c r="K820" s="2" t="s">
        <v>38</v>
      </c>
      <c r="L820" s="2" t="s">
        <v>38</v>
      </c>
      <c r="M820" s="2" t="s">
        <v>38</v>
      </c>
      <c r="N820" s="2" t="s">
        <v>38</v>
      </c>
      <c r="O820" s="2" t="s">
        <v>38</v>
      </c>
      <c r="P820" s="2" t="s">
        <v>38</v>
      </c>
      <c r="Q820" s="2" t="s">
        <v>38</v>
      </c>
      <c r="R820" s="2" t="s">
        <v>38</v>
      </c>
      <c r="S820" s="2" t="s">
        <v>39</v>
      </c>
      <c r="T820" s="2" t="s">
        <v>39</v>
      </c>
      <c r="U820" s="2" t="s">
        <v>38</v>
      </c>
      <c r="V820" s="2" t="s">
        <v>38</v>
      </c>
      <c r="W820" s="2" t="s">
        <v>39</v>
      </c>
      <c r="X820" s="2" t="s">
        <v>38</v>
      </c>
      <c r="Y820" s="2" t="s">
        <v>39</v>
      </c>
      <c r="Z820" s="2" t="s">
        <v>38</v>
      </c>
      <c r="AA820" s="2" t="s">
        <v>38</v>
      </c>
      <c r="AB820" s="2" t="s">
        <v>38</v>
      </c>
      <c r="AC820" s="2" t="s">
        <v>38</v>
      </c>
      <c r="AD820" s="2" t="s">
        <v>38</v>
      </c>
      <c r="AE820" s="2" t="s">
        <v>40</v>
      </c>
    </row>
    <row r="821" spans="1:31" ht="409.5">
      <c r="A821" s="2">
        <v>2752355</v>
      </c>
      <c r="B821" s="2">
        <f>HYPERLINK("https://platform.v2.vetology.net/cases/2752355/screening-report/1?type=pdf&amp;v=v6&amp;scorecard=1&amp;secret_key=BX%25IJ%24%2F65ieZ%29f6", 2752355)</f>
        <v>2752355</v>
      </c>
      <c r="C821" s="2">
        <f>HYPERLINK("https://platform.v2.vetology.net/report/v/final/"&amp;2752355, 2752355)</f>
        <v>2752355</v>
      </c>
      <c r="D821" s="2" t="s">
        <v>2769</v>
      </c>
      <c r="E821" s="2" t="s">
        <v>2770</v>
      </c>
      <c r="F821" s="2" t="s">
        <v>43</v>
      </c>
      <c r="G821" s="2" t="s">
        <v>507</v>
      </c>
      <c r="H821" s="2" t="s">
        <v>2771</v>
      </c>
      <c r="I821" s="2" t="s">
        <v>73</v>
      </c>
      <c r="J821" s="2" t="s">
        <v>74</v>
      </c>
      <c r="K821" s="2" t="s">
        <v>38</v>
      </c>
      <c r="L821" s="2" t="s">
        <v>38</v>
      </c>
      <c r="M821" s="2" t="s">
        <v>38</v>
      </c>
      <c r="N821" s="2" t="s">
        <v>38</v>
      </c>
      <c r="O821" s="2" t="s">
        <v>38</v>
      </c>
      <c r="P821" s="2" t="s">
        <v>38</v>
      </c>
      <c r="Q821" s="2" t="s">
        <v>38</v>
      </c>
      <c r="R821" s="2" t="s">
        <v>38</v>
      </c>
      <c r="S821" s="2" t="s">
        <v>38</v>
      </c>
      <c r="T821" s="2" t="s">
        <v>38</v>
      </c>
      <c r="U821" s="2" t="s">
        <v>38</v>
      </c>
      <c r="V821" s="2" t="s">
        <v>38</v>
      </c>
      <c r="W821" s="2" t="s">
        <v>38</v>
      </c>
      <c r="X821" s="2" t="s">
        <v>38</v>
      </c>
      <c r="Y821" s="2" t="s">
        <v>39</v>
      </c>
      <c r="Z821" s="2" t="s">
        <v>38</v>
      </c>
      <c r="AA821" s="2" t="s">
        <v>38</v>
      </c>
      <c r="AB821" s="2" t="s">
        <v>38</v>
      </c>
      <c r="AC821" s="2" t="s">
        <v>38</v>
      </c>
      <c r="AD821" s="2" t="s">
        <v>38</v>
      </c>
      <c r="AE821" s="2" t="s">
        <v>40</v>
      </c>
    </row>
    <row r="822" spans="1:31" ht="409.5">
      <c r="A822" s="2">
        <v>2752344</v>
      </c>
      <c r="B822" s="2">
        <f>HYPERLINK("https://platform.v2.vetology.net/cases/2752344/screening-report/1?type=pdf&amp;v=v6&amp;scorecard=1&amp;secret_key=BX%25IJ%24%2F65ieZ%29f6", 2752344)</f>
        <v>2752344</v>
      </c>
      <c r="C822" s="2">
        <f>HYPERLINK("https://platform.v2.vetology.net/report/v/final/"&amp;2752344, 2752344)</f>
        <v>2752344</v>
      </c>
      <c r="D822" s="2" t="s">
        <v>2772</v>
      </c>
      <c r="E822" s="2" t="s">
        <v>2773</v>
      </c>
      <c r="F822" s="2" t="s">
        <v>2774</v>
      </c>
      <c r="G822" s="2" t="s">
        <v>111</v>
      </c>
      <c r="H822" s="2" t="s">
        <v>69</v>
      </c>
      <c r="I822" s="2" t="s">
        <v>46</v>
      </c>
      <c r="J822" s="2"/>
      <c r="K822" s="2" t="s">
        <v>39</v>
      </c>
      <c r="L822" s="2" t="s">
        <v>39</v>
      </c>
      <c r="M822" s="2" t="s">
        <v>39</v>
      </c>
      <c r="N822" s="2" t="s">
        <v>39</v>
      </c>
      <c r="O822" s="2" t="s">
        <v>39</v>
      </c>
      <c r="P822" s="2" t="s">
        <v>39</v>
      </c>
      <c r="Q822" s="2" t="s">
        <v>39</v>
      </c>
      <c r="R822" s="2" t="s">
        <v>39</v>
      </c>
      <c r="S822" s="2" t="s">
        <v>39</v>
      </c>
      <c r="T822" s="2" t="s">
        <v>38</v>
      </c>
      <c r="U822" s="2" t="s">
        <v>39</v>
      </c>
      <c r="V822" s="2" t="s">
        <v>39</v>
      </c>
      <c r="W822" s="2" t="s">
        <v>39</v>
      </c>
      <c r="X822" s="2" t="s">
        <v>39</v>
      </c>
      <c r="Y822" s="2" t="s">
        <v>39</v>
      </c>
      <c r="Z822" s="2" t="s">
        <v>39</v>
      </c>
      <c r="AA822" s="2" t="s">
        <v>39</v>
      </c>
      <c r="AB822" s="2" t="s">
        <v>39</v>
      </c>
      <c r="AC822" s="2" t="s">
        <v>39</v>
      </c>
      <c r="AD822" s="2" t="s">
        <v>39</v>
      </c>
      <c r="AE822" s="2" t="s">
        <v>40</v>
      </c>
    </row>
    <row r="823" spans="1:31" ht="409.5">
      <c r="A823" s="2">
        <v>2752342</v>
      </c>
      <c r="B823" s="2">
        <f>HYPERLINK("https://platform.v2.vetology.net/cases/2752342/screening-report/1?type=pdf&amp;v=v6&amp;scorecard=1&amp;secret_key=BX%25IJ%24%2F65ieZ%29f6", 2752342)</f>
        <v>2752342</v>
      </c>
      <c r="C823" s="2">
        <f>HYPERLINK("https://platform.v2.vetology.net/report/v/final/"&amp;2752342, 2752342)</f>
        <v>2752342</v>
      </c>
      <c r="D823" s="2" t="s">
        <v>2775</v>
      </c>
      <c r="E823" s="2" t="s">
        <v>2776</v>
      </c>
      <c r="F823" s="2" t="s">
        <v>43</v>
      </c>
      <c r="G823" s="2" t="s">
        <v>507</v>
      </c>
      <c r="H823" s="2" t="s">
        <v>2777</v>
      </c>
      <c r="I823" s="2" t="s">
        <v>36</v>
      </c>
      <c r="J823" s="2" t="s">
        <v>37</v>
      </c>
      <c r="K823" s="2" t="s">
        <v>38</v>
      </c>
      <c r="L823" s="2" t="s">
        <v>38</v>
      </c>
      <c r="M823" s="2" t="s">
        <v>38</v>
      </c>
      <c r="N823" s="2" t="s">
        <v>38</v>
      </c>
      <c r="O823" s="2" t="s">
        <v>38</v>
      </c>
      <c r="P823" s="2" t="s">
        <v>38</v>
      </c>
      <c r="Q823" s="2" t="s">
        <v>39</v>
      </c>
      <c r="R823" s="2" t="s">
        <v>38</v>
      </c>
      <c r="S823" s="2" t="s">
        <v>38</v>
      </c>
      <c r="T823" s="2" t="s">
        <v>38</v>
      </c>
      <c r="U823" s="2" t="s">
        <v>38</v>
      </c>
      <c r="V823" s="2" t="s">
        <v>38</v>
      </c>
      <c r="W823" s="2" t="s">
        <v>38</v>
      </c>
      <c r="X823" s="2" t="s">
        <v>38</v>
      </c>
      <c r="Y823" s="2" t="s">
        <v>38</v>
      </c>
      <c r="Z823" s="2" t="s">
        <v>38</v>
      </c>
      <c r="AA823" s="2" t="s">
        <v>38</v>
      </c>
      <c r="AB823" s="2" t="s">
        <v>38</v>
      </c>
      <c r="AC823" s="2" t="s">
        <v>38</v>
      </c>
      <c r="AD823" s="2" t="s">
        <v>38</v>
      </c>
      <c r="AE823" s="2"/>
    </row>
    <row r="824" spans="1:31" ht="409.5">
      <c r="A824" s="2">
        <v>2752318</v>
      </c>
      <c r="B824" s="2">
        <f>HYPERLINK("https://platform.v2.vetology.net/cases/2752318/screening-report/1?type=pdf&amp;v=v6&amp;scorecard=1&amp;secret_key=BX%25IJ%24%2F65ieZ%29f6", 2752318)</f>
        <v>2752318</v>
      </c>
      <c r="C824" s="2">
        <f>HYPERLINK("https://platform.v2.vetology.net/report/v/final/"&amp;2752318, 2752318)</f>
        <v>2752318</v>
      </c>
      <c r="D824" s="2" t="s">
        <v>2778</v>
      </c>
      <c r="E824" s="2" t="s">
        <v>2779</v>
      </c>
      <c r="F824" s="2" t="s">
        <v>2780</v>
      </c>
      <c r="G824" s="2" t="s">
        <v>170</v>
      </c>
      <c r="H824" s="2" t="s">
        <v>2781</v>
      </c>
      <c r="I824" s="2" t="s">
        <v>36</v>
      </c>
      <c r="J824" s="2" t="s">
        <v>37</v>
      </c>
      <c r="K824" s="2" t="s">
        <v>38</v>
      </c>
      <c r="L824" s="2" t="s">
        <v>38</v>
      </c>
      <c r="M824" s="2" t="s">
        <v>38</v>
      </c>
      <c r="N824" s="2" t="s">
        <v>38</v>
      </c>
      <c r="O824" s="2" t="s">
        <v>38</v>
      </c>
      <c r="P824" s="2" t="s">
        <v>39</v>
      </c>
      <c r="Q824" s="2" t="s">
        <v>39</v>
      </c>
      <c r="R824" s="2" t="s">
        <v>38</v>
      </c>
      <c r="S824" s="2" t="s">
        <v>38</v>
      </c>
      <c r="T824" s="2" t="s">
        <v>38</v>
      </c>
      <c r="U824" s="2" t="s">
        <v>39</v>
      </c>
      <c r="V824" s="2" t="s">
        <v>38</v>
      </c>
      <c r="W824" s="2" t="s">
        <v>38</v>
      </c>
      <c r="X824" s="2" t="s">
        <v>39</v>
      </c>
      <c r="Y824" s="2" t="s">
        <v>39</v>
      </c>
      <c r="Z824" s="2" t="s">
        <v>38</v>
      </c>
      <c r="AA824" s="2" t="s">
        <v>38</v>
      </c>
      <c r="AB824" s="2" t="s">
        <v>39</v>
      </c>
      <c r="AC824" s="2" t="s">
        <v>38</v>
      </c>
      <c r="AD824" s="2" t="s">
        <v>39</v>
      </c>
      <c r="AE824" s="2" t="s">
        <v>39</v>
      </c>
    </row>
    <row r="825" spans="1:31" ht="409.5">
      <c r="A825" s="2">
        <v>2752309</v>
      </c>
      <c r="B825" s="2">
        <f>HYPERLINK("https://platform.v2.vetology.net/cases/2752309/screening-report/1?type=pdf&amp;v=v6&amp;scorecard=1&amp;secret_key=BX%25IJ%24%2F65ieZ%29f6", 2752309)</f>
        <v>2752309</v>
      </c>
      <c r="C825" s="2">
        <f>HYPERLINK("https://platform.v2.vetology.net/report/v/final/"&amp;2752309, 2752309)</f>
        <v>2752309</v>
      </c>
      <c r="D825" s="2" t="s">
        <v>2782</v>
      </c>
      <c r="E825" s="2" t="s">
        <v>2783</v>
      </c>
      <c r="F825" s="2" t="s">
        <v>2784</v>
      </c>
      <c r="G825" s="2" t="s">
        <v>170</v>
      </c>
      <c r="H825" s="2" t="s">
        <v>2785</v>
      </c>
      <c r="I825" s="2" t="s">
        <v>73</v>
      </c>
      <c r="J825" s="2" t="s">
        <v>74</v>
      </c>
      <c r="K825" s="2" t="s">
        <v>38</v>
      </c>
      <c r="L825" s="2" t="s">
        <v>38</v>
      </c>
      <c r="M825" s="2" t="s">
        <v>38</v>
      </c>
      <c r="N825" s="2" t="s">
        <v>38</v>
      </c>
      <c r="O825" s="2" t="s">
        <v>38</v>
      </c>
      <c r="P825" s="2" t="s">
        <v>38</v>
      </c>
      <c r="Q825" s="2" t="s">
        <v>38</v>
      </c>
      <c r="R825" s="2" t="s">
        <v>38</v>
      </c>
      <c r="S825" s="2" t="s">
        <v>38</v>
      </c>
      <c r="T825" s="2" t="s">
        <v>38</v>
      </c>
      <c r="U825" s="2" t="s">
        <v>38</v>
      </c>
      <c r="V825" s="2" t="s">
        <v>38</v>
      </c>
      <c r="W825" s="2" t="s">
        <v>38</v>
      </c>
      <c r="X825" s="2" t="s">
        <v>38</v>
      </c>
      <c r="Y825" s="2" t="s">
        <v>38</v>
      </c>
      <c r="Z825" s="2" t="s">
        <v>38</v>
      </c>
      <c r="AA825" s="2" t="s">
        <v>38</v>
      </c>
      <c r="AB825" s="2" t="s">
        <v>38</v>
      </c>
      <c r="AC825" s="2" t="s">
        <v>38</v>
      </c>
      <c r="AD825" s="2" t="s">
        <v>38</v>
      </c>
      <c r="AE825" s="2" t="s">
        <v>40</v>
      </c>
    </row>
    <row r="826" spans="1:31" ht="409.5">
      <c r="A826" s="2">
        <v>2752298</v>
      </c>
      <c r="B826" s="2">
        <f>HYPERLINK("https://platform.v2.vetology.net/cases/2752298/screening-report/1?type=pdf&amp;v=v6&amp;scorecard=1&amp;secret_key=BX%25IJ%24%2F65ieZ%29f6", 2752298)</f>
        <v>2752298</v>
      </c>
      <c r="C826" s="2">
        <f>HYPERLINK("https://platform.v2.vetology.net/report/v/final/"&amp;2752298, 2752298)</f>
        <v>2752298</v>
      </c>
      <c r="D826" s="2" t="s">
        <v>2786</v>
      </c>
      <c r="E826" s="2" t="s">
        <v>2787</v>
      </c>
      <c r="F826" s="2" t="s">
        <v>2788</v>
      </c>
      <c r="G826" s="2" t="s">
        <v>170</v>
      </c>
      <c r="H826" s="2" t="s">
        <v>2789</v>
      </c>
      <c r="I826" s="2" t="s">
        <v>129</v>
      </c>
      <c r="J826" s="2" t="s">
        <v>74</v>
      </c>
      <c r="K826" s="2" t="s">
        <v>38</v>
      </c>
      <c r="L826" s="2" t="s">
        <v>38</v>
      </c>
      <c r="M826" s="2" t="s">
        <v>38</v>
      </c>
      <c r="N826" s="2" t="s">
        <v>38</v>
      </c>
      <c r="O826" s="2" t="s">
        <v>38</v>
      </c>
      <c r="P826" s="2" t="s">
        <v>39</v>
      </c>
      <c r="Q826" s="2" t="s">
        <v>38</v>
      </c>
      <c r="R826" s="2" t="s">
        <v>38</v>
      </c>
      <c r="S826" s="2" t="s">
        <v>38</v>
      </c>
      <c r="T826" s="2" t="s">
        <v>38</v>
      </c>
      <c r="U826" s="2" t="s">
        <v>38</v>
      </c>
      <c r="V826" s="2" t="s">
        <v>38</v>
      </c>
      <c r="W826" s="2" t="s">
        <v>38</v>
      </c>
      <c r="X826" s="2" t="s">
        <v>38</v>
      </c>
      <c r="Y826" s="2" t="s">
        <v>39</v>
      </c>
      <c r="Z826" s="2" t="s">
        <v>38</v>
      </c>
      <c r="AA826" s="2" t="s">
        <v>38</v>
      </c>
      <c r="AB826" s="2" t="s">
        <v>38</v>
      </c>
      <c r="AC826" s="2" t="s">
        <v>38</v>
      </c>
      <c r="AD826" s="2" t="s">
        <v>38</v>
      </c>
      <c r="AE826" s="2"/>
    </row>
    <row r="827" spans="1:31" ht="409.5">
      <c r="A827" s="2">
        <v>2752297</v>
      </c>
      <c r="B827" s="2">
        <f>HYPERLINK("https://platform.v2.vetology.net/cases/2752297/screening-report/1?type=pdf&amp;v=v6&amp;scorecard=1&amp;secret_key=BX%25IJ%24%2F65ieZ%29f6", 2752297)</f>
        <v>2752297</v>
      </c>
      <c r="C827" s="2">
        <f>HYPERLINK("https://platform.v2.vetology.net/report/v/final/"&amp;2752297, 2752297)</f>
        <v>2752297</v>
      </c>
      <c r="D827" s="2" t="s">
        <v>2790</v>
      </c>
      <c r="E827" s="2" t="s">
        <v>2791</v>
      </c>
      <c r="F827" s="2" t="s">
        <v>43</v>
      </c>
      <c r="G827" s="2" t="s">
        <v>507</v>
      </c>
      <c r="H827" s="2" t="s">
        <v>2792</v>
      </c>
      <c r="I827" s="2" t="s">
        <v>36</v>
      </c>
      <c r="J827" s="2" t="s">
        <v>37</v>
      </c>
      <c r="K827" s="2" t="s">
        <v>38</v>
      </c>
      <c r="L827" s="2" t="s">
        <v>39</v>
      </c>
      <c r="M827" s="2" t="s">
        <v>38</v>
      </c>
      <c r="N827" s="2" t="s">
        <v>39</v>
      </c>
      <c r="O827" s="2" t="s">
        <v>39</v>
      </c>
      <c r="P827" s="2" t="s">
        <v>38</v>
      </c>
      <c r="Q827" s="2" t="s">
        <v>39</v>
      </c>
      <c r="R827" s="2" t="s">
        <v>39</v>
      </c>
      <c r="S827" s="2" t="s">
        <v>39</v>
      </c>
      <c r="T827" s="2" t="s">
        <v>39</v>
      </c>
      <c r="U827" s="2" t="s">
        <v>39</v>
      </c>
      <c r="V827" s="2" t="s">
        <v>38</v>
      </c>
      <c r="W827" s="2" t="s">
        <v>39</v>
      </c>
      <c r="X827" s="2" t="s">
        <v>39</v>
      </c>
      <c r="Y827" s="2" t="s">
        <v>39</v>
      </c>
      <c r="Z827" s="2" t="s">
        <v>39</v>
      </c>
      <c r="AA827" s="2" t="s">
        <v>39</v>
      </c>
      <c r="AB827" s="2" t="s">
        <v>39</v>
      </c>
      <c r="AC827" s="2" t="s">
        <v>39</v>
      </c>
      <c r="AD827" s="2" t="s">
        <v>39</v>
      </c>
      <c r="AE827" s="2" t="s">
        <v>40</v>
      </c>
    </row>
    <row r="828" spans="1:31" ht="409.5">
      <c r="A828" s="2">
        <v>2752296</v>
      </c>
      <c r="B828" s="2">
        <f>HYPERLINK("https://platform.v2.vetology.net/cases/2752296/screening-report/1?type=pdf&amp;v=v6&amp;scorecard=1&amp;secret_key=BX%25IJ%24%2F65ieZ%29f6", 2752296)</f>
        <v>2752296</v>
      </c>
      <c r="C828" s="2">
        <f>HYPERLINK("https://platform.v2.vetology.net/report/v/final/"&amp;2752296, 2752296)</f>
        <v>2752296</v>
      </c>
      <c r="D828" s="2" t="s">
        <v>2793</v>
      </c>
      <c r="E828" s="2" t="s">
        <v>2794</v>
      </c>
      <c r="F828" s="2" t="s">
        <v>2795</v>
      </c>
      <c r="G828" s="2" t="s">
        <v>170</v>
      </c>
      <c r="H828" s="2" t="s">
        <v>2796</v>
      </c>
      <c r="I828" s="2" t="s">
        <v>36</v>
      </c>
      <c r="J828" s="2" t="s">
        <v>37</v>
      </c>
      <c r="K828" s="2" t="s">
        <v>38</v>
      </c>
      <c r="L828" s="2" t="s">
        <v>38</v>
      </c>
      <c r="M828" s="2" t="s">
        <v>38</v>
      </c>
      <c r="N828" s="2" t="s">
        <v>38</v>
      </c>
      <c r="O828" s="2" t="s">
        <v>38</v>
      </c>
      <c r="P828" s="2" t="s">
        <v>39</v>
      </c>
      <c r="Q828" s="2" t="s">
        <v>39</v>
      </c>
      <c r="R828" s="2" t="s">
        <v>39</v>
      </c>
      <c r="S828" s="2" t="s">
        <v>38</v>
      </c>
      <c r="T828" s="2" t="s">
        <v>38</v>
      </c>
      <c r="U828" s="2" t="s">
        <v>38</v>
      </c>
      <c r="V828" s="2" t="s">
        <v>38</v>
      </c>
      <c r="W828" s="2" t="s">
        <v>38</v>
      </c>
      <c r="X828" s="2" t="s">
        <v>39</v>
      </c>
      <c r="Y828" s="2" t="s">
        <v>39</v>
      </c>
      <c r="Z828" s="2" t="s">
        <v>38</v>
      </c>
      <c r="AA828" s="2" t="s">
        <v>39</v>
      </c>
      <c r="AB828" s="2" t="s">
        <v>39</v>
      </c>
      <c r="AC828" s="2" t="s">
        <v>39</v>
      </c>
      <c r="AD828" s="2" t="s">
        <v>39</v>
      </c>
      <c r="AE828" s="2" t="s">
        <v>39</v>
      </c>
    </row>
    <row r="829" spans="1:31" ht="409.5">
      <c r="A829" s="2">
        <v>2752291</v>
      </c>
      <c r="B829" s="2">
        <f>HYPERLINK("https://platform.v2.vetology.net/cases/2752291/screening-report/1?type=pdf&amp;v=v6&amp;scorecard=1&amp;secret_key=BX%25IJ%24%2F65ieZ%29f6", 2752291)</f>
        <v>2752291</v>
      </c>
      <c r="C829" s="2">
        <f>HYPERLINK("https://platform.v2.vetology.net/report/v/final/"&amp;2752291, 2752291)</f>
        <v>2752291</v>
      </c>
      <c r="D829" s="2" t="s">
        <v>2797</v>
      </c>
      <c r="E829" s="2" t="s">
        <v>2798</v>
      </c>
      <c r="F829" s="2" t="s">
        <v>2799</v>
      </c>
      <c r="G829" s="2" t="s">
        <v>53</v>
      </c>
      <c r="H829" s="2" t="s">
        <v>69</v>
      </c>
      <c r="I829" s="2" t="s">
        <v>46</v>
      </c>
      <c r="J829" s="2"/>
      <c r="K829" s="2" t="s">
        <v>39</v>
      </c>
      <c r="L829" s="2" t="s">
        <v>39</v>
      </c>
      <c r="M829" s="2" t="s">
        <v>39</v>
      </c>
      <c r="N829" s="2" t="s">
        <v>39</v>
      </c>
      <c r="O829" s="2" t="s">
        <v>39</v>
      </c>
      <c r="P829" s="2" t="s">
        <v>39</v>
      </c>
      <c r="Q829" s="2" t="s">
        <v>39</v>
      </c>
      <c r="R829" s="2" t="s">
        <v>39</v>
      </c>
      <c r="S829" s="2" t="s">
        <v>39</v>
      </c>
      <c r="T829" s="2" t="s">
        <v>38</v>
      </c>
      <c r="U829" s="2" t="s">
        <v>39</v>
      </c>
      <c r="V829" s="2" t="s">
        <v>39</v>
      </c>
      <c r="W829" s="2" t="s">
        <v>39</v>
      </c>
      <c r="X829" s="2" t="s">
        <v>39</v>
      </c>
      <c r="Y829" s="2" t="s">
        <v>39</v>
      </c>
      <c r="Z829" s="2" t="s">
        <v>39</v>
      </c>
      <c r="AA829" s="2" t="s">
        <v>39</v>
      </c>
      <c r="AB829" s="2" t="s">
        <v>39</v>
      </c>
      <c r="AC829" s="2" t="s">
        <v>38</v>
      </c>
      <c r="AD829" s="2" t="s">
        <v>38</v>
      </c>
      <c r="AE829" s="2" t="s">
        <v>40</v>
      </c>
    </row>
    <row r="830" spans="1:31" ht="409.5">
      <c r="A830" s="2">
        <v>2752285</v>
      </c>
      <c r="B830" s="2">
        <f>HYPERLINK("https://platform.v2.vetology.net/cases/2752285/screening-report/1?type=pdf&amp;v=v6&amp;scorecard=1&amp;secret_key=BX%25IJ%24%2F65ieZ%29f6", 2752285)</f>
        <v>2752285</v>
      </c>
      <c r="C830" s="2">
        <f>HYPERLINK("https://platform.v2.vetology.net/report/v/final/"&amp;2752285, 2752285)</f>
        <v>2752285</v>
      </c>
      <c r="D830" s="2" t="s">
        <v>2800</v>
      </c>
      <c r="E830" s="2" t="s">
        <v>2801</v>
      </c>
      <c r="F830" s="2" t="s">
        <v>2802</v>
      </c>
      <c r="G830" s="2" t="s">
        <v>556</v>
      </c>
      <c r="H830" s="2" t="s">
        <v>2803</v>
      </c>
      <c r="I830" s="2" t="s">
        <v>36</v>
      </c>
      <c r="J830" s="2" t="s">
        <v>37</v>
      </c>
      <c r="K830" s="2" t="s">
        <v>38</v>
      </c>
      <c r="L830" s="2" t="s">
        <v>39</v>
      </c>
      <c r="M830" s="2" t="s">
        <v>39</v>
      </c>
      <c r="N830" s="2" t="s">
        <v>39</v>
      </c>
      <c r="O830" s="2" t="s">
        <v>39</v>
      </c>
      <c r="P830" s="2" t="s">
        <v>39</v>
      </c>
      <c r="Q830" s="2" t="s">
        <v>39</v>
      </c>
      <c r="R830" s="2" t="s">
        <v>38</v>
      </c>
      <c r="S830" s="2" t="s">
        <v>38</v>
      </c>
      <c r="T830" s="2" t="s">
        <v>38</v>
      </c>
      <c r="U830" s="2" t="s">
        <v>38</v>
      </c>
      <c r="V830" s="2" t="s">
        <v>38</v>
      </c>
      <c r="W830" s="2" t="s">
        <v>38</v>
      </c>
      <c r="X830" s="2" t="s">
        <v>39</v>
      </c>
      <c r="Y830" s="2" t="s">
        <v>39</v>
      </c>
      <c r="Z830" s="2" t="s">
        <v>38</v>
      </c>
      <c r="AA830" s="2" t="s">
        <v>38</v>
      </c>
      <c r="AB830" s="2" t="s">
        <v>39</v>
      </c>
      <c r="AC830" s="2" t="s">
        <v>38</v>
      </c>
      <c r="AD830" s="2" t="s">
        <v>38</v>
      </c>
      <c r="AE830" s="2" t="s">
        <v>39</v>
      </c>
    </row>
    <row r="831" spans="1:31" ht="409.5">
      <c r="A831" s="2">
        <v>2752278</v>
      </c>
      <c r="B831" s="2">
        <f>HYPERLINK("https://platform.v2.vetology.net/cases/2752278/screening-report/1?type=pdf&amp;v=v6&amp;scorecard=1&amp;secret_key=BX%25IJ%24%2F65ieZ%29f6", 2752278)</f>
        <v>2752278</v>
      </c>
      <c r="C831" s="2">
        <f>HYPERLINK("https://platform.v2.vetology.net/report/v/final/"&amp;2752278, 2752278)</f>
        <v>2752278</v>
      </c>
      <c r="D831" s="2" t="s">
        <v>2804</v>
      </c>
      <c r="E831" s="2" t="s">
        <v>2805</v>
      </c>
      <c r="F831" s="2" t="s">
        <v>2725</v>
      </c>
      <c r="G831" s="2" t="s">
        <v>170</v>
      </c>
      <c r="H831" s="2" t="s">
        <v>1175</v>
      </c>
      <c r="I831" s="2" t="s">
        <v>36</v>
      </c>
      <c r="J831" s="2" t="s">
        <v>37</v>
      </c>
      <c r="K831" s="2" t="s">
        <v>39</v>
      </c>
      <c r="L831" s="2" t="s">
        <v>39</v>
      </c>
      <c r="M831" s="2" t="s">
        <v>38</v>
      </c>
      <c r="N831" s="2" t="s">
        <v>39</v>
      </c>
      <c r="O831" s="2" t="s">
        <v>38</v>
      </c>
      <c r="P831" s="2" t="s">
        <v>39</v>
      </c>
      <c r="Q831" s="2" t="s">
        <v>39</v>
      </c>
      <c r="R831" s="2" t="s">
        <v>38</v>
      </c>
      <c r="S831" s="2" t="s">
        <v>39</v>
      </c>
      <c r="T831" s="2" t="s">
        <v>39</v>
      </c>
      <c r="U831" s="2" t="s">
        <v>39</v>
      </c>
      <c r="V831" s="2" t="s">
        <v>39</v>
      </c>
      <c r="W831" s="2" t="s">
        <v>38</v>
      </c>
      <c r="X831" s="2" t="s">
        <v>39</v>
      </c>
      <c r="Y831" s="2" t="s">
        <v>39</v>
      </c>
      <c r="Z831" s="2" t="s">
        <v>38</v>
      </c>
      <c r="AA831" s="2" t="s">
        <v>39</v>
      </c>
      <c r="AB831" s="2" t="s">
        <v>39</v>
      </c>
      <c r="AC831" s="2" t="s">
        <v>38</v>
      </c>
      <c r="AD831" s="2" t="s">
        <v>38</v>
      </c>
      <c r="AE831" s="2" t="s">
        <v>39</v>
      </c>
    </row>
    <row r="832" spans="1:31" ht="409.5">
      <c r="A832" s="2">
        <v>2752269</v>
      </c>
      <c r="B832" s="2">
        <f>HYPERLINK("https://platform.v2.vetology.net/cases/2752269/screening-report/1?type=pdf&amp;v=v6&amp;scorecard=1&amp;secret_key=BX%25IJ%24%2F65ieZ%29f6", 2752269)</f>
        <v>2752269</v>
      </c>
      <c r="C832" s="2">
        <f>HYPERLINK("https://platform.v2.vetology.net/report/v/final/"&amp;2752269, 2752269)</f>
        <v>2752269</v>
      </c>
      <c r="D832" s="2" t="s">
        <v>2806</v>
      </c>
      <c r="E832" s="2" t="s">
        <v>2807</v>
      </c>
      <c r="F832" s="2" t="s">
        <v>2808</v>
      </c>
      <c r="G832" s="2" t="s">
        <v>53</v>
      </c>
      <c r="H832" s="2" t="s">
        <v>2809</v>
      </c>
      <c r="I832" s="2" t="s">
        <v>36</v>
      </c>
      <c r="J832" s="2" t="s">
        <v>37</v>
      </c>
      <c r="K832" s="2" t="s">
        <v>39</v>
      </c>
      <c r="L832" s="2" t="s">
        <v>38</v>
      </c>
      <c r="M832" s="2" t="s">
        <v>38</v>
      </c>
      <c r="N832" s="2" t="s">
        <v>38</v>
      </c>
      <c r="O832" s="2" t="s">
        <v>38</v>
      </c>
      <c r="P832" s="2" t="s">
        <v>38</v>
      </c>
      <c r="Q832" s="2" t="s">
        <v>39</v>
      </c>
      <c r="R832" s="2" t="s">
        <v>38</v>
      </c>
      <c r="S832" s="2" t="s">
        <v>38</v>
      </c>
      <c r="T832" s="2" t="s">
        <v>39</v>
      </c>
      <c r="U832" s="2" t="s">
        <v>38</v>
      </c>
      <c r="V832" s="2" t="s">
        <v>38</v>
      </c>
      <c r="W832" s="2" t="s">
        <v>38</v>
      </c>
      <c r="X832" s="2" t="s">
        <v>38</v>
      </c>
      <c r="Y832" s="2" t="s">
        <v>38</v>
      </c>
      <c r="Z832" s="2" t="s">
        <v>38</v>
      </c>
      <c r="AA832" s="2" t="s">
        <v>38</v>
      </c>
      <c r="AB832" s="2" t="s">
        <v>38</v>
      </c>
      <c r="AC832" s="2" t="s">
        <v>38</v>
      </c>
      <c r="AD832" s="2" t="s">
        <v>38</v>
      </c>
      <c r="AE832" s="2" t="s">
        <v>40</v>
      </c>
    </row>
    <row r="833" spans="1:31" ht="409.5">
      <c r="A833" s="2">
        <v>2752259</v>
      </c>
      <c r="B833" s="2">
        <f>HYPERLINK("https://platform.v2.vetology.net/cases/2752259/screening-report/1?type=pdf&amp;v=v6&amp;scorecard=1&amp;secret_key=BX%25IJ%24%2F65ieZ%29f6", 2752259)</f>
        <v>2752259</v>
      </c>
      <c r="C833" s="2">
        <f>HYPERLINK("https://platform.v2.vetology.net/report/v/final/"&amp;2752259, 2752259)</f>
        <v>2752259</v>
      </c>
      <c r="D833" s="2" t="s">
        <v>2810</v>
      </c>
      <c r="E833" s="2" t="s">
        <v>2811</v>
      </c>
      <c r="F833" s="2" t="s">
        <v>2812</v>
      </c>
      <c r="G833" s="2" t="s">
        <v>100</v>
      </c>
      <c r="H833" s="2" t="s">
        <v>69</v>
      </c>
      <c r="I833" s="2" t="s">
        <v>46</v>
      </c>
      <c r="J833" s="2"/>
      <c r="K833" s="2" t="s">
        <v>39</v>
      </c>
      <c r="L833" s="2" t="s">
        <v>39</v>
      </c>
      <c r="M833" s="2" t="s">
        <v>39</v>
      </c>
      <c r="N833" s="2" t="s">
        <v>39</v>
      </c>
      <c r="O833" s="2" t="s">
        <v>39</v>
      </c>
      <c r="P833" s="2" t="s">
        <v>39</v>
      </c>
      <c r="Q833" s="2" t="s">
        <v>39</v>
      </c>
      <c r="R833" s="2" t="s">
        <v>39</v>
      </c>
      <c r="S833" s="2" t="s">
        <v>39</v>
      </c>
      <c r="T833" s="2" t="s">
        <v>39</v>
      </c>
      <c r="U833" s="2" t="s">
        <v>39</v>
      </c>
      <c r="V833" s="2" t="s">
        <v>39</v>
      </c>
      <c r="W833" s="2" t="s">
        <v>39</v>
      </c>
      <c r="X833" s="2" t="s">
        <v>39</v>
      </c>
      <c r="Y833" s="2" t="s">
        <v>39</v>
      </c>
      <c r="Z833" s="2" t="s">
        <v>39</v>
      </c>
      <c r="AA833" s="2" t="s">
        <v>39</v>
      </c>
      <c r="AB833" s="2" t="s">
        <v>39</v>
      </c>
      <c r="AC833" s="2" t="s">
        <v>39</v>
      </c>
      <c r="AD833" s="2" t="s">
        <v>39</v>
      </c>
      <c r="AE833" s="2"/>
    </row>
    <row r="834" spans="1:31" ht="409.5">
      <c r="A834" s="2">
        <v>2751976</v>
      </c>
      <c r="B834" s="2">
        <f>HYPERLINK("https://platform.v2.vetology.net/cases/2751976/screening-report/1?type=pdf&amp;v=v6&amp;scorecard=1&amp;secret_key=BX%25IJ%24%2F65ieZ%29f6", 2751976)</f>
        <v>2751976</v>
      </c>
      <c r="C834" s="2">
        <f>HYPERLINK("https://platform.v2.vetology.net/report/v/final/"&amp;2751976, 2751976)</f>
        <v>2751976</v>
      </c>
      <c r="D834" s="2" t="s">
        <v>2813</v>
      </c>
      <c r="E834" s="2" t="s">
        <v>2814</v>
      </c>
      <c r="F834" s="2" t="s">
        <v>2815</v>
      </c>
      <c r="G834" s="2" t="s">
        <v>53</v>
      </c>
      <c r="H834" s="2" t="s">
        <v>2816</v>
      </c>
      <c r="I834" s="2" t="s">
        <v>36</v>
      </c>
      <c r="J834" s="2" t="s">
        <v>37</v>
      </c>
      <c r="K834" s="2" t="s">
        <v>39</v>
      </c>
      <c r="L834" s="2" t="s">
        <v>38</v>
      </c>
      <c r="M834" s="2" t="s">
        <v>39</v>
      </c>
      <c r="N834" s="2" t="s">
        <v>39</v>
      </c>
      <c r="O834" s="2" t="s">
        <v>39</v>
      </c>
      <c r="P834" s="2" t="s">
        <v>39</v>
      </c>
      <c r="Q834" s="2" t="s">
        <v>39</v>
      </c>
      <c r="R834" s="2" t="s">
        <v>39</v>
      </c>
      <c r="S834" s="2" t="s">
        <v>39</v>
      </c>
      <c r="T834" s="2" t="s">
        <v>39</v>
      </c>
      <c r="U834" s="2" t="s">
        <v>39</v>
      </c>
      <c r="V834" s="2" t="s">
        <v>39</v>
      </c>
      <c r="W834" s="2" t="s">
        <v>39</v>
      </c>
      <c r="X834" s="2" t="s">
        <v>39</v>
      </c>
      <c r="Y834" s="2" t="s">
        <v>39</v>
      </c>
      <c r="Z834" s="2" t="s">
        <v>39</v>
      </c>
      <c r="AA834" s="2" t="s">
        <v>39</v>
      </c>
      <c r="AB834" s="2" t="s">
        <v>39</v>
      </c>
      <c r="AC834" s="2" t="s">
        <v>39</v>
      </c>
      <c r="AD834" s="2" t="s">
        <v>39</v>
      </c>
      <c r="AE834" s="2"/>
    </row>
    <row r="835" spans="1:31" ht="409.5">
      <c r="A835" s="2">
        <v>2751972</v>
      </c>
      <c r="B835" s="2">
        <f>HYPERLINK("https://platform.v2.vetology.net/cases/2751972/screening-report/1?type=pdf&amp;v=v6&amp;scorecard=1&amp;secret_key=BX%25IJ%24%2F65ieZ%29f6", 2751972)</f>
        <v>2751972</v>
      </c>
      <c r="C835" s="2">
        <f>HYPERLINK("https://platform.v2.vetology.net/report/v/final/"&amp;2751972, 2751972)</f>
        <v>2751972</v>
      </c>
      <c r="D835" s="2" t="s">
        <v>2817</v>
      </c>
      <c r="E835" s="2" t="s">
        <v>2818</v>
      </c>
      <c r="F835" s="2" t="s">
        <v>2819</v>
      </c>
      <c r="G835" s="2" t="s">
        <v>170</v>
      </c>
      <c r="H835" s="2" t="s">
        <v>2820</v>
      </c>
      <c r="I835" s="2" t="s">
        <v>36</v>
      </c>
      <c r="J835" s="2" t="s">
        <v>37</v>
      </c>
      <c r="K835" s="2" t="s">
        <v>38</v>
      </c>
      <c r="L835" s="2" t="s">
        <v>38</v>
      </c>
      <c r="M835" s="2" t="s">
        <v>38</v>
      </c>
      <c r="N835" s="2" t="s">
        <v>38</v>
      </c>
      <c r="O835" s="2" t="s">
        <v>38</v>
      </c>
      <c r="P835" s="2" t="s">
        <v>38</v>
      </c>
      <c r="Q835" s="2" t="s">
        <v>39</v>
      </c>
      <c r="R835" s="2" t="s">
        <v>39</v>
      </c>
      <c r="S835" s="2" t="s">
        <v>38</v>
      </c>
      <c r="T835" s="2" t="s">
        <v>38</v>
      </c>
      <c r="U835" s="2" t="s">
        <v>38</v>
      </c>
      <c r="V835" s="2" t="s">
        <v>38</v>
      </c>
      <c r="W835" s="2" t="s">
        <v>38</v>
      </c>
      <c r="X835" s="2" t="s">
        <v>39</v>
      </c>
      <c r="Y835" s="2" t="s">
        <v>39</v>
      </c>
      <c r="Z835" s="2" t="s">
        <v>38</v>
      </c>
      <c r="AA835" s="2" t="s">
        <v>38</v>
      </c>
      <c r="AB835" s="2" t="s">
        <v>39</v>
      </c>
      <c r="AC835" s="2" t="s">
        <v>38</v>
      </c>
      <c r="AD835" s="2" t="s">
        <v>38</v>
      </c>
      <c r="AE835" s="2" t="s">
        <v>40</v>
      </c>
    </row>
    <row r="836" spans="1:31" ht="409.5">
      <c r="A836" s="2">
        <v>2751959</v>
      </c>
      <c r="B836" s="2">
        <f>HYPERLINK("https://platform.v2.vetology.net/cases/2751959/screening-report/1?type=pdf&amp;v=v6&amp;scorecard=1&amp;secret_key=BX%25IJ%24%2F65ieZ%29f6", 2751959)</f>
        <v>2751959</v>
      </c>
      <c r="C836" s="2">
        <f>HYPERLINK("https://platform.v2.vetology.net/report/v/final/"&amp;2751959, 2751959)</f>
        <v>2751959</v>
      </c>
      <c r="D836" s="2" t="s">
        <v>2821</v>
      </c>
      <c r="E836" s="2" t="s">
        <v>2822</v>
      </c>
      <c r="F836" s="2" t="s">
        <v>2823</v>
      </c>
      <c r="G836" s="2" t="s">
        <v>170</v>
      </c>
      <c r="H836" s="2" t="s">
        <v>62</v>
      </c>
      <c r="I836" s="2" t="s">
        <v>46</v>
      </c>
      <c r="J836" s="2"/>
      <c r="K836" s="2" t="s">
        <v>39</v>
      </c>
      <c r="L836" s="2" t="s">
        <v>39</v>
      </c>
      <c r="M836" s="2" t="s">
        <v>39</v>
      </c>
      <c r="N836" s="2" t="s">
        <v>39</v>
      </c>
      <c r="O836" s="2" t="s">
        <v>38</v>
      </c>
      <c r="P836" s="2" t="s">
        <v>39</v>
      </c>
      <c r="Q836" s="2" t="s">
        <v>39</v>
      </c>
      <c r="R836" s="2" t="s">
        <v>38</v>
      </c>
      <c r="S836" s="2" t="s">
        <v>38</v>
      </c>
      <c r="T836" s="2" t="s">
        <v>39</v>
      </c>
      <c r="U836" s="2" t="s">
        <v>39</v>
      </c>
      <c r="V836" s="2" t="s">
        <v>39</v>
      </c>
      <c r="W836" s="2" t="s">
        <v>38</v>
      </c>
      <c r="X836" s="2" t="s">
        <v>39</v>
      </c>
      <c r="Y836" s="2" t="s">
        <v>39</v>
      </c>
      <c r="Z836" s="2" t="s">
        <v>38</v>
      </c>
      <c r="AA836" s="2" t="s">
        <v>39</v>
      </c>
      <c r="AB836" s="2" t="s">
        <v>39</v>
      </c>
      <c r="AC836" s="2" t="s">
        <v>38</v>
      </c>
      <c r="AD836" s="2" t="s">
        <v>38</v>
      </c>
      <c r="AE836" s="2" t="s">
        <v>39</v>
      </c>
    </row>
    <row r="837" spans="1:31" ht="409.5">
      <c r="A837" s="2">
        <v>2751922</v>
      </c>
      <c r="B837" s="2">
        <f>HYPERLINK("https://platform.v2.vetology.net/cases/2751922/screening-report/1?type=pdf&amp;v=v6&amp;scorecard=1&amp;secret_key=BX%25IJ%24%2F65ieZ%29f6", 2751922)</f>
        <v>2751922</v>
      </c>
      <c r="C837" s="2">
        <f>HYPERLINK("https://platform.v2.vetology.net/report/v/final/"&amp;2751922, 2751922)</f>
        <v>2751922</v>
      </c>
      <c r="D837" s="2" t="s">
        <v>2824</v>
      </c>
      <c r="E837" s="2" t="s">
        <v>2825</v>
      </c>
      <c r="F837" s="2" t="s">
        <v>43</v>
      </c>
      <c r="G837" s="2" t="s">
        <v>44</v>
      </c>
      <c r="H837" s="2" t="s">
        <v>1658</v>
      </c>
      <c r="I837" s="2" t="s">
        <v>36</v>
      </c>
      <c r="J837" s="2" t="s">
        <v>37</v>
      </c>
      <c r="K837" s="2" t="s">
        <v>38</v>
      </c>
      <c r="L837" s="2" t="s">
        <v>39</v>
      </c>
      <c r="M837" s="2" t="s">
        <v>38</v>
      </c>
      <c r="N837" s="2" t="s">
        <v>39</v>
      </c>
      <c r="O837" s="2" t="s">
        <v>39</v>
      </c>
      <c r="P837" s="2" t="s">
        <v>39</v>
      </c>
      <c r="Q837" s="2" t="s">
        <v>39</v>
      </c>
      <c r="R837" s="2" t="s">
        <v>38</v>
      </c>
      <c r="S837" s="2" t="s">
        <v>38</v>
      </c>
      <c r="T837" s="2" t="s">
        <v>39</v>
      </c>
      <c r="U837" s="2" t="s">
        <v>39</v>
      </c>
      <c r="V837" s="2" t="s">
        <v>39</v>
      </c>
      <c r="W837" s="2" t="s">
        <v>39</v>
      </c>
      <c r="X837" s="2" t="s">
        <v>39</v>
      </c>
      <c r="Y837" s="2" t="s">
        <v>39</v>
      </c>
      <c r="Z837" s="2" t="s">
        <v>38</v>
      </c>
      <c r="AA837" s="2" t="s">
        <v>39</v>
      </c>
      <c r="AB837" s="2" t="s">
        <v>39</v>
      </c>
      <c r="AC837" s="2" t="s">
        <v>38</v>
      </c>
      <c r="AD837" s="2" t="s">
        <v>39</v>
      </c>
      <c r="AE837" s="2" t="s">
        <v>39</v>
      </c>
    </row>
    <row r="838" spans="1:31" ht="409.5">
      <c r="A838" s="2">
        <v>2751914</v>
      </c>
      <c r="B838" s="2">
        <f>HYPERLINK("https://platform.v2.vetology.net/cases/2751914/screening-report/1?type=pdf&amp;v=v6&amp;scorecard=1&amp;secret_key=BX%25IJ%24%2F65ieZ%29f6", 2751914)</f>
        <v>2751914</v>
      </c>
      <c r="C838" s="2">
        <f>HYPERLINK("https://platform.v2.vetology.net/report/v/final/"&amp;2751914, 2751914)</f>
        <v>2751914</v>
      </c>
      <c r="D838" s="2" t="s">
        <v>2826</v>
      </c>
      <c r="E838" s="2" t="s">
        <v>2827</v>
      </c>
      <c r="F838" s="2" t="s">
        <v>43</v>
      </c>
      <c r="G838" s="2" t="s">
        <v>100</v>
      </c>
      <c r="H838" s="2" t="s">
        <v>2828</v>
      </c>
      <c r="I838" s="2" t="s">
        <v>73</v>
      </c>
      <c r="J838" s="2" t="s">
        <v>74</v>
      </c>
      <c r="K838" s="2" t="s">
        <v>38</v>
      </c>
      <c r="L838" s="2" t="s">
        <v>38</v>
      </c>
      <c r="M838" s="2" t="s">
        <v>38</v>
      </c>
      <c r="N838" s="2" t="s">
        <v>38</v>
      </c>
      <c r="O838" s="2" t="s">
        <v>38</v>
      </c>
      <c r="P838" s="2" t="s">
        <v>38</v>
      </c>
      <c r="Q838" s="2" t="s">
        <v>38</v>
      </c>
      <c r="R838" s="2" t="s">
        <v>38</v>
      </c>
      <c r="S838" s="2" t="s">
        <v>38</v>
      </c>
      <c r="T838" s="2" t="s">
        <v>38</v>
      </c>
      <c r="U838" s="2" t="s">
        <v>38</v>
      </c>
      <c r="V838" s="2" t="s">
        <v>38</v>
      </c>
      <c r="W838" s="2" t="s">
        <v>38</v>
      </c>
      <c r="X838" s="2" t="s">
        <v>38</v>
      </c>
      <c r="Y838" s="2" t="s">
        <v>38</v>
      </c>
      <c r="Z838" s="2" t="s">
        <v>38</v>
      </c>
      <c r="AA838" s="2" t="s">
        <v>38</v>
      </c>
      <c r="AB838" s="2" t="s">
        <v>38</v>
      </c>
      <c r="AC838" s="2" t="s">
        <v>38</v>
      </c>
      <c r="AD838" s="2" t="s">
        <v>38</v>
      </c>
      <c r="AE838" s="2" t="s">
        <v>40</v>
      </c>
    </row>
    <row r="839" spans="1:31" ht="409.5">
      <c r="A839" s="2">
        <v>2751908</v>
      </c>
      <c r="B839" s="2">
        <f>HYPERLINK("https://platform.v2.vetology.net/cases/2751908/screening-report/1?type=pdf&amp;v=v6&amp;scorecard=1&amp;secret_key=BX%25IJ%24%2F65ieZ%29f6", 2751908)</f>
        <v>2751908</v>
      </c>
      <c r="C839" s="2">
        <f>HYPERLINK("https://platform.v2.vetology.net/report/v/final/"&amp;2751908, 2751908)</f>
        <v>2751908</v>
      </c>
      <c r="D839" s="2" t="s">
        <v>2829</v>
      </c>
      <c r="E839" s="2" t="s">
        <v>2830</v>
      </c>
      <c r="F839" s="2" t="s">
        <v>2831</v>
      </c>
      <c r="G839" s="2" t="s">
        <v>170</v>
      </c>
      <c r="H839" s="2" t="s">
        <v>2832</v>
      </c>
      <c r="I839" s="2" t="s">
        <v>36</v>
      </c>
      <c r="J839" s="2" t="s">
        <v>37</v>
      </c>
      <c r="K839" s="2" t="s">
        <v>39</v>
      </c>
      <c r="L839" s="2" t="s">
        <v>39</v>
      </c>
      <c r="M839" s="2" t="s">
        <v>38</v>
      </c>
      <c r="N839" s="2" t="s">
        <v>39</v>
      </c>
      <c r="O839" s="2" t="s">
        <v>38</v>
      </c>
      <c r="P839" s="2" t="s">
        <v>39</v>
      </c>
      <c r="Q839" s="2" t="s">
        <v>39</v>
      </c>
      <c r="R839" s="2" t="s">
        <v>38</v>
      </c>
      <c r="S839" s="2" t="s">
        <v>38</v>
      </c>
      <c r="T839" s="2" t="s">
        <v>39</v>
      </c>
      <c r="U839" s="2" t="s">
        <v>39</v>
      </c>
      <c r="V839" s="2" t="s">
        <v>39</v>
      </c>
      <c r="W839" s="2" t="s">
        <v>38</v>
      </c>
      <c r="X839" s="2" t="s">
        <v>39</v>
      </c>
      <c r="Y839" s="2" t="s">
        <v>39</v>
      </c>
      <c r="Z839" s="2" t="s">
        <v>38</v>
      </c>
      <c r="AA839" s="2" t="s">
        <v>38</v>
      </c>
      <c r="AB839" s="2" t="s">
        <v>39</v>
      </c>
      <c r="AC839" s="2" t="s">
        <v>38</v>
      </c>
      <c r="AD839" s="2" t="s">
        <v>38</v>
      </c>
      <c r="AE839" s="2" t="s">
        <v>40</v>
      </c>
    </row>
    <row r="840" spans="1:31" ht="409.5">
      <c r="A840" s="2">
        <v>2751902</v>
      </c>
      <c r="B840" s="2">
        <f>HYPERLINK("https://platform.v2.vetology.net/cases/2751902/screening-report/1?type=pdf&amp;v=v6&amp;scorecard=1&amp;secret_key=BX%25IJ%24%2F65ieZ%29f6", 2751902)</f>
        <v>2751902</v>
      </c>
      <c r="C840" s="2">
        <f>HYPERLINK("https://platform.v2.vetology.net/report/v/final/"&amp;2751902, 2751902)</f>
        <v>2751902</v>
      </c>
      <c r="D840" s="2" t="s">
        <v>2833</v>
      </c>
      <c r="E840" s="2" t="s">
        <v>2834</v>
      </c>
      <c r="F840" s="2" t="s">
        <v>2835</v>
      </c>
      <c r="G840" s="2" t="s">
        <v>170</v>
      </c>
      <c r="H840" s="2" t="s">
        <v>69</v>
      </c>
      <c r="I840" s="2" t="s">
        <v>46</v>
      </c>
      <c r="J840" s="2"/>
      <c r="K840" s="2" t="s">
        <v>39</v>
      </c>
      <c r="L840" s="2" t="s">
        <v>39</v>
      </c>
      <c r="M840" s="2" t="s">
        <v>39</v>
      </c>
      <c r="N840" s="2" t="s">
        <v>39</v>
      </c>
      <c r="O840" s="2" t="s">
        <v>39</v>
      </c>
      <c r="P840" s="2" t="s">
        <v>39</v>
      </c>
      <c r="Q840" s="2" t="s">
        <v>39</v>
      </c>
      <c r="R840" s="2" t="s">
        <v>39</v>
      </c>
      <c r="S840" s="2" t="s">
        <v>39</v>
      </c>
      <c r="T840" s="2" t="s">
        <v>38</v>
      </c>
      <c r="U840" s="2" t="s">
        <v>39</v>
      </c>
      <c r="V840" s="2" t="s">
        <v>39</v>
      </c>
      <c r="W840" s="2" t="s">
        <v>39</v>
      </c>
      <c r="X840" s="2" t="s">
        <v>39</v>
      </c>
      <c r="Y840" s="2" t="s">
        <v>39</v>
      </c>
      <c r="Z840" s="2" t="s">
        <v>39</v>
      </c>
      <c r="AA840" s="2" t="s">
        <v>39</v>
      </c>
      <c r="AB840" s="2" t="s">
        <v>39</v>
      </c>
      <c r="AC840" s="2" t="s">
        <v>39</v>
      </c>
      <c r="AD840" s="2" t="s">
        <v>39</v>
      </c>
      <c r="AE840" s="2"/>
    </row>
    <row r="841" spans="1:31" ht="409.5">
      <c r="A841" s="2">
        <v>2751862</v>
      </c>
      <c r="B841" s="2">
        <f>HYPERLINK("https://platform.v2.vetology.net/cases/2751862/screening-report/1?type=pdf&amp;v=v6&amp;scorecard=1&amp;secret_key=BX%25IJ%24%2F65ieZ%29f6", 2751862)</f>
        <v>2751862</v>
      </c>
      <c r="C841" s="2">
        <f>HYPERLINK("https://platform.v2.vetology.net/report/v/final/"&amp;2751862, 2751862)</f>
        <v>2751862</v>
      </c>
      <c r="D841" s="2" t="s">
        <v>2836</v>
      </c>
      <c r="E841" s="2" t="s">
        <v>2837</v>
      </c>
      <c r="F841" s="2" t="s">
        <v>2838</v>
      </c>
      <c r="G841" s="2" t="s">
        <v>127</v>
      </c>
      <c r="H841" s="2" t="s">
        <v>2839</v>
      </c>
      <c r="I841" s="2" t="s">
        <v>73</v>
      </c>
      <c r="J841" s="2" t="s">
        <v>74</v>
      </c>
      <c r="K841" s="2" t="s">
        <v>38</v>
      </c>
      <c r="L841" s="2" t="s">
        <v>38</v>
      </c>
      <c r="M841" s="2" t="s">
        <v>38</v>
      </c>
      <c r="N841" s="2" t="s">
        <v>38</v>
      </c>
      <c r="O841" s="2" t="s">
        <v>38</v>
      </c>
      <c r="P841" s="2" t="s">
        <v>38</v>
      </c>
      <c r="Q841" s="2" t="s">
        <v>38</v>
      </c>
      <c r="R841" s="2" t="s">
        <v>38</v>
      </c>
      <c r="S841" s="2" t="s">
        <v>38</v>
      </c>
      <c r="T841" s="2" t="s">
        <v>38</v>
      </c>
      <c r="U841" s="2" t="s">
        <v>38</v>
      </c>
      <c r="V841" s="2" t="s">
        <v>38</v>
      </c>
      <c r="W841" s="2" t="s">
        <v>38</v>
      </c>
      <c r="X841" s="2" t="s">
        <v>38</v>
      </c>
      <c r="Y841" s="2" t="s">
        <v>38</v>
      </c>
      <c r="Z841" s="2" t="s">
        <v>38</v>
      </c>
      <c r="AA841" s="2" t="s">
        <v>38</v>
      </c>
      <c r="AB841" s="2" t="s">
        <v>38</v>
      </c>
      <c r="AC841" s="2" t="s">
        <v>38</v>
      </c>
      <c r="AD841" s="2" t="s">
        <v>38</v>
      </c>
      <c r="AE841" s="2" t="s">
        <v>40</v>
      </c>
    </row>
    <row r="842" spans="1:31" ht="409.5">
      <c r="A842" s="2">
        <v>2751861</v>
      </c>
      <c r="B842" s="2">
        <f>HYPERLINK("https://platform.v2.vetology.net/cases/2751861/screening-report/1?type=pdf&amp;v=v6&amp;scorecard=1&amp;secret_key=BX%25IJ%24%2F65ieZ%29f6", 2751861)</f>
        <v>2751861</v>
      </c>
      <c r="C842" s="2">
        <f>HYPERLINK("https://platform.v2.vetology.net/report/v/final/"&amp;2751861, 2751861)</f>
        <v>2751861</v>
      </c>
      <c r="D842" s="2" t="s">
        <v>2840</v>
      </c>
      <c r="E842" s="2" t="s">
        <v>2841</v>
      </c>
      <c r="F842" s="2" t="s">
        <v>43</v>
      </c>
      <c r="G842" s="2" t="s">
        <v>44</v>
      </c>
      <c r="H842" s="2" t="s">
        <v>2842</v>
      </c>
      <c r="I842" s="2" t="s">
        <v>36</v>
      </c>
      <c r="J842" s="2" t="s">
        <v>37</v>
      </c>
      <c r="K842" s="2" t="s">
        <v>39</v>
      </c>
      <c r="L842" s="2" t="s">
        <v>38</v>
      </c>
      <c r="M842" s="2" t="s">
        <v>39</v>
      </c>
      <c r="N842" s="2" t="s">
        <v>38</v>
      </c>
      <c r="O842" s="2" t="s">
        <v>38</v>
      </c>
      <c r="P842" s="2" t="s">
        <v>39</v>
      </c>
      <c r="Q842" s="2" t="s">
        <v>39</v>
      </c>
      <c r="R842" s="2" t="s">
        <v>38</v>
      </c>
      <c r="S842" s="2" t="s">
        <v>38</v>
      </c>
      <c r="T842" s="2" t="s">
        <v>39</v>
      </c>
      <c r="U842" s="2" t="s">
        <v>38</v>
      </c>
      <c r="V842" s="2" t="s">
        <v>39</v>
      </c>
      <c r="W842" s="2" t="s">
        <v>38</v>
      </c>
      <c r="X842" s="2" t="s">
        <v>39</v>
      </c>
      <c r="Y842" s="2" t="s">
        <v>39</v>
      </c>
      <c r="Z842" s="2" t="s">
        <v>38</v>
      </c>
      <c r="AA842" s="2" t="s">
        <v>38</v>
      </c>
      <c r="AB842" s="2" t="s">
        <v>39</v>
      </c>
      <c r="AC842" s="2" t="s">
        <v>38</v>
      </c>
      <c r="AD842" s="2" t="s">
        <v>38</v>
      </c>
      <c r="AE842" s="2" t="s">
        <v>39</v>
      </c>
    </row>
    <row r="843" spans="1:31" ht="409.5">
      <c r="A843" s="2">
        <v>2751815</v>
      </c>
      <c r="B843" s="2">
        <f>HYPERLINK("https://platform.v2.vetology.net/cases/2751815/screening-report/1?type=pdf&amp;v=v6&amp;scorecard=1&amp;secret_key=BX%25IJ%24%2F65ieZ%29f6", 2751815)</f>
        <v>2751815</v>
      </c>
      <c r="C843" s="2">
        <f>HYPERLINK("https://platform.v2.vetology.net/report/v/final/"&amp;2751815, 2751815)</f>
        <v>2751815</v>
      </c>
      <c r="D843" s="2" t="s">
        <v>2843</v>
      </c>
      <c r="E843" s="2" t="s">
        <v>2844</v>
      </c>
      <c r="F843" s="2" t="s">
        <v>2845</v>
      </c>
      <c r="G843" s="2" t="s">
        <v>170</v>
      </c>
      <c r="H843" s="2" t="s">
        <v>530</v>
      </c>
      <c r="I843" s="2" t="s">
        <v>59</v>
      </c>
      <c r="J843" s="2" t="s">
        <v>37</v>
      </c>
      <c r="K843" s="2" t="s">
        <v>38</v>
      </c>
      <c r="L843" s="2" t="s">
        <v>39</v>
      </c>
      <c r="M843" s="2" t="s">
        <v>39</v>
      </c>
      <c r="N843" s="2" t="s">
        <v>39</v>
      </c>
      <c r="O843" s="2" t="s">
        <v>39</v>
      </c>
      <c r="P843" s="2" t="s">
        <v>39</v>
      </c>
      <c r="Q843" s="2" t="s">
        <v>39</v>
      </c>
      <c r="R843" s="2" t="s">
        <v>39</v>
      </c>
      <c r="S843" s="2" t="s">
        <v>39</v>
      </c>
      <c r="T843" s="2" t="s">
        <v>38</v>
      </c>
      <c r="U843" s="2" t="s">
        <v>38</v>
      </c>
      <c r="V843" s="2" t="s">
        <v>38</v>
      </c>
      <c r="W843" s="2" t="s">
        <v>39</v>
      </c>
      <c r="X843" s="2" t="s">
        <v>39</v>
      </c>
      <c r="Y843" s="2" t="s">
        <v>39</v>
      </c>
      <c r="Z843" s="2" t="s">
        <v>39</v>
      </c>
      <c r="AA843" s="2" t="s">
        <v>38</v>
      </c>
      <c r="AB843" s="2" t="s">
        <v>39</v>
      </c>
      <c r="AC843" s="2" t="s">
        <v>38</v>
      </c>
      <c r="AD843" s="2" t="s">
        <v>39</v>
      </c>
      <c r="AE843" s="2" t="s">
        <v>40</v>
      </c>
    </row>
    <row r="844" spans="1:31" ht="409.5">
      <c r="A844" s="2">
        <v>2751782</v>
      </c>
      <c r="B844" s="2">
        <f>HYPERLINK("https://platform.v2.vetology.net/cases/2751782/screening-report/1?type=pdf&amp;v=v6&amp;scorecard=1&amp;secret_key=BX%25IJ%24%2F65ieZ%29f6", 2751782)</f>
        <v>2751782</v>
      </c>
      <c r="C844" s="2">
        <f>HYPERLINK("https://platform.v2.vetology.net/report/v/final/"&amp;2751782, 2751782)</f>
        <v>2751782</v>
      </c>
      <c r="D844" s="2" t="s">
        <v>2846</v>
      </c>
      <c r="E844" s="2" t="s">
        <v>2847</v>
      </c>
      <c r="F844" s="2" t="s">
        <v>43</v>
      </c>
      <c r="G844" s="2" t="s">
        <v>100</v>
      </c>
      <c r="H844" s="2" t="s">
        <v>2848</v>
      </c>
      <c r="I844" s="2" t="s">
        <v>73</v>
      </c>
      <c r="J844" s="2" t="s">
        <v>74</v>
      </c>
      <c r="K844" s="2" t="s">
        <v>38</v>
      </c>
      <c r="L844" s="2" t="s">
        <v>38</v>
      </c>
      <c r="M844" s="2" t="s">
        <v>38</v>
      </c>
      <c r="N844" s="2" t="s">
        <v>38</v>
      </c>
      <c r="O844" s="2" t="s">
        <v>38</v>
      </c>
      <c r="P844" s="2" t="s">
        <v>38</v>
      </c>
      <c r="Q844" s="2" t="s">
        <v>38</v>
      </c>
      <c r="R844" s="2" t="s">
        <v>38</v>
      </c>
      <c r="S844" s="2" t="s">
        <v>38</v>
      </c>
      <c r="T844" s="2" t="s">
        <v>38</v>
      </c>
      <c r="U844" s="2" t="s">
        <v>38</v>
      </c>
      <c r="V844" s="2" t="s">
        <v>38</v>
      </c>
      <c r="W844" s="2" t="s">
        <v>38</v>
      </c>
      <c r="X844" s="2" t="s">
        <v>38</v>
      </c>
      <c r="Y844" s="2" t="s">
        <v>38</v>
      </c>
      <c r="Z844" s="2" t="s">
        <v>38</v>
      </c>
      <c r="AA844" s="2" t="s">
        <v>39</v>
      </c>
      <c r="AB844" s="2" t="s">
        <v>38</v>
      </c>
      <c r="AC844" s="2" t="s">
        <v>38</v>
      </c>
      <c r="AD844" s="2" t="s">
        <v>38</v>
      </c>
      <c r="AE844" s="2" t="s">
        <v>40</v>
      </c>
    </row>
    <row r="845" spans="1:31" ht="409.5">
      <c r="A845" s="2">
        <v>2751741</v>
      </c>
      <c r="B845" s="2">
        <f>HYPERLINK("https://platform.v2.vetology.net/cases/2751741/screening-report/1?type=pdf&amp;v=v6&amp;scorecard=1&amp;secret_key=BX%25IJ%24%2F65ieZ%29f6", 2751741)</f>
        <v>2751741</v>
      </c>
      <c r="C845" s="2">
        <f>HYPERLINK("https://platform.v2.vetology.net/report/v/final/"&amp;2751741, 2751741)</f>
        <v>2751741</v>
      </c>
      <c r="D845" s="2" t="s">
        <v>2849</v>
      </c>
      <c r="E845" s="2" t="s">
        <v>2850</v>
      </c>
      <c r="F845" s="2" t="s">
        <v>2851</v>
      </c>
      <c r="G845" s="2" t="s">
        <v>556</v>
      </c>
      <c r="H845" s="2" t="s">
        <v>2852</v>
      </c>
      <c r="I845" s="2" t="s">
        <v>36</v>
      </c>
      <c r="J845" s="2" t="s">
        <v>37</v>
      </c>
      <c r="K845" s="2" t="s">
        <v>38</v>
      </c>
      <c r="L845" s="2" t="s">
        <v>38</v>
      </c>
      <c r="M845" s="2" t="s">
        <v>39</v>
      </c>
      <c r="N845" s="2" t="s">
        <v>38</v>
      </c>
      <c r="O845" s="2" t="s">
        <v>39</v>
      </c>
      <c r="P845" s="2" t="s">
        <v>39</v>
      </c>
      <c r="Q845" s="2" t="s">
        <v>39</v>
      </c>
      <c r="R845" s="2" t="s">
        <v>39</v>
      </c>
      <c r="S845" s="2" t="s">
        <v>39</v>
      </c>
      <c r="T845" s="2" t="s">
        <v>39</v>
      </c>
      <c r="U845" s="2" t="s">
        <v>39</v>
      </c>
      <c r="V845" s="2" t="s">
        <v>38</v>
      </c>
      <c r="W845" s="2" t="s">
        <v>39</v>
      </c>
      <c r="X845" s="2" t="s">
        <v>39</v>
      </c>
      <c r="Y845" s="2" t="s">
        <v>39</v>
      </c>
      <c r="Z845" s="2" t="s">
        <v>39</v>
      </c>
      <c r="AA845" s="2" t="s">
        <v>39</v>
      </c>
      <c r="AB845" s="2" t="s">
        <v>39</v>
      </c>
      <c r="AC845" s="2" t="s">
        <v>39</v>
      </c>
      <c r="AD845" s="2" t="s">
        <v>39</v>
      </c>
      <c r="AE845" s="2" t="s">
        <v>40</v>
      </c>
    </row>
    <row r="846" spans="1:31" ht="409.5">
      <c r="A846" s="2">
        <v>2751739</v>
      </c>
      <c r="B846" s="2">
        <f>HYPERLINK("https://platform.v2.vetology.net/cases/2751739/screening-report/1?type=pdf&amp;v=v6&amp;scorecard=1&amp;secret_key=BX%25IJ%24%2F65ieZ%29f6", 2751739)</f>
        <v>2751739</v>
      </c>
      <c r="C846" s="2">
        <f>HYPERLINK("https://platform.v2.vetology.net/report/v/final/"&amp;2751739, 2751739)</f>
        <v>2751739</v>
      </c>
      <c r="D846" s="2" t="s">
        <v>2853</v>
      </c>
      <c r="E846" s="2" t="s">
        <v>2854</v>
      </c>
      <c r="F846" s="2" t="s">
        <v>43</v>
      </c>
      <c r="G846" s="2" t="s">
        <v>507</v>
      </c>
      <c r="H846" s="2" t="s">
        <v>69</v>
      </c>
      <c r="I846" s="2" t="s">
        <v>46</v>
      </c>
      <c r="J846" s="2"/>
      <c r="K846" s="2" t="s">
        <v>39</v>
      </c>
      <c r="L846" s="2" t="s">
        <v>39</v>
      </c>
      <c r="M846" s="2" t="s">
        <v>39</v>
      </c>
      <c r="N846" s="2" t="s">
        <v>39</v>
      </c>
      <c r="O846" s="2" t="s">
        <v>39</v>
      </c>
      <c r="P846" s="2" t="s">
        <v>39</v>
      </c>
      <c r="Q846" s="2" t="s">
        <v>39</v>
      </c>
      <c r="R846" s="2" t="s">
        <v>39</v>
      </c>
      <c r="S846" s="2" t="s">
        <v>39</v>
      </c>
      <c r="T846" s="2" t="s">
        <v>38</v>
      </c>
      <c r="U846" s="2" t="s">
        <v>39</v>
      </c>
      <c r="V846" s="2" t="s">
        <v>39</v>
      </c>
      <c r="W846" s="2" t="s">
        <v>39</v>
      </c>
      <c r="X846" s="2" t="s">
        <v>39</v>
      </c>
      <c r="Y846" s="2" t="s">
        <v>39</v>
      </c>
      <c r="Z846" s="2" t="s">
        <v>39</v>
      </c>
      <c r="AA846" s="2" t="s">
        <v>39</v>
      </c>
      <c r="AB846" s="2" t="s">
        <v>39</v>
      </c>
      <c r="AC846" s="2" t="s">
        <v>39</v>
      </c>
      <c r="AD846" s="2" t="s">
        <v>38</v>
      </c>
      <c r="AE846" s="2" t="s">
        <v>39</v>
      </c>
    </row>
    <row r="847" spans="1:31" ht="409.5">
      <c r="A847" s="2">
        <v>2751731</v>
      </c>
      <c r="B847" s="2">
        <f>HYPERLINK("https://platform.v2.vetology.net/cases/2751731/screening-report/1?type=pdf&amp;v=v6&amp;scorecard=1&amp;secret_key=BX%25IJ%24%2F65ieZ%29f6", 2751731)</f>
        <v>2751731</v>
      </c>
      <c r="C847" s="2">
        <f>HYPERLINK("https://platform.v2.vetology.net/report/v/final/"&amp;2751731, 2751731)</f>
        <v>2751731</v>
      </c>
      <c r="D847" s="2" t="s">
        <v>2855</v>
      </c>
      <c r="E847" s="2" t="s">
        <v>2856</v>
      </c>
      <c r="F847" s="2" t="s">
        <v>2857</v>
      </c>
      <c r="G847" s="2" t="s">
        <v>170</v>
      </c>
      <c r="H847" s="2" t="s">
        <v>2858</v>
      </c>
      <c r="I847" s="2" t="s">
        <v>129</v>
      </c>
      <c r="J847" s="2" t="s">
        <v>74</v>
      </c>
      <c r="K847" s="2" t="s">
        <v>39</v>
      </c>
      <c r="L847" s="2" t="s">
        <v>38</v>
      </c>
      <c r="M847" s="2" t="s">
        <v>38</v>
      </c>
      <c r="N847" s="2" t="s">
        <v>38</v>
      </c>
      <c r="O847" s="2" t="s">
        <v>38</v>
      </c>
      <c r="P847" s="2" t="s">
        <v>38</v>
      </c>
      <c r="Q847" s="2" t="s">
        <v>38</v>
      </c>
      <c r="R847" s="2" t="s">
        <v>38</v>
      </c>
      <c r="S847" s="2" t="s">
        <v>38</v>
      </c>
      <c r="T847" s="2" t="s">
        <v>38</v>
      </c>
      <c r="U847" s="2" t="s">
        <v>38</v>
      </c>
      <c r="V847" s="2" t="s">
        <v>38</v>
      </c>
      <c r="W847" s="2" t="s">
        <v>38</v>
      </c>
      <c r="X847" s="2" t="s">
        <v>38</v>
      </c>
      <c r="Y847" s="2" t="s">
        <v>39</v>
      </c>
      <c r="Z847" s="2" t="s">
        <v>38</v>
      </c>
      <c r="AA847" s="2" t="s">
        <v>38</v>
      </c>
      <c r="AB847" s="2" t="s">
        <v>38</v>
      </c>
      <c r="AC847" s="2" t="s">
        <v>38</v>
      </c>
      <c r="AD847" s="2" t="s">
        <v>39</v>
      </c>
      <c r="AE847" s="2" t="s">
        <v>39</v>
      </c>
    </row>
    <row r="848" spans="1:31" ht="409.5">
      <c r="A848" s="2">
        <v>2751724</v>
      </c>
      <c r="B848" s="2">
        <f>HYPERLINK("https://platform.v2.vetology.net/cases/2751724/screening-report/1?type=pdf&amp;v=v6&amp;scorecard=1&amp;secret_key=BX%25IJ%24%2F65ieZ%29f6", 2751724)</f>
        <v>2751724</v>
      </c>
      <c r="C848" s="2">
        <f>HYPERLINK("https://platform.v2.vetology.net/report/v/final/"&amp;2751724, 2751724)</f>
        <v>2751724</v>
      </c>
      <c r="D848" s="2" t="s">
        <v>2859</v>
      </c>
      <c r="E848" s="2" t="s">
        <v>2860</v>
      </c>
      <c r="F848" s="2" t="s">
        <v>2861</v>
      </c>
      <c r="G848" s="2" t="s">
        <v>556</v>
      </c>
      <c r="H848" s="2" t="s">
        <v>2862</v>
      </c>
      <c r="I848" s="2" t="s">
        <v>46</v>
      </c>
      <c r="J848" s="2"/>
      <c r="K848" s="2" t="s">
        <v>38</v>
      </c>
      <c r="L848" s="2" t="s">
        <v>39</v>
      </c>
      <c r="M848" s="2" t="s">
        <v>39</v>
      </c>
      <c r="N848" s="2" t="s">
        <v>39</v>
      </c>
      <c r="O848" s="2" t="s">
        <v>39</v>
      </c>
      <c r="P848" s="2" t="s">
        <v>39</v>
      </c>
      <c r="Q848" s="2" t="s">
        <v>39</v>
      </c>
      <c r="R848" s="2" t="s">
        <v>38</v>
      </c>
      <c r="S848" s="2" t="s">
        <v>38</v>
      </c>
      <c r="T848" s="2" t="s">
        <v>39</v>
      </c>
      <c r="U848" s="2" t="s">
        <v>38</v>
      </c>
      <c r="V848" s="2" t="s">
        <v>38</v>
      </c>
      <c r="W848" s="2" t="s">
        <v>38</v>
      </c>
      <c r="X848" s="2" t="s">
        <v>39</v>
      </c>
      <c r="Y848" s="2" t="s">
        <v>39</v>
      </c>
      <c r="Z848" s="2" t="s">
        <v>39</v>
      </c>
      <c r="AA848" s="2" t="s">
        <v>39</v>
      </c>
      <c r="AB848" s="2" t="s">
        <v>39</v>
      </c>
      <c r="AC848" s="2" t="s">
        <v>38</v>
      </c>
      <c r="AD848" s="2" t="s">
        <v>38</v>
      </c>
      <c r="AE848" s="2" t="s">
        <v>39</v>
      </c>
    </row>
    <row r="849" spans="1:31" ht="409.5">
      <c r="A849" s="2">
        <v>2751694</v>
      </c>
      <c r="B849" s="2">
        <f>HYPERLINK("https://platform.v2.vetology.net/cases/2751694/screening-report/1?type=pdf&amp;v=v6&amp;scorecard=1&amp;secret_key=BX%25IJ%24%2F65ieZ%29f6", 2751694)</f>
        <v>2751694</v>
      </c>
      <c r="C849" s="2">
        <f>HYPERLINK("https://platform.v2.vetology.net/report/v/final/"&amp;2751694, 2751694)</f>
        <v>2751694</v>
      </c>
      <c r="D849" s="2" t="s">
        <v>2863</v>
      </c>
      <c r="E849" s="2" t="s">
        <v>2864</v>
      </c>
      <c r="F849" s="2" t="s">
        <v>2865</v>
      </c>
      <c r="G849" s="2" t="s">
        <v>44</v>
      </c>
      <c r="H849" s="2" t="s">
        <v>1685</v>
      </c>
      <c r="I849" s="2" t="s">
        <v>59</v>
      </c>
      <c r="J849" s="2" t="s">
        <v>37</v>
      </c>
      <c r="K849" s="2" t="s">
        <v>38</v>
      </c>
      <c r="L849" s="2" t="s">
        <v>39</v>
      </c>
      <c r="M849" s="2" t="s">
        <v>39</v>
      </c>
      <c r="N849" s="2" t="s">
        <v>39</v>
      </c>
      <c r="O849" s="2" t="s">
        <v>39</v>
      </c>
      <c r="P849" s="2" t="s">
        <v>39</v>
      </c>
      <c r="Q849" s="2" t="s">
        <v>39</v>
      </c>
      <c r="R849" s="2" t="s">
        <v>38</v>
      </c>
      <c r="S849" s="2" t="s">
        <v>39</v>
      </c>
      <c r="T849" s="2" t="s">
        <v>39</v>
      </c>
      <c r="U849" s="2" t="s">
        <v>38</v>
      </c>
      <c r="V849" s="2" t="s">
        <v>38</v>
      </c>
      <c r="W849" s="2" t="s">
        <v>39</v>
      </c>
      <c r="X849" s="2" t="s">
        <v>39</v>
      </c>
      <c r="Y849" s="2" t="s">
        <v>39</v>
      </c>
      <c r="Z849" s="2" t="s">
        <v>39</v>
      </c>
      <c r="AA849" s="2" t="s">
        <v>39</v>
      </c>
      <c r="AB849" s="2" t="s">
        <v>39</v>
      </c>
      <c r="AC849" s="2" t="s">
        <v>39</v>
      </c>
      <c r="AD849" s="2" t="s">
        <v>39</v>
      </c>
      <c r="AE849" s="2" t="s">
        <v>39</v>
      </c>
    </row>
    <row r="850" spans="1:31" ht="409.5">
      <c r="A850" s="2">
        <v>2751659</v>
      </c>
      <c r="B850" s="2">
        <f>HYPERLINK("https://platform.v2.vetology.net/cases/2751659/screening-report/1?type=pdf&amp;v=v6&amp;scorecard=1&amp;secret_key=BX%25IJ%24%2F65ieZ%29f6", 2751659)</f>
        <v>2751659</v>
      </c>
      <c r="C850" s="2">
        <f>HYPERLINK("https://platform.v2.vetology.net/report/v/final/"&amp;2751659, 2751659)</f>
        <v>2751659</v>
      </c>
      <c r="D850" s="2" t="s">
        <v>2866</v>
      </c>
      <c r="E850" s="2" t="s">
        <v>2867</v>
      </c>
      <c r="F850" s="2"/>
      <c r="G850" s="2" t="s">
        <v>81</v>
      </c>
      <c r="H850" s="2" t="s">
        <v>2868</v>
      </c>
      <c r="I850" s="2" t="s">
        <v>73</v>
      </c>
      <c r="J850" s="2" t="s">
        <v>74</v>
      </c>
      <c r="K850" s="2" t="s">
        <v>38</v>
      </c>
      <c r="L850" s="2" t="s">
        <v>38</v>
      </c>
      <c r="M850" s="2" t="s">
        <v>38</v>
      </c>
      <c r="N850" s="2" t="s">
        <v>38</v>
      </c>
      <c r="O850" s="2" t="s">
        <v>38</v>
      </c>
      <c r="P850" s="2" t="s">
        <v>38</v>
      </c>
      <c r="Q850" s="2" t="s">
        <v>38</v>
      </c>
      <c r="R850" s="2" t="s">
        <v>38</v>
      </c>
      <c r="S850" s="2" t="s">
        <v>38</v>
      </c>
      <c r="T850" s="2" t="s">
        <v>38</v>
      </c>
      <c r="U850" s="2" t="s">
        <v>38</v>
      </c>
      <c r="V850" s="2" t="s">
        <v>38</v>
      </c>
      <c r="W850" s="2" t="s">
        <v>38</v>
      </c>
      <c r="X850" s="2" t="s">
        <v>38</v>
      </c>
      <c r="Y850" s="2" t="s">
        <v>38</v>
      </c>
      <c r="Z850" s="2" t="s">
        <v>38</v>
      </c>
      <c r="AA850" s="2" t="s">
        <v>38</v>
      </c>
      <c r="AB850" s="2" t="s">
        <v>38</v>
      </c>
      <c r="AC850" s="2" t="s">
        <v>38</v>
      </c>
      <c r="AD850" s="2" t="s">
        <v>38</v>
      </c>
      <c r="AE850" s="2" t="s">
        <v>40</v>
      </c>
    </row>
    <row r="851" spans="1:31" ht="409.5">
      <c r="A851" s="2">
        <v>2751625</v>
      </c>
      <c r="B851" s="2">
        <f>HYPERLINK("https://platform.v2.vetology.net/cases/2751625/screening-report/1?type=pdf&amp;v=v6&amp;scorecard=1&amp;secret_key=BX%25IJ%24%2F65ieZ%29f6", 2751625)</f>
        <v>2751625</v>
      </c>
      <c r="C851" s="2">
        <f>HYPERLINK("https://platform.v2.vetology.net/report/v/final/"&amp;2751625, 2751625)</f>
        <v>2751625</v>
      </c>
      <c r="D851" s="2" t="s">
        <v>2249</v>
      </c>
      <c r="E851" s="2" t="s">
        <v>1457</v>
      </c>
      <c r="F851" s="2"/>
      <c r="G851" s="2" t="s">
        <v>100</v>
      </c>
      <c r="H851" s="2" t="s">
        <v>158</v>
      </c>
      <c r="I851" s="2" t="s">
        <v>59</v>
      </c>
      <c r="J851" s="2" t="s">
        <v>37</v>
      </c>
      <c r="K851" s="2" t="s">
        <v>38</v>
      </c>
      <c r="L851" s="2" t="s">
        <v>39</v>
      </c>
      <c r="M851" s="2" t="s">
        <v>39</v>
      </c>
      <c r="N851" s="2" t="s">
        <v>39</v>
      </c>
      <c r="O851" s="2" t="s">
        <v>39</v>
      </c>
      <c r="P851" s="2" t="s">
        <v>39</v>
      </c>
      <c r="Q851" s="2" t="s">
        <v>39</v>
      </c>
      <c r="R851" s="2" t="s">
        <v>39</v>
      </c>
      <c r="S851" s="2" t="s">
        <v>39</v>
      </c>
      <c r="T851" s="2" t="s">
        <v>39</v>
      </c>
      <c r="U851" s="2" t="s">
        <v>38</v>
      </c>
      <c r="V851" s="2" t="s">
        <v>38</v>
      </c>
      <c r="W851" s="2" t="s">
        <v>39</v>
      </c>
      <c r="X851" s="2" t="s">
        <v>39</v>
      </c>
      <c r="Y851" s="2" t="s">
        <v>39</v>
      </c>
      <c r="Z851" s="2" t="s">
        <v>39</v>
      </c>
      <c r="AA851" s="2" t="s">
        <v>39</v>
      </c>
      <c r="AB851" s="2" t="s">
        <v>39</v>
      </c>
      <c r="AC851" s="2" t="s">
        <v>39</v>
      </c>
      <c r="AD851" s="2" t="s">
        <v>38</v>
      </c>
      <c r="AE851" s="2" t="s">
        <v>39</v>
      </c>
    </row>
    <row r="852" spans="1:31" ht="409.5">
      <c r="A852" s="2">
        <v>2751607</v>
      </c>
      <c r="B852" s="2">
        <f>HYPERLINK("https://platform.v2.vetology.net/cases/2751607/screening-report/1?type=pdf&amp;v=v6&amp;scorecard=1&amp;secret_key=BX%25IJ%24%2F65ieZ%29f6", 2751607)</f>
        <v>2751607</v>
      </c>
      <c r="C852" s="2">
        <f>HYPERLINK("https://platform.v2.vetology.net/report/v/final/"&amp;2751607, 2751607)</f>
        <v>2751607</v>
      </c>
      <c r="D852" s="2" t="s">
        <v>2869</v>
      </c>
      <c r="E852" s="2" t="s">
        <v>2870</v>
      </c>
      <c r="F852" s="2" t="s">
        <v>2871</v>
      </c>
      <c r="G852" s="2" t="s">
        <v>111</v>
      </c>
      <c r="H852" s="2" t="s">
        <v>2872</v>
      </c>
      <c r="I852" s="2" t="s">
        <v>36</v>
      </c>
      <c r="J852" s="2" t="s">
        <v>37</v>
      </c>
      <c r="K852" s="2" t="s">
        <v>38</v>
      </c>
      <c r="L852" s="2" t="s">
        <v>38</v>
      </c>
      <c r="M852" s="2" t="s">
        <v>38</v>
      </c>
      <c r="N852" s="2" t="s">
        <v>38</v>
      </c>
      <c r="O852" s="2" t="s">
        <v>38</v>
      </c>
      <c r="P852" s="2" t="s">
        <v>39</v>
      </c>
      <c r="Q852" s="2" t="s">
        <v>39</v>
      </c>
      <c r="R852" s="2" t="s">
        <v>38</v>
      </c>
      <c r="S852" s="2" t="s">
        <v>38</v>
      </c>
      <c r="T852" s="2" t="s">
        <v>38</v>
      </c>
      <c r="U852" s="2" t="s">
        <v>38</v>
      </c>
      <c r="V852" s="2" t="s">
        <v>38</v>
      </c>
      <c r="W852" s="2" t="s">
        <v>38</v>
      </c>
      <c r="X852" s="2" t="s">
        <v>38</v>
      </c>
      <c r="Y852" s="2" t="s">
        <v>38</v>
      </c>
      <c r="Z852" s="2" t="s">
        <v>38</v>
      </c>
      <c r="AA852" s="2" t="s">
        <v>38</v>
      </c>
      <c r="AB852" s="2" t="s">
        <v>39</v>
      </c>
      <c r="AC852" s="2" t="s">
        <v>38</v>
      </c>
      <c r="AD852" s="2" t="s">
        <v>38</v>
      </c>
      <c r="AE852" s="2" t="s">
        <v>40</v>
      </c>
    </row>
    <row r="853" spans="1:31" ht="409.5">
      <c r="A853" s="2">
        <v>2751593</v>
      </c>
      <c r="B853" s="2">
        <f>HYPERLINK("https://platform.v2.vetology.net/cases/2751593/screening-report/1?type=pdf&amp;v=v6&amp;scorecard=1&amp;secret_key=BX%25IJ%24%2F65ieZ%29f6", 2751593)</f>
        <v>2751593</v>
      </c>
      <c r="C853" s="2">
        <f>HYPERLINK("https://platform.v2.vetology.net/report/v/final/"&amp;2751593, 2751593)</f>
        <v>2751593</v>
      </c>
      <c r="D853" s="2" t="s">
        <v>2873</v>
      </c>
      <c r="E853" s="2" t="s">
        <v>2874</v>
      </c>
      <c r="F853" s="2" t="s">
        <v>2764</v>
      </c>
      <c r="G853" s="2" t="s">
        <v>111</v>
      </c>
      <c r="H853" s="2" t="s">
        <v>2875</v>
      </c>
      <c r="I853" s="2" t="s">
        <v>36</v>
      </c>
      <c r="J853" s="2" t="s">
        <v>37</v>
      </c>
      <c r="K853" s="2" t="s">
        <v>38</v>
      </c>
      <c r="L853" s="2" t="s">
        <v>39</v>
      </c>
      <c r="M853" s="2" t="s">
        <v>38</v>
      </c>
      <c r="N853" s="2" t="s">
        <v>38</v>
      </c>
      <c r="O853" s="2" t="s">
        <v>38</v>
      </c>
      <c r="P853" s="2" t="s">
        <v>38</v>
      </c>
      <c r="Q853" s="2" t="s">
        <v>39</v>
      </c>
      <c r="R853" s="2" t="s">
        <v>38</v>
      </c>
      <c r="S853" s="2" t="s">
        <v>38</v>
      </c>
      <c r="T853" s="2" t="s">
        <v>38</v>
      </c>
      <c r="U853" s="2" t="s">
        <v>39</v>
      </c>
      <c r="V853" s="2" t="s">
        <v>38</v>
      </c>
      <c r="W853" s="2" t="s">
        <v>38</v>
      </c>
      <c r="X853" s="2" t="s">
        <v>39</v>
      </c>
      <c r="Y853" s="2" t="s">
        <v>38</v>
      </c>
      <c r="Z853" s="2" t="s">
        <v>38</v>
      </c>
      <c r="AA853" s="2" t="s">
        <v>38</v>
      </c>
      <c r="AB853" s="2" t="s">
        <v>39</v>
      </c>
      <c r="AC853" s="2" t="s">
        <v>38</v>
      </c>
      <c r="AD853" s="2" t="s">
        <v>38</v>
      </c>
      <c r="AE853" s="2" t="s">
        <v>40</v>
      </c>
    </row>
    <row r="854" spans="1:31" ht="409.5">
      <c r="A854" s="2">
        <v>2751592</v>
      </c>
      <c r="B854" s="2">
        <f>HYPERLINK("https://platform.v2.vetology.net/cases/2751592/screening-report/1?type=pdf&amp;v=v6&amp;scorecard=1&amp;secret_key=BX%25IJ%24%2F65ieZ%29f6", 2751592)</f>
        <v>2751592</v>
      </c>
      <c r="C854" s="2">
        <f>HYPERLINK("https://platform.v2.vetology.net/report/v/final/"&amp;2751592, 2751592)</f>
        <v>2751592</v>
      </c>
      <c r="D854" s="2" t="s">
        <v>2876</v>
      </c>
      <c r="E854" s="2" t="s">
        <v>2877</v>
      </c>
      <c r="F854" s="2" t="s">
        <v>2878</v>
      </c>
      <c r="G854" s="2" t="s">
        <v>170</v>
      </c>
      <c r="H854" s="2" t="s">
        <v>226</v>
      </c>
      <c r="I854" s="2" t="s">
        <v>36</v>
      </c>
      <c r="J854" s="2" t="s">
        <v>37</v>
      </c>
      <c r="K854" s="2" t="s">
        <v>39</v>
      </c>
      <c r="L854" s="2" t="s">
        <v>39</v>
      </c>
      <c r="M854" s="2" t="s">
        <v>38</v>
      </c>
      <c r="N854" s="2" t="s">
        <v>38</v>
      </c>
      <c r="O854" s="2" t="s">
        <v>39</v>
      </c>
      <c r="P854" s="2" t="s">
        <v>39</v>
      </c>
      <c r="Q854" s="2" t="s">
        <v>39</v>
      </c>
      <c r="R854" s="2" t="s">
        <v>39</v>
      </c>
      <c r="S854" s="2" t="s">
        <v>38</v>
      </c>
      <c r="T854" s="2" t="s">
        <v>38</v>
      </c>
      <c r="U854" s="2" t="s">
        <v>39</v>
      </c>
      <c r="V854" s="2" t="s">
        <v>38</v>
      </c>
      <c r="W854" s="2" t="s">
        <v>38</v>
      </c>
      <c r="X854" s="2" t="s">
        <v>39</v>
      </c>
      <c r="Y854" s="2" t="s">
        <v>39</v>
      </c>
      <c r="Z854" s="2" t="s">
        <v>39</v>
      </c>
      <c r="AA854" s="2" t="s">
        <v>38</v>
      </c>
      <c r="AB854" s="2" t="s">
        <v>39</v>
      </c>
      <c r="AC854" s="2" t="s">
        <v>38</v>
      </c>
      <c r="AD854" s="2" t="s">
        <v>38</v>
      </c>
      <c r="AE854" s="2" t="s">
        <v>40</v>
      </c>
    </row>
    <row r="855" spans="1:31" ht="409.5">
      <c r="A855" s="2">
        <v>2751564</v>
      </c>
      <c r="B855" s="2">
        <f>HYPERLINK("https://platform.v2.vetology.net/cases/2751564/screening-report/1?type=pdf&amp;v=v6&amp;scorecard=1&amp;secret_key=BX%25IJ%24%2F65ieZ%29f6", 2751564)</f>
        <v>2751564</v>
      </c>
      <c r="C855" s="2">
        <f>HYPERLINK("https://platform.v2.vetology.net/report/v/final/"&amp;2751564, 2751564)</f>
        <v>2751564</v>
      </c>
      <c r="D855" s="2" t="s">
        <v>2879</v>
      </c>
      <c r="E855" s="2" t="s">
        <v>2880</v>
      </c>
      <c r="F855" s="2" t="s">
        <v>43</v>
      </c>
      <c r="G855" s="2" t="s">
        <v>44</v>
      </c>
      <c r="H855" s="2" t="s">
        <v>2580</v>
      </c>
      <c r="I855" s="2" t="s">
        <v>59</v>
      </c>
      <c r="J855" s="2" t="s">
        <v>37</v>
      </c>
      <c r="K855" s="2" t="s">
        <v>38</v>
      </c>
      <c r="L855" s="2" t="s">
        <v>38</v>
      </c>
      <c r="M855" s="2" t="s">
        <v>39</v>
      </c>
      <c r="N855" s="2" t="s">
        <v>39</v>
      </c>
      <c r="O855" s="2" t="s">
        <v>39</v>
      </c>
      <c r="P855" s="2" t="s">
        <v>39</v>
      </c>
      <c r="Q855" s="2" t="s">
        <v>39</v>
      </c>
      <c r="R855" s="2" t="s">
        <v>38</v>
      </c>
      <c r="S855" s="2" t="s">
        <v>39</v>
      </c>
      <c r="T855" s="2" t="s">
        <v>39</v>
      </c>
      <c r="U855" s="2" t="s">
        <v>38</v>
      </c>
      <c r="V855" s="2" t="s">
        <v>38</v>
      </c>
      <c r="W855" s="2" t="s">
        <v>39</v>
      </c>
      <c r="X855" s="2" t="s">
        <v>39</v>
      </c>
      <c r="Y855" s="2" t="s">
        <v>39</v>
      </c>
      <c r="Z855" s="2" t="s">
        <v>39</v>
      </c>
      <c r="AA855" s="2" t="s">
        <v>38</v>
      </c>
      <c r="AB855" s="2" t="s">
        <v>39</v>
      </c>
      <c r="AC855" s="2" t="s">
        <v>38</v>
      </c>
      <c r="AD855" s="2" t="s">
        <v>39</v>
      </c>
      <c r="AE855" s="2" t="s">
        <v>39</v>
      </c>
    </row>
    <row r="856" spans="1:31" ht="409.5">
      <c r="A856" s="2">
        <v>2751551</v>
      </c>
      <c r="B856" s="2">
        <f>HYPERLINK("https://platform.v2.vetology.net/cases/2751551/screening-report/1?type=pdf&amp;v=v6&amp;scorecard=1&amp;secret_key=BX%25IJ%24%2F65ieZ%29f6", 2751551)</f>
        <v>2751551</v>
      </c>
      <c r="C856" s="2">
        <f>HYPERLINK("https://platform.v2.vetology.net/report/v/final/"&amp;2751551, 2751551)</f>
        <v>2751551</v>
      </c>
      <c r="D856" s="2" t="s">
        <v>2881</v>
      </c>
      <c r="E856" s="2" t="s">
        <v>2882</v>
      </c>
      <c r="F856" s="2" t="s">
        <v>2883</v>
      </c>
      <c r="G856" s="2" t="s">
        <v>44</v>
      </c>
      <c r="H856" s="2" t="s">
        <v>62</v>
      </c>
      <c r="I856" s="2" t="s">
        <v>46</v>
      </c>
      <c r="J856" s="2"/>
      <c r="K856" s="2" t="s">
        <v>39</v>
      </c>
      <c r="L856" s="2" t="s">
        <v>39</v>
      </c>
      <c r="M856" s="2" t="s">
        <v>39</v>
      </c>
      <c r="N856" s="2" t="s">
        <v>39</v>
      </c>
      <c r="O856" s="2" t="s">
        <v>39</v>
      </c>
      <c r="P856" s="2" t="s">
        <v>39</v>
      </c>
      <c r="Q856" s="2" t="s">
        <v>39</v>
      </c>
      <c r="R856" s="2" t="s">
        <v>38</v>
      </c>
      <c r="S856" s="2" t="s">
        <v>38</v>
      </c>
      <c r="T856" s="2" t="s">
        <v>38</v>
      </c>
      <c r="U856" s="2" t="s">
        <v>39</v>
      </c>
      <c r="V856" s="2" t="s">
        <v>39</v>
      </c>
      <c r="W856" s="2" t="s">
        <v>38</v>
      </c>
      <c r="X856" s="2" t="s">
        <v>39</v>
      </c>
      <c r="Y856" s="2" t="s">
        <v>39</v>
      </c>
      <c r="Z856" s="2" t="s">
        <v>38</v>
      </c>
      <c r="AA856" s="2" t="s">
        <v>39</v>
      </c>
      <c r="AB856" s="2" t="s">
        <v>39</v>
      </c>
      <c r="AC856" s="2" t="s">
        <v>38</v>
      </c>
      <c r="AD856" s="2" t="s">
        <v>39</v>
      </c>
      <c r="AE856" s="2" t="s">
        <v>39</v>
      </c>
    </row>
    <row r="857" spans="1:31" ht="409.5">
      <c r="A857" s="2">
        <v>2751545</v>
      </c>
      <c r="B857" s="2">
        <f>HYPERLINK("https://platform.v2.vetology.net/cases/2751545/screening-report/1?type=pdf&amp;v=v6&amp;scorecard=1&amp;secret_key=BX%25IJ%24%2F65ieZ%29f6", 2751545)</f>
        <v>2751545</v>
      </c>
      <c r="C857" s="2">
        <f>HYPERLINK("https://platform.v2.vetology.net/report/v/final/"&amp;2751545, 2751545)</f>
        <v>2751545</v>
      </c>
      <c r="D857" s="2" t="s">
        <v>2884</v>
      </c>
      <c r="E857" s="2" t="s">
        <v>2885</v>
      </c>
      <c r="F857" s="2" t="s">
        <v>43</v>
      </c>
      <c r="G857" s="2" t="s">
        <v>44</v>
      </c>
      <c r="H857" s="2" t="s">
        <v>2886</v>
      </c>
      <c r="I857" s="2" t="s">
        <v>36</v>
      </c>
      <c r="J857" s="2" t="s">
        <v>37</v>
      </c>
      <c r="K857" s="2" t="s">
        <v>38</v>
      </c>
      <c r="L857" s="2" t="s">
        <v>39</v>
      </c>
      <c r="M857" s="2" t="s">
        <v>39</v>
      </c>
      <c r="N857" s="2" t="s">
        <v>38</v>
      </c>
      <c r="O857" s="2" t="s">
        <v>38</v>
      </c>
      <c r="P857" s="2" t="s">
        <v>39</v>
      </c>
      <c r="Q857" s="2" t="s">
        <v>39</v>
      </c>
      <c r="R857" s="2" t="s">
        <v>38</v>
      </c>
      <c r="S857" s="2" t="s">
        <v>38</v>
      </c>
      <c r="T857" s="2" t="s">
        <v>38</v>
      </c>
      <c r="U857" s="2" t="s">
        <v>39</v>
      </c>
      <c r="V857" s="2" t="s">
        <v>38</v>
      </c>
      <c r="W857" s="2" t="s">
        <v>38</v>
      </c>
      <c r="X857" s="2" t="s">
        <v>39</v>
      </c>
      <c r="Y857" s="2" t="s">
        <v>39</v>
      </c>
      <c r="Z857" s="2" t="s">
        <v>38</v>
      </c>
      <c r="AA857" s="2" t="s">
        <v>38</v>
      </c>
      <c r="AB857" s="2" t="s">
        <v>39</v>
      </c>
      <c r="AC857" s="2" t="s">
        <v>38</v>
      </c>
      <c r="AD857" s="2" t="s">
        <v>38</v>
      </c>
      <c r="AE857" s="2" t="s">
        <v>39</v>
      </c>
    </row>
    <row r="858" spans="1:31" ht="409.5">
      <c r="A858" s="2">
        <v>2751541</v>
      </c>
      <c r="B858" s="2">
        <f>HYPERLINK("https://platform.v2.vetology.net/cases/2751541/screening-report/1?type=pdf&amp;v=v6&amp;scorecard=1&amp;secret_key=BX%25IJ%24%2F65ieZ%29f6", 2751541)</f>
        <v>2751541</v>
      </c>
      <c r="C858" s="2">
        <f>HYPERLINK("https://platform.v2.vetology.net/report/v/final/"&amp;2751541, 2751541)</f>
        <v>2751541</v>
      </c>
      <c r="D858" s="2" t="s">
        <v>2887</v>
      </c>
      <c r="E858" s="2" t="s">
        <v>2888</v>
      </c>
      <c r="F858" s="2" t="s">
        <v>43</v>
      </c>
      <c r="G858" s="2" t="s">
        <v>507</v>
      </c>
      <c r="H858" s="2" t="s">
        <v>2889</v>
      </c>
      <c r="I858" s="2" t="s">
        <v>129</v>
      </c>
      <c r="J858" s="2" t="s">
        <v>74</v>
      </c>
      <c r="K858" s="2" t="s">
        <v>39</v>
      </c>
      <c r="L858" s="2" t="s">
        <v>38</v>
      </c>
      <c r="M858" s="2" t="s">
        <v>39</v>
      </c>
      <c r="N858" s="2" t="s">
        <v>39</v>
      </c>
      <c r="O858" s="2" t="s">
        <v>39</v>
      </c>
      <c r="P858" s="2" t="s">
        <v>38</v>
      </c>
      <c r="Q858" s="2" t="s">
        <v>38</v>
      </c>
      <c r="R858" s="2" t="s">
        <v>38</v>
      </c>
      <c r="S858" s="2" t="s">
        <v>38</v>
      </c>
      <c r="T858" s="2" t="s">
        <v>38</v>
      </c>
      <c r="U858" s="2" t="s">
        <v>39</v>
      </c>
      <c r="V858" s="2" t="s">
        <v>39</v>
      </c>
      <c r="W858" s="2" t="s">
        <v>38</v>
      </c>
      <c r="X858" s="2" t="s">
        <v>38</v>
      </c>
      <c r="Y858" s="2" t="s">
        <v>39</v>
      </c>
      <c r="Z858" s="2" t="s">
        <v>38</v>
      </c>
      <c r="AA858" s="2" t="s">
        <v>38</v>
      </c>
      <c r="AB858" s="2" t="s">
        <v>38</v>
      </c>
      <c r="AC858" s="2" t="s">
        <v>39</v>
      </c>
      <c r="AD858" s="2" t="s">
        <v>38</v>
      </c>
      <c r="AE858" s="2"/>
    </row>
    <row r="859" spans="1:31" ht="409.5">
      <c r="A859" s="2">
        <v>2751540</v>
      </c>
      <c r="B859" s="2">
        <f>HYPERLINK("https://platform.v2.vetology.net/cases/2751540/screening-report/1?type=pdf&amp;v=v6&amp;scorecard=1&amp;secret_key=BX%25IJ%24%2F65ieZ%29f6", 2751540)</f>
        <v>2751540</v>
      </c>
      <c r="C859" s="2">
        <f>HYPERLINK("https://platform.v2.vetology.net/report/v/final/"&amp;2751540, 2751540)</f>
        <v>2751540</v>
      </c>
      <c r="D859" s="2" t="s">
        <v>2890</v>
      </c>
      <c r="E859" s="2" t="s">
        <v>2891</v>
      </c>
      <c r="F859" s="2" t="s">
        <v>2892</v>
      </c>
      <c r="G859" s="2" t="s">
        <v>111</v>
      </c>
      <c r="H859" s="2" t="s">
        <v>2893</v>
      </c>
      <c r="I859" s="2" t="s">
        <v>36</v>
      </c>
      <c r="J859" s="2" t="s">
        <v>37</v>
      </c>
      <c r="K859" s="2" t="s">
        <v>38</v>
      </c>
      <c r="L859" s="2" t="s">
        <v>38</v>
      </c>
      <c r="M859" s="2" t="s">
        <v>38</v>
      </c>
      <c r="N859" s="2" t="s">
        <v>38</v>
      </c>
      <c r="O859" s="2" t="s">
        <v>38</v>
      </c>
      <c r="P859" s="2" t="s">
        <v>38</v>
      </c>
      <c r="Q859" s="2" t="s">
        <v>39</v>
      </c>
      <c r="R859" s="2" t="s">
        <v>38</v>
      </c>
      <c r="S859" s="2" t="s">
        <v>38</v>
      </c>
      <c r="T859" s="2" t="s">
        <v>38</v>
      </c>
      <c r="U859" s="2" t="s">
        <v>38</v>
      </c>
      <c r="V859" s="2" t="s">
        <v>38</v>
      </c>
      <c r="W859" s="2" t="s">
        <v>38</v>
      </c>
      <c r="X859" s="2" t="s">
        <v>38</v>
      </c>
      <c r="Y859" s="2" t="s">
        <v>39</v>
      </c>
      <c r="Z859" s="2" t="s">
        <v>38</v>
      </c>
      <c r="AA859" s="2" t="s">
        <v>38</v>
      </c>
      <c r="AB859" s="2" t="s">
        <v>39</v>
      </c>
      <c r="AC859" s="2" t="s">
        <v>38</v>
      </c>
      <c r="AD859" s="2" t="s">
        <v>38</v>
      </c>
      <c r="AE859" s="2" t="s">
        <v>40</v>
      </c>
    </row>
    <row r="860" spans="1:31" ht="409.5">
      <c r="A860" s="2">
        <v>2751477</v>
      </c>
      <c r="B860" s="2">
        <f>HYPERLINK("https://platform.v2.vetology.net/cases/2751477/screening-report/1?type=pdf&amp;v=v6&amp;scorecard=1&amp;secret_key=BX%25IJ%24%2F65ieZ%29f6", 2751477)</f>
        <v>2751477</v>
      </c>
      <c r="C860" s="2">
        <f>HYPERLINK("https://platform.v2.vetology.net/report/v/final/"&amp;2751477, 2751477)</f>
        <v>2751477</v>
      </c>
      <c r="D860" s="2" t="s">
        <v>2894</v>
      </c>
      <c r="E860" s="2" t="s">
        <v>2895</v>
      </c>
      <c r="F860" s="2" t="s">
        <v>43</v>
      </c>
      <c r="G860" s="2" t="s">
        <v>44</v>
      </c>
      <c r="H860" s="2" t="s">
        <v>69</v>
      </c>
      <c r="I860" s="2" t="s">
        <v>46</v>
      </c>
      <c r="J860" s="2"/>
      <c r="K860" s="2" t="s">
        <v>39</v>
      </c>
      <c r="L860" s="2" t="s">
        <v>39</v>
      </c>
      <c r="M860" s="2" t="s">
        <v>39</v>
      </c>
      <c r="N860" s="2" t="s">
        <v>39</v>
      </c>
      <c r="O860" s="2" t="s">
        <v>39</v>
      </c>
      <c r="P860" s="2" t="s">
        <v>39</v>
      </c>
      <c r="Q860" s="2" t="s">
        <v>39</v>
      </c>
      <c r="R860" s="2" t="s">
        <v>39</v>
      </c>
      <c r="S860" s="2" t="s">
        <v>39</v>
      </c>
      <c r="T860" s="2" t="s">
        <v>39</v>
      </c>
      <c r="U860" s="2" t="s">
        <v>39</v>
      </c>
      <c r="V860" s="2" t="s">
        <v>39</v>
      </c>
      <c r="W860" s="2" t="s">
        <v>39</v>
      </c>
      <c r="X860" s="2" t="s">
        <v>39</v>
      </c>
      <c r="Y860" s="2" t="s">
        <v>39</v>
      </c>
      <c r="Z860" s="2" t="s">
        <v>39</v>
      </c>
      <c r="AA860" s="2" t="s">
        <v>39</v>
      </c>
      <c r="AB860" s="2" t="s">
        <v>39</v>
      </c>
      <c r="AC860" s="2" t="s">
        <v>39</v>
      </c>
      <c r="AD860" s="2" t="s">
        <v>38</v>
      </c>
      <c r="AE860" s="2" t="s">
        <v>39</v>
      </c>
    </row>
    <row r="861" spans="1:31" ht="409.5">
      <c r="A861" s="2">
        <v>2751459</v>
      </c>
      <c r="B861" s="2">
        <f>HYPERLINK("https://platform.v2.vetology.net/cases/2751459/screening-report/1?type=pdf&amp;v=v6&amp;scorecard=1&amp;secret_key=BX%25IJ%24%2F65ieZ%29f6", 2751459)</f>
        <v>2751459</v>
      </c>
      <c r="C861" s="2">
        <f>HYPERLINK("https://platform.v2.vetology.net/report/v/final/"&amp;2751459, 2751459)</f>
        <v>2751459</v>
      </c>
      <c r="D861" s="2" t="s">
        <v>2896</v>
      </c>
      <c r="E861" s="2" t="s">
        <v>2897</v>
      </c>
      <c r="F861" s="2" t="s">
        <v>2898</v>
      </c>
      <c r="G861" s="2" t="s">
        <v>53</v>
      </c>
      <c r="H861" s="2" t="s">
        <v>90</v>
      </c>
      <c r="I861" s="2" t="s">
        <v>36</v>
      </c>
      <c r="J861" s="2" t="s">
        <v>37</v>
      </c>
      <c r="K861" s="2" t="s">
        <v>38</v>
      </c>
      <c r="L861" s="2" t="s">
        <v>38</v>
      </c>
      <c r="M861" s="2" t="s">
        <v>39</v>
      </c>
      <c r="N861" s="2" t="s">
        <v>39</v>
      </c>
      <c r="O861" s="2" t="s">
        <v>38</v>
      </c>
      <c r="P861" s="2" t="s">
        <v>39</v>
      </c>
      <c r="Q861" s="2" t="s">
        <v>39</v>
      </c>
      <c r="R861" s="2" t="s">
        <v>38</v>
      </c>
      <c r="S861" s="2" t="s">
        <v>39</v>
      </c>
      <c r="T861" s="2" t="s">
        <v>39</v>
      </c>
      <c r="U861" s="2" t="s">
        <v>38</v>
      </c>
      <c r="V861" s="2" t="s">
        <v>38</v>
      </c>
      <c r="W861" s="2" t="s">
        <v>39</v>
      </c>
      <c r="X861" s="2" t="s">
        <v>39</v>
      </c>
      <c r="Y861" s="2" t="s">
        <v>39</v>
      </c>
      <c r="Z861" s="2" t="s">
        <v>39</v>
      </c>
      <c r="AA861" s="2" t="s">
        <v>39</v>
      </c>
      <c r="AB861" s="2" t="s">
        <v>39</v>
      </c>
      <c r="AC861" s="2" t="s">
        <v>38</v>
      </c>
      <c r="AD861" s="2" t="s">
        <v>38</v>
      </c>
      <c r="AE861" s="2" t="s">
        <v>39</v>
      </c>
    </row>
    <row r="862" spans="1:31" ht="409.5">
      <c r="A862" s="2">
        <v>2751435</v>
      </c>
      <c r="B862" s="2">
        <f>HYPERLINK("https://platform.v2.vetology.net/cases/2751435/screening-report/1?type=pdf&amp;v=v6&amp;scorecard=1&amp;secret_key=BX%25IJ%24%2F65ieZ%29f6", 2751435)</f>
        <v>2751435</v>
      </c>
      <c r="C862" s="2">
        <f>HYPERLINK("https://platform.v2.vetology.net/report/v/final/"&amp;2751435, 2751435)</f>
        <v>2751435</v>
      </c>
      <c r="D862" s="2" t="s">
        <v>2899</v>
      </c>
      <c r="E862" s="2" t="s">
        <v>2874</v>
      </c>
      <c r="F862" s="2" t="s">
        <v>2764</v>
      </c>
      <c r="G862" s="2" t="s">
        <v>111</v>
      </c>
      <c r="H862" s="2" t="s">
        <v>2900</v>
      </c>
      <c r="I862" s="2" t="s">
        <v>129</v>
      </c>
      <c r="J862" s="2" t="s">
        <v>74</v>
      </c>
      <c r="K862" s="2" t="s">
        <v>39</v>
      </c>
      <c r="L862" s="2" t="s">
        <v>39</v>
      </c>
      <c r="M862" s="2" t="s">
        <v>38</v>
      </c>
      <c r="N862" s="2" t="s">
        <v>38</v>
      </c>
      <c r="O862" s="2" t="s">
        <v>38</v>
      </c>
      <c r="P862" s="2" t="s">
        <v>38</v>
      </c>
      <c r="Q862" s="2" t="s">
        <v>38</v>
      </c>
      <c r="R862" s="2" t="s">
        <v>39</v>
      </c>
      <c r="S862" s="2" t="s">
        <v>39</v>
      </c>
      <c r="T862" s="2" t="s">
        <v>38</v>
      </c>
      <c r="U862" s="2" t="s">
        <v>39</v>
      </c>
      <c r="V862" s="2" t="s">
        <v>39</v>
      </c>
      <c r="W862" s="2" t="s">
        <v>38</v>
      </c>
      <c r="X862" s="2" t="s">
        <v>38</v>
      </c>
      <c r="Y862" s="2" t="s">
        <v>39</v>
      </c>
      <c r="Z862" s="2" t="s">
        <v>38</v>
      </c>
      <c r="AA862" s="2" t="s">
        <v>39</v>
      </c>
      <c r="AB862" s="2" t="s">
        <v>38</v>
      </c>
      <c r="AC862" s="2" t="s">
        <v>38</v>
      </c>
      <c r="AD862" s="2" t="s">
        <v>38</v>
      </c>
      <c r="AE862" s="2" t="s">
        <v>40</v>
      </c>
    </row>
    <row r="863" spans="1:31" ht="409.5">
      <c r="A863" s="2">
        <v>2751403</v>
      </c>
      <c r="B863" s="2">
        <f>HYPERLINK("https://platform.v2.vetology.net/cases/2751403/screening-report/1?type=pdf&amp;v=v6&amp;scorecard=1&amp;secret_key=BX%25IJ%24%2F65ieZ%29f6", 2751403)</f>
        <v>2751403</v>
      </c>
      <c r="C863" s="2">
        <f>HYPERLINK("https://platform.v2.vetology.net/report/v/final/"&amp;2751403, 2751403)</f>
        <v>2751403</v>
      </c>
      <c r="D863" s="2" t="s">
        <v>2901</v>
      </c>
      <c r="E863" s="2" t="s">
        <v>2902</v>
      </c>
      <c r="F863" s="2" t="s">
        <v>2903</v>
      </c>
      <c r="G863" s="2" t="s">
        <v>111</v>
      </c>
      <c r="H863" s="2" t="s">
        <v>2904</v>
      </c>
      <c r="I863" s="2" t="s">
        <v>36</v>
      </c>
      <c r="J863" s="2" t="s">
        <v>37</v>
      </c>
      <c r="K863" s="2" t="s">
        <v>38</v>
      </c>
      <c r="L863" s="2" t="s">
        <v>38</v>
      </c>
      <c r="M863" s="2" t="s">
        <v>38</v>
      </c>
      <c r="N863" s="2" t="s">
        <v>38</v>
      </c>
      <c r="O863" s="2" t="s">
        <v>38</v>
      </c>
      <c r="P863" s="2" t="s">
        <v>39</v>
      </c>
      <c r="Q863" s="2" t="s">
        <v>39</v>
      </c>
      <c r="R863" s="2" t="s">
        <v>38</v>
      </c>
      <c r="S863" s="2" t="s">
        <v>38</v>
      </c>
      <c r="T863" s="2" t="s">
        <v>38</v>
      </c>
      <c r="U863" s="2" t="s">
        <v>38</v>
      </c>
      <c r="V863" s="2" t="s">
        <v>38</v>
      </c>
      <c r="W863" s="2" t="s">
        <v>38</v>
      </c>
      <c r="X863" s="2" t="s">
        <v>38</v>
      </c>
      <c r="Y863" s="2" t="s">
        <v>38</v>
      </c>
      <c r="Z863" s="2" t="s">
        <v>38</v>
      </c>
      <c r="AA863" s="2" t="s">
        <v>38</v>
      </c>
      <c r="AB863" s="2" t="s">
        <v>38</v>
      </c>
      <c r="AC863" s="2" t="s">
        <v>38</v>
      </c>
      <c r="AD863" s="2" t="s">
        <v>38</v>
      </c>
      <c r="AE863" s="2"/>
    </row>
    <row r="864" spans="1:31" ht="409.5">
      <c r="A864" s="2">
        <v>2751381</v>
      </c>
      <c r="B864" s="2">
        <f>HYPERLINK("https://platform.v2.vetology.net/cases/2751381/screening-report/1?type=pdf&amp;v=v6&amp;scorecard=1&amp;secret_key=BX%25IJ%24%2F65ieZ%29f6", 2751381)</f>
        <v>2751381</v>
      </c>
      <c r="C864" s="2">
        <f>HYPERLINK("https://platform.v2.vetology.net/report/v/final/"&amp;2751381, 2751381)</f>
        <v>2751381</v>
      </c>
      <c r="D864" s="2" t="s">
        <v>2905</v>
      </c>
      <c r="E864" s="2" t="s">
        <v>2906</v>
      </c>
      <c r="F864" s="2" t="s">
        <v>43</v>
      </c>
      <c r="G864" s="2" t="s">
        <v>44</v>
      </c>
      <c r="H864" s="2" t="s">
        <v>2907</v>
      </c>
      <c r="I864" s="2" t="s">
        <v>73</v>
      </c>
      <c r="J864" s="2" t="s">
        <v>74</v>
      </c>
      <c r="K864" s="2" t="s">
        <v>38</v>
      </c>
      <c r="L864" s="2" t="s">
        <v>38</v>
      </c>
      <c r="M864" s="2" t="s">
        <v>38</v>
      </c>
      <c r="N864" s="2" t="s">
        <v>38</v>
      </c>
      <c r="O864" s="2" t="s">
        <v>38</v>
      </c>
      <c r="P864" s="2" t="s">
        <v>39</v>
      </c>
      <c r="Q864" s="2" t="s">
        <v>38</v>
      </c>
      <c r="R864" s="2" t="s">
        <v>39</v>
      </c>
      <c r="S864" s="2" t="s">
        <v>38</v>
      </c>
      <c r="T864" s="2" t="s">
        <v>38</v>
      </c>
      <c r="U864" s="2" t="s">
        <v>39</v>
      </c>
      <c r="V864" s="2" t="s">
        <v>38</v>
      </c>
      <c r="W864" s="2" t="s">
        <v>38</v>
      </c>
      <c r="X864" s="2" t="s">
        <v>38</v>
      </c>
      <c r="Y864" s="2" t="s">
        <v>39</v>
      </c>
      <c r="Z864" s="2" t="s">
        <v>38</v>
      </c>
      <c r="AA864" s="2" t="s">
        <v>38</v>
      </c>
      <c r="AB864" s="2" t="s">
        <v>38</v>
      </c>
      <c r="AC864" s="2" t="s">
        <v>38</v>
      </c>
      <c r="AD864" s="2" t="s">
        <v>39</v>
      </c>
      <c r="AE864" s="2" t="s">
        <v>39</v>
      </c>
    </row>
    <row r="865" spans="1:31" ht="409.5">
      <c r="A865" s="2">
        <v>2751291</v>
      </c>
      <c r="B865" s="2">
        <f>HYPERLINK("https://platform.v2.vetology.net/cases/2751291/screening-report/1?type=pdf&amp;v=v6&amp;scorecard=1&amp;secret_key=BX%25IJ%24%2F65ieZ%29f6", 2751291)</f>
        <v>2751291</v>
      </c>
      <c r="C865" s="2">
        <f>HYPERLINK("https://platform.v2.vetology.net/report/v/final/"&amp;2751291, 2751291)</f>
        <v>2751291</v>
      </c>
      <c r="D865" s="2" t="s">
        <v>2908</v>
      </c>
      <c r="E865" s="2" t="s">
        <v>2909</v>
      </c>
      <c r="F865" s="2" t="s">
        <v>2910</v>
      </c>
      <c r="G865" s="2" t="s">
        <v>111</v>
      </c>
      <c r="H865" s="2" t="s">
        <v>45</v>
      </c>
      <c r="I865" s="2" t="s">
        <v>46</v>
      </c>
      <c r="J865" s="2"/>
      <c r="K865" s="2" t="s">
        <v>39</v>
      </c>
      <c r="L865" s="2" t="s">
        <v>39</v>
      </c>
      <c r="M865" s="2" t="s">
        <v>39</v>
      </c>
      <c r="N865" s="2" t="s">
        <v>39</v>
      </c>
      <c r="O865" s="2" t="s">
        <v>39</v>
      </c>
      <c r="P865" s="2" t="s">
        <v>39</v>
      </c>
      <c r="Q865" s="2" t="s">
        <v>39</v>
      </c>
      <c r="R865" s="2" t="s">
        <v>38</v>
      </c>
      <c r="S865" s="2" t="s">
        <v>39</v>
      </c>
      <c r="T865" s="2" t="s">
        <v>39</v>
      </c>
      <c r="U865" s="2" t="s">
        <v>39</v>
      </c>
      <c r="V865" s="2" t="s">
        <v>39</v>
      </c>
      <c r="W865" s="2" t="s">
        <v>39</v>
      </c>
      <c r="X865" s="2" t="s">
        <v>39</v>
      </c>
      <c r="Y865" s="2" t="s">
        <v>39</v>
      </c>
      <c r="Z865" s="2" t="s">
        <v>38</v>
      </c>
      <c r="AA865" s="2" t="s">
        <v>39</v>
      </c>
      <c r="AB865" s="2" t="s">
        <v>39</v>
      </c>
      <c r="AC865" s="2" t="s">
        <v>39</v>
      </c>
      <c r="AD865" s="2" t="s">
        <v>38</v>
      </c>
      <c r="AE865" s="2"/>
    </row>
    <row r="866" spans="1:31" ht="409.5">
      <c r="A866" s="2">
        <v>2751237</v>
      </c>
      <c r="B866" s="2">
        <f>HYPERLINK("https://platform.v2.vetology.net/cases/2751237/screening-report/1?type=pdf&amp;v=v6&amp;scorecard=1&amp;secret_key=BX%25IJ%24%2F65ieZ%29f6", 2751237)</f>
        <v>2751237</v>
      </c>
      <c r="C866" s="2">
        <f>HYPERLINK("https://platform.v2.vetology.net/report/v/final/"&amp;2751237, 2751237)</f>
        <v>2751237</v>
      </c>
      <c r="D866" s="2" t="s">
        <v>2911</v>
      </c>
      <c r="E866" s="2" t="s">
        <v>2912</v>
      </c>
      <c r="F866" s="2" t="s">
        <v>43</v>
      </c>
      <c r="G866" s="2" t="s">
        <v>44</v>
      </c>
      <c r="H866" s="2" t="s">
        <v>2913</v>
      </c>
      <c r="I866" s="2" t="s">
        <v>129</v>
      </c>
      <c r="J866" s="2" t="s">
        <v>74</v>
      </c>
      <c r="K866" s="2" t="s">
        <v>38</v>
      </c>
      <c r="L866" s="2" t="s">
        <v>38</v>
      </c>
      <c r="M866" s="2" t="s">
        <v>38</v>
      </c>
      <c r="N866" s="2" t="s">
        <v>38</v>
      </c>
      <c r="O866" s="2" t="s">
        <v>38</v>
      </c>
      <c r="P866" s="2" t="s">
        <v>38</v>
      </c>
      <c r="Q866" s="2" t="s">
        <v>38</v>
      </c>
      <c r="R866" s="2" t="s">
        <v>38</v>
      </c>
      <c r="S866" s="2" t="s">
        <v>38</v>
      </c>
      <c r="T866" s="2" t="s">
        <v>38</v>
      </c>
      <c r="U866" s="2" t="s">
        <v>39</v>
      </c>
      <c r="V866" s="2" t="s">
        <v>38</v>
      </c>
      <c r="W866" s="2" t="s">
        <v>38</v>
      </c>
      <c r="X866" s="2" t="s">
        <v>38</v>
      </c>
      <c r="Y866" s="2" t="s">
        <v>39</v>
      </c>
      <c r="Z866" s="2" t="s">
        <v>38</v>
      </c>
      <c r="AA866" s="2" t="s">
        <v>38</v>
      </c>
      <c r="AB866" s="2" t="s">
        <v>39</v>
      </c>
      <c r="AC866" s="2" t="s">
        <v>38</v>
      </c>
      <c r="AD866" s="2" t="s">
        <v>38</v>
      </c>
      <c r="AE866" s="2" t="s">
        <v>40</v>
      </c>
    </row>
    <row r="867" spans="1:31" ht="409.5">
      <c r="A867" s="2">
        <v>2751232</v>
      </c>
      <c r="B867" s="2">
        <f>HYPERLINK("https://platform.v2.vetology.net/cases/2751232/screening-report/1?type=pdf&amp;v=v6&amp;scorecard=1&amp;secret_key=BX%25IJ%24%2F65ieZ%29f6", 2751232)</f>
        <v>2751232</v>
      </c>
      <c r="C867" s="2">
        <f>HYPERLINK("https://platform.v2.vetology.net/report/v/final/"&amp;2751232, 2751232)</f>
        <v>2751232</v>
      </c>
      <c r="D867" s="2" t="s">
        <v>2914</v>
      </c>
      <c r="E867" s="2" t="s">
        <v>2915</v>
      </c>
      <c r="F867" s="2" t="s">
        <v>2916</v>
      </c>
      <c r="G867" s="2" t="s">
        <v>44</v>
      </c>
      <c r="H867" s="2" t="s">
        <v>2917</v>
      </c>
      <c r="I867" s="2" t="s">
        <v>36</v>
      </c>
      <c r="J867" s="2" t="s">
        <v>37</v>
      </c>
      <c r="K867" s="2" t="s">
        <v>38</v>
      </c>
      <c r="L867" s="2" t="s">
        <v>38</v>
      </c>
      <c r="M867" s="2" t="s">
        <v>39</v>
      </c>
      <c r="N867" s="2" t="s">
        <v>39</v>
      </c>
      <c r="O867" s="2" t="s">
        <v>39</v>
      </c>
      <c r="P867" s="2" t="s">
        <v>39</v>
      </c>
      <c r="Q867" s="2" t="s">
        <v>39</v>
      </c>
      <c r="R867" s="2" t="s">
        <v>39</v>
      </c>
      <c r="S867" s="2" t="s">
        <v>38</v>
      </c>
      <c r="T867" s="2" t="s">
        <v>39</v>
      </c>
      <c r="U867" s="2" t="s">
        <v>39</v>
      </c>
      <c r="V867" s="2" t="s">
        <v>38</v>
      </c>
      <c r="W867" s="2" t="s">
        <v>38</v>
      </c>
      <c r="X867" s="2" t="s">
        <v>39</v>
      </c>
      <c r="Y867" s="2" t="s">
        <v>39</v>
      </c>
      <c r="Z867" s="2" t="s">
        <v>38</v>
      </c>
      <c r="AA867" s="2" t="s">
        <v>38</v>
      </c>
      <c r="AB867" s="2" t="s">
        <v>39</v>
      </c>
      <c r="AC867" s="2" t="s">
        <v>38</v>
      </c>
      <c r="AD867" s="2" t="s">
        <v>38</v>
      </c>
      <c r="AE867" s="2" t="s">
        <v>40</v>
      </c>
    </row>
    <row r="868" spans="1:31" ht="409.5">
      <c r="A868" s="2">
        <v>2751217</v>
      </c>
      <c r="B868" s="2">
        <f>HYPERLINK("https://platform.v2.vetology.net/cases/2751217/screening-report/1?type=pdf&amp;v=v6&amp;scorecard=1&amp;secret_key=BX%25IJ%24%2F65ieZ%29f6", 2751217)</f>
        <v>2751217</v>
      </c>
      <c r="C868" s="2">
        <f>HYPERLINK("https://platform.v2.vetology.net/report/v/final/"&amp;2751217, 2751217)</f>
        <v>2751217</v>
      </c>
      <c r="D868" s="2" t="s">
        <v>2918</v>
      </c>
      <c r="E868" s="2" t="s">
        <v>2919</v>
      </c>
      <c r="F868" s="2"/>
      <c r="G868" s="2" t="s">
        <v>81</v>
      </c>
      <c r="H868" s="2" t="s">
        <v>2920</v>
      </c>
      <c r="I868" s="2" t="s">
        <v>129</v>
      </c>
      <c r="J868" s="2" t="s">
        <v>74</v>
      </c>
      <c r="K868" s="2" t="s">
        <v>38</v>
      </c>
      <c r="L868" s="2" t="s">
        <v>38</v>
      </c>
      <c r="M868" s="2" t="s">
        <v>38</v>
      </c>
      <c r="N868" s="2" t="s">
        <v>38</v>
      </c>
      <c r="O868" s="2" t="s">
        <v>38</v>
      </c>
      <c r="P868" s="2" t="s">
        <v>38</v>
      </c>
      <c r="Q868" s="2" t="s">
        <v>38</v>
      </c>
      <c r="R868" s="2" t="s">
        <v>38</v>
      </c>
      <c r="S868" s="2" t="s">
        <v>38</v>
      </c>
      <c r="T868" s="2" t="s">
        <v>38</v>
      </c>
      <c r="U868" s="2" t="s">
        <v>39</v>
      </c>
      <c r="V868" s="2" t="s">
        <v>39</v>
      </c>
      <c r="W868" s="2" t="s">
        <v>38</v>
      </c>
      <c r="X868" s="2" t="s">
        <v>38</v>
      </c>
      <c r="Y868" s="2" t="s">
        <v>38</v>
      </c>
      <c r="Z868" s="2" t="s">
        <v>38</v>
      </c>
      <c r="AA868" s="2" t="s">
        <v>38</v>
      </c>
      <c r="AB868" s="2" t="s">
        <v>38</v>
      </c>
      <c r="AC868" s="2" t="s">
        <v>38</v>
      </c>
      <c r="AD868" s="2" t="s">
        <v>38</v>
      </c>
      <c r="AE868" s="2" t="s">
        <v>39</v>
      </c>
    </row>
    <row r="869" spans="1:31" ht="409.5">
      <c r="A869" s="2">
        <v>2751190</v>
      </c>
      <c r="B869" s="2">
        <f>HYPERLINK("https://platform.v2.vetology.net/cases/2751190/screening-report/1?type=pdf&amp;v=v6&amp;scorecard=1&amp;secret_key=BX%25IJ%24%2F65ieZ%29f6", 2751190)</f>
        <v>2751190</v>
      </c>
      <c r="C869" s="2">
        <f>HYPERLINK("https://platform.v2.vetology.net/report/v/final/"&amp;2751190, 2751190)</f>
        <v>2751190</v>
      </c>
      <c r="D869" s="2" t="s">
        <v>2921</v>
      </c>
      <c r="E869" s="2" t="s">
        <v>2922</v>
      </c>
      <c r="F869" s="2"/>
      <c r="G869" s="2" t="s">
        <v>2414</v>
      </c>
      <c r="H869" s="2" t="s">
        <v>66</v>
      </c>
      <c r="I869" s="2" t="s">
        <v>36</v>
      </c>
      <c r="J869" s="2" t="s">
        <v>37</v>
      </c>
      <c r="K869" s="2" t="s">
        <v>39</v>
      </c>
      <c r="L869" s="2" t="s">
        <v>39</v>
      </c>
      <c r="M869" s="2" t="s">
        <v>38</v>
      </c>
      <c r="N869" s="2" t="s">
        <v>39</v>
      </c>
      <c r="O869" s="2" t="s">
        <v>39</v>
      </c>
      <c r="P869" s="2" t="s">
        <v>39</v>
      </c>
      <c r="Q869" s="2" t="s">
        <v>39</v>
      </c>
      <c r="R869" s="2" t="s">
        <v>39</v>
      </c>
      <c r="S869" s="2" t="s">
        <v>39</v>
      </c>
      <c r="T869" s="2" t="s">
        <v>39</v>
      </c>
      <c r="U869" s="2" t="s">
        <v>39</v>
      </c>
      <c r="V869" s="2" t="s">
        <v>39</v>
      </c>
      <c r="W869" s="2" t="s">
        <v>38</v>
      </c>
      <c r="X869" s="2" t="s">
        <v>39</v>
      </c>
      <c r="Y869" s="2" t="s">
        <v>39</v>
      </c>
      <c r="Z869" s="2" t="s">
        <v>39</v>
      </c>
      <c r="AA869" s="2" t="s">
        <v>39</v>
      </c>
      <c r="AB869" s="2" t="s">
        <v>39</v>
      </c>
      <c r="AC869" s="2" t="s">
        <v>38</v>
      </c>
      <c r="AD869" s="2" t="s">
        <v>38</v>
      </c>
      <c r="AE869" s="2" t="s">
        <v>39</v>
      </c>
    </row>
    <row r="870" spans="1:31" ht="409.5">
      <c r="A870" s="2">
        <v>2751187</v>
      </c>
      <c r="B870" s="2">
        <f>HYPERLINK("https://platform.v2.vetology.net/cases/2751187/screening-report/1?type=pdf&amp;v=v6&amp;scorecard=1&amp;secret_key=BX%25IJ%24%2F65ieZ%29f6", 2751187)</f>
        <v>2751187</v>
      </c>
      <c r="C870" s="2">
        <f>HYPERLINK("https://platform.v2.vetology.net/report/v/final/"&amp;2751187, 2751187)</f>
        <v>2751187</v>
      </c>
      <c r="D870" s="2" t="s">
        <v>2923</v>
      </c>
      <c r="E870" s="2" t="s">
        <v>2924</v>
      </c>
      <c r="F870" s="2" t="s">
        <v>2925</v>
      </c>
      <c r="G870" s="2" t="s">
        <v>44</v>
      </c>
      <c r="H870" s="2" t="s">
        <v>265</v>
      </c>
      <c r="I870" s="2" t="s">
        <v>36</v>
      </c>
      <c r="J870" s="2" t="s">
        <v>37</v>
      </c>
      <c r="K870" s="2" t="s">
        <v>39</v>
      </c>
      <c r="L870" s="2" t="s">
        <v>39</v>
      </c>
      <c r="M870" s="2" t="s">
        <v>38</v>
      </c>
      <c r="N870" s="2" t="s">
        <v>39</v>
      </c>
      <c r="O870" s="2" t="s">
        <v>39</v>
      </c>
      <c r="P870" s="2" t="s">
        <v>39</v>
      </c>
      <c r="Q870" s="2" t="s">
        <v>39</v>
      </c>
      <c r="R870" s="2" t="s">
        <v>39</v>
      </c>
      <c r="S870" s="2" t="s">
        <v>39</v>
      </c>
      <c r="T870" s="2" t="s">
        <v>39</v>
      </c>
      <c r="U870" s="2" t="s">
        <v>39</v>
      </c>
      <c r="V870" s="2" t="s">
        <v>39</v>
      </c>
      <c r="W870" s="2" t="s">
        <v>39</v>
      </c>
      <c r="X870" s="2" t="s">
        <v>39</v>
      </c>
      <c r="Y870" s="2" t="s">
        <v>39</v>
      </c>
      <c r="Z870" s="2" t="s">
        <v>39</v>
      </c>
      <c r="AA870" s="2" t="s">
        <v>39</v>
      </c>
      <c r="AB870" s="2" t="s">
        <v>39</v>
      </c>
      <c r="AC870" s="2" t="s">
        <v>38</v>
      </c>
      <c r="AD870" s="2" t="s">
        <v>39</v>
      </c>
      <c r="AE870" s="2" t="s">
        <v>39</v>
      </c>
    </row>
    <row r="871" spans="1:31" ht="409.5">
      <c r="A871" s="2">
        <v>2751180</v>
      </c>
      <c r="B871" s="2">
        <f>HYPERLINK("https://platform.v2.vetology.net/cases/2751180/screening-report/1?type=pdf&amp;v=v6&amp;scorecard=1&amp;secret_key=BX%25IJ%24%2F65ieZ%29f6", 2751180)</f>
        <v>2751180</v>
      </c>
      <c r="C871" s="2">
        <f>HYPERLINK("https://platform.v2.vetology.net/report/v/final/"&amp;2751180, 2751180)</f>
        <v>2751180</v>
      </c>
      <c r="D871" s="2" t="s">
        <v>2926</v>
      </c>
      <c r="E871" s="2" t="s">
        <v>2927</v>
      </c>
      <c r="F871" s="2" t="s">
        <v>2928</v>
      </c>
      <c r="G871" s="2" t="s">
        <v>53</v>
      </c>
      <c r="H871" s="2" t="s">
        <v>2929</v>
      </c>
      <c r="I871" s="2" t="s">
        <v>36</v>
      </c>
      <c r="J871" s="2" t="s">
        <v>37</v>
      </c>
      <c r="K871" s="2" t="s">
        <v>39</v>
      </c>
      <c r="L871" s="2" t="s">
        <v>39</v>
      </c>
      <c r="M871" s="2" t="s">
        <v>38</v>
      </c>
      <c r="N871" s="2" t="s">
        <v>38</v>
      </c>
      <c r="O871" s="2" t="s">
        <v>38</v>
      </c>
      <c r="P871" s="2" t="s">
        <v>38</v>
      </c>
      <c r="Q871" s="2" t="s">
        <v>38</v>
      </c>
      <c r="R871" s="2" t="s">
        <v>38</v>
      </c>
      <c r="S871" s="2" t="s">
        <v>38</v>
      </c>
      <c r="T871" s="2" t="s">
        <v>38</v>
      </c>
      <c r="U871" s="2" t="s">
        <v>39</v>
      </c>
      <c r="V871" s="2" t="s">
        <v>39</v>
      </c>
      <c r="W871" s="2" t="s">
        <v>38</v>
      </c>
      <c r="X871" s="2" t="s">
        <v>39</v>
      </c>
      <c r="Y871" s="2" t="s">
        <v>38</v>
      </c>
      <c r="Z871" s="2" t="s">
        <v>38</v>
      </c>
      <c r="AA871" s="2" t="s">
        <v>38</v>
      </c>
      <c r="AB871" s="2" t="s">
        <v>39</v>
      </c>
      <c r="AC871" s="2" t="s">
        <v>38</v>
      </c>
      <c r="AD871" s="2" t="s">
        <v>39</v>
      </c>
      <c r="AE871" s="2" t="s">
        <v>40</v>
      </c>
    </row>
    <row r="872" spans="1:31" ht="409.5">
      <c r="A872" s="2">
        <v>2751179</v>
      </c>
      <c r="B872" s="2">
        <f>HYPERLINK("https://platform.v2.vetology.net/cases/2751179/screening-report/1?type=pdf&amp;v=v6&amp;scorecard=1&amp;secret_key=BX%25IJ%24%2F65ieZ%29f6", 2751179)</f>
        <v>2751179</v>
      </c>
      <c r="C872" s="2">
        <f>HYPERLINK("https://platform.v2.vetology.net/report/v/final/"&amp;2751179, 2751179)</f>
        <v>2751179</v>
      </c>
      <c r="D872" s="2" t="s">
        <v>2930</v>
      </c>
      <c r="E872" s="2" t="s">
        <v>2931</v>
      </c>
      <c r="F872" s="2" t="s">
        <v>2932</v>
      </c>
      <c r="G872" s="2" t="s">
        <v>53</v>
      </c>
      <c r="H872" s="2" t="s">
        <v>2518</v>
      </c>
      <c r="I872" s="2" t="s">
        <v>59</v>
      </c>
      <c r="J872" s="2" t="s">
        <v>37</v>
      </c>
      <c r="K872" s="2" t="s">
        <v>38</v>
      </c>
      <c r="L872" s="2" t="s">
        <v>39</v>
      </c>
      <c r="M872" s="2" t="s">
        <v>39</v>
      </c>
      <c r="N872" s="2" t="s">
        <v>38</v>
      </c>
      <c r="O872" s="2" t="s">
        <v>39</v>
      </c>
      <c r="P872" s="2" t="s">
        <v>39</v>
      </c>
      <c r="Q872" s="2" t="s">
        <v>39</v>
      </c>
      <c r="R872" s="2" t="s">
        <v>39</v>
      </c>
      <c r="S872" s="2" t="s">
        <v>39</v>
      </c>
      <c r="T872" s="2" t="s">
        <v>38</v>
      </c>
      <c r="U872" s="2" t="s">
        <v>39</v>
      </c>
      <c r="V872" s="2" t="s">
        <v>38</v>
      </c>
      <c r="W872" s="2" t="s">
        <v>38</v>
      </c>
      <c r="X872" s="2" t="s">
        <v>39</v>
      </c>
      <c r="Y872" s="2" t="s">
        <v>39</v>
      </c>
      <c r="Z872" s="2" t="s">
        <v>38</v>
      </c>
      <c r="AA872" s="2" t="s">
        <v>39</v>
      </c>
      <c r="AB872" s="2" t="s">
        <v>39</v>
      </c>
      <c r="AC872" s="2" t="s">
        <v>39</v>
      </c>
      <c r="AD872" s="2" t="s">
        <v>39</v>
      </c>
      <c r="AE872" s="2" t="s">
        <v>39</v>
      </c>
    </row>
    <row r="873" spans="1:31" ht="409.5">
      <c r="A873" s="2">
        <v>2751178</v>
      </c>
      <c r="B873" s="2">
        <f>HYPERLINK("https://platform.v2.vetology.net/cases/2751178/screening-report/1?type=pdf&amp;v=v6&amp;scorecard=1&amp;secret_key=BX%25IJ%24%2F65ieZ%29f6", 2751178)</f>
        <v>2751178</v>
      </c>
      <c r="C873" s="2">
        <f>HYPERLINK("https://platform.v2.vetology.net/report/v/final/"&amp;2751178, 2751178)</f>
        <v>2751178</v>
      </c>
      <c r="D873" s="2" t="s">
        <v>2933</v>
      </c>
      <c r="E873" s="2" t="s">
        <v>2934</v>
      </c>
      <c r="F873" s="2" t="s">
        <v>2935</v>
      </c>
      <c r="G873" s="2" t="s">
        <v>44</v>
      </c>
      <c r="H873" s="2" t="s">
        <v>2936</v>
      </c>
      <c r="I873" s="2" t="s">
        <v>36</v>
      </c>
      <c r="J873" s="2" t="s">
        <v>37</v>
      </c>
      <c r="K873" s="2" t="s">
        <v>39</v>
      </c>
      <c r="L873" s="2" t="s">
        <v>38</v>
      </c>
      <c r="M873" s="2" t="s">
        <v>39</v>
      </c>
      <c r="N873" s="2" t="s">
        <v>39</v>
      </c>
      <c r="O873" s="2" t="s">
        <v>39</v>
      </c>
      <c r="P873" s="2" t="s">
        <v>39</v>
      </c>
      <c r="Q873" s="2" t="s">
        <v>39</v>
      </c>
      <c r="R873" s="2" t="s">
        <v>38</v>
      </c>
      <c r="S873" s="2" t="s">
        <v>38</v>
      </c>
      <c r="T873" s="2" t="s">
        <v>39</v>
      </c>
      <c r="U873" s="2" t="s">
        <v>39</v>
      </c>
      <c r="V873" s="2" t="s">
        <v>39</v>
      </c>
      <c r="W873" s="2" t="s">
        <v>39</v>
      </c>
      <c r="X873" s="2" t="s">
        <v>39</v>
      </c>
      <c r="Y873" s="2" t="s">
        <v>39</v>
      </c>
      <c r="Z873" s="2" t="s">
        <v>39</v>
      </c>
      <c r="AA873" s="2" t="s">
        <v>39</v>
      </c>
      <c r="AB873" s="2" t="s">
        <v>39</v>
      </c>
      <c r="AC873" s="2" t="s">
        <v>38</v>
      </c>
      <c r="AD873" s="2" t="s">
        <v>39</v>
      </c>
      <c r="AE873" s="2" t="s">
        <v>39</v>
      </c>
    </row>
    <row r="874" spans="1:31" ht="409.5">
      <c r="A874" s="2">
        <v>2751176</v>
      </c>
      <c r="B874" s="2">
        <f>HYPERLINK("https://platform.v2.vetology.net/cases/2751176/screening-report/1?type=pdf&amp;v=v6&amp;scorecard=1&amp;secret_key=BX%25IJ%24%2F65ieZ%29f6", 2751176)</f>
        <v>2751176</v>
      </c>
      <c r="C874" s="2">
        <f>HYPERLINK("https://platform.v2.vetology.net/report/v/final/"&amp;2751176, 2751176)</f>
        <v>2751176</v>
      </c>
      <c r="D874" s="2" t="s">
        <v>2937</v>
      </c>
      <c r="E874" s="2" t="s">
        <v>2938</v>
      </c>
      <c r="F874" s="2" t="s">
        <v>2939</v>
      </c>
      <c r="G874" s="2" t="s">
        <v>53</v>
      </c>
      <c r="H874" s="2" t="s">
        <v>1275</v>
      </c>
      <c r="I874" s="2" t="s">
        <v>59</v>
      </c>
      <c r="J874" s="2" t="s">
        <v>37</v>
      </c>
      <c r="K874" s="2" t="s">
        <v>39</v>
      </c>
      <c r="L874" s="2" t="s">
        <v>39</v>
      </c>
      <c r="M874" s="2" t="s">
        <v>39</v>
      </c>
      <c r="N874" s="2" t="s">
        <v>38</v>
      </c>
      <c r="O874" s="2" t="s">
        <v>39</v>
      </c>
      <c r="P874" s="2" t="s">
        <v>39</v>
      </c>
      <c r="Q874" s="2" t="s">
        <v>39</v>
      </c>
      <c r="R874" s="2" t="s">
        <v>39</v>
      </c>
      <c r="S874" s="2" t="s">
        <v>39</v>
      </c>
      <c r="T874" s="2" t="s">
        <v>39</v>
      </c>
      <c r="U874" s="2" t="s">
        <v>39</v>
      </c>
      <c r="V874" s="2" t="s">
        <v>39</v>
      </c>
      <c r="W874" s="2" t="s">
        <v>39</v>
      </c>
      <c r="X874" s="2" t="s">
        <v>39</v>
      </c>
      <c r="Y874" s="2" t="s">
        <v>39</v>
      </c>
      <c r="Z874" s="2" t="s">
        <v>39</v>
      </c>
      <c r="AA874" s="2" t="s">
        <v>39</v>
      </c>
      <c r="AB874" s="2" t="s">
        <v>39</v>
      </c>
      <c r="AC874" s="2" t="s">
        <v>39</v>
      </c>
      <c r="AD874" s="2" t="s">
        <v>39</v>
      </c>
      <c r="AE874" s="2" t="s">
        <v>39</v>
      </c>
    </row>
    <row r="875" spans="1:31" ht="409.5">
      <c r="A875" s="2">
        <v>2751172</v>
      </c>
      <c r="B875" s="2">
        <f>HYPERLINK("https://platform.v2.vetology.net/cases/2751172/screening-report/1?type=pdf&amp;v=v6&amp;scorecard=1&amp;secret_key=BX%25IJ%24%2F65ieZ%29f6", 2751172)</f>
        <v>2751172</v>
      </c>
      <c r="C875" s="2">
        <f>HYPERLINK("https://platform.v2.vetology.net/report/v/final/"&amp;2751172, 2751172)</f>
        <v>2751172</v>
      </c>
      <c r="D875" s="2" t="s">
        <v>2940</v>
      </c>
      <c r="E875" s="2" t="s">
        <v>99</v>
      </c>
      <c r="F875" s="2" t="s">
        <v>2941</v>
      </c>
      <c r="G875" s="2" t="s">
        <v>100</v>
      </c>
      <c r="H875" s="2" t="s">
        <v>69</v>
      </c>
      <c r="I875" s="2" t="s">
        <v>46</v>
      </c>
      <c r="J875" s="2"/>
      <c r="K875" s="2" t="s">
        <v>39</v>
      </c>
      <c r="L875" s="2" t="s">
        <v>39</v>
      </c>
      <c r="M875" s="2" t="s">
        <v>39</v>
      </c>
      <c r="N875" s="2" t="s">
        <v>39</v>
      </c>
      <c r="O875" s="2" t="s">
        <v>39</v>
      </c>
      <c r="P875" s="2" t="s">
        <v>39</v>
      </c>
      <c r="Q875" s="2" t="s">
        <v>39</v>
      </c>
      <c r="R875" s="2" t="s">
        <v>39</v>
      </c>
      <c r="S875" s="2" t="s">
        <v>39</v>
      </c>
      <c r="T875" s="2" t="s">
        <v>39</v>
      </c>
      <c r="U875" s="2" t="s">
        <v>39</v>
      </c>
      <c r="V875" s="2" t="s">
        <v>39</v>
      </c>
      <c r="W875" s="2" t="s">
        <v>39</v>
      </c>
      <c r="X875" s="2" t="s">
        <v>39</v>
      </c>
      <c r="Y875" s="2" t="s">
        <v>39</v>
      </c>
      <c r="Z875" s="2" t="s">
        <v>39</v>
      </c>
      <c r="AA875" s="2" t="s">
        <v>39</v>
      </c>
      <c r="AB875" s="2" t="s">
        <v>39</v>
      </c>
      <c r="AC875" s="2" t="s">
        <v>39</v>
      </c>
      <c r="AD875" s="2" t="s">
        <v>39</v>
      </c>
      <c r="AE875" s="2" t="s">
        <v>39</v>
      </c>
    </row>
    <row r="876" spans="1:31" ht="409.5">
      <c r="A876" s="2">
        <v>2751169</v>
      </c>
      <c r="B876" s="2">
        <f>HYPERLINK("https://platform.v2.vetology.net/cases/2751169/screening-report/1?type=pdf&amp;v=v6&amp;scorecard=1&amp;secret_key=BX%25IJ%24%2F65ieZ%29f6", 2751169)</f>
        <v>2751169</v>
      </c>
      <c r="C876" s="2">
        <f>HYPERLINK("https://platform.v2.vetology.net/report/v/final/"&amp;2751169, 2751169)</f>
        <v>2751169</v>
      </c>
      <c r="D876" s="2" t="s">
        <v>2942</v>
      </c>
      <c r="E876" s="2" t="s">
        <v>2943</v>
      </c>
      <c r="F876" s="2" t="s">
        <v>2944</v>
      </c>
      <c r="G876" s="2" t="s">
        <v>53</v>
      </c>
      <c r="H876" s="2" t="s">
        <v>90</v>
      </c>
      <c r="I876" s="2" t="s">
        <v>36</v>
      </c>
      <c r="J876" s="2" t="s">
        <v>37</v>
      </c>
      <c r="K876" s="2" t="s">
        <v>38</v>
      </c>
      <c r="L876" s="2" t="s">
        <v>38</v>
      </c>
      <c r="M876" s="2" t="s">
        <v>39</v>
      </c>
      <c r="N876" s="2" t="s">
        <v>39</v>
      </c>
      <c r="O876" s="2" t="s">
        <v>38</v>
      </c>
      <c r="P876" s="2" t="s">
        <v>39</v>
      </c>
      <c r="Q876" s="2" t="s">
        <v>39</v>
      </c>
      <c r="R876" s="2" t="s">
        <v>38</v>
      </c>
      <c r="S876" s="2" t="s">
        <v>39</v>
      </c>
      <c r="T876" s="2" t="s">
        <v>39</v>
      </c>
      <c r="U876" s="2" t="s">
        <v>38</v>
      </c>
      <c r="V876" s="2" t="s">
        <v>38</v>
      </c>
      <c r="W876" s="2" t="s">
        <v>38</v>
      </c>
      <c r="X876" s="2" t="s">
        <v>39</v>
      </c>
      <c r="Y876" s="2" t="s">
        <v>39</v>
      </c>
      <c r="Z876" s="2" t="s">
        <v>39</v>
      </c>
      <c r="AA876" s="2" t="s">
        <v>38</v>
      </c>
      <c r="AB876" s="2" t="s">
        <v>39</v>
      </c>
      <c r="AC876" s="2" t="s">
        <v>38</v>
      </c>
      <c r="AD876" s="2" t="s">
        <v>39</v>
      </c>
      <c r="AE876" s="2" t="s">
        <v>39</v>
      </c>
    </row>
    <row r="877" spans="1:31" ht="409.5">
      <c r="A877" s="2">
        <v>2751166</v>
      </c>
      <c r="B877" s="2">
        <f>HYPERLINK("https://platform.v2.vetology.net/cases/2751166/screening-report/1?type=pdf&amp;v=v6&amp;scorecard=1&amp;secret_key=BX%25IJ%24%2F65ieZ%29f6", 2751166)</f>
        <v>2751166</v>
      </c>
      <c r="C877" s="2">
        <f>HYPERLINK("https://platform.v2.vetology.net/report/v/final/"&amp;2751166, 2751166)</f>
        <v>2751166</v>
      </c>
      <c r="D877" s="2" t="s">
        <v>2873</v>
      </c>
      <c r="E877" s="2" t="s">
        <v>2945</v>
      </c>
      <c r="F877" s="2" t="s">
        <v>2946</v>
      </c>
      <c r="G877" s="2" t="s">
        <v>111</v>
      </c>
      <c r="H877" s="2" t="s">
        <v>611</v>
      </c>
      <c r="I877" s="2" t="s">
        <v>46</v>
      </c>
      <c r="J877" s="2"/>
      <c r="K877" s="2" t="s">
        <v>39</v>
      </c>
      <c r="L877" s="2" t="s">
        <v>39</v>
      </c>
      <c r="M877" s="2" t="s">
        <v>39</v>
      </c>
      <c r="N877" s="2" t="s">
        <v>39</v>
      </c>
      <c r="O877" s="2" t="s">
        <v>39</v>
      </c>
      <c r="P877" s="2" t="s">
        <v>39</v>
      </c>
      <c r="Q877" s="2" t="s">
        <v>39</v>
      </c>
      <c r="R877" s="2" t="s">
        <v>39</v>
      </c>
      <c r="S877" s="2" t="s">
        <v>39</v>
      </c>
      <c r="T877" s="2" t="s">
        <v>39</v>
      </c>
      <c r="U877" s="2" t="s">
        <v>39</v>
      </c>
      <c r="V877" s="2" t="s">
        <v>39</v>
      </c>
      <c r="W877" s="2" t="s">
        <v>39</v>
      </c>
      <c r="X877" s="2" t="s">
        <v>39</v>
      </c>
      <c r="Y877" s="2" t="s">
        <v>39</v>
      </c>
      <c r="Z877" s="2" t="s">
        <v>39</v>
      </c>
      <c r="AA877" s="2" t="s">
        <v>39</v>
      </c>
      <c r="AB877" s="2" t="s">
        <v>39</v>
      </c>
      <c r="AC877" s="2" t="s">
        <v>39</v>
      </c>
      <c r="AD877" s="2" t="s">
        <v>39</v>
      </c>
      <c r="AE877" s="2"/>
    </row>
    <row r="878" spans="1:31" ht="409.5">
      <c r="A878" s="2">
        <v>2751159</v>
      </c>
      <c r="B878" s="2">
        <f>HYPERLINK("https://platform.v2.vetology.net/cases/2751159/screening-report/1?type=pdf&amp;v=v6&amp;scorecard=1&amp;secret_key=BX%25IJ%24%2F65ieZ%29f6", 2751159)</f>
        <v>2751159</v>
      </c>
      <c r="C878" s="2">
        <f>HYPERLINK("https://platform.v2.vetology.net/report/v/final/"&amp;2751159, 2751159)</f>
        <v>2751159</v>
      </c>
      <c r="D878" s="2" t="s">
        <v>2947</v>
      </c>
      <c r="E878" s="2" t="s">
        <v>2948</v>
      </c>
      <c r="F878" s="2" t="s">
        <v>43</v>
      </c>
      <c r="G878" s="2" t="s">
        <v>44</v>
      </c>
      <c r="H878" s="2" t="s">
        <v>2949</v>
      </c>
      <c r="I878" s="2" t="s">
        <v>129</v>
      </c>
      <c r="J878" s="2" t="s">
        <v>74</v>
      </c>
      <c r="K878" s="2" t="s">
        <v>38</v>
      </c>
      <c r="L878" s="2" t="s">
        <v>38</v>
      </c>
      <c r="M878" s="2" t="s">
        <v>38</v>
      </c>
      <c r="N878" s="2" t="s">
        <v>38</v>
      </c>
      <c r="O878" s="2" t="s">
        <v>38</v>
      </c>
      <c r="P878" s="2" t="s">
        <v>38</v>
      </c>
      <c r="Q878" s="2" t="s">
        <v>38</v>
      </c>
      <c r="R878" s="2" t="s">
        <v>38</v>
      </c>
      <c r="S878" s="2" t="s">
        <v>38</v>
      </c>
      <c r="T878" s="2" t="s">
        <v>38</v>
      </c>
      <c r="U878" s="2" t="s">
        <v>39</v>
      </c>
      <c r="V878" s="2" t="s">
        <v>38</v>
      </c>
      <c r="W878" s="2" t="s">
        <v>38</v>
      </c>
      <c r="X878" s="2" t="s">
        <v>38</v>
      </c>
      <c r="Y878" s="2" t="s">
        <v>38</v>
      </c>
      <c r="Z878" s="2" t="s">
        <v>38</v>
      </c>
      <c r="AA878" s="2" t="s">
        <v>38</v>
      </c>
      <c r="AB878" s="2" t="s">
        <v>38</v>
      </c>
      <c r="AC878" s="2" t="s">
        <v>38</v>
      </c>
      <c r="AD878" s="2" t="s">
        <v>38</v>
      </c>
      <c r="AE878" s="2" t="s">
        <v>39</v>
      </c>
    </row>
    <row r="879" spans="1:31" ht="409.5">
      <c r="A879" s="2">
        <v>2751136</v>
      </c>
      <c r="B879" s="2">
        <f>HYPERLINK("https://platform.v2.vetology.net/cases/2751136/screening-report/1?type=pdf&amp;v=v6&amp;scorecard=1&amp;secret_key=BX%25IJ%24%2F65ieZ%29f6", 2751136)</f>
        <v>2751136</v>
      </c>
      <c r="C879" s="2">
        <f>HYPERLINK("https://platform.v2.vetology.net/report/v/final/"&amp;2751136, 2751136)</f>
        <v>2751136</v>
      </c>
      <c r="D879" s="2" t="s">
        <v>2950</v>
      </c>
      <c r="E879" s="2" t="s">
        <v>2951</v>
      </c>
      <c r="F879" s="2" t="s">
        <v>2952</v>
      </c>
      <c r="G879" s="2" t="s">
        <v>53</v>
      </c>
      <c r="H879" s="2" t="s">
        <v>2953</v>
      </c>
      <c r="I879" s="2" t="s">
        <v>36</v>
      </c>
      <c r="J879" s="2" t="s">
        <v>37</v>
      </c>
      <c r="K879" s="2" t="s">
        <v>38</v>
      </c>
      <c r="L879" s="2" t="s">
        <v>39</v>
      </c>
      <c r="M879" s="2" t="s">
        <v>38</v>
      </c>
      <c r="N879" s="2" t="s">
        <v>39</v>
      </c>
      <c r="O879" s="2" t="s">
        <v>39</v>
      </c>
      <c r="P879" s="2" t="s">
        <v>39</v>
      </c>
      <c r="Q879" s="2" t="s">
        <v>39</v>
      </c>
      <c r="R879" s="2" t="s">
        <v>39</v>
      </c>
      <c r="S879" s="2" t="s">
        <v>38</v>
      </c>
      <c r="T879" s="2" t="s">
        <v>39</v>
      </c>
      <c r="U879" s="2" t="s">
        <v>39</v>
      </c>
      <c r="V879" s="2" t="s">
        <v>38</v>
      </c>
      <c r="W879" s="2" t="s">
        <v>38</v>
      </c>
      <c r="X879" s="2" t="s">
        <v>39</v>
      </c>
      <c r="Y879" s="2" t="s">
        <v>39</v>
      </c>
      <c r="Z879" s="2" t="s">
        <v>38</v>
      </c>
      <c r="AA879" s="2" t="s">
        <v>38</v>
      </c>
      <c r="AB879" s="2" t="s">
        <v>39</v>
      </c>
      <c r="AC879" s="2" t="s">
        <v>38</v>
      </c>
      <c r="AD879" s="2" t="s">
        <v>38</v>
      </c>
      <c r="AE879" s="2" t="s">
        <v>39</v>
      </c>
    </row>
    <row r="880" spans="1:31" ht="409.5">
      <c r="A880" s="2">
        <v>2751124</v>
      </c>
      <c r="B880" s="2">
        <f>HYPERLINK("https://platform.v2.vetology.net/cases/2751124/screening-report/1?type=pdf&amp;v=v6&amp;scorecard=1&amp;secret_key=BX%25IJ%24%2F65ieZ%29f6", 2751124)</f>
        <v>2751124</v>
      </c>
      <c r="C880" s="2">
        <f>HYPERLINK("https://platform.v2.vetology.net/report/v/final/"&amp;2751124, 2751124)</f>
        <v>2751124</v>
      </c>
      <c r="D880" s="2" t="s">
        <v>2954</v>
      </c>
      <c r="E880" s="2" t="s">
        <v>2955</v>
      </c>
      <c r="F880" s="2" t="s">
        <v>2956</v>
      </c>
      <c r="G880" s="2" t="s">
        <v>170</v>
      </c>
      <c r="H880" s="2" t="s">
        <v>45</v>
      </c>
      <c r="I880" s="2" t="s">
        <v>46</v>
      </c>
      <c r="J880" s="2"/>
      <c r="K880" s="2" t="s">
        <v>39</v>
      </c>
      <c r="L880" s="2" t="s">
        <v>39</v>
      </c>
      <c r="M880" s="2" t="s">
        <v>39</v>
      </c>
      <c r="N880" s="2" t="s">
        <v>39</v>
      </c>
      <c r="O880" s="2" t="s">
        <v>39</v>
      </c>
      <c r="P880" s="2" t="s">
        <v>39</v>
      </c>
      <c r="Q880" s="2" t="s">
        <v>39</v>
      </c>
      <c r="R880" s="2" t="s">
        <v>38</v>
      </c>
      <c r="S880" s="2" t="s">
        <v>39</v>
      </c>
      <c r="T880" s="2" t="s">
        <v>39</v>
      </c>
      <c r="U880" s="2" t="s">
        <v>39</v>
      </c>
      <c r="V880" s="2" t="s">
        <v>39</v>
      </c>
      <c r="W880" s="2" t="s">
        <v>39</v>
      </c>
      <c r="X880" s="2" t="s">
        <v>39</v>
      </c>
      <c r="Y880" s="2" t="s">
        <v>39</v>
      </c>
      <c r="Z880" s="2" t="s">
        <v>39</v>
      </c>
      <c r="AA880" s="2" t="s">
        <v>39</v>
      </c>
      <c r="AB880" s="2" t="s">
        <v>39</v>
      </c>
      <c r="AC880" s="2" t="s">
        <v>39</v>
      </c>
      <c r="AD880" s="2" t="s">
        <v>38</v>
      </c>
      <c r="AE880" s="2" t="s">
        <v>39</v>
      </c>
    </row>
    <row r="881" spans="1:31" ht="409.5">
      <c r="A881" s="2">
        <v>2751121</v>
      </c>
      <c r="B881" s="2">
        <f>HYPERLINK("https://platform.v2.vetology.net/cases/2751121/screening-report/1?type=pdf&amp;v=v6&amp;scorecard=1&amp;secret_key=BX%25IJ%24%2F65ieZ%29f6", 2751121)</f>
        <v>2751121</v>
      </c>
      <c r="C881" s="2">
        <f>HYPERLINK("https://platform.v2.vetology.net/report/v/final/"&amp;2751121, 2751121)</f>
        <v>2751121</v>
      </c>
      <c r="D881" s="2" t="s">
        <v>2957</v>
      </c>
      <c r="E881" s="2" t="s">
        <v>2958</v>
      </c>
      <c r="F881" s="2"/>
      <c r="G881" s="2" t="s">
        <v>81</v>
      </c>
      <c r="H881" s="2" t="s">
        <v>2959</v>
      </c>
      <c r="I881" s="2" t="s">
        <v>36</v>
      </c>
      <c r="J881" s="2" t="s">
        <v>37</v>
      </c>
      <c r="K881" s="2" t="s">
        <v>38</v>
      </c>
      <c r="L881" s="2" t="s">
        <v>38</v>
      </c>
      <c r="M881" s="2" t="s">
        <v>38</v>
      </c>
      <c r="N881" s="2" t="s">
        <v>38</v>
      </c>
      <c r="O881" s="2" t="s">
        <v>38</v>
      </c>
      <c r="P881" s="2" t="s">
        <v>39</v>
      </c>
      <c r="Q881" s="2" t="s">
        <v>39</v>
      </c>
      <c r="R881" s="2" t="s">
        <v>38</v>
      </c>
      <c r="S881" s="2" t="s">
        <v>38</v>
      </c>
      <c r="T881" s="2" t="s">
        <v>38</v>
      </c>
      <c r="U881" s="2" t="s">
        <v>38</v>
      </c>
      <c r="V881" s="2" t="s">
        <v>38</v>
      </c>
      <c r="W881" s="2" t="s">
        <v>38</v>
      </c>
      <c r="X881" s="2" t="s">
        <v>39</v>
      </c>
      <c r="Y881" s="2" t="s">
        <v>39</v>
      </c>
      <c r="Z881" s="2" t="s">
        <v>38</v>
      </c>
      <c r="AA881" s="2" t="s">
        <v>38</v>
      </c>
      <c r="AB881" s="2" t="s">
        <v>39</v>
      </c>
      <c r="AC881" s="2" t="s">
        <v>38</v>
      </c>
      <c r="AD881" s="2" t="s">
        <v>38</v>
      </c>
      <c r="AE881" s="2" t="s">
        <v>39</v>
      </c>
    </row>
    <row r="882" spans="1:31" ht="409.5">
      <c r="A882" s="2">
        <v>2751111</v>
      </c>
      <c r="B882" s="2">
        <f>HYPERLINK("https://platform.v2.vetology.net/cases/2751111/screening-report/1?type=pdf&amp;v=v6&amp;scorecard=1&amp;secret_key=BX%25IJ%24%2F65ieZ%29f6", 2751111)</f>
        <v>2751111</v>
      </c>
      <c r="C882" s="2">
        <f>HYPERLINK("https://platform.v2.vetology.net/report/v/final/"&amp;2751111, 2751111)</f>
        <v>2751111</v>
      </c>
      <c r="D882" s="2" t="s">
        <v>2960</v>
      </c>
      <c r="E882" s="2" t="s">
        <v>2593</v>
      </c>
      <c r="F882" s="2" t="s">
        <v>229</v>
      </c>
      <c r="G882" s="2" t="s">
        <v>170</v>
      </c>
      <c r="H882" s="2" t="s">
        <v>2961</v>
      </c>
      <c r="I882" s="2" t="s">
        <v>36</v>
      </c>
      <c r="J882" s="2" t="s">
        <v>37</v>
      </c>
      <c r="K882" s="2" t="s">
        <v>38</v>
      </c>
      <c r="L882" s="2" t="s">
        <v>38</v>
      </c>
      <c r="M882" s="2" t="s">
        <v>39</v>
      </c>
      <c r="N882" s="2" t="s">
        <v>38</v>
      </c>
      <c r="O882" s="2" t="s">
        <v>39</v>
      </c>
      <c r="P882" s="2" t="s">
        <v>39</v>
      </c>
      <c r="Q882" s="2" t="s">
        <v>39</v>
      </c>
      <c r="R882" s="2" t="s">
        <v>39</v>
      </c>
      <c r="S882" s="2" t="s">
        <v>38</v>
      </c>
      <c r="T882" s="2" t="s">
        <v>39</v>
      </c>
      <c r="U882" s="2" t="s">
        <v>38</v>
      </c>
      <c r="V882" s="2" t="s">
        <v>38</v>
      </c>
      <c r="W882" s="2" t="s">
        <v>39</v>
      </c>
      <c r="X882" s="2" t="s">
        <v>39</v>
      </c>
      <c r="Y882" s="2" t="s">
        <v>39</v>
      </c>
      <c r="Z882" s="2" t="s">
        <v>39</v>
      </c>
      <c r="AA882" s="2" t="s">
        <v>39</v>
      </c>
      <c r="AB882" s="2" t="s">
        <v>39</v>
      </c>
      <c r="AC882" s="2" t="s">
        <v>38</v>
      </c>
      <c r="AD882" s="2" t="s">
        <v>39</v>
      </c>
      <c r="AE882" s="2" t="s">
        <v>40</v>
      </c>
    </row>
    <row r="883" spans="1:31" ht="409.5">
      <c r="A883" s="2">
        <v>2751079</v>
      </c>
      <c r="B883" s="2">
        <f>HYPERLINK("https://platform.v2.vetology.net/cases/2751079/screening-report/1?type=pdf&amp;v=v6&amp;scorecard=1&amp;secret_key=BX%25IJ%24%2F65ieZ%29f6", 2751079)</f>
        <v>2751079</v>
      </c>
      <c r="C883" s="2">
        <f>HYPERLINK("https://platform.v2.vetology.net/report/v/final/"&amp;2751079, 2751079)</f>
        <v>2751079</v>
      </c>
      <c r="D883" s="2" t="s">
        <v>2962</v>
      </c>
      <c r="E883" s="2" t="s">
        <v>2963</v>
      </c>
      <c r="F883" s="2" t="s">
        <v>43</v>
      </c>
      <c r="G883" s="2" t="s">
        <v>100</v>
      </c>
      <c r="H883" s="2" t="s">
        <v>2964</v>
      </c>
      <c r="I883" s="2" t="s">
        <v>36</v>
      </c>
      <c r="J883" s="2" t="s">
        <v>37</v>
      </c>
      <c r="K883" s="2" t="s">
        <v>38</v>
      </c>
      <c r="L883" s="2" t="s">
        <v>38</v>
      </c>
      <c r="M883" s="2" t="s">
        <v>39</v>
      </c>
      <c r="N883" s="2" t="s">
        <v>38</v>
      </c>
      <c r="O883" s="2" t="s">
        <v>39</v>
      </c>
      <c r="P883" s="2" t="s">
        <v>39</v>
      </c>
      <c r="Q883" s="2" t="s">
        <v>38</v>
      </c>
      <c r="R883" s="2" t="s">
        <v>38</v>
      </c>
      <c r="S883" s="2" t="s">
        <v>38</v>
      </c>
      <c r="T883" s="2" t="s">
        <v>39</v>
      </c>
      <c r="U883" s="2" t="s">
        <v>38</v>
      </c>
      <c r="V883" s="2" t="s">
        <v>38</v>
      </c>
      <c r="W883" s="2" t="s">
        <v>38</v>
      </c>
      <c r="X883" s="2" t="s">
        <v>38</v>
      </c>
      <c r="Y883" s="2" t="s">
        <v>39</v>
      </c>
      <c r="Z883" s="2" t="s">
        <v>38</v>
      </c>
      <c r="AA883" s="2" t="s">
        <v>38</v>
      </c>
      <c r="AB883" s="2" t="s">
        <v>38</v>
      </c>
      <c r="AC883" s="2" t="s">
        <v>38</v>
      </c>
      <c r="AD883" s="2" t="s">
        <v>38</v>
      </c>
      <c r="AE883" s="2" t="s">
        <v>40</v>
      </c>
    </row>
    <row r="884" spans="1:31" ht="409.5">
      <c r="A884" s="2">
        <v>2751078</v>
      </c>
      <c r="B884" s="2">
        <f>HYPERLINK("https://platform.v2.vetology.net/cases/2751078/screening-report/1?type=pdf&amp;v=v6&amp;scorecard=1&amp;secret_key=BX%25IJ%24%2F65ieZ%29f6", 2751078)</f>
        <v>2751078</v>
      </c>
      <c r="C884" s="2">
        <f>HYPERLINK("https://platform.v2.vetology.net/report/v/final/"&amp;2751078, 2751078)</f>
        <v>2751078</v>
      </c>
      <c r="D884" s="2" t="s">
        <v>2965</v>
      </c>
      <c r="E884" s="2" t="s">
        <v>275</v>
      </c>
      <c r="F884" s="2" t="s">
        <v>2966</v>
      </c>
      <c r="G884" s="2" t="s">
        <v>170</v>
      </c>
      <c r="H884" s="2" t="s">
        <v>2967</v>
      </c>
      <c r="I884" s="2" t="s">
        <v>36</v>
      </c>
      <c r="J884" s="2" t="s">
        <v>37</v>
      </c>
      <c r="K884" s="2" t="s">
        <v>38</v>
      </c>
      <c r="L884" s="2" t="s">
        <v>38</v>
      </c>
      <c r="M884" s="2" t="s">
        <v>38</v>
      </c>
      <c r="N884" s="2" t="s">
        <v>39</v>
      </c>
      <c r="O884" s="2" t="s">
        <v>38</v>
      </c>
      <c r="P884" s="2" t="s">
        <v>39</v>
      </c>
      <c r="Q884" s="2" t="s">
        <v>39</v>
      </c>
      <c r="R884" s="2" t="s">
        <v>38</v>
      </c>
      <c r="S884" s="2" t="s">
        <v>38</v>
      </c>
      <c r="T884" s="2" t="s">
        <v>39</v>
      </c>
      <c r="U884" s="2" t="s">
        <v>38</v>
      </c>
      <c r="V884" s="2" t="s">
        <v>38</v>
      </c>
      <c r="W884" s="2" t="s">
        <v>38</v>
      </c>
      <c r="X884" s="2" t="s">
        <v>39</v>
      </c>
      <c r="Y884" s="2" t="s">
        <v>39</v>
      </c>
      <c r="Z884" s="2" t="s">
        <v>38</v>
      </c>
      <c r="AA884" s="2" t="s">
        <v>39</v>
      </c>
      <c r="AB884" s="2" t="s">
        <v>39</v>
      </c>
      <c r="AC884" s="2" t="s">
        <v>38</v>
      </c>
      <c r="AD884" s="2" t="s">
        <v>38</v>
      </c>
      <c r="AE884" s="2" t="s">
        <v>39</v>
      </c>
    </row>
    <row r="885" spans="1:31" ht="409.5">
      <c r="A885" s="2">
        <v>2751068</v>
      </c>
      <c r="B885" s="2">
        <f>HYPERLINK("https://platform.v2.vetology.net/cases/2751068/screening-report/1?type=pdf&amp;v=v6&amp;scorecard=1&amp;secret_key=BX%25IJ%24%2F65ieZ%29f6", 2751068)</f>
        <v>2751068</v>
      </c>
      <c r="C885" s="2">
        <f>HYPERLINK("https://platform.v2.vetology.net/report/v/final/"&amp;2751068, 2751068)</f>
        <v>2751068</v>
      </c>
      <c r="D885" s="2" t="s">
        <v>2968</v>
      </c>
      <c r="E885" s="2" t="s">
        <v>2969</v>
      </c>
      <c r="F885" s="2" t="s">
        <v>2970</v>
      </c>
      <c r="G885" s="2" t="s">
        <v>556</v>
      </c>
      <c r="H885" s="2" t="s">
        <v>2971</v>
      </c>
      <c r="I885" s="2" t="s">
        <v>257</v>
      </c>
      <c r="J885" s="2" t="s">
        <v>74</v>
      </c>
      <c r="K885" s="2" t="s">
        <v>38</v>
      </c>
      <c r="L885" s="2" t="s">
        <v>38</v>
      </c>
      <c r="M885" s="2" t="s">
        <v>38</v>
      </c>
      <c r="N885" s="2" t="s">
        <v>38</v>
      </c>
      <c r="O885" s="2" t="s">
        <v>38</v>
      </c>
      <c r="P885" s="2" t="s">
        <v>38</v>
      </c>
      <c r="Q885" s="2" t="s">
        <v>38</v>
      </c>
      <c r="R885" s="2" t="s">
        <v>38</v>
      </c>
      <c r="S885" s="2" t="s">
        <v>38</v>
      </c>
      <c r="T885" s="2" t="s">
        <v>38</v>
      </c>
      <c r="U885" s="2" t="s">
        <v>38</v>
      </c>
      <c r="V885" s="2" t="s">
        <v>38</v>
      </c>
      <c r="W885" s="2" t="s">
        <v>38</v>
      </c>
      <c r="X885" s="2" t="s">
        <v>38</v>
      </c>
      <c r="Y885" s="2" t="s">
        <v>38</v>
      </c>
      <c r="Z885" s="2" t="s">
        <v>38</v>
      </c>
      <c r="AA885" s="2" t="s">
        <v>38</v>
      </c>
      <c r="AB885" s="2" t="s">
        <v>39</v>
      </c>
      <c r="AC885" s="2" t="s">
        <v>38</v>
      </c>
      <c r="AD885" s="2" t="s">
        <v>38</v>
      </c>
      <c r="AE885" s="2" t="s">
        <v>40</v>
      </c>
    </row>
    <row r="886" spans="1:31" ht="409.5">
      <c r="A886" s="2">
        <v>2751064</v>
      </c>
      <c r="B886" s="2">
        <f>HYPERLINK("https://platform.v2.vetology.net/cases/2751064/screening-report/1?type=pdf&amp;v=v6&amp;scorecard=1&amp;secret_key=BX%25IJ%24%2F65ieZ%29f6", 2751064)</f>
        <v>2751064</v>
      </c>
      <c r="C886" s="2">
        <f>HYPERLINK("https://platform.v2.vetology.net/report/v/final/"&amp;2751064, 2751064)</f>
        <v>2751064</v>
      </c>
      <c r="D886" s="2" t="s">
        <v>2972</v>
      </c>
      <c r="E886" s="2" t="s">
        <v>2973</v>
      </c>
      <c r="F886" s="2"/>
      <c r="G886" s="2" t="s">
        <v>507</v>
      </c>
      <c r="H886" s="2" t="s">
        <v>2974</v>
      </c>
      <c r="I886" s="2" t="s">
        <v>36</v>
      </c>
      <c r="J886" s="2" t="s">
        <v>37</v>
      </c>
      <c r="K886" s="2" t="s">
        <v>39</v>
      </c>
      <c r="L886" s="2" t="s">
        <v>38</v>
      </c>
      <c r="M886" s="2" t="s">
        <v>38</v>
      </c>
      <c r="N886" s="2" t="s">
        <v>38</v>
      </c>
      <c r="O886" s="2" t="s">
        <v>38</v>
      </c>
      <c r="P886" s="2" t="s">
        <v>38</v>
      </c>
      <c r="Q886" s="2" t="s">
        <v>39</v>
      </c>
      <c r="R886" s="2" t="s">
        <v>39</v>
      </c>
      <c r="S886" s="2" t="s">
        <v>38</v>
      </c>
      <c r="T886" s="2" t="s">
        <v>38</v>
      </c>
      <c r="U886" s="2" t="s">
        <v>39</v>
      </c>
      <c r="V886" s="2" t="s">
        <v>39</v>
      </c>
      <c r="W886" s="2" t="s">
        <v>38</v>
      </c>
      <c r="X886" s="2" t="s">
        <v>38</v>
      </c>
      <c r="Y886" s="2" t="s">
        <v>38</v>
      </c>
      <c r="Z886" s="2" t="s">
        <v>38</v>
      </c>
      <c r="AA886" s="2" t="s">
        <v>39</v>
      </c>
      <c r="AB886" s="2" t="s">
        <v>39</v>
      </c>
      <c r="AC886" s="2" t="s">
        <v>38</v>
      </c>
      <c r="AD886" s="2" t="s">
        <v>38</v>
      </c>
      <c r="AE886" s="2" t="s">
        <v>40</v>
      </c>
    </row>
    <row r="887" spans="1:31" ht="409.5">
      <c r="A887" s="2">
        <v>2751059</v>
      </c>
      <c r="B887" s="2">
        <f>HYPERLINK("https://platform.v2.vetology.net/cases/2751059/screening-report/1?type=pdf&amp;v=v6&amp;scorecard=1&amp;secret_key=BX%25IJ%24%2F65ieZ%29f6", 2751059)</f>
        <v>2751059</v>
      </c>
      <c r="C887" s="2">
        <f>HYPERLINK("https://platform.v2.vetology.net/report/v/final/"&amp;2751059, 2751059)</f>
        <v>2751059</v>
      </c>
      <c r="D887" s="2" t="s">
        <v>2975</v>
      </c>
      <c r="E887" s="2" t="s">
        <v>2976</v>
      </c>
      <c r="F887" s="2" t="s">
        <v>2977</v>
      </c>
      <c r="G887" s="2" t="s">
        <v>111</v>
      </c>
      <c r="H887" s="2" t="s">
        <v>2978</v>
      </c>
      <c r="I887" s="2" t="s">
        <v>73</v>
      </c>
      <c r="J887" s="2" t="s">
        <v>74</v>
      </c>
      <c r="K887" s="2" t="s">
        <v>38</v>
      </c>
      <c r="L887" s="2" t="s">
        <v>38</v>
      </c>
      <c r="M887" s="2" t="s">
        <v>38</v>
      </c>
      <c r="N887" s="2" t="s">
        <v>38</v>
      </c>
      <c r="O887" s="2" t="s">
        <v>38</v>
      </c>
      <c r="P887" s="2" t="s">
        <v>38</v>
      </c>
      <c r="Q887" s="2" t="s">
        <v>38</v>
      </c>
      <c r="R887" s="2" t="s">
        <v>38</v>
      </c>
      <c r="S887" s="2" t="s">
        <v>38</v>
      </c>
      <c r="T887" s="2" t="s">
        <v>38</v>
      </c>
      <c r="U887" s="2" t="s">
        <v>38</v>
      </c>
      <c r="V887" s="2" t="s">
        <v>38</v>
      </c>
      <c r="W887" s="2" t="s">
        <v>38</v>
      </c>
      <c r="X887" s="2" t="s">
        <v>38</v>
      </c>
      <c r="Y887" s="2" t="s">
        <v>38</v>
      </c>
      <c r="Z887" s="2" t="s">
        <v>38</v>
      </c>
      <c r="AA887" s="2" t="s">
        <v>38</v>
      </c>
      <c r="AB887" s="2" t="s">
        <v>38</v>
      </c>
      <c r="AC887" s="2" t="s">
        <v>38</v>
      </c>
      <c r="AD887" s="2" t="s">
        <v>38</v>
      </c>
      <c r="AE887" s="2" t="s">
        <v>40</v>
      </c>
    </row>
    <row r="888" spans="1:31" ht="409.5">
      <c r="A888" s="2">
        <v>2751043</v>
      </c>
      <c r="B888" s="2">
        <f>HYPERLINK("https://platform.v2.vetology.net/cases/2751043/screening-report/1?type=pdf&amp;v=v6&amp;scorecard=1&amp;secret_key=BX%25IJ%24%2F65ieZ%29f6", 2751043)</f>
        <v>2751043</v>
      </c>
      <c r="C888" s="2">
        <f>HYPERLINK("https://platform.v2.vetology.net/report/v/final/"&amp;2751043, 2751043)</f>
        <v>2751043</v>
      </c>
      <c r="D888" s="2" t="s">
        <v>2979</v>
      </c>
      <c r="E888" s="2" t="s">
        <v>2980</v>
      </c>
      <c r="F888" s="2" t="s">
        <v>2372</v>
      </c>
      <c r="G888" s="2" t="s">
        <v>100</v>
      </c>
      <c r="H888" s="2" t="s">
        <v>2981</v>
      </c>
      <c r="I888" s="2" t="s">
        <v>36</v>
      </c>
      <c r="J888" s="2" t="s">
        <v>37</v>
      </c>
      <c r="K888" s="2" t="s">
        <v>39</v>
      </c>
      <c r="L888" s="2" t="s">
        <v>38</v>
      </c>
      <c r="M888" s="2" t="s">
        <v>38</v>
      </c>
      <c r="N888" s="2" t="s">
        <v>38</v>
      </c>
      <c r="O888" s="2" t="s">
        <v>38</v>
      </c>
      <c r="P888" s="2" t="s">
        <v>39</v>
      </c>
      <c r="Q888" s="2" t="s">
        <v>39</v>
      </c>
      <c r="R888" s="2" t="s">
        <v>38</v>
      </c>
      <c r="S888" s="2" t="s">
        <v>38</v>
      </c>
      <c r="T888" s="2" t="s">
        <v>39</v>
      </c>
      <c r="U888" s="2" t="s">
        <v>39</v>
      </c>
      <c r="V888" s="2" t="s">
        <v>39</v>
      </c>
      <c r="W888" s="2" t="s">
        <v>38</v>
      </c>
      <c r="X888" s="2" t="s">
        <v>39</v>
      </c>
      <c r="Y888" s="2" t="s">
        <v>39</v>
      </c>
      <c r="Z888" s="2" t="s">
        <v>38</v>
      </c>
      <c r="AA888" s="2" t="s">
        <v>38</v>
      </c>
      <c r="AB888" s="2" t="s">
        <v>39</v>
      </c>
      <c r="AC888" s="2" t="s">
        <v>38</v>
      </c>
      <c r="AD888" s="2" t="s">
        <v>38</v>
      </c>
      <c r="AE888" s="2"/>
    </row>
    <row r="889" spans="1:31" ht="409.5">
      <c r="A889" s="2">
        <v>2751037</v>
      </c>
      <c r="B889" s="2">
        <f>HYPERLINK("https://platform.v2.vetology.net/cases/2751037/screening-report/1?type=pdf&amp;v=v6&amp;scorecard=1&amp;secret_key=BX%25IJ%24%2F65ieZ%29f6", 2751037)</f>
        <v>2751037</v>
      </c>
      <c r="C889" s="2">
        <f>HYPERLINK("https://platform.v2.vetology.net/report/v/final/"&amp;2751037, 2751037)</f>
        <v>2751037</v>
      </c>
      <c r="D889" s="2" t="s">
        <v>2982</v>
      </c>
      <c r="E889" s="2" t="s">
        <v>2983</v>
      </c>
      <c r="F889" s="2" t="s">
        <v>2984</v>
      </c>
      <c r="G889" s="2" t="s">
        <v>127</v>
      </c>
      <c r="H889" s="2" t="s">
        <v>2985</v>
      </c>
      <c r="I889" s="2" t="s">
        <v>59</v>
      </c>
      <c r="J889" s="2" t="s">
        <v>37</v>
      </c>
      <c r="K889" s="2" t="s">
        <v>39</v>
      </c>
      <c r="L889" s="2" t="s">
        <v>38</v>
      </c>
      <c r="M889" s="2" t="s">
        <v>39</v>
      </c>
      <c r="N889" s="2" t="s">
        <v>39</v>
      </c>
      <c r="O889" s="2" t="s">
        <v>39</v>
      </c>
      <c r="P889" s="2" t="s">
        <v>39</v>
      </c>
      <c r="Q889" s="2" t="s">
        <v>39</v>
      </c>
      <c r="R889" s="2" t="s">
        <v>38</v>
      </c>
      <c r="S889" s="2" t="s">
        <v>38</v>
      </c>
      <c r="T889" s="2" t="s">
        <v>38</v>
      </c>
      <c r="U889" s="2" t="s">
        <v>39</v>
      </c>
      <c r="V889" s="2" t="s">
        <v>39</v>
      </c>
      <c r="W889" s="2" t="s">
        <v>39</v>
      </c>
      <c r="X889" s="2" t="s">
        <v>39</v>
      </c>
      <c r="Y889" s="2" t="s">
        <v>39</v>
      </c>
      <c r="Z889" s="2" t="s">
        <v>39</v>
      </c>
      <c r="AA889" s="2" t="s">
        <v>39</v>
      </c>
      <c r="AB889" s="2" t="s">
        <v>39</v>
      </c>
      <c r="AC889" s="2" t="s">
        <v>38</v>
      </c>
      <c r="AD889" s="2" t="s">
        <v>38</v>
      </c>
      <c r="AE889" s="2"/>
    </row>
    <row r="890" spans="1:31" ht="409.5">
      <c r="A890" s="2">
        <v>2751019</v>
      </c>
      <c r="B890" s="2">
        <f>HYPERLINK("https://platform.v2.vetology.net/cases/2751019/screening-report/1?type=pdf&amp;v=v6&amp;scorecard=1&amp;secret_key=BX%25IJ%24%2F65ieZ%29f6", 2751019)</f>
        <v>2751019</v>
      </c>
      <c r="C890" s="2">
        <f>HYPERLINK("https://platform.v2.vetology.net/report/v/final/"&amp;2751019, 2751019)</f>
        <v>2751019</v>
      </c>
      <c r="D890" s="2" t="s">
        <v>2986</v>
      </c>
      <c r="E890" s="2" t="s">
        <v>2987</v>
      </c>
      <c r="F890" s="2" t="s">
        <v>1411</v>
      </c>
      <c r="G890" s="2" t="s">
        <v>127</v>
      </c>
      <c r="H890" s="2" t="s">
        <v>2988</v>
      </c>
      <c r="I890" s="2" t="s">
        <v>36</v>
      </c>
      <c r="J890" s="2" t="s">
        <v>37</v>
      </c>
      <c r="K890" s="2" t="s">
        <v>38</v>
      </c>
      <c r="L890" s="2" t="s">
        <v>38</v>
      </c>
      <c r="M890" s="2" t="s">
        <v>38</v>
      </c>
      <c r="N890" s="2" t="s">
        <v>38</v>
      </c>
      <c r="O890" s="2" t="s">
        <v>38</v>
      </c>
      <c r="P890" s="2" t="s">
        <v>39</v>
      </c>
      <c r="Q890" s="2" t="s">
        <v>39</v>
      </c>
      <c r="R890" s="2" t="s">
        <v>38</v>
      </c>
      <c r="S890" s="2" t="s">
        <v>38</v>
      </c>
      <c r="T890" s="2" t="s">
        <v>39</v>
      </c>
      <c r="U890" s="2" t="s">
        <v>38</v>
      </c>
      <c r="V890" s="2" t="s">
        <v>38</v>
      </c>
      <c r="W890" s="2" t="s">
        <v>38</v>
      </c>
      <c r="X890" s="2" t="s">
        <v>39</v>
      </c>
      <c r="Y890" s="2" t="s">
        <v>39</v>
      </c>
      <c r="Z890" s="2" t="s">
        <v>38</v>
      </c>
      <c r="AA890" s="2" t="s">
        <v>38</v>
      </c>
      <c r="AB890" s="2" t="s">
        <v>38</v>
      </c>
      <c r="AC890" s="2" t="s">
        <v>38</v>
      </c>
      <c r="AD890" s="2" t="s">
        <v>39</v>
      </c>
      <c r="AE890" s="2" t="s">
        <v>40</v>
      </c>
    </row>
    <row r="891" spans="1:31" ht="409.5">
      <c r="A891" s="2">
        <v>2750996</v>
      </c>
      <c r="B891" s="2">
        <f>HYPERLINK("https://platform.v2.vetology.net/cases/2750996/screening-report/1?type=pdf&amp;v=v6&amp;scorecard=1&amp;secret_key=BX%25IJ%24%2F65ieZ%29f6", 2750996)</f>
        <v>2750996</v>
      </c>
      <c r="C891" s="2">
        <f>HYPERLINK("https://platform.v2.vetology.net/report/v/final/"&amp;2750996, 2750996)</f>
        <v>2750996</v>
      </c>
      <c r="D891" s="2" t="s">
        <v>2989</v>
      </c>
      <c r="E891" s="2" t="s">
        <v>2990</v>
      </c>
      <c r="F891" s="2" t="s">
        <v>2991</v>
      </c>
      <c r="G891" s="2" t="s">
        <v>127</v>
      </c>
      <c r="H891" s="2" t="s">
        <v>2992</v>
      </c>
      <c r="I891" s="2" t="s">
        <v>684</v>
      </c>
      <c r="J891" s="2" t="s">
        <v>74</v>
      </c>
      <c r="K891" s="2" t="s">
        <v>39</v>
      </c>
      <c r="L891" s="2" t="s">
        <v>39</v>
      </c>
      <c r="M891" s="2" t="s">
        <v>39</v>
      </c>
      <c r="N891" s="2" t="s">
        <v>39</v>
      </c>
      <c r="O891" s="2" t="s">
        <v>39</v>
      </c>
      <c r="P891" s="2" t="s">
        <v>39</v>
      </c>
      <c r="Q891" s="2" t="s">
        <v>38</v>
      </c>
      <c r="R891" s="2" t="s">
        <v>39</v>
      </c>
      <c r="S891" s="2" t="s">
        <v>39</v>
      </c>
      <c r="T891" s="2" t="s">
        <v>38</v>
      </c>
      <c r="U891" s="2" t="s">
        <v>39</v>
      </c>
      <c r="V891" s="2" t="s">
        <v>39</v>
      </c>
      <c r="W891" s="2" t="s">
        <v>39</v>
      </c>
      <c r="X891" s="2" t="s">
        <v>38</v>
      </c>
      <c r="Y891" s="2" t="s">
        <v>39</v>
      </c>
      <c r="Z891" s="2" t="s">
        <v>39</v>
      </c>
      <c r="AA891" s="2" t="s">
        <v>38</v>
      </c>
      <c r="AB891" s="2" t="s">
        <v>38</v>
      </c>
      <c r="AC891" s="2" t="s">
        <v>39</v>
      </c>
      <c r="AD891" s="2" t="s">
        <v>39</v>
      </c>
      <c r="AE891" s="2" t="s">
        <v>39</v>
      </c>
    </row>
    <row r="892" spans="1:31" ht="409.5">
      <c r="A892" s="2">
        <v>2750957</v>
      </c>
      <c r="B892" s="2">
        <f>HYPERLINK("https://platform.v2.vetology.net/cases/2750957/screening-report/1?type=pdf&amp;v=v6&amp;scorecard=1&amp;secret_key=BX%25IJ%24%2F65ieZ%29f6", 2750957)</f>
        <v>2750957</v>
      </c>
      <c r="C892" s="2">
        <f>HYPERLINK("https://platform.v2.vetology.net/report/v/final/"&amp;2750957, 2750957)</f>
        <v>2750957</v>
      </c>
      <c r="D892" s="2" t="s">
        <v>2993</v>
      </c>
      <c r="E892" s="2" t="s">
        <v>2994</v>
      </c>
      <c r="F892" s="2" t="s">
        <v>2995</v>
      </c>
      <c r="G892" s="2" t="s">
        <v>100</v>
      </c>
      <c r="H892" s="2" t="s">
        <v>398</v>
      </c>
      <c r="I892" s="2" t="s">
        <v>46</v>
      </c>
      <c r="J892" s="2"/>
      <c r="K892" s="2" t="s">
        <v>38</v>
      </c>
      <c r="L892" s="2" t="s">
        <v>39</v>
      </c>
      <c r="M892" s="2" t="s">
        <v>39</v>
      </c>
      <c r="N892" s="2" t="s">
        <v>39</v>
      </c>
      <c r="O892" s="2" t="s">
        <v>39</v>
      </c>
      <c r="P892" s="2" t="s">
        <v>39</v>
      </c>
      <c r="Q892" s="2" t="s">
        <v>39</v>
      </c>
      <c r="R892" s="2" t="s">
        <v>39</v>
      </c>
      <c r="S892" s="2" t="s">
        <v>39</v>
      </c>
      <c r="T892" s="2" t="s">
        <v>38</v>
      </c>
      <c r="U892" s="2" t="s">
        <v>39</v>
      </c>
      <c r="V892" s="2" t="s">
        <v>38</v>
      </c>
      <c r="W892" s="2" t="s">
        <v>39</v>
      </c>
      <c r="X892" s="2" t="s">
        <v>39</v>
      </c>
      <c r="Y892" s="2" t="s">
        <v>39</v>
      </c>
      <c r="Z892" s="2" t="s">
        <v>39</v>
      </c>
      <c r="AA892" s="2" t="s">
        <v>39</v>
      </c>
      <c r="AB892" s="2" t="s">
        <v>39</v>
      </c>
      <c r="AC892" s="2" t="s">
        <v>39</v>
      </c>
      <c r="AD892" s="2" t="s">
        <v>39</v>
      </c>
      <c r="AE892" s="2" t="s">
        <v>39</v>
      </c>
    </row>
    <row r="893" spans="1:31" ht="409.5">
      <c r="A893" s="2">
        <v>2750930</v>
      </c>
      <c r="B893" s="2">
        <f>HYPERLINK("https://platform.v2.vetology.net/cases/2750930/screening-report/1?type=pdf&amp;v=v6&amp;scorecard=1&amp;secret_key=BX%25IJ%24%2F65ieZ%29f6", 2750930)</f>
        <v>2750930</v>
      </c>
      <c r="C893" s="2">
        <f>HYPERLINK("https://platform.v2.vetology.net/report/v/final/"&amp;2750930, 2750930)</f>
        <v>2750930</v>
      </c>
      <c r="D893" s="2" t="s">
        <v>2996</v>
      </c>
      <c r="E893" s="2" t="s">
        <v>2997</v>
      </c>
      <c r="F893" s="2" t="s">
        <v>276</v>
      </c>
      <c r="G893" s="2" t="s">
        <v>170</v>
      </c>
      <c r="H893" s="2" t="s">
        <v>2998</v>
      </c>
      <c r="I893" s="2" t="s">
        <v>36</v>
      </c>
      <c r="J893" s="2" t="s">
        <v>37</v>
      </c>
      <c r="K893" s="2" t="s">
        <v>38</v>
      </c>
      <c r="L893" s="2" t="s">
        <v>39</v>
      </c>
      <c r="M893" s="2" t="s">
        <v>39</v>
      </c>
      <c r="N893" s="2" t="s">
        <v>39</v>
      </c>
      <c r="O893" s="2" t="s">
        <v>39</v>
      </c>
      <c r="P893" s="2" t="s">
        <v>39</v>
      </c>
      <c r="Q893" s="2" t="s">
        <v>39</v>
      </c>
      <c r="R893" s="2" t="s">
        <v>38</v>
      </c>
      <c r="S893" s="2" t="s">
        <v>39</v>
      </c>
      <c r="T893" s="2" t="s">
        <v>39</v>
      </c>
      <c r="U893" s="2" t="s">
        <v>38</v>
      </c>
      <c r="V893" s="2" t="s">
        <v>38</v>
      </c>
      <c r="W893" s="2" t="s">
        <v>38</v>
      </c>
      <c r="X893" s="2" t="s">
        <v>39</v>
      </c>
      <c r="Y893" s="2" t="s">
        <v>38</v>
      </c>
      <c r="Z893" s="2" t="s">
        <v>38</v>
      </c>
      <c r="AA893" s="2" t="s">
        <v>39</v>
      </c>
      <c r="AB893" s="2" t="s">
        <v>39</v>
      </c>
      <c r="AC893" s="2" t="s">
        <v>38</v>
      </c>
      <c r="AD893" s="2" t="s">
        <v>38</v>
      </c>
      <c r="AE893" s="2" t="s">
        <v>40</v>
      </c>
    </row>
    <row r="894" spans="1:31" ht="409.5">
      <c r="A894" s="2">
        <v>2750927</v>
      </c>
      <c r="B894" s="2">
        <f>HYPERLINK("https://platform.v2.vetology.net/cases/2750927/screening-report/1?type=pdf&amp;v=v6&amp;scorecard=1&amp;secret_key=BX%25IJ%24%2F65ieZ%29f6", 2750927)</f>
        <v>2750927</v>
      </c>
      <c r="C894" s="2">
        <f>HYPERLINK("https://platform.v2.vetology.net/report/v/final/"&amp;2750927, 2750927)</f>
        <v>2750927</v>
      </c>
      <c r="D894" s="2" t="s">
        <v>2999</v>
      </c>
      <c r="E894" s="2" t="s">
        <v>3000</v>
      </c>
      <c r="F894" s="2" t="s">
        <v>3001</v>
      </c>
      <c r="G894" s="2" t="s">
        <v>127</v>
      </c>
      <c r="H894" s="2" t="s">
        <v>3002</v>
      </c>
      <c r="I894" s="2" t="s">
        <v>36</v>
      </c>
      <c r="J894" s="2" t="s">
        <v>37</v>
      </c>
      <c r="K894" s="2" t="s">
        <v>38</v>
      </c>
      <c r="L894" s="2" t="s">
        <v>38</v>
      </c>
      <c r="M894" s="2" t="s">
        <v>39</v>
      </c>
      <c r="N894" s="2" t="s">
        <v>39</v>
      </c>
      <c r="O894" s="2" t="s">
        <v>38</v>
      </c>
      <c r="P894" s="2" t="s">
        <v>39</v>
      </c>
      <c r="Q894" s="2" t="s">
        <v>39</v>
      </c>
      <c r="R894" s="2" t="s">
        <v>38</v>
      </c>
      <c r="S894" s="2" t="s">
        <v>38</v>
      </c>
      <c r="T894" s="2" t="s">
        <v>39</v>
      </c>
      <c r="U894" s="2" t="s">
        <v>38</v>
      </c>
      <c r="V894" s="2" t="s">
        <v>38</v>
      </c>
      <c r="W894" s="2" t="s">
        <v>39</v>
      </c>
      <c r="X894" s="2" t="s">
        <v>39</v>
      </c>
      <c r="Y894" s="2" t="s">
        <v>39</v>
      </c>
      <c r="Z894" s="2" t="s">
        <v>39</v>
      </c>
      <c r="AA894" s="2" t="s">
        <v>39</v>
      </c>
      <c r="AB894" s="2" t="s">
        <v>39</v>
      </c>
      <c r="AC894" s="2" t="s">
        <v>38</v>
      </c>
      <c r="AD894" s="2" t="s">
        <v>38</v>
      </c>
      <c r="AE894" s="2" t="s">
        <v>39</v>
      </c>
    </row>
    <row r="895" spans="1:31" ht="409.5">
      <c r="A895" s="2">
        <v>2750893</v>
      </c>
      <c r="B895" s="2">
        <f>HYPERLINK("https://platform.v2.vetology.net/cases/2750893/screening-report/1?type=pdf&amp;v=v6&amp;scorecard=1&amp;secret_key=BX%25IJ%24%2F65ieZ%29f6", 2750893)</f>
        <v>2750893</v>
      </c>
      <c r="C895" s="2">
        <f>HYPERLINK("https://platform.v2.vetology.net/report/v/final/"&amp;2750893, 2750893)</f>
        <v>2750893</v>
      </c>
      <c r="D895" s="2" t="s">
        <v>3003</v>
      </c>
      <c r="E895" s="2" t="s">
        <v>3004</v>
      </c>
      <c r="F895" s="2" t="s">
        <v>43</v>
      </c>
      <c r="G895" s="2" t="s">
        <v>44</v>
      </c>
      <c r="H895" s="2" t="s">
        <v>3005</v>
      </c>
      <c r="I895" s="2" t="s">
        <v>73</v>
      </c>
      <c r="J895" s="2" t="s">
        <v>74</v>
      </c>
      <c r="K895" s="2" t="s">
        <v>38</v>
      </c>
      <c r="L895" s="2" t="s">
        <v>38</v>
      </c>
      <c r="M895" s="2" t="s">
        <v>38</v>
      </c>
      <c r="N895" s="2" t="s">
        <v>38</v>
      </c>
      <c r="O895" s="2" t="s">
        <v>38</v>
      </c>
      <c r="P895" s="2" t="s">
        <v>38</v>
      </c>
      <c r="Q895" s="2" t="s">
        <v>38</v>
      </c>
      <c r="R895" s="2" t="s">
        <v>38</v>
      </c>
      <c r="S895" s="2" t="s">
        <v>38</v>
      </c>
      <c r="T895" s="2" t="s">
        <v>38</v>
      </c>
      <c r="U895" s="2" t="s">
        <v>38</v>
      </c>
      <c r="V895" s="2" t="s">
        <v>38</v>
      </c>
      <c r="W895" s="2" t="s">
        <v>38</v>
      </c>
      <c r="X895" s="2" t="s">
        <v>38</v>
      </c>
      <c r="Y895" s="2" t="s">
        <v>38</v>
      </c>
      <c r="Z895" s="2" t="s">
        <v>38</v>
      </c>
      <c r="AA895" s="2" t="s">
        <v>38</v>
      </c>
      <c r="AB895" s="2" t="s">
        <v>38</v>
      </c>
      <c r="AC895" s="2" t="s">
        <v>38</v>
      </c>
      <c r="AD895" s="2" t="s">
        <v>38</v>
      </c>
      <c r="AE895" s="2" t="s">
        <v>40</v>
      </c>
    </row>
    <row r="896" spans="1:31" ht="409.5">
      <c r="A896" s="2">
        <v>2750877</v>
      </c>
      <c r="B896" s="2">
        <f>HYPERLINK("https://platform.v2.vetology.net/cases/2750877/screening-report/1?type=pdf&amp;v=v6&amp;scorecard=1&amp;secret_key=BX%25IJ%24%2F65ieZ%29f6", 2750877)</f>
        <v>2750877</v>
      </c>
      <c r="C896" s="2">
        <f>HYPERLINK("https://platform.v2.vetology.net/report/v/final/"&amp;2750877, 2750877)</f>
        <v>2750877</v>
      </c>
      <c r="D896" s="2" t="s">
        <v>3006</v>
      </c>
      <c r="E896" s="2" t="s">
        <v>3007</v>
      </c>
      <c r="F896" s="2" t="s">
        <v>3008</v>
      </c>
      <c r="G896" s="2" t="s">
        <v>170</v>
      </c>
      <c r="H896" s="2" t="s">
        <v>2424</v>
      </c>
      <c r="I896" s="2" t="s">
        <v>36</v>
      </c>
      <c r="J896" s="2" t="s">
        <v>37</v>
      </c>
      <c r="K896" s="2" t="s">
        <v>39</v>
      </c>
      <c r="L896" s="2" t="s">
        <v>39</v>
      </c>
      <c r="M896" s="2" t="s">
        <v>38</v>
      </c>
      <c r="N896" s="2" t="s">
        <v>38</v>
      </c>
      <c r="O896" s="2" t="s">
        <v>38</v>
      </c>
      <c r="P896" s="2" t="s">
        <v>39</v>
      </c>
      <c r="Q896" s="2" t="s">
        <v>39</v>
      </c>
      <c r="R896" s="2" t="s">
        <v>38</v>
      </c>
      <c r="S896" s="2" t="s">
        <v>39</v>
      </c>
      <c r="T896" s="2" t="s">
        <v>38</v>
      </c>
      <c r="U896" s="2" t="s">
        <v>39</v>
      </c>
      <c r="V896" s="2" t="s">
        <v>39</v>
      </c>
      <c r="W896" s="2" t="s">
        <v>38</v>
      </c>
      <c r="X896" s="2" t="s">
        <v>39</v>
      </c>
      <c r="Y896" s="2" t="s">
        <v>39</v>
      </c>
      <c r="Z896" s="2" t="s">
        <v>38</v>
      </c>
      <c r="AA896" s="2" t="s">
        <v>38</v>
      </c>
      <c r="AB896" s="2" t="s">
        <v>39</v>
      </c>
      <c r="AC896" s="2" t="s">
        <v>38</v>
      </c>
      <c r="AD896" s="2" t="s">
        <v>39</v>
      </c>
      <c r="AE896" s="2" t="s">
        <v>40</v>
      </c>
    </row>
    <row r="897" spans="1:31" ht="409.5">
      <c r="A897" s="2">
        <v>2750851</v>
      </c>
      <c r="B897" s="2">
        <f>HYPERLINK("https://platform.v2.vetology.net/cases/2750851/screening-report/1?type=pdf&amp;v=v6&amp;scorecard=1&amp;secret_key=BX%25IJ%24%2F65ieZ%29f6", 2750851)</f>
        <v>2750851</v>
      </c>
      <c r="C897" s="2">
        <f>HYPERLINK("https://platform.v2.vetology.net/report/v/final/"&amp;2750851, 2750851)</f>
        <v>2750851</v>
      </c>
      <c r="D897" s="2" t="s">
        <v>3009</v>
      </c>
      <c r="E897" s="2" t="s">
        <v>3010</v>
      </c>
      <c r="F897" s="2" t="s">
        <v>3011</v>
      </c>
      <c r="G897" s="2" t="s">
        <v>170</v>
      </c>
      <c r="H897" s="2" t="s">
        <v>3012</v>
      </c>
      <c r="I897" s="2" t="s">
        <v>73</v>
      </c>
      <c r="J897" s="2" t="s">
        <v>74</v>
      </c>
      <c r="K897" s="2" t="s">
        <v>38</v>
      </c>
      <c r="L897" s="2" t="s">
        <v>38</v>
      </c>
      <c r="M897" s="2" t="s">
        <v>38</v>
      </c>
      <c r="N897" s="2" t="s">
        <v>38</v>
      </c>
      <c r="O897" s="2" t="s">
        <v>38</v>
      </c>
      <c r="P897" s="2" t="s">
        <v>39</v>
      </c>
      <c r="Q897" s="2" t="s">
        <v>38</v>
      </c>
      <c r="R897" s="2" t="s">
        <v>38</v>
      </c>
      <c r="S897" s="2" t="s">
        <v>38</v>
      </c>
      <c r="T897" s="2" t="s">
        <v>38</v>
      </c>
      <c r="U897" s="2" t="s">
        <v>38</v>
      </c>
      <c r="V897" s="2" t="s">
        <v>38</v>
      </c>
      <c r="W897" s="2" t="s">
        <v>38</v>
      </c>
      <c r="X897" s="2" t="s">
        <v>38</v>
      </c>
      <c r="Y897" s="2" t="s">
        <v>39</v>
      </c>
      <c r="Z897" s="2" t="s">
        <v>38</v>
      </c>
      <c r="AA897" s="2" t="s">
        <v>38</v>
      </c>
      <c r="AB897" s="2" t="s">
        <v>39</v>
      </c>
      <c r="AC897" s="2" t="s">
        <v>38</v>
      </c>
      <c r="AD897" s="2" t="s">
        <v>38</v>
      </c>
      <c r="AE897" s="2" t="s">
        <v>39</v>
      </c>
    </row>
    <row r="898" spans="1:31" ht="409.5">
      <c r="A898" s="2">
        <v>2750848</v>
      </c>
      <c r="B898" s="2">
        <f>HYPERLINK("https://platform.v2.vetology.net/cases/2750848/screening-report/1?type=pdf&amp;v=v6&amp;scorecard=1&amp;secret_key=BX%25IJ%24%2F65ieZ%29f6", 2750848)</f>
        <v>2750848</v>
      </c>
      <c r="C898" s="2">
        <f>HYPERLINK("https://platform.v2.vetology.net/report/v/final/"&amp;2750848, 2750848)</f>
        <v>2750848</v>
      </c>
      <c r="D898" s="2" t="s">
        <v>3013</v>
      </c>
      <c r="E898" s="2" t="s">
        <v>3014</v>
      </c>
      <c r="F898" s="2" t="s">
        <v>43</v>
      </c>
      <c r="G898" s="2" t="s">
        <v>44</v>
      </c>
      <c r="H898" s="2" t="s">
        <v>45</v>
      </c>
      <c r="I898" s="2" t="s">
        <v>46</v>
      </c>
      <c r="J898" s="2"/>
      <c r="K898" s="2" t="s">
        <v>39</v>
      </c>
      <c r="L898" s="2" t="s">
        <v>39</v>
      </c>
      <c r="M898" s="2" t="s">
        <v>39</v>
      </c>
      <c r="N898" s="2" t="s">
        <v>39</v>
      </c>
      <c r="O898" s="2" t="s">
        <v>39</v>
      </c>
      <c r="P898" s="2" t="s">
        <v>39</v>
      </c>
      <c r="Q898" s="2" t="s">
        <v>39</v>
      </c>
      <c r="R898" s="2" t="s">
        <v>38</v>
      </c>
      <c r="S898" s="2" t="s">
        <v>39</v>
      </c>
      <c r="T898" s="2" t="s">
        <v>38</v>
      </c>
      <c r="U898" s="2" t="s">
        <v>38</v>
      </c>
      <c r="V898" s="2" t="s">
        <v>38</v>
      </c>
      <c r="W898" s="2" t="s">
        <v>38</v>
      </c>
      <c r="X898" s="2" t="s">
        <v>39</v>
      </c>
      <c r="Y898" s="2" t="s">
        <v>38</v>
      </c>
      <c r="Z898" s="2" t="s">
        <v>39</v>
      </c>
      <c r="AA898" s="2" t="s">
        <v>39</v>
      </c>
      <c r="AB898" s="2" t="s">
        <v>39</v>
      </c>
      <c r="AC898" s="2" t="s">
        <v>38</v>
      </c>
      <c r="AD898" s="2" t="s">
        <v>39</v>
      </c>
      <c r="AE898" s="2" t="s">
        <v>39</v>
      </c>
    </row>
    <row r="899" spans="1:31" ht="409.5">
      <c r="A899" s="2">
        <v>2750840</v>
      </c>
      <c r="B899" s="2">
        <f>HYPERLINK("https://platform.v2.vetology.net/cases/2750840/screening-report/1?type=pdf&amp;v=v6&amp;scorecard=1&amp;secret_key=BX%25IJ%24%2F65ieZ%29f6", 2750840)</f>
        <v>2750840</v>
      </c>
      <c r="C899" s="2">
        <f>HYPERLINK("https://platform.v2.vetology.net/report/v/final/"&amp;2750840, 2750840)</f>
        <v>2750840</v>
      </c>
      <c r="D899" s="2" t="s">
        <v>3015</v>
      </c>
      <c r="E899" s="2" t="s">
        <v>3016</v>
      </c>
      <c r="F899" s="2" t="s">
        <v>3017</v>
      </c>
      <c r="G899" s="2" t="s">
        <v>170</v>
      </c>
      <c r="H899" s="2" t="s">
        <v>69</v>
      </c>
      <c r="I899" s="2" t="s">
        <v>46</v>
      </c>
      <c r="J899" s="2"/>
      <c r="K899" s="2" t="s">
        <v>39</v>
      </c>
      <c r="L899" s="2" t="s">
        <v>39</v>
      </c>
      <c r="M899" s="2" t="s">
        <v>39</v>
      </c>
      <c r="N899" s="2" t="s">
        <v>39</v>
      </c>
      <c r="O899" s="2" t="s">
        <v>39</v>
      </c>
      <c r="P899" s="2" t="s">
        <v>39</v>
      </c>
      <c r="Q899" s="2" t="s">
        <v>39</v>
      </c>
      <c r="R899" s="2" t="s">
        <v>39</v>
      </c>
      <c r="S899" s="2" t="s">
        <v>39</v>
      </c>
      <c r="T899" s="2" t="s">
        <v>39</v>
      </c>
      <c r="U899" s="2" t="s">
        <v>39</v>
      </c>
      <c r="V899" s="2" t="s">
        <v>39</v>
      </c>
      <c r="W899" s="2" t="s">
        <v>39</v>
      </c>
      <c r="X899" s="2" t="s">
        <v>39</v>
      </c>
      <c r="Y899" s="2" t="s">
        <v>39</v>
      </c>
      <c r="Z899" s="2" t="s">
        <v>39</v>
      </c>
      <c r="AA899" s="2" t="s">
        <v>39</v>
      </c>
      <c r="AB899" s="2" t="s">
        <v>39</v>
      </c>
      <c r="AC899" s="2" t="s">
        <v>38</v>
      </c>
      <c r="AD899" s="2" t="s">
        <v>39</v>
      </c>
      <c r="AE899" s="2" t="s">
        <v>39</v>
      </c>
    </row>
    <row r="900" spans="1:31" ht="409.5">
      <c r="A900" s="2">
        <v>2750822</v>
      </c>
      <c r="B900" s="2">
        <f>HYPERLINK("https://platform.v2.vetology.net/cases/2750822/screening-report/1?type=pdf&amp;v=v6&amp;scorecard=1&amp;secret_key=BX%25IJ%24%2F65ieZ%29f6", 2750822)</f>
        <v>2750822</v>
      </c>
      <c r="C900" s="2">
        <f>HYPERLINK("https://platform.v2.vetology.net/report/v/final/"&amp;2750822, 2750822)</f>
        <v>2750822</v>
      </c>
      <c r="D900" s="2" t="s">
        <v>3018</v>
      </c>
      <c r="E900" s="2" t="s">
        <v>3019</v>
      </c>
      <c r="F900" s="2" t="s">
        <v>3020</v>
      </c>
      <c r="G900" s="2" t="s">
        <v>127</v>
      </c>
      <c r="H900" s="2" t="s">
        <v>3021</v>
      </c>
      <c r="I900" s="2" t="s">
        <v>36</v>
      </c>
      <c r="J900" s="2" t="s">
        <v>37</v>
      </c>
      <c r="K900" s="2" t="s">
        <v>38</v>
      </c>
      <c r="L900" s="2" t="s">
        <v>38</v>
      </c>
      <c r="M900" s="2" t="s">
        <v>38</v>
      </c>
      <c r="N900" s="2" t="s">
        <v>38</v>
      </c>
      <c r="O900" s="2" t="s">
        <v>38</v>
      </c>
      <c r="P900" s="2" t="s">
        <v>38</v>
      </c>
      <c r="Q900" s="2" t="s">
        <v>39</v>
      </c>
      <c r="R900" s="2" t="s">
        <v>38</v>
      </c>
      <c r="S900" s="2" t="s">
        <v>38</v>
      </c>
      <c r="T900" s="2" t="s">
        <v>39</v>
      </c>
      <c r="U900" s="2" t="s">
        <v>38</v>
      </c>
      <c r="V900" s="2" t="s">
        <v>38</v>
      </c>
      <c r="W900" s="2" t="s">
        <v>38</v>
      </c>
      <c r="X900" s="2" t="s">
        <v>38</v>
      </c>
      <c r="Y900" s="2" t="s">
        <v>39</v>
      </c>
      <c r="Z900" s="2" t="s">
        <v>38</v>
      </c>
      <c r="AA900" s="2" t="s">
        <v>38</v>
      </c>
      <c r="AB900" s="2" t="s">
        <v>38</v>
      </c>
      <c r="AC900" s="2" t="s">
        <v>38</v>
      </c>
      <c r="AD900" s="2" t="s">
        <v>38</v>
      </c>
      <c r="AE900" s="2"/>
    </row>
    <row r="901" spans="1:31" ht="409.5">
      <c r="A901" s="2">
        <v>2750789</v>
      </c>
      <c r="B901" s="2">
        <f>HYPERLINK("https://platform.v2.vetology.net/cases/2750789/screening-report/1?type=pdf&amp;v=v6&amp;scorecard=1&amp;secret_key=BX%25IJ%24%2F65ieZ%29f6", 2750789)</f>
        <v>2750789</v>
      </c>
      <c r="C901" s="2">
        <f>HYPERLINK("https://platform.v2.vetology.net/report/v/final/"&amp;2750789, 2750789)</f>
        <v>2750789</v>
      </c>
      <c r="D901" s="2" t="s">
        <v>3022</v>
      </c>
      <c r="E901" s="2" t="s">
        <v>3023</v>
      </c>
      <c r="F901" s="2" t="s">
        <v>3024</v>
      </c>
      <c r="G901" s="2" t="s">
        <v>251</v>
      </c>
      <c r="H901" s="2" t="s">
        <v>3025</v>
      </c>
      <c r="I901" s="2" t="s">
        <v>129</v>
      </c>
      <c r="J901" s="2" t="s">
        <v>74</v>
      </c>
      <c r="K901" s="2" t="s">
        <v>38</v>
      </c>
      <c r="L901" s="2" t="s">
        <v>39</v>
      </c>
      <c r="M901" s="2" t="s">
        <v>38</v>
      </c>
      <c r="N901" s="2" t="s">
        <v>39</v>
      </c>
      <c r="O901" s="2" t="s">
        <v>39</v>
      </c>
      <c r="P901" s="2" t="s">
        <v>39</v>
      </c>
      <c r="Q901" s="2" t="s">
        <v>38</v>
      </c>
      <c r="R901" s="2" t="s">
        <v>39</v>
      </c>
      <c r="S901" s="2" t="s">
        <v>39</v>
      </c>
      <c r="T901" s="2" t="s">
        <v>38</v>
      </c>
      <c r="U901" s="2" t="s">
        <v>39</v>
      </c>
      <c r="V901" s="2" t="s">
        <v>39</v>
      </c>
      <c r="W901" s="2" t="s">
        <v>39</v>
      </c>
      <c r="X901" s="2" t="s">
        <v>39</v>
      </c>
      <c r="Y901" s="2" t="s">
        <v>39</v>
      </c>
      <c r="Z901" s="2" t="s">
        <v>38</v>
      </c>
      <c r="AA901" s="2" t="s">
        <v>38</v>
      </c>
      <c r="AB901" s="2" t="s">
        <v>38</v>
      </c>
      <c r="AC901" s="2" t="s">
        <v>38</v>
      </c>
      <c r="AD901" s="2" t="s">
        <v>39</v>
      </c>
      <c r="AE901" s="2" t="s">
        <v>40</v>
      </c>
    </row>
    <row r="902" spans="1:31" ht="409.5">
      <c r="A902" s="2">
        <v>2750744</v>
      </c>
      <c r="B902" s="2">
        <f>HYPERLINK("https://platform.v2.vetology.net/cases/2750744/screening-report/1?type=pdf&amp;v=v6&amp;scorecard=1&amp;secret_key=BX%25IJ%24%2F65ieZ%29f6", 2750744)</f>
        <v>2750744</v>
      </c>
      <c r="C902" s="2">
        <f>HYPERLINK("https://platform.v2.vetology.net/report/v/final/"&amp;2750744, 2750744)</f>
        <v>2750744</v>
      </c>
      <c r="D902" s="2" t="s">
        <v>3026</v>
      </c>
      <c r="E902" s="2" t="s">
        <v>3027</v>
      </c>
      <c r="F902" s="2" t="s">
        <v>3028</v>
      </c>
      <c r="G902" s="2" t="s">
        <v>127</v>
      </c>
      <c r="H902" s="2" t="s">
        <v>3029</v>
      </c>
      <c r="I902" s="2" t="s">
        <v>73</v>
      </c>
      <c r="J902" s="2" t="s">
        <v>74</v>
      </c>
      <c r="K902" s="2" t="s">
        <v>38</v>
      </c>
      <c r="L902" s="2" t="s">
        <v>39</v>
      </c>
      <c r="M902" s="2" t="s">
        <v>38</v>
      </c>
      <c r="N902" s="2" t="s">
        <v>38</v>
      </c>
      <c r="O902" s="2" t="s">
        <v>38</v>
      </c>
      <c r="P902" s="2" t="s">
        <v>38</v>
      </c>
      <c r="Q902" s="2" t="s">
        <v>38</v>
      </c>
      <c r="R902" s="2" t="s">
        <v>38</v>
      </c>
      <c r="S902" s="2" t="s">
        <v>38</v>
      </c>
      <c r="T902" s="2" t="s">
        <v>39</v>
      </c>
      <c r="U902" s="2" t="s">
        <v>39</v>
      </c>
      <c r="V902" s="2" t="s">
        <v>38</v>
      </c>
      <c r="W902" s="2" t="s">
        <v>38</v>
      </c>
      <c r="X902" s="2" t="s">
        <v>38</v>
      </c>
      <c r="Y902" s="2" t="s">
        <v>39</v>
      </c>
      <c r="Z902" s="2" t="s">
        <v>38</v>
      </c>
      <c r="AA902" s="2" t="s">
        <v>38</v>
      </c>
      <c r="AB902" s="2" t="s">
        <v>38</v>
      </c>
      <c r="AC902" s="2" t="s">
        <v>38</v>
      </c>
      <c r="AD902" s="2" t="s">
        <v>38</v>
      </c>
      <c r="AE902" s="2" t="s">
        <v>40</v>
      </c>
    </row>
    <row r="903" spans="1:31" ht="409.5">
      <c r="A903" s="2">
        <v>2750730</v>
      </c>
      <c r="B903" s="2">
        <f>HYPERLINK("https://platform.v2.vetology.net/cases/2750730/screening-report/1?type=pdf&amp;v=v6&amp;scorecard=1&amp;secret_key=BX%25IJ%24%2F65ieZ%29f6", 2750730)</f>
        <v>2750730</v>
      </c>
      <c r="C903" s="2">
        <f>HYPERLINK("https://platform.v2.vetology.net/report/v/final/"&amp;2750730, 2750730)</f>
        <v>2750730</v>
      </c>
      <c r="D903" s="2" t="s">
        <v>3030</v>
      </c>
      <c r="E903" s="2" t="s">
        <v>1073</v>
      </c>
      <c r="F903" s="2" t="s">
        <v>787</v>
      </c>
      <c r="G903" s="2" t="s">
        <v>100</v>
      </c>
      <c r="H903" s="2" t="s">
        <v>3031</v>
      </c>
      <c r="I903" s="2" t="s">
        <v>129</v>
      </c>
      <c r="J903" s="2" t="s">
        <v>74</v>
      </c>
      <c r="K903" s="2" t="s">
        <v>38</v>
      </c>
      <c r="L903" s="2" t="s">
        <v>38</v>
      </c>
      <c r="M903" s="2" t="s">
        <v>39</v>
      </c>
      <c r="N903" s="2" t="s">
        <v>38</v>
      </c>
      <c r="O903" s="2" t="s">
        <v>38</v>
      </c>
      <c r="P903" s="2" t="s">
        <v>38</v>
      </c>
      <c r="Q903" s="2" t="s">
        <v>38</v>
      </c>
      <c r="R903" s="2" t="s">
        <v>39</v>
      </c>
      <c r="S903" s="2" t="s">
        <v>39</v>
      </c>
      <c r="T903" s="2" t="s">
        <v>39</v>
      </c>
      <c r="U903" s="2" t="s">
        <v>39</v>
      </c>
      <c r="V903" s="2" t="s">
        <v>38</v>
      </c>
      <c r="W903" s="2" t="s">
        <v>39</v>
      </c>
      <c r="X903" s="2" t="s">
        <v>38</v>
      </c>
      <c r="Y903" s="2" t="s">
        <v>38</v>
      </c>
      <c r="Z903" s="2" t="s">
        <v>39</v>
      </c>
      <c r="AA903" s="2" t="s">
        <v>39</v>
      </c>
      <c r="AB903" s="2" t="s">
        <v>38</v>
      </c>
      <c r="AC903" s="2" t="s">
        <v>38</v>
      </c>
      <c r="AD903" s="2" t="s">
        <v>38</v>
      </c>
      <c r="AE903" s="2" t="s">
        <v>40</v>
      </c>
    </row>
    <row r="904" spans="1:31" ht="409.5">
      <c r="A904" s="2">
        <v>2750715</v>
      </c>
      <c r="B904" s="2">
        <f>HYPERLINK("https://platform.v2.vetology.net/cases/2750715/screening-report/1?type=pdf&amp;v=v6&amp;scorecard=1&amp;secret_key=BX%25IJ%24%2F65ieZ%29f6", 2750715)</f>
        <v>2750715</v>
      </c>
      <c r="C904" s="2">
        <f>HYPERLINK("https://platform.v2.vetology.net/report/v/final/"&amp;2750715, 2750715)</f>
        <v>2750715</v>
      </c>
      <c r="D904" s="2" t="s">
        <v>3032</v>
      </c>
      <c r="E904" s="2" t="s">
        <v>3033</v>
      </c>
      <c r="F904" s="2" t="s">
        <v>3034</v>
      </c>
      <c r="G904" s="2" t="s">
        <v>127</v>
      </c>
      <c r="H904" s="2" t="s">
        <v>3035</v>
      </c>
      <c r="I904" s="2" t="s">
        <v>36</v>
      </c>
      <c r="J904" s="2" t="s">
        <v>37</v>
      </c>
      <c r="K904" s="2" t="s">
        <v>39</v>
      </c>
      <c r="L904" s="2" t="s">
        <v>39</v>
      </c>
      <c r="M904" s="2" t="s">
        <v>38</v>
      </c>
      <c r="N904" s="2" t="s">
        <v>39</v>
      </c>
      <c r="O904" s="2" t="s">
        <v>38</v>
      </c>
      <c r="P904" s="2" t="s">
        <v>39</v>
      </c>
      <c r="Q904" s="2" t="s">
        <v>39</v>
      </c>
      <c r="R904" s="2" t="s">
        <v>38</v>
      </c>
      <c r="S904" s="2" t="s">
        <v>39</v>
      </c>
      <c r="T904" s="2" t="s">
        <v>38</v>
      </c>
      <c r="U904" s="2" t="s">
        <v>39</v>
      </c>
      <c r="V904" s="2" t="s">
        <v>39</v>
      </c>
      <c r="W904" s="2" t="s">
        <v>38</v>
      </c>
      <c r="X904" s="2" t="s">
        <v>39</v>
      </c>
      <c r="Y904" s="2" t="s">
        <v>39</v>
      </c>
      <c r="Z904" s="2" t="s">
        <v>38</v>
      </c>
      <c r="AA904" s="2" t="s">
        <v>39</v>
      </c>
      <c r="AB904" s="2" t="s">
        <v>39</v>
      </c>
      <c r="AC904" s="2" t="s">
        <v>38</v>
      </c>
      <c r="AD904" s="2" t="s">
        <v>38</v>
      </c>
      <c r="AE904" s="2" t="s">
        <v>39</v>
      </c>
    </row>
    <row r="905" spans="1:31" ht="409.5">
      <c r="A905" s="2">
        <v>2750699</v>
      </c>
      <c r="B905" s="2">
        <f>HYPERLINK("https://platform.v2.vetology.net/cases/2750699/screening-report/1?type=pdf&amp;v=v6&amp;scorecard=1&amp;secret_key=BX%25IJ%24%2F65ieZ%29f6", 2750699)</f>
        <v>2750699</v>
      </c>
      <c r="C905" s="2">
        <f>HYPERLINK("https://platform.v2.vetology.net/report/v/final/"&amp;2750699, 2750699)</f>
        <v>2750699</v>
      </c>
      <c r="D905" s="2" t="s">
        <v>3036</v>
      </c>
      <c r="E905" s="2" t="s">
        <v>3037</v>
      </c>
      <c r="F905" s="2" t="s">
        <v>43</v>
      </c>
      <c r="G905" s="2" t="s">
        <v>44</v>
      </c>
      <c r="H905" s="2" t="s">
        <v>3038</v>
      </c>
      <c r="I905" s="2" t="s">
        <v>36</v>
      </c>
      <c r="J905" s="2" t="s">
        <v>37</v>
      </c>
      <c r="K905" s="2" t="s">
        <v>39</v>
      </c>
      <c r="L905" s="2" t="s">
        <v>38</v>
      </c>
      <c r="M905" s="2" t="s">
        <v>39</v>
      </c>
      <c r="N905" s="2" t="s">
        <v>38</v>
      </c>
      <c r="O905" s="2" t="s">
        <v>38</v>
      </c>
      <c r="P905" s="2" t="s">
        <v>39</v>
      </c>
      <c r="Q905" s="2" t="s">
        <v>39</v>
      </c>
      <c r="R905" s="2" t="s">
        <v>38</v>
      </c>
      <c r="S905" s="2" t="s">
        <v>38</v>
      </c>
      <c r="T905" s="2" t="s">
        <v>39</v>
      </c>
      <c r="U905" s="2" t="s">
        <v>39</v>
      </c>
      <c r="V905" s="2" t="s">
        <v>39</v>
      </c>
      <c r="W905" s="2" t="s">
        <v>38</v>
      </c>
      <c r="X905" s="2" t="s">
        <v>39</v>
      </c>
      <c r="Y905" s="2" t="s">
        <v>39</v>
      </c>
      <c r="Z905" s="2" t="s">
        <v>38</v>
      </c>
      <c r="AA905" s="2" t="s">
        <v>38</v>
      </c>
      <c r="AB905" s="2" t="s">
        <v>39</v>
      </c>
      <c r="AC905" s="2" t="s">
        <v>38</v>
      </c>
      <c r="AD905" s="2" t="s">
        <v>38</v>
      </c>
      <c r="AE905" s="2" t="s">
        <v>39</v>
      </c>
    </row>
    <row r="906" spans="1:31" ht="409.5">
      <c r="A906" s="2">
        <v>2750690</v>
      </c>
      <c r="B906" s="2">
        <f>HYPERLINK("https://platform.v2.vetology.net/cases/2750690/screening-report/1?type=pdf&amp;v=v6&amp;scorecard=1&amp;secret_key=BX%25IJ%24%2F65ieZ%29f6", 2750690)</f>
        <v>2750690</v>
      </c>
      <c r="C906" s="2">
        <f>HYPERLINK("https://platform.v2.vetology.net/report/v/final/"&amp;2750690, 2750690)</f>
        <v>2750690</v>
      </c>
      <c r="D906" s="2" t="s">
        <v>3039</v>
      </c>
      <c r="E906" s="2" t="s">
        <v>3040</v>
      </c>
      <c r="F906" s="2" t="s">
        <v>43</v>
      </c>
      <c r="G906" s="2" t="s">
        <v>44</v>
      </c>
      <c r="H906" s="2" t="s">
        <v>158</v>
      </c>
      <c r="I906" s="2" t="s">
        <v>59</v>
      </c>
      <c r="J906" s="2" t="s">
        <v>37</v>
      </c>
      <c r="K906" s="2" t="s">
        <v>38</v>
      </c>
      <c r="L906" s="2" t="s">
        <v>39</v>
      </c>
      <c r="M906" s="2" t="s">
        <v>39</v>
      </c>
      <c r="N906" s="2" t="s">
        <v>39</v>
      </c>
      <c r="O906" s="2" t="s">
        <v>39</v>
      </c>
      <c r="P906" s="2" t="s">
        <v>39</v>
      </c>
      <c r="Q906" s="2" t="s">
        <v>39</v>
      </c>
      <c r="R906" s="2" t="s">
        <v>39</v>
      </c>
      <c r="S906" s="2" t="s">
        <v>39</v>
      </c>
      <c r="T906" s="2" t="s">
        <v>39</v>
      </c>
      <c r="U906" s="2" t="s">
        <v>38</v>
      </c>
      <c r="V906" s="2" t="s">
        <v>38</v>
      </c>
      <c r="W906" s="2" t="s">
        <v>39</v>
      </c>
      <c r="X906" s="2" t="s">
        <v>39</v>
      </c>
      <c r="Y906" s="2" t="s">
        <v>39</v>
      </c>
      <c r="Z906" s="2" t="s">
        <v>39</v>
      </c>
      <c r="AA906" s="2" t="s">
        <v>39</v>
      </c>
      <c r="AB906" s="2" t="s">
        <v>39</v>
      </c>
      <c r="AC906" s="2" t="s">
        <v>39</v>
      </c>
      <c r="AD906" s="2" t="s">
        <v>39</v>
      </c>
      <c r="AE906" s="2" t="s">
        <v>39</v>
      </c>
    </row>
    <row r="907" spans="1:31" ht="409.5">
      <c r="A907" s="2">
        <v>2750664</v>
      </c>
      <c r="B907" s="2">
        <f>HYPERLINK("https://platform.v2.vetology.net/cases/2750664/screening-report/1?type=pdf&amp;v=v6&amp;scorecard=1&amp;secret_key=BX%25IJ%24%2F65ieZ%29f6", 2750664)</f>
        <v>2750664</v>
      </c>
      <c r="C907" s="2">
        <f>HYPERLINK("https://platform.v2.vetology.net/report/v/final/"&amp;2750664, 2750664)</f>
        <v>2750664</v>
      </c>
      <c r="D907" s="2" t="s">
        <v>3041</v>
      </c>
      <c r="E907" s="2" t="s">
        <v>3042</v>
      </c>
      <c r="F907" s="2" t="s">
        <v>3043</v>
      </c>
      <c r="G907" s="2" t="s">
        <v>556</v>
      </c>
      <c r="H907" s="2" t="s">
        <v>1665</v>
      </c>
      <c r="I907" s="2" t="s">
        <v>36</v>
      </c>
      <c r="J907" s="2" t="s">
        <v>37</v>
      </c>
      <c r="K907" s="2" t="s">
        <v>38</v>
      </c>
      <c r="L907" s="2" t="s">
        <v>39</v>
      </c>
      <c r="M907" s="2" t="s">
        <v>39</v>
      </c>
      <c r="N907" s="2" t="s">
        <v>38</v>
      </c>
      <c r="O907" s="2" t="s">
        <v>38</v>
      </c>
      <c r="P907" s="2" t="s">
        <v>39</v>
      </c>
      <c r="Q907" s="2" t="s">
        <v>39</v>
      </c>
      <c r="R907" s="2" t="s">
        <v>38</v>
      </c>
      <c r="S907" s="2" t="s">
        <v>39</v>
      </c>
      <c r="T907" s="2" t="s">
        <v>39</v>
      </c>
      <c r="U907" s="2" t="s">
        <v>38</v>
      </c>
      <c r="V907" s="2" t="s">
        <v>38</v>
      </c>
      <c r="W907" s="2" t="s">
        <v>38</v>
      </c>
      <c r="X907" s="2" t="s">
        <v>39</v>
      </c>
      <c r="Y907" s="2" t="s">
        <v>39</v>
      </c>
      <c r="Z907" s="2" t="s">
        <v>38</v>
      </c>
      <c r="AA907" s="2" t="s">
        <v>39</v>
      </c>
      <c r="AB907" s="2" t="s">
        <v>39</v>
      </c>
      <c r="AC907" s="2" t="s">
        <v>38</v>
      </c>
      <c r="AD907" s="2" t="s">
        <v>38</v>
      </c>
      <c r="AE907" s="2" t="s">
        <v>40</v>
      </c>
    </row>
    <row r="908" spans="1:31" ht="409.5">
      <c r="A908" s="2">
        <v>2750638</v>
      </c>
      <c r="B908" s="2">
        <f>HYPERLINK("https://platform.v2.vetology.net/cases/2750638/screening-report/1?type=pdf&amp;v=v6&amp;scorecard=1&amp;secret_key=BX%25IJ%24%2F65ieZ%29f6", 2750638)</f>
        <v>2750638</v>
      </c>
      <c r="C908" s="2">
        <f>HYPERLINK("https://platform.v2.vetology.net/report/v/final/"&amp;2750638, 2750638)</f>
        <v>2750638</v>
      </c>
      <c r="D908" s="2" t="s">
        <v>3044</v>
      </c>
      <c r="E908" s="2" t="s">
        <v>3045</v>
      </c>
      <c r="F908" s="2" t="s">
        <v>3046</v>
      </c>
      <c r="G908" s="2" t="s">
        <v>53</v>
      </c>
      <c r="H908" s="2" t="s">
        <v>3047</v>
      </c>
      <c r="I908" s="2" t="s">
        <v>813</v>
      </c>
      <c r="J908" s="2" t="s">
        <v>37</v>
      </c>
      <c r="K908" s="2" t="s">
        <v>39</v>
      </c>
      <c r="L908" s="2" t="s">
        <v>39</v>
      </c>
      <c r="M908" s="2" t="s">
        <v>39</v>
      </c>
      <c r="N908" s="2" t="s">
        <v>39</v>
      </c>
      <c r="O908" s="2" t="s">
        <v>39</v>
      </c>
      <c r="P908" s="2" t="s">
        <v>39</v>
      </c>
      <c r="Q908" s="2" t="s">
        <v>39</v>
      </c>
      <c r="R908" s="2" t="s">
        <v>38</v>
      </c>
      <c r="S908" s="2" t="s">
        <v>38</v>
      </c>
      <c r="T908" s="2" t="s">
        <v>39</v>
      </c>
      <c r="U908" s="2" t="s">
        <v>39</v>
      </c>
      <c r="V908" s="2" t="s">
        <v>39</v>
      </c>
      <c r="W908" s="2" t="s">
        <v>38</v>
      </c>
      <c r="X908" s="2" t="s">
        <v>39</v>
      </c>
      <c r="Y908" s="2" t="s">
        <v>39</v>
      </c>
      <c r="Z908" s="2" t="s">
        <v>38</v>
      </c>
      <c r="AA908" s="2" t="s">
        <v>38</v>
      </c>
      <c r="AB908" s="2" t="s">
        <v>39</v>
      </c>
      <c r="AC908" s="2" t="s">
        <v>38</v>
      </c>
      <c r="AD908" s="2" t="s">
        <v>38</v>
      </c>
      <c r="AE908" s="2" t="s">
        <v>39</v>
      </c>
    </row>
    <row r="909" spans="1:31" ht="409.5">
      <c r="A909" s="2">
        <v>2750603</v>
      </c>
      <c r="B909" s="2">
        <f>HYPERLINK("https://platform.v2.vetology.net/cases/2750603/screening-report/1?type=pdf&amp;v=v6&amp;scorecard=1&amp;secret_key=BX%25IJ%24%2F65ieZ%29f6", 2750603)</f>
        <v>2750603</v>
      </c>
      <c r="C909" s="2">
        <f>HYPERLINK("https://platform.v2.vetology.net/report/v/final/"&amp;2750603, 2750603)</f>
        <v>2750603</v>
      </c>
      <c r="D909" s="2" t="s">
        <v>1044</v>
      </c>
      <c r="E909" s="2" t="s">
        <v>99</v>
      </c>
      <c r="F909" s="2" t="s">
        <v>3048</v>
      </c>
      <c r="G909" s="2" t="s">
        <v>100</v>
      </c>
      <c r="H909" s="2" t="s">
        <v>3049</v>
      </c>
      <c r="I909" s="2" t="s">
        <v>129</v>
      </c>
      <c r="J909" s="2" t="s">
        <v>74</v>
      </c>
      <c r="K909" s="2" t="s">
        <v>39</v>
      </c>
      <c r="L909" s="2" t="s">
        <v>38</v>
      </c>
      <c r="M909" s="2" t="s">
        <v>39</v>
      </c>
      <c r="N909" s="2" t="s">
        <v>39</v>
      </c>
      <c r="O909" s="2" t="s">
        <v>38</v>
      </c>
      <c r="P909" s="2" t="s">
        <v>38</v>
      </c>
      <c r="Q909" s="2" t="s">
        <v>38</v>
      </c>
      <c r="R909" s="2" t="s">
        <v>39</v>
      </c>
      <c r="S909" s="2" t="s">
        <v>39</v>
      </c>
      <c r="T909" s="2" t="s">
        <v>38</v>
      </c>
      <c r="U909" s="2" t="s">
        <v>39</v>
      </c>
      <c r="V909" s="2" t="s">
        <v>38</v>
      </c>
      <c r="W909" s="2" t="s">
        <v>38</v>
      </c>
      <c r="X909" s="2" t="s">
        <v>38</v>
      </c>
      <c r="Y909" s="2" t="s">
        <v>39</v>
      </c>
      <c r="Z909" s="2" t="s">
        <v>38</v>
      </c>
      <c r="AA909" s="2" t="s">
        <v>39</v>
      </c>
      <c r="AB909" s="2" t="s">
        <v>38</v>
      </c>
      <c r="AC909" s="2" t="s">
        <v>38</v>
      </c>
      <c r="AD909" s="2" t="s">
        <v>38</v>
      </c>
      <c r="AE909" s="2"/>
    </row>
    <row r="910" spans="1:31" ht="409.5">
      <c r="A910" s="2">
        <v>2750602</v>
      </c>
      <c r="B910" s="2">
        <f>HYPERLINK("https://platform.v2.vetology.net/cases/2750602/screening-report/1?type=pdf&amp;v=v6&amp;scorecard=1&amp;secret_key=BX%25IJ%24%2F65ieZ%29f6", 2750602)</f>
        <v>2750602</v>
      </c>
      <c r="C910" s="2">
        <f>HYPERLINK("https://platform.v2.vetology.net/report/v/final/"&amp;2750602, 2750602)</f>
        <v>2750602</v>
      </c>
      <c r="D910" s="2" t="s">
        <v>3050</v>
      </c>
      <c r="E910" s="2" t="s">
        <v>3051</v>
      </c>
      <c r="F910" s="2" t="s">
        <v>3052</v>
      </c>
      <c r="G910" s="2" t="s">
        <v>415</v>
      </c>
      <c r="H910" s="2" t="s">
        <v>537</v>
      </c>
      <c r="I910" s="2" t="s">
        <v>59</v>
      </c>
      <c r="J910" s="2" t="s">
        <v>37</v>
      </c>
      <c r="K910" s="2" t="s">
        <v>38</v>
      </c>
      <c r="L910" s="2" t="s">
        <v>39</v>
      </c>
      <c r="M910" s="2" t="s">
        <v>39</v>
      </c>
      <c r="N910" s="2" t="s">
        <v>39</v>
      </c>
      <c r="O910" s="2" t="s">
        <v>39</v>
      </c>
      <c r="P910" s="2" t="s">
        <v>39</v>
      </c>
      <c r="Q910" s="2" t="s">
        <v>39</v>
      </c>
      <c r="R910" s="2" t="s">
        <v>39</v>
      </c>
      <c r="S910" s="2" t="s">
        <v>39</v>
      </c>
      <c r="T910" s="2" t="s">
        <v>38</v>
      </c>
      <c r="U910" s="2" t="s">
        <v>38</v>
      </c>
      <c r="V910" s="2" t="s">
        <v>38</v>
      </c>
      <c r="W910" s="2" t="s">
        <v>39</v>
      </c>
      <c r="X910" s="2" t="s">
        <v>39</v>
      </c>
      <c r="Y910" s="2" t="s">
        <v>39</v>
      </c>
      <c r="Z910" s="2" t="s">
        <v>39</v>
      </c>
      <c r="AA910" s="2" t="s">
        <v>39</v>
      </c>
      <c r="AB910" s="2" t="s">
        <v>39</v>
      </c>
      <c r="AC910" s="2" t="s">
        <v>39</v>
      </c>
      <c r="AD910" s="2" t="s">
        <v>39</v>
      </c>
      <c r="AE910" s="2" t="s">
        <v>40</v>
      </c>
    </row>
    <row r="911" spans="1:31" ht="409.5">
      <c r="A911" s="2">
        <v>2750601</v>
      </c>
      <c r="B911" s="2">
        <f>HYPERLINK("https://platform.v2.vetology.net/cases/2750601/screening-report/1?type=pdf&amp;v=v6&amp;scorecard=1&amp;secret_key=BX%25IJ%24%2F65ieZ%29f6", 2750601)</f>
        <v>2750601</v>
      </c>
      <c r="C911" s="2">
        <f>HYPERLINK("https://platform.v2.vetology.net/report/v/final/"&amp;2750601, 2750601)</f>
        <v>2750601</v>
      </c>
      <c r="D911" s="2" t="s">
        <v>3053</v>
      </c>
      <c r="E911" s="2" t="s">
        <v>3054</v>
      </c>
      <c r="F911" s="2" t="s">
        <v>3055</v>
      </c>
      <c r="G911" s="2" t="s">
        <v>170</v>
      </c>
      <c r="H911" s="2" t="s">
        <v>2612</v>
      </c>
      <c r="I911" s="2" t="s">
        <v>36</v>
      </c>
      <c r="J911" s="2" t="s">
        <v>37</v>
      </c>
      <c r="K911" s="2" t="s">
        <v>38</v>
      </c>
      <c r="L911" s="2" t="s">
        <v>38</v>
      </c>
      <c r="M911" s="2" t="s">
        <v>39</v>
      </c>
      <c r="N911" s="2" t="s">
        <v>38</v>
      </c>
      <c r="O911" s="2" t="s">
        <v>38</v>
      </c>
      <c r="P911" s="2" t="s">
        <v>39</v>
      </c>
      <c r="Q911" s="2" t="s">
        <v>39</v>
      </c>
      <c r="R911" s="2" t="s">
        <v>38</v>
      </c>
      <c r="S911" s="2" t="s">
        <v>38</v>
      </c>
      <c r="T911" s="2" t="s">
        <v>39</v>
      </c>
      <c r="U911" s="2" t="s">
        <v>38</v>
      </c>
      <c r="V911" s="2" t="s">
        <v>38</v>
      </c>
      <c r="W911" s="2" t="s">
        <v>38</v>
      </c>
      <c r="X911" s="2" t="s">
        <v>39</v>
      </c>
      <c r="Y911" s="2" t="s">
        <v>39</v>
      </c>
      <c r="Z911" s="2" t="s">
        <v>39</v>
      </c>
      <c r="AA911" s="2" t="s">
        <v>39</v>
      </c>
      <c r="AB911" s="2" t="s">
        <v>39</v>
      </c>
      <c r="AC911" s="2" t="s">
        <v>38</v>
      </c>
      <c r="AD911" s="2" t="s">
        <v>38</v>
      </c>
      <c r="AE911" s="2" t="s">
        <v>40</v>
      </c>
    </row>
    <row r="912" spans="1:31" ht="409.5">
      <c r="A912" s="2">
        <v>2750591</v>
      </c>
      <c r="B912" s="2">
        <f>HYPERLINK("https://platform.v2.vetology.net/cases/2750591/screening-report/1?type=pdf&amp;v=v6&amp;scorecard=1&amp;secret_key=BX%25IJ%24%2F65ieZ%29f6", 2750591)</f>
        <v>2750591</v>
      </c>
      <c r="C912" s="2">
        <f>HYPERLINK("https://platform.v2.vetology.net/report/v/final/"&amp;2750591, 2750591)</f>
        <v>2750591</v>
      </c>
      <c r="D912" s="2" t="s">
        <v>3056</v>
      </c>
      <c r="E912" s="2" t="s">
        <v>3057</v>
      </c>
      <c r="F912" s="2" t="s">
        <v>3058</v>
      </c>
      <c r="G912" s="2" t="s">
        <v>127</v>
      </c>
      <c r="H912" s="2" t="s">
        <v>66</v>
      </c>
      <c r="I912" s="2" t="s">
        <v>36</v>
      </c>
      <c r="J912" s="2" t="s">
        <v>37</v>
      </c>
      <c r="K912" s="2" t="s">
        <v>39</v>
      </c>
      <c r="L912" s="2" t="s">
        <v>39</v>
      </c>
      <c r="M912" s="2" t="s">
        <v>38</v>
      </c>
      <c r="N912" s="2" t="s">
        <v>39</v>
      </c>
      <c r="O912" s="2" t="s">
        <v>39</v>
      </c>
      <c r="P912" s="2" t="s">
        <v>39</v>
      </c>
      <c r="Q912" s="2" t="s">
        <v>39</v>
      </c>
      <c r="R912" s="2" t="s">
        <v>39</v>
      </c>
      <c r="S912" s="2" t="s">
        <v>39</v>
      </c>
      <c r="T912" s="2" t="s">
        <v>39</v>
      </c>
      <c r="U912" s="2" t="s">
        <v>39</v>
      </c>
      <c r="V912" s="2" t="s">
        <v>39</v>
      </c>
      <c r="W912" s="2" t="s">
        <v>38</v>
      </c>
      <c r="X912" s="2" t="s">
        <v>39</v>
      </c>
      <c r="Y912" s="2" t="s">
        <v>39</v>
      </c>
      <c r="Z912" s="2" t="s">
        <v>38</v>
      </c>
      <c r="AA912" s="2" t="s">
        <v>39</v>
      </c>
      <c r="AB912" s="2" t="s">
        <v>39</v>
      </c>
      <c r="AC912" s="2" t="s">
        <v>38</v>
      </c>
      <c r="AD912" s="2" t="s">
        <v>38</v>
      </c>
      <c r="AE912" s="2" t="s">
        <v>39</v>
      </c>
    </row>
    <row r="913" spans="1:31" ht="409.5">
      <c r="A913" s="2">
        <v>2750590</v>
      </c>
      <c r="B913" s="2">
        <f>HYPERLINK("https://platform.v2.vetology.net/cases/2750590/screening-report/1?type=pdf&amp;v=v6&amp;scorecard=1&amp;secret_key=BX%25IJ%24%2F65ieZ%29f6", 2750590)</f>
        <v>2750590</v>
      </c>
      <c r="C913" s="2">
        <f>HYPERLINK("https://platform.v2.vetology.net/report/v/final/"&amp;2750590, 2750590)</f>
        <v>2750590</v>
      </c>
      <c r="D913" s="2" t="s">
        <v>3059</v>
      </c>
      <c r="E913" s="2" t="s">
        <v>3060</v>
      </c>
      <c r="F913" s="2" t="s">
        <v>43</v>
      </c>
      <c r="G913" s="2" t="s">
        <v>100</v>
      </c>
      <c r="H913" s="2" t="s">
        <v>3061</v>
      </c>
      <c r="I913" s="2" t="s">
        <v>36</v>
      </c>
      <c r="J913" s="2" t="s">
        <v>37</v>
      </c>
      <c r="K913" s="2" t="s">
        <v>38</v>
      </c>
      <c r="L913" s="2" t="s">
        <v>38</v>
      </c>
      <c r="M913" s="2" t="s">
        <v>38</v>
      </c>
      <c r="N913" s="2" t="s">
        <v>38</v>
      </c>
      <c r="O913" s="2" t="s">
        <v>38</v>
      </c>
      <c r="P913" s="2" t="s">
        <v>39</v>
      </c>
      <c r="Q913" s="2" t="s">
        <v>39</v>
      </c>
      <c r="R913" s="2" t="s">
        <v>39</v>
      </c>
      <c r="S913" s="2" t="s">
        <v>39</v>
      </c>
      <c r="T913" s="2" t="s">
        <v>38</v>
      </c>
      <c r="U913" s="2" t="s">
        <v>39</v>
      </c>
      <c r="V913" s="2" t="s">
        <v>38</v>
      </c>
      <c r="W913" s="2" t="s">
        <v>38</v>
      </c>
      <c r="X913" s="2" t="s">
        <v>38</v>
      </c>
      <c r="Y913" s="2" t="s">
        <v>38</v>
      </c>
      <c r="Z913" s="2" t="s">
        <v>38</v>
      </c>
      <c r="AA913" s="2" t="s">
        <v>39</v>
      </c>
      <c r="AB913" s="2" t="s">
        <v>38</v>
      </c>
      <c r="AC913" s="2" t="s">
        <v>38</v>
      </c>
      <c r="AD913" s="2" t="s">
        <v>38</v>
      </c>
      <c r="AE913" s="2" t="s">
        <v>40</v>
      </c>
    </row>
    <row r="914" spans="1:31" ht="409.5">
      <c r="A914" s="2">
        <v>2750558</v>
      </c>
      <c r="B914" s="2">
        <f>HYPERLINK("https://platform.v2.vetology.net/cases/2750558/screening-report/1?type=pdf&amp;v=v6&amp;scorecard=1&amp;secret_key=BX%25IJ%24%2F65ieZ%29f6", 2750558)</f>
        <v>2750558</v>
      </c>
      <c r="C914" s="2">
        <f>HYPERLINK("https://platform.v2.vetology.net/report/v/final/"&amp;2750558, 2750558)</f>
        <v>2750558</v>
      </c>
      <c r="D914" s="2" t="s">
        <v>1090</v>
      </c>
      <c r="E914" s="2" t="s">
        <v>1091</v>
      </c>
      <c r="F914" s="2" t="s">
        <v>787</v>
      </c>
      <c r="G914" s="2" t="s">
        <v>100</v>
      </c>
      <c r="H914" s="2" t="s">
        <v>3062</v>
      </c>
      <c r="I914" s="2" t="s">
        <v>36</v>
      </c>
      <c r="J914" s="2" t="s">
        <v>37</v>
      </c>
      <c r="K914" s="2" t="s">
        <v>39</v>
      </c>
      <c r="L914" s="2" t="s">
        <v>39</v>
      </c>
      <c r="M914" s="2" t="s">
        <v>38</v>
      </c>
      <c r="N914" s="2" t="s">
        <v>38</v>
      </c>
      <c r="O914" s="2" t="s">
        <v>38</v>
      </c>
      <c r="P914" s="2" t="s">
        <v>38</v>
      </c>
      <c r="Q914" s="2" t="s">
        <v>39</v>
      </c>
      <c r="R914" s="2" t="s">
        <v>38</v>
      </c>
      <c r="S914" s="2" t="s">
        <v>38</v>
      </c>
      <c r="T914" s="2" t="s">
        <v>38</v>
      </c>
      <c r="U914" s="2" t="s">
        <v>39</v>
      </c>
      <c r="V914" s="2" t="s">
        <v>38</v>
      </c>
      <c r="W914" s="2" t="s">
        <v>38</v>
      </c>
      <c r="X914" s="2" t="s">
        <v>39</v>
      </c>
      <c r="Y914" s="2" t="s">
        <v>38</v>
      </c>
      <c r="Z914" s="2" t="s">
        <v>38</v>
      </c>
      <c r="AA914" s="2" t="s">
        <v>38</v>
      </c>
      <c r="AB914" s="2" t="s">
        <v>39</v>
      </c>
      <c r="AC914" s="2" t="s">
        <v>38</v>
      </c>
      <c r="AD914" s="2" t="s">
        <v>38</v>
      </c>
      <c r="AE914" s="2" t="s">
        <v>39</v>
      </c>
    </row>
    <row r="915" spans="1:31" ht="409.5">
      <c r="A915" s="2">
        <v>2750556</v>
      </c>
      <c r="B915" s="2">
        <f>HYPERLINK("https://platform.v2.vetology.net/cases/2750556/screening-report/1?type=pdf&amp;v=v6&amp;scorecard=1&amp;secret_key=BX%25IJ%24%2F65ieZ%29f6", 2750556)</f>
        <v>2750556</v>
      </c>
      <c r="C915" s="2">
        <f>HYPERLINK("https://platform.v2.vetology.net/report/v/final/"&amp;2750556, 2750556)</f>
        <v>2750556</v>
      </c>
      <c r="D915" s="2" t="s">
        <v>3063</v>
      </c>
      <c r="E915" s="2" t="s">
        <v>3064</v>
      </c>
      <c r="F915" s="2" t="s">
        <v>3065</v>
      </c>
      <c r="G915" s="2" t="s">
        <v>53</v>
      </c>
      <c r="H915" s="2" t="s">
        <v>3066</v>
      </c>
      <c r="I915" s="2" t="s">
        <v>36</v>
      </c>
      <c r="J915" s="2" t="s">
        <v>37</v>
      </c>
      <c r="K915" s="2" t="s">
        <v>39</v>
      </c>
      <c r="L915" s="2" t="s">
        <v>38</v>
      </c>
      <c r="M915" s="2" t="s">
        <v>39</v>
      </c>
      <c r="N915" s="2" t="s">
        <v>38</v>
      </c>
      <c r="O915" s="2" t="s">
        <v>38</v>
      </c>
      <c r="P915" s="2" t="s">
        <v>39</v>
      </c>
      <c r="Q915" s="2" t="s">
        <v>39</v>
      </c>
      <c r="R915" s="2" t="s">
        <v>38</v>
      </c>
      <c r="S915" s="2" t="s">
        <v>38</v>
      </c>
      <c r="T915" s="2" t="s">
        <v>39</v>
      </c>
      <c r="U915" s="2" t="s">
        <v>39</v>
      </c>
      <c r="V915" s="2" t="s">
        <v>39</v>
      </c>
      <c r="W915" s="2" t="s">
        <v>38</v>
      </c>
      <c r="X915" s="2" t="s">
        <v>39</v>
      </c>
      <c r="Y915" s="2" t="s">
        <v>39</v>
      </c>
      <c r="Z915" s="2" t="s">
        <v>38</v>
      </c>
      <c r="AA915" s="2" t="s">
        <v>39</v>
      </c>
      <c r="AB915" s="2" t="s">
        <v>39</v>
      </c>
      <c r="AC915" s="2" t="s">
        <v>38</v>
      </c>
      <c r="AD915" s="2" t="s">
        <v>38</v>
      </c>
      <c r="AE915" s="2" t="s">
        <v>39</v>
      </c>
    </row>
    <row r="916" spans="1:31" ht="409.5">
      <c r="A916" s="2">
        <v>2750545</v>
      </c>
      <c r="B916" s="2">
        <f>HYPERLINK("https://platform.v2.vetology.net/cases/2750545/screening-report/1?type=pdf&amp;v=v6&amp;scorecard=1&amp;secret_key=BX%25IJ%24%2F65ieZ%29f6", 2750545)</f>
        <v>2750545</v>
      </c>
      <c r="C916" s="2">
        <f>HYPERLINK("https://platform.v2.vetology.net/report/v/final/"&amp;2750545, 2750545)</f>
        <v>2750545</v>
      </c>
      <c r="D916" s="2" t="s">
        <v>3067</v>
      </c>
      <c r="E916" s="2" t="s">
        <v>3068</v>
      </c>
      <c r="F916" s="2" t="s">
        <v>43</v>
      </c>
      <c r="G916" s="2" t="s">
        <v>44</v>
      </c>
      <c r="H916" s="2" t="s">
        <v>3069</v>
      </c>
      <c r="I916" s="2" t="s">
        <v>257</v>
      </c>
      <c r="J916" s="2" t="s">
        <v>74</v>
      </c>
      <c r="K916" s="2" t="s">
        <v>38</v>
      </c>
      <c r="L916" s="2" t="s">
        <v>38</v>
      </c>
      <c r="M916" s="2" t="s">
        <v>38</v>
      </c>
      <c r="N916" s="2" t="s">
        <v>38</v>
      </c>
      <c r="O916" s="2" t="s">
        <v>38</v>
      </c>
      <c r="P916" s="2" t="s">
        <v>38</v>
      </c>
      <c r="Q916" s="2" t="s">
        <v>38</v>
      </c>
      <c r="R916" s="2" t="s">
        <v>38</v>
      </c>
      <c r="S916" s="2" t="s">
        <v>38</v>
      </c>
      <c r="T916" s="2" t="s">
        <v>38</v>
      </c>
      <c r="U916" s="2" t="s">
        <v>38</v>
      </c>
      <c r="V916" s="2" t="s">
        <v>38</v>
      </c>
      <c r="W916" s="2" t="s">
        <v>38</v>
      </c>
      <c r="X916" s="2" t="s">
        <v>38</v>
      </c>
      <c r="Y916" s="2" t="s">
        <v>38</v>
      </c>
      <c r="Z916" s="2" t="s">
        <v>38</v>
      </c>
      <c r="AA916" s="2" t="s">
        <v>38</v>
      </c>
      <c r="AB916" s="2" t="s">
        <v>38</v>
      </c>
      <c r="AC916" s="2" t="s">
        <v>38</v>
      </c>
      <c r="AD916" s="2" t="s">
        <v>38</v>
      </c>
      <c r="AE916" s="2" t="s">
        <v>39</v>
      </c>
    </row>
    <row r="917" spans="1:31" ht="409.5">
      <c r="A917" s="2">
        <v>2750538</v>
      </c>
      <c r="B917" s="2">
        <f>HYPERLINK("https://platform.v2.vetology.net/cases/2750538/screening-report/1?type=pdf&amp;v=v6&amp;scorecard=1&amp;secret_key=BX%25IJ%24%2F65ieZ%29f6", 2750538)</f>
        <v>2750538</v>
      </c>
      <c r="C917" s="2">
        <f>HYPERLINK("https://platform.v2.vetology.net/report/v/final/"&amp;2750538, 2750538)</f>
        <v>2750538</v>
      </c>
      <c r="D917" s="2" t="s">
        <v>3070</v>
      </c>
      <c r="E917" s="2" t="s">
        <v>3071</v>
      </c>
      <c r="F917" s="2" t="s">
        <v>3072</v>
      </c>
      <c r="G917" s="2" t="s">
        <v>127</v>
      </c>
      <c r="H917" s="2" t="s">
        <v>3073</v>
      </c>
      <c r="I917" s="2" t="s">
        <v>36</v>
      </c>
      <c r="J917" s="2" t="s">
        <v>37</v>
      </c>
      <c r="K917" s="2" t="s">
        <v>38</v>
      </c>
      <c r="L917" s="2" t="s">
        <v>38</v>
      </c>
      <c r="M917" s="2" t="s">
        <v>38</v>
      </c>
      <c r="N917" s="2" t="s">
        <v>38</v>
      </c>
      <c r="O917" s="2" t="s">
        <v>38</v>
      </c>
      <c r="P917" s="2" t="s">
        <v>38</v>
      </c>
      <c r="Q917" s="2" t="s">
        <v>38</v>
      </c>
      <c r="R917" s="2" t="s">
        <v>38</v>
      </c>
      <c r="S917" s="2" t="s">
        <v>38</v>
      </c>
      <c r="T917" s="2" t="s">
        <v>38</v>
      </c>
      <c r="U917" s="2" t="s">
        <v>38</v>
      </c>
      <c r="V917" s="2" t="s">
        <v>38</v>
      </c>
      <c r="W917" s="2" t="s">
        <v>38</v>
      </c>
      <c r="X917" s="2" t="s">
        <v>38</v>
      </c>
      <c r="Y917" s="2" t="s">
        <v>38</v>
      </c>
      <c r="Z917" s="2" t="s">
        <v>38</v>
      </c>
      <c r="AA917" s="2" t="s">
        <v>38</v>
      </c>
      <c r="AB917" s="2" t="s">
        <v>38</v>
      </c>
      <c r="AC917" s="2" t="s">
        <v>38</v>
      </c>
      <c r="AD917" s="2" t="s">
        <v>38</v>
      </c>
      <c r="AE917" s="2" t="s">
        <v>39</v>
      </c>
    </row>
    <row r="918" spans="1:31" ht="409.5">
      <c r="A918" s="2">
        <v>2750491</v>
      </c>
      <c r="B918" s="2">
        <f>HYPERLINK("https://platform.v2.vetology.net/cases/2750491/screening-report/1?type=pdf&amp;v=v6&amp;scorecard=1&amp;secret_key=BX%25IJ%24%2F65ieZ%29f6", 2750491)</f>
        <v>2750491</v>
      </c>
      <c r="C918" s="2">
        <f>HYPERLINK("https://platform.v2.vetology.net/report/v/final/"&amp;2750491, 2750491)</f>
        <v>2750491</v>
      </c>
      <c r="D918" s="2" t="s">
        <v>3074</v>
      </c>
      <c r="E918" s="2" t="s">
        <v>3075</v>
      </c>
      <c r="F918" s="2" t="s">
        <v>3076</v>
      </c>
      <c r="G918" s="2" t="s">
        <v>170</v>
      </c>
      <c r="H918" s="2" t="s">
        <v>3077</v>
      </c>
      <c r="I918" s="2" t="s">
        <v>129</v>
      </c>
      <c r="J918" s="2" t="s">
        <v>74</v>
      </c>
      <c r="K918" s="2" t="s">
        <v>38</v>
      </c>
      <c r="L918" s="2" t="s">
        <v>39</v>
      </c>
      <c r="M918" s="2" t="s">
        <v>38</v>
      </c>
      <c r="N918" s="2" t="s">
        <v>38</v>
      </c>
      <c r="O918" s="2" t="s">
        <v>38</v>
      </c>
      <c r="P918" s="2" t="s">
        <v>38</v>
      </c>
      <c r="Q918" s="2" t="s">
        <v>38</v>
      </c>
      <c r="R918" s="2" t="s">
        <v>39</v>
      </c>
      <c r="S918" s="2" t="s">
        <v>38</v>
      </c>
      <c r="T918" s="2" t="s">
        <v>38</v>
      </c>
      <c r="U918" s="2" t="s">
        <v>39</v>
      </c>
      <c r="V918" s="2" t="s">
        <v>38</v>
      </c>
      <c r="W918" s="2" t="s">
        <v>38</v>
      </c>
      <c r="X918" s="2" t="s">
        <v>38</v>
      </c>
      <c r="Y918" s="2" t="s">
        <v>39</v>
      </c>
      <c r="Z918" s="2" t="s">
        <v>38</v>
      </c>
      <c r="AA918" s="2" t="s">
        <v>39</v>
      </c>
      <c r="AB918" s="2" t="s">
        <v>38</v>
      </c>
      <c r="AC918" s="2" t="s">
        <v>38</v>
      </c>
      <c r="AD918" s="2" t="s">
        <v>39</v>
      </c>
      <c r="AE918" s="2" t="s">
        <v>39</v>
      </c>
    </row>
    <row r="919" spans="1:31" ht="409.5">
      <c r="A919" s="2">
        <v>2750486</v>
      </c>
      <c r="B919" s="2">
        <f>HYPERLINK("https://platform.v2.vetology.net/cases/2750486/screening-report/1?type=pdf&amp;v=v6&amp;scorecard=1&amp;secret_key=BX%25IJ%24%2F65ieZ%29f6", 2750486)</f>
        <v>2750486</v>
      </c>
      <c r="C919" s="2">
        <f>HYPERLINK("https://platform.v2.vetology.net/report/v/final/"&amp;2750486, 2750486)</f>
        <v>2750486</v>
      </c>
      <c r="D919" s="2" t="s">
        <v>3078</v>
      </c>
      <c r="E919" s="2" t="s">
        <v>3079</v>
      </c>
      <c r="F919" s="2" t="s">
        <v>3080</v>
      </c>
      <c r="G919" s="2" t="s">
        <v>170</v>
      </c>
      <c r="H919" s="2" t="s">
        <v>3081</v>
      </c>
      <c r="I919" s="2" t="s">
        <v>129</v>
      </c>
      <c r="J919" s="2" t="s">
        <v>74</v>
      </c>
      <c r="K919" s="2" t="s">
        <v>39</v>
      </c>
      <c r="L919" s="2" t="s">
        <v>38</v>
      </c>
      <c r="M919" s="2" t="s">
        <v>38</v>
      </c>
      <c r="N919" s="2" t="s">
        <v>39</v>
      </c>
      <c r="O919" s="2" t="s">
        <v>39</v>
      </c>
      <c r="P919" s="2" t="s">
        <v>39</v>
      </c>
      <c r="Q919" s="2" t="s">
        <v>38</v>
      </c>
      <c r="R919" s="2" t="s">
        <v>38</v>
      </c>
      <c r="S919" s="2" t="s">
        <v>39</v>
      </c>
      <c r="T919" s="2" t="s">
        <v>39</v>
      </c>
      <c r="U919" s="2" t="s">
        <v>39</v>
      </c>
      <c r="V919" s="2" t="s">
        <v>39</v>
      </c>
      <c r="W919" s="2" t="s">
        <v>38</v>
      </c>
      <c r="X919" s="2" t="s">
        <v>38</v>
      </c>
      <c r="Y919" s="2" t="s">
        <v>39</v>
      </c>
      <c r="Z919" s="2" t="s">
        <v>39</v>
      </c>
      <c r="AA919" s="2" t="s">
        <v>38</v>
      </c>
      <c r="AB919" s="2" t="s">
        <v>38</v>
      </c>
      <c r="AC919" s="2" t="s">
        <v>39</v>
      </c>
      <c r="AD919" s="2" t="s">
        <v>39</v>
      </c>
      <c r="AE919" s="2" t="s">
        <v>40</v>
      </c>
    </row>
    <row r="920" spans="1:31" ht="409.5">
      <c r="A920" s="2">
        <v>2750464</v>
      </c>
      <c r="B920" s="2">
        <f>HYPERLINK("https://platform.v2.vetology.net/cases/2750464/screening-report/1?type=pdf&amp;v=v6&amp;scorecard=1&amp;secret_key=BX%25IJ%24%2F65ieZ%29f6", 2750464)</f>
        <v>2750464</v>
      </c>
      <c r="C920" s="2">
        <f>HYPERLINK("https://platform.v2.vetology.net/report/v/final/"&amp;2750464, 2750464)</f>
        <v>2750464</v>
      </c>
      <c r="D920" s="2" t="s">
        <v>3082</v>
      </c>
      <c r="E920" s="2" t="s">
        <v>3083</v>
      </c>
      <c r="F920" s="2" t="s">
        <v>3084</v>
      </c>
      <c r="G920" s="2" t="s">
        <v>170</v>
      </c>
      <c r="H920" s="2" t="s">
        <v>3085</v>
      </c>
      <c r="I920" s="2" t="s">
        <v>73</v>
      </c>
      <c r="J920" s="2" t="s">
        <v>74</v>
      </c>
      <c r="K920" s="2" t="s">
        <v>38</v>
      </c>
      <c r="L920" s="2" t="s">
        <v>38</v>
      </c>
      <c r="M920" s="2" t="s">
        <v>38</v>
      </c>
      <c r="N920" s="2" t="s">
        <v>38</v>
      </c>
      <c r="O920" s="2" t="s">
        <v>38</v>
      </c>
      <c r="P920" s="2" t="s">
        <v>38</v>
      </c>
      <c r="Q920" s="2" t="s">
        <v>38</v>
      </c>
      <c r="R920" s="2" t="s">
        <v>38</v>
      </c>
      <c r="S920" s="2" t="s">
        <v>38</v>
      </c>
      <c r="T920" s="2" t="s">
        <v>38</v>
      </c>
      <c r="U920" s="2" t="s">
        <v>38</v>
      </c>
      <c r="V920" s="2" t="s">
        <v>38</v>
      </c>
      <c r="W920" s="2" t="s">
        <v>38</v>
      </c>
      <c r="X920" s="2" t="s">
        <v>38</v>
      </c>
      <c r="Y920" s="2" t="s">
        <v>39</v>
      </c>
      <c r="Z920" s="2" t="s">
        <v>38</v>
      </c>
      <c r="AA920" s="2" t="s">
        <v>38</v>
      </c>
      <c r="AB920" s="2" t="s">
        <v>38</v>
      </c>
      <c r="AC920" s="2" t="s">
        <v>38</v>
      </c>
      <c r="AD920" s="2" t="s">
        <v>38</v>
      </c>
      <c r="AE920" s="2" t="s">
        <v>39</v>
      </c>
    </row>
    <row r="921" spans="1:31" ht="409.5">
      <c r="A921" s="2">
        <v>2750451</v>
      </c>
      <c r="B921" s="2">
        <f>HYPERLINK("https://platform.v2.vetology.net/cases/2750451/screening-report/1?type=pdf&amp;v=v6&amp;scorecard=1&amp;secret_key=BX%25IJ%24%2F65ieZ%29f6", 2750451)</f>
        <v>2750451</v>
      </c>
      <c r="C921" s="2">
        <f>HYPERLINK("https://platform.v2.vetology.net/report/v/final/"&amp;2750451, 2750451)</f>
        <v>2750451</v>
      </c>
      <c r="D921" s="2" t="s">
        <v>3086</v>
      </c>
      <c r="E921" s="2" t="s">
        <v>3087</v>
      </c>
      <c r="F921" s="2" t="s">
        <v>3088</v>
      </c>
      <c r="G921" s="2" t="s">
        <v>556</v>
      </c>
      <c r="H921" s="2" t="s">
        <v>3089</v>
      </c>
      <c r="I921" s="2" t="s">
        <v>36</v>
      </c>
      <c r="J921" s="2" t="s">
        <v>37</v>
      </c>
      <c r="K921" s="2" t="s">
        <v>38</v>
      </c>
      <c r="L921" s="2" t="s">
        <v>39</v>
      </c>
      <c r="M921" s="2" t="s">
        <v>38</v>
      </c>
      <c r="N921" s="2" t="s">
        <v>39</v>
      </c>
      <c r="O921" s="2" t="s">
        <v>39</v>
      </c>
      <c r="P921" s="2" t="s">
        <v>39</v>
      </c>
      <c r="Q921" s="2" t="s">
        <v>38</v>
      </c>
      <c r="R921" s="2" t="s">
        <v>38</v>
      </c>
      <c r="S921" s="2" t="s">
        <v>38</v>
      </c>
      <c r="T921" s="2" t="s">
        <v>38</v>
      </c>
      <c r="U921" s="2" t="s">
        <v>39</v>
      </c>
      <c r="V921" s="2" t="s">
        <v>38</v>
      </c>
      <c r="W921" s="2" t="s">
        <v>38</v>
      </c>
      <c r="X921" s="2" t="s">
        <v>39</v>
      </c>
      <c r="Y921" s="2" t="s">
        <v>39</v>
      </c>
      <c r="Z921" s="2" t="s">
        <v>38</v>
      </c>
      <c r="AA921" s="2" t="s">
        <v>39</v>
      </c>
      <c r="AB921" s="2" t="s">
        <v>39</v>
      </c>
      <c r="AC921" s="2" t="s">
        <v>38</v>
      </c>
      <c r="AD921" s="2" t="s">
        <v>38</v>
      </c>
      <c r="AE921" s="2" t="s">
        <v>39</v>
      </c>
    </row>
    <row r="922" spans="1:31" ht="409.5">
      <c r="A922" s="2">
        <v>2750446</v>
      </c>
      <c r="B922" s="2">
        <f>HYPERLINK("https://platform.v2.vetology.net/cases/2750446/screening-report/1?type=pdf&amp;v=v6&amp;scorecard=1&amp;secret_key=BX%25IJ%24%2F65ieZ%29f6", 2750446)</f>
        <v>2750446</v>
      </c>
      <c r="C922" s="2">
        <f>HYPERLINK("https://platform.v2.vetology.net/report/v/final/"&amp;2750446, 2750446)</f>
        <v>2750446</v>
      </c>
      <c r="D922" s="2" t="s">
        <v>3090</v>
      </c>
      <c r="E922" s="2" t="s">
        <v>3091</v>
      </c>
      <c r="F922" s="2" t="s">
        <v>3092</v>
      </c>
      <c r="G922" s="2" t="s">
        <v>53</v>
      </c>
      <c r="H922" s="2" t="s">
        <v>3093</v>
      </c>
      <c r="I922" s="2" t="s">
        <v>36</v>
      </c>
      <c r="J922" s="2" t="s">
        <v>37</v>
      </c>
      <c r="K922" s="2" t="s">
        <v>38</v>
      </c>
      <c r="L922" s="2" t="s">
        <v>39</v>
      </c>
      <c r="M922" s="2" t="s">
        <v>38</v>
      </c>
      <c r="N922" s="2" t="s">
        <v>38</v>
      </c>
      <c r="O922" s="2" t="s">
        <v>39</v>
      </c>
      <c r="P922" s="2" t="s">
        <v>39</v>
      </c>
      <c r="Q922" s="2" t="s">
        <v>39</v>
      </c>
      <c r="R922" s="2" t="s">
        <v>39</v>
      </c>
      <c r="S922" s="2" t="s">
        <v>39</v>
      </c>
      <c r="T922" s="2" t="s">
        <v>39</v>
      </c>
      <c r="U922" s="2" t="s">
        <v>38</v>
      </c>
      <c r="V922" s="2" t="s">
        <v>38</v>
      </c>
      <c r="W922" s="2" t="s">
        <v>38</v>
      </c>
      <c r="X922" s="2" t="s">
        <v>39</v>
      </c>
      <c r="Y922" s="2" t="s">
        <v>39</v>
      </c>
      <c r="Z922" s="2" t="s">
        <v>39</v>
      </c>
      <c r="AA922" s="2" t="s">
        <v>39</v>
      </c>
      <c r="AB922" s="2" t="s">
        <v>39</v>
      </c>
      <c r="AC922" s="2" t="s">
        <v>38</v>
      </c>
      <c r="AD922" s="2" t="s">
        <v>39</v>
      </c>
      <c r="AE922" s="2" t="s">
        <v>39</v>
      </c>
    </row>
    <row r="923" spans="1:31" ht="409.5">
      <c r="A923" s="2">
        <v>2750438</v>
      </c>
      <c r="B923" s="2">
        <f>HYPERLINK("https://platform.v2.vetology.net/cases/2750438/screening-report/1?type=pdf&amp;v=v6&amp;scorecard=1&amp;secret_key=BX%25IJ%24%2F65ieZ%29f6", 2750438)</f>
        <v>2750438</v>
      </c>
      <c r="C923" s="2">
        <f>HYPERLINK("https://platform.v2.vetology.net/report/v/final/"&amp;2750438, 2750438)</f>
        <v>2750438</v>
      </c>
      <c r="D923" s="2" t="s">
        <v>3094</v>
      </c>
      <c r="E923" s="2" t="s">
        <v>3095</v>
      </c>
      <c r="F923" s="2" t="s">
        <v>3096</v>
      </c>
      <c r="G923" s="2" t="s">
        <v>53</v>
      </c>
      <c r="H923" s="2" t="s">
        <v>3097</v>
      </c>
      <c r="I923" s="2" t="s">
        <v>257</v>
      </c>
      <c r="J923" s="2" t="s">
        <v>74</v>
      </c>
      <c r="K923" s="2" t="s">
        <v>38</v>
      </c>
      <c r="L923" s="2" t="s">
        <v>38</v>
      </c>
      <c r="M923" s="2" t="s">
        <v>38</v>
      </c>
      <c r="N923" s="2" t="s">
        <v>38</v>
      </c>
      <c r="O923" s="2" t="s">
        <v>38</v>
      </c>
      <c r="P923" s="2" t="s">
        <v>38</v>
      </c>
      <c r="Q923" s="2" t="s">
        <v>38</v>
      </c>
      <c r="R923" s="2" t="s">
        <v>38</v>
      </c>
      <c r="S923" s="2" t="s">
        <v>38</v>
      </c>
      <c r="T923" s="2" t="s">
        <v>38</v>
      </c>
      <c r="U923" s="2" t="s">
        <v>38</v>
      </c>
      <c r="V923" s="2" t="s">
        <v>38</v>
      </c>
      <c r="W923" s="2" t="s">
        <v>38</v>
      </c>
      <c r="X923" s="2" t="s">
        <v>38</v>
      </c>
      <c r="Y923" s="2" t="s">
        <v>38</v>
      </c>
      <c r="Z923" s="2" t="s">
        <v>38</v>
      </c>
      <c r="AA923" s="2" t="s">
        <v>38</v>
      </c>
      <c r="AB923" s="2" t="s">
        <v>38</v>
      </c>
      <c r="AC923" s="2" t="s">
        <v>38</v>
      </c>
      <c r="AD923" s="2" t="s">
        <v>38</v>
      </c>
      <c r="AE923" s="2" t="s">
        <v>39</v>
      </c>
    </row>
    <row r="924" spans="1:31" ht="409.5">
      <c r="A924" s="2">
        <v>2750383</v>
      </c>
      <c r="B924" s="2">
        <f>HYPERLINK("https://platform.v2.vetology.net/cases/2750383/screening-report/1?type=pdf&amp;v=v6&amp;scorecard=1&amp;secret_key=BX%25IJ%24%2F65ieZ%29f6", 2750383)</f>
        <v>2750383</v>
      </c>
      <c r="C924" s="2">
        <f>HYPERLINK("https://platform.v2.vetology.net/report/v/final/"&amp;2750383, 2750383)</f>
        <v>2750383</v>
      </c>
      <c r="D924" s="2" t="s">
        <v>3098</v>
      </c>
      <c r="E924" s="2" t="s">
        <v>3099</v>
      </c>
      <c r="F924" s="2" t="s">
        <v>3100</v>
      </c>
      <c r="G924" s="2" t="s">
        <v>53</v>
      </c>
      <c r="H924" s="2" t="s">
        <v>69</v>
      </c>
      <c r="I924" s="2" t="s">
        <v>46</v>
      </c>
      <c r="J924" s="2"/>
      <c r="K924" s="2" t="s">
        <v>39</v>
      </c>
      <c r="L924" s="2" t="s">
        <v>39</v>
      </c>
      <c r="M924" s="2" t="s">
        <v>39</v>
      </c>
      <c r="N924" s="2" t="s">
        <v>39</v>
      </c>
      <c r="O924" s="2" t="s">
        <v>39</v>
      </c>
      <c r="P924" s="2" t="s">
        <v>39</v>
      </c>
      <c r="Q924" s="2" t="s">
        <v>39</v>
      </c>
      <c r="R924" s="2" t="s">
        <v>39</v>
      </c>
      <c r="S924" s="2" t="s">
        <v>39</v>
      </c>
      <c r="T924" s="2" t="s">
        <v>39</v>
      </c>
      <c r="U924" s="2" t="s">
        <v>39</v>
      </c>
      <c r="V924" s="2" t="s">
        <v>39</v>
      </c>
      <c r="W924" s="2" t="s">
        <v>39</v>
      </c>
      <c r="X924" s="2" t="s">
        <v>39</v>
      </c>
      <c r="Y924" s="2" t="s">
        <v>39</v>
      </c>
      <c r="Z924" s="2" t="s">
        <v>39</v>
      </c>
      <c r="AA924" s="2" t="s">
        <v>39</v>
      </c>
      <c r="AB924" s="2" t="s">
        <v>39</v>
      </c>
      <c r="AC924" s="2" t="s">
        <v>39</v>
      </c>
      <c r="AD924" s="2" t="s">
        <v>39</v>
      </c>
      <c r="AE924" s="2" t="s">
        <v>39</v>
      </c>
    </row>
    <row r="925" spans="1:31" ht="409.5">
      <c r="A925" s="2">
        <v>2750377</v>
      </c>
      <c r="B925" s="2">
        <f>HYPERLINK("https://platform.v2.vetology.net/cases/2750377/screening-report/1?type=pdf&amp;v=v6&amp;scorecard=1&amp;secret_key=BX%25IJ%24%2F65ieZ%29f6", 2750377)</f>
        <v>2750377</v>
      </c>
      <c r="C925" s="2">
        <f>HYPERLINK("https://platform.v2.vetology.net/report/v/final/"&amp;2750377, 2750377)</f>
        <v>2750377</v>
      </c>
      <c r="D925" s="2" t="s">
        <v>3101</v>
      </c>
      <c r="E925" s="2" t="s">
        <v>3102</v>
      </c>
      <c r="F925" s="2" t="s">
        <v>3103</v>
      </c>
      <c r="G925" s="2" t="s">
        <v>170</v>
      </c>
      <c r="H925" s="2" t="s">
        <v>3104</v>
      </c>
      <c r="I925" s="2" t="s">
        <v>36</v>
      </c>
      <c r="J925" s="2" t="s">
        <v>37</v>
      </c>
      <c r="K925" s="2" t="s">
        <v>38</v>
      </c>
      <c r="L925" s="2" t="s">
        <v>38</v>
      </c>
      <c r="M925" s="2" t="s">
        <v>38</v>
      </c>
      <c r="N925" s="2" t="s">
        <v>39</v>
      </c>
      <c r="O925" s="2" t="s">
        <v>38</v>
      </c>
      <c r="P925" s="2" t="s">
        <v>39</v>
      </c>
      <c r="Q925" s="2" t="s">
        <v>39</v>
      </c>
      <c r="R925" s="2" t="s">
        <v>39</v>
      </c>
      <c r="S925" s="2" t="s">
        <v>39</v>
      </c>
      <c r="T925" s="2" t="s">
        <v>38</v>
      </c>
      <c r="U925" s="2" t="s">
        <v>38</v>
      </c>
      <c r="V925" s="2" t="s">
        <v>38</v>
      </c>
      <c r="W925" s="2" t="s">
        <v>38</v>
      </c>
      <c r="X925" s="2" t="s">
        <v>39</v>
      </c>
      <c r="Y925" s="2" t="s">
        <v>38</v>
      </c>
      <c r="Z925" s="2" t="s">
        <v>38</v>
      </c>
      <c r="AA925" s="2" t="s">
        <v>39</v>
      </c>
      <c r="AB925" s="2" t="s">
        <v>39</v>
      </c>
      <c r="AC925" s="2" t="s">
        <v>38</v>
      </c>
      <c r="AD925" s="2" t="s">
        <v>39</v>
      </c>
      <c r="AE925" s="2" t="s">
        <v>39</v>
      </c>
    </row>
    <row r="926" spans="1:31" ht="409.5">
      <c r="A926" s="2">
        <v>2750335</v>
      </c>
      <c r="B926" s="2">
        <f>HYPERLINK("https://platform.v2.vetology.net/cases/2750335/screening-report/1?type=pdf&amp;v=v6&amp;scorecard=1&amp;secret_key=BX%25IJ%24%2F65ieZ%29f6", 2750335)</f>
        <v>2750335</v>
      </c>
      <c r="C926" s="2">
        <f>HYPERLINK("https://platform.v2.vetology.net/report/v/final/"&amp;2750335, 2750335)</f>
        <v>2750335</v>
      </c>
      <c r="D926" s="2" t="s">
        <v>3105</v>
      </c>
      <c r="E926" s="2" t="s">
        <v>3106</v>
      </c>
      <c r="F926" s="2" t="s">
        <v>3107</v>
      </c>
      <c r="G926" s="2" t="s">
        <v>170</v>
      </c>
      <c r="H926" s="2" t="s">
        <v>3108</v>
      </c>
      <c r="I926" s="2" t="s">
        <v>59</v>
      </c>
      <c r="J926" s="2" t="s">
        <v>37</v>
      </c>
      <c r="K926" s="2" t="s">
        <v>38</v>
      </c>
      <c r="L926" s="2" t="s">
        <v>39</v>
      </c>
      <c r="M926" s="2" t="s">
        <v>39</v>
      </c>
      <c r="N926" s="2" t="s">
        <v>39</v>
      </c>
      <c r="O926" s="2" t="s">
        <v>39</v>
      </c>
      <c r="P926" s="2" t="s">
        <v>39</v>
      </c>
      <c r="Q926" s="2" t="s">
        <v>39</v>
      </c>
      <c r="R926" s="2" t="s">
        <v>38</v>
      </c>
      <c r="S926" s="2" t="s">
        <v>38</v>
      </c>
      <c r="T926" s="2" t="s">
        <v>38</v>
      </c>
      <c r="U926" s="2" t="s">
        <v>39</v>
      </c>
      <c r="V926" s="2" t="s">
        <v>38</v>
      </c>
      <c r="W926" s="2" t="s">
        <v>39</v>
      </c>
      <c r="X926" s="2" t="s">
        <v>39</v>
      </c>
      <c r="Y926" s="2" t="s">
        <v>39</v>
      </c>
      <c r="Z926" s="2" t="s">
        <v>39</v>
      </c>
      <c r="AA926" s="2" t="s">
        <v>39</v>
      </c>
      <c r="AB926" s="2" t="s">
        <v>39</v>
      </c>
      <c r="AC926" s="2" t="s">
        <v>38</v>
      </c>
      <c r="AD926" s="2" t="s">
        <v>38</v>
      </c>
      <c r="AE926" s="2" t="s">
        <v>39</v>
      </c>
    </row>
    <row r="927" spans="1:31" ht="409.5">
      <c r="A927" s="2">
        <v>2750316</v>
      </c>
      <c r="B927" s="2">
        <f>HYPERLINK("https://platform.v2.vetology.net/cases/2750316/screening-report/1?type=pdf&amp;v=v6&amp;scorecard=1&amp;secret_key=BX%25IJ%24%2F65ieZ%29f6", 2750316)</f>
        <v>2750316</v>
      </c>
      <c r="C927" s="2">
        <f>HYPERLINK("https://platform.v2.vetology.net/report/v/final/"&amp;2750316, 2750316)</f>
        <v>2750316</v>
      </c>
      <c r="D927" s="2" t="s">
        <v>3109</v>
      </c>
      <c r="E927" s="2" t="s">
        <v>3110</v>
      </c>
      <c r="F927" s="2" t="s">
        <v>1043</v>
      </c>
      <c r="G927" s="2" t="s">
        <v>251</v>
      </c>
      <c r="H927" s="2" t="s">
        <v>398</v>
      </c>
      <c r="I927" s="2" t="s">
        <v>46</v>
      </c>
      <c r="J927" s="2"/>
      <c r="K927" s="2" t="s">
        <v>38</v>
      </c>
      <c r="L927" s="2" t="s">
        <v>39</v>
      </c>
      <c r="M927" s="2" t="s">
        <v>39</v>
      </c>
      <c r="N927" s="2" t="s">
        <v>39</v>
      </c>
      <c r="O927" s="2" t="s">
        <v>39</v>
      </c>
      <c r="P927" s="2" t="s">
        <v>39</v>
      </c>
      <c r="Q927" s="2" t="s">
        <v>39</v>
      </c>
      <c r="R927" s="2" t="s">
        <v>39</v>
      </c>
      <c r="S927" s="2" t="s">
        <v>39</v>
      </c>
      <c r="T927" s="2" t="s">
        <v>39</v>
      </c>
      <c r="U927" s="2" t="s">
        <v>39</v>
      </c>
      <c r="V927" s="2" t="s">
        <v>39</v>
      </c>
      <c r="W927" s="2" t="s">
        <v>39</v>
      </c>
      <c r="X927" s="2" t="s">
        <v>39</v>
      </c>
      <c r="Y927" s="2" t="s">
        <v>39</v>
      </c>
      <c r="Z927" s="2" t="s">
        <v>39</v>
      </c>
      <c r="AA927" s="2" t="s">
        <v>39</v>
      </c>
      <c r="AB927" s="2" t="s">
        <v>39</v>
      </c>
      <c r="AC927" s="2" t="s">
        <v>39</v>
      </c>
      <c r="AD927" s="2" t="s">
        <v>39</v>
      </c>
      <c r="AE927" s="2" t="s">
        <v>39</v>
      </c>
    </row>
    <row r="928" spans="1:31" ht="409.5">
      <c r="A928" s="2">
        <v>2750314</v>
      </c>
      <c r="B928" s="2">
        <f>HYPERLINK("https://platform.v2.vetology.net/cases/2750314/screening-report/1?type=pdf&amp;v=v6&amp;scorecard=1&amp;secret_key=BX%25IJ%24%2F65ieZ%29f6", 2750314)</f>
        <v>2750314</v>
      </c>
      <c r="C928" s="2">
        <f>HYPERLINK("https://platform.v2.vetology.net/report/v/final/"&amp;2750314, 2750314)</f>
        <v>2750314</v>
      </c>
      <c r="D928" s="2" t="s">
        <v>3111</v>
      </c>
      <c r="E928" s="2" t="s">
        <v>3112</v>
      </c>
      <c r="F928" s="2" t="s">
        <v>3113</v>
      </c>
      <c r="G928" s="2" t="s">
        <v>145</v>
      </c>
      <c r="H928" s="2" t="s">
        <v>504</v>
      </c>
      <c r="I928" s="2" t="s">
        <v>36</v>
      </c>
      <c r="J928" s="2" t="s">
        <v>37</v>
      </c>
      <c r="K928" s="2" t="s">
        <v>39</v>
      </c>
      <c r="L928" s="2" t="s">
        <v>39</v>
      </c>
      <c r="M928" s="2" t="s">
        <v>38</v>
      </c>
      <c r="N928" s="2" t="s">
        <v>39</v>
      </c>
      <c r="O928" s="2" t="s">
        <v>38</v>
      </c>
      <c r="P928" s="2" t="s">
        <v>38</v>
      </c>
      <c r="Q928" s="2" t="s">
        <v>39</v>
      </c>
      <c r="R928" s="2" t="s">
        <v>39</v>
      </c>
      <c r="S928" s="2" t="s">
        <v>39</v>
      </c>
      <c r="T928" s="2" t="s">
        <v>39</v>
      </c>
      <c r="U928" s="2" t="s">
        <v>39</v>
      </c>
      <c r="V928" s="2" t="s">
        <v>39</v>
      </c>
      <c r="W928" s="2" t="s">
        <v>39</v>
      </c>
      <c r="X928" s="2" t="s">
        <v>39</v>
      </c>
      <c r="Y928" s="2" t="s">
        <v>39</v>
      </c>
      <c r="Z928" s="2" t="s">
        <v>39</v>
      </c>
      <c r="AA928" s="2" t="s">
        <v>39</v>
      </c>
      <c r="AB928" s="2" t="s">
        <v>39</v>
      </c>
      <c r="AC928" s="2" t="s">
        <v>39</v>
      </c>
      <c r="AD928" s="2" t="s">
        <v>39</v>
      </c>
      <c r="AE928" s="2" t="s">
        <v>39</v>
      </c>
    </row>
    <row r="929" spans="1:31" ht="409.5">
      <c r="A929" s="2">
        <v>2750300</v>
      </c>
      <c r="B929" s="2">
        <f>HYPERLINK("https://platform.v2.vetology.net/cases/2750300/screening-report/1?type=pdf&amp;v=v6&amp;scorecard=1&amp;secret_key=BX%25IJ%24%2F65ieZ%29f6", 2750300)</f>
        <v>2750300</v>
      </c>
      <c r="C929" s="2">
        <f>HYPERLINK("https://platform.v2.vetology.net/report/v/final/"&amp;2750300, 2750300)</f>
        <v>2750300</v>
      </c>
      <c r="D929" s="2" t="s">
        <v>3114</v>
      </c>
      <c r="E929" s="2" t="s">
        <v>3115</v>
      </c>
      <c r="F929" s="2" t="s">
        <v>3116</v>
      </c>
      <c r="G929" s="2" t="s">
        <v>170</v>
      </c>
      <c r="H929" s="2" t="s">
        <v>3117</v>
      </c>
      <c r="I929" s="2" t="s">
        <v>73</v>
      </c>
      <c r="J929" s="2" t="s">
        <v>74</v>
      </c>
      <c r="K929" s="2" t="s">
        <v>38</v>
      </c>
      <c r="L929" s="2" t="s">
        <v>38</v>
      </c>
      <c r="M929" s="2" t="s">
        <v>38</v>
      </c>
      <c r="N929" s="2" t="s">
        <v>38</v>
      </c>
      <c r="O929" s="2" t="s">
        <v>38</v>
      </c>
      <c r="P929" s="2" t="s">
        <v>38</v>
      </c>
      <c r="Q929" s="2" t="s">
        <v>38</v>
      </c>
      <c r="R929" s="2" t="s">
        <v>39</v>
      </c>
      <c r="S929" s="2" t="s">
        <v>38</v>
      </c>
      <c r="T929" s="2" t="s">
        <v>38</v>
      </c>
      <c r="U929" s="2" t="s">
        <v>38</v>
      </c>
      <c r="V929" s="2" t="s">
        <v>38</v>
      </c>
      <c r="W929" s="2" t="s">
        <v>38</v>
      </c>
      <c r="X929" s="2" t="s">
        <v>38</v>
      </c>
      <c r="Y929" s="2" t="s">
        <v>39</v>
      </c>
      <c r="Z929" s="2" t="s">
        <v>38</v>
      </c>
      <c r="AA929" s="2" t="s">
        <v>38</v>
      </c>
      <c r="AB929" s="2" t="s">
        <v>38</v>
      </c>
      <c r="AC929" s="2" t="s">
        <v>38</v>
      </c>
      <c r="AD929" s="2" t="s">
        <v>38</v>
      </c>
      <c r="AE929" s="2" t="s">
        <v>39</v>
      </c>
    </row>
    <row r="930" spans="1:31" ht="409.5">
      <c r="A930" s="2">
        <v>2750291</v>
      </c>
      <c r="B930" s="2">
        <f>HYPERLINK("https://platform.v2.vetology.net/cases/2750291/screening-report/1?type=pdf&amp;v=v6&amp;scorecard=1&amp;secret_key=BX%25IJ%24%2F65ieZ%29f6", 2750291)</f>
        <v>2750291</v>
      </c>
      <c r="C930" s="2">
        <f>HYPERLINK("https://platform.v2.vetology.net/report/v/final/"&amp;2750291, 2750291)</f>
        <v>2750291</v>
      </c>
      <c r="D930" s="2" t="s">
        <v>3118</v>
      </c>
      <c r="E930" s="2" t="s">
        <v>3119</v>
      </c>
      <c r="F930" s="2" t="s">
        <v>3120</v>
      </c>
      <c r="G930" s="2" t="s">
        <v>170</v>
      </c>
      <c r="H930" s="2" t="s">
        <v>3121</v>
      </c>
      <c r="I930" s="2" t="s">
        <v>36</v>
      </c>
      <c r="J930" s="2" t="s">
        <v>37</v>
      </c>
      <c r="K930" s="2" t="s">
        <v>38</v>
      </c>
      <c r="L930" s="2" t="s">
        <v>38</v>
      </c>
      <c r="M930" s="2" t="s">
        <v>39</v>
      </c>
      <c r="N930" s="2" t="s">
        <v>38</v>
      </c>
      <c r="O930" s="2" t="s">
        <v>38</v>
      </c>
      <c r="P930" s="2" t="s">
        <v>39</v>
      </c>
      <c r="Q930" s="2" t="s">
        <v>39</v>
      </c>
      <c r="R930" s="2" t="s">
        <v>38</v>
      </c>
      <c r="S930" s="2" t="s">
        <v>38</v>
      </c>
      <c r="T930" s="2" t="s">
        <v>39</v>
      </c>
      <c r="U930" s="2" t="s">
        <v>38</v>
      </c>
      <c r="V930" s="2" t="s">
        <v>38</v>
      </c>
      <c r="W930" s="2" t="s">
        <v>38</v>
      </c>
      <c r="X930" s="2" t="s">
        <v>39</v>
      </c>
      <c r="Y930" s="2" t="s">
        <v>39</v>
      </c>
      <c r="Z930" s="2" t="s">
        <v>38</v>
      </c>
      <c r="AA930" s="2" t="s">
        <v>38</v>
      </c>
      <c r="AB930" s="2" t="s">
        <v>39</v>
      </c>
      <c r="AC930" s="2" t="s">
        <v>38</v>
      </c>
      <c r="AD930" s="2" t="s">
        <v>38</v>
      </c>
      <c r="AE930" s="2" t="s">
        <v>39</v>
      </c>
    </row>
    <row r="931" spans="1:31" ht="409.5">
      <c r="A931" s="2">
        <v>2750283</v>
      </c>
      <c r="B931" s="2">
        <f>HYPERLINK("https://platform.v2.vetology.net/cases/2750283/screening-report/1?type=pdf&amp;v=v6&amp;scorecard=1&amp;secret_key=BX%25IJ%24%2F65ieZ%29f6", 2750283)</f>
        <v>2750283</v>
      </c>
      <c r="C931" s="2">
        <f>HYPERLINK("https://platform.v2.vetology.net/report/v/final/"&amp;2750283, 2750283)</f>
        <v>2750283</v>
      </c>
      <c r="D931" s="2" t="s">
        <v>3122</v>
      </c>
      <c r="E931" s="2" t="s">
        <v>3123</v>
      </c>
      <c r="F931" s="2" t="s">
        <v>3124</v>
      </c>
      <c r="G931" s="2" t="s">
        <v>170</v>
      </c>
      <c r="H931" s="2" t="s">
        <v>2003</v>
      </c>
      <c r="I931" s="2" t="s">
        <v>46</v>
      </c>
      <c r="J931" s="2"/>
      <c r="K931" s="2" t="s">
        <v>39</v>
      </c>
      <c r="L931" s="2" t="s">
        <v>38</v>
      </c>
      <c r="M931" s="2" t="s">
        <v>39</v>
      </c>
      <c r="N931" s="2" t="s">
        <v>39</v>
      </c>
      <c r="O931" s="2" t="s">
        <v>39</v>
      </c>
      <c r="P931" s="2" t="s">
        <v>39</v>
      </c>
      <c r="Q931" s="2" t="s">
        <v>39</v>
      </c>
      <c r="R931" s="2" t="s">
        <v>38</v>
      </c>
      <c r="S931" s="2" t="s">
        <v>39</v>
      </c>
      <c r="T931" s="2" t="s">
        <v>39</v>
      </c>
      <c r="U931" s="2" t="s">
        <v>39</v>
      </c>
      <c r="V931" s="2" t="s">
        <v>39</v>
      </c>
      <c r="W931" s="2" t="s">
        <v>39</v>
      </c>
      <c r="X931" s="2" t="s">
        <v>39</v>
      </c>
      <c r="Y931" s="2" t="s">
        <v>39</v>
      </c>
      <c r="Z931" s="2" t="s">
        <v>39</v>
      </c>
      <c r="AA931" s="2" t="s">
        <v>39</v>
      </c>
      <c r="AB931" s="2" t="s">
        <v>39</v>
      </c>
      <c r="AC931" s="2" t="s">
        <v>39</v>
      </c>
      <c r="AD931" s="2" t="s">
        <v>38</v>
      </c>
      <c r="AE931" s="2" t="s">
        <v>39</v>
      </c>
    </row>
    <row r="932" spans="1:31" ht="409.5">
      <c r="A932" s="2">
        <v>2750189</v>
      </c>
      <c r="B932" s="2">
        <f>HYPERLINK("https://platform.v2.vetology.net/cases/2750189/screening-report/1?type=pdf&amp;v=v6&amp;scorecard=1&amp;secret_key=BX%25IJ%24%2F65ieZ%29f6", 2750189)</f>
        <v>2750189</v>
      </c>
      <c r="C932" s="2">
        <f>HYPERLINK("https://platform.v2.vetology.net/report/v/final/"&amp;2750189, 2750189)</f>
        <v>2750189</v>
      </c>
      <c r="D932" s="2" t="s">
        <v>3125</v>
      </c>
      <c r="E932" s="2" t="s">
        <v>3126</v>
      </c>
      <c r="F932" s="2" t="s">
        <v>3127</v>
      </c>
      <c r="G932" s="2" t="s">
        <v>145</v>
      </c>
      <c r="H932" s="2" t="s">
        <v>3128</v>
      </c>
      <c r="I932" s="2" t="s">
        <v>36</v>
      </c>
      <c r="J932" s="2" t="s">
        <v>37</v>
      </c>
      <c r="K932" s="2" t="s">
        <v>38</v>
      </c>
      <c r="L932" s="2" t="s">
        <v>38</v>
      </c>
      <c r="M932" s="2" t="s">
        <v>39</v>
      </c>
      <c r="N932" s="2" t="s">
        <v>39</v>
      </c>
      <c r="O932" s="2" t="s">
        <v>38</v>
      </c>
      <c r="P932" s="2" t="s">
        <v>38</v>
      </c>
      <c r="Q932" s="2" t="s">
        <v>39</v>
      </c>
      <c r="R932" s="2" t="s">
        <v>39</v>
      </c>
      <c r="S932" s="2" t="s">
        <v>39</v>
      </c>
      <c r="T932" s="2" t="s">
        <v>38</v>
      </c>
      <c r="U932" s="2" t="s">
        <v>39</v>
      </c>
      <c r="V932" s="2" t="s">
        <v>38</v>
      </c>
      <c r="W932" s="2" t="s">
        <v>38</v>
      </c>
      <c r="X932" s="2" t="s">
        <v>39</v>
      </c>
      <c r="Y932" s="2" t="s">
        <v>39</v>
      </c>
      <c r="Z932" s="2" t="s">
        <v>39</v>
      </c>
      <c r="AA932" s="2" t="s">
        <v>39</v>
      </c>
      <c r="AB932" s="2" t="s">
        <v>39</v>
      </c>
      <c r="AC932" s="2" t="s">
        <v>38</v>
      </c>
      <c r="AD932" s="2" t="s">
        <v>38</v>
      </c>
      <c r="AE932" s="2" t="s">
        <v>39</v>
      </c>
    </row>
    <row r="933" spans="1:31" ht="409.5">
      <c r="A933" s="2">
        <v>2750146</v>
      </c>
      <c r="B933" s="2">
        <f>HYPERLINK("https://platform.v2.vetology.net/cases/2750146/screening-report/1?type=pdf&amp;v=v6&amp;scorecard=1&amp;secret_key=BX%25IJ%24%2F65ieZ%29f6", 2750146)</f>
        <v>2750146</v>
      </c>
      <c r="C933" s="2">
        <f>HYPERLINK("https://platform.v2.vetology.net/report/v/final/"&amp;2750146, 2750146)</f>
        <v>2750146</v>
      </c>
      <c r="D933" s="2" t="s">
        <v>3129</v>
      </c>
      <c r="E933" s="2" t="s">
        <v>3130</v>
      </c>
      <c r="F933" s="2" t="s">
        <v>43</v>
      </c>
      <c r="G933" s="2" t="s">
        <v>44</v>
      </c>
      <c r="H933" s="2" t="s">
        <v>3131</v>
      </c>
      <c r="I933" s="2" t="s">
        <v>129</v>
      </c>
      <c r="J933" s="2" t="s">
        <v>74</v>
      </c>
      <c r="K933" s="2" t="s">
        <v>38</v>
      </c>
      <c r="L933" s="2" t="s">
        <v>38</v>
      </c>
      <c r="M933" s="2" t="s">
        <v>38</v>
      </c>
      <c r="N933" s="2" t="s">
        <v>38</v>
      </c>
      <c r="O933" s="2" t="s">
        <v>38</v>
      </c>
      <c r="P933" s="2" t="s">
        <v>38</v>
      </c>
      <c r="Q933" s="2" t="s">
        <v>38</v>
      </c>
      <c r="R933" s="2" t="s">
        <v>38</v>
      </c>
      <c r="S933" s="2" t="s">
        <v>38</v>
      </c>
      <c r="T933" s="2" t="s">
        <v>38</v>
      </c>
      <c r="U933" s="2" t="s">
        <v>39</v>
      </c>
      <c r="V933" s="2" t="s">
        <v>39</v>
      </c>
      <c r="W933" s="2" t="s">
        <v>38</v>
      </c>
      <c r="X933" s="2" t="s">
        <v>38</v>
      </c>
      <c r="Y933" s="2" t="s">
        <v>38</v>
      </c>
      <c r="Z933" s="2" t="s">
        <v>38</v>
      </c>
      <c r="AA933" s="2" t="s">
        <v>38</v>
      </c>
      <c r="AB933" s="2" t="s">
        <v>38</v>
      </c>
      <c r="AC933" s="2" t="s">
        <v>38</v>
      </c>
      <c r="AD933" s="2" t="s">
        <v>38</v>
      </c>
      <c r="AE933" s="2" t="s">
        <v>40</v>
      </c>
    </row>
    <row r="934" spans="1:31" ht="409.5">
      <c r="A934" s="2">
        <v>2750108</v>
      </c>
      <c r="B934" s="2">
        <f>HYPERLINK("https://platform.v2.vetology.net/cases/2750108/screening-report/1?type=pdf&amp;v=v6&amp;scorecard=1&amp;secret_key=BX%25IJ%24%2F65ieZ%29f6", 2750108)</f>
        <v>2750108</v>
      </c>
      <c r="C934" s="2">
        <f>HYPERLINK("https://platform.v2.vetology.net/report/v/final/"&amp;2750108, 2750108)</f>
        <v>2750108</v>
      </c>
      <c r="D934" s="2" t="s">
        <v>3132</v>
      </c>
      <c r="E934" s="2" t="s">
        <v>3133</v>
      </c>
      <c r="F934" s="2" t="s">
        <v>3134</v>
      </c>
      <c r="G934" s="2" t="s">
        <v>44</v>
      </c>
      <c r="H934" s="2" t="s">
        <v>69</v>
      </c>
      <c r="I934" s="2" t="s">
        <v>46</v>
      </c>
      <c r="J934" s="2"/>
      <c r="K934" s="2" t="s">
        <v>39</v>
      </c>
      <c r="L934" s="2" t="s">
        <v>39</v>
      </c>
      <c r="M934" s="2" t="s">
        <v>39</v>
      </c>
      <c r="N934" s="2" t="s">
        <v>39</v>
      </c>
      <c r="O934" s="2" t="s">
        <v>39</v>
      </c>
      <c r="P934" s="2" t="s">
        <v>39</v>
      </c>
      <c r="Q934" s="2" t="s">
        <v>39</v>
      </c>
      <c r="R934" s="2" t="s">
        <v>39</v>
      </c>
      <c r="S934" s="2" t="s">
        <v>39</v>
      </c>
      <c r="T934" s="2" t="s">
        <v>39</v>
      </c>
      <c r="U934" s="2" t="s">
        <v>39</v>
      </c>
      <c r="V934" s="2" t="s">
        <v>39</v>
      </c>
      <c r="W934" s="2" t="s">
        <v>38</v>
      </c>
      <c r="X934" s="2" t="s">
        <v>39</v>
      </c>
      <c r="Y934" s="2" t="s">
        <v>39</v>
      </c>
      <c r="Z934" s="2" t="s">
        <v>39</v>
      </c>
      <c r="AA934" s="2" t="s">
        <v>39</v>
      </c>
      <c r="AB934" s="2" t="s">
        <v>39</v>
      </c>
      <c r="AC934" s="2" t="s">
        <v>38</v>
      </c>
      <c r="AD934" s="2" t="s">
        <v>38</v>
      </c>
      <c r="AE934" s="2" t="s">
        <v>40</v>
      </c>
    </row>
    <row r="935" spans="1:31" ht="409.5">
      <c r="A935" s="2">
        <v>2750099</v>
      </c>
      <c r="B935" s="2">
        <f>HYPERLINK("https://platform.v2.vetology.net/cases/2750099/screening-report/1?type=pdf&amp;v=v6&amp;scorecard=1&amp;secret_key=BX%25IJ%24%2F65ieZ%29f6", 2750099)</f>
        <v>2750099</v>
      </c>
      <c r="C935" s="2">
        <f>HYPERLINK("https://platform.v2.vetology.net/report/v/final/"&amp;2750099, 2750099)</f>
        <v>2750099</v>
      </c>
      <c r="D935" s="2" t="s">
        <v>3135</v>
      </c>
      <c r="E935" s="2" t="s">
        <v>3136</v>
      </c>
      <c r="F935" s="2" t="s">
        <v>3137</v>
      </c>
      <c r="G935" s="2" t="s">
        <v>2414</v>
      </c>
      <c r="H935" s="2" t="s">
        <v>1248</v>
      </c>
      <c r="I935" s="2" t="s">
        <v>813</v>
      </c>
      <c r="J935" s="2" t="s">
        <v>37</v>
      </c>
      <c r="K935" s="2" t="s">
        <v>39</v>
      </c>
      <c r="L935" s="2" t="s">
        <v>39</v>
      </c>
      <c r="M935" s="2" t="s">
        <v>39</v>
      </c>
      <c r="N935" s="2" t="s">
        <v>39</v>
      </c>
      <c r="O935" s="2" t="s">
        <v>39</v>
      </c>
      <c r="P935" s="2" t="s">
        <v>39</v>
      </c>
      <c r="Q935" s="2" t="s">
        <v>39</v>
      </c>
      <c r="R935" s="2" t="s">
        <v>38</v>
      </c>
      <c r="S935" s="2" t="s">
        <v>39</v>
      </c>
      <c r="T935" s="2" t="s">
        <v>39</v>
      </c>
      <c r="U935" s="2" t="s">
        <v>39</v>
      </c>
      <c r="V935" s="2" t="s">
        <v>39</v>
      </c>
      <c r="W935" s="2" t="s">
        <v>38</v>
      </c>
      <c r="X935" s="2" t="s">
        <v>39</v>
      </c>
      <c r="Y935" s="2" t="s">
        <v>39</v>
      </c>
      <c r="Z935" s="2" t="s">
        <v>38</v>
      </c>
      <c r="AA935" s="2" t="s">
        <v>39</v>
      </c>
      <c r="AB935" s="2" t="s">
        <v>39</v>
      </c>
      <c r="AC935" s="2" t="s">
        <v>38</v>
      </c>
      <c r="AD935" s="2" t="s">
        <v>39</v>
      </c>
      <c r="AE935" s="2" t="s">
        <v>40</v>
      </c>
    </row>
    <row r="936" spans="1:31" ht="409.5">
      <c r="A936" s="2">
        <v>2750098</v>
      </c>
      <c r="B936" s="2">
        <f>HYPERLINK("https://platform.v2.vetology.net/cases/2750098/screening-report/1?type=pdf&amp;v=v6&amp;scorecard=1&amp;secret_key=BX%25IJ%24%2F65ieZ%29f6", 2750098)</f>
        <v>2750098</v>
      </c>
      <c r="C936" s="2">
        <f>HYPERLINK("https://platform.v2.vetology.net/report/v/final/"&amp;2750098, 2750098)</f>
        <v>2750098</v>
      </c>
      <c r="D936" s="2" t="s">
        <v>3138</v>
      </c>
      <c r="E936" s="2" t="s">
        <v>3139</v>
      </c>
      <c r="F936" s="2" t="s">
        <v>43</v>
      </c>
      <c r="G936" s="2" t="s">
        <v>44</v>
      </c>
      <c r="H936" s="2" t="s">
        <v>3140</v>
      </c>
      <c r="I936" s="2" t="s">
        <v>36</v>
      </c>
      <c r="J936" s="2" t="s">
        <v>37</v>
      </c>
      <c r="K936" s="2" t="s">
        <v>39</v>
      </c>
      <c r="L936" s="2" t="s">
        <v>38</v>
      </c>
      <c r="M936" s="2" t="s">
        <v>39</v>
      </c>
      <c r="N936" s="2" t="s">
        <v>38</v>
      </c>
      <c r="O936" s="2" t="s">
        <v>39</v>
      </c>
      <c r="P936" s="2" t="s">
        <v>38</v>
      </c>
      <c r="Q936" s="2" t="s">
        <v>39</v>
      </c>
      <c r="R936" s="2" t="s">
        <v>39</v>
      </c>
      <c r="S936" s="2" t="s">
        <v>39</v>
      </c>
      <c r="T936" s="2" t="s">
        <v>39</v>
      </c>
      <c r="U936" s="2" t="s">
        <v>39</v>
      </c>
      <c r="V936" s="2" t="s">
        <v>39</v>
      </c>
      <c r="W936" s="2" t="s">
        <v>39</v>
      </c>
      <c r="X936" s="2" t="s">
        <v>39</v>
      </c>
      <c r="Y936" s="2" t="s">
        <v>39</v>
      </c>
      <c r="Z936" s="2" t="s">
        <v>39</v>
      </c>
      <c r="AA936" s="2" t="s">
        <v>39</v>
      </c>
      <c r="AB936" s="2" t="s">
        <v>39</v>
      </c>
      <c r="AC936" s="2" t="s">
        <v>39</v>
      </c>
      <c r="AD936" s="2" t="s">
        <v>39</v>
      </c>
      <c r="AE936" s="2" t="s">
        <v>39</v>
      </c>
    </row>
    <row r="937" spans="1:31" ht="409.5">
      <c r="A937" s="2">
        <v>2750090</v>
      </c>
      <c r="B937" s="2">
        <f>HYPERLINK("https://platform.v2.vetology.net/cases/2750090/screening-report/1?type=pdf&amp;v=v6&amp;scorecard=1&amp;secret_key=BX%25IJ%24%2F65ieZ%29f6", 2750090)</f>
        <v>2750090</v>
      </c>
      <c r="C937" s="2">
        <f>HYPERLINK("https://platform.v2.vetology.net/report/v/final/"&amp;2750090, 2750090)</f>
        <v>2750090</v>
      </c>
      <c r="D937" s="2" t="s">
        <v>3141</v>
      </c>
      <c r="E937" s="2" t="s">
        <v>3142</v>
      </c>
      <c r="F937" s="2" t="s">
        <v>3143</v>
      </c>
      <c r="G937" s="2" t="s">
        <v>2414</v>
      </c>
      <c r="H937" s="2" t="s">
        <v>69</v>
      </c>
      <c r="I937" s="2" t="s">
        <v>46</v>
      </c>
      <c r="J937" s="2"/>
      <c r="K937" s="2" t="s">
        <v>39</v>
      </c>
      <c r="L937" s="2" t="s">
        <v>39</v>
      </c>
      <c r="M937" s="2" t="s">
        <v>39</v>
      </c>
      <c r="N937" s="2" t="s">
        <v>39</v>
      </c>
      <c r="O937" s="2" t="s">
        <v>39</v>
      </c>
      <c r="P937" s="2" t="s">
        <v>39</v>
      </c>
      <c r="Q937" s="2" t="s">
        <v>39</v>
      </c>
      <c r="R937" s="2" t="s">
        <v>39</v>
      </c>
      <c r="S937" s="2" t="s">
        <v>39</v>
      </c>
      <c r="T937" s="2" t="s">
        <v>39</v>
      </c>
      <c r="U937" s="2" t="s">
        <v>39</v>
      </c>
      <c r="V937" s="2" t="s">
        <v>39</v>
      </c>
      <c r="W937" s="2" t="s">
        <v>39</v>
      </c>
      <c r="X937" s="2" t="s">
        <v>39</v>
      </c>
      <c r="Y937" s="2" t="s">
        <v>39</v>
      </c>
      <c r="Z937" s="2" t="s">
        <v>39</v>
      </c>
      <c r="AA937" s="2" t="s">
        <v>39</v>
      </c>
      <c r="AB937" s="2" t="s">
        <v>39</v>
      </c>
      <c r="AC937" s="2" t="s">
        <v>39</v>
      </c>
      <c r="AD937" s="2" t="s">
        <v>39</v>
      </c>
      <c r="AE937" s="2" t="s">
        <v>39</v>
      </c>
    </row>
    <row r="938" spans="1:31" ht="409.5">
      <c r="A938" s="2">
        <v>2750084</v>
      </c>
      <c r="B938" s="2">
        <f>HYPERLINK("https://platform.v2.vetology.net/cases/2750084/screening-report/1?type=pdf&amp;v=v6&amp;scorecard=1&amp;secret_key=BX%25IJ%24%2F65ieZ%29f6", 2750084)</f>
        <v>2750084</v>
      </c>
      <c r="C938" s="2">
        <f>HYPERLINK("https://platform.v2.vetology.net/report/v/final/"&amp;2750084, 2750084)</f>
        <v>2750084</v>
      </c>
      <c r="D938" s="2" t="s">
        <v>3144</v>
      </c>
      <c r="E938" s="2" t="s">
        <v>3145</v>
      </c>
      <c r="F938" s="2" t="s">
        <v>43</v>
      </c>
      <c r="G938" s="2" t="s">
        <v>44</v>
      </c>
      <c r="H938" s="2" t="s">
        <v>3146</v>
      </c>
      <c r="I938" s="2" t="s">
        <v>73</v>
      </c>
      <c r="J938" s="2" t="s">
        <v>74</v>
      </c>
      <c r="K938" s="2" t="s">
        <v>38</v>
      </c>
      <c r="L938" s="2" t="s">
        <v>38</v>
      </c>
      <c r="M938" s="2" t="s">
        <v>38</v>
      </c>
      <c r="N938" s="2" t="s">
        <v>38</v>
      </c>
      <c r="O938" s="2" t="s">
        <v>38</v>
      </c>
      <c r="P938" s="2" t="s">
        <v>38</v>
      </c>
      <c r="Q938" s="2" t="s">
        <v>38</v>
      </c>
      <c r="R938" s="2" t="s">
        <v>39</v>
      </c>
      <c r="S938" s="2" t="s">
        <v>38</v>
      </c>
      <c r="T938" s="2" t="s">
        <v>38</v>
      </c>
      <c r="U938" s="2" t="s">
        <v>38</v>
      </c>
      <c r="V938" s="2" t="s">
        <v>38</v>
      </c>
      <c r="W938" s="2" t="s">
        <v>38</v>
      </c>
      <c r="X938" s="2" t="s">
        <v>38</v>
      </c>
      <c r="Y938" s="2" t="s">
        <v>38</v>
      </c>
      <c r="Z938" s="2" t="s">
        <v>38</v>
      </c>
      <c r="AA938" s="2" t="s">
        <v>38</v>
      </c>
      <c r="AB938" s="2" t="s">
        <v>38</v>
      </c>
      <c r="AC938" s="2" t="s">
        <v>38</v>
      </c>
      <c r="AD938" s="2" t="s">
        <v>39</v>
      </c>
      <c r="AE938" s="2" t="s">
        <v>40</v>
      </c>
    </row>
    <row r="939" spans="1:31" ht="409.5">
      <c r="A939" s="2">
        <v>2750037</v>
      </c>
      <c r="B939" s="2">
        <f>HYPERLINK("https://platform.v2.vetology.net/cases/2750037/screening-report/1?type=pdf&amp;v=v6&amp;scorecard=1&amp;secret_key=BX%25IJ%24%2F65ieZ%29f6", 2750037)</f>
        <v>2750037</v>
      </c>
      <c r="C939" s="2">
        <f>HYPERLINK("https://platform.v2.vetology.net/report/v/final/"&amp;2750037, 2750037)</f>
        <v>2750037</v>
      </c>
      <c r="D939" s="2" t="s">
        <v>3147</v>
      </c>
      <c r="E939" s="2" t="s">
        <v>3148</v>
      </c>
      <c r="F939" s="2" t="s">
        <v>3149</v>
      </c>
      <c r="G939" s="2" t="s">
        <v>44</v>
      </c>
      <c r="H939" s="2" t="s">
        <v>2842</v>
      </c>
      <c r="I939" s="2" t="s">
        <v>36</v>
      </c>
      <c r="J939" s="2" t="s">
        <v>37</v>
      </c>
      <c r="K939" s="2" t="s">
        <v>39</v>
      </c>
      <c r="L939" s="2" t="s">
        <v>38</v>
      </c>
      <c r="M939" s="2" t="s">
        <v>39</v>
      </c>
      <c r="N939" s="2" t="s">
        <v>38</v>
      </c>
      <c r="O939" s="2" t="s">
        <v>39</v>
      </c>
      <c r="P939" s="2" t="s">
        <v>39</v>
      </c>
      <c r="Q939" s="2" t="s">
        <v>39</v>
      </c>
      <c r="R939" s="2" t="s">
        <v>38</v>
      </c>
      <c r="S939" s="2" t="s">
        <v>38</v>
      </c>
      <c r="T939" s="2" t="s">
        <v>39</v>
      </c>
      <c r="U939" s="2" t="s">
        <v>39</v>
      </c>
      <c r="V939" s="2" t="s">
        <v>39</v>
      </c>
      <c r="W939" s="2" t="s">
        <v>38</v>
      </c>
      <c r="X939" s="2" t="s">
        <v>39</v>
      </c>
      <c r="Y939" s="2" t="s">
        <v>39</v>
      </c>
      <c r="Z939" s="2" t="s">
        <v>38</v>
      </c>
      <c r="AA939" s="2" t="s">
        <v>38</v>
      </c>
      <c r="AB939" s="2" t="s">
        <v>39</v>
      </c>
      <c r="AC939" s="2" t="s">
        <v>38</v>
      </c>
      <c r="AD939" s="2" t="s">
        <v>39</v>
      </c>
      <c r="AE939" s="2"/>
    </row>
    <row r="940" spans="1:31" ht="409.5">
      <c r="A940" s="2">
        <v>2750034</v>
      </c>
      <c r="B940" s="2">
        <f>HYPERLINK("https://platform.v2.vetology.net/cases/2750034/screening-report/1?type=pdf&amp;v=v6&amp;scorecard=1&amp;secret_key=BX%25IJ%24%2F65ieZ%29f6", 2750034)</f>
        <v>2750034</v>
      </c>
      <c r="C940" s="2">
        <f>HYPERLINK("https://platform.v2.vetology.net/report/v/final/"&amp;2750034, 2750034)</f>
        <v>2750034</v>
      </c>
      <c r="D940" s="2" t="s">
        <v>3150</v>
      </c>
      <c r="E940" s="2" t="s">
        <v>3151</v>
      </c>
      <c r="F940" s="2" t="s">
        <v>3152</v>
      </c>
      <c r="G940" s="2" t="s">
        <v>44</v>
      </c>
      <c r="H940" s="2" t="s">
        <v>3153</v>
      </c>
      <c r="I940" s="2" t="s">
        <v>36</v>
      </c>
      <c r="J940" s="2" t="s">
        <v>37</v>
      </c>
      <c r="K940" s="2" t="s">
        <v>39</v>
      </c>
      <c r="L940" s="2" t="s">
        <v>38</v>
      </c>
      <c r="M940" s="2" t="s">
        <v>39</v>
      </c>
      <c r="N940" s="2" t="s">
        <v>38</v>
      </c>
      <c r="O940" s="2" t="s">
        <v>39</v>
      </c>
      <c r="P940" s="2" t="s">
        <v>38</v>
      </c>
      <c r="Q940" s="2" t="s">
        <v>39</v>
      </c>
      <c r="R940" s="2" t="s">
        <v>39</v>
      </c>
      <c r="S940" s="2" t="s">
        <v>39</v>
      </c>
      <c r="T940" s="2" t="s">
        <v>38</v>
      </c>
      <c r="U940" s="2" t="s">
        <v>39</v>
      </c>
      <c r="V940" s="2" t="s">
        <v>39</v>
      </c>
      <c r="W940" s="2" t="s">
        <v>39</v>
      </c>
      <c r="X940" s="2" t="s">
        <v>39</v>
      </c>
      <c r="Y940" s="2" t="s">
        <v>39</v>
      </c>
      <c r="Z940" s="2" t="s">
        <v>38</v>
      </c>
      <c r="AA940" s="2" t="s">
        <v>39</v>
      </c>
      <c r="AB940" s="2" t="s">
        <v>39</v>
      </c>
      <c r="AC940" s="2" t="s">
        <v>38</v>
      </c>
      <c r="AD940" s="2" t="s">
        <v>39</v>
      </c>
      <c r="AE940" s="2"/>
    </row>
    <row r="941" spans="1:31" ht="409.5">
      <c r="A941" s="2">
        <v>2750014</v>
      </c>
      <c r="B941" s="2">
        <f>HYPERLINK("https://platform.v2.vetology.net/cases/2750014/screening-report/1?type=pdf&amp;v=v6&amp;scorecard=1&amp;secret_key=BX%25IJ%24%2F65ieZ%29f6", 2750014)</f>
        <v>2750014</v>
      </c>
      <c r="C941" s="2">
        <f>HYPERLINK("https://platform.v2.vetology.net/report/v/final/"&amp;2750014, 2750014)</f>
        <v>2750014</v>
      </c>
      <c r="D941" s="2" t="s">
        <v>3154</v>
      </c>
      <c r="E941" s="2" t="s">
        <v>3155</v>
      </c>
      <c r="F941" s="2" t="s">
        <v>43</v>
      </c>
      <c r="G941" s="2" t="s">
        <v>44</v>
      </c>
      <c r="H941" s="2" t="s">
        <v>3156</v>
      </c>
      <c r="I941" s="2" t="s">
        <v>36</v>
      </c>
      <c r="J941" s="2" t="s">
        <v>37</v>
      </c>
      <c r="K941" s="2" t="s">
        <v>38</v>
      </c>
      <c r="L941" s="2" t="s">
        <v>39</v>
      </c>
      <c r="M941" s="2" t="s">
        <v>38</v>
      </c>
      <c r="N941" s="2" t="s">
        <v>39</v>
      </c>
      <c r="O941" s="2" t="s">
        <v>39</v>
      </c>
      <c r="P941" s="2" t="s">
        <v>39</v>
      </c>
      <c r="Q941" s="2" t="s">
        <v>39</v>
      </c>
      <c r="R941" s="2" t="s">
        <v>38</v>
      </c>
      <c r="S941" s="2" t="s">
        <v>39</v>
      </c>
      <c r="T941" s="2" t="s">
        <v>38</v>
      </c>
      <c r="U941" s="2" t="s">
        <v>39</v>
      </c>
      <c r="V941" s="2" t="s">
        <v>38</v>
      </c>
      <c r="W941" s="2" t="s">
        <v>38</v>
      </c>
      <c r="X941" s="2" t="s">
        <v>39</v>
      </c>
      <c r="Y941" s="2" t="s">
        <v>39</v>
      </c>
      <c r="Z941" s="2" t="s">
        <v>39</v>
      </c>
      <c r="AA941" s="2" t="s">
        <v>39</v>
      </c>
      <c r="AB941" s="2" t="s">
        <v>39</v>
      </c>
      <c r="AC941" s="2" t="s">
        <v>38</v>
      </c>
      <c r="AD941" s="2" t="s">
        <v>38</v>
      </c>
      <c r="AE941" s="2" t="s">
        <v>39</v>
      </c>
    </row>
    <row r="942" spans="1:31" ht="409.5">
      <c r="A942" s="2">
        <v>2749959</v>
      </c>
      <c r="B942" s="2">
        <f>HYPERLINK("https://platform.v2.vetology.net/cases/2749959/screening-report/1?type=pdf&amp;v=v6&amp;scorecard=1&amp;secret_key=BX%25IJ%24%2F65ieZ%29f6", 2749959)</f>
        <v>2749959</v>
      </c>
      <c r="C942" s="2">
        <f>HYPERLINK("https://platform.v2.vetology.net/report/v/final/"&amp;2749959, 2749959)</f>
        <v>2749959</v>
      </c>
      <c r="D942" s="2" t="s">
        <v>3157</v>
      </c>
      <c r="E942" s="2" t="s">
        <v>3158</v>
      </c>
      <c r="F942" s="2" t="s">
        <v>3159</v>
      </c>
      <c r="G942" s="2" t="s">
        <v>53</v>
      </c>
      <c r="H942" s="2" t="s">
        <v>69</v>
      </c>
      <c r="I942" s="2" t="s">
        <v>46</v>
      </c>
      <c r="J942" s="2"/>
      <c r="K942" s="2" t="s">
        <v>39</v>
      </c>
      <c r="L942" s="2" t="s">
        <v>39</v>
      </c>
      <c r="M942" s="2" t="s">
        <v>39</v>
      </c>
      <c r="N942" s="2" t="s">
        <v>39</v>
      </c>
      <c r="O942" s="2" t="s">
        <v>39</v>
      </c>
      <c r="P942" s="2" t="s">
        <v>39</v>
      </c>
      <c r="Q942" s="2" t="s">
        <v>39</v>
      </c>
      <c r="R942" s="2" t="s">
        <v>39</v>
      </c>
      <c r="S942" s="2" t="s">
        <v>39</v>
      </c>
      <c r="T942" s="2" t="s">
        <v>39</v>
      </c>
      <c r="U942" s="2" t="s">
        <v>39</v>
      </c>
      <c r="V942" s="2" t="s">
        <v>38</v>
      </c>
      <c r="W942" s="2" t="s">
        <v>39</v>
      </c>
      <c r="X942" s="2" t="s">
        <v>39</v>
      </c>
      <c r="Y942" s="2" t="s">
        <v>39</v>
      </c>
      <c r="Z942" s="2" t="s">
        <v>39</v>
      </c>
      <c r="AA942" s="2" t="s">
        <v>39</v>
      </c>
      <c r="AB942" s="2" t="s">
        <v>39</v>
      </c>
      <c r="AC942" s="2" t="s">
        <v>39</v>
      </c>
      <c r="AD942" s="2" t="s">
        <v>39</v>
      </c>
      <c r="AE942" s="2" t="s">
        <v>39</v>
      </c>
    </row>
    <row r="943" spans="1:31" ht="409.5">
      <c r="A943" s="2">
        <v>2749943</v>
      </c>
      <c r="B943" s="2">
        <f>HYPERLINK("https://platform.v2.vetology.net/cases/2749943/screening-report/1?type=pdf&amp;v=v6&amp;scorecard=1&amp;secret_key=BX%25IJ%24%2F65ieZ%29f6", 2749943)</f>
        <v>2749943</v>
      </c>
      <c r="C943" s="2">
        <f>HYPERLINK("https://platform.v2.vetology.net/report/v/final/"&amp;2749943, 2749943)</f>
        <v>2749943</v>
      </c>
      <c r="D943" s="2" t="s">
        <v>3160</v>
      </c>
      <c r="E943" s="2" t="s">
        <v>3161</v>
      </c>
      <c r="F943" s="2" t="s">
        <v>43</v>
      </c>
      <c r="G943" s="2" t="s">
        <v>507</v>
      </c>
      <c r="H943" s="2" t="s">
        <v>625</v>
      </c>
      <c r="I943" s="2" t="s">
        <v>73</v>
      </c>
      <c r="J943" s="2" t="s">
        <v>74</v>
      </c>
      <c r="K943" s="2" t="s">
        <v>38</v>
      </c>
      <c r="L943" s="2" t="s">
        <v>38</v>
      </c>
      <c r="M943" s="2" t="s">
        <v>38</v>
      </c>
      <c r="N943" s="2" t="s">
        <v>38</v>
      </c>
      <c r="O943" s="2" t="s">
        <v>38</v>
      </c>
      <c r="P943" s="2" t="s">
        <v>38</v>
      </c>
      <c r="Q943" s="2" t="s">
        <v>38</v>
      </c>
      <c r="R943" s="2" t="s">
        <v>38</v>
      </c>
      <c r="S943" s="2" t="s">
        <v>38</v>
      </c>
      <c r="T943" s="2" t="s">
        <v>38</v>
      </c>
      <c r="U943" s="2" t="s">
        <v>38</v>
      </c>
      <c r="V943" s="2" t="s">
        <v>38</v>
      </c>
      <c r="W943" s="2" t="s">
        <v>38</v>
      </c>
      <c r="X943" s="2" t="s">
        <v>38</v>
      </c>
      <c r="Y943" s="2" t="s">
        <v>38</v>
      </c>
      <c r="Z943" s="2" t="s">
        <v>38</v>
      </c>
      <c r="AA943" s="2" t="s">
        <v>38</v>
      </c>
      <c r="AB943" s="2" t="s">
        <v>38</v>
      </c>
      <c r="AC943" s="2" t="s">
        <v>38</v>
      </c>
      <c r="AD943" s="2" t="s">
        <v>38</v>
      </c>
      <c r="AE943" s="2" t="s">
        <v>39</v>
      </c>
    </row>
    <row r="944" spans="1:31" ht="409.5">
      <c r="A944" s="2">
        <v>2749825</v>
      </c>
      <c r="B944" s="2">
        <f>HYPERLINK("https://platform.v2.vetology.net/cases/2749825/screening-report/1?type=pdf&amp;v=v6&amp;scorecard=1&amp;secret_key=BX%25IJ%24%2F65ieZ%29f6", 2749825)</f>
        <v>2749825</v>
      </c>
      <c r="C944" s="2">
        <f>HYPERLINK("https://platform.v2.vetology.net/report/v/final/"&amp;2749825, 2749825)</f>
        <v>2749825</v>
      </c>
      <c r="D944" s="2" t="s">
        <v>3162</v>
      </c>
      <c r="E944" s="2" t="s">
        <v>3163</v>
      </c>
      <c r="F944" s="2" t="s">
        <v>43</v>
      </c>
      <c r="G944" s="2" t="s">
        <v>44</v>
      </c>
      <c r="H944" s="2" t="s">
        <v>530</v>
      </c>
      <c r="I944" s="2" t="s">
        <v>59</v>
      </c>
      <c r="J944" s="2" t="s">
        <v>37</v>
      </c>
      <c r="K944" s="2" t="s">
        <v>38</v>
      </c>
      <c r="L944" s="2" t="s">
        <v>39</v>
      </c>
      <c r="M944" s="2" t="s">
        <v>39</v>
      </c>
      <c r="N944" s="2" t="s">
        <v>39</v>
      </c>
      <c r="O944" s="2" t="s">
        <v>39</v>
      </c>
      <c r="P944" s="2" t="s">
        <v>39</v>
      </c>
      <c r="Q944" s="2" t="s">
        <v>39</v>
      </c>
      <c r="R944" s="2" t="s">
        <v>39</v>
      </c>
      <c r="S944" s="2" t="s">
        <v>39</v>
      </c>
      <c r="T944" s="2" t="s">
        <v>38</v>
      </c>
      <c r="U944" s="2" t="s">
        <v>38</v>
      </c>
      <c r="V944" s="2" t="s">
        <v>38</v>
      </c>
      <c r="W944" s="2" t="s">
        <v>39</v>
      </c>
      <c r="X944" s="2" t="s">
        <v>39</v>
      </c>
      <c r="Y944" s="2" t="s">
        <v>39</v>
      </c>
      <c r="Z944" s="2" t="s">
        <v>39</v>
      </c>
      <c r="AA944" s="2" t="s">
        <v>39</v>
      </c>
      <c r="AB944" s="2" t="s">
        <v>39</v>
      </c>
      <c r="AC944" s="2" t="s">
        <v>38</v>
      </c>
      <c r="AD944" s="2" t="s">
        <v>38</v>
      </c>
      <c r="AE944" s="2" t="s">
        <v>39</v>
      </c>
    </row>
    <row r="945" spans="1:31" ht="409.5">
      <c r="A945" s="2">
        <v>2749814</v>
      </c>
      <c r="B945" s="2">
        <f>HYPERLINK("https://platform.v2.vetology.net/cases/2749814/screening-report/1?type=pdf&amp;v=v6&amp;scorecard=1&amp;secret_key=BX%25IJ%24%2F65ieZ%29f6", 2749814)</f>
        <v>2749814</v>
      </c>
      <c r="C945" s="2">
        <f>HYPERLINK("https://platform.v2.vetology.net/report/v/final/"&amp;2749814, 2749814)</f>
        <v>2749814</v>
      </c>
      <c r="D945" s="2" t="s">
        <v>3164</v>
      </c>
      <c r="E945" s="2" t="s">
        <v>3165</v>
      </c>
      <c r="F945" s="2" t="s">
        <v>3166</v>
      </c>
      <c r="G945" s="2" t="s">
        <v>34</v>
      </c>
      <c r="H945" s="2" t="s">
        <v>432</v>
      </c>
      <c r="I945" s="2" t="s">
        <v>36</v>
      </c>
      <c r="J945" s="2" t="s">
        <v>37</v>
      </c>
      <c r="K945" s="2" t="s">
        <v>39</v>
      </c>
      <c r="L945" s="2" t="s">
        <v>39</v>
      </c>
      <c r="M945" s="2" t="s">
        <v>39</v>
      </c>
      <c r="N945" s="2" t="s">
        <v>39</v>
      </c>
      <c r="O945" s="2" t="s">
        <v>39</v>
      </c>
      <c r="P945" s="2" t="s">
        <v>38</v>
      </c>
      <c r="Q945" s="2" t="s">
        <v>39</v>
      </c>
      <c r="R945" s="2" t="s">
        <v>39</v>
      </c>
      <c r="S945" s="2" t="s">
        <v>39</v>
      </c>
      <c r="T945" s="2" t="s">
        <v>38</v>
      </c>
      <c r="U945" s="2" t="s">
        <v>39</v>
      </c>
      <c r="V945" s="2" t="s">
        <v>39</v>
      </c>
      <c r="W945" s="2" t="s">
        <v>39</v>
      </c>
      <c r="X945" s="2" t="s">
        <v>39</v>
      </c>
      <c r="Y945" s="2" t="s">
        <v>39</v>
      </c>
      <c r="Z945" s="2" t="s">
        <v>39</v>
      </c>
      <c r="AA945" s="2" t="s">
        <v>39</v>
      </c>
      <c r="AB945" s="2" t="s">
        <v>39</v>
      </c>
      <c r="AC945" s="2" t="s">
        <v>39</v>
      </c>
      <c r="AD945" s="2" t="s">
        <v>39</v>
      </c>
      <c r="AE945" s="2"/>
    </row>
    <row r="946" spans="1:31" ht="409.5">
      <c r="A946" s="2">
        <v>2749780</v>
      </c>
      <c r="B946" s="2">
        <f>HYPERLINK("https://platform.v2.vetology.net/cases/2749780/screening-report/1?type=pdf&amp;v=v6&amp;scorecard=1&amp;secret_key=BX%25IJ%24%2F65ieZ%29f6", 2749780)</f>
        <v>2749780</v>
      </c>
      <c r="C946" s="2">
        <f>HYPERLINK("https://platform.v2.vetology.net/report/v/final/"&amp;2749780, 2749780)</f>
        <v>2749780</v>
      </c>
      <c r="D946" s="2" t="s">
        <v>3167</v>
      </c>
      <c r="E946" s="2" t="s">
        <v>3168</v>
      </c>
      <c r="F946" s="2" t="s">
        <v>3169</v>
      </c>
      <c r="G946" s="2" t="s">
        <v>34</v>
      </c>
      <c r="H946" s="2" t="s">
        <v>3170</v>
      </c>
      <c r="I946" s="2" t="s">
        <v>36</v>
      </c>
      <c r="J946" s="2" t="s">
        <v>37</v>
      </c>
      <c r="K946" s="2" t="s">
        <v>38</v>
      </c>
      <c r="L946" s="2" t="s">
        <v>38</v>
      </c>
      <c r="M946" s="2" t="s">
        <v>39</v>
      </c>
      <c r="N946" s="2" t="s">
        <v>38</v>
      </c>
      <c r="O946" s="2" t="s">
        <v>39</v>
      </c>
      <c r="P946" s="2" t="s">
        <v>39</v>
      </c>
      <c r="Q946" s="2" t="s">
        <v>39</v>
      </c>
      <c r="R946" s="2" t="s">
        <v>39</v>
      </c>
      <c r="S946" s="2" t="s">
        <v>39</v>
      </c>
      <c r="T946" s="2" t="s">
        <v>39</v>
      </c>
      <c r="U946" s="2" t="s">
        <v>38</v>
      </c>
      <c r="V946" s="2" t="s">
        <v>38</v>
      </c>
      <c r="W946" s="2" t="s">
        <v>39</v>
      </c>
      <c r="X946" s="2" t="s">
        <v>38</v>
      </c>
      <c r="Y946" s="2" t="s">
        <v>39</v>
      </c>
      <c r="Z946" s="2" t="s">
        <v>39</v>
      </c>
      <c r="AA946" s="2" t="s">
        <v>39</v>
      </c>
      <c r="AB946" s="2" t="s">
        <v>39</v>
      </c>
      <c r="AC946" s="2" t="s">
        <v>39</v>
      </c>
      <c r="AD946" s="2" t="s">
        <v>38</v>
      </c>
      <c r="AE946" s="2" t="s">
        <v>39</v>
      </c>
    </row>
    <row r="947" spans="1:31" ht="409.5">
      <c r="A947" s="2">
        <v>2749700</v>
      </c>
      <c r="B947" s="2">
        <f>HYPERLINK("https://platform.v2.vetology.net/cases/2749700/screening-report/1?type=pdf&amp;v=v6&amp;scorecard=1&amp;secret_key=BX%25IJ%24%2F65ieZ%29f6", 2749700)</f>
        <v>2749700</v>
      </c>
      <c r="C947" s="2">
        <f>HYPERLINK("https://platform.v2.vetology.net/report/v/final/"&amp;2749700, 2749700)</f>
        <v>2749700</v>
      </c>
      <c r="D947" s="2" t="s">
        <v>3171</v>
      </c>
      <c r="E947" s="2" t="s">
        <v>3172</v>
      </c>
      <c r="F947" s="2" t="s">
        <v>3173</v>
      </c>
      <c r="G947" s="2" t="s">
        <v>44</v>
      </c>
      <c r="H947" s="2" t="s">
        <v>3174</v>
      </c>
      <c r="I947" s="2" t="s">
        <v>36</v>
      </c>
      <c r="J947" s="2" t="s">
        <v>37</v>
      </c>
      <c r="K947" s="2" t="s">
        <v>38</v>
      </c>
      <c r="L947" s="2" t="s">
        <v>38</v>
      </c>
      <c r="M947" s="2" t="s">
        <v>38</v>
      </c>
      <c r="N947" s="2" t="s">
        <v>38</v>
      </c>
      <c r="O947" s="2" t="s">
        <v>38</v>
      </c>
      <c r="P947" s="2" t="s">
        <v>38</v>
      </c>
      <c r="Q947" s="2" t="s">
        <v>39</v>
      </c>
      <c r="R947" s="2" t="s">
        <v>38</v>
      </c>
      <c r="S947" s="2" t="s">
        <v>38</v>
      </c>
      <c r="T947" s="2" t="s">
        <v>39</v>
      </c>
      <c r="U947" s="2" t="s">
        <v>38</v>
      </c>
      <c r="V947" s="2" t="s">
        <v>38</v>
      </c>
      <c r="W947" s="2" t="s">
        <v>38</v>
      </c>
      <c r="X947" s="2" t="s">
        <v>38</v>
      </c>
      <c r="Y947" s="2" t="s">
        <v>39</v>
      </c>
      <c r="Z947" s="2" t="s">
        <v>38</v>
      </c>
      <c r="AA947" s="2" t="s">
        <v>38</v>
      </c>
      <c r="AB947" s="2" t="s">
        <v>39</v>
      </c>
      <c r="AC947" s="2" t="s">
        <v>38</v>
      </c>
      <c r="AD947" s="2" t="s">
        <v>38</v>
      </c>
      <c r="AE947" s="2" t="s">
        <v>40</v>
      </c>
    </row>
    <row r="948" spans="1:31" ht="409.5">
      <c r="A948" s="2">
        <v>2749683</v>
      </c>
      <c r="B948" s="2">
        <f>HYPERLINK("https://platform.v2.vetology.net/cases/2749683/screening-report/1?type=pdf&amp;v=v6&amp;scorecard=1&amp;secret_key=BX%25IJ%24%2F65ieZ%29f6", 2749683)</f>
        <v>2749683</v>
      </c>
      <c r="C948" s="2">
        <f>HYPERLINK("https://platform.v2.vetology.net/report/v/final/"&amp;2749683, 2749683)</f>
        <v>2749683</v>
      </c>
      <c r="D948" s="2" t="s">
        <v>3175</v>
      </c>
      <c r="E948" s="2" t="s">
        <v>3176</v>
      </c>
      <c r="F948" s="2" t="s">
        <v>3177</v>
      </c>
      <c r="G948" s="2" t="s">
        <v>111</v>
      </c>
      <c r="H948" s="2" t="s">
        <v>3178</v>
      </c>
      <c r="I948" s="2" t="s">
        <v>73</v>
      </c>
      <c r="J948" s="2" t="s">
        <v>74</v>
      </c>
      <c r="K948" s="2" t="s">
        <v>38</v>
      </c>
      <c r="L948" s="2" t="s">
        <v>38</v>
      </c>
      <c r="M948" s="2" t="s">
        <v>38</v>
      </c>
      <c r="N948" s="2" t="s">
        <v>38</v>
      </c>
      <c r="O948" s="2" t="s">
        <v>38</v>
      </c>
      <c r="P948" s="2" t="s">
        <v>38</v>
      </c>
      <c r="Q948" s="2" t="s">
        <v>38</v>
      </c>
      <c r="R948" s="2" t="s">
        <v>39</v>
      </c>
      <c r="S948" s="2" t="s">
        <v>38</v>
      </c>
      <c r="T948" s="2" t="s">
        <v>38</v>
      </c>
      <c r="U948" s="2" t="s">
        <v>38</v>
      </c>
      <c r="V948" s="2" t="s">
        <v>38</v>
      </c>
      <c r="W948" s="2" t="s">
        <v>39</v>
      </c>
      <c r="X948" s="2" t="s">
        <v>38</v>
      </c>
      <c r="Y948" s="2" t="s">
        <v>39</v>
      </c>
      <c r="Z948" s="2" t="s">
        <v>38</v>
      </c>
      <c r="AA948" s="2" t="s">
        <v>38</v>
      </c>
      <c r="AB948" s="2" t="s">
        <v>38</v>
      </c>
      <c r="AC948" s="2" t="s">
        <v>38</v>
      </c>
      <c r="AD948" s="2" t="s">
        <v>38</v>
      </c>
      <c r="AE948" s="2" t="s">
        <v>40</v>
      </c>
    </row>
    <row r="949" spans="1:31" ht="409.5">
      <c r="A949" s="2">
        <v>2749506</v>
      </c>
      <c r="B949" s="2">
        <f>HYPERLINK("https://platform.v2.vetology.net/cases/2749506/screening-report/1?type=pdf&amp;v=v6&amp;scorecard=1&amp;secret_key=BX%25IJ%24%2F65ieZ%29f6", 2749506)</f>
        <v>2749506</v>
      </c>
      <c r="C949" s="2">
        <f>HYPERLINK("https://platform.v2.vetology.net/report/v/final/"&amp;2749506, 2749506)</f>
        <v>2749506</v>
      </c>
      <c r="D949" s="2" t="s">
        <v>3179</v>
      </c>
      <c r="E949" s="2" t="s">
        <v>3180</v>
      </c>
      <c r="F949" s="2" t="s">
        <v>3181</v>
      </c>
      <c r="G949" s="2" t="s">
        <v>111</v>
      </c>
      <c r="H949" s="2" t="s">
        <v>3182</v>
      </c>
      <c r="I949" s="2" t="s">
        <v>129</v>
      </c>
      <c r="J949" s="2" t="s">
        <v>74</v>
      </c>
      <c r="K949" s="2" t="s">
        <v>39</v>
      </c>
      <c r="L949" s="2" t="s">
        <v>38</v>
      </c>
      <c r="M949" s="2" t="s">
        <v>38</v>
      </c>
      <c r="N949" s="2" t="s">
        <v>38</v>
      </c>
      <c r="O949" s="2" t="s">
        <v>38</v>
      </c>
      <c r="P949" s="2" t="s">
        <v>38</v>
      </c>
      <c r="Q949" s="2" t="s">
        <v>38</v>
      </c>
      <c r="R949" s="2" t="s">
        <v>38</v>
      </c>
      <c r="S949" s="2" t="s">
        <v>38</v>
      </c>
      <c r="T949" s="2" t="s">
        <v>39</v>
      </c>
      <c r="U949" s="2" t="s">
        <v>38</v>
      </c>
      <c r="V949" s="2" t="s">
        <v>39</v>
      </c>
      <c r="W949" s="2" t="s">
        <v>38</v>
      </c>
      <c r="X949" s="2" t="s">
        <v>38</v>
      </c>
      <c r="Y949" s="2" t="s">
        <v>38</v>
      </c>
      <c r="Z949" s="2" t="s">
        <v>38</v>
      </c>
      <c r="AA949" s="2" t="s">
        <v>38</v>
      </c>
      <c r="AB949" s="2" t="s">
        <v>38</v>
      </c>
      <c r="AC949" s="2" t="s">
        <v>38</v>
      </c>
      <c r="AD949" s="2" t="s">
        <v>38</v>
      </c>
      <c r="AE949" s="2"/>
    </row>
    <row r="950" spans="1:31" ht="409.5">
      <c r="A950" s="2">
        <v>2749486</v>
      </c>
      <c r="B950" s="2">
        <f>HYPERLINK("https://platform.v2.vetology.net/cases/2749486/screening-report/1?type=pdf&amp;v=v6&amp;scorecard=1&amp;secret_key=BX%25IJ%24%2F65ieZ%29f6", 2749486)</f>
        <v>2749486</v>
      </c>
      <c r="C950" s="2">
        <f>HYPERLINK("https://platform.v2.vetology.net/report/v/final/"&amp;2749486, 2749486)</f>
        <v>2749486</v>
      </c>
      <c r="D950" s="2" t="s">
        <v>3183</v>
      </c>
      <c r="E950" s="2" t="s">
        <v>3184</v>
      </c>
      <c r="F950" s="2" t="s">
        <v>3185</v>
      </c>
      <c r="G950" s="2" t="s">
        <v>44</v>
      </c>
      <c r="H950" s="2" t="s">
        <v>1191</v>
      </c>
      <c r="I950" s="2" t="s">
        <v>36</v>
      </c>
      <c r="J950" s="2" t="s">
        <v>37</v>
      </c>
      <c r="K950" s="2" t="s">
        <v>39</v>
      </c>
      <c r="L950" s="2" t="s">
        <v>38</v>
      </c>
      <c r="M950" s="2" t="s">
        <v>38</v>
      </c>
      <c r="N950" s="2" t="s">
        <v>39</v>
      </c>
      <c r="O950" s="2" t="s">
        <v>38</v>
      </c>
      <c r="P950" s="2" t="s">
        <v>39</v>
      </c>
      <c r="Q950" s="2" t="s">
        <v>39</v>
      </c>
      <c r="R950" s="2" t="s">
        <v>38</v>
      </c>
      <c r="S950" s="2" t="s">
        <v>38</v>
      </c>
      <c r="T950" s="2" t="s">
        <v>39</v>
      </c>
      <c r="U950" s="2" t="s">
        <v>39</v>
      </c>
      <c r="V950" s="2" t="s">
        <v>38</v>
      </c>
      <c r="W950" s="2" t="s">
        <v>38</v>
      </c>
      <c r="X950" s="2" t="s">
        <v>39</v>
      </c>
      <c r="Y950" s="2" t="s">
        <v>39</v>
      </c>
      <c r="Z950" s="2" t="s">
        <v>38</v>
      </c>
      <c r="AA950" s="2" t="s">
        <v>38</v>
      </c>
      <c r="AB950" s="2" t="s">
        <v>39</v>
      </c>
      <c r="AC950" s="2" t="s">
        <v>38</v>
      </c>
      <c r="AD950" s="2" t="s">
        <v>38</v>
      </c>
      <c r="AE950" s="2" t="s">
        <v>39</v>
      </c>
    </row>
    <row r="951" spans="1:31" ht="409.5">
      <c r="A951" s="2">
        <v>2749468</v>
      </c>
      <c r="B951" s="2">
        <f>HYPERLINK("https://platform.v2.vetology.net/cases/2749468/screening-report/1?type=pdf&amp;v=v6&amp;scorecard=1&amp;secret_key=BX%25IJ%24%2F65ieZ%29f6", 2749468)</f>
        <v>2749468</v>
      </c>
      <c r="C951" s="2">
        <f>HYPERLINK("https://platform.v2.vetology.net/report/v/final/"&amp;2749468, 2749468)</f>
        <v>2749468</v>
      </c>
      <c r="D951" s="2" t="s">
        <v>3186</v>
      </c>
      <c r="E951" s="2" t="s">
        <v>3187</v>
      </c>
      <c r="F951" s="2" t="s">
        <v>43</v>
      </c>
      <c r="G951" s="2" t="s">
        <v>44</v>
      </c>
      <c r="H951" s="2" t="s">
        <v>3188</v>
      </c>
      <c r="I951" s="2" t="s">
        <v>59</v>
      </c>
      <c r="J951" s="2" t="s">
        <v>37</v>
      </c>
      <c r="K951" s="2" t="s">
        <v>39</v>
      </c>
      <c r="L951" s="2" t="s">
        <v>39</v>
      </c>
      <c r="M951" s="2" t="s">
        <v>39</v>
      </c>
      <c r="N951" s="2" t="s">
        <v>38</v>
      </c>
      <c r="O951" s="2" t="s">
        <v>39</v>
      </c>
      <c r="P951" s="2" t="s">
        <v>39</v>
      </c>
      <c r="Q951" s="2" t="s">
        <v>39</v>
      </c>
      <c r="R951" s="2" t="s">
        <v>38</v>
      </c>
      <c r="S951" s="2" t="s">
        <v>38</v>
      </c>
      <c r="T951" s="2" t="s">
        <v>39</v>
      </c>
      <c r="U951" s="2" t="s">
        <v>39</v>
      </c>
      <c r="V951" s="2" t="s">
        <v>39</v>
      </c>
      <c r="W951" s="2" t="s">
        <v>38</v>
      </c>
      <c r="X951" s="2" t="s">
        <v>39</v>
      </c>
      <c r="Y951" s="2" t="s">
        <v>39</v>
      </c>
      <c r="Z951" s="2" t="s">
        <v>38</v>
      </c>
      <c r="AA951" s="2" t="s">
        <v>38</v>
      </c>
      <c r="AB951" s="2" t="s">
        <v>39</v>
      </c>
      <c r="AC951" s="2" t="s">
        <v>38</v>
      </c>
      <c r="AD951" s="2" t="s">
        <v>38</v>
      </c>
      <c r="AE951" s="2" t="s">
        <v>40</v>
      </c>
    </row>
    <row r="952" spans="1:31" ht="409.5">
      <c r="A952" s="2">
        <v>2749463</v>
      </c>
      <c r="B952" s="2">
        <f>HYPERLINK("https://platform.v2.vetology.net/cases/2749463/screening-report/1?type=pdf&amp;v=v6&amp;scorecard=1&amp;secret_key=BX%25IJ%24%2F65ieZ%29f6", 2749463)</f>
        <v>2749463</v>
      </c>
      <c r="C952" s="2">
        <f>HYPERLINK("https://platform.v2.vetology.net/report/v/final/"&amp;2749463, 2749463)</f>
        <v>2749463</v>
      </c>
      <c r="D952" s="2" t="s">
        <v>3189</v>
      </c>
      <c r="E952" s="2" t="s">
        <v>3190</v>
      </c>
      <c r="F952" s="2" t="s">
        <v>43</v>
      </c>
      <c r="G952" s="2" t="s">
        <v>44</v>
      </c>
      <c r="H952" s="2" t="s">
        <v>449</v>
      </c>
      <c r="I952" s="2" t="s">
        <v>59</v>
      </c>
      <c r="J952" s="2" t="s">
        <v>37</v>
      </c>
      <c r="K952" s="2" t="s">
        <v>39</v>
      </c>
      <c r="L952" s="2" t="s">
        <v>38</v>
      </c>
      <c r="M952" s="2" t="s">
        <v>39</v>
      </c>
      <c r="N952" s="2" t="s">
        <v>38</v>
      </c>
      <c r="O952" s="2" t="s">
        <v>39</v>
      </c>
      <c r="P952" s="2" t="s">
        <v>39</v>
      </c>
      <c r="Q952" s="2" t="s">
        <v>39</v>
      </c>
      <c r="R952" s="2" t="s">
        <v>38</v>
      </c>
      <c r="S952" s="2" t="s">
        <v>38</v>
      </c>
      <c r="T952" s="2" t="s">
        <v>38</v>
      </c>
      <c r="U952" s="2" t="s">
        <v>39</v>
      </c>
      <c r="V952" s="2" t="s">
        <v>39</v>
      </c>
      <c r="W952" s="2" t="s">
        <v>39</v>
      </c>
      <c r="X952" s="2" t="s">
        <v>39</v>
      </c>
      <c r="Y952" s="2" t="s">
        <v>39</v>
      </c>
      <c r="Z952" s="2" t="s">
        <v>38</v>
      </c>
      <c r="AA952" s="2" t="s">
        <v>38</v>
      </c>
      <c r="AB952" s="2" t="s">
        <v>39</v>
      </c>
      <c r="AC952" s="2" t="s">
        <v>39</v>
      </c>
      <c r="AD952" s="2" t="s">
        <v>38</v>
      </c>
      <c r="AE952" s="2" t="s">
        <v>39</v>
      </c>
    </row>
    <row r="953" spans="1:31" ht="409.5">
      <c r="A953" s="2">
        <v>2749423</v>
      </c>
      <c r="B953" s="2">
        <f>HYPERLINK("https://platform.v2.vetology.net/cases/2749423/screening-report/1?type=pdf&amp;v=v6&amp;scorecard=1&amp;secret_key=BX%25IJ%24%2F65ieZ%29f6", 2749423)</f>
        <v>2749423</v>
      </c>
      <c r="C953" s="2">
        <f>HYPERLINK("https://platform.v2.vetology.net/report/v/final/"&amp;2749423, 2749423)</f>
        <v>2749423</v>
      </c>
      <c r="D953" s="2" t="s">
        <v>3191</v>
      </c>
      <c r="E953" s="2" t="s">
        <v>3192</v>
      </c>
      <c r="F953" s="2" t="s">
        <v>3193</v>
      </c>
      <c r="G953" s="2" t="s">
        <v>100</v>
      </c>
      <c r="H953" s="2" t="s">
        <v>3194</v>
      </c>
      <c r="I953" s="2" t="s">
        <v>36</v>
      </c>
      <c r="J953" s="2" t="s">
        <v>37</v>
      </c>
      <c r="K953" s="2" t="s">
        <v>38</v>
      </c>
      <c r="L953" s="2" t="s">
        <v>39</v>
      </c>
      <c r="M953" s="2" t="s">
        <v>39</v>
      </c>
      <c r="N953" s="2" t="s">
        <v>38</v>
      </c>
      <c r="O953" s="2" t="s">
        <v>38</v>
      </c>
      <c r="P953" s="2" t="s">
        <v>39</v>
      </c>
      <c r="Q953" s="2" t="s">
        <v>39</v>
      </c>
      <c r="R953" s="2" t="s">
        <v>38</v>
      </c>
      <c r="S953" s="2" t="s">
        <v>38</v>
      </c>
      <c r="T953" s="2" t="s">
        <v>38</v>
      </c>
      <c r="U953" s="2" t="s">
        <v>38</v>
      </c>
      <c r="V953" s="2" t="s">
        <v>38</v>
      </c>
      <c r="W953" s="2" t="s">
        <v>38</v>
      </c>
      <c r="X953" s="2" t="s">
        <v>39</v>
      </c>
      <c r="Y953" s="2" t="s">
        <v>39</v>
      </c>
      <c r="Z953" s="2" t="s">
        <v>38</v>
      </c>
      <c r="AA953" s="2" t="s">
        <v>38</v>
      </c>
      <c r="AB953" s="2" t="s">
        <v>39</v>
      </c>
      <c r="AC953" s="2" t="s">
        <v>38</v>
      </c>
      <c r="AD953" s="2" t="s">
        <v>38</v>
      </c>
      <c r="AE953" s="2" t="s">
        <v>39</v>
      </c>
    </row>
    <row r="954" spans="1:31" ht="409.5">
      <c r="A954" s="2">
        <v>2749400</v>
      </c>
      <c r="B954" s="2">
        <f>HYPERLINK("https://platform.v2.vetology.net/cases/2749400/screening-report/1?type=pdf&amp;v=v6&amp;scorecard=1&amp;secret_key=BX%25IJ%24%2F65ieZ%29f6", 2749400)</f>
        <v>2749400</v>
      </c>
      <c r="C954" s="2">
        <f>HYPERLINK("https://platform.v2.vetology.net/report/v/final/"&amp;2749400, 2749400)</f>
        <v>2749400</v>
      </c>
      <c r="D954" s="2" t="s">
        <v>3195</v>
      </c>
      <c r="E954" s="2" t="s">
        <v>3196</v>
      </c>
      <c r="F954" s="2" t="s">
        <v>3197</v>
      </c>
      <c r="G954" s="2" t="s">
        <v>44</v>
      </c>
      <c r="H954" s="2" t="s">
        <v>3198</v>
      </c>
      <c r="I954" s="2" t="s">
        <v>36</v>
      </c>
      <c r="J954" s="2" t="s">
        <v>37</v>
      </c>
      <c r="K954" s="2" t="s">
        <v>38</v>
      </c>
      <c r="L954" s="2" t="s">
        <v>38</v>
      </c>
      <c r="M954" s="2" t="s">
        <v>38</v>
      </c>
      <c r="N954" s="2" t="s">
        <v>38</v>
      </c>
      <c r="O954" s="2" t="s">
        <v>38</v>
      </c>
      <c r="P954" s="2" t="s">
        <v>38</v>
      </c>
      <c r="Q954" s="2" t="s">
        <v>38</v>
      </c>
      <c r="R954" s="2" t="s">
        <v>38</v>
      </c>
      <c r="S954" s="2" t="s">
        <v>38</v>
      </c>
      <c r="T954" s="2" t="s">
        <v>38</v>
      </c>
      <c r="U954" s="2" t="s">
        <v>38</v>
      </c>
      <c r="V954" s="2" t="s">
        <v>38</v>
      </c>
      <c r="W954" s="2" t="s">
        <v>38</v>
      </c>
      <c r="X954" s="2" t="s">
        <v>38</v>
      </c>
      <c r="Y954" s="2" t="s">
        <v>39</v>
      </c>
      <c r="Z954" s="2" t="s">
        <v>38</v>
      </c>
      <c r="AA954" s="2" t="s">
        <v>38</v>
      </c>
      <c r="AB954" s="2" t="s">
        <v>38</v>
      </c>
      <c r="AC954" s="2" t="s">
        <v>38</v>
      </c>
      <c r="AD954" s="2" t="s">
        <v>38</v>
      </c>
      <c r="AE954" s="2" t="s">
        <v>40</v>
      </c>
    </row>
    <row r="955" spans="1:31" ht="409.5">
      <c r="A955" s="2">
        <v>2749396</v>
      </c>
      <c r="B955" s="2">
        <f>HYPERLINK("https://platform.v2.vetology.net/cases/2749396/screening-report/1?type=pdf&amp;v=v6&amp;scorecard=1&amp;secret_key=BX%25IJ%24%2F65ieZ%29f6", 2749396)</f>
        <v>2749396</v>
      </c>
      <c r="C955" s="2">
        <f>HYPERLINK("https://platform.v2.vetology.net/report/v/final/"&amp;2749396, 2749396)</f>
        <v>2749396</v>
      </c>
      <c r="D955" s="2" t="s">
        <v>3199</v>
      </c>
      <c r="E955" s="2" t="s">
        <v>3200</v>
      </c>
      <c r="F955" s="2" t="s">
        <v>43</v>
      </c>
      <c r="G955" s="2" t="s">
        <v>44</v>
      </c>
      <c r="H955" s="2" t="s">
        <v>3201</v>
      </c>
      <c r="I955" s="2" t="s">
        <v>36</v>
      </c>
      <c r="J955" s="2" t="s">
        <v>37</v>
      </c>
      <c r="K955" s="2" t="s">
        <v>38</v>
      </c>
      <c r="L955" s="2" t="s">
        <v>38</v>
      </c>
      <c r="M955" s="2" t="s">
        <v>38</v>
      </c>
      <c r="N955" s="2" t="s">
        <v>38</v>
      </c>
      <c r="O955" s="2" t="s">
        <v>38</v>
      </c>
      <c r="P955" s="2" t="s">
        <v>38</v>
      </c>
      <c r="Q955" s="2" t="s">
        <v>38</v>
      </c>
      <c r="R955" s="2" t="s">
        <v>38</v>
      </c>
      <c r="S955" s="2" t="s">
        <v>38</v>
      </c>
      <c r="T955" s="2" t="s">
        <v>38</v>
      </c>
      <c r="U955" s="2" t="s">
        <v>38</v>
      </c>
      <c r="V955" s="2" t="s">
        <v>38</v>
      </c>
      <c r="W955" s="2" t="s">
        <v>38</v>
      </c>
      <c r="X955" s="2" t="s">
        <v>39</v>
      </c>
      <c r="Y955" s="2" t="s">
        <v>39</v>
      </c>
      <c r="Z955" s="2" t="s">
        <v>38</v>
      </c>
      <c r="AA955" s="2" t="s">
        <v>38</v>
      </c>
      <c r="AB955" s="2" t="s">
        <v>39</v>
      </c>
      <c r="AC955" s="2" t="s">
        <v>38</v>
      </c>
      <c r="AD955" s="2" t="s">
        <v>38</v>
      </c>
      <c r="AE955" s="2" t="s">
        <v>39</v>
      </c>
    </row>
    <row r="956" spans="1:31" ht="409.5">
      <c r="A956" s="2">
        <v>2749349</v>
      </c>
      <c r="B956" s="2">
        <f>HYPERLINK("https://platform.v2.vetology.net/cases/2749349/screening-report/1?type=pdf&amp;v=v6&amp;scorecard=1&amp;secret_key=BX%25IJ%24%2F65ieZ%29f6", 2749349)</f>
        <v>2749349</v>
      </c>
      <c r="C956" s="2">
        <f>HYPERLINK("https://platform.v2.vetology.net/report/v/final/"&amp;2749349, 2749349)</f>
        <v>2749349</v>
      </c>
      <c r="D956" s="2" t="s">
        <v>3202</v>
      </c>
      <c r="E956" s="2" t="s">
        <v>3203</v>
      </c>
      <c r="F956" s="2" t="s">
        <v>3204</v>
      </c>
      <c r="G956" s="2" t="s">
        <v>44</v>
      </c>
      <c r="H956" s="2" t="s">
        <v>62</v>
      </c>
      <c r="I956" s="2" t="s">
        <v>46</v>
      </c>
      <c r="J956" s="2"/>
      <c r="K956" s="2" t="s">
        <v>39</v>
      </c>
      <c r="L956" s="2" t="s">
        <v>39</v>
      </c>
      <c r="M956" s="2" t="s">
        <v>39</v>
      </c>
      <c r="N956" s="2" t="s">
        <v>39</v>
      </c>
      <c r="O956" s="2" t="s">
        <v>39</v>
      </c>
      <c r="P956" s="2" t="s">
        <v>39</v>
      </c>
      <c r="Q956" s="2" t="s">
        <v>39</v>
      </c>
      <c r="R956" s="2" t="s">
        <v>38</v>
      </c>
      <c r="S956" s="2" t="s">
        <v>38</v>
      </c>
      <c r="T956" s="2" t="s">
        <v>39</v>
      </c>
      <c r="U956" s="2" t="s">
        <v>39</v>
      </c>
      <c r="V956" s="2" t="s">
        <v>39</v>
      </c>
      <c r="W956" s="2" t="s">
        <v>38</v>
      </c>
      <c r="X956" s="2" t="s">
        <v>39</v>
      </c>
      <c r="Y956" s="2" t="s">
        <v>39</v>
      </c>
      <c r="Z956" s="2" t="s">
        <v>38</v>
      </c>
      <c r="AA956" s="2" t="s">
        <v>39</v>
      </c>
      <c r="AB956" s="2" t="s">
        <v>39</v>
      </c>
      <c r="AC956" s="2" t="s">
        <v>38</v>
      </c>
      <c r="AD956" s="2" t="s">
        <v>38</v>
      </c>
      <c r="AE956" s="2"/>
    </row>
    <row r="957" spans="1:31" ht="409.5">
      <c r="A957" s="2">
        <v>2749258</v>
      </c>
      <c r="B957" s="2">
        <f>HYPERLINK("https://platform.v2.vetology.net/cases/2749258/screening-report/1?type=pdf&amp;v=v6&amp;scorecard=1&amp;secret_key=BX%25IJ%24%2F65ieZ%29f6", 2749258)</f>
        <v>2749258</v>
      </c>
      <c r="C957" s="2">
        <f>HYPERLINK("https://platform.v2.vetology.net/report/v/final/"&amp;2749258, 2749258)</f>
        <v>2749258</v>
      </c>
      <c r="D957" s="2" t="s">
        <v>3205</v>
      </c>
      <c r="E957" s="2" t="s">
        <v>3206</v>
      </c>
      <c r="F957" s="2"/>
      <c r="G957" s="2" t="s">
        <v>81</v>
      </c>
      <c r="H957" s="2" t="s">
        <v>69</v>
      </c>
      <c r="I957" s="2" t="s">
        <v>46</v>
      </c>
      <c r="J957" s="2"/>
      <c r="K957" s="2" t="s">
        <v>39</v>
      </c>
      <c r="L957" s="2" t="s">
        <v>39</v>
      </c>
      <c r="M957" s="2" t="s">
        <v>39</v>
      </c>
      <c r="N957" s="2" t="s">
        <v>39</v>
      </c>
      <c r="O957" s="2" t="s">
        <v>39</v>
      </c>
      <c r="P957" s="2" t="s">
        <v>39</v>
      </c>
      <c r="Q957" s="2" t="s">
        <v>39</v>
      </c>
      <c r="R957" s="2" t="s">
        <v>39</v>
      </c>
      <c r="S957" s="2" t="s">
        <v>39</v>
      </c>
      <c r="T957" s="2" t="s">
        <v>39</v>
      </c>
      <c r="U957" s="2" t="s">
        <v>39</v>
      </c>
      <c r="V957" s="2" t="s">
        <v>39</v>
      </c>
      <c r="W957" s="2" t="s">
        <v>39</v>
      </c>
      <c r="X957" s="2" t="s">
        <v>39</v>
      </c>
      <c r="Y957" s="2" t="s">
        <v>39</v>
      </c>
      <c r="Z957" s="2" t="s">
        <v>38</v>
      </c>
      <c r="AA957" s="2" t="s">
        <v>39</v>
      </c>
      <c r="AB957" s="2" t="s">
        <v>39</v>
      </c>
      <c r="AC957" s="2" t="s">
        <v>39</v>
      </c>
      <c r="AD957" s="2" t="s">
        <v>39</v>
      </c>
      <c r="AE957" s="2" t="s">
        <v>39</v>
      </c>
    </row>
    <row r="958" spans="1:31" ht="409.5">
      <c r="A958" s="2">
        <v>2749223</v>
      </c>
      <c r="B958" s="2">
        <f>HYPERLINK("https://platform.v2.vetology.net/cases/2749223/screening-report/1?type=pdf&amp;v=v6&amp;scorecard=1&amp;secret_key=BX%25IJ%24%2F65ieZ%29f6", 2749223)</f>
        <v>2749223</v>
      </c>
      <c r="C958" s="2">
        <f>HYPERLINK("https://platform.v2.vetology.net/report/v/final/"&amp;2749223, 2749223)</f>
        <v>2749223</v>
      </c>
      <c r="D958" s="2" t="s">
        <v>3207</v>
      </c>
      <c r="E958" s="2" t="s">
        <v>3208</v>
      </c>
      <c r="F958" s="2" t="s">
        <v>3209</v>
      </c>
      <c r="G958" s="2" t="s">
        <v>44</v>
      </c>
      <c r="H958" s="2" t="s">
        <v>3210</v>
      </c>
      <c r="I958" s="2" t="s">
        <v>73</v>
      </c>
      <c r="J958" s="2" t="s">
        <v>74</v>
      </c>
      <c r="K958" s="2" t="s">
        <v>38</v>
      </c>
      <c r="L958" s="2" t="s">
        <v>38</v>
      </c>
      <c r="M958" s="2" t="s">
        <v>38</v>
      </c>
      <c r="N958" s="2" t="s">
        <v>38</v>
      </c>
      <c r="O958" s="2" t="s">
        <v>38</v>
      </c>
      <c r="P958" s="2" t="s">
        <v>38</v>
      </c>
      <c r="Q958" s="2" t="s">
        <v>38</v>
      </c>
      <c r="R958" s="2" t="s">
        <v>38</v>
      </c>
      <c r="S958" s="2" t="s">
        <v>38</v>
      </c>
      <c r="T958" s="2" t="s">
        <v>38</v>
      </c>
      <c r="U958" s="2" t="s">
        <v>38</v>
      </c>
      <c r="V958" s="2" t="s">
        <v>38</v>
      </c>
      <c r="W958" s="2" t="s">
        <v>38</v>
      </c>
      <c r="X958" s="2" t="s">
        <v>38</v>
      </c>
      <c r="Y958" s="2" t="s">
        <v>39</v>
      </c>
      <c r="Z958" s="2" t="s">
        <v>38</v>
      </c>
      <c r="AA958" s="2" t="s">
        <v>39</v>
      </c>
      <c r="AB958" s="2" t="s">
        <v>38</v>
      </c>
      <c r="AC958" s="2" t="s">
        <v>38</v>
      </c>
      <c r="AD958" s="2" t="s">
        <v>39</v>
      </c>
      <c r="AE958" s="2" t="s">
        <v>40</v>
      </c>
    </row>
    <row r="959" spans="1:31" ht="409.5">
      <c r="A959" s="2">
        <v>2749220</v>
      </c>
      <c r="B959" s="2">
        <f>HYPERLINK("https://platform.v2.vetology.net/cases/2749220/screening-report/1?type=pdf&amp;v=v6&amp;scorecard=1&amp;secret_key=BX%25IJ%24%2F65ieZ%29f6", 2749220)</f>
        <v>2749220</v>
      </c>
      <c r="C959" s="2">
        <f>HYPERLINK("https://platform.v2.vetology.net/report/v/final/"&amp;2749220, 2749220)</f>
        <v>2749220</v>
      </c>
      <c r="D959" s="2" t="s">
        <v>3211</v>
      </c>
      <c r="E959" s="2" t="s">
        <v>3212</v>
      </c>
      <c r="F959" s="2" t="s">
        <v>43</v>
      </c>
      <c r="G959" s="2" t="s">
        <v>100</v>
      </c>
      <c r="H959" s="2" t="s">
        <v>3213</v>
      </c>
      <c r="I959" s="2" t="s">
        <v>36</v>
      </c>
      <c r="J959" s="2" t="s">
        <v>37</v>
      </c>
      <c r="K959" s="2" t="s">
        <v>38</v>
      </c>
      <c r="L959" s="2" t="s">
        <v>38</v>
      </c>
      <c r="M959" s="2" t="s">
        <v>38</v>
      </c>
      <c r="N959" s="2" t="s">
        <v>38</v>
      </c>
      <c r="O959" s="2" t="s">
        <v>38</v>
      </c>
      <c r="P959" s="2" t="s">
        <v>39</v>
      </c>
      <c r="Q959" s="2" t="s">
        <v>39</v>
      </c>
      <c r="R959" s="2" t="s">
        <v>38</v>
      </c>
      <c r="S959" s="2" t="s">
        <v>38</v>
      </c>
      <c r="T959" s="2" t="s">
        <v>38</v>
      </c>
      <c r="U959" s="2" t="s">
        <v>38</v>
      </c>
      <c r="V959" s="2" t="s">
        <v>38</v>
      </c>
      <c r="W959" s="2" t="s">
        <v>38</v>
      </c>
      <c r="X959" s="2" t="s">
        <v>39</v>
      </c>
      <c r="Y959" s="2" t="s">
        <v>39</v>
      </c>
      <c r="Z959" s="2" t="s">
        <v>38</v>
      </c>
      <c r="AA959" s="2" t="s">
        <v>38</v>
      </c>
      <c r="AB959" s="2" t="s">
        <v>39</v>
      </c>
      <c r="AC959" s="2" t="s">
        <v>38</v>
      </c>
      <c r="AD959" s="2" t="s">
        <v>39</v>
      </c>
      <c r="AE959" s="2" t="s">
        <v>40</v>
      </c>
    </row>
    <row r="960" spans="1:31" ht="409.5">
      <c r="A960" s="2">
        <v>2749216</v>
      </c>
      <c r="B960" s="2">
        <f>HYPERLINK("https://platform.v2.vetology.net/cases/2749216/screening-report/1?type=pdf&amp;v=v6&amp;scorecard=1&amp;secret_key=BX%25IJ%24%2F65ieZ%29f6", 2749216)</f>
        <v>2749216</v>
      </c>
      <c r="C960" s="2">
        <f>HYPERLINK("https://platform.v2.vetology.net/report/v/final/"&amp;2749216, 2749216)</f>
        <v>2749216</v>
      </c>
      <c r="D960" s="2" t="s">
        <v>3214</v>
      </c>
      <c r="E960" s="2" t="s">
        <v>3215</v>
      </c>
      <c r="F960" s="2" t="s">
        <v>43</v>
      </c>
      <c r="G960" s="2" t="s">
        <v>507</v>
      </c>
      <c r="H960" s="2" t="s">
        <v>801</v>
      </c>
      <c r="I960" s="2" t="s">
        <v>59</v>
      </c>
      <c r="J960" s="2" t="s">
        <v>37</v>
      </c>
      <c r="K960" s="2" t="s">
        <v>38</v>
      </c>
      <c r="L960" s="2" t="s">
        <v>39</v>
      </c>
      <c r="M960" s="2" t="s">
        <v>39</v>
      </c>
      <c r="N960" s="2" t="s">
        <v>39</v>
      </c>
      <c r="O960" s="2" t="s">
        <v>38</v>
      </c>
      <c r="P960" s="2" t="s">
        <v>39</v>
      </c>
      <c r="Q960" s="2" t="s">
        <v>38</v>
      </c>
      <c r="R960" s="2" t="s">
        <v>38</v>
      </c>
      <c r="S960" s="2" t="s">
        <v>39</v>
      </c>
      <c r="T960" s="2" t="s">
        <v>38</v>
      </c>
      <c r="U960" s="2" t="s">
        <v>39</v>
      </c>
      <c r="V960" s="2" t="s">
        <v>39</v>
      </c>
      <c r="W960" s="2" t="s">
        <v>39</v>
      </c>
      <c r="X960" s="2" t="s">
        <v>39</v>
      </c>
      <c r="Y960" s="2" t="s">
        <v>39</v>
      </c>
      <c r="Z960" s="2" t="s">
        <v>39</v>
      </c>
      <c r="AA960" s="2" t="s">
        <v>38</v>
      </c>
      <c r="AB960" s="2" t="s">
        <v>39</v>
      </c>
      <c r="AC960" s="2" t="s">
        <v>39</v>
      </c>
      <c r="AD960" s="2" t="s">
        <v>39</v>
      </c>
      <c r="AE960" s="2" t="s">
        <v>39</v>
      </c>
    </row>
    <row r="961" spans="1:31" ht="409.5">
      <c r="A961" s="2">
        <v>2749159</v>
      </c>
      <c r="B961" s="2">
        <f>HYPERLINK("https://platform.v2.vetology.net/cases/2749159/screening-report/1?type=pdf&amp;v=v6&amp;scorecard=1&amp;secret_key=BX%25IJ%24%2F65ieZ%29f6", 2749159)</f>
        <v>2749159</v>
      </c>
      <c r="C961" s="2">
        <f>HYPERLINK("https://platform.v2.vetology.net/report/v/final/"&amp;2749159, 2749159)</f>
        <v>2749159</v>
      </c>
      <c r="D961" s="2" t="s">
        <v>3216</v>
      </c>
      <c r="E961" s="2" t="s">
        <v>3217</v>
      </c>
      <c r="F961" s="2" t="s">
        <v>3218</v>
      </c>
      <c r="G961" s="2" t="s">
        <v>145</v>
      </c>
      <c r="H961" s="2" t="s">
        <v>3219</v>
      </c>
      <c r="I961" s="2" t="s">
        <v>36</v>
      </c>
      <c r="J961" s="2" t="s">
        <v>37</v>
      </c>
      <c r="K961" s="2" t="s">
        <v>38</v>
      </c>
      <c r="L961" s="2" t="s">
        <v>38</v>
      </c>
      <c r="M961" s="2" t="s">
        <v>38</v>
      </c>
      <c r="N961" s="2" t="s">
        <v>38</v>
      </c>
      <c r="O961" s="2" t="s">
        <v>38</v>
      </c>
      <c r="P961" s="2" t="s">
        <v>38</v>
      </c>
      <c r="Q961" s="2" t="s">
        <v>39</v>
      </c>
      <c r="R961" s="2" t="s">
        <v>38</v>
      </c>
      <c r="S961" s="2" t="s">
        <v>38</v>
      </c>
      <c r="T961" s="2" t="s">
        <v>38</v>
      </c>
      <c r="U961" s="2" t="s">
        <v>39</v>
      </c>
      <c r="V961" s="2" t="s">
        <v>38</v>
      </c>
      <c r="W961" s="2" t="s">
        <v>38</v>
      </c>
      <c r="X961" s="2" t="s">
        <v>38</v>
      </c>
      <c r="Y961" s="2" t="s">
        <v>39</v>
      </c>
      <c r="Z961" s="2" t="s">
        <v>38</v>
      </c>
      <c r="AA961" s="2" t="s">
        <v>38</v>
      </c>
      <c r="AB961" s="2" t="s">
        <v>38</v>
      </c>
      <c r="AC961" s="2" t="s">
        <v>38</v>
      </c>
      <c r="AD961" s="2" t="s">
        <v>38</v>
      </c>
      <c r="AE961" s="2"/>
    </row>
    <row r="962" spans="1:31" ht="409.5">
      <c r="A962" s="2">
        <v>2749153</v>
      </c>
      <c r="B962" s="2">
        <f>HYPERLINK("https://platform.v2.vetology.net/cases/2749153/screening-report/1?type=pdf&amp;v=v6&amp;scorecard=1&amp;secret_key=BX%25IJ%24%2F65ieZ%29f6", 2749153)</f>
        <v>2749153</v>
      </c>
      <c r="C962" s="2">
        <f>HYPERLINK("https://platform.v2.vetology.net/report/v/final/"&amp;2749153, 2749153)</f>
        <v>2749153</v>
      </c>
      <c r="D962" s="2" t="s">
        <v>3220</v>
      </c>
      <c r="E962" s="2" t="s">
        <v>3221</v>
      </c>
      <c r="F962" s="2" t="s">
        <v>3222</v>
      </c>
      <c r="G962" s="2" t="s">
        <v>100</v>
      </c>
      <c r="H962" s="2" t="s">
        <v>3223</v>
      </c>
      <c r="I962" s="2" t="s">
        <v>73</v>
      </c>
      <c r="J962" s="2" t="s">
        <v>74</v>
      </c>
      <c r="K962" s="2" t="s">
        <v>38</v>
      </c>
      <c r="L962" s="2" t="s">
        <v>38</v>
      </c>
      <c r="M962" s="2" t="s">
        <v>38</v>
      </c>
      <c r="N962" s="2" t="s">
        <v>38</v>
      </c>
      <c r="O962" s="2" t="s">
        <v>38</v>
      </c>
      <c r="P962" s="2" t="s">
        <v>38</v>
      </c>
      <c r="Q962" s="2" t="s">
        <v>38</v>
      </c>
      <c r="R962" s="2" t="s">
        <v>38</v>
      </c>
      <c r="S962" s="2" t="s">
        <v>38</v>
      </c>
      <c r="T962" s="2" t="s">
        <v>38</v>
      </c>
      <c r="U962" s="2" t="s">
        <v>38</v>
      </c>
      <c r="V962" s="2" t="s">
        <v>38</v>
      </c>
      <c r="W962" s="2" t="s">
        <v>38</v>
      </c>
      <c r="X962" s="2" t="s">
        <v>38</v>
      </c>
      <c r="Y962" s="2" t="s">
        <v>38</v>
      </c>
      <c r="Z962" s="2" t="s">
        <v>38</v>
      </c>
      <c r="AA962" s="2" t="s">
        <v>38</v>
      </c>
      <c r="AB962" s="2" t="s">
        <v>38</v>
      </c>
      <c r="AC962" s="2" t="s">
        <v>38</v>
      </c>
      <c r="AD962" s="2" t="s">
        <v>38</v>
      </c>
      <c r="AE962" s="2" t="s">
        <v>40</v>
      </c>
    </row>
    <row r="963" spans="1:31" ht="409.5">
      <c r="A963" s="2">
        <v>2749141</v>
      </c>
      <c r="B963" s="2">
        <f>HYPERLINK("https://platform.v2.vetology.net/cases/2749141/screening-report/1?type=pdf&amp;v=v6&amp;scorecard=1&amp;secret_key=BX%25IJ%24%2F65ieZ%29f6", 2749141)</f>
        <v>2749141</v>
      </c>
      <c r="C963" s="2">
        <f>HYPERLINK("https://platform.v2.vetology.net/report/v/final/"&amp;2749141, 2749141)</f>
        <v>2749141</v>
      </c>
      <c r="D963" s="2" t="s">
        <v>3224</v>
      </c>
      <c r="E963" s="2" t="s">
        <v>3225</v>
      </c>
      <c r="F963" s="2" t="s">
        <v>3226</v>
      </c>
      <c r="G963" s="2" t="s">
        <v>507</v>
      </c>
      <c r="H963" s="2" t="s">
        <v>398</v>
      </c>
      <c r="I963" s="2" t="s">
        <v>46</v>
      </c>
      <c r="J963" s="2"/>
      <c r="K963" s="2" t="s">
        <v>38</v>
      </c>
      <c r="L963" s="2" t="s">
        <v>39</v>
      </c>
      <c r="M963" s="2" t="s">
        <v>39</v>
      </c>
      <c r="N963" s="2" t="s">
        <v>39</v>
      </c>
      <c r="O963" s="2" t="s">
        <v>39</v>
      </c>
      <c r="P963" s="2" t="s">
        <v>39</v>
      </c>
      <c r="Q963" s="2" t="s">
        <v>39</v>
      </c>
      <c r="R963" s="2" t="s">
        <v>39</v>
      </c>
      <c r="S963" s="2" t="s">
        <v>39</v>
      </c>
      <c r="T963" s="2" t="s">
        <v>39</v>
      </c>
      <c r="U963" s="2" t="s">
        <v>39</v>
      </c>
      <c r="V963" s="2" t="s">
        <v>39</v>
      </c>
      <c r="W963" s="2" t="s">
        <v>39</v>
      </c>
      <c r="X963" s="2" t="s">
        <v>39</v>
      </c>
      <c r="Y963" s="2" t="s">
        <v>39</v>
      </c>
      <c r="Z963" s="2" t="s">
        <v>39</v>
      </c>
      <c r="AA963" s="2" t="s">
        <v>39</v>
      </c>
      <c r="AB963" s="2" t="s">
        <v>39</v>
      </c>
      <c r="AC963" s="2" t="s">
        <v>39</v>
      </c>
      <c r="AD963" s="2" t="s">
        <v>39</v>
      </c>
      <c r="AE963" s="2" t="s">
        <v>39</v>
      </c>
    </row>
    <row r="964" spans="1:31" ht="409.5">
      <c r="A964" s="2">
        <v>2749091</v>
      </c>
      <c r="B964" s="2">
        <f>HYPERLINK("https://platform.v2.vetology.net/cases/2749091/screening-report/1?type=pdf&amp;v=v6&amp;scorecard=1&amp;secret_key=BX%25IJ%24%2F65ieZ%29f6", 2749091)</f>
        <v>2749091</v>
      </c>
      <c r="C964" s="2">
        <f>HYPERLINK("https://platform.v2.vetology.net/report/v/final/"&amp;2749091, 2749091)</f>
        <v>2749091</v>
      </c>
      <c r="D964" s="2" t="s">
        <v>3227</v>
      </c>
      <c r="E964" s="2" t="s">
        <v>3228</v>
      </c>
      <c r="F964" s="2"/>
      <c r="G964" s="2" t="s">
        <v>81</v>
      </c>
      <c r="H964" s="2" t="s">
        <v>3229</v>
      </c>
      <c r="I964" s="2" t="s">
        <v>36</v>
      </c>
      <c r="J964" s="2" t="s">
        <v>37</v>
      </c>
      <c r="K964" s="2" t="s">
        <v>38</v>
      </c>
      <c r="L964" s="2" t="s">
        <v>38</v>
      </c>
      <c r="M964" s="2" t="s">
        <v>38</v>
      </c>
      <c r="N964" s="2" t="s">
        <v>38</v>
      </c>
      <c r="O964" s="2" t="s">
        <v>39</v>
      </c>
      <c r="P964" s="2" t="s">
        <v>39</v>
      </c>
      <c r="Q964" s="2" t="s">
        <v>39</v>
      </c>
      <c r="R964" s="2" t="s">
        <v>38</v>
      </c>
      <c r="S964" s="2" t="s">
        <v>38</v>
      </c>
      <c r="T964" s="2" t="s">
        <v>38</v>
      </c>
      <c r="U964" s="2" t="s">
        <v>38</v>
      </c>
      <c r="V964" s="2" t="s">
        <v>38</v>
      </c>
      <c r="W964" s="2" t="s">
        <v>38</v>
      </c>
      <c r="X964" s="2" t="s">
        <v>39</v>
      </c>
      <c r="Y964" s="2" t="s">
        <v>38</v>
      </c>
      <c r="Z964" s="2" t="s">
        <v>38</v>
      </c>
      <c r="AA964" s="2" t="s">
        <v>38</v>
      </c>
      <c r="AB964" s="2" t="s">
        <v>39</v>
      </c>
      <c r="AC964" s="2" t="s">
        <v>38</v>
      </c>
      <c r="AD964" s="2" t="s">
        <v>39</v>
      </c>
      <c r="AE964" s="2" t="s">
        <v>40</v>
      </c>
    </row>
    <row r="965" spans="1:31" ht="409.5">
      <c r="A965" s="2">
        <v>2749050</v>
      </c>
      <c r="B965" s="2">
        <f>HYPERLINK("https://platform.v2.vetology.net/cases/2749050/screening-report/1?type=pdf&amp;v=v6&amp;scorecard=1&amp;secret_key=BX%25IJ%24%2F65ieZ%29f6", 2749050)</f>
        <v>2749050</v>
      </c>
      <c r="C965" s="2">
        <f>HYPERLINK("https://platform.v2.vetology.net/report/v/final/"&amp;2749050, 2749050)</f>
        <v>2749050</v>
      </c>
      <c r="D965" s="2" t="s">
        <v>3230</v>
      </c>
      <c r="E965" s="2" t="s">
        <v>3231</v>
      </c>
      <c r="F965" s="2" t="s">
        <v>3232</v>
      </c>
      <c r="G965" s="2" t="s">
        <v>127</v>
      </c>
      <c r="H965" s="2" t="s">
        <v>3233</v>
      </c>
      <c r="I965" s="2" t="s">
        <v>73</v>
      </c>
      <c r="J965" s="2" t="s">
        <v>74</v>
      </c>
      <c r="K965" s="2" t="s">
        <v>38</v>
      </c>
      <c r="L965" s="2" t="s">
        <v>38</v>
      </c>
      <c r="M965" s="2" t="s">
        <v>38</v>
      </c>
      <c r="N965" s="2" t="s">
        <v>38</v>
      </c>
      <c r="O965" s="2" t="s">
        <v>38</v>
      </c>
      <c r="P965" s="2" t="s">
        <v>38</v>
      </c>
      <c r="Q965" s="2" t="s">
        <v>38</v>
      </c>
      <c r="R965" s="2" t="s">
        <v>38</v>
      </c>
      <c r="S965" s="2" t="s">
        <v>38</v>
      </c>
      <c r="T965" s="2" t="s">
        <v>38</v>
      </c>
      <c r="U965" s="2" t="s">
        <v>38</v>
      </c>
      <c r="V965" s="2" t="s">
        <v>38</v>
      </c>
      <c r="W965" s="2" t="s">
        <v>38</v>
      </c>
      <c r="X965" s="2" t="s">
        <v>38</v>
      </c>
      <c r="Y965" s="2" t="s">
        <v>38</v>
      </c>
      <c r="Z965" s="2" t="s">
        <v>38</v>
      </c>
      <c r="AA965" s="2" t="s">
        <v>38</v>
      </c>
      <c r="AB965" s="2" t="s">
        <v>38</v>
      </c>
      <c r="AC965" s="2" t="s">
        <v>38</v>
      </c>
      <c r="AD965" s="2" t="s">
        <v>38</v>
      </c>
      <c r="AE965" s="2" t="s">
        <v>39</v>
      </c>
    </row>
    <row r="966" spans="1:31" ht="409.5">
      <c r="A966" s="2">
        <v>2749031</v>
      </c>
      <c r="B966" s="2">
        <f>HYPERLINK("https://platform.v2.vetology.net/cases/2749031/screening-report/1?type=pdf&amp;v=v6&amp;scorecard=1&amp;secret_key=BX%25IJ%24%2F65ieZ%29f6", 2749031)</f>
        <v>2749031</v>
      </c>
      <c r="C966" s="2">
        <f>HYPERLINK("https://platform.v2.vetology.net/report/v/final/"&amp;2749031, 2749031)</f>
        <v>2749031</v>
      </c>
      <c r="D966" s="2" t="s">
        <v>3234</v>
      </c>
      <c r="E966" s="2" t="s">
        <v>3235</v>
      </c>
      <c r="F966" s="2" t="s">
        <v>43</v>
      </c>
      <c r="G966" s="2" t="s">
        <v>100</v>
      </c>
      <c r="H966" s="2" t="s">
        <v>3236</v>
      </c>
      <c r="I966" s="2" t="s">
        <v>36</v>
      </c>
      <c r="J966" s="2" t="s">
        <v>37</v>
      </c>
      <c r="K966" s="2" t="s">
        <v>38</v>
      </c>
      <c r="L966" s="2" t="s">
        <v>39</v>
      </c>
      <c r="M966" s="2" t="s">
        <v>38</v>
      </c>
      <c r="N966" s="2" t="s">
        <v>39</v>
      </c>
      <c r="O966" s="2" t="s">
        <v>39</v>
      </c>
      <c r="P966" s="2" t="s">
        <v>39</v>
      </c>
      <c r="Q966" s="2" t="s">
        <v>39</v>
      </c>
      <c r="R966" s="2" t="s">
        <v>39</v>
      </c>
      <c r="S966" s="2" t="s">
        <v>39</v>
      </c>
      <c r="T966" s="2" t="s">
        <v>38</v>
      </c>
      <c r="U966" s="2" t="s">
        <v>39</v>
      </c>
      <c r="V966" s="2" t="s">
        <v>38</v>
      </c>
      <c r="W966" s="2" t="s">
        <v>39</v>
      </c>
      <c r="X966" s="2" t="s">
        <v>39</v>
      </c>
      <c r="Y966" s="2" t="s">
        <v>39</v>
      </c>
      <c r="Z966" s="2" t="s">
        <v>39</v>
      </c>
      <c r="AA966" s="2" t="s">
        <v>39</v>
      </c>
      <c r="AB966" s="2" t="s">
        <v>39</v>
      </c>
      <c r="AC966" s="2" t="s">
        <v>38</v>
      </c>
      <c r="AD966" s="2" t="s">
        <v>39</v>
      </c>
      <c r="AE966" s="2" t="s">
        <v>39</v>
      </c>
    </row>
    <row r="967" spans="1:31" ht="409.5">
      <c r="A967" s="2">
        <v>2749011</v>
      </c>
      <c r="B967" s="2">
        <f>HYPERLINK("https://platform.v2.vetology.net/cases/2749011/screening-report/1?type=pdf&amp;v=v6&amp;scorecard=1&amp;secret_key=BX%25IJ%24%2F65ieZ%29f6", 2749011)</f>
        <v>2749011</v>
      </c>
      <c r="C967" s="2">
        <f>HYPERLINK("https://platform.v2.vetology.net/report/v/final/"&amp;2749011, 2749011)</f>
        <v>2749011</v>
      </c>
      <c r="D967" s="2" t="s">
        <v>3237</v>
      </c>
      <c r="E967" s="2" t="s">
        <v>3238</v>
      </c>
      <c r="F967" s="2" t="s">
        <v>3239</v>
      </c>
      <c r="G967" s="2" t="s">
        <v>170</v>
      </c>
      <c r="H967" s="2" t="s">
        <v>45</v>
      </c>
      <c r="I967" s="2" t="s">
        <v>46</v>
      </c>
      <c r="J967" s="2"/>
      <c r="K967" s="2" t="s">
        <v>39</v>
      </c>
      <c r="L967" s="2" t="s">
        <v>39</v>
      </c>
      <c r="M967" s="2" t="s">
        <v>39</v>
      </c>
      <c r="N967" s="2" t="s">
        <v>39</v>
      </c>
      <c r="O967" s="2" t="s">
        <v>39</v>
      </c>
      <c r="P967" s="2" t="s">
        <v>39</v>
      </c>
      <c r="Q967" s="2" t="s">
        <v>39</v>
      </c>
      <c r="R967" s="2" t="s">
        <v>38</v>
      </c>
      <c r="S967" s="2" t="s">
        <v>39</v>
      </c>
      <c r="T967" s="2" t="s">
        <v>39</v>
      </c>
      <c r="U967" s="2" t="s">
        <v>38</v>
      </c>
      <c r="V967" s="2" t="s">
        <v>38</v>
      </c>
      <c r="W967" s="2" t="s">
        <v>38</v>
      </c>
      <c r="X967" s="2" t="s">
        <v>39</v>
      </c>
      <c r="Y967" s="2" t="s">
        <v>38</v>
      </c>
      <c r="Z967" s="2" t="s">
        <v>38</v>
      </c>
      <c r="AA967" s="2" t="s">
        <v>39</v>
      </c>
      <c r="AB967" s="2" t="s">
        <v>39</v>
      </c>
      <c r="AC967" s="2" t="s">
        <v>38</v>
      </c>
      <c r="AD967" s="2" t="s">
        <v>39</v>
      </c>
      <c r="AE967" s="2" t="s">
        <v>40</v>
      </c>
    </row>
    <row r="968" spans="1:31" ht="409.5">
      <c r="A968" s="2">
        <v>2749010</v>
      </c>
      <c r="B968" s="2">
        <f>HYPERLINK("https://platform.v2.vetology.net/cases/2749010/screening-report/1?type=pdf&amp;v=v6&amp;scorecard=1&amp;secret_key=BX%25IJ%24%2F65ieZ%29f6", 2749010)</f>
        <v>2749010</v>
      </c>
      <c r="C968" s="2">
        <f>HYPERLINK("https://platform.v2.vetology.net/report/v/final/"&amp;2749010, 2749010)</f>
        <v>2749010</v>
      </c>
      <c r="D968" s="2" t="s">
        <v>3240</v>
      </c>
      <c r="E968" s="2" t="s">
        <v>3241</v>
      </c>
      <c r="F968" s="2" t="s">
        <v>3242</v>
      </c>
      <c r="G968" s="2" t="s">
        <v>170</v>
      </c>
      <c r="H968" s="2" t="s">
        <v>2386</v>
      </c>
      <c r="I968" s="2" t="s">
        <v>59</v>
      </c>
      <c r="J968" s="2" t="s">
        <v>37</v>
      </c>
      <c r="K968" s="2" t="s">
        <v>38</v>
      </c>
      <c r="L968" s="2" t="s">
        <v>39</v>
      </c>
      <c r="M968" s="2" t="s">
        <v>39</v>
      </c>
      <c r="N968" s="2" t="s">
        <v>39</v>
      </c>
      <c r="O968" s="2" t="s">
        <v>39</v>
      </c>
      <c r="P968" s="2" t="s">
        <v>39</v>
      </c>
      <c r="Q968" s="2" t="s">
        <v>39</v>
      </c>
      <c r="R968" s="2" t="s">
        <v>38</v>
      </c>
      <c r="S968" s="2" t="s">
        <v>38</v>
      </c>
      <c r="T968" s="2" t="s">
        <v>39</v>
      </c>
      <c r="U968" s="2" t="s">
        <v>38</v>
      </c>
      <c r="V968" s="2" t="s">
        <v>38</v>
      </c>
      <c r="W968" s="2" t="s">
        <v>39</v>
      </c>
      <c r="X968" s="2" t="s">
        <v>39</v>
      </c>
      <c r="Y968" s="2" t="s">
        <v>39</v>
      </c>
      <c r="Z968" s="2" t="s">
        <v>38</v>
      </c>
      <c r="AA968" s="2" t="s">
        <v>39</v>
      </c>
      <c r="AB968" s="2" t="s">
        <v>39</v>
      </c>
      <c r="AC968" s="2" t="s">
        <v>38</v>
      </c>
      <c r="AD968" s="2" t="s">
        <v>38</v>
      </c>
      <c r="AE968" s="2" t="s">
        <v>39</v>
      </c>
    </row>
    <row r="969" spans="1:31" ht="409.5">
      <c r="A969" s="2">
        <v>2748997</v>
      </c>
      <c r="B969" s="2">
        <f>HYPERLINK("https://platform.v2.vetology.net/cases/2748997/screening-report/1?type=pdf&amp;v=v6&amp;scorecard=1&amp;secret_key=BX%25IJ%24%2F65ieZ%29f6", 2748997)</f>
        <v>2748997</v>
      </c>
      <c r="C969" s="2">
        <f>HYPERLINK("https://platform.v2.vetology.net/report/v/final/"&amp;2748997, 2748997)</f>
        <v>2748997</v>
      </c>
      <c r="D969" s="2" t="s">
        <v>3243</v>
      </c>
      <c r="E969" s="2" t="s">
        <v>3244</v>
      </c>
      <c r="F969" s="2" t="s">
        <v>3245</v>
      </c>
      <c r="G969" s="2" t="s">
        <v>415</v>
      </c>
      <c r="H969" s="2" t="s">
        <v>3246</v>
      </c>
      <c r="I969" s="2" t="s">
        <v>36</v>
      </c>
      <c r="J969" s="2" t="s">
        <v>37</v>
      </c>
      <c r="K969" s="2" t="s">
        <v>38</v>
      </c>
      <c r="L969" s="2" t="s">
        <v>38</v>
      </c>
      <c r="M969" s="2" t="s">
        <v>38</v>
      </c>
      <c r="N969" s="2" t="s">
        <v>38</v>
      </c>
      <c r="O969" s="2" t="s">
        <v>38</v>
      </c>
      <c r="P969" s="2" t="s">
        <v>38</v>
      </c>
      <c r="Q969" s="2" t="s">
        <v>39</v>
      </c>
      <c r="R969" s="2" t="s">
        <v>38</v>
      </c>
      <c r="S969" s="2" t="s">
        <v>38</v>
      </c>
      <c r="T969" s="2" t="s">
        <v>38</v>
      </c>
      <c r="U969" s="2" t="s">
        <v>39</v>
      </c>
      <c r="V969" s="2" t="s">
        <v>38</v>
      </c>
      <c r="W969" s="2" t="s">
        <v>38</v>
      </c>
      <c r="X969" s="2" t="s">
        <v>39</v>
      </c>
      <c r="Y969" s="2" t="s">
        <v>39</v>
      </c>
      <c r="Z969" s="2" t="s">
        <v>38</v>
      </c>
      <c r="AA969" s="2" t="s">
        <v>39</v>
      </c>
      <c r="AB969" s="2" t="s">
        <v>39</v>
      </c>
      <c r="AC969" s="2" t="s">
        <v>38</v>
      </c>
      <c r="AD969" s="2" t="s">
        <v>38</v>
      </c>
      <c r="AE969" s="2" t="s">
        <v>40</v>
      </c>
    </row>
    <row r="970" spans="1:31" ht="409.5">
      <c r="A970" s="2">
        <v>2748929</v>
      </c>
      <c r="B970" s="2">
        <f>HYPERLINK("https://platform.v2.vetology.net/cases/2748929/screening-report/1?type=pdf&amp;v=v6&amp;scorecard=1&amp;secret_key=BX%25IJ%24%2F65ieZ%29f6", 2748929)</f>
        <v>2748929</v>
      </c>
      <c r="C970" s="2">
        <f>HYPERLINK("https://platform.v2.vetology.net/report/v/final/"&amp;2748929, 2748929)</f>
        <v>2748929</v>
      </c>
      <c r="D970" s="2" t="s">
        <v>3247</v>
      </c>
      <c r="E970" s="2" t="s">
        <v>3248</v>
      </c>
      <c r="F970" s="2" t="s">
        <v>3249</v>
      </c>
      <c r="G970" s="2" t="s">
        <v>53</v>
      </c>
      <c r="H970" s="2" t="s">
        <v>3250</v>
      </c>
      <c r="I970" s="2" t="s">
        <v>129</v>
      </c>
      <c r="J970" s="2" t="s">
        <v>74</v>
      </c>
      <c r="K970" s="2" t="s">
        <v>38</v>
      </c>
      <c r="L970" s="2" t="s">
        <v>38</v>
      </c>
      <c r="M970" s="2" t="s">
        <v>38</v>
      </c>
      <c r="N970" s="2" t="s">
        <v>38</v>
      </c>
      <c r="O970" s="2" t="s">
        <v>38</v>
      </c>
      <c r="P970" s="2" t="s">
        <v>38</v>
      </c>
      <c r="Q970" s="2" t="s">
        <v>38</v>
      </c>
      <c r="R970" s="2" t="s">
        <v>38</v>
      </c>
      <c r="S970" s="2" t="s">
        <v>38</v>
      </c>
      <c r="T970" s="2" t="s">
        <v>38</v>
      </c>
      <c r="U970" s="2" t="s">
        <v>38</v>
      </c>
      <c r="V970" s="2" t="s">
        <v>38</v>
      </c>
      <c r="W970" s="2" t="s">
        <v>38</v>
      </c>
      <c r="X970" s="2" t="s">
        <v>38</v>
      </c>
      <c r="Y970" s="2" t="s">
        <v>39</v>
      </c>
      <c r="Z970" s="2" t="s">
        <v>38</v>
      </c>
      <c r="AA970" s="2" t="s">
        <v>38</v>
      </c>
      <c r="AB970" s="2" t="s">
        <v>38</v>
      </c>
      <c r="AC970" s="2" t="s">
        <v>38</v>
      </c>
      <c r="AD970" s="2" t="s">
        <v>39</v>
      </c>
      <c r="AE970" s="2" t="s">
        <v>39</v>
      </c>
    </row>
    <row r="971" spans="1:31" ht="409.5">
      <c r="A971" s="2">
        <v>2748909</v>
      </c>
      <c r="B971" s="2">
        <f>HYPERLINK("https://platform.v2.vetology.net/cases/2748909/screening-report/1?type=pdf&amp;v=v6&amp;scorecard=1&amp;secret_key=BX%25IJ%24%2F65ieZ%29f6", 2748909)</f>
        <v>2748909</v>
      </c>
      <c r="C971" s="2">
        <f>HYPERLINK("https://platform.v2.vetology.net/report/v/final/"&amp;2748909, 2748909)</f>
        <v>2748909</v>
      </c>
      <c r="D971" s="2" t="s">
        <v>3251</v>
      </c>
      <c r="E971" s="2" t="s">
        <v>3252</v>
      </c>
      <c r="F971" s="2" t="s">
        <v>3253</v>
      </c>
      <c r="G971" s="2" t="s">
        <v>53</v>
      </c>
      <c r="H971" s="2" t="s">
        <v>3254</v>
      </c>
      <c r="I971" s="2" t="s">
        <v>36</v>
      </c>
      <c r="J971" s="2" t="s">
        <v>37</v>
      </c>
      <c r="K971" s="2" t="s">
        <v>38</v>
      </c>
      <c r="L971" s="2" t="s">
        <v>38</v>
      </c>
      <c r="M971" s="2" t="s">
        <v>38</v>
      </c>
      <c r="N971" s="2" t="s">
        <v>38</v>
      </c>
      <c r="O971" s="2" t="s">
        <v>38</v>
      </c>
      <c r="P971" s="2" t="s">
        <v>38</v>
      </c>
      <c r="Q971" s="2" t="s">
        <v>39</v>
      </c>
      <c r="R971" s="2" t="s">
        <v>39</v>
      </c>
      <c r="S971" s="2" t="s">
        <v>38</v>
      </c>
      <c r="T971" s="2" t="s">
        <v>39</v>
      </c>
      <c r="U971" s="2" t="s">
        <v>38</v>
      </c>
      <c r="V971" s="2" t="s">
        <v>38</v>
      </c>
      <c r="W971" s="2" t="s">
        <v>38</v>
      </c>
      <c r="X971" s="2" t="s">
        <v>39</v>
      </c>
      <c r="Y971" s="2" t="s">
        <v>38</v>
      </c>
      <c r="Z971" s="2" t="s">
        <v>38</v>
      </c>
      <c r="AA971" s="2" t="s">
        <v>38</v>
      </c>
      <c r="AB971" s="2" t="s">
        <v>39</v>
      </c>
      <c r="AC971" s="2" t="s">
        <v>38</v>
      </c>
      <c r="AD971" s="2" t="s">
        <v>39</v>
      </c>
      <c r="AE971" s="2" t="s">
        <v>39</v>
      </c>
    </row>
    <row r="972" spans="1:31" ht="409.5">
      <c r="A972" s="2">
        <v>2748863</v>
      </c>
      <c r="B972" s="2">
        <f>HYPERLINK("https://platform.v2.vetology.net/cases/2748863/screening-report/1?type=pdf&amp;v=v6&amp;scorecard=1&amp;secret_key=BX%25IJ%24%2F65ieZ%29f6", 2748863)</f>
        <v>2748863</v>
      </c>
      <c r="C972" s="2">
        <f>HYPERLINK("https://platform.v2.vetology.net/report/v/final/"&amp;2748863, 2748863)</f>
        <v>2748863</v>
      </c>
      <c r="D972" s="2" t="s">
        <v>3255</v>
      </c>
      <c r="E972" s="2" t="s">
        <v>3256</v>
      </c>
      <c r="F972" s="2" t="s">
        <v>3257</v>
      </c>
      <c r="G972" s="2" t="s">
        <v>507</v>
      </c>
      <c r="H972" s="2" t="s">
        <v>515</v>
      </c>
      <c r="I972" s="2" t="s">
        <v>36</v>
      </c>
      <c r="J972" s="2" t="s">
        <v>37</v>
      </c>
      <c r="K972" s="2" t="s">
        <v>39</v>
      </c>
      <c r="L972" s="2" t="s">
        <v>39</v>
      </c>
      <c r="M972" s="2" t="s">
        <v>38</v>
      </c>
      <c r="N972" s="2" t="s">
        <v>39</v>
      </c>
      <c r="O972" s="2" t="s">
        <v>38</v>
      </c>
      <c r="P972" s="2" t="s">
        <v>39</v>
      </c>
      <c r="Q972" s="2" t="s">
        <v>39</v>
      </c>
      <c r="R972" s="2" t="s">
        <v>39</v>
      </c>
      <c r="S972" s="2" t="s">
        <v>39</v>
      </c>
      <c r="T972" s="2" t="s">
        <v>39</v>
      </c>
      <c r="U972" s="2" t="s">
        <v>39</v>
      </c>
      <c r="V972" s="2" t="s">
        <v>39</v>
      </c>
      <c r="W972" s="2" t="s">
        <v>39</v>
      </c>
      <c r="X972" s="2" t="s">
        <v>39</v>
      </c>
      <c r="Y972" s="2" t="s">
        <v>39</v>
      </c>
      <c r="Z972" s="2" t="s">
        <v>38</v>
      </c>
      <c r="AA972" s="2" t="s">
        <v>39</v>
      </c>
      <c r="AB972" s="2" t="s">
        <v>39</v>
      </c>
      <c r="AC972" s="2" t="s">
        <v>39</v>
      </c>
      <c r="AD972" s="2" t="s">
        <v>39</v>
      </c>
      <c r="AE972" s="2" t="s">
        <v>39</v>
      </c>
    </row>
    <row r="973" spans="1:31" ht="409.5">
      <c r="A973" s="2">
        <v>2748861</v>
      </c>
      <c r="B973" s="2">
        <f>HYPERLINK("https://platform.v2.vetology.net/cases/2748861/screening-report/1?type=pdf&amp;v=v6&amp;scorecard=1&amp;secret_key=BX%25IJ%24%2F65ieZ%29f6", 2748861)</f>
        <v>2748861</v>
      </c>
      <c r="C973" s="2">
        <f>HYPERLINK("https://platform.v2.vetology.net/report/v/final/"&amp;2748861, 2748861)</f>
        <v>2748861</v>
      </c>
      <c r="D973" s="2" t="s">
        <v>3258</v>
      </c>
      <c r="E973" s="2" t="s">
        <v>3259</v>
      </c>
      <c r="F973" s="2" t="s">
        <v>3260</v>
      </c>
      <c r="G973" s="2" t="s">
        <v>111</v>
      </c>
      <c r="H973" s="2" t="s">
        <v>2003</v>
      </c>
      <c r="I973" s="2" t="s">
        <v>46</v>
      </c>
      <c r="J973" s="2"/>
      <c r="K973" s="2" t="s">
        <v>39</v>
      </c>
      <c r="L973" s="2" t="s">
        <v>38</v>
      </c>
      <c r="M973" s="2" t="s">
        <v>39</v>
      </c>
      <c r="N973" s="2" t="s">
        <v>39</v>
      </c>
      <c r="O973" s="2" t="s">
        <v>38</v>
      </c>
      <c r="P973" s="2" t="s">
        <v>39</v>
      </c>
      <c r="Q973" s="2" t="s">
        <v>39</v>
      </c>
      <c r="R973" s="2" t="s">
        <v>38</v>
      </c>
      <c r="S973" s="2" t="s">
        <v>39</v>
      </c>
      <c r="T973" s="2" t="s">
        <v>39</v>
      </c>
      <c r="U973" s="2" t="s">
        <v>39</v>
      </c>
      <c r="V973" s="2" t="s">
        <v>39</v>
      </c>
      <c r="W973" s="2" t="s">
        <v>38</v>
      </c>
      <c r="X973" s="2" t="s">
        <v>39</v>
      </c>
      <c r="Y973" s="2" t="s">
        <v>39</v>
      </c>
      <c r="Z973" s="2" t="s">
        <v>38</v>
      </c>
      <c r="AA973" s="2" t="s">
        <v>38</v>
      </c>
      <c r="AB973" s="2" t="s">
        <v>39</v>
      </c>
      <c r="AC973" s="2" t="s">
        <v>38</v>
      </c>
      <c r="AD973" s="2" t="s">
        <v>38</v>
      </c>
      <c r="AE973" s="2" t="s">
        <v>39</v>
      </c>
    </row>
    <row r="974" spans="1:31" ht="409.5">
      <c r="A974" s="2">
        <v>2748860</v>
      </c>
      <c r="B974" s="2">
        <f>HYPERLINK("https://platform.v2.vetology.net/cases/2748860/screening-report/1?type=pdf&amp;v=v6&amp;scorecard=1&amp;secret_key=BX%25IJ%24%2F65ieZ%29f6", 2748860)</f>
        <v>2748860</v>
      </c>
      <c r="C974" s="2">
        <f>HYPERLINK("https://platform.v2.vetology.net/report/v/final/"&amp;2748860, 2748860)</f>
        <v>2748860</v>
      </c>
      <c r="D974" s="2" t="s">
        <v>3261</v>
      </c>
      <c r="E974" s="2" t="s">
        <v>3262</v>
      </c>
      <c r="F974" s="2" t="s">
        <v>43</v>
      </c>
      <c r="G974" s="2" t="s">
        <v>100</v>
      </c>
      <c r="H974" s="2" t="s">
        <v>3263</v>
      </c>
      <c r="I974" s="2" t="s">
        <v>36</v>
      </c>
      <c r="J974" s="2" t="s">
        <v>37</v>
      </c>
      <c r="K974" s="2" t="s">
        <v>38</v>
      </c>
      <c r="L974" s="2" t="s">
        <v>38</v>
      </c>
      <c r="M974" s="2" t="s">
        <v>39</v>
      </c>
      <c r="N974" s="2" t="s">
        <v>38</v>
      </c>
      <c r="O974" s="2" t="s">
        <v>38</v>
      </c>
      <c r="P974" s="2" t="s">
        <v>39</v>
      </c>
      <c r="Q974" s="2" t="s">
        <v>39</v>
      </c>
      <c r="R974" s="2" t="s">
        <v>38</v>
      </c>
      <c r="S974" s="2" t="s">
        <v>38</v>
      </c>
      <c r="T974" s="2" t="s">
        <v>39</v>
      </c>
      <c r="U974" s="2" t="s">
        <v>38</v>
      </c>
      <c r="V974" s="2" t="s">
        <v>38</v>
      </c>
      <c r="W974" s="2" t="s">
        <v>38</v>
      </c>
      <c r="X974" s="2" t="s">
        <v>39</v>
      </c>
      <c r="Y974" s="2" t="s">
        <v>38</v>
      </c>
      <c r="Z974" s="2" t="s">
        <v>38</v>
      </c>
      <c r="AA974" s="2" t="s">
        <v>39</v>
      </c>
      <c r="AB974" s="2" t="s">
        <v>39</v>
      </c>
      <c r="AC974" s="2" t="s">
        <v>38</v>
      </c>
      <c r="AD974" s="2" t="s">
        <v>39</v>
      </c>
      <c r="AE974" s="2" t="s">
        <v>39</v>
      </c>
    </row>
    <row r="975" spans="1:31" ht="409.5">
      <c r="A975" s="2">
        <v>2748855</v>
      </c>
      <c r="B975" s="2">
        <f>HYPERLINK("https://platform.v2.vetology.net/cases/2748855/screening-report/1?type=pdf&amp;v=v6&amp;scorecard=1&amp;secret_key=BX%25IJ%24%2F65ieZ%29f6", 2748855)</f>
        <v>2748855</v>
      </c>
      <c r="C975" s="2">
        <f>HYPERLINK("https://platform.v2.vetology.net/report/v/final/"&amp;2748855, 2748855)</f>
        <v>2748855</v>
      </c>
      <c r="D975" s="2" t="s">
        <v>3264</v>
      </c>
      <c r="E975" s="2" t="s">
        <v>3265</v>
      </c>
      <c r="F975" s="2" t="s">
        <v>3266</v>
      </c>
      <c r="G975" s="2" t="s">
        <v>127</v>
      </c>
      <c r="H975" s="2" t="s">
        <v>537</v>
      </c>
      <c r="I975" s="2" t="s">
        <v>59</v>
      </c>
      <c r="J975" s="2" t="s">
        <v>37</v>
      </c>
      <c r="K975" s="2" t="s">
        <v>38</v>
      </c>
      <c r="L975" s="2" t="s">
        <v>39</v>
      </c>
      <c r="M975" s="2" t="s">
        <v>39</v>
      </c>
      <c r="N975" s="2" t="s">
        <v>39</v>
      </c>
      <c r="O975" s="2" t="s">
        <v>39</v>
      </c>
      <c r="P975" s="2" t="s">
        <v>39</v>
      </c>
      <c r="Q975" s="2" t="s">
        <v>39</v>
      </c>
      <c r="R975" s="2" t="s">
        <v>39</v>
      </c>
      <c r="S975" s="2" t="s">
        <v>39</v>
      </c>
      <c r="T975" s="2" t="s">
        <v>39</v>
      </c>
      <c r="U975" s="2" t="s">
        <v>38</v>
      </c>
      <c r="V975" s="2" t="s">
        <v>38</v>
      </c>
      <c r="W975" s="2" t="s">
        <v>38</v>
      </c>
      <c r="X975" s="2" t="s">
        <v>39</v>
      </c>
      <c r="Y975" s="2" t="s">
        <v>38</v>
      </c>
      <c r="Z975" s="2" t="s">
        <v>39</v>
      </c>
      <c r="AA975" s="2" t="s">
        <v>39</v>
      </c>
      <c r="AB975" s="2" t="s">
        <v>39</v>
      </c>
      <c r="AC975" s="2" t="s">
        <v>38</v>
      </c>
      <c r="AD975" s="2" t="s">
        <v>38</v>
      </c>
      <c r="AE975" s="2" t="s">
        <v>39</v>
      </c>
    </row>
    <row r="976" spans="1:31" ht="409.5">
      <c r="A976" s="2">
        <v>2748839</v>
      </c>
      <c r="B976" s="2">
        <f>HYPERLINK("https://platform.v2.vetology.net/cases/2748839/screening-report/1?type=pdf&amp;v=v6&amp;scorecard=1&amp;secret_key=BX%25IJ%24%2F65ieZ%29f6", 2748839)</f>
        <v>2748839</v>
      </c>
      <c r="C976" s="2">
        <f>HYPERLINK("https://platform.v2.vetology.net/report/v/final/"&amp;2748839, 2748839)</f>
        <v>2748839</v>
      </c>
      <c r="D976" s="2" t="s">
        <v>3267</v>
      </c>
      <c r="E976" s="2" t="s">
        <v>3268</v>
      </c>
      <c r="F976" s="2" t="s">
        <v>3269</v>
      </c>
      <c r="G976" s="2" t="s">
        <v>251</v>
      </c>
      <c r="H976" s="2" t="s">
        <v>3270</v>
      </c>
      <c r="I976" s="2" t="s">
        <v>59</v>
      </c>
      <c r="J976" s="2" t="s">
        <v>37</v>
      </c>
      <c r="K976" s="2" t="s">
        <v>38</v>
      </c>
      <c r="L976" s="2" t="s">
        <v>38</v>
      </c>
      <c r="M976" s="2" t="s">
        <v>39</v>
      </c>
      <c r="N976" s="2" t="s">
        <v>39</v>
      </c>
      <c r="O976" s="2" t="s">
        <v>39</v>
      </c>
      <c r="P976" s="2" t="s">
        <v>39</v>
      </c>
      <c r="Q976" s="2" t="s">
        <v>39</v>
      </c>
      <c r="R976" s="2" t="s">
        <v>38</v>
      </c>
      <c r="S976" s="2" t="s">
        <v>38</v>
      </c>
      <c r="T976" s="2" t="s">
        <v>39</v>
      </c>
      <c r="U976" s="2" t="s">
        <v>38</v>
      </c>
      <c r="V976" s="2" t="s">
        <v>38</v>
      </c>
      <c r="W976" s="2" t="s">
        <v>39</v>
      </c>
      <c r="X976" s="2" t="s">
        <v>39</v>
      </c>
      <c r="Y976" s="2" t="s">
        <v>39</v>
      </c>
      <c r="Z976" s="2" t="s">
        <v>39</v>
      </c>
      <c r="AA976" s="2" t="s">
        <v>38</v>
      </c>
      <c r="AB976" s="2" t="s">
        <v>39</v>
      </c>
      <c r="AC976" s="2" t="s">
        <v>38</v>
      </c>
      <c r="AD976" s="2" t="s">
        <v>38</v>
      </c>
      <c r="AE976" s="2" t="s">
        <v>39</v>
      </c>
    </row>
    <row r="977" spans="1:31" ht="409.5">
      <c r="A977" s="2">
        <v>2748837</v>
      </c>
      <c r="B977" s="2">
        <f>HYPERLINK("https://platform.v2.vetology.net/cases/2748837/screening-report/1?type=pdf&amp;v=v6&amp;scorecard=1&amp;secret_key=BX%25IJ%24%2F65ieZ%29f6", 2748837)</f>
        <v>2748837</v>
      </c>
      <c r="C977" s="2">
        <f>HYPERLINK("https://platform.v2.vetology.net/report/v/final/"&amp;2748837, 2748837)</f>
        <v>2748837</v>
      </c>
      <c r="D977" s="2" t="s">
        <v>3271</v>
      </c>
      <c r="E977" s="2" t="s">
        <v>3272</v>
      </c>
      <c r="F977" s="2" t="s">
        <v>3273</v>
      </c>
      <c r="G977" s="2" t="s">
        <v>127</v>
      </c>
      <c r="H977" s="2" t="s">
        <v>133</v>
      </c>
      <c r="I977" s="2" t="s">
        <v>129</v>
      </c>
      <c r="J977" s="2" t="s">
        <v>74</v>
      </c>
      <c r="K977" s="2" t="s">
        <v>38</v>
      </c>
      <c r="L977" s="2" t="s">
        <v>38</v>
      </c>
      <c r="M977" s="2" t="s">
        <v>38</v>
      </c>
      <c r="N977" s="2" t="s">
        <v>38</v>
      </c>
      <c r="O977" s="2" t="s">
        <v>38</v>
      </c>
      <c r="P977" s="2" t="s">
        <v>38</v>
      </c>
      <c r="Q977" s="2" t="s">
        <v>38</v>
      </c>
      <c r="R977" s="2" t="s">
        <v>38</v>
      </c>
      <c r="S977" s="2" t="s">
        <v>38</v>
      </c>
      <c r="T977" s="2" t="s">
        <v>38</v>
      </c>
      <c r="U977" s="2" t="s">
        <v>39</v>
      </c>
      <c r="V977" s="2" t="s">
        <v>38</v>
      </c>
      <c r="W977" s="2" t="s">
        <v>38</v>
      </c>
      <c r="X977" s="2" t="s">
        <v>38</v>
      </c>
      <c r="Y977" s="2" t="s">
        <v>39</v>
      </c>
      <c r="Z977" s="2" t="s">
        <v>38</v>
      </c>
      <c r="AA977" s="2" t="s">
        <v>38</v>
      </c>
      <c r="AB977" s="2" t="s">
        <v>38</v>
      </c>
      <c r="AC977" s="2" t="s">
        <v>38</v>
      </c>
      <c r="AD977" s="2" t="s">
        <v>38</v>
      </c>
      <c r="AE977" s="2" t="s">
        <v>39</v>
      </c>
    </row>
    <row r="978" spans="1:31" ht="409.5">
      <c r="A978" s="2">
        <v>2748835</v>
      </c>
      <c r="B978" s="2">
        <f>HYPERLINK("https://platform.v2.vetology.net/cases/2748835/screening-report/1?type=pdf&amp;v=v6&amp;scorecard=1&amp;secret_key=BX%25IJ%24%2F65ieZ%29f6", 2748835)</f>
        <v>2748835</v>
      </c>
      <c r="C978" s="2">
        <f>HYPERLINK("https://platform.v2.vetology.net/report/v/final/"&amp;2748835, 2748835)</f>
        <v>2748835</v>
      </c>
      <c r="D978" s="2" t="s">
        <v>3274</v>
      </c>
      <c r="E978" s="2" t="s">
        <v>3275</v>
      </c>
      <c r="F978" s="2" t="s">
        <v>3276</v>
      </c>
      <c r="G978" s="2" t="s">
        <v>53</v>
      </c>
      <c r="H978" s="2" t="s">
        <v>1472</v>
      </c>
      <c r="I978" s="2" t="s">
        <v>36</v>
      </c>
      <c r="J978" s="2" t="s">
        <v>37</v>
      </c>
      <c r="K978" s="2" t="s">
        <v>39</v>
      </c>
      <c r="L978" s="2" t="s">
        <v>39</v>
      </c>
      <c r="M978" s="2" t="s">
        <v>39</v>
      </c>
      <c r="N978" s="2" t="s">
        <v>39</v>
      </c>
      <c r="O978" s="2" t="s">
        <v>39</v>
      </c>
      <c r="P978" s="2" t="s">
        <v>38</v>
      </c>
      <c r="Q978" s="2" t="s">
        <v>39</v>
      </c>
      <c r="R978" s="2" t="s">
        <v>39</v>
      </c>
      <c r="S978" s="2" t="s">
        <v>39</v>
      </c>
      <c r="T978" s="2" t="s">
        <v>39</v>
      </c>
      <c r="U978" s="2" t="s">
        <v>39</v>
      </c>
      <c r="V978" s="2" t="s">
        <v>39</v>
      </c>
      <c r="W978" s="2" t="s">
        <v>39</v>
      </c>
      <c r="X978" s="2" t="s">
        <v>39</v>
      </c>
      <c r="Y978" s="2" t="s">
        <v>39</v>
      </c>
      <c r="Z978" s="2" t="s">
        <v>39</v>
      </c>
      <c r="AA978" s="2" t="s">
        <v>39</v>
      </c>
      <c r="AB978" s="2" t="s">
        <v>39</v>
      </c>
      <c r="AC978" s="2" t="s">
        <v>39</v>
      </c>
      <c r="AD978" s="2" t="s">
        <v>39</v>
      </c>
      <c r="AE978" s="2"/>
    </row>
    <row r="979" spans="1:31" ht="409.5">
      <c r="A979" s="2">
        <v>2748821</v>
      </c>
      <c r="B979" s="2">
        <f>HYPERLINK("https://platform.v2.vetology.net/cases/2748821/screening-report/1?type=pdf&amp;v=v6&amp;scorecard=1&amp;secret_key=BX%25IJ%24%2F65ieZ%29f6", 2748821)</f>
        <v>2748821</v>
      </c>
      <c r="C979" s="2">
        <f>HYPERLINK("https://platform.v2.vetology.net/report/v/final/"&amp;2748821, 2748821)</f>
        <v>2748821</v>
      </c>
      <c r="D979" s="2" t="s">
        <v>3277</v>
      </c>
      <c r="E979" s="2" t="s">
        <v>1844</v>
      </c>
      <c r="F979" s="2" t="s">
        <v>3278</v>
      </c>
      <c r="G979" s="2" t="s">
        <v>111</v>
      </c>
      <c r="H979" s="2" t="s">
        <v>530</v>
      </c>
      <c r="I979" s="2" t="s">
        <v>59</v>
      </c>
      <c r="J979" s="2" t="s">
        <v>37</v>
      </c>
      <c r="K979" s="2" t="s">
        <v>38</v>
      </c>
      <c r="L979" s="2" t="s">
        <v>39</v>
      </c>
      <c r="M979" s="2" t="s">
        <v>39</v>
      </c>
      <c r="N979" s="2" t="s">
        <v>39</v>
      </c>
      <c r="O979" s="2" t="s">
        <v>39</v>
      </c>
      <c r="P979" s="2" t="s">
        <v>39</v>
      </c>
      <c r="Q979" s="2" t="s">
        <v>39</v>
      </c>
      <c r="R979" s="2" t="s">
        <v>39</v>
      </c>
      <c r="S979" s="2" t="s">
        <v>39</v>
      </c>
      <c r="T979" s="2" t="s">
        <v>39</v>
      </c>
      <c r="U979" s="2" t="s">
        <v>38</v>
      </c>
      <c r="V979" s="2" t="s">
        <v>38</v>
      </c>
      <c r="W979" s="2" t="s">
        <v>39</v>
      </c>
      <c r="X979" s="2" t="s">
        <v>39</v>
      </c>
      <c r="Y979" s="2" t="s">
        <v>39</v>
      </c>
      <c r="Z979" s="2" t="s">
        <v>39</v>
      </c>
      <c r="AA979" s="2" t="s">
        <v>39</v>
      </c>
      <c r="AB979" s="2" t="s">
        <v>39</v>
      </c>
      <c r="AC979" s="2" t="s">
        <v>39</v>
      </c>
      <c r="AD979" s="2" t="s">
        <v>39</v>
      </c>
      <c r="AE979" s="2" t="s">
        <v>39</v>
      </c>
    </row>
    <row r="980" spans="1:31" ht="409.5">
      <c r="A980" s="2">
        <v>2748780</v>
      </c>
      <c r="B980" s="2">
        <f>HYPERLINK("https://platform.v2.vetology.net/cases/2748780/screening-report/1?type=pdf&amp;v=v6&amp;scorecard=1&amp;secret_key=BX%25IJ%24%2F65ieZ%29f6", 2748780)</f>
        <v>2748780</v>
      </c>
      <c r="C980" s="2">
        <f>HYPERLINK("https://platform.v2.vetology.net/report/v/final/"&amp;2748780, 2748780)</f>
        <v>2748780</v>
      </c>
      <c r="D980" s="2" t="s">
        <v>3279</v>
      </c>
      <c r="E980" s="2" t="s">
        <v>3280</v>
      </c>
      <c r="F980" s="2" t="s">
        <v>3281</v>
      </c>
      <c r="G980" s="2" t="s">
        <v>251</v>
      </c>
      <c r="H980" s="2" t="s">
        <v>3282</v>
      </c>
      <c r="I980" s="2" t="s">
        <v>36</v>
      </c>
      <c r="J980" s="2" t="s">
        <v>37</v>
      </c>
      <c r="K980" s="2" t="s">
        <v>39</v>
      </c>
      <c r="L980" s="2" t="s">
        <v>38</v>
      </c>
      <c r="M980" s="2" t="s">
        <v>39</v>
      </c>
      <c r="N980" s="2" t="s">
        <v>38</v>
      </c>
      <c r="O980" s="2" t="s">
        <v>38</v>
      </c>
      <c r="P980" s="2" t="s">
        <v>39</v>
      </c>
      <c r="Q980" s="2" t="s">
        <v>39</v>
      </c>
      <c r="R980" s="2" t="s">
        <v>38</v>
      </c>
      <c r="S980" s="2" t="s">
        <v>38</v>
      </c>
      <c r="T980" s="2" t="s">
        <v>39</v>
      </c>
      <c r="U980" s="2" t="s">
        <v>39</v>
      </c>
      <c r="V980" s="2" t="s">
        <v>39</v>
      </c>
      <c r="W980" s="2" t="s">
        <v>38</v>
      </c>
      <c r="X980" s="2" t="s">
        <v>39</v>
      </c>
      <c r="Y980" s="2" t="s">
        <v>39</v>
      </c>
      <c r="Z980" s="2" t="s">
        <v>38</v>
      </c>
      <c r="AA980" s="2" t="s">
        <v>38</v>
      </c>
      <c r="AB980" s="2" t="s">
        <v>39</v>
      </c>
      <c r="AC980" s="2" t="s">
        <v>38</v>
      </c>
      <c r="AD980" s="2" t="s">
        <v>38</v>
      </c>
      <c r="AE980" s="2" t="s">
        <v>39</v>
      </c>
    </row>
    <row r="981" spans="1:31" ht="409.5">
      <c r="A981" s="2">
        <v>2748779</v>
      </c>
      <c r="B981" s="2">
        <f>HYPERLINK("https://platform.v2.vetology.net/cases/2748779/screening-report/1?type=pdf&amp;v=v6&amp;scorecard=1&amp;secret_key=BX%25IJ%24%2F65ieZ%29f6", 2748779)</f>
        <v>2748779</v>
      </c>
      <c r="C981" s="2">
        <f>HYPERLINK("https://platform.v2.vetology.net/report/v/final/"&amp;2748779, 2748779)</f>
        <v>2748779</v>
      </c>
      <c r="D981" s="2" t="s">
        <v>3283</v>
      </c>
      <c r="E981" s="2" t="s">
        <v>3284</v>
      </c>
      <c r="F981" s="2" t="s">
        <v>3285</v>
      </c>
      <c r="G981" s="2" t="s">
        <v>53</v>
      </c>
      <c r="H981" s="2" t="s">
        <v>530</v>
      </c>
      <c r="I981" s="2" t="s">
        <v>59</v>
      </c>
      <c r="J981" s="2" t="s">
        <v>37</v>
      </c>
      <c r="K981" s="2" t="s">
        <v>38</v>
      </c>
      <c r="L981" s="2" t="s">
        <v>39</v>
      </c>
      <c r="M981" s="2" t="s">
        <v>39</v>
      </c>
      <c r="N981" s="2" t="s">
        <v>39</v>
      </c>
      <c r="O981" s="2" t="s">
        <v>39</v>
      </c>
      <c r="P981" s="2" t="s">
        <v>39</v>
      </c>
      <c r="Q981" s="2" t="s">
        <v>39</v>
      </c>
      <c r="R981" s="2" t="s">
        <v>39</v>
      </c>
      <c r="S981" s="2" t="s">
        <v>39</v>
      </c>
      <c r="T981" s="2" t="s">
        <v>39</v>
      </c>
      <c r="U981" s="2" t="s">
        <v>38</v>
      </c>
      <c r="V981" s="2" t="s">
        <v>38</v>
      </c>
      <c r="W981" s="2" t="s">
        <v>39</v>
      </c>
      <c r="X981" s="2" t="s">
        <v>39</v>
      </c>
      <c r="Y981" s="2" t="s">
        <v>39</v>
      </c>
      <c r="Z981" s="2" t="s">
        <v>39</v>
      </c>
      <c r="AA981" s="2" t="s">
        <v>39</v>
      </c>
      <c r="AB981" s="2" t="s">
        <v>39</v>
      </c>
      <c r="AC981" s="2" t="s">
        <v>38</v>
      </c>
      <c r="AD981" s="2" t="s">
        <v>39</v>
      </c>
      <c r="AE981" s="2" t="s">
        <v>39</v>
      </c>
    </row>
    <row r="982" spans="1:31" ht="409.5">
      <c r="A982" s="2">
        <v>2748756</v>
      </c>
      <c r="B982" s="2">
        <f>HYPERLINK("https://platform.v2.vetology.net/cases/2748756/screening-report/1?type=pdf&amp;v=v6&amp;scorecard=1&amp;secret_key=BX%25IJ%24%2F65ieZ%29f6", 2748756)</f>
        <v>2748756</v>
      </c>
      <c r="C982" s="2">
        <f>HYPERLINK("https://platform.v2.vetology.net/report/v/final/"&amp;2748756, 2748756)</f>
        <v>2748756</v>
      </c>
      <c r="D982" s="2" t="s">
        <v>3286</v>
      </c>
      <c r="E982" s="2" t="s">
        <v>3287</v>
      </c>
      <c r="F982" s="2" t="s">
        <v>3288</v>
      </c>
      <c r="G982" s="2" t="s">
        <v>127</v>
      </c>
      <c r="H982" s="2" t="s">
        <v>66</v>
      </c>
      <c r="I982" s="2" t="s">
        <v>36</v>
      </c>
      <c r="J982" s="2" t="s">
        <v>37</v>
      </c>
      <c r="K982" s="2" t="s">
        <v>39</v>
      </c>
      <c r="L982" s="2" t="s">
        <v>39</v>
      </c>
      <c r="M982" s="2" t="s">
        <v>38</v>
      </c>
      <c r="N982" s="2" t="s">
        <v>39</v>
      </c>
      <c r="O982" s="2" t="s">
        <v>39</v>
      </c>
      <c r="P982" s="2" t="s">
        <v>39</v>
      </c>
      <c r="Q982" s="2" t="s">
        <v>39</v>
      </c>
      <c r="R982" s="2" t="s">
        <v>39</v>
      </c>
      <c r="S982" s="2" t="s">
        <v>39</v>
      </c>
      <c r="T982" s="2" t="s">
        <v>39</v>
      </c>
      <c r="U982" s="2" t="s">
        <v>39</v>
      </c>
      <c r="V982" s="2" t="s">
        <v>39</v>
      </c>
      <c r="W982" s="2" t="s">
        <v>39</v>
      </c>
      <c r="X982" s="2" t="s">
        <v>39</v>
      </c>
      <c r="Y982" s="2" t="s">
        <v>39</v>
      </c>
      <c r="Z982" s="2" t="s">
        <v>39</v>
      </c>
      <c r="AA982" s="2" t="s">
        <v>39</v>
      </c>
      <c r="AB982" s="2" t="s">
        <v>39</v>
      </c>
      <c r="AC982" s="2" t="s">
        <v>38</v>
      </c>
      <c r="AD982" s="2" t="s">
        <v>38</v>
      </c>
      <c r="AE982" s="2" t="s">
        <v>39</v>
      </c>
    </row>
    <row r="983" spans="1:31" ht="409.5">
      <c r="A983" s="2">
        <v>2748751</v>
      </c>
      <c r="B983" s="2">
        <f>HYPERLINK("https://platform.v2.vetology.net/cases/2748751/screening-report/1?type=pdf&amp;v=v6&amp;scorecard=1&amp;secret_key=BX%25IJ%24%2F65ieZ%29f6", 2748751)</f>
        <v>2748751</v>
      </c>
      <c r="C983" s="2">
        <f>HYPERLINK("https://platform.v2.vetology.net/report/v/final/"&amp;2748751, 2748751)</f>
        <v>2748751</v>
      </c>
      <c r="D983" s="2" t="s">
        <v>3289</v>
      </c>
      <c r="E983" s="2" t="s">
        <v>3290</v>
      </c>
      <c r="F983" s="2" t="s">
        <v>3291</v>
      </c>
      <c r="G983" s="2" t="s">
        <v>100</v>
      </c>
      <c r="H983" s="2" t="s">
        <v>3292</v>
      </c>
      <c r="I983" s="2" t="s">
        <v>73</v>
      </c>
      <c r="J983" s="2" t="s">
        <v>74</v>
      </c>
      <c r="K983" s="2" t="s">
        <v>38</v>
      </c>
      <c r="L983" s="2" t="s">
        <v>38</v>
      </c>
      <c r="M983" s="2" t="s">
        <v>38</v>
      </c>
      <c r="N983" s="2" t="s">
        <v>38</v>
      </c>
      <c r="O983" s="2" t="s">
        <v>38</v>
      </c>
      <c r="P983" s="2" t="s">
        <v>38</v>
      </c>
      <c r="Q983" s="2" t="s">
        <v>38</v>
      </c>
      <c r="R983" s="2" t="s">
        <v>38</v>
      </c>
      <c r="S983" s="2" t="s">
        <v>38</v>
      </c>
      <c r="T983" s="2" t="s">
        <v>38</v>
      </c>
      <c r="U983" s="2" t="s">
        <v>38</v>
      </c>
      <c r="V983" s="2" t="s">
        <v>38</v>
      </c>
      <c r="W983" s="2" t="s">
        <v>38</v>
      </c>
      <c r="X983" s="2" t="s">
        <v>38</v>
      </c>
      <c r="Y983" s="2" t="s">
        <v>38</v>
      </c>
      <c r="Z983" s="2" t="s">
        <v>38</v>
      </c>
      <c r="AA983" s="2" t="s">
        <v>38</v>
      </c>
      <c r="AB983" s="2" t="s">
        <v>38</v>
      </c>
      <c r="AC983" s="2" t="s">
        <v>38</v>
      </c>
      <c r="AD983" s="2" t="s">
        <v>38</v>
      </c>
      <c r="AE983" s="2" t="s">
        <v>39</v>
      </c>
    </row>
    <row r="984" spans="1:31" ht="409.5">
      <c r="A984" s="2">
        <v>2748727</v>
      </c>
      <c r="B984" s="2">
        <f>HYPERLINK("https://platform.v2.vetology.net/cases/2748727/screening-report/1?type=pdf&amp;v=v6&amp;scorecard=1&amp;secret_key=BX%25IJ%24%2F65ieZ%29f6", 2748727)</f>
        <v>2748727</v>
      </c>
      <c r="C984" s="2">
        <f>HYPERLINK("https://platform.v2.vetology.net/report/v/final/"&amp;2748727, 2748727)</f>
        <v>2748727</v>
      </c>
      <c r="D984" s="2" t="s">
        <v>3293</v>
      </c>
      <c r="E984" s="2" t="s">
        <v>3294</v>
      </c>
      <c r="F984" s="2" t="s">
        <v>43</v>
      </c>
      <c r="G984" s="2" t="s">
        <v>100</v>
      </c>
      <c r="H984" s="2" t="s">
        <v>3295</v>
      </c>
      <c r="I984" s="2" t="s">
        <v>73</v>
      </c>
      <c r="J984" s="2" t="s">
        <v>74</v>
      </c>
      <c r="K984" s="2" t="s">
        <v>38</v>
      </c>
      <c r="L984" s="2" t="s">
        <v>38</v>
      </c>
      <c r="M984" s="2" t="s">
        <v>38</v>
      </c>
      <c r="N984" s="2" t="s">
        <v>38</v>
      </c>
      <c r="O984" s="2" t="s">
        <v>38</v>
      </c>
      <c r="P984" s="2" t="s">
        <v>38</v>
      </c>
      <c r="Q984" s="2" t="s">
        <v>38</v>
      </c>
      <c r="R984" s="2" t="s">
        <v>38</v>
      </c>
      <c r="S984" s="2" t="s">
        <v>38</v>
      </c>
      <c r="T984" s="2" t="s">
        <v>38</v>
      </c>
      <c r="U984" s="2" t="s">
        <v>38</v>
      </c>
      <c r="V984" s="2" t="s">
        <v>38</v>
      </c>
      <c r="W984" s="2" t="s">
        <v>38</v>
      </c>
      <c r="X984" s="2" t="s">
        <v>38</v>
      </c>
      <c r="Y984" s="2" t="s">
        <v>38</v>
      </c>
      <c r="Z984" s="2" t="s">
        <v>38</v>
      </c>
      <c r="AA984" s="2" t="s">
        <v>38</v>
      </c>
      <c r="AB984" s="2" t="s">
        <v>38</v>
      </c>
      <c r="AC984" s="2" t="s">
        <v>38</v>
      </c>
      <c r="AD984" s="2" t="s">
        <v>39</v>
      </c>
      <c r="AE984" s="2" t="s">
        <v>40</v>
      </c>
    </row>
    <row r="985" spans="1:31" ht="409.5">
      <c r="A985" s="2">
        <v>2748724</v>
      </c>
      <c r="B985" s="2">
        <f>HYPERLINK("https://platform.v2.vetology.net/cases/2748724/screening-report/1?type=pdf&amp;v=v6&amp;scorecard=1&amp;secret_key=BX%25IJ%24%2F65ieZ%29f6", 2748724)</f>
        <v>2748724</v>
      </c>
      <c r="C985" s="2">
        <f>HYPERLINK("https://platform.v2.vetology.net/report/v/final/"&amp;2748724, 2748724)</f>
        <v>2748724</v>
      </c>
      <c r="D985" s="2" t="s">
        <v>3296</v>
      </c>
      <c r="E985" s="2" t="s">
        <v>3297</v>
      </c>
      <c r="F985" s="2" t="s">
        <v>3298</v>
      </c>
      <c r="G985" s="2" t="s">
        <v>53</v>
      </c>
      <c r="H985" s="2" t="s">
        <v>3299</v>
      </c>
      <c r="I985" s="2" t="s">
        <v>36</v>
      </c>
      <c r="J985" s="2" t="s">
        <v>37</v>
      </c>
      <c r="K985" s="2" t="s">
        <v>39</v>
      </c>
      <c r="L985" s="2" t="s">
        <v>38</v>
      </c>
      <c r="M985" s="2" t="s">
        <v>39</v>
      </c>
      <c r="N985" s="2" t="s">
        <v>38</v>
      </c>
      <c r="O985" s="2" t="s">
        <v>38</v>
      </c>
      <c r="P985" s="2" t="s">
        <v>39</v>
      </c>
      <c r="Q985" s="2" t="s">
        <v>39</v>
      </c>
      <c r="R985" s="2" t="s">
        <v>39</v>
      </c>
      <c r="S985" s="2" t="s">
        <v>39</v>
      </c>
      <c r="T985" s="2" t="s">
        <v>39</v>
      </c>
      <c r="U985" s="2" t="s">
        <v>39</v>
      </c>
      <c r="V985" s="2" t="s">
        <v>39</v>
      </c>
      <c r="W985" s="2" t="s">
        <v>38</v>
      </c>
      <c r="X985" s="2" t="s">
        <v>39</v>
      </c>
      <c r="Y985" s="2" t="s">
        <v>39</v>
      </c>
      <c r="Z985" s="2" t="s">
        <v>39</v>
      </c>
      <c r="AA985" s="2" t="s">
        <v>38</v>
      </c>
      <c r="AB985" s="2" t="s">
        <v>39</v>
      </c>
      <c r="AC985" s="2" t="s">
        <v>38</v>
      </c>
      <c r="AD985" s="2" t="s">
        <v>38</v>
      </c>
      <c r="AE985" s="2" t="s">
        <v>39</v>
      </c>
    </row>
    <row r="986" spans="1:31" ht="409.5">
      <c r="A986" s="2">
        <v>2748718</v>
      </c>
      <c r="B986" s="2">
        <f>HYPERLINK("https://platform.v2.vetology.net/cases/2748718/screening-report/1?type=pdf&amp;v=v6&amp;scorecard=1&amp;secret_key=BX%25IJ%24%2F65ieZ%29f6", 2748718)</f>
        <v>2748718</v>
      </c>
      <c r="C986" s="2">
        <f>HYPERLINK("https://platform.v2.vetology.net/report/v/final/"&amp;2748718, 2748718)</f>
        <v>2748718</v>
      </c>
      <c r="D986" s="2" t="s">
        <v>3300</v>
      </c>
      <c r="E986" s="2" t="s">
        <v>3301</v>
      </c>
      <c r="F986" s="2" t="s">
        <v>3302</v>
      </c>
      <c r="G986" s="2" t="s">
        <v>170</v>
      </c>
      <c r="H986" s="2" t="s">
        <v>3303</v>
      </c>
      <c r="I986" s="2" t="s">
        <v>36</v>
      </c>
      <c r="J986" s="2" t="s">
        <v>37</v>
      </c>
      <c r="K986" s="2" t="s">
        <v>39</v>
      </c>
      <c r="L986" s="2" t="s">
        <v>38</v>
      </c>
      <c r="M986" s="2" t="s">
        <v>38</v>
      </c>
      <c r="N986" s="2" t="s">
        <v>38</v>
      </c>
      <c r="O986" s="2" t="s">
        <v>38</v>
      </c>
      <c r="P986" s="2" t="s">
        <v>39</v>
      </c>
      <c r="Q986" s="2" t="s">
        <v>39</v>
      </c>
      <c r="R986" s="2" t="s">
        <v>38</v>
      </c>
      <c r="S986" s="2" t="s">
        <v>38</v>
      </c>
      <c r="T986" s="2" t="s">
        <v>39</v>
      </c>
      <c r="U986" s="2" t="s">
        <v>39</v>
      </c>
      <c r="V986" s="2" t="s">
        <v>39</v>
      </c>
      <c r="W986" s="2" t="s">
        <v>38</v>
      </c>
      <c r="X986" s="2" t="s">
        <v>39</v>
      </c>
      <c r="Y986" s="2" t="s">
        <v>39</v>
      </c>
      <c r="Z986" s="2" t="s">
        <v>38</v>
      </c>
      <c r="AA986" s="2" t="s">
        <v>39</v>
      </c>
      <c r="AB986" s="2" t="s">
        <v>39</v>
      </c>
      <c r="AC986" s="2" t="s">
        <v>38</v>
      </c>
      <c r="AD986" s="2" t="s">
        <v>38</v>
      </c>
      <c r="AE986" s="2" t="s">
        <v>39</v>
      </c>
    </row>
    <row r="987" spans="1:31" ht="409.5">
      <c r="A987" s="2">
        <v>2748701</v>
      </c>
      <c r="B987" s="2">
        <f>HYPERLINK("https://platform.v2.vetology.net/cases/2748701/screening-report/1?type=pdf&amp;v=v6&amp;scorecard=1&amp;secret_key=BX%25IJ%24%2F65ieZ%29f6", 2748701)</f>
        <v>2748701</v>
      </c>
      <c r="C987" s="2">
        <f>HYPERLINK("https://platform.v2.vetology.net/report/v/final/"&amp;2748701, 2748701)</f>
        <v>2748701</v>
      </c>
      <c r="D987" s="2" t="s">
        <v>3304</v>
      </c>
      <c r="E987" s="2" t="s">
        <v>3305</v>
      </c>
      <c r="F987" s="2" t="s">
        <v>3306</v>
      </c>
      <c r="G987" s="2" t="s">
        <v>53</v>
      </c>
      <c r="H987" s="2" t="s">
        <v>3307</v>
      </c>
      <c r="I987" s="2" t="s">
        <v>73</v>
      </c>
      <c r="J987" s="2" t="s">
        <v>74</v>
      </c>
      <c r="K987" s="2" t="s">
        <v>38</v>
      </c>
      <c r="L987" s="2" t="s">
        <v>38</v>
      </c>
      <c r="M987" s="2" t="s">
        <v>38</v>
      </c>
      <c r="N987" s="2" t="s">
        <v>38</v>
      </c>
      <c r="O987" s="2" t="s">
        <v>38</v>
      </c>
      <c r="P987" s="2" t="s">
        <v>38</v>
      </c>
      <c r="Q987" s="2" t="s">
        <v>38</v>
      </c>
      <c r="R987" s="2" t="s">
        <v>39</v>
      </c>
      <c r="S987" s="2" t="s">
        <v>38</v>
      </c>
      <c r="T987" s="2" t="s">
        <v>38</v>
      </c>
      <c r="U987" s="2" t="s">
        <v>38</v>
      </c>
      <c r="V987" s="2" t="s">
        <v>38</v>
      </c>
      <c r="W987" s="2" t="s">
        <v>38</v>
      </c>
      <c r="X987" s="2" t="s">
        <v>38</v>
      </c>
      <c r="Y987" s="2" t="s">
        <v>38</v>
      </c>
      <c r="Z987" s="2" t="s">
        <v>39</v>
      </c>
      <c r="AA987" s="2" t="s">
        <v>38</v>
      </c>
      <c r="AB987" s="2" t="s">
        <v>38</v>
      </c>
      <c r="AC987" s="2" t="s">
        <v>38</v>
      </c>
      <c r="AD987" s="2" t="s">
        <v>38</v>
      </c>
      <c r="AE987" s="2" t="s">
        <v>40</v>
      </c>
    </row>
    <row r="988" spans="1:31" ht="409.5">
      <c r="A988" s="2">
        <v>2748698</v>
      </c>
      <c r="B988" s="2">
        <f>HYPERLINK("https://platform.v2.vetology.net/cases/2748698/screening-report/1?type=pdf&amp;v=v6&amp;scorecard=1&amp;secret_key=BX%25IJ%24%2F65ieZ%29f6", 2748698)</f>
        <v>2748698</v>
      </c>
      <c r="C988" s="2">
        <f>HYPERLINK("https://platform.v2.vetology.net/report/v/final/"&amp;2748698, 2748698)</f>
        <v>2748698</v>
      </c>
      <c r="D988" s="2" t="s">
        <v>3308</v>
      </c>
      <c r="E988" s="2" t="s">
        <v>3309</v>
      </c>
      <c r="F988" s="2" t="s">
        <v>3310</v>
      </c>
      <c r="G988" s="2" t="s">
        <v>53</v>
      </c>
      <c r="H988" s="2" t="s">
        <v>3311</v>
      </c>
      <c r="I988" s="2" t="s">
        <v>73</v>
      </c>
      <c r="J988" s="2" t="s">
        <v>74</v>
      </c>
      <c r="K988" s="2" t="s">
        <v>38</v>
      </c>
      <c r="L988" s="2" t="s">
        <v>38</v>
      </c>
      <c r="M988" s="2" t="s">
        <v>38</v>
      </c>
      <c r="N988" s="2" t="s">
        <v>38</v>
      </c>
      <c r="O988" s="2" t="s">
        <v>38</v>
      </c>
      <c r="P988" s="2" t="s">
        <v>38</v>
      </c>
      <c r="Q988" s="2" t="s">
        <v>38</v>
      </c>
      <c r="R988" s="2" t="s">
        <v>38</v>
      </c>
      <c r="S988" s="2" t="s">
        <v>38</v>
      </c>
      <c r="T988" s="2" t="s">
        <v>38</v>
      </c>
      <c r="U988" s="2" t="s">
        <v>38</v>
      </c>
      <c r="V988" s="2" t="s">
        <v>38</v>
      </c>
      <c r="W988" s="2" t="s">
        <v>38</v>
      </c>
      <c r="X988" s="2" t="s">
        <v>38</v>
      </c>
      <c r="Y988" s="2" t="s">
        <v>39</v>
      </c>
      <c r="Z988" s="2" t="s">
        <v>38</v>
      </c>
      <c r="AA988" s="2" t="s">
        <v>38</v>
      </c>
      <c r="AB988" s="2" t="s">
        <v>38</v>
      </c>
      <c r="AC988" s="2" t="s">
        <v>38</v>
      </c>
      <c r="AD988" s="2" t="s">
        <v>38</v>
      </c>
      <c r="AE988" s="2" t="s">
        <v>40</v>
      </c>
    </row>
    <row r="989" spans="1:31" ht="409.5">
      <c r="A989" s="2">
        <v>2748692</v>
      </c>
      <c r="B989" s="2">
        <f>HYPERLINK("https://platform.v2.vetology.net/cases/2748692/screening-report/1?type=pdf&amp;v=v6&amp;scorecard=1&amp;secret_key=BX%25IJ%24%2F65ieZ%29f6", 2748692)</f>
        <v>2748692</v>
      </c>
      <c r="C989" s="2">
        <f>HYPERLINK("https://platform.v2.vetology.net/report/v/final/"&amp;2748692, 2748692)</f>
        <v>2748692</v>
      </c>
      <c r="D989" s="2" t="s">
        <v>3312</v>
      </c>
      <c r="E989" s="2" t="s">
        <v>3313</v>
      </c>
      <c r="F989" s="2" t="s">
        <v>3314</v>
      </c>
      <c r="G989" s="2" t="s">
        <v>53</v>
      </c>
      <c r="H989" s="2" t="s">
        <v>3315</v>
      </c>
      <c r="I989" s="2" t="s">
        <v>36</v>
      </c>
      <c r="J989" s="2" t="s">
        <v>37</v>
      </c>
      <c r="K989" s="2" t="s">
        <v>38</v>
      </c>
      <c r="L989" s="2" t="s">
        <v>38</v>
      </c>
      <c r="M989" s="2" t="s">
        <v>38</v>
      </c>
      <c r="N989" s="2" t="s">
        <v>38</v>
      </c>
      <c r="O989" s="2" t="s">
        <v>38</v>
      </c>
      <c r="P989" s="2" t="s">
        <v>39</v>
      </c>
      <c r="Q989" s="2" t="s">
        <v>39</v>
      </c>
      <c r="R989" s="2" t="s">
        <v>38</v>
      </c>
      <c r="S989" s="2" t="s">
        <v>38</v>
      </c>
      <c r="T989" s="2" t="s">
        <v>38</v>
      </c>
      <c r="U989" s="2" t="s">
        <v>38</v>
      </c>
      <c r="V989" s="2" t="s">
        <v>38</v>
      </c>
      <c r="W989" s="2" t="s">
        <v>38</v>
      </c>
      <c r="X989" s="2" t="s">
        <v>39</v>
      </c>
      <c r="Y989" s="2" t="s">
        <v>38</v>
      </c>
      <c r="Z989" s="2" t="s">
        <v>38</v>
      </c>
      <c r="AA989" s="2" t="s">
        <v>38</v>
      </c>
      <c r="AB989" s="2" t="s">
        <v>38</v>
      </c>
      <c r="AC989" s="2" t="s">
        <v>38</v>
      </c>
      <c r="AD989" s="2" t="s">
        <v>38</v>
      </c>
      <c r="AE989" s="2" t="s">
        <v>39</v>
      </c>
    </row>
    <row r="990" spans="1:31" ht="409.5">
      <c r="A990" s="2">
        <v>2748676</v>
      </c>
      <c r="B990" s="2">
        <f>HYPERLINK("https://platform.v2.vetology.net/cases/2748676/screening-report/1?type=pdf&amp;v=v6&amp;scorecard=1&amp;secret_key=BX%25IJ%24%2F65ieZ%29f6", 2748676)</f>
        <v>2748676</v>
      </c>
      <c r="C990" s="2">
        <f>HYPERLINK("https://platform.v2.vetology.net/report/v/final/"&amp;2748676, 2748676)</f>
        <v>2748676</v>
      </c>
      <c r="D990" s="2" t="s">
        <v>3316</v>
      </c>
      <c r="E990" s="2" t="s">
        <v>3317</v>
      </c>
      <c r="F990" s="2" t="s">
        <v>3318</v>
      </c>
      <c r="G990" s="2" t="s">
        <v>127</v>
      </c>
      <c r="H990" s="2" t="s">
        <v>3319</v>
      </c>
      <c r="I990" s="2" t="s">
        <v>129</v>
      </c>
      <c r="J990" s="2" t="s">
        <v>74</v>
      </c>
      <c r="K990" s="2" t="s">
        <v>38</v>
      </c>
      <c r="L990" s="2" t="s">
        <v>38</v>
      </c>
      <c r="M990" s="2" t="s">
        <v>38</v>
      </c>
      <c r="N990" s="2" t="s">
        <v>38</v>
      </c>
      <c r="O990" s="2" t="s">
        <v>38</v>
      </c>
      <c r="P990" s="2" t="s">
        <v>38</v>
      </c>
      <c r="Q990" s="2" t="s">
        <v>38</v>
      </c>
      <c r="R990" s="2" t="s">
        <v>38</v>
      </c>
      <c r="S990" s="2" t="s">
        <v>38</v>
      </c>
      <c r="T990" s="2" t="s">
        <v>38</v>
      </c>
      <c r="U990" s="2" t="s">
        <v>38</v>
      </c>
      <c r="V990" s="2" t="s">
        <v>39</v>
      </c>
      <c r="W990" s="2" t="s">
        <v>38</v>
      </c>
      <c r="X990" s="2" t="s">
        <v>38</v>
      </c>
      <c r="Y990" s="2" t="s">
        <v>38</v>
      </c>
      <c r="Z990" s="2" t="s">
        <v>38</v>
      </c>
      <c r="AA990" s="2" t="s">
        <v>38</v>
      </c>
      <c r="AB990" s="2" t="s">
        <v>38</v>
      </c>
      <c r="AC990" s="2" t="s">
        <v>38</v>
      </c>
      <c r="AD990" s="2" t="s">
        <v>38</v>
      </c>
      <c r="AE990" s="2" t="s">
        <v>40</v>
      </c>
    </row>
    <row r="991" spans="1:31" ht="409.5">
      <c r="A991" s="2">
        <v>2748656</v>
      </c>
      <c r="B991" s="2">
        <f>HYPERLINK("https://platform.v2.vetology.net/cases/2748656/screening-report/1?type=pdf&amp;v=v6&amp;scorecard=1&amp;secret_key=BX%25IJ%24%2F65ieZ%29f6", 2748656)</f>
        <v>2748656</v>
      </c>
      <c r="C991" s="2">
        <f>HYPERLINK("https://platform.v2.vetology.net/report/v/final/"&amp;2748656, 2748656)</f>
        <v>2748656</v>
      </c>
      <c r="D991" s="2" t="s">
        <v>3320</v>
      </c>
      <c r="E991" s="2" t="s">
        <v>3321</v>
      </c>
      <c r="F991" s="2" t="s">
        <v>3322</v>
      </c>
      <c r="G991" s="2" t="s">
        <v>111</v>
      </c>
      <c r="H991" s="2" t="s">
        <v>3323</v>
      </c>
      <c r="I991" s="2" t="s">
        <v>129</v>
      </c>
      <c r="J991" s="2" t="s">
        <v>74</v>
      </c>
      <c r="K991" s="2" t="s">
        <v>39</v>
      </c>
      <c r="L991" s="2" t="s">
        <v>38</v>
      </c>
      <c r="M991" s="2" t="s">
        <v>38</v>
      </c>
      <c r="N991" s="2" t="s">
        <v>39</v>
      </c>
      <c r="O991" s="2" t="s">
        <v>39</v>
      </c>
      <c r="P991" s="2" t="s">
        <v>39</v>
      </c>
      <c r="Q991" s="2" t="s">
        <v>38</v>
      </c>
      <c r="R991" s="2" t="s">
        <v>39</v>
      </c>
      <c r="S991" s="2" t="s">
        <v>39</v>
      </c>
      <c r="T991" s="2" t="s">
        <v>39</v>
      </c>
      <c r="U991" s="2" t="s">
        <v>39</v>
      </c>
      <c r="V991" s="2" t="s">
        <v>39</v>
      </c>
      <c r="W991" s="2" t="s">
        <v>38</v>
      </c>
      <c r="X991" s="2" t="s">
        <v>38</v>
      </c>
      <c r="Y991" s="2" t="s">
        <v>39</v>
      </c>
      <c r="Z991" s="2" t="s">
        <v>38</v>
      </c>
      <c r="AA991" s="2" t="s">
        <v>38</v>
      </c>
      <c r="AB991" s="2" t="s">
        <v>38</v>
      </c>
      <c r="AC991" s="2" t="s">
        <v>38</v>
      </c>
      <c r="AD991" s="2" t="s">
        <v>39</v>
      </c>
      <c r="AE991" s="2" t="s">
        <v>40</v>
      </c>
    </row>
    <row r="992" spans="1:31" ht="409.5">
      <c r="A992" s="2">
        <v>2748653</v>
      </c>
      <c r="B992" s="2">
        <f>HYPERLINK("https://platform.v2.vetology.net/cases/2748653/screening-report/1?type=pdf&amp;v=v6&amp;scorecard=1&amp;secret_key=BX%25IJ%24%2F65ieZ%29f6", 2748653)</f>
        <v>2748653</v>
      </c>
      <c r="C992" s="2">
        <f>HYPERLINK("https://platform.v2.vetology.net/report/v/final/"&amp;2748653, 2748653)</f>
        <v>2748653</v>
      </c>
      <c r="D992" s="2" t="s">
        <v>3324</v>
      </c>
      <c r="E992" s="2" t="s">
        <v>3325</v>
      </c>
      <c r="F992" s="2" t="s">
        <v>3326</v>
      </c>
      <c r="G992" s="2" t="s">
        <v>127</v>
      </c>
      <c r="H992" s="2" t="s">
        <v>3327</v>
      </c>
      <c r="I992" s="2" t="s">
        <v>73</v>
      </c>
      <c r="J992" s="2" t="s">
        <v>74</v>
      </c>
      <c r="K992" s="2" t="s">
        <v>38</v>
      </c>
      <c r="L992" s="2" t="s">
        <v>39</v>
      </c>
      <c r="M992" s="2" t="s">
        <v>38</v>
      </c>
      <c r="N992" s="2" t="s">
        <v>39</v>
      </c>
      <c r="O992" s="2" t="s">
        <v>38</v>
      </c>
      <c r="P992" s="2" t="s">
        <v>38</v>
      </c>
      <c r="Q992" s="2" t="s">
        <v>38</v>
      </c>
      <c r="R992" s="2" t="s">
        <v>38</v>
      </c>
      <c r="S992" s="2" t="s">
        <v>39</v>
      </c>
      <c r="T992" s="2" t="s">
        <v>39</v>
      </c>
      <c r="U992" s="2" t="s">
        <v>38</v>
      </c>
      <c r="V992" s="2" t="s">
        <v>38</v>
      </c>
      <c r="W992" s="2" t="s">
        <v>39</v>
      </c>
      <c r="X992" s="2" t="s">
        <v>38</v>
      </c>
      <c r="Y992" s="2" t="s">
        <v>39</v>
      </c>
      <c r="Z992" s="2" t="s">
        <v>38</v>
      </c>
      <c r="AA992" s="2" t="s">
        <v>38</v>
      </c>
      <c r="AB992" s="2" t="s">
        <v>38</v>
      </c>
      <c r="AC992" s="2" t="s">
        <v>38</v>
      </c>
      <c r="AD992" s="2" t="s">
        <v>39</v>
      </c>
      <c r="AE992" s="2" t="s">
        <v>39</v>
      </c>
    </row>
    <row r="993" spans="1:31" ht="409.5">
      <c r="A993" s="2">
        <v>2748645</v>
      </c>
      <c r="B993" s="2">
        <f>HYPERLINK("https://platform.v2.vetology.net/cases/2748645/screening-report/1?type=pdf&amp;v=v6&amp;scorecard=1&amp;secret_key=BX%25IJ%24%2F65ieZ%29f6", 2748645)</f>
        <v>2748645</v>
      </c>
      <c r="C993" s="2">
        <f>HYPERLINK("https://platform.v2.vetology.net/report/v/final/"&amp;2748645, 2748645)</f>
        <v>2748645</v>
      </c>
      <c r="D993" s="2" t="s">
        <v>3328</v>
      </c>
      <c r="E993" s="2" t="s">
        <v>3329</v>
      </c>
      <c r="F993" s="2" t="s">
        <v>3330</v>
      </c>
      <c r="G993" s="2" t="s">
        <v>111</v>
      </c>
      <c r="H993" s="2" t="s">
        <v>3331</v>
      </c>
      <c r="I993" s="2" t="s">
        <v>36</v>
      </c>
      <c r="J993" s="2" t="s">
        <v>37</v>
      </c>
      <c r="K993" s="2" t="s">
        <v>39</v>
      </c>
      <c r="L993" s="2" t="s">
        <v>38</v>
      </c>
      <c r="M993" s="2" t="s">
        <v>39</v>
      </c>
      <c r="N993" s="2" t="s">
        <v>38</v>
      </c>
      <c r="O993" s="2" t="s">
        <v>38</v>
      </c>
      <c r="P993" s="2" t="s">
        <v>39</v>
      </c>
      <c r="Q993" s="2" t="s">
        <v>39</v>
      </c>
      <c r="R993" s="2" t="s">
        <v>38</v>
      </c>
      <c r="S993" s="2" t="s">
        <v>38</v>
      </c>
      <c r="T993" s="2" t="s">
        <v>39</v>
      </c>
      <c r="U993" s="2" t="s">
        <v>39</v>
      </c>
      <c r="V993" s="2" t="s">
        <v>38</v>
      </c>
      <c r="W993" s="2" t="s">
        <v>38</v>
      </c>
      <c r="X993" s="2" t="s">
        <v>39</v>
      </c>
      <c r="Y993" s="2" t="s">
        <v>39</v>
      </c>
      <c r="Z993" s="2" t="s">
        <v>38</v>
      </c>
      <c r="AA993" s="2" t="s">
        <v>38</v>
      </c>
      <c r="AB993" s="2" t="s">
        <v>39</v>
      </c>
      <c r="AC993" s="2" t="s">
        <v>38</v>
      </c>
      <c r="AD993" s="2" t="s">
        <v>39</v>
      </c>
      <c r="AE993" s="2" t="s">
        <v>40</v>
      </c>
    </row>
    <row r="994" spans="1:31" ht="409.5">
      <c r="A994" s="2">
        <v>2748624</v>
      </c>
      <c r="B994" s="2">
        <f>HYPERLINK("https://platform.v2.vetology.net/cases/2748624/screening-report/1?type=pdf&amp;v=v6&amp;scorecard=1&amp;secret_key=BX%25IJ%24%2F65ieZ%29f6", 2748624)</f>
        <v>2748624</v>
      </c>
      <c r="C994" s="2">
        <f>HYPERLINK("https://platform.v2.vetology.net/report/v/final/"&amp;2748624, 2748624)</f>
        <v>2748624</v>
      </c>
      <c r="D994" s="2" t="s">
        <v>3332</v>
      </c>
      <c r="E994" s="2" t="s">
        <v>3333</v>
      </c>
      <c r="F994" s="2" t="s">
        <v>3334</v>
      </c>
      <c r="G994" s="2" t="s">
        <v>170</v>
      </c>
      <c r="H994" s="2" t="s">
        <v>3335</v>
      </c>
      <c r="I994" s="2" t="s">
        <v>36</v>
      </c>
      <c r="J994" s="2" t="s">
        <v>37</v>
      </c>
      <c r="K994" s="2" t="s">
        <v>38</v>
      </c>
      <c r="L994" s="2" t="s">
        <v>38</v>
      </c>
      <c r="M994" s="2" t="s">
        <v>38</v>
      </c>
      <c r="N994" s="2" t="s">
        <v>38</v>
      </c>
      <c r="O994" s="2" t="s">
        <v>38</v>
      </c>
      <c r="P994" s="2" t="s">
        <v>38</v>
      </c>
      <c r="Q994" s="2" t="s">
        <v>39</v>
      </c>
      <c r="R994" s="2" t="s">
        <v>38</v>
      </c>
      <c r="S994" s="2" t="s">
        <v>38</v>
      </c>
      <c r="T994" s="2" t="s">
        <v>38</v>
      </c>
      <c r="U994" s="2" t="s">
        <v>38</v>
      </c>
      <c r="V994" s="2" t="s">
        <v>38</v>
      </c>
      <c r="W994" s="2" t="s">
        <v>38</v>
      </c>
      <c r="X994" s="2" t="s">
        <v>39</v>
      </c>
      <c r="Y994" s="2" t="s">
        <v>38</v>
      </c>
      <c r="Z994" s="2" t="s">
        <v>38</v>
      </c>
      <c r="AA994" s="2" t="s">
        <v>38</v>
      </c>
      <c r="AB994" s="2" t="s">
        <v>38</v>
      </c>
      <c r="AC994" s="2" t="s">
        <v>38</v>
      </c>
      <c r="AD994" s="2" t="s">
        <v>38</v>
      </c>
      <c r="AE994" s="2" t="s">
        <v>40</v>
      </c>
    </row>
    <row r="995" spans="1:31" ht="409.5">
      <c r="A995" s="2">
        <v>2748610</v>
      </c>
      <c r="B995" s="2">
        <f>HYPERLINK("https://platform.v2.vetology.net/cases/2748610/screening-report/1?type=pdf&amp;v=v6&amp;scorecard=1&amp;secret_key=BX%25IJ%24%2F65ieZ%29f6", 2748610)</f>
        <v>2748610</v>
      </c>
      <c r="C995" s="2">
        <f>HYPERLINK("https://platform.v2.vetology.net/report/v/final/"&amp;2748610, 2748610)</f>
        <v>2748610</v>
      </c>
      <c r="D995" s="2" t="s">
        <v>3336</v>
      </c>
      <c r="E995" s="2" t="s">
        <v>118</v>
      </c>
      <c r="F995" s="2" t="s">
        <v>3337</v>
      </c>
      <c r="G995" s="2" t="s">
        <v>111</v>
      </c>
      <c r="H995" s="2" t="s">
        <v>3338</v>
      </c>
      <c r="I995" s="2" t="s">
        <v>129</v>
      </c>
      <c r="J995" s="2" t="s">
        <v>74</v>
      </c>
      <c r="K995" s="2" t="s">
        <v>38</v>
      </c>
      <c r="L995" s="2" t="s">
        <v>38</v>
      </c>
      <c r="M995" s="2" t="s">
        <v>38</v>
      </c>
      <c r="N995" s="2" t="s">
        <v>38</v>
      </c>
      <c r="O995" s="2" t="s">
        <v>38</v>
      </c>
      <c r="P995" s="2" t="s">
        <v>38</v>
      </c>
      <c r="Q995" s="2" t="s">
        <v>38</v>
      </c>
      <c r="R995" s="2" t="s">
        <v>38</v>
      </c>
      <c r="S995" s="2" t="s">
        <v>38</v>
      </c>
      <c r="T995" s="2" t="s">
        <v>38</v>
      </c>
      <c r="U995" s="2" t="s">
        <v>38</v>
      </c>
      <c r="V995" s="2" t="s">
        <v>38</v>
      </c>
      <c r="W995" s="2" t="s">
        <v>38</v>
      </c>
      <c r="X995" s="2" t="s">
        <v>38</v>
      </c>
      <c r="Y995" s="2" t="s">
        <v>38</v>
      </c>
      <c r="Z995" s="2" t="s">
        <v>38</v>
      </c>
      <c r="AA995" s="2" t="s">
        <v>38</v>
      </c>
      <c r="AB995" s="2" t="s">
        <v>39</v>
      </c>
      <c r="AC995" s="2" t="s">
        <v>38</v>
      </c>
      <c r="AD995" s="2" t="s">
        <v>38</v>
      </c>
      <c r="AE995" s="2" t="s">
        <v>39</v>
      </c>
    </row>
    <row r="996" spans="1:31" ht="409.5">
      <c r="A996" s="2">
        <v>2748609</v>
      </c>
      <c r="B996" s="2">
        <f>HYPERLINK("https://platform.v2.vetology.net/cases/2748609/screening-report/1?type=pdf&amp;v=v6&amp;scorecard=1&amp;secret_key=BX%25IJ%24%2F65ieZ%29f6", 2748609)</f>
        <v>2748609</v>
      </c>
      <c r="C996" s="2">
        <f>HYPERLINK("https://platform.v2.vetology.net/report/v/final/"&amp;2748609, 2748609)</f>
        <v>2748609</v>
      </c>
      <c r="D996" s="2" t="s">
        <v>3339</v>
      </c>
      <c r="E996" s="2" t="s">
        <v>3340</v>
      </c>
      <c r="F996" s="2" t="s">
        <v>3341</v>
      </c>
      <c r="G996" s="2" t="s">
        <v>111</v>
      </c>
      <c r="H996" s="2" t="s">
        <v>3342</v>
      </c>
      <c r="I996" s="2" t="s">
        <v>36</v>
      </c>
      <c r="J996" s="2" t="s">
        <v>37</v>
      </c>
      <c r="K996" s="2" t="s">
        <v>38</v>
      </c>
      <c r="L996" s="2" t="s">
        <v>38</v>
      </c>
      <c r="M996" s="2" t="s">
        <v>38</v>
      </c>
      <c r="N996" s="2" t="s">
        <v>38</v>
      </c>
      <c r="O996" s="2" t="s">
        <v>38</v>
      </c>
      <c r="P996" s="2" t="s">
        <v>38</v>
      </c>
      <c r="Q996" s="2" t="s">
        <v>38</v>
      </c>
      <c r="R996" s="2" t="s">
        <v>39</v>
      </c>
      <c r="S996" s="2" t="s">
        <v>38</v>
      </c>
      <c r="T996" s="2" t="s">
        <v>38</v>
      </c>
      <c r="U996" s="2" t="s">
        <v>38</v>
      </c>
      <c r="V996" s="2" t="s">
        <v>38</v>
      </c>
      <c r="W996" s="2" t="s">
        <v>38</v>
      </c>
      <c r="X996" s="2" t="s">
        <v>38</v>
      </c>
      <c r="Y996" s="2" t="s">
        <v>38</v>
      </c>
      <c r="Z996" s="2" t="s">
        <v>38</v>
      </c>
      <c r="AA996" s="2" t="s">
        <v>38</v>
      </c>
      <c r="AB996" s="2" t="s">
        <v>38</v>
      </c>
      <c r="AC996" s="2" t="s">
        <v>38</v>
      </c>
      <c r="AD996" s="2" t="s">
        <v>39</v>
      </c>
      <c r="AE996" s="2" t="s">
        <v>40</v>
      </c>
    </row>
    <row r="997" spans="1:31" ht="409.5">
      <c r="A997" s="2">
        <v>2748603</v>
      </c>
      <c r="B997" s="2">
        <f>HYPERLINK("https://platform.v2.vetology.net/cases/2748603/screening-report/1?type=pdf&amp;v=v6&amp;scorecard=1&amp;secret_key=BX%25IJ%24%2F65ieZ%29f6", 2748603)</f>
        <v>2748603</v>
      </c>
      <c r="C997" s="2">
        <f>HYPERLINK("https://platform.v2.vetology.net/report/v/final/"&amp;2748603, 2748603)</f>
        <v>2748603</v>
      </c>
      <c r="D997" s="2" t="s">
        <v>3343</v>
      </c>
      <c r="E997" s="2" t="s">
        <v>3344</v>
      </c>
      <c r="F997" s="2" t="s">
        <v>3345</v>
      </c>
      <c r="G997" s="2" t="s">
        <v>111</v>
      </c>
      <c r="H997" s="2" t="s">
        <v>69</v>
      </c>
      <c r="I997" s="2" t="s">
        <v>46</v>
      </c>
      <c r="J997" s="2"/>
      <c r="K997" s="2" t="s">
        <v>39</v>
      </c>
      <c r="L997" s="2" t="s">
        <v>39</v>
      </c>
      <c r="M997" s="2" t="s">
        <v>39</v>
      </c>
      <c r="N997" s="2" t="s">
        <v>39</v>
      </c>
      <c r="O997" s="2" t="s">
        <v>39</v>
      </c>
      <c r="P997" s="2" t="s">
        <v>39</v>
      </c>
      <c r="Q997" s="2" t="s">
        <v>39</v>
      </c>
      <c r="R997" s="2" t="s">
        <v>39</v>
      </c>
      <c r="S997" s="2" t="s">
        <v>39</v>
      </c>
      <c r="T997" s="2" t="s">
        <v>38</v>
      </c>
      <c r="U997" s="2" t="s">
        <v>39</v>
      </c>
      <c r="V997" s="2" t="s">
        <v>39</v>
      </c>
      <c r="W997" s="2" t="s">
        <v>38</v>
      </c>
      <c r="X997" s="2" t="s">
        <v>39</v>
      </c>
      <c r="Y997" s="2" t="s">
        <v>38</v>
      </c>
      <c r="Z997" s="2" t="s">
        <v>39</v>
      </c>
      <c r="AA997" s="2" t="s">
        <v>39</v>
      </c>
      <c r="AB997" s="2" t="s">
        <v>39</v>
      </c>
      <c r="AC997" s="2" t="s">
        <v>38</v>
      </c>
      <c r="AD997" s="2" t="s">
        <v>39</v>
      </c>
      <c r="AE997" s="2" t="s">
        <v>40</v>
      </c>
    </row>
    <row r="998" spans="1:31" ht="409.5">
      <c r="A998" s="2">
        <v>2748577</v>
      </c>
      <c r="B998" s="2">
        <f>HYPERLINK("https://platform.v2.vetology.net/cases/2748577/screening-report/1?type=pdf&amp;v=v6&amp;scorecard=1&amp;secret_key=BX%25IJ%24%2F65ieZ%29f6", 2748577)</f>
        <v>2748577</v>
      </c>
      <c r="C998" s="2">
        <f>HYPERLINK("https://platform.v2.vetology.net/report/v/final/"&amp;2748577, 2748577)</f>
        <v>2748577</v>
      </c>
      <c r="D998" s="2" t="s">
        <v>3346</v>
      </c>
      <c r="E998" s="2" t="s">
        <v>3347</v>
      </c>
      <c r="F998" s="2" t="s">
        <v>3348</v>
      </c>
      <c r="G998" s="2" t="s">
        <v>111</v>
      </c>
      <c r="H998" s="2" t="s">
        <v>3349</v>
      </c>
      <c r="I998" s="2" t="s">
        <v>129</v>
      </c>
      <c r="J998" s="2" t="s">
        <v>74</v>
      </c>
      <c r="K998" s="2" t="s">
        <v>39</v>
      </c>
      <c r="L998" s="2" t="s">
        <v>38</v>
      </c>
      <c r="M998" s="2" t="s">
        <v>38</v>
      </c>
      <c r="N998" s="2" t="s">
        <v>38</v>
      </c>
      <c r="O998" s="2" t="s">
        <v>38</v>
      </c>
      <c r="P998" s="2" t="s">
        <v>38</v>
      </c>
      <c r="Q998" s="2" t="s">
        <v>38</v>
      </c>
      <c r="R998" s="2" t="s">
        <v>39</v>
      </c>
      <c r="S998" s="2" t="s">
        <v>38</v>
      </c>
      <c r="T998" s="2" t="s">
        <v>38</v>
      </c>
      <c r="U998" s="2" t="s">
        <v>39</v>
      </c>
      <c r="V998" s="2" t="s">
        <v>39</v>
      </c>
      <c r="W998" s="2" t="s">
        <v>38</v>
      </c>
      <c r="X998" s="2" t="s">
        <v>38</v>
      </c>
      <c r="Y998" s="2" t="s">
        <v>38</v>
      </c>
      <c r="Z998" s="2" t="s">
        <v>38</v>
      </c>
      <c r="AA998" s="2" t="s">
        <v>38</v>
      </c>
      <c r="AB998" s="2" t="s">
        <v>38</v>
      </c>
      <c r="AC998" s="2" t="s">
        <v>38</v>
      </c>
      <c r="AD998" s="2" t="s">
        <v>39</v>
      </c>
      <c r="AE998" s="2" t="s">
        <v>39</v>
      </c>
    </row>
    <row r="999" spans="1:31" ht="409.5">
      <c r="A999" s="2">
        <v>2748576</v>
      </c>
      <c r="B999" s="2">
        <f>HYPERLINK("https://platform.v2.vetology.net/cases/2748576/screening-report/1?type=pdf&amp;v=v6&amp;scorecard=1&amp;secret_key=BX%25IJ%24%2F65ieZ%29f6", 2748576)</f>
        <v>2748576</v>
      </c>
      <c r="C999" s="2">
        <f>HYPERLINK("https://platform.v2.vetology.net/report/v/final/"&amp;2748576, 2748576)</f>
        <v>2748576</v>
      </c>
      <c r="D999" s="2" t="s">
        <v>302</v>
      </c>
      <c r="E999" s="2" t="s">
        <v>99</v>
      </c>
      <c r="F999" s="2"/>
      <c r="G999" s="2" t="s">
        <v>100</v>
      </c>
      <c r="H999" s="2" t="s">
        <v>3350</v>
      </c>
      <c r="I999" s="2" t="s">
        <v>36</v>
      </c>
      <c r="J999" s="2" t="s">
        <v>37</v>
      </c>
      <c r="K999" s="2" t="s">
        <v>39</v>
      </c>
      <c r="L999" s="2" t="s">
        <v>38</v>
      </c>
      <c r="M999" s="2" t="s">
        <v>39</v>
      </c>
      <c r="N999" s="2" t="s">
        <v>38</v>
      </c>
      <c r="O999" s="2" t="s">
        <v>39</v>
      </c>
      <c r="P999" s="2" t="s">
        <v>39</v>
      </c>
      <c r="Q999" s="2" t="s">
        <v>39</v>
      </c>
      <c r="R999" s="2" t="s">
        <v>38</v>
      </c>
      <c r="S999" s="2" t="s">
        <v>38</v>
      </c>
      <c r="T999" s="2" t="s">
        <v>39</v>
      </c>
      <c r="U999" s="2" t="s">
        <v>39</v>
      </c>
      <c r="V999" s="2" t="s">
        <v>39</v>
      </c>
      <c r="W999" s="2" t="s">
        <v>38</v>
      </c>
      <c r="X999" s="2" t="s">
        <v>39</v>
      </c>
      <c r="Y999" s="2" t="s">
        <v>39</v>
      </c>
      <c r="Z999" s="2" t="s">
        <v>38</v>
      </c>
      <c r="AA999" s="2" t="s">
        <v>39</v>
      </c>
      <c r="AB999" s="2" t="s">
        <v>39</v>
      </c>
      <c r="AC999" s="2" t="s">
        <v>38</v>
      </c>
      <c r="AD999" s="2" t="s">
        <v>38</v>
      </c>
      <c r="AE999" s="2" t="s">
        <v>39</v>
      </c>
    </row>
    <row r="1000" spans="1:31" ht="409.5">
      <c r="A1000" s="2">
        <v>2748550</v>
      </c>
      <c r="B1000" s="2">
        <f>HYPERLINK("https://platform.v2.vetology.net/cases/2748550/screening-report/1?type=pdf&amp;v=v6&amp;scorecard=1&amp;secret_key=BX%25IJ%24%2F65ieZ%29f6", 2748550)</f>
        <v>2748550</v>
      </c>
      <c r="C1000" s="2">
        <f>HYPERLINK("https://platform.v2.vetology.net/report/v/final/"&amp;2748550, 2748550)</f>
        <v>2748550</v>
      </c>
      <c r="D1000" s="2" t="s">
        <v>3351</v>
      </c>
      <c r="E1000" s="2" t="s">
        <v>3352</v>
      </c>
      <c r="F1000" s="2"/>
      <c r="G1000" s="2" t="s">
        <v>100</v>
      </c>
      <c r="H1000" s="2" t="s">
        <v>398</v>
      </c>
      <c r="I1000" s="2" t="s">
        <v>46</v>
      </c>
      <c r="J1000" s="2"/>
      <c r="K1000" s="2" t="s">
        <v>38</v>
      </c>
      <c r="L1000" s="2" t="s">
        <v>39</v>
      </c>
      <c r="M1000" s="2" t="s">
        <v>39</v>
      </c>
      <c r="N1000" s="2" t="s">
        <v>39</v>
      </c>
      <c r="O1000" s="2" t="s">
        <v>39</v>
      </c>
      <c r="P1000" s="2" t="s">
        <v>39</v>
      </c>
      <c r="Q1000" s="2" t="s">
        <v>39</v>
      </c>
      <c r="R1000" s="2" t="s">
        <v>39</v>
      </c>
      <c r="S1000" s="2" t="s">
        <v>39</v>
      </c>
      <c r="T1000" s="2" t="s">
        <v>39</v>
      </c>
      <c r="U1000" s="2" t="s">
        <v>39</v>
      </c>
      <c r="V1000" s="2" t="s">
        <v>39</v>
      </c>
      <c r="W1000" s="2" t="s">
        <v>39</v>
      </c>
      <c r="X1000" s="2" t="s">
        <v>39</v>
      </c>
      <c r="Y1000" s="2" t="s">
        <v>39</v>
      </c>
      <c r="Z1000" s="2" t="s">
        <v>39</v>
      </c>
      <c r="AA1000" s="2" t="s">
        <v>39</v>
      </c>
      <c r="AB1000" s="2" t="s">
        <v>39</v>
      </c>
      <c r="AC1000" s="2" t="s">
        <v>39</v>
      </c>
      <c r="AD1000" s="2" t="s">
        <v>38</v>
      </c>
      <c r="AE1000" s="2" t="s">
        <v>39</v>
      </c>
    </row>
    <row r="1001" spans="1:31" ht="409.5">
      <c r="A1001" s="2">
        <v>2748486</v>
      </c>
      <c r="B1001" s="2">
        <f>HYPERLINK("https://platform.v2.vetology.net/cases/2748486/screening-report/1?type=pdf&amp;v=v6&amp;scorecard=1&amp;secret_key=BX%25IJ%24%2F65ieZ%29f6", 2748486)</f>
        <v>2748486</v>
      </c>
      <c r="C1001" s="2">
        <f>HYPERLINK("https://platform.v2.vetology.net/report/v/final/"&amp;2748486, 2748486)</f>
        <v>2748486</v>
      </c>
      <c r="D1001" s="2" t="s">
        <v>3353</v>
      </c>
      <c r="E1001" s="2" t="s">
        <v>3354</v>
      </c>
      <c r="F1001" s="2" t="s">
        <v>3193</v>
      </c>
      <c r="G1001" s="2" t="s">
        <v>100</v>
      </c>
      <c r="H1001" s="2" t="s">
        <v>3355</v>
      </c>
      <c r="I1001" s="2" t="s">
        <v>36</v>
      </c>
      <c r="J1001" s="2" t="s">
        <v>37</v>
      </c>
      <c r="K1001" s="2" t="s">
        <v>38</v>
      </c>
      <c r="L1001" s="2" t="s">
        <v>39</v>
      </c>
      <c r="M1001" s="2" t="s">
        <v>38</v>
      </c>
      <c r="N1001" s="2" t="s">
        <v>38</v>
      </c>
      <c r="O1001" s="2" t="s">
        <v>38</v>
      </c>
      <c r="P1001" s="2" t="s">
        <v>39</v>
      </c>
      <c r="Q1001" s="2" t="s">
        <v>39</v>
      </c>
      <c r="R1001" s="2" t="s">
        <v>38</v>
      </c>
      <c r="S1001" s="2" t="s">
        <v>38</v>
      </c>
      <c r="T1001" s="2" t="s">
        <v>39</v>
      </c>
      <c r="U1001" s="2" t="s">
        <v>38</v>
      </c>
      <c r="V1001" s="2" t="s">
        <v>38</v>
      </c>
      <c r="W1001" s="2" t="s">
        <v>39</v>
      </c>
      <c r="X1001" s="2" t="s">
        <v>39</v>
      </c>
      <c r="Y1001" s="2" t="s">
        <v>39</v>
      </c>
      <c r="Z1001" s="2" t="s">
        <v>38</v>
      </c>
      <c r="AA1001" s="2" t="s">
        <v>38</v>
      </c>
      <c r="AB1001" s="2" t="s">
        <v>39</v>
      </c>
      <c r="AC1001" s="2" t="s">
        <v>38</v>
      </c>
      <c r="AD1001" s="2" t="s">
        <v>38</v>
      </c>
      <c r="AE1001" s="2" t="s">
        <v>39</v>
      </c>
    </row>
    <row r="1002" spans="1:31" ht="409.5">
      <c r="A1002" s="2">
        <v>2748485</v>
      </c>
      <c r="B1002" s="2">
        <f>HYPERLINK("https://platform.v2.vetology.net/cases/2748485/screening-report/1?type=pdf&amp;v=v6&amp;scorecard=1&amp;secret_key=BX%25IJ%24%2F65ieZ%29f6", 2748485)</f>
        <v>2748485</v>
      </c>
      <c r="C1002" s="2">
        <f>HYPERLINK("https://platform.v2.vetology.net/report/v/final/"&amp;2748485, 2748485)</f>
        <v>2748485</v>
      </c>
      <c r="D1002" s="2" t="s">
        <v>3356</v>
      </c>
      <c r="E1002" s="2" t="s">
        <v>3357</v>
      </c>
      <c r="F1002" s="2" t="s">
        <v>3358</v>
      </c>
      <c r="G1002" s="2" t="s">
        <v>53</v>
      </c>
      <c r="H1002" s="2" t="s">
        <v>3359</v>
      </c>
      <c r="I1002" s="2" t="s">
        <v>36</v>
      </c>
      <c r="J1002" s="2" t="s">
        <v>37</v>
      </c>
      <c r="K1002" s="2" t="s">
        <v>39</v>
      </c>
      <c r="L1002" s="2" t="s">
        <v>39</v>
      </c>
      <c r="M1002" s="2" t="s">
        <v>38</v>
      </c>
      <c r="N1002" s="2" t="s">
        <v>38</v>
      </c>
      <c r="O1002" s="2" t="s">
        <v>39</v>
      </c>
      <c r="P1002" s="2" t="s">
        <v>39</v>
      </c>
      <c r="Q1002" s="2" t="s">
        <v>39</v>
      </c>
      <c r="R1002" s="2" t="s">
        <v>38</v>
      </c>
      <c r="S1002" s="2" t="s">
        <v>38</v>
      </c>
      <c r="T1002" s="2" t="s">
        <v>39</v>
      </c>
      <c r="U1002" s="2" t="s">
        <v>39</v>
      </c>
      <c r="V1002" s="2" t="s">
        <v>39</v>
      </c>
      <c r="W1002" s="2" t="s">
        <v>39</v>
      </c>
      <c r="X1002" s="2" t="s">
        <v>39</v>
      </c>
      <c r="Y1002" s="2" t="s">
        <v>39</v>
      </c>
      <c r="Z1002" s="2" t="s">
        <v>39</v>
      </c>
      <c r="AA1002" s="2" t="s">
        <v>39</v>
      </c>
      <c r="AB1002" s="2" t="s">
        <v>39</v>
      </c>
      <c r="AC1002" s="2" t="s">
        <v>38</v>
      </c>
      <c r="AD1002" s="2" t="s">
        <v>38</v>
      </c>
      <c r="AE1002" s="2" t="s">
        <v>40</v>
      </c>
    </row>
    <row r="1003" spans="1:31" ht="409.5">
      <c r="A1003" s="2">
        <v>2748468</v>
      </c>
      <c r="B1003" s="2">
        <f>HYPERLINK("https://platform.v2.vetology.net/cases/2748468/screening-report/1?type=pdf&amp;v=v6&amp;scorecard=1&amp;secret_key=BX%25IJ%24%2F65ieZ%29f6", 2748468)</f>
        <v>2748468</v>
      </c>
      <c r="C1003" s="2">
        <f>HYPERLINK("https://platform.v2.vetology.net/report/v/final/"&amp;2748468, 2748468)</f>
        <v>2748468</v>
      </c>
      <c r="D1003" s="2" t="s">
        <v>3360</v>
      </c>
      <c r="E1003" s="2" t="s">
        <v>3361</v>
      </c>
      <c r="F1003" s="2" t="s">
        <v>3362</v>
      </c>
      <c r="G1003" s="2" t="s">
        <v>170</v>
      </c>
      <c r="H1003" s="2" t="s">
        <v>45</v>
      </c>
      <c r="I1003" s="2" t="s">
        <v>46</v>
      </c>
      <c r="J1003" s="2"/>
      <c r="K1003" s="2" t="s">
        <v>39</v>
      </c>
      <c r="L1003" s="2" t="s">
        <v>39</v>
      </c>
      <c r="M1003" s="2" t="s">
        <v>39</v>
      </c>
      <c r="N1003" s="2" t="s">
        <v>39</v>
      </c>
      <c r="O1003" s="2" t="s">
        <v>39</v>
      </c>
      <c r="P1003" s="2" t="s">
        <v>39</v>
      </c>
      <c r="Q1003" s="2" t="s">
        <v>39</v>
      </c>
      <c r="R1003" s="2" t="s">
        <v>38</v>
      </c>
      <c r="S1003" s="2" t="s">
        <v>39</v>
      </c>
      <c r="T1003" s="2" t="s">
        <v>39</v>
      </c>
      <c r="U1003" s="2" t="s">
        <v>38</v>
      </c>
      <c r="V1003" s="2" t="s">
        <v>38</v>
      </c>
      <c r="W1003" s="2" t="s">
        <v>38</v>
      </c>
      <c r="X1003" s="2" t="s">
        <v>39</v>
      </c>
      <c r="Y1003" s="2" t="s">
        <v>38</v>
      </c>
      <c r="Z1003" s="2" t="s">
        <v>38</v>
      </c>
      <c r="AA1003" s="2" t="s">
        <v>39</v>
      </c>
      <c r="AB1003" s="2" t="s">
        <v>39</v>
      </c>
      <c r="AC1003" s="2" t="s">
        <v>38</v>
      </c>
      <c r="AD1003" s="2" t="s">
        <v>39</v>
      </c>
      <c r="AE1003" s="2" t="s">
        <v>40</v>
      </c>
    </row>
    <row r="1004" spans="1:31" ht="409.5">
      <c r="A1004" s="2">
        <v>2748447</v>
      </c>
      <c r="B1004" s="2">
        <f>HYPERLINK("https://platform.v2.vetology.net/cases/2748447/screening-report/1?type=pdf&amp;v=v6&amp;scorecard=1&amp;secret_key=BX%25IJ%24%2F65ieZ%29f6", 2748447)</f>
        <v>2748447</v>
      </c>
      <c r="C1004" s="2">
        <f>HYPERLINK("https://platform.v2.vetology.net/report/v/final/"&amp;2748447, 2748447)</f>
        <v>2748447</v>
      </c>
      <c r="D1004" s="2" t="s">
        <v>3363</v>
      </c>
      <c r="E1004" s="2" t="s">
        <v>3364</v>
      </c>
      <c r="F1004" s="2" t="s">
        <v>3365</v>
      </c>
      <c r="G1004" s="2" t="s">
        <v>170</v>
      </c>
      <c r="H1004" s="2" t="s">
        <v>3366</v>
      </c>
      <c r="I1004" s="2" t="s">
        <v>36</v>
      </c>
      <c r="J1004" s="2" t="s">
        <v>37</v>
      </c>
      <c r="K1004" s="2" t="s">
        <v>38</v>
      </c>
      <c r="L1004" s="2" t="s">
        <v>39</v>
      </c>
      <c r="M1004" s="2" t="s">
        <v>38</v>
      </c>
      <c r="N1004" s="2" t="s">
        <v>38</v>
      </c>
      <c r="O1004" s="2" t="s">
        <v>38</v>
      </c>
      <c r="P1004" s="2" t="s">
        <v>38</v>
      </c>
      <c r="Q1004" s="2" t="s">
        <v>38</v>
      </c>
      <c r="R1004" s="2" t="s">
        <v>39</v>
      </c>
      <c r="S1004" s="2" t="s">
        <v>39</v>
      </c>
      <c r="T1004" s="2" t="s">
        <v>39</v>
      </c>
      <c r="U1004" s="2" t="s">
        <v>39</v>
      </c>
      <c r="V1004" s="2" t="s">
        <v>38</v>
      </c>
      <c r="W1004" s="2" t="s">
        <v>38</v>
      </c>
      <c r="X1004" s="2" t="s">
        <v>38</v>
      </c>
      <c r="Y1004" s="2" t="s">
        <v>39</v>
      </c>
      <c r="Z1004" s="2" t="s">
        <v>39</v>
      </c>
      <c r="AA1004" s="2" t="s">
        <v>38</v>
      </c>
      <c r="AB1004" s="2" t="s">
        <v>38</v>
      </c>
      <c r="AC1004" s="2" t="s">
        <v>38</v>
      </c>
      <c r="AD1004" s="2" t="s">
        <v>38</v>
      </c>
      <c r="AE1004" s="2"/>
    </row>
    <row r="1005" spans="1:31" ht="409.5">
      <c r="A1005" s="2">
        <v>2748442</v>
      </c>
      <c r="B1005" s="2">
        <f>HYPERLINK("https://platform.v2.vetology.net/cases/2748442/screening-report/1?type=pdf&amp;v=v6&amp;scorecard=1&amp;secret_key=BX%25IJ%24%2F65ieZ%29f6", 2748442)</f>
        <v>2748442</v>
      </c>
      <c r="C1005" s="2">
        <f>HYPERLINK("https://platform.v2.vetology.net/report/v/final/"&amp;2748442, 2748442)</f>
        <v>2748442</v>
      </c>
      <c r="D1005" s="2" t="s">
        <v>302</v>
      </c>
      <c r="E1005" s="2" t="s">
        <v>99</v>
      </c>
      <c r="F1005" s="2"/>
      <c r="G1005" s="2" t="s">
        <v>100</v>
      </c>
      <c r="H1005" s="2" t="s">
        <v>3194</v>
      </c>
      <c r="I1005" s="2" t="s">
        <v>59</v>
      </c>
      <c r="J1005" s="2" t="s">
        <v>37</v>
      </c>
      <c r="K1005" s="2" t="s">
        <v>38</v>
      </c>
      <c r="L1005" s="2" t="s">
        <v>39</v>
      </c>
      <c r="M1005" s="2" t="s">
        <v>39</v>
      </c>
      <c r="N1005" s="2" t="s">
        <v>38</v>
      </c>
      <c r="O1005" s="2" t="s">
        <v>39</v>
      </c>
      <c r="P1005" s="2" t="s">
        <v>39</v>
      </c>
      <c r="Q1005" s="2" t="s">
        <v>39</v>
      </c>
      <c r="R1005" s="2" t="s">
        <v>38</v>
      </c>
      <c r="S1005" s="2" t="s">
        <v>38</v>
      </c>
      <c r="T1005" s="2" t="s">
        <v>38</v>
      </c>
      <c r="U1005" s="2" t="s">
        <v>38</v>
      </c>
      <c r="V1005" s="2" t="s">
        <v>38</v>
      </c>
      <c r="W1005" s="2" t="s">
        <v>39</v>
      </c>
      <c r="X1005" s="2" t="s">
        <v>39</v>
      </c>
      <c r="Y1005" s="2" t="s">
        <v>39</v>
      </c>
      <c r="Z1005" s="2" t="s">
        <v>38</v>
      </c>
      <c r="AA1005" s="2" t="s">
        <v>38</v>
      </c>
      <c r="AB1005" s="2" t="s">
        <v>39</v>
      </c>
      <c r="AC1005" s="2" t="s">
        <v>38</v>
      </c>
      <c r="AD1005" s="2" t="s">
        <v>39</v>
      </c>
      <c r="AE1005" s="2" t="s">
        <v>40</v>
      </c>
    </row>
    <row r="1006" spans="1:31" ht="409.5">
      <c r="A1006" s="2">
        <v>2748421</v>
      </c>
      <c r="B1006" s="2">
        <f>HYPERLINK("https://platform.v2.vetology.net/cases/2748421/screening-report/1?type=pdf&amp;v=v6&amp;scorecard=1&amp;secret_key=BX%25IJ%24%2F65ieZ%29f6", 2748421)</f>
        <v>2748421</v>
      </c>
      <c r="C1006" s="2">
        <f>HYPERLINK("https://platform.v2.vetology.net/report/v/final/"&amp;2748421, 2748421)</f>
        <v>2748421</v>
      </c>
      <c r="D1006" s="2" t="s">
        <v>3367</v>
      </c>
      <c r="E1006" s="2" t="s">
        <v>3368</v>
      </c>
      <c r="F1006" s="2" t="s">
        <v>3369</v>
      </c>
      <c r="G1006" s="2" t="s">
        <v>53</v>
      </c>
      <c r="H1006" s="2" t="s">
        <v>3370</v>
      </c>
      <c r="I1006" s="2" t="s">
        <v>36</v>
      </c>
      <c r="J1006" s="2" t="s">
        <v>37</v>
      </c>
      <c r="K1006" s="2" t="s">
        <v>39</v>
      </c>
      <c r="L1006" s="2" t="s">
        <v>38</v>
      </c>
      <c r="M1006" s="2" t="s">
        <v>38</v>
      </c>
      <c r="N1006" s="2" t="s">
        <v>38</v>
      </c>
      <c r="O1006" s="2" t="s">
        <v>38</v>
      </c>
      <c r="P1006" s="2" t="s">
        <v>38</v>
      </c>
      <c r="Q1006" s="2" t="s">
        <v>39</v>
      </c>
      <c r="R1006" s="2" t="s">
        <v>38</v>
      </c>
      <c r="S1006" s="2" t="s">
        <v>38</v>
      </c>
      <c r="T1006" s="2" t="s">
        <v>38</v>
      </c>
      <c r="U1006" s="2" t="s">
        <v>39</v>
      </c>
      <c r="V1006" s="2" t="s">
        <v>39</v>
      </c>
      <c r="W1006" s="2" t="s">
        <v>38</v>
      </c>
      <c r="X1006" s="2" t="s">
        <v>39</v>
      </c>
      <c r="Y1006" s="2" t="s">
        <v>39</v>
      </c>
      <c r="Z1006" s="2" t="s">
        <v>38</v>
      </c>
      <c r="AA1006" s="2" t="s">
        <v>38</v>
      </c>
      <c r="AB1006" s="2" t="s">
        <v>39</v>
      </c>
      <c r="AC1006" s="2" t="s">
        <v>38</v>
      </c>
      <c r="AD1006" s="2" t="s">
        <v>38</v>
      </c>
      <c r="AE1006" s="2"/>
    </row>
    <row r="1007" spans="1:31" ht="409.5">
      <c r="A1007" s="2">
        <v>2748416</v>
      </c>
      <c r="B1007" s="2">
        <f>HYPERLINK("https://platform.v2.vetology.net/cases/2748416/screening-report/1?type=pdf&amp;v=v6&amp;scorecard=1&amp;secret_key=BX%25IJ%24%2F65ieZ%29f6", 2748416)</f>
        <v>2748416</v>
      </c>
      <c r="C1007" s="2">
        <f>HYPERLINK("https://platform.v2.vetology.net/report/v/final/"&amp;2748416, 2748416)</f>
        <v>2748416</v>
      </c>
      <c r="D1007" s="2" t="s">
        <v>3371</v>
      </c>
      <c r="E1007" s="2" t="s">
        <v>3372</v>
      </c>
      <c r="F1007" s="2" t="s">
        <v>3373</v>
      </c>
      <c r="G1007" s="2" t="s">
        <v>127</v>
      </c>
      <c r="H1007" s="2" t="s">
        <v>166</v>
      </c>
      <c r="I1007" s="2" t="s">
        <v>36</v>
      </c>
      <c r="J1007" s="2" t="s">
        <v>37</v>
      </c>
      <c r="K1007" s="2" t="s">
        <v>39</v>
      </c>
      <c r="L1007" s="2" t="s">
        <v>39</v>
      </c>
      <c r="M1007" s="2" t="s">
        <v>38</v>
      </c>
      <c r="N1007" s="2" t="s">
        <v>39</v>
      </c>
      <c r="O1007" s="2" t="s">
        <v>39</v>
      </c>
      <c r="P1007" s="2" t="s">
        <v>39</v>
      </c>
      <c r="Q1007" s="2" t="s">
        <v>39</v>
      </c>
      <c r="R1007" s="2" t="s">
        <v>38</v>
      </c>
      <c r="S1007" s="2" t="s">
        <v>38</v>
      </c>
      <c r="T1007" s="2" t="s">
        <v>38</v>
      </c>
      <c r="U1007" s="2" t="s">
        <v>39</v>
      </c>
      <c r="V1007" s="2" t="s">
        <v>38</v>
      </c>
      <c r="W1007" s="2" t="s">
        <v>38</v>
      </c>
      <c r="X1007" s="2" t="s">
        <v>39</v>
      </c>
      <c r="Y1007" s="2" t="s">
        <v>39</v>
      </c>
      <c r="Z1007" s="2" t="s">
        <v>38</v>
      </c>
      <c r="AA1007" s="2" t="s">
        <v>38</v>
      </c>
      <c r="AB1007" s="2" t="s">
        <v>39</v>
      </c>
      <c r="AC1007" s="2" t="s">
        <v>38</v>
      </c>
      <c r="AD1007" s="2" t="s">
        <v>39</v>
      </c>
      <c r="AE1007" s="2" t="s">
        <v>40</v>
      </c>
    </row>
    <row r="1008" spans="1:31" ht="409.5">
      <c r="A1008" s="2">
        <v>2747338</v>
      </c>
      <c r="B1008" s="2">
        <f>HYPERLINK("https://platform.v2.vetology.net/cases/2747338/screening-report/1?type=pdf&amp;v=v6&amp;scorecard=1&amp;secret_key=BX%25IJ%24%2F65ieZ%29f6", 2747338)</f>
        <v>2747338</v>
      </c>
      <c r="C1008" s="2">
        <f>HYPERLINK("https://platform.v2.vetology.net/report/v/final/"&amp;2747338, 2747338)</f>
        <v>2747338</v>
      </c>
      <c r="D1008" s="2" t="s">
        <v>3374</v>
      </c>
      <c r="E1008" s="2" t="s">
        <v>3375</v>
      </c>
      <c r="F1008" s="2" t="s">
        <v>3376</v>
      </c>
      <c r="G1008" s="2" t="s">
        <v>53</v>
      </c>
      <c r="H1008" s="2" t="s">
        <v>3377</v>
      </c>
      <c r="I1008" s="2" t="s">
        <v>129</v>
      </c>
      <c r="J1008" s="2" t="s">
        <v>74</v>
      </c>
      <c r="K1008" s="2" t="s">
        <v>39</v>
      </c>
      <c r="L1008" s="2" t="s">
        <v>39</v>
      </c>
      <c r="M1008" s="2" t="s">
        <v>38</v>
      </c>
      <c r="N1008" s="2" t="s">
        <v>38</v>
      </c>
      <c r="O1008" s="2" t="s">
        <v>38</v>
      </c>
      <c r="P1008" s="2" t="s">
        <v>39</v>
      </c>
      <c r="Q1008" s="2" t="s">
        <v>38</v>
      </c>
      <c r="R1008" s="2" t="s">
        <v>38</v>
      </c>
      <c r="S1008" s="2" t="s">
        <v>38</v>
      </c>
      <c r="T1008" s="2" t="s">
        <v>38</v>
      </c>
      <c r="U1008" s="2" t="s">
        <v>38</v>
      </c>
      <c r="V1008" s="2" t="s">
        <v>38</v>
      </c>
      <c r="W1008" s="2" t="s">
        <v>38</v>
      </c>
      <c r="X1008" s="2" t="s">
        <v>38</v>
      </c>
      <c r="Y1008" s="2" t="s">
        <v>38</v>
      </c>
      <c r="Z1008" s="2" t="s">
        <v>38</v>
      </c>
      <c r="AA1008" s="2" t="s">
        <v>38</v>
      </c>
      <c r="AB1008" s="2" t="s">
        <v>38</v>
      </c>
      <c r="AC1008" s="2" t="s">
        <v>38</v>
      </c>
      <c r="AD1008" s="2" t="s">
        <v>38</v>
      </c>
      <c r="AE1008" s="2" t="s">
        <v>39</v>
      </c>
    </row>
    <row r="1009" spans="1:31" ht="409.5">
      <c r="A1009" s="2">
        <v>2747329</v>
      </c>
      <c r="B1009" s="2">
        <f>HYPERLINK("https://platform.v2.vetology.net/cases/2747329/screening-report/1?type=pdf&amp;v=v6&amp;scorecard=1&amp;secret_key=BX%25IJ%24%2F65ieZ%29f6", 2747329)</f>
        <v>2747329</v>
      </c>
      <c r="C1009" s="2">
        <f>HYPERLINK("https://platform.v2.vetology.net/report/v/final/"&amp;2747329, 2747329)</f>
        <v>2747329</v>
      </c>
      <c r="D1009" s="2" t="s">
        <v>3378</v>
      </c>
      <c r="E1009" s="2" t="s">
        <v>3379</v>
      </c>
      <c r="F1009" s="2" t="s">
        <v>43</v>
      </c>
      <c r="G1009" s="2" t="s">
        <v>507</v>
      </c>
      <c r="H1009" s="2" t="s">
        <v>3380</v>
      </c>
      <c r="I1009" s="2" t="s">
        <v>129</v>
      </c>
      <c r="J1009" s="2" t="s">
        <v>74</v>
      </c>
      <c r="K1009" s="2" t="s">
        <v>38</v>
      </c>
      <c r="L1009" s="2" t="s">
        <v>38</v>
      </c>
      <c r="M1009" s="2" t="s">
        <v>39</v>
      </c>
      <c r="N1009" s="2" t="s">
        <v>38</v>
      </c>
      <c r="O1009" s="2" t="s">
        <v>38</v>
      </c>
      <c r="P1009" s="2" t="s">
        <v>38</v>
      </c>
      <c r="Q1009" s="2" t="s">
        <v>38</v>
      </c>
      <c r="R1009" s="2" t="s">
        <v>38</v>
      </c>
      <c r="S1009" s="2" t="s">
        <v>38</v>
      </c>
      <c r="T1009" s="2" t="s">
        <v>38</v>
      </c>
      <c r="U1009" s="2" t="s">
        <v>39</v>
      </c>
      <c r="V1009" s="2" t="s">
        <v>38</v>
      </c>
      <c r="W1009" s="2" t="s">
        <v>38</v>
      </c>
      <c r="X1009" s="2" t="s">
        <v>38</v>
      </c>
      <c r="Y1009" s="2" t="s">
        <v>39</v>
      </c>
      <c r="Z1009" s="2" t="s">
        <v>38</v>
      </c>
      <c r="AA1009" s="2" t="s">
        <v>38</v>
      </c>
      <c r="AB1009" s="2" t="s">
        <v>38</v>
      </c>
      <c r="AC1009" s="2" t="s">
        <v>38</v>
      </c>
      <c r="AD1009" s="2" t="s">
        <v>38</v>
      </c>
      <c r="AE1009" s="2" t="s">
        <v>40</v>
      </c>
    </row>
    <row r="1010" spans="1:31" ht="409.5">
      <c r="A1010" s="2">
        <v>2747327</v>
      </c>
      <c r="B1010" s="2">
        <f>HYPERLINK("https://platform.v2.vetology.net/cases/2747327/screening-report/1?type=pdf&amp;v=v6&amp;scorecard=1&amp;secret_key=BX%25IJ%24%2F65ieZ%29f6", 2747327)</f>
        <v>2747327</v>
      </c>
      <c r="C1010" s="2">
        <f>HYPERLINK("https://platform.v2.vetology.net/report/v/final/"&amp;2747327, 2747327)</f>
        <v>2747327</v>
      </c>
      <c r="D1010" s="2" t="s">
        <v>3381</v>
      </c>
      <c r="E1010" s="2" t="s">
        <v>3382</v>
      </c>
      <c r="F1010" s="2" t="s">
        <v>3383</v>
      </c>
      <c r="G1010" s="2" t="s">
        <v>34</v>
      </c>
      <c r="H1010" s="2" t="s">
        <v>3384</v>
      </c>
      <c r="I1010" s="2" t="s">
        <v>73</v>
      </c>
      <c r="J1010" s="2" t="s">
        <v>74</v>
      </c>
      <c r="K1010" s="2" t="s">
        <v>38</v>
      </c>
      <c r="L1010" s="2" t="s">
        <v>38</v>
      </c>
      <c r="M1010" s="2" t="s">
        <v>38</v>
      </c>
      <c r="N1010" s="2" t="s">
        <v>38</v>
      </c>
      <c r="O1010" s="2" t="s">
        <v>38</v>
      </c>
      <c r="P1010" s="2" t="s">
        <v>38</v>
      </c>
      <c r="Q1010" s="2" t="s">
        <v>38</v>
      </c>
      <c r="R1010" s="2" t="s">
        <v>38</v>
      </c>
      <c r="S1010" s="2" t="s">
        <v>38</v>
      </c>
      <c r="T1010" s="2" t="s">
        <v>38</v>
      </c>
      <c r="U1010" s="2" t="s">
        <v>39</v>
      </c>
      <c r="V1010" s="2" t="s">
        <v>38</v>
      </c>
      <c r="W1010" s="2" t="s">
        <v>38</v>
      </c>
      <c r="X1010" s="2" t="s">
        <v>38</v>
      </c>
      <c r="Y1010" s="2" t="s">
        <v>38</v>
      </c>
      <c r="Z1010" s="2" t="s">
        <v>38</v>
      </c>
      <c r="AA1010" s="2" t="s">
        <v>38</v>
      </c>
      <c r="AB1010" s="2" t="s">
        <v>38</v>
      </c>
      <c r="AC1010" s="2" t="s">
        <v>38</v>
      </c>
      <c r="AD1010" s="2" t="s">
        <v>38</v>
      </c>
      <c r="AE1010" s="2" t="s">
        <v>40</v>
      </c>
    </row>
    <row r="1011" spans="1:31" ht="409.5">
      <c r="A1011" s="2">
        <v>2747281</v>
      </c>
      <c r="B1011" s="2">
        <f>HYPERLINK("https://platform.v2.vetology.net/cases/2747281/screening-report/1?type=pdf&amp;v=v6&amp;scorecard=1&amp;secret_key=BX%25IJ%24%2F65ieZ%29f6", 2747281)</f>
        <v>2747281</v>
      </c>
      <c r="C1011" s="2">
        <f>HYPERLINK("https://platform.v2.vetology.net/report/v/final/"&amp;2747281, 2747281)</f>
        <v>2747281</v>
      </c>
      <c r="D1011" s="2" t="s">
        <v>3385</v>
      </c>
      <c r="E1011" s="2" t="s">
        <v>3386</v>
      </c>
      <c r="F1011" s="2" t="s">
        <v>3387</v>
      </c>
      <c r="G1011" s="2" t="s">
        <v>507</v>
      </c>
      <c r="H1011" s="2" t="s">
        <v>3388</v>
      </c>
      <c r="I1011" s="2" t="s">
        <v>73</v>
      </c>
      <c r="J1011" s="2" t="s">
        <v>74</v>
      </c>
      <c r="K1011" s="2" t="s">
        <v>38</v>
      </c>
      <c r="L1011" s="2" t="s">
        <v>38</v>
      </c>
      <c r="M1011" s="2" t="s">
        <v>38</v>
      </c>
      <c r="N1011" s="2" t="s">
        <v>38</v>
      </c>
      <c r="O1011" s="2" t="s">
        <v>38</v>
      </c>
      <c r="P1011" s="2" t="s">
        <v>38</v>
      </c>
      <c r="Q1011" s="2" t="s">
        <v>38</v>
      </c>
      <c r="R1011" s="2" t="s">
        <v>39</v>
      </c>
      <c r="S1011" s="2" t="s">
        <v>39</v>
      </c>
      <c r="T1011" s="2" t="s">
        <v>38</v>
      </c>
      <c r="U1011" s="2" t="s">
        <v>38</v>
      </c>
      <c r="V1011" s="2" t="s">
        <v>38</v>
      </c>
      <c r="W1011" s="2" t="s">
        <v>39</v>
      </c>
      <c r="X1011" s="2" t="s">
        <v>38</v>
      </c>
      <c r="Y1011" s="2" t="s">
        <v>39</v>
      </c>
      <c r="Z1011" s="2" t="s">
        <v>38</v>
      </c>
      <c r="AA1011" s="2" t="s">
        <v>38</v>
      </c>
      <c r="AB1011" s="2" t="s">
        <v>38</v>
      </c>
      <c r="AC1011" s="2" t="s">
        <v>38</v>
      </c>
      <c r="AD1011" s="2" t="s">
        <v>39</v>
      </c>
      <c r="AE1011" s="2" t="s">
        <v>40</v>
      </c>
    </row>
    <row r="1012" spans="1:31" ht="409.5">
      <c r="A1012" s="2">
        <v>2747280</v>
      </c>
      <c r="B1012" s="2">
        <f>HYPERLINK("https://platform.v2.vetology.net/cases/2747280/screening-report/1?type=pdf&amp;v=v6&amp;scorecard=1&amp;secret_key=BX%25IJ%24%2F65ieZ%29f6", 2747280)</f>
        <v>2747280</v>
      </c>
      <c r="C1012" s="2">
        <f>HYPERLINK("https://platform.v2.vetology.net/report/v/final/"&amp;2747280, 2747280)</f>
        <v>2747280</v>
      </c>
      <c r="D1012" s="2" t="s">
        <v>3389</v>
      </c>
      <c r="E1012" s="2" t="s">
        <v>3390</v>
      </c>
      <c r="F1012" s="2" t="s">
        <v>3391</v>
      </c>
      <c r="G1012" s="2" t="s">
        <v>34</v>
      </c>
      <c r="H1012" s="2" t="s">
        <v>3392</v>
      </c>
      <c r="I1012" s="2" t="s">
        <v>36</v>
      </c>
      <c r="J1012" s="2" t="s">
        <v>37</v>
      </c>
      <c r="K1012" s="2" t="s">
        <v>39</v>
      </c>
      <c r="L1012" s="2" t="s">
        <v>38</v>
      </c>
      <c r="M1012" s="2" t="s">
        <v>38</v>
      </c>
      <c r="N1012" s="2" t="s">
        <v>38</v>
      </c>
      <c r="O1012" s="2" t="s">
        <v>38</v>
      </c>
      <c r="P1012" s="2" t="s">
        <v>38</v>
      </c>
      <c r="Q1012" s="2" t="s">
        <v>38</v>
      </c>
      <c r="R1012" s="2" t="s">
        <v>39</v>
      </c>
      <c r="S1012" s="2" t="s">
        <v>39</v>
      </c>
      <c r="T1012" s="2" t="s">
        <v>38</v>
      </c>
      <c r="U1012" s="2" t="s">
        <v>39</v>
      </c>
      <c r="V1012" s="2" t="s">
        <v>39</v>
      </c>
      <c r="W1012" s="2" t="s">
        <v>38</v>
      </c>
      <c r="X1012" s="2" t="s">
        <v>39</v>
      </c>
      <c r="Y1012" s="2" t="s">
        <v>39</v>
      </c>
      <c r="Z1012" s="2" t="s">
        <v>38</v>
      </c>
      <c r="AA1012" s="2" t="s">
        <v>39</v>
      </c>
      <c r="AB1012" s="2" t="s">
        <v>39</v>
      </c>
      <c r="AC1012" s="2" t="s">
        <v>38</v>
      </c>
      <c r="AD1012" s="2" t="s">
        <v>38</v>
      </c>
      <c r="AE1012" s="2" t="s">
        <v>39</v>
      </c>
    </row>
    <row r="1013" spans="1:31" ht="409.5">
      <c r="A1013" s="2">
        <v>2747278</v>
      </c>
      <c r="B1013" s="2">
        <f>HYPERLINK("https://platform.v2.vetology.net/cases/2747278/screening-report/1?type=pdf&amp;v=v6&amp;scorecard=1&amp;secret_key=BX%25IJ%24%2F65ieZ%29f6", 2747278)</f>
        <v>2747278</v>
      </c>
      <c r="C1013" s="2">
        <f>HYPERLINK("https://platform.v2.vetology.net/report/v/final/"&amp;2747278, 2747278)</f>
        <v>2747278</v>
      </c>
      <c r="D1013" s="2" t="s">
        <v>3393</v>
      </c>
      <c r="E1013" s="2" t="s">
        <v>3394</v>
      </c>
      <c r="F1013" s="2" t="s">
        <v>3395</v>
      </c>
      <c r="G1013" s="2" t="s">
        <v>44</v>
      </c>
      <c r="H1013" s="2" t="s">
        <v>69</v>
      </c>
      <c r="I1013" s="2" t="s">
        <v>46</v>
      </c>
      <c r="J1013" s="2"/>
      <c r="K1013" s="2" t="s">
        <v>39</v>
      </c>
      <c r="L1013" s="2" t="s">
        <v>39</v>
      </c>
      <c r="M1013" s="2" t="s">
        <v>39</v>
      </c>
      <c r="N1013" s="2" t="s">
        <v>39</v>
      </c>
      <c r="O1013" s="2" t="s">
        <v>39</v>
      </c>
      <c r="P1013" s="2" t="s">
        <v>39</v>
      </c>
      <c r="Q1013" s="2" t="s">
        <v>39</v>
      </c>
      <c r="R1013" s="2" t="s">
        <v>39</v>
      </c>
      <c r="S1013" s="2" t="s">
        <v>39</v>
      </c>
      <c r="T1013" s="2" t="s">
        <v>39</v>
      </c>
      <c r="U1013" s="2" t="s">
        <v>39</v>
      </c>
      <c r="V1013" s="2" t="s">
        <v>39</v>
      </c>
      <c r="W1013" s="2" t="s">
        <v>39</v>
      </c>
      <c r="X1013" s="2" t="s">
        <v>39</v>
      </c>
      <c r="Y1013" s="2" t="s">
        <v>39</v>
      </c>
      <c r="Z1013" s="2" t="s">
        <v>38</v>
      </c>
      <c r="AA1013" s="2" t="s">
        <v>38</v>
      </c>
      <c r="AB1013" s="2" t="s">
        <v>39</v>
      </c>
      <c r="AC1013" s="2" t="s">
        <v>38</v>
      </c>
      <c r="AD1013" s="2" t="s">
        <v>39</v>
      </c>
      <c r="AE1013" s="2" t="s">
        <v>39</v>
      </c>
    </row>
    <row r="1014" spans="1:31" ht="409.5">
      <c r="A1014" s="2">
        <v>2747277</v>
      </c>
      <c r="B1014" s="2">
        <f>HYPERLINK("https://platform.v2.vetology.net/cases/2747277/screening-report/1?type=pdf&amp;v=v6&amp;scorecard=1&amp;secret_key=BX%25IJ%24%2F65ieZ%29f6", 2747277)</f>
        <v>2747277</v>
      </c>
      <c r="C1014" s="2">
        <f>HYPERLINK("https://platform.v2.vetology.net/report/v/final/"&amp;2747277, 2747277)</f>
        <v>2747277</v>
      </c>
      <c r="D1014" s="2" t="s">
        <v>3396</v>
      </c>
      <c r="E1014" s="2" t="s">
        <v>3397</v>
      </c>
      <c r="F1014" s="2" t="s">
        <v>43</v>
      </c>
      <c r="G1014" s="2" t="s">
        <v>44</v>
      </c>
      <c r="H1014" s="2" t="s">
        <v>3398</v>
      </c>
      <c r="I1014" s="2" t="s">
        <v>73</v>
      </c>
      <c r="J1014" s="2" t="s">
        <v>74</v>
      </c>
      <c r="K1014" s="2" t="s">
        <v>38</v>
      </c>
      <c r="L1014" s="2" t="s">
        <v>38</v>
      </c>
      <c r="M1014" s="2" t="s">
        <v>38</v>
      </c>
      <c r="N1014" s="2" t="s">
        <v>38</v>
      </c>
      <c r="O1014" s="2" t="s">
        <v>38</v>
      </c>
      <c r="P1014" s="2" t="s">
        <v>38</v>
      </c>
      <c r="Q1014" s="2" t="s">
        <v>38</v>
      </c>
      <c r="R1014" s="2" t="s">
        <v>39</v>
      </c>
      <c r="S1014" s="2" t="s">
        <v>38</v>
      </c>
      <c r="T1014" s="2" t="s">
        <v>38</v>
      </c>
      <c r="U1014" s="2" t="s">
        <v>38</v>
      </c>
      <c r="V1014" s="2" t="s">
        <v>38</v>
      </c>
      <c r="W1014" s="2" t="s">
        <v>38</v>
      </c>
      <c r="X1014" s="2" t="s">
        <v>38</v>
      </c>
      <c r="Y1014" s="2" t="s">
        <v>38</v>
      </c>
      <c r="Z1014" s="2" t="s">
        <v>38</v>
      </c>
      <c r="AA1014" s="2" t="s">
        <v>38</v>
      </c>
      <c r="AB1014" s="2" t="s">
        <v>38</v>
      </c>
      <c r="AC1014" s="2" t="s">
        <v>38</v>
      </c>
      <c r="AD1014" s="2" t="s">
        <v>38</v>
      </c>
      <c r="AE1014" s="2" t="s">
        <v>39</v>
      </c>
    </row>
    <row r="1015" spans="1:31" ht="409.5">
      <c r="A1015" s="2">
        <v>2747263</v>
      </c>
      <c r="B1015" s="2">
        <f>HYPERLINK("https://platform.v2.vetology.net/cases/2747263/screening-report/1?type=pdf&amp;v=v6&amp;scorecard=1&amp;secret_key=BX%25IJ%24%2F65ieZ%29f6", 2747263)</f>
        <v>2747263</v>
      </c>
      <c r="C1015" s="2">
        <f>HYPERLINK("https://platform.v2.vetology.net/report/v/final/"&amp;2747263, 2747263)</f>
        <v>2747263</v>
      </c>
      <c r="D1015" s="2" t="s">
        <v>3399</v>
      </c>
      <c r="E1015" s="2" t="s">
        <v>3400</v>
      </c>
      <c r="F1015" s="2" t="s">
        <v>3401</v>
      </c>
      <c r="G1015" s="2" t="s">
        <v>53</v>
      </c>
      <c r="H1015" s="2" t="s">
        <v>3402</v>
      </c>
      <c r="I1015" s="2" t="s">
        <v>36</v>
      </c>
      <c r="J1015" s="2" t="s">
        <v>37</v>
      </c>
      <c r="K1015" s="2" t="s">
        <v>38</v>
      </c>
      <c r="L1015" s="2" t="s">
        <v>38</v>
      </c>
      <c r="M1015" s="2" t="s">
        <v>38</v>
      </c>
      <c r="N1015" s="2" t="s">
        <v>38</v>
      </c>
      <c r="O1015" s="2" t="s">
        <v>38</v>
      </c>
      <c r="P1015" s="2" t="s">
        <v>39</v>
      </c>
      <c r="Q1015" s="2" t="s">
        <v>39</v>
      </c>
      <c r="R1015" s="2" t="s">
        <v>38</v>
      </c>
      <c r="S1015" s="2" t="s">
        <v>38</v>
      </c>
      <c r="T1015" s="2" t="s">
        <v>39</v>
      </c>
      <c r="U1015" s="2" t="s">
        <v>39</v>
      </c>
      <c r="V1015" s="2" t="s">
        <v>39</v>
      </c>
      <c r="W1015" s="2" t="s">
        <v>38</v>
      </c>
      <c r="X1015" s="2" t="s">
        <v>39</v>
      </c>
      <c r="Y1015" s="2" t="s">
        <v>39</v>
      </c>
      <c r="Z1015" s="2" t="s">
        <v>38</v>
      </c>
      <c r="AA1015" s="2" t="s">
        <v>38</v>
      </c>
      <c r="AB1015" s="2" t="s">
        <v>39</v>
      </c>
      <c r="AC1015" s="2" t="s">
        <v>38</v>
      </c>
      <c r="AD1015" s="2" t="s">
        <v>38</v>
      </c>
      <c r="AE1015" s="2" t="s">
        <v>40</v>
      </c>
    </row>
    <row r="1016" spans="1:31" ht="409.5">
      <c r="A1016" s="2">
        <v>2747255</v>
      </c>
      <c r="B1016" s="2">
        <f>HYPERLINK("https://platform.v2.vetology.net/cases/2747255/screening-report/1?type=pdf&amp;v=v6&amp;scorecard=1&amp;secret_key=BX%25IJ%24%2F65ieZ%29f6", 2747255)</f>
        <v>2747255</v>
      </c>
      <c r="C1016" s="2">
        <f>HYPERLINK("https://platform.v2.vetology.net/report/v/final/"&amp;2747255, 2747255)</f>
        <v>2747255</v>
      </c>
      <c r="D1016" s="2" t="s">
        <v>3403</v>
      </c>
      <c r="E1016" s="2" t="s">
        <v>3404</v>
      </c>
      <c r="F1016" s="2" t="s">
        <v>2916</v>
      </c>
      <c r="G1016" s="2" t="s">
        <v>44</v>
      </c>
      <c r="H1016" s="2" t="s">
        <v>3405</v>
      </c>
      <c r="I1016" s="2" t="s">
        <v>36</v>
      </c>
      <c r="J1016" s="2" t="s">
        <v>37</v>
      </c>
      <c r="K1016" s="2" t="s">
        <v>38</v>
      </c>
      <c r="L1016" s="2" t="s">
        <v>39</v>
      </c>
      <c r="M1016" s="2" t="s">
        <v>39</v>
      </c>
      <c r="N1016" s="2" t="s">
        <v>39</v>
      </c>
      <c r="O1016" s="2" t="s">
        <v>39</v>
      </c>
      <c r="P1016" s="2" t="s">
        <v>38</v>
      </c>
      <c r="Q1016" s="2" t="s">
        <v>39</v>
      </c>
      <c r="R1016" s="2" t="s">
        <v>39</v>
      </c>
      <c r="S1016" s="2" t="s">
        <v>39</v>
      </c>
      <c r="T1016" s="2" t="s">
        <v>38</v>
      </c>
      <c r="U1016" s="2" t="s">
        <v>38</v>
      </c>
      <c r="V1016" s="2" t="s">
        <v>38</v>
      </c>
      <c r="W1016" s="2" t="s">
        <v>38</v>
      </c>
      <c r="X1016" s="2" t="s">
        <v>39</v>
      </c>
      <c r="Y1016" s="2" t="s">
        <v>39</v>
      </c>
      <c r="Z1016" s="2" t="s">
        <v>39</v>
      </c>
      <c r="AA1016" s="2" t="s">
        <v>38</v>
      </c>
      <c r="AB1016" s="2" t="s">
        <v>39</v>
      </c>
      <c r="AC1016" s="2" t="s">
        <v>38</v>
      </c>
      <c r="AD1016" s="2" t="s">
        <v>39</v>
      </c>
      <c r="AE1016" s="2" t="s">
        <v>39</v>
      </c>
    </row>
    <row r="1017" spans="1:31" ht="409.5">
      <c r="A1017" s="2">
        <v>2747173</v>
      </c>
      <c r="B1017" s="2">
        <f>HYPERLINK("https://platform.v2.vetology.net/cases/2747173/screening-report/1?type=pdf&amp;v=v6&amp;scorecard=1&amp;secret_key=BX%25IJ%24%2F65ieZ%29f6", 2747173)</f>
        <v>2747173</v>
      </c>
      <c r="C1017" s="2">
        <f>HYPERLINK("https://platform.v2.vetology.net/report/v/final/"&amp;2747173, 2747173)</f>
        <v>2747173</v>
      </c>
      <c r="D1017" s="2" t="s">
        <v>3406</v>
      </c>
      <c r="E1017" s="2" t="s">
        <v>3407</v>
      </c>
      <c r="F1017" s="2" t="s">
        <v>3408</v>
      </c>
      <c r="G1017" s="2" t="s">
        <v>34</v>
      </c>
      <c r="H1017" s="2" t="s">
        <v>3409</v>
      </c>
      <c r="I1017" s="2" t="s">
        <v>36</v>
      </c>
      <c r="J1017" s="2" t="s">
        <v>37</v>
      </c>
      <c r="K1017" s="2" t="s">
        <v>39</v>
      </c>
      <c r="L1017" s="2" t="s">
        <v>38</v>
      </c>
      <c r="M1017" s="2" t="s">
        <v>38</v>
      </c>
      <c r="N1017" s="2" t="s">
        <v>38</v>
      </c>
      <c r="O1017" s="2" t="s">
        <v>38</v>
      </c>
      <c r="P1017" s="2" t="s">
        <v>39</v>
      </c>
      <c r="Q1017" s="2" t="s">
        <v>39</v>
      </c>
      <c r="R1017" s="2" t="s">
        <v>38</v>
      </c>
      <c r="S1017" s="2" t="s">
        <v>38</v>
      </c>
      <c r="T1017" s="2" t="s">
        <v>38</v>
      </c>
      <c r="U1017" s="2" t="s">
        <v>39</v>
      </c>
      <c r="V1017" s="2" t="s">
        <v>39</v>
      </c>
      <c r="W1017" s="2" t="s">
        <v>38</v>
      </c>
      <c r="X1017" s="2" t="s">
        <v>39</v>
      </c>
      <c r="Y1017" s="2" t="s">
        <v>39</v>
      </c>
      <c r="Z1017" s="2" t="s">
        <v>38</v>
      </c>
      <c r="AA1017" s="2" t="s">
        <v>39</v>
      </c>
      <c r="AB1017" s="2" t="s">
        <v>39</v>
      </c>
      <c r="AC1017" s="2" t="s">
        <v>38</v>
      </c>
      <c r="AD1017" s="2" t="s">
        <v>38</v>
      </c>
      <c r="AE1017" s="2" t="s">
        <v>39</v>
      </c>
    </row>
    <row r="1018" spans="1:31" ht="409.5">
      <c r="A1018" s="2">
        <v>2747160</v>
      </c>
      <c r="B1018" s="2">
        <f>HYPERLINK("https://platform.v2.vetology.net/cases/2747160/screening-report/1?type=pdf&amp;v=v6&amp;scorecard=1&amp;secret_key=BX%25IJ%24%2F65ieZ%29f6", 2747160)</f>
        <v>2747160</v>
      </c>
      <c r="C1018" s="2">
        <f>HYPERLINK("https://platform.v2.vetology.net/report/v/final/"&amp;2747160, 2747160)</f>
        <v>2747160</v>
      </c>
      <c r="D1018" s="2" t="s">
        <v>3410</v>
      </c>
      <c r="E1018" s="2" t="s">
        <v>3411</v>
      </c>
      <c r="F1018" s="2" t="s">
        <v>3412</v>
      </c>
      <c r="G1018" s="2" t="s">
        <v>170</v>
      </c>
      <c r="H1018" s="2" t="s">
        <v>3413</v>
      </c>
      <c r="I1018" s="2" t="s">
        <v>73</v>
      </c>
      <c r="J1018" s="2" t="s">
        <v>74</v>
      </c>
      <c r="K1018" s="2" t="s">
        <v>38</v>
      </c>
      <c r="L1018" s="2" t="s">
        <v>38</v>
      </c>
      <c r="M1018" s="2" t="s">
        <v>38</v>
      </c>
      <c r="N1018" s="2" t="s">
        <v>38</v>
      </c>
      <c r="O1018" s="2" t="s">
        <v>38</v>
      </c>
      <c r="P1018" s="2" t="s">
        <v>38</v>
      </c>
      <c r="Q1018" s="2" t="s">
        <v>38</v>
      </c>
      <c r="R1018" s="2" t="s">
        <v>38</v>
      </c>
      <c r="S1018" s="2" t="s">
        <v>38</v>
      </c>
      <c r="T1018" s="2" t="s">
        <v>38</v>
      </c>
      <c r="U1018" s="2" t="s">
        <v>38</v>
      </c>
      <c r="V1018" s="2" t="s">
        <v>38</v>
      </c>
      <c r="W1018" s="2" t="s">
        <v>38</v>
      </c>
      <c r="X1018" s="2" t="s">
        <v>38</v>
      </c>
      <c r="Y1018" s="2" t="s">
        <v>39</v>
      </c>
      <c r="Z1018" s="2" t="s">
        <v>38</v>
      </c>
      <c r="AA1018" s="2" t="s">
        <v>38</v>
      </c>
      <c r="AB1018" s="2" t="s">
        <v>38</v>
      </c>
      <c r="AC1018" s="2" t="s">
        <v>38</v>
      </c>
      <c r="AD1018" s="2" t="s">
        <v>39</v>
      </c>
      <c r="AE1018" s="2" t="s">
        <v>39</v>
      </c>
    </row>
    <row r="1019" spans="1:31" ht="409.5">
      <c r="A1019" s="2">
        <v>2747082</v>
      </c>
      <c r="B1019" s="2">
        <f>HYPERLINK("https://platform.v2.vetology.net/cases/2747082/screening-report/1?type=pdf&amp;v=v6&amp;scorecard=1&amp;secret_key=BX%25IJ%24%2F65ieZ%29f6", 2747082)</f>
        <v>2747082</v>
      </c>
      <c r="C1019" s="2">
        <f>HYPERLINK("https://platform.v2.vetology.net/report/v/final/"&amp;2747082, 2747082)</f>
        <v>2747082</v>
      </c>
      <c r="D1019" s="2" t="s">
        <v>3414</v>
      </c>
      <c r="E1019" s="2" t="s">
        <v>3415</v>
      </c>
      <c r="F1019" s="2" t="s">
        <v>3416</v>
      </c>
      <c r="G1019" s="2" t="s">
        <v>53</v>
      </c>
      <c r="H1019" s="2" t="s">
        <v>801</v>
      </c>
      <c r="I1019" s="2" t="s">
        <v>59</v>
      </c>
      <c r="J1019" s="2" t="s">
        <v>37</v>
      </c>
      <c r="K1019" s="2" t="s">
        <v>38</v>
      </c>
      <c r="L1019" s="2" t="s">
        <v>39</v>
      </c>
      <c r="M1019" s="2" t="s">
        <v>39</v>
      </c>
      <c r="N1019" s="2" t="s">
        <v>39</v>
      </c>
      <c r="O1019" s="2" t="s">
        <v>39</v>
      </c>
      <c r="P1019" s="2" t="s">
        <v>39</v>
      </c>
      <c r="Q1019" s="2" t="s">
        <v>39</v>
      </c>
      <c r="R1019" s="2" t="s">
        <v>38</v>
      </c>
      <c r="S1019" s="2" t="s">
        <v>39</v>
      </c>
      <c r="T1019" s="2" t="s">
        <v>39</v>
      </c>
      <c r="U1019" s="2" t="s">
        <v>39</v>
      </c>
      <c r="V1019" s="2" t="s">
        <v>38</v>
      </c>
      <c r="W1019" s="2" t="s">
        <v>39</v>
      </c>
      <c r="X1019" s="2" t="s">
        <v>39</v>
      </c>
      <c r="Y1019" s="2" t="s">
        <v>39</v>
      </c>
      <c r="Z1019" s="2" t="s">
        <v>39</v>
      </c>
      <c r="AA1019" s="2" t="s">
        <v>39</v>
      </c>
      <c r="AB1019" s="2" t="s">
        <v>39</v>
      </c>
      <c r="AC1019" s="2" t="s">
        <v>39</v>
      </c>
      <c r="AD1019" s="2" t="s">
        <v>39</v>
      </c>
      <c r="AE1019" s="2" t="s">
        <v>39</v>
      </c>
    </row>
    <row r="1020" spans="1:31" ht="409.5">
      <c r="A1020" s="2">
        <v>2747056</v>
      </c>
      <c r="B1020" s="2">
        <f>HYPERLINK("https://platform.v2.vetology.net/cases/2747056/screening-report/1?type=pdf&amp;v=v6&amp;scorecard=1&amp;secret_key=BX%25IJ%24%2F65ieZ%29f6", 2747056)</f>
        <v>2747056</v>
      </c>
      <c r="C1020" s="2">
        <f>HYPERLINK("https://platform.v2.vetology.net/report/v/final/"&amp;2747056, 2747056)</f>
        <v>2747056</v>
      </c>
      <c r="D1020" s="2" t="s">
        <v>3417</v>
      </c>
      <c r="E1020" s="2" t="s">
        <v>3418</v>
      </c>
      <c r="F1020" s="2" t="s">
        <v>3419</v>
      </c>
      <c r="G1020" s="2" t="s">
        <v>127</v>
      </c>
      <c r="H1020" s="2" t="s">
        <v>45</v>
      </c>
      <c r="I1020" s="2" t="s">
        <v>46</v>
      </c>
      <c r="J1020" s="2"/>
      <c r="K1020" s="2" t="s">
        <v>39</v>
      </c>
      <c r="L1020" s="2" t="s">
        <v>39</v>
      </c>
      <c r="M1020" s="2" t="s">
        <v>39</v>
      </c>
      <c r="N1020" s="2" t="s">
        <v>39</v>
      </c>
      <c r="O1020" s="2" t="s">
        <v>39</v>
      </c>
      <c r="P1020" s="2" t="s">
        <v>39</v>
      </c>
      <c r="Q1020" s="2" t="s">
        <v>39</v>
      </c>
      <c r="R1020" s="2" t="s">
        <v>38</v>
      </c>
      <c r="S1020" s="2" t="s">
        <v>39</v>
      </c>
      <c r="T1020" s="2" t="s">
        <v>39</v>
      </c>
      <c r="U1020" s="2" t="s">
        <v>38</v>
      </c>
      <c r="V1020" s="2" t="s">
        <v>38</v>
      </c>
      <c r="W1020" s="2" t="s">
        <v>38</v>
      </c>
      <c r="X1020" s="2" t="s">
        <v>39</v>
      </c>
      <c r="Y1020" s="2" t="s">
        <v>39</v>
      </c>
      <c r="Z1020" s="2" t="s">
        <v>38</v>
      </c>
      <c r="AA1020" s="2" t="s">
        <v>39</v>
      </c>
      <c r="AB1020" s="2" t="s">
        <v>39</v>
      </c>
      <c r="AC1020" s="2" t="s">
        <v>38</v>
      </c>
      <c r="AD1020" s="2" t="s">
        <v>39</v>
      </c>
      <c r="AE1020" s="2" t="s">
        <v>39</v>
      </c>
    </row>
    <row r="1021" spans="1:31" ht="409.5">
      <c r="A1021" s="2">
        <v>2747035</v>
      </c>
      <c r="B1021" s="2">
        <f>HYPERLINK("https://platform.v2.vetology.net/cases/2747035/screening-report/1?type=pdf&amp;v=v6&amp;scorecard=1&amp;secret_key=BX%25IJ%24%2F65ieZ%29f6", 2747035)</f>
        <v>2747035</v>
      </c>
      <c r="C1021" s="2">
        <f>HYPERLINK("https://platform.v2.vetology.net/report/v/final/"&amp;2747035, 2747035)</f>
        <v>2747035</v>
      </c>
      <c r="D1021" s="2" t="s">
        <v>3420</v>
      </c>
      <c r="E1021" s="2" t="s">
        <v>3421</v>
      </c>
      <c r="F1021" s="2" t="s">
        <v>3422</v>
      </c>
      <c r="G1021" s="2" t="s">
        <v>34</v>
      </c>
      <c r="H1021" s="2" t="s">
        <v>3423</v>
      </c>
      <c r="I1021" s="2" t="s">
        <v>36</v>
      </c>
      <c r="J1021" s="2" t="s">
        <v>37</v>
      </c>
      <c r="K1021" s="2" t="s">
        <v>38</v>
      </c>
      <c r="L1021" s="2" t="s">
        <v>38</v>
      </c>
      <c r="M1021" s="2" t="s">
        <v>39</v>
      </c>
      <c r="N1021" s="2" t="s">
        <v>38</v>
      </c>
      <c r="O1021" s="2" t="s">
        <v>39</v>
      </c>
      <c r="P1021" s="2" t="s">
        <v>39</v>
      </c>
      <c r="Q1021" s="2" t="s">
        <v>39</v>
      </c>
      <c r="R1021" s="2" t="s">
        <v>38</v>
      </c>
      <c r="S1021" s="2" t="s">
        <v>39</v>
      </c>
      <c r="T1021" s="2" t="s">
        <v>39</v>
      </c>
      <c r="U1021" s="2" t="s">
        <v>38</v>
      </c>
      <c r="V1021" s="2" t="s">
        <v>38</v>
      </c>
      <c r="W1021" s="2" t="s">
        <v>39</v>
      </c>
      <c r="X1021" s="2" t="s">
        <v>39</v>
      </c>
      <c r="Y1021" s="2" t="s">
        <v>39</v>
      </c>
      <c r="Z1021" s="2" t="s">
        <v>38</v>
      </c>
      <c r="AA1021" s="2" t="s">
        <v>39</v>
      </c>
      <c r="AB1021" s="2" t="s">
        <v>39</v>
      </c>
      <c r="AC1021" s="2" t="s">
        <v>38</v>
      </c>
      <c r="AD1021" s="2" t="s">
        <v>39</v>
      </c>
      <c r="AE1021" s="2" t="s">
        <v>39</v>
      </c>
    </row>
    <row r="1022" spans="1:31" ht="409.5">
      <c r="A1022" s="2">
        <v>2747034</v>
      </c>
      <c r="B1022" s="2">
        <f>HYPERLINK("https://platform.v2.vetology.net/cases/2747034/screening-report/1?type=pdf&amp;v=v6&amp;scorecard=1&amp;secret_key=BX%25IJ%24%2F65ieZ%29f6", 2747034)</f>
        <v>2747034</v>
      </c>
      <c r="C1022" s="2">
        <f>HYPERLINK("https://platform.v2.vetology.net/report/v/final/"&amp;2747034, 2747034)</f>
        <v>2747034</v>
      </c>
      <c r="D1022" s="2" t="s">
        <v>3424</v>
      </c>
      <c r="E1022" s="2" t="s">
        <v>3425</v>
      </c>
      <c r="F1022" s="2" t="s">
        <v>3426</v>
      </c>
      <c r="G1022" s="2" t="s">
        <v>170</v>
      </c>
      <c r="H1022" s="2" t="s">
        <v>3427</v>
      </c>
      <c r="I1022" s="2" t="s">
        <v>129</v>
      </c>
      <c r="J1022" s="2" t="s">
        <v>74</v>
      </c>
      <c r="K1022" s="2" t="s">
        <v>38</v>
      </c>
      <c r="L1022" s="2" t="s">
        <v>38</v>
      </c>
      <c r="M1022" s="2" t="s">
        <v>38</v>
      </c>
      <c r="N1022" s="2" t="s">
        <v>38</v>
      </c>
      <c r="O1022" s="2" t="s">
        <v>38</v>
      </c>
      <c r="P1022" s="2" t="s">
        <v>38</v>
      </c>
      <c r="Q1022" s="2" t="s">
        <v>38</v>
      </c>
      <c r="R1022" s="2" t="s">
        <v>38</v>
      </c>
      <c r="S1022" s="2" t="s">
        <v>38</v>
      </c>
      <c r="T1022" s="2" t="s">
        <v>38</v>
      </c>
      <c r="U1022" s="2" t="s">
        <v>38</v>
      </c>
      <c r="V1022" s="2" t="s">
        <v>38</v>
      </c>
      <c r="W1022" s="2" t="s">
        <v>38</v>
      </c>
      <c r="X1022" s="2" t="s">
        <v>38</v>
      </c>
      <c r="Y1022" s="2" t="s">
        <v>38</v>
      </c>
      <c r="Z1022" s="2" t="s">
        <v>38</v>
      </c>
      <c r="AA1022" s="2" t="s">
        <v>38</v>
      </c>
      <c r="AB1022" s="2" t="s">
        <v>38</v>
      </c>
      <c r="AC1022" s="2" t="s">
        <v>38</v>
      </c>
      <c r="AD1022" s="2" t="s">
        <v>38</v>
      </c>
      <c r="AE1022" s="2" t="s">
        <v>40</v>
      </c>
    </row>
    <row r="1023" spans="1:31" ht="409.5">
      <c r="A1023" s="2">
        <v>2747028</v>
      </c>
      <c r="B1023" s="2">
        <f>HYPERLINK("https://platform.v2.vetology.net/cases/2747028/screening-report/1?type=pdf&amp;v=v6&amp;scorecard=1&amp;secret_key=BX%25IJ%24%2F65ieZ%29f6", 2747028)</f>
        <v>2747028</v>
      </c>
      <c r="C1023" s="2">
        <f>HYPERLINK("https://platform.v2.vetology.net/report/v/final/"&amp;2747028, 2747028)</f>
        <v>2747028</v>
      </c>
      <c r="D1023" s="2" t="s">
        <v>3428</v>
      </c>
      <c r="E1023" s="2" t="s">
        <v>3429</v>
      </c>
      <c r="F1023" s="2" t="s">
        <v>3430</v>
      </c>
      <c r="G1023" s="2" t="s">
        <v>53</v>
      </c>
      <c r="H1023" s="2" t="s">
        <v>3431</v>
      </c>
      <c r="I1023" s="2" t="s">
        <v>73</v>
      </c>
      <c r="J1023" s="2" t="s">
        <v>74</v>
      </c>
      <c r="K1023" s="2" t="s">
        <v>38</v>
      </c>
      <c r="L1023" s="2" t="s">
        <v>38</v>
      </c>
      <c r="M1023" s="2" t="s">
        <v>38</v>
      </c>
      <c r="N1023" s="2" t="s">
        <v>38</v>
      </c>
      <c r="O1023" s="2" t="s">
        <v>38</v>
      </c>
      <c r="P1023" s="2" t="s">
        <v>38</v>
      </c>
      <c r="Q1023" s="2" t="s">
        <v>38</v>
      </c>
      <c r="R1023" s="2" t="s">
        <v>38</v>
      </c>
      <c r="S1023" s="2" t="s">
        <v>38</v>
      </c>
      <c r="T1023" s="2" t="s">
        <v>38</v>
      </c>
      <c r="U1023" s="2" t="s">
        <v>38</v>
      </c>
      <c r="V1023" s="2" t="s">
        <v>38</v>
      </c>
      <c r="W1023" s="2" t="s">
        <v>38</v>
      </c>
      <c r="X1023" s="2" t="s">
        <v>38</v>
      </c>
      <c r="Y1023" s="2" t="s">
        <v>38</v>
      </c>
      <c r="Z1023" s="2" t="s">
        <v>38</v>
      </c>
      <c r="AA1023" s="2" t="s">
        <v>38</v>
      </c>
      <c r="AB1023" s="2" t="s">
        <v>38</v>
      </c>
      <c r="AC1023" s="2" t="s">
        <v>38</v>
      </c>
      <c r="AD1023" s="2" t="s">
        <v>39</v>
      </c>
      <c r="AE1023" s="2" t="s">
        <v>40</v>
      </c>
    </row>
    <row r="1024" spans="1:31" ht="409.5">
      <c r="A1024" s="2">
        <v>2747026</v>
      </c>
      <c r="B1024" s="2">
        <f>HYPERLINK("https://platform.v2.vetology.net/cases/2747026/screening-report/1?type=pdf&amp;v=v6&amp;scorecard=1&amp;secret_key=BX%25IJ%24%2F65ieZ%29f6", 2747026)</f>
        <v>2747026</v>
      </c>
      <c r="C1024" s="2">
        <f>HYPERLINK("https://platform.v2.vetology.net/report/v/final/"&amp;2747026, 2747026)</f>
        <v>2747026</v>
      </c>
      <c r="D1024" s="2" t="s">
        <v>3432</v>
      </c>
      <c r="E1024" s="2" t="s">
        <v>3433</v>
      </c>
      <c r="F1024" s="2" t="s">
        <v>43</v>
      </c>
      <c r="G1024" s="2" t="s">
        <v>100</v>
      </c>
      <c r="H1024" s="2" t="s">
        <v>3434</v>
      </c>
      <c r="I1024" s="2" t="s">
        <v>36</v>
      </c>
      <c r="J1024" s="2" t="s">
        <v>37</v>
      </c>
      <c r="K1024" s="2" t="s">
        <v>39</v>
      </c>
      <c r="L1024" s="2" t="s">
        <v>38</v>
      </c>
      <c r="M1024" s="2" t="s">
        <v>39</v>
      </c>
      <c r="N1024" s="2" t="s">
        <v>38</v>
      </c>
      <c r="O1024" s="2" t="s">
        <v>38</v>
      </c>
      <c r="P1024" s="2" t="s">
        <v>39</v>
      </c>
      <c r="Q1024" s="2" t="s">
        <v>39</v>
      </c>
      <c r="R1024" s="2" t="s">
        <v>38</v>
      </c>
      <c r="S1024" s="2" t="s">
        <v>38</v>
      </c>
      <c r="T1024" s="2" t="s">
        <v>39</v>
      </c>
      <c r="U1024" s="2" t="s">
        <v>39</v>
      </c>
      <c r="V1024" s="2" t="s">
        <v>39</v>
      </c>
      <c r="W1024" s="2" t="s">
        <v>38</v>
      </c>
      <c r="X1024" s="2" t="s">
        <v>39</v>
      </c>
      <c r="Y1024" s="2" t="s">
        <v>39</v>
      </c>
      <c r="Z1024" s="2" t="s">
        <v>38</v>
      </c>
      <c r="AA1024" s="2" t="s">
        <v>38</v>
      </c>
      <c r="AB1024" s="2" t="s">
        <v>39</v>
      </c>
      <c r="AC1024" s="2" t="s">
        <v>38</v>
      </c>
      <c r="AD1024" s="2" t="s">
        <v>38</v>
      </c>
      <c r="AE1024" s="2"/>
    </row>
    <row r="1025" spans="1:31" ht="409.5">
      <c r="A1025" s="2">
        <v>2747008</v>
      </c>
      <c r="B1025" s="2">
        <f>HYPERLINK("https://platform.v2.vetology.net/cases/2747008/screening-report/1?type=pdf&amp;v=v6&amp;scorecard=1&amp;secret_key=BX%25IJ%24%2F65ieZ%29f6", 2747008)</f>
        <v>2747008</v>
      </c>
      <c r="C1025" s="2">
        <f>HYPERLINK("https://platform.v2.vetology.net/report/v/final/"&amp;2747008, 2747008)</f>
        <v>2747008</v>
      </c>
      <c r="D1025" s="2" t="s">
        <v>3435</v>
      </c>
      <c r="E1025" s="2" t="s">
        <v>3436</v>
      </c>
      <c r="F1025" s="2" t="s">
        <v>3437</v>
      </c>
      <c r="G1025" s="2" t="s">
        <v>127</v>
      </c>
      <c r="H1025" s="2" t="s">
        <v>69</v>
      </c>
      <c r="I1025" s="2" t="s">
        <v>46</v>
      </c>
      <c r="J1025" s="2"/>
      <c r="K1025" s="2" t="s">
        <v>39</v>
      </c>
      <c r="L1025" s="2" t="s">
        <v>39</v>
      </c>
      <c r="M1025" s="2" t="s">
        <v>39</v>
      </c>
      <c r="N1025" s="2" t="s">
        <v>39</v>
      </c>
      <c r="O1025" s="2" t="s">
        <v>39</v>
      </c>
      <c r="P1025" s="2" t="s">
        <v>39</v>
      </c>
      <c r="Q1025" s="2" t="s">
        <v>39</v>
      </c>
      <c r="R1025" s="2" t="s">
        <v>39</v>
      </c>
      <c r="S1025" s="2" t="s">
        <v>39</v>
      </c>
      <c r="T1025" s="2" t="s">
        <v>39</v>
      </c>
      <c r="U1025" s="2" t="s">
        <v>39</v>
      </c>
      <c r="V1025" s="2" t="s">
        <v>39</v>
      </c>
      <c r="W1025" s="2" t="s">
        <v>39</v>
      </c>
      <c r="X1025" s="2" t="s">
        <v>39</v>
      </c>
      <c r="Y1025" s="2" t="s">
        <v>39</v>
      </c>
      <c r="Z1025" s="2" t="s">
        <v>39</v>
      </c>
      <c r="AA1025" s="2" t="s">
        <v>39</v>
      </c>
      <c r="AB1025" s="2" t="s">
        <v>39</v>
      </c>
      <c r="AC1025" s="2" t="s">
        <v>39</v>
      </c>
      <c r="AD1025" s="2" t="s">
        <v>38</v>
      </c>
      <c r="AE1025" s="2" t="s">
        <v>39</v>
      </c>
    </row>
    <row r="1026" spans="1:31" ht="409.5">
      <c r="A1026" s="2">
        <v>2747005</v>
      </c>
      <c r="B1026" s="2">
        <f>HYPERLINK("https://platform.v2.vetology.net/cases/2747005/screening-report/1?type=pdf&amp;v=v6&amp;scorecard=1&amp;secret_key=BX%25IJ%24%2F65ieZ%29f6", 2747005)</f>
        <v>2747005</v>
      </c>
      <c r="C1026" s="2">
        <f>HYPERLINK("https://platform.v2.vetology.net/report/v/final/"&amp;2747005, 2747005)</f>
        <v>2747005</v>
      </c>
      <c r="D1026" s="2" t="s">
        <v>3438</v>
      </c>
      <c r="E1026" s="2" t="s">
        <v>3439</v>
      </c>
      <c r="F1026" s="2" t="s">
        <v>3440</v>
      </c>
      <c r="G1026" s="2" t="s">
        <v>170</v>
      </c>
      <c r="H1026" s="2" t="s">
        <v>3441</v>
      </c>
      <c r="I1026" s="2" t="s">
        <v>36</v>
      </c>
      <c r="J1026" s="2" t="s">
        <v>37</v>
      </c>
      <c r="K1026" s="2" t="s">
        <v>38</v>
      </c>
      <c r="L1026" s="2" t="s">
        <v>38</v>
      </c>
      <c r="M1026" s="2" t="s">
        <v>38</v>
      </c>
      <c r="N1026" s="2" t="s">
        <v>38</v>
      </c>
      <c r="O1026" s="2" t="s">
        <v>38</v>
      </c>
      <c r="P1026" s="2" t="s">
        <v>39</v>
      </c>
      <c r="Q1026" s="2" t="s">
        <v>39</v>
      </c>
      <c r="R1026" s="2" t="s">
        <v>38</v>
      </c>
      <c r="S1026" s="2" t="s">
        <v>38</v>
      </c>
      <c r="T1026" s="2" t="s">
        <v>39</v>
      </c>
      <c r="U1026" s="2" t="s">
        <v>38</v>
      </c>
      <c r="V1026" s="2" t="s">
        <v>38</v>
      </c>
      <c r="W1026" s="2" t="s">
        <v>38</v>
      </c>
      <c r="X1026" s="2" t="s">
        <v>39</v>
      </c>
      <c r="Y1026" s="2" t="s">
        <v>39</v>
      </c>
      <c r="Z1026" s="2" t="s">
        <v>38</v>
      </c>
      <c r="AA1026" s="2" t="s">
        <v>38</v>
      </c>
      <c r="AB1026" s="2" t="s">
        <v>39</v>
      </c>
      <c r="AC1026" s="2" t="s">
        <v>38</v>
      </c>
      <c r="AD1026" s="2" t="s">
        <v>39</v>
      </c>
      <c r="AE1026" s="2" t="s">
        <v>39</v>
      </c>
    </row>
    <row r="1027" spans="1:31" ht="409.5">
      <c r="A1027" s="2">
        <v>2747003</v>
      </c>
      <c r="B1027" s="2">
        <f>HYPERLINK("https://platform.v2.vetology.net/cases/2747003/screening-report/1?type=pdf&amp;v=v6&amp;scorecard=1&amp;secret_key=BX%25IJ%24%2F65ieZ%29f6", 2747003)</f>
        <v>2747003</v>
      </c>
      <c r="C1027" s="2">
        <f>HYPERLINK("https://platform.v2.vetology.net/report/v/final/"&amp;2747003, 2747003)</f>
        <v>2747003</v>
      </c>
      <c r="D1027" s="2" t="s">
        <v>3442</v>
      </c>
      <c r="E1027" s="2" t="s">
        <v>3443</v>
      </c>
      <c r="F1027" s="2" t="s">
        <v>43</v>
      </c>
      <c r="G1027" s="2" t="s">
        <v>44</v>
      </c>
      <c r="H1027" s="2" t="s">
        <v>3444</v>
      </c>
      <c r="I1027" s="2" t="s">
        <v>129</v>
      </c>
      <c r="J1027" s="2" t="s">
        <v>74</v>
      </c>
      <c r="K1027" s="2" t="s">
        <v>38</v>
      </c>
      <c r="L1027" s="2" t="s">
        <v>39</v>
      </c>
      <c r="M1027" s="2" t="s">
        <v>38</v>
      </c>
      <c r="N1027" s="2" t="s">
        <v>38</v>
      </c>
      <c r="O1027" s="2" t="s">
        <v>38</v>
      </c>
      <c r="P1027" s="2" t="s">
        <v>38</v>
      </c>
      <c r="Q1027" s="2" t="s">
        <v>38</v>
      </c>
      <c r="R1027" s="2" t="s">
        <v>38</v>
      </c>
      <c r="S1027" s="2" t="s">
        <v>38</v>
      </c>
      <c r="T1027" s="2" t="s">
        <v>38</v>
      </c>
      <c r="U1027" s="2" t="s">
        <v>38</v>
      </c>
      <c r="V1027" s="2" t="s">
        <v>38</v>
      </c>
      <c r="W1027" s="2" t="s">
        <v>38</v>
      </c>
      <c r="X1027" s="2" t="s">
        <v>38</v>
      </c>
      <c r="Y1027" s="2" t="s">
        <v>39</v>
      </c>
      <c r="Z1027" s="2" t="s">
        <v>38</v>
      </c>
      <c r="AA1027" s="2" t="s">
        <v>38</v>
      </c>
      <c r="AB1027" s="2" t="s">
        <v>38</v>
      </c>
      <c r="AC1027" s="2" t="s">
        <v>39</v>
      </c>
      <c r="AD1027" s="2" t="s">
        <v>39</v>
      </c>
      <c r="AE1027" s="2" t="s">
        <v>40</v>
      </c>
    </row>
    <row r="1028" spans="1:31" ht="409.5">
      <c r="A1028" s="2">
        <v>2747001</v>
      </c>
      <c r="B1028" s="2">
        <f>HYPERLINK("https://platform.v2.vetology.net/cases/2747001/screening-report/1?type=pdf&amp;v=v6&amp;scorecard=1&amp;secret_key=BX%25IJ%24%2F65ieZ%29f6", 2747001)</f>
        <v>2747001</v>
      </c>
      <c r="C1028" s="2">
        <f>HYPERLINK("https://platform.v2.vetology.net/report/v/final/"&amp;2747001, 2747001)</f>
        <v>2747001</v>
      </c>
      <c r="D1028" s="2" t="s">
        <v>3445</v>
      </c>
      <c r="E1028" s="2" t="s">
        <v>3446</v>
      </c>
      <c r="F1028" s="2" t="s">
        <v>2725</v>
      </c>
      <c r="G1028" s="2" t="s">
        <v>170</v>
      </c>
      <c r="H1028" s="2" t="s">
        <v>3447</v>
      </c>
      <c r="I1028" s="2" t="s">
        <v>36</v>
      </c>
      <c r="J1028" s="2" t="s">
        <v>37</v>
      </c>
      <c r="K1028" s="2" t="s">
        <v>38</v>
      </c>
      <c r="L1028" s="2" t="s">
        <v>38</v>
      </c>
      <c r="M1028" s="2" t="s">
        <v>39</v>
      </c>
      <c r="N1028" s="2" t="s">
        <v>38</v>
      </c>
      <c r="O1028" s="2" t="s">
        <v>38</v>
      </c>
      <c r="P1028" s="2" t="s">
        <v>39</v>
      </c>
      <c r="Q1028" s="2" t="s">
        <v>39</v>
      </c>
      <c r="R1028" s="2" t="s">
        <v>38</v>
      </c>
      <c r="S1028" s="2" t="s">
        <v>38</v>
      </c>
      <c r="T1028" s="2" t="s">
        <v>39</v>
      </c>
      <c r="U1028" s="2" t="s">
        <v>39</v>
      </c>
      <c r="V1028" s="2" t="s">
        <v>38</v>
      </c>
      <c r="W1028" s="2" t="s">
        <v>39</v>
      </c>
      <c r="X1028" s="2" t="s">
        <v>39</v>
      </c>
      <c r="Y1028" s="2" t="s">
        <v>39</v>
      </c>
      <c r="Z1028" s="2" t="s">
        <v>39</v>
      </c>
      <c r="AA1028" s="2" t="s">
        <v>38</v>
      </c>
      <c r="AB1028" s="2" t="s">
        <v>39</v>
      </c>
      <c r="AC1028" s="2" t="s">
        <v>38</v>
      </c>
      <c r="AD1028" s="2" t="s">
        <v>38</v>
      </c>
      <c r="AE1028" s="2" t="s">
        <v>40</v>
      </c>
    </row>
    <row r="1029" spans="1:31" ht="409.5">
      <c r="A1029" s="2">
        <v>2746977</v>
      </c>
      <c r="B1029" s="2">
        <f>HYPERLINK("https://platform.v2.vetology.net/cases/2746977/screening-report/1?type=pdf&amp;v=v6&amp;scorecard=1&amp;secret_key=BX%25IJ%24%2F65ieZ%29f6", 2746977)</f>
        <v>2746977</v>
      </c>
      <c r="C1029" s="2">
        <f>HYPERLINK("https://platform.v2.vetology.net/report/v/final/"&amp;2746977, 2746977)</f>
        <v>2746977</v>
      </c>
      <c r="D1029" s="2" t="s">
        <v>3448</v>
      </c>
      <c r="E1029" s="2" t="s">
        <v>3449</v>
      </c>
      <c r="F1029" s="2" t="s">
        <v>3450</v>
      </c>
      <c r="G1029" s="2" t="s">
        <v>34</v>
      </c>
      <c r="H1029" s="2" t="s">
        <v>3451</v>
      </c>
      <c r="I1029" s="2" t="s">
        <v>36</v>
      </c>
      <c r="J1029" s="2" t="s">
        <v>37</v>
      </c>
      <c r="K1029" s="2" t="s">
        <v>38</v>
      </c>
      <c r="L1029" s="2" t="s">
        <v>38</v>
      </c>
      <c r="M1029" s="2" t="s">
        <v>38</v>
      </c>
      <c r="N1029" s="2" t="s">
        <v>38</v>
      </c>
      <c r="O1029" s="2" t="s">
        <v>38</v>
      </c>
      <c r="P1029" s="2" t="s">
        <v>39</v>
      </c>
      <c r="Q1029" s="2" t="s">
        <v>39</v>
      </c>
      <c r="R1029" s="2" t="s">
        <v>38</v>
      </c>
      <c r="S1029" s="2" t="s">
        <v>38</v>
      </c>
      <c r="T1029" s="2" t="s">
        <v>38</v>
      </c>
      <c r="U1029" s="2" t="s">
        <v>38</v>
      </c>
      <c r="V1029" s="2" t="s">
        <v>38</v>
      </c>
      <c r="W1029" s="2" t="s">
        <v>38</v>
      </c>
      <c r="X1029" s="2" t="s">
        <v>39</v>
      </c>
      <c r="Y1029" s="2" t="s">
        <v>38</v>
      </c>
      <c r="Z1029" s="2" t="s">
        <v>38</v>
      </c>
      <c r="AA1029" s="2" t="s">
        <v>38</v>
      </c>
      <c r="AB1029" s="2" t="s">
        <v>39</v>
      </c>
      <c r="AC1029" s="2" t="s">
        <v>38</v>
      </c>
      <c r="AD1029" s="2" t="s">
        <v>38</v>
      </c>
      <c r="AE1029" s="2" t="s">
        <v>40</v>
      </c>
    </row>
    <row r="1030" spans="1:31" ht="409.5">
      <c r="A1030" s="2">
        <v>2746962</v>
      </c>
      <c r="B1030" s="2">
        <f>HYPERLINK("https://platform.v2.vetology.net/cases/2746962/screening-report/1?type=pdf&amp;v=v6&amp;scorecard=1&amp;secret_key=BX%25IJ%24%2F65ieZ%29f6", 2746962)</f>
        <v>2746962</v>
      </c>
      <c r="C1030" s="2">
        <f>HYPERLINK("https://platform.v2.vetology.net/report/v/final/"&amp;2746962, 2746962)</f>
        <v>2746962</v>
      </c>
      <c r="D1030" s="2" t="s">
        <v>3452</v>
      </c>
      <c r="E1030" s="2" t="s">
        <v>3453</v>
      </c>
      <c r="F1030" s="2" t="s">
        <v>43</v>
      </c>
      <c r="G1030" s="2" t="s">
        <v>44</v>
      </c>
      <c r="H1030" s="2" t="s">
        <v>3454</v>
      </c>
      <c r="I1030" s="2" t="s">
        <v>36</v>
      </c>
      <c r="J1030" s="2" t="s">
        <v>37</v>
      </c>
      <c r="K1030" s="2" t="s">
        <v>38</v>
      </c>
      <c r="L1030" s="2" t="s">
        <v>38</v>
      </c>
      <c r="M1030" s="2" t="s">
        <v>39</v>
      </c>
      <c r="N1030" s="2" t="s">
        <v>38</v>
      </c>
      <c r="O1030" s="2" t="s">
        <v>38</v>
      </c>
      <c r="P1030" s="2" t="s">
        <v>38</v>
      </c>
      <c r="Q1030" s="2" t="s">
        <v>39</v>
      </c>
      <c r="R1030" s="2" t="s">
        <v>39</v>
      </c>
      <c r="S1030" s="2" t="s">
        <v>38</v>
      </c>
      <c r="T1030" s="2" t="s">
        <v>38</v>
      </c>
      <c r="U1030" s="2" t="s">
        <v>38</v>
      </c>
      <c r="V1030" s="2" t="s">
        <v>38</v>
      </c>
      <c r="W1030" s="2" t="s">
        <v>38</v>
      </c>
      <c r="X1030" s="2" t="s">
        <v>39</v>
      </c>
      <c r="Y1030" s="2" t="s">
        <v>39</v>
      </c>
      <c r="Z1030" s="2" t="s">
        <v>38</v>
      </c>
      <c r="AA1030" s="2" t="s">
        <v>38</v>
      </c>
      <c r="AB1030" s="2" t="s">
        <v>39</v>
      </c>
      <c r="AC1030" s="2" t="s">
        <v>38</v>
      </c>
      <c r="AD1030" s="2" t="s">
        <v>38</v>
      </c>
      <c r="AE1030" s="2" t="s">
        <v>39</v>
      </c>
    </row>
    <row r="1031" spans="1:31" ht="409.5">
      <c r="A1031" s="2">
        <v>2746948</v>
      </c>
      <c r="B1031" s="2">
        <f>HYPERLINK("https://platform.v2.vetology.net/cases/2746948/screening-report/1?type=pdf&amp;v=v6&amp;scorecard=1&amp;secret_key=BX%25IJ%24%2F65ieZ%29f6", 2746948)</f>
        <v>2746948</v>
      </c>
      <c r="C1031" s="2">
        <f>HYPERLINK("https://platform.v2.vetology.net/report/v/final/"&amp;2746948, 2746948)</f>
        <v>2746948</v>
      </c>
      <c r="D1031" s="2" t="s">
        <v>3455</v>
      </c>
      <c r="E1031" s="2" t="s">
        <v>3456</v>
      </c>
      <c r="F1031" s="2" t="s">
        <v>3457</v>
      </c>
      <c r="G1031" s="2" t="s">
        <v>111</v>
      </c>
      <c r="H1031" s="2" t="s">
        <v>394</v>
      </c>
      <c r="I1031" s="2" t="s">
        <v>59</v>
      </c>
      <c r="J1031" s="2" t="s">
        <v>37</v>
      </c>
      <c r="K1031" s="2" t="s">
        <v>38</v>
      </c>
      <c r="L1031" s="2" t="s">
        <v>39</v>
      </c>
      <c r="M1031" s="2" t="s">
        <v>39</v>
      </c>
      <c r="N1031" s="2" t="s">
        <v>39</v>
      </c>
      <c r="O1031" s="2" t="s">
        <v>39</v>
      </c>
      <c r="P1031" s="2" t="s">
        <v>39</v>
      </c>
      <c r="Q1031" s="2" t="s">
        <v>39</v>
      </c>
      <c r="R1031" s="2" t="s">
        <v>39</v>
      </c>
      <c r="S1031" s="2" t="s">
        <v>39</v>
      </c>
      <c r="T1031" s="2" t="s">
        <v>39</v>
      </c>
      <c r="U1031" s="2" t="s">
        <v>39</v>
      </c>
      <c r="V1031" s="2" t="s">
        <v>38</v>
      </c>
      <c r="W1031" s="2" t="s">
        <v>39</v>
      </c>
      <c r="X1031" s="2" t="s">
        <v>39</v>
      </c>
      <c r="Y1031" s="2" t="s">
        <v>39</v>
      </c>
      <c r="Z1031" s="2" t="s">
        <v>39</v>
      </c>
      <c r="AA1031" s="2" t="s">
        <v>39</v>
      </c>
      <c r="AB1031" s="2" t="s">
        <v>39</v>
      </c>
      <c r="AC1031" s="2" t="s">
        <v>38</v>
      </c>
      <c r="AD1031" s="2" t="s">
        <v>38</v>
      </c>
      <c r="AE1031" s="2" t="s">
        <v>40</v>
      </c>
    </row>
    <row r="1032" spans="1:31" ht="409.5">
      <c r="A1032" s="2">
        <v>2746943</v>
      </c>
      <c r="B1032" s="2">
        <f>HYPERLINK("https://platform.v2.vetology.net/cases/2746943/screening-report/1?type=pdf&amp;v=v6&amp;scorecard=1&amp;secret_key=BX%25IJ%24%2F65ieZ%29f6", 2746943)</f>
        <v>2746943</v>
      </c>
      <c r="C1032" s="2">
        <f>HYPERLINK("https://platform.v2.vetology.net/report/v/final/"&amp;2746943, 2746943)</f>
        <v>2746943</v>
      </c>
      <c r="D1032" s="2" t="s">
        <v>3458</v>
      </c>
      <c r="E1032" s="2" t="s">
        <v>3459</v>
      </c>
      <c r="F1032" s="2" t="s">
        <v>3460</v>
      </c>
      <c r="G1032" s="2" t="s">
        <v>34</v>
      </c>
      <c r="H1032" s="2" t="s">
        <v>3461</v>
      </c>
      <c r="I1032" s="2" t="s">
        <v>73</v>
      </c>
      <c r="J1032" s="2" t="s">
        <v>74</v>
      </c>
      <c r="K1032" s="2" t="s">
        <v>38</v>
      </c>
      <c r="L1032" s="2" t="s">
        <v>38</v>
      </c>
      <c r="M1032" s="2" t="s">
        <v>38</v>
      </c>
      <c r="N1032" s="2" t="s">
        <v>38</v>
      </c>
      <c r="O1032" s="2" t="s">
        <v>38</v>
      </c>
      <c r="P1032" s="2" t="s">
        <v>38</v>
      </c>
      <c r="Q1032" s="2" t="s">
        <v>38</v>
      </c>
      <c r="R1032" s="2" t="s">
        <v>39</v>
      </c>
      <c r="S1032" s="2" t="s">
        <v>38</v>
      </c>
      <c r="T1032" s="2" t="s">
        <v>38</v>
      </c>
      <c r="U1032" s="2" t="s">
        <v>38</v>
      </c>
      <c r="V1032" s="2" t="s">
        <v>38</v>
      </c>
      <c r="W1032" s="2" t="s">
        <v>38</v>
      </c>
      <c r="X1032" s="2" t="s">
        <v>38</v>
      </c>
      <c r="Y1032" s="2" t="s">
        <v>38</v>
      </c>
      <c r="Z1032" s="2" t="s">
        <v>38</v>
      </c>
      <c r="AA1032" s="2" t="s">
        <v>38</v>
      </c>
      <c r="AB1032" s="2" t="s">
        <v>38</v>
      </c>
      <c r="AC1032" s="2" t="s">
        <v>38</v>
      </c>
      <c r="AD1032" s="2" t="s">
        <v>38</v>
      </c>
      <c r="AE1032" s="2" t="s">
        <v>40</v>
      </c>
    </row>
    <row r="1033" spans="1:31" ht="409.5">
      <c r="A1033" s="2">
        <v>2746930</v>
      </c>
      <c r="B1033" s="2">
        <f>HYPERLINK("https://platform.v2.vetology.net/cases/2746930/screening-report/1?type=pdf&amp;v=v6&amp;scorecard=1&amp;secret_key=BX%25IJ%24%2F65ieZ%29f6", 2746930)</f>
        <v>2746930</v>
      </c>
      <c r="C1033" s="2">
        <f>HYPERLINK("https://platform.v2.vetology.net/report/v/final/"&amp;2746930, 2746930)</f>
        <v>2746930</v>
      </c>
      <c r="D1033" s="2" t="s">
        <v>3462</v>
      </c>
      <c r="E1033" s="2" t="s">
        <v>3463</v>
      </c>
      <c r="F1033" s="2" t="s">
        <v>3464</v>
      </c>
      <c r="G1033" s="2" t="s">
        <v>111</v>
      </c>
      <c r="H1033" s="2" t="s">
        <v>3465</v>
      </c>
      <c r="I1033" s="2" t="s">
        <v>59</v>
      </c>
      <c r="J1033" s="2" t="s">
        <v>37</v>
      </c>
      <c r="K1033" s="2" t="s">
        <v>39</v>
      </c>
      <c r="L1033" s="2" t="s">
        <v>39</v>
      </c>
      <c r="M1033" s="2" t="s">
        <v>39</v>
      </c>
      <c r="N1033" s="2" t="s">
        <v>38</v>
      </c>
      <c r="O1033" s="2" t="s">
        <v>39</v>
      </c>
      <c r="P1033" s="2" t="s">
        <v>39</v>
      </c>
      <c r="Q1033" s="2" t="s">
        <v>39</v>
      </c>
      <c r="R1033" s="2" t="s">
        <v>38</v>
      </c>
      <c r="S1033" s="2" t="s">
        <v>38</v>
      </c>
      <c r="T1033" s="2" t="s">
        <v>38</v>
      </c>
      <c r="U1033" s="2" t="s">
        <v>39</v>
      </c>
      <c r="V1033" s="2" t="s">
        <v>38</v>
      </c>
      <c r="W1033" s="2" t="s">
        <v>38</v>
      </c>
      <c r="X1033" s="2" t="s">
        <v>39</v>
      </c>
      <c r="Y1033" s="2" t="s">
        <v>39</v>
      </c>
      <c r="Z1033" s="2" t="s">
        <v>38</v>
      </c>
      <c r="AA1033" s="2" t="s">
        <v>39</v>
      </c>
      <c r="AB1033" s="2" t="s">
        <v>39</v>
      </c>
      <c r="AC1033" s="2" t="s">
        <v>38</v>
      </c>
      <c r="AD1033" s="2" t="s">
        <v>39</v>
      </c>
      <c r="AE1033" s="2" t="s">
        <v>39</v>
      </c>
    </row>
    <row r="1034" spans="1:31" ht="409.5">
      <c r="A1034" s="2">
        <v>2746924</v>
      </c>
      <c r="B1034" s="2">
        <f>HYPERLINK("https://platform.v2.vetology.net/cases/2746924/screening-report/1?type=pdf&amp;v=v6&amp;scorecard=1&amp;secret_key=BX%25IJ%24%2F65ieZ%29f6", 2746924)</f>
        <v>2746924</v>
      </c>
      <c r="C1034" s="2">
        <f>HYPERLINK("https://platform.v2.vetology.net/report/v/final/"&amp;2746924, 2746924)</f>
        <v>2746924</v>
      </c>
      <c r="D1034" s="2" t="s">
        <v>3466</v>
      </c>
      <c r="E1034" s="2" t="s">
        <v>3467</v>
      </c>
      <c r="F1034" s="2" t="s">
        <v>3468</v>
      </c>
      <c r="G1034" s="2" t="s">
        <v>111</v>
      </c>
      <c r="H1034" s="2" t="s">
        <v>3469</v>
      </c>
      <c r="I1034" s="2" t="s">
        <v>129</v>
      </c>
      <c r="J1034" s="2" t="s">
        <v>74</v>
      </c>
      <c r="K1034" s="2" t="s">
        <v>38</v>
      </c>
      <c r="L1034" s="2" t="s">
        <v>39</v>
      </c>
      <c r="M1034" s="2" t="s">
        <v>38</v>
      </c>
      <c r="N1034" s="2" t="s">
        <v>38</v>
      </c>
      <c r="O1034" s="2" t="s">
        <v>38</v>
      </c>
      <c r="P1034" s="2" t="s">
        <v>38</v>
      </c>
      <c r="Q1034" s="2" t="s">
        <v>38</v>
      </c>
      <c r="R1034" s="2" t="s">
        <v>38</v>
      </c>
      <c r="S1034" s="2" t="s">
        <v>38</v>
      </c>
      <c r="T1034" s="2" t="s">
        <v>38</v>
      </c>
      <c r="U1034" s="2" t="s">
        <v>39</v>
      </c>
      <c r="V1034" s="2" t="s">
        <v>38</v>
      </c>
      <c r="W1034" s="2" t="s">
        <v>38</v>
      </c>
      <c r="X1034" s="2" t="s">
        <v>38</v>
      </c>
      <c r="Y1034" s="2" t="s">
        <v>38</v>
      </c>
      <c r="Z1034" s="2" t="s">
        <v>38</v>
      </c>
      <c r="AA1034" s="2" t="s">
        <v>39</v>
      </c>
      <c r="AB1034" s="2" t="s">
        <v>38</v>
      </c>
      <c r="AC1034" s="2" t="s">
        <v>38</v>
      </c>
      <c r="AD1034" s="2" t="s">
        <v>38</v>
      </c>
      <c r="AE1034" s="2" t="s">
        <v>40</v>
      </c>
    </row>
    <row r="1035" spans="1:31" ht="409.5">
      <c r="A1035" s="2">
        <v>2746893</v>
      </c>
      <c r="B1035" s="2">
        <f>HYPERLINK("https://platform.v2.vetology.net/cases/2746893/screening-report/1?type=pdf&amp;v=v6&amp;scorecard=1&amp;secret_key=BX%25IJ%24%2F65ieZ%29f6", 2746893)</f>
        <v>2746893</v>
      </c>
      <c r="C1035" s="2">
        <f>HYPERLINK("https://platform.v2.vetology.net/report/v/final/"&amp;2746893, 2746893)</f>
        <v>2746893</v>
      </c>
      <c r="D1035" s="2" t="s">
        <v>3470</v>
      </c>
      <c r="E1035" s="2" t="s">
        <v>3471</v>
      </c>
      <c r="F1035" s="2" t="s">
        <v>2082</v>
      </c>
      <c r="G1035" s="2" t="s">
        <v>170</v>
      </c>
      <c r="H1035" s="2" t="s">
        <v>3472</v>
      </c>
      <c r="I1035" s="2" t="s">
        <v>36</v>
      </c>
      <c r="J1035" s="2" t="s">
        <v>37</v>
      </c>
      <c r="K1035" s="2" t="s">
        <v>38</v>
      </c>
      <c r="L1035" s="2" t="s">
        <v>38</v>
      </c>
      <c r="M1035" s="2" t="s">
        <v>39</v>
      </c>
      <c r="N1035" s="2" t="s">
        <v>39</v>
      </c>
      <c r="O1035" s="2" t="s">
        <v>38</v>
      </c>
      <c r="P1035" s="2" t="s">
        <v>39</v>
      </c>
      <c r="Q1035" s="2" t="s">
        <v>39</v>
      </c>
      <c r="R1035" s="2" t="s">
        <v>38</v>
      </c>
      <c r="S1035" s="2" t="s">
        <v>39</v>
      </c>
      <c r="T1035" s="2" t="s">
        <v>39</v>
      </c>
      <c r="U1035" s="2" t="s">
        <v>38</v>
      </c>
      <c r="V1035" s="2" t="s">
        <v>38</v>
      </c>
      <c r="W1035" s="2" t="s">
        <v>39</v>
      </c>
      <c r="X1035" s="2" t="s">
        <v>39</v>
      </c>
      <c r="Y1035" s="2" t="s">
        <v>39</v>
      </c>
      <c r="Z1035" s="2" t="s">
        <v>38</v>
      </c>
      <c r="AA1035" s="2" t="s">
        <v>38</v>
      </c>
      <c r="AB1035" s="2" t="s">
        <v>39</v>
      </c>
      <c r="AC1035" s="2" t="s">
        <v>38</v>
      </c>
      <c r="AD1035" s="2" t="s">
        <v>39</v>
      </c>
      <c r="AE1035" s="2" t="s">
        <v>39</v>
      </c>
    </row>
    <row r="1036" spans="1:31" ht="409.5">
      <c r="A1036" s="2">
        <v>2746876</v>
      </c>
      <c r="B1036" s="2">
        <f>HYPERLINK("https://platform.v2.vetology.net/cases/2746876/screening-report/1?type=pdf&amp;v=v6&amp;scorecard=1&amp;secret_key=BX%25IJ%24%2F65ieZ%29f6", 2746876)</f>
        <v>2746876</v>
      </c>
      <c r="C1036" s="2">
        <f>HYPERLINK("https://platform.v2.vetology.net/report/v/final/"&amp;2746876, 2746876)</f>
        <v>2746876</v>
      </c>
      <c r="D1036" s="2" t="s">
        <v>3473</v>
      </c>
      <c r="E1036" s="2" t="s">
        <v>3474</v>
      </c>
      <c r="F1036" s="2" t="s">
        <v>3475</v>
      </c>
      <c r="G1036" s="2" t="s">
        <v>53</v>
      </c>
      <c r="H1036" s="2" t="s">
        <v>3476</v>
      </c>
      <c r="I1036" s="2" t="s">
        <v>73</v>
      </c>
      <c r="J1036" s="2" t="s">
        <v>74</v>
      </c>
      <c r="K1036" s="2" t="s">
        <v>38</v>
      </c>
      <c r="L1036" s="2" t="s">
        <v>39</v>
      </c>
      <c r="M1036" s="2" t="s">
        <v>38</v>
      </c>
      <c r="N1036" s="2" t="s">
        <v>38</v>
      </c>
      <c r="O1036" s="2" t="s">
        <v>38</v>
      </c>
      <c r="P1036" s="2" t="s">
        <v>38</v>
      </c>
      <c r="Q1036" s="2" t="s">
        <v>38</v>
      </c>
      <c r="R1036" s="2" t="s">
        <v>39</v>
      </c>
      <c r="S1036" s="2" t="s">
        <v>38</v>
      </c>
      <c r="T1036" s="2" t="s">
        <v>38</v>
      </c>
      <c r="U1036" s="2" t="s">
        <v>38</v>
      </c>
      <c r="V1036" s="2" t="s">
        <v>38</v>
      </c>
      <c r="W1036" s="2" t="s">
        <v>38</v>
      </c>
      <c r="X1036" s="2" t="s">
        <v>38</v>
      </c>
      <c r="Y1036" s="2" t="s">
        <v>38</v>
      </c>
      <c r="Z1036" s="2" t="s">
        <v>38</v>
      </c>
      <c r="AA1036" s="2" t="s">
        <v>39</v>
      </c>
      <c r="AB1036" s="2" t="s">
        <v>38</v>
      </c>
      <c r="AC1036" s="2" t="s">
        <v>38</v>
      </c>
      <c r="AD1036" s="2" t="s">
        <v>38</v>
      </c>
      <c r="AE1036" s="2" t="s">
        <v>40</v>
      </c>
    </row>
    <row r="1037" spans="1:31" ht="409.5">
      <c r="A1037" s="2">
        <v>2746859</v>
      </c>
      <c r="B1037" s="2">
        <f>HYPERLINK("https://platform.v2.vetology.net/cases/2746859/screening-report/1?type=pdf&amp;v=v6&amp;scorecard=1&amp;secret_key=BX%25IJ%24%2F65ieZ%29f6", 2746859)</f>
        <v>2746859</v>
      </c>
      <c r="C1037" s="2">
        <f>HYPERLINK("https://platform.v2.vetology.net/report/v/final/"&amp;2746859, 2746859)</f>
        <v>2746859</v>
      </c>
      <c r="D1037" s="2" t="s">
        <v>3477</v>
      </c>
      <c r="E1037" s="2" t="s">
        <v>3478</v>
      </c>
      <c r="F1037" s="2" t="s">
        <v>3479</v>
      </c>
      <c r="G1037" s="2" t="s">
        <v>415</v>
      </c>
      <c r="H1037" s="2" t="s">
        <v>394</v>
      </c>
      <c r="I1037" s="2" t="s">
        <v>59</v>
      </c>
      <c r="J1037" s="2" t="s">
        <v>37</v>
      </c>
      <c r="K1037" s="2" t="s">
        <v>38</v>
      </c>
      <c r="L1037" s="2" t="s">
        <v>39</v>
      </c>
      <c r="M1037" s="2" t="s">
        <v>39</v>
      </c>
      <c r="N1037" s="2" t="s">
        <v>39</v>
      </c>
      <c r="O1037" s="2" t="s">
        <v>39</v>
      </c>
      <c r="P1037" s="2" t="s">
        <v>39</v>
      </c>
      <c r="Q1037" s="2" t="s">
        <v>39</v>
      </c>
      <c r="R1037" s="2" t="s">
        <v>39</v>
      </c>
      <c r="S1037" s="2" t="s">
        <v>39</v>
      </c>
      <c r="T1037" s="2" t="s">
        <v>39</v>
      </c>
      <c r="U1037" s="2" t="s">
        <v>39</v>
      </c>
      <c r="V1037" s="2" t="s">
        <v>38</v>
      </c>
      <c r="W1037" s="2" t="s">
        <v>39</v>
      </c>
      <c r="X1037" s="2" t="s">
        <v>39</v>
      </c>
      <c r="Y1037" s="2" t="s">
        <v>39</v>
      </c>
      <c r="Z1037" s="2" t="s">
        <v>39</v>
      </c>
      <c r="AA1037" s="2" t="s">
        <v>39</v>
      </c>
      <c r="AB1037" s="2" t="s">
        <v>39</v>
      </c>
      <c r="AC1037" s="2" t="s">
        <v>39</v>
      </c>
      <c r="AD1037" s="2" t="s">
        <v>39</v>
      </c>
      <c r="AE1037" s="2" t="s">
        <v>39</v>
      </c>
    </row>
    <row r="1038" spans="1:31" ht="409.5">
      <c r="A1038" s="2">
        <v>2746830</v>
      </c>
      <c r="B1038" s="2">
        <f>HYPERLINK("https://platform.v2.vetology.net/cases/2746830/screening-report/1?type=pdf&amp;v=v6&amp;scorecard=1&amp;secret_key=BX%25IJ%24%2F65ieZ%29f6", 2746830)</f>
        <v>2746830</v>
      </c>
      <c r="C1038" s="2">
        <f>HYPERLINK("https://platform.v2.vetology.net/report/v/final/"&amp;2746830, 2746830)</f>
        <v>2746830</v>
      </c>
      <c r="D1038" s="2" t="s">
        <v>3480</v>
      </c>
      <c r="E1038" s="2" t="s">
        <v>3481</v>
      </c>
      <c r="F1038" s="2" t="s">
        <v>3482</v>
      </c>
      <c r="G1038" s="2" t="s">
        <v>53</v>
      </c>
      <c r="H1038" s="2" t="s">
        <v>3035</v>
      </c>
      <c r="I1038" s="2" t="s">
        <v>36</v>
      </c>
      <c r="J1038" s="2" t="s">
        <v>37</v>
      </c>
      <c r="K1038" s="2" t="s">
        <v>39</v>
      </c>
      <c r="L1038" s="2" t="s">
        <v>39</v>
      </c>
      <c r="M1038" s="2" t="s">
        <v>38</v>
      </c>
      <c r="N1038" s="2" t="s">
        <v>39</v>
      </c>
      <c r="O1038" s="2" t="s">
        <v>38</v>
      </c>
      <c r="P1038" s="2" t="s">
        <v>39</v>
      </c>
      <c r="Q1038" s="2" t="s">
        <v>39</v>
      </c>
      <c r="R1038" s="2" t="s">
        <v>38</v>
      </c>
      <c r="S1038" s="2" t="s">
        <v>39</v>
      </c>
      <c r="T1038" s="2" t="s">
        <v>39</v>
      </c>
      <c r="U1038" s="2" t="s">
        <v>39</v>
      </c>
      <c r="V1038" s="2" t="s">
        <v>39</v>
      </c>
      <c r="W1038" s="2" t="s">
        <v>39</v>
      </c>
      <c r="X1038" s="2" t="s">
        <v>39</v>
      </c>
      <c r="Y1038" s="2" t="s">
        <v>39</v>
      </c>
      <c r="Z1038" s="2" t="s">
        <v>39</v>
      </c>
      <c r="AA1038" s="2" t="s">
        <v>39</v>
      </c>
      <c r="AB1038" s="2" t="s">
        <v>39</v>
      </c>
      <c r="AC1038" s="2" t="s">
        <v>38</v>
      </c>
      <c r="AD1038" s="2" t="s">
        <v>39</v>
      </c>
      <c r="AE1038" s="2" t="s">
        <v>40</v>
      </c>
    </row>
    <row r="1039" spans="1:31" ht="409.5">
      <c r="A1039" s="2">
        <v>2746826</v>
      </c>
      <c r="B1039" s="2">
        <f>HYPERLINK("https://platform.v2.vetology.net/cases/2746826/screening-report/1?type=pdf&amp;v=v6&amp;scorecard=1&amp;secret_key=BX%25IJ%24%2F65ieZ%29f6", 2746826)</f>
        <v>2746826</v>
      </c>
      <c r="C1039" s="2">
        <f>HYPERLINK("https://platform.v2.vetology.net/report/v/final/"&amp;2746826, 2746826)</f>
        <v>2746826</v>
      </c>
      <c r="D1039" s="2" t="s">
        <v>3483</v>
      </c>
      <c r="E1039" s="2" t="s">
        <v>3484</v>
      </c>
      <c r="F1039" s="2" t="s">
        <v>43</v>
      </c>
      <c r="G1039" s="2" t="s">
        <v>507</v>
      </c>
      <c r="H1039" s="2" t="s">
        <v>3485</v>
      </c>
      <c r="I1039" s="2" t="s">
        <v>73</v>
      </c>
      <c r="J1039" s="2" t="s">
        <v>74</v>
      </c>
      <c r="K1039" s="2" t="s">
        <v>38</v>
      </c>
      <c r="L1039" s="2" t="s">
        <v>38</v>
      </c>
      <c r="M1039" s="2" t="s">
        <v>38</v>
      </c>
      <c r="N1039" s="2" t="s">
        <v>38</v>
      </c>
      <c r="O1039" s="2" t="s">
        <v>38</v>
      </c>
      <c r="P1039" s="2" t="s">
        <v>38</v>
      </c>
      <c r="Q1039" s="2" t="s">
        <v>38</v>
      </c>
      <c r="R1039" s="2" t="s">
        <v>38</v>
      </c>
      <c r="S1039" s="2" t="s">
        <v>38</v>
      </c>
      <c r="T1039" s="2" t="s">
        <v>38</v>
      </c>
      <c r="U1039" s="2" t="s">
        <v>38</v>
      </c>
      <c r="V1039" s="2" t="s">
        <v>38</v>
      </c>
      <c r="W1039" s="2" t="s">
        <v>38</v>
      </c>
      <c r="X1039" s="2" t="s">
        <v>38</v>
      </c>
      <c r="Y1039" s="2" t="s">
        <v>39</v>
      </c>
      <c r="Z1039" s="2" t="s">
        <v>38</v>
      </c>
      <c r="AA1039" s="2" t="s">
        <v>38</v>
      </c>
      <c r="AB1039" s="2" t="s">
        <v>38</v>
      </c>
      <c r="AC1039" s="2" t="s">
        <v>38</v>
      </c>
      <c r="AD1039" s="2" t="s">
        <v>38</v>
      </c>
      <c r="AE1039" s="2" t="s">
        <v>40</v>
      </c>
    </row>
    <row r="1040" spans="1:31" ht="409.5">
      <c r="A1040" s="2">
        <v>2746746</v>
      </c>
      <c r="B1040" s="2">
        <f>HYPERLINK("https://platform.v2.vetology.net/cases/2746746/screening-report/1?type=pdf&amp;v=v6&amp;scorecard=1&amp;secret_key=BX%25IJ%24%2F65ieZ%29f6", 2746746)</f>
        <v>2746746</v>
      </c>
      <c r="C1040" s="2">
        <f>HYPERLINK("https://platform.v2.vetology.net/report/v/final/"&amp;2746746, 2746746)</f>
        <v>2746746</v>
      </c>
      <c r="D1040" s="2" t="s">
        <v>3486</v>
      </c>
      <c r="E1040" s="2" t="s">
        <v>3487</v>
      </c>
      <c r="F1040" s="2" t="s">
        <v>3488</v>
      </c>
      <c r="G1040" s="2" t="s">
        <v>44</v>
      </c>
      <c r="H1040" s="2" t="s">
        <v>69</v>
      </c>
      <c r="I1040" s="2" t="s">
        <v>46</v>
      </c>
      <c r="J1040" s="2"/>
      <c r="K1040" s="2" t="s">
        <v>39</v>
      </c>
      <c r="L1040" s="2" t="s">
        <v>39</v>
      </c>
      <c r="M1040" s="2" t="s">
        <v>39</v>
      </c>
      <c r="N1040" s="2" t="s">
        <v>39</v>
      </c>
      <c r="O1040" s="2" t="s">
        <v>39</v>
      </c>
      <c r="P1040" s="2" t="s">
        <v>39</v>
      </c>
      <c r="Q1040" s="2" t="s">
        <v>39</v>
      </c>
      <c r="R1040" s="2" t="s">
        <v>39</v>
      </c>
      <c r="S1040" s="2" t="s">
        <v>39</v>
      </c>
      <c r="T1040" s="2" t="s">
        <v>39</v>
      </c>
      <c r="U1040" s="2" t="s">
        <v>39</v>
      </c>
      <c r="V1040" s="2" t="s">
        <v>39</v>
      </c>
      <c r="W1040" s="2" t="s">
        <v>39</v>
      </c>
      <c r="X1040" s="2" t="s">
        <v>39</v>
      </c>
      <c r="Y1040" s="2" t="s">
        <v>39</v>
      </c>
      <c r="Z1040" s="2" t="s">
        <v>39</v>
      </c>
      <c r="AA1040" s="2" t="s">
        <v>39</v>
      </c>
      <c r="AB1040" s="2" t="s">
        <v>39</v>
      </c>
      <c r="AC1040" s="2" t="s">
        <v>39</v>
      </c>
      <c r="AD1040" s="2" t="s">
        <v>39</v>
      </c>
      <c r="AE1040" s="2" t="s">
        <v>40</v>
      </c>
    </row>
    <row r="1041" spans="1:31" ht="409.5">
      <c r="A1041" s="2">
        <v>2746739</v>
      </c>
      <c r="B1041" s="2">
        <f>HYPERLINK("https://platform.v2.vetology.net/cases/2746739/screening-report/1?type=pdf&amp;v=v6&amp;scorecard=1&amp;secret_key=BX%25IJ%24%2F65ieZ%29f6", 2746739)</f>
        <v>2746739</v>
      </c>
      <c r="C1041" s="2">
        <f>HYPERLINK("https://platform.v2.vetology.net/report/v/final/"&amp;2746739, 2746739)</f>
        <v>2746739</v>
      </c>
      <c r="D1041" s="2" t="s">
        <v>3489</v>
      </c>
      <c r="E1041" s="2" t="s">
        <v>3490</v>
      </c>
      <c r="F1041" s="2" t="s">
        <v>3491</v>
      </c>
      <c r="G1041" s="2" t="s">
        <v>170</v>
      </c>
      <c r="H1041" s="2" t="s">
        <v>66</v>
      </c>
      <c r="I1041" s="2" t="s">
        <v>36</v>
      </c>
      <c r="J1041" s="2" t="s">
        <v>37</v>
      </c>
      <c r="K1041" s="2" t="s">
        <v>39</v>
      </c>
      <c r="L1041" s="2" t="s">
        <v>39</v>
      </c>
      <c r="M1041" s="2" t="s">
        <v>38</v>
      </c>
      <c r="N1041" s="2" t="s">
        <v>39</v>
      </c>
      <c r="O1041" s="2" t="s">
        <v>39</v>
      </c>
      <c r="P1041" s="2" t="s">
        <v>39</v>
      </c>
      <c r="Q1041" s="2" t="s">
        <v>39</v>
      </c>
      <c r="R1041" s="2" t="s">
        <v>39</v>
      </c>
      <c r="S1041" s="2" t="s">
        <v>39</v>
      </c>
      <c r="T1041" s="2" t="s">
        <v>39</v>
      </c>
      <c r="U1041" s="2" t="s">
        <v>39</v>
      </c>
      <c r="V1041" s="2" t="s">
        <v>39</v>
      </c>
      <c r="W1041" s="2" t="s">
        <v>39</v>
      </c>
      <c r="X1041" s="2" t="s">
        <v>39</v>
      </c>
      <c r="Y1041" s="2" t="s">
        <v>39</v>
      </c>
      <c r="Z1041" s="2" t="s">
        <v>39</v>
      </c>
      <c r="AA1041" s="2" t="s">
        <v>39</v>
      </c>
      <c r="AB1041" s="2" t="s">
        <v>39</v>
      </c>
      <c r="AC1041" s="2" t="s">
        <v>38</v>
      </c>
      <c r="AD1041" s="2" t="s">
        <v>39</v>
      </c>
      <c r="AE1041" s="2"/>
    </row>
    <row r="1042" spans="1:31" ht="409.5">
      <c r="A1042" s="2">
        <v>2746728</v>
      </c>
      <c r="B1042" s="2">
        <f>HYPERLINK("https://platform.v2.vetology.net/cases/2746728/screening-report/1?type=pdf&amp;v=v6&amp;scorecard=1&amp;secret_key=BX%25IJ%24%2F65ieZ%29f6", 2746728)</f>
        <v>2746728</v>
      </c>
      <c r="C1042" s="2">
        <f>HYPERLINK("https://platform.v2.vetology.net/report/v/final/"&amp;2746728, 2746728)</f>
        <v>2746728</v>
      </c>
      <c r="D1042" s="2" t="s">
        <v>3492</v>
      </c>
      <c r="E1042" s="2" t="s">
        <v>3493</v>
      </c>
      <c r="F1042" s="2" t="s">
        <v>1043</v>
      </c>
      <c r="G1042" s="2" t="s">
        <v>251</v>
      </c>
      <c r="H1042" s="2" t="s">
        <v>45</v>
      </c>
      <c r="I1042" s="2" t="s">
        <v>46</v>
      </c>
      <c r="J1042" s="2"/>
      <c r="K1042" s="2" t="s">
        <v>39</v>
      </c>
      <c r="L1042" s="2" t="s">
        <v>39</v>
      </c>
      <c r="M1042" s="2" t="s">
        <v>39</v>
      </c>
      <c r="N1042" s="2" t="s">
        <v>39</v>
      </c>
      <c r="O1042" s="2" t="s">
        <v>38</v>
      </c>
      <c r="P1042" s="2" t="s">
        <v>39</v>
      </c>
      <c r="Q1042" s="2" t="s">
        <v>39</v>
      </c>
      <c r="R1042" s="2" t="s">
        <v>38</v>
      </c>
      <c r="S1042" s="2" t="s">
        <v>39</v>
      </c>
      <c r="T1042" s="2" t="s">
        <v>39</v>
      </c>
      <c r="U1042" s="2" t="s">
        <v>39</v>
      </c>
      <c r="V1042" s="2" t="s">
        <v>39</v>
      </c>
      <c r="W1042" s="2" t="s">
        <v>38</v>
      </c>
      <c r="X1042" s="2" t="s">
        <v>39</v>
      </c>
      <c r="Y1042" s="2" t="s">
        <v>39</v>
      </c>
      <c r="Z1042" s="2" t="s">
        <v>38</v>
      </c>
      <c r="AA1042" s="2" t="s">
        <v>39</v>
      </c>
      <c r="AB1042" s="2" t="s">
        <v>39</v>
      </c>
      <c r="AC1042" s="2" t="s">
        <v>38</v>
      </c>
      <c r="AD1042" s="2" t="s">
        <v>38</v>
      </c>
      <c r="AE1042" s="2" t="s">
        <v>39</v>
      </c>
    </row>
    <row r="1043" spans="1:31" ht="409.5">
      <c r="A1043" s="2">
        <v>2746716</v>
      </c>
      <c r="B1043" s="2">
        <f>HYPERLINK("https://platform.v2.vetology.net/cases/2746716/screening-report/1?type=pdf&amp;v=v6&amp;scorecard=1&amp;secret_key=BX%25IJ%24%2F65ieZ%29f6", 2746716)</f>
        <v>2746716</v>
      </c>
      <c r="C1043" s="2">
        <f>HYPERLINK("https://platform.v2.vetology.net/report/v/final/"&amp;2746716, 2746716)</f>
        <v>2746716</v>
      </c>
      <c r="D1043" s="2" t="s">
        <v>302</v>
      </c>
      <c r="E1043" s="2" t="s">
        <v>99</v>
      </c>
      <c r="F1043" s="2"/>
      <c r="G1043" s="2" t="s">
        <v>100</v>
      </c>
      <c r="H1043" s="2" t="s">
        <v>45</v>
      </c>
      <c r="I1043" s="2" t="s">
        <v>46</v>
      </c>
      <c r="J1043" s="2"/>
      <c r="K1043" s="2" t="s">
        <v>39</v>
      </c>
      <c r="L1043" s="2" t="s">
        <v>39</v>
      </c>
      <c r="M1043" s="2" t="s">
        <v>39</v>
      </c>
      <c r="N1043" s="2" t="s">
        <v>39</v>
      </c>
      <c r="O1043" s="2" t="s">
        <v>39</v>
      </c>
      <c r="P1043" s="2" t="s">
        <v>39</v>
      </c>
      <c r="Q1043" s="2" t="s">
        <v>39</v>
      </c>
      <c r="R1043" s="2" t="s">
        <v>38</v>
      </c>
      <c r="S1043" s="2" t="s">
        <v>39</v>
      </c>
      <c r="T1043" s="2" t="s">
        <v>39</v>
      </c>
      <c r="U1043" s="2" t="s">
        <v>39</v>
      </c>
      <c r="V1043" s="2" t="s">
        <v>38</v>
      </c>
      <c r="W1043" s="2" t="s">
        <v>38</v>
      </c>
      <c r="X1043" s="2" t="s">
        <v>39</v>
      </c>
      <c r="Y1043" s="2" t="s">
        <v>39</v>
      </c>
      <c r="Z1043" s="2" t="s">
        <v>38</v>
      </c>
      <c r="AA1043" s="2" t="s">
        <v>39</v>
      </c>
      <c r="AB1043" s="2" t="s">
        <v>39</v>
      </c>
      <c r="AC1043" s="2" t="s">
        <v>38</v>
      </c>
      <c r="AD1043" s="2" t="s">
        <v>39</v>
      </c>
      <c r="AE1043" s="2" t="s">
        <v>39</v>
      </c>
    </row>
    <row r="1044" spans="1:31" ht="409.5">
      <c r="A1044" s="2">
        <v>2746715</v>
      </c>
      <c r="B1044" s="2">
        <f>HYPERLINK("https://platform.v2.vetology.net/cases/2746715/screening-report/1?type=pdf&amp;v=v6&amp;scorecard=1&amp;secret_key=BX%25IJ%24%2F65ieZ%29f6", 2746715)</f>
        <v>2746715</v>
      </c>
      <c r="C1044" s="2">
        <f>HYPERLINK("https://platform.v2.vetology.net/report/v/final/"&amp;2746715, 2746715)</f>
        <v>2746715</v>
      </c>
      <c r="D1044" s="2" t="s">
        <v>3494</v>
      </c>
      <c r="E1044" s="2" t="s">
        <v>3495</v>
      </c>
      <c r="F1044" s="2" t="s">
        <v>3496</v>
      </c>
      <c r="G1044" s="2" t="s">
        <v>44</v>
      </c>
      <c r="H1044" s="2" t="s">
        <v>3497</v>
      </c>
      <c r="I1044" s="2" t="s">
        <v>59</v>
      </c>
      <c r="J1044" s="2" t="s">
        <v>37</v>
      </c>
      <c r="K1044" s="2" t="s">
        <v>38</v>
      </c>
      <c r="L1044" s="2" t="s">
        <v>38</v>
      </c>
      <c r="M1044" s="2" t="s">
        <v>39</v>
      </c>
      <c r="N1044" s="2" t="s">
        <v>39</v>
      </c>
      <c r="O1044" s="2" t="s">
        <v>39</v>
      </c>
      <c r="P1044" s="2" t="s">
        <v>39</v>
      </c>
      <c r="Q1044" s="2" t="s">
        <v>39</v>
      </c>
      <c r="R1044" s="2" t="s">
        <v>38</v>
      </c>
      <c r="S1044" s="2" t="s">
        <v>38</v>
      </c>
      <c r="T1044" s="2" t="s">
        <v>39</v>
      </c>
      <c r="U1044" s="2" t="s">
        <v>38</v>
      </c>
      <c r="V1044" s="2" t="s">
        <v>38</v>
      </c>
      <c r="W1044" s="2" t="s">
        <v>39</v>
      </c>
      <c r="X1044" s="2" t="s">
        <v>39</v>
      </c>
      <c r="Y1044" s="2" t="s">
        <v>39</v>
      </c>
      <c r="Z1044" s="2" t="s">
        <v>39</v>
      </c>
      <c r="AA1044" s="2" t="s">
        <v>38</v>
      </c>
      <c r="AB1044" s="2" t="s">
        <v>39</v>
      </c>
      <c r="AC1044" s="2" t="s">
        <v>38</v>
      </c>
      <c r="AD1044" s="2" t="s">
        <v>38</v>
      </c>
      <c r="AE1044" s="2" t="s">
        <v>39</v>
      </c>
    </row>
    <row r="1045" spans="1:31" ht="409.5">
      <c r="A1045" s="2">
        <v>2746690</v>
      </c>
      <c r="B1045" s="2">
        <f>HYPERLINK("https://platform.v2.vetology.net/cases/2746690/screening-report/1?type=pdf&amp;v=v6&amp;scorecard=1&amp;secret_key=BX%25IJ%24%2F65ieZ%29f6", 2746690)</f>
        <v>2746690</v>
      </c>
      <c r="C1045" s="2">
        <f>HYPERLINK("https://platform.v2.vetology.net/report/v/final/"&amp;2746690, 2746690)</f>
        <v>2746690</v>
      </c>
      <c r="D1045" s="2" t="s">
        <v>3498</v>
      </c>
      <c r="E1045" s="2" t="s">
        <v>3499</v>
      </c>
      <c r="F1045" s="2" t="s">
        <v>3500</v>
      </c>
      <c r="G1045" s="2" t="s">
        <v>170</v>
      </c>
      <c r="H1045" s="2" t="s">
        <v>3501</v>
      </c>
      <c r="I1045" s="2" t="s">
        <v>36</v>
      </c>
      <c r="J1045" s="2" t="s">
        <v>37</v>
      </c>
      <c r="K1045" s="2" t="s">
        <v>38</v>
      </c>
      <c r="L1045" s="2" t="s">
        <v>38</v>
      </c>
      <c r="M1045" s="2" t="s">
        <v>38</v>
      </c>
      <c r="N1045" s="2" t="s">
        <v>38</v>
      </c>
      <c r="O1045" s="2" t="s">
        <v>38</v>
      </c>
      <c r="P1045" s="2" t="s">
        <v>39</v>
      </c>
      <c r="Q1045" s="2" t="s">
        <v>38</v>
      </c>
      <c r="R1045" s="2" t="s">
        <v>38</v>
      </c>
      <c r="S1045" s="2" t="s">
        <v>38</v>
      </c>
      <c r="T1045" s="2" t="s">
        <v>38</v>
      </c>
      <c r="U1045" s="2" t="s">
        <v>38</v>
      </c>
      <c r="V1045" s="2" t="s">
        <v>38</v>
      </c>
      <c r="W1045" s="2" t="s">
        <v>38</v>
      </c>
      <c r="X1045" s="2" t="s">
        <v>38</v>
      </c>
      <c r="Y1045" s="2" t="s">
        <v>38</v>
      </c>
      <c r="Z1045" s="2" t="s">
        <v>38</v>
      </c>
      <c r="AA1045" s="2" t="s">
        <v>38</v>
      </c>
      <c r="AB1045" s="2" t="s">
        <v>39</v>
      </c>
      <c r="AC1045" s="2" t="s">
        <v>38</v>
      </c>
      <c r="AD1045" s="2" t="s">
        <v>38</v>
      </c>
      <c r="AE1045" s="2"/>
    </row>
    <row r="1046" spans="1:31" ht="409.5">
      <c r="A1046" s="2">
        <v>2746628</v>
      </c>
      <c r="B1046" s="2">
        <f>HYPERLINK("https://platform.v2.vetology.net/cases/2746628/screening-report/1?type=pdf&amp;v=v6&amp;scorecard=1&amp;secret_key=BX%25IJ%24%2F65ieZ%29f6", 2746628)</f>
        <v>2746628</v>
      </c>
      <c r="C1046" s="2">
        <f>HYPERLINK("https://platform.v2.vetology.net/report/v/final/"&amp;2746628, 2746628)</f>
        <v>2746628</v>
      </c>
      <c r="D1046" s="2" t="s">
        <v>3502</v>
      </c>
      <c r="E1046" s="2" t="s">
        <v>3503</v>
      </c>
      <c r="F1046" s="2" t="s">
        <v>3504</v>
      </c>
      <c r="G1046" s="2" t="s">
        <v>170</v>
      </c>
      <c r="H1046" s="2" t="s">
        <v>394</v>
      </c>
      <c r="I1046" s="2" t="s">
        <v>59</v>
      </c>
      <c r="J1046" s="2" t="s">
        <v>37</v>
      </c>
      <c r="K1046" s="2" t="s">
        <v>38</v>
      </c>
      <c r="L1046" s="2" t="s">
        <v>39</v>
      </c>
      <c r="M1046" s="2" t="s">
        <v>39</v>
      </c>
      <c r="N1046" s="2" t="s">
        <v>39</v>
      </c>
      <c r="O1046" s="2" t="s">
        <v>39</v>
      </c>
      <c r="P1046" s="2" t="s">
        <v>39</v>
      </c>
      <c r="Q1046" s="2" t="s">
        <v>39</v>
      </c>
      <c r="R1046" s="2" t="s">
        <v>39</v>
      </c>
      <c r="S1046" s="2" t="s">
        <v>39</v>
      </c>
      <c r="T1046" s="2" t="s">
        <v>39</v>
      </c>
      <c r="U1046" s="2" t="s">
        <v>39</v>
      </c>
      <c r="V1046" s="2" t="s">
        <v>38</v>
      </c>
      <c r="W1046" s="2" t="s">
        <v>39</v>
      </c>
      <c r="X1046" s="2" t="s">
        <v>39</v>
      </c>
      <c r="Y1046" s="2" t="s">
        <v>39</v>
      </c>
      <c r="Z1046" s="2" t="s">
        <v>39</v>
      </c>
      <c r="AA1046" s="2" t="s">
        <v>39</v>
      </c>
      <c r="AB1046" s="2" t="s">
        <v>39</v>
      </c>
      <c r="AC1046" s="2" t="s">
        <v>39</v>
      </c>
      <c r="AD1046" s="2" t="s">
        <v>39</v>
      </c>
      <c r="AE1046" s="2" t="s">
        <v>39</v>
      </c>
    </row>
    <row r="1047" spans="1:31" ht="409.5">
      <c r="A1047" s="2">
        <v>2746525</v>
      </c>
      <c r="B1047" s="2">
        <f>HYPERLINK("https://platform.v2.vetology.net/cases/2746525/screening-report/1?type=pdf&amp;v=v6&amp;scorecard=1&amp;secret_key=BX%25IJ%24%2F65ieZ%29f6", 2746525)</f>
        <v>2746525</v>
      </c>
      <c r="C1047" s="2">
        <f>HYPERLINK("https://platform.v2.vetology.net/report/v/final/"&amp;2746525, 2746525)</f>
        <v>2746525</v>
      </c>
      <c r="D1047" s="2" t="s">
        <v>3505</v>
      </c>
      <c r="E1047" s="2" t="s">
        <v>3506</v>
      </c>
      <c r="F1047" s="2" t="s">
        <v>43</v>
      </c>
      <c r="G1047" s="2" t="s">
        <v>100</v>
      </c>
      <c r="H1047" s="2" t="s">
        <v>1669</v>
      </c>
      <c r="I1047" s="2" t="s">
        <v>46</v>
      </c>
      <c r="J1047" s="2"/>
      <c r="K1047" s="2" t="s">
        <v>39</v>
      </c>
      <c r="L1047" s="2" t="s">
        <v>39</v>
      </c>
      <c r="M1047" s="2" t="s">
        <v>39</v>
      </c>
      <c r="N1047" s="2" t="s">
        <v>39</v>
      </c>
      <c r="O1047" s="2" t="s">
        <v>39</v>
      </c>
      <c r="P1047" s="2" t="s">
        <v>38</v>
      </c>
      <c r="Q1047" s="2" t="s">
        <v>38</v>
      </c>
      <c r="R1047" s="2" t="s">
        <v>39</v>
      </c>
      <c r="S1047" s="2" t="s">
        <v>39</v>
      </c>
      <c r="T1047" s="2" t="s">
        <v>38</v>
      </c>
      <c r="U1047" s="2" t="s">
        <v>39</v>
      </c>
      <c r="V1047" s="2" t="s">
        <v>39</v>
      </c>
      <c r="W1047" s="2" t="s">
        <v>38</v>
      </c>
      <c r="X1047" s="2" t="s">
        <v>39</v>
      </c>
      <c r="Y1047" s="2" t="s">
        <v>39</v>
      </c>
      <c r="Z1047" s="2" t="s">
        <v>39</v>
      </c>
      <c r="AA1047" s="2" t="s">
        <v>39</v>
      </c>
      <c r="AB1047" s="2" t="s">
        <v>39</v>
      </c>
      <c r="AC1047" s="2" t="s">
        <v>39</v>
      </c>
      <c r="AD1047" s="2" t="s">
        <v>39</v>
      </c>
      <c r="AE1047" s="2" t="s">
        <v>39</v>
      </c>
    </row>
    <row r="1048" spans="1:31" ht="409.5">
      <c r="A1048" s="2">
        <v>2746519</v>
      </c>
      <c r="B1048" s="2">
        <f>HYPERLINK("https://platform.v2.vetology.net/cases/2746519/screening-report/1?type=pdf&amp;v=v6&amp;scorecard=1&amp;secret_key=BX%25IJ%24%2F65ieZ%29f6", 2746519)</f>
        <v>2746519</v>
      </c>
      <c r="C1048" s="2">
        <f>HYPERLINK("https://platform.v2.vetology.net/report/v/final/"&amp;2746519, 2746519)</f>
        <v>2746519</v>
      </c>
      <c r="D1048" s="2" t="s">
        <v>3507</v>
      </c>
      <c r="E1048" s="2" t="s">
        <v>3508</v>
      </c>
      <c r="F1048" s="2" t="s">
        <v>3509</v>
      </c>
      <c r="G1048" s="2" t="s">
        <v>44</v>
      </c>
      <c r="H1048" s="2" t="s">
        <v>2034</v>
      </c>
      <c r="I1048" s="2" t="s">
        <v>36</v>
      </c>
      <c r="J1048" s="2" t="s">
        <v>37</v>
      </c>
      <c r="K1048" s="2" t="s">
        <v>38</v>
      </c>
      <c r="L1048" s="2" t="s">
        <v>38</v>
      </c>
      <c r="M1048" s="2" t="s">
        <v>39</v>
      </c>
      <c r="N1048" s="2" t="s">
        <v>38</v>
      </c>
      <c r="O1048" s="2" t="s">
        <v>39</v>
      </c>
      <c r="P1048" s="2" t="s">
        <v>39</v>
      </c>
      <c r="Q1048" s="2" t="s">
        <v>39</v>
      </c>
      <c r="R1048" s="2" t="s">
        <v>39</v>
      </c>
      <c r="S1048" s="2" t="s">
        <v>39</v>
      </c>
      <c r="T1048" s="2" t="s">
        <v>39</v>
      </c>
      <c r="U1048" s="2" t="s">
        <v>38</v>
      </c>
      <c r="V1048" s="2" t="s">
        <v>38</v>
      </c>
      <c r="W1048" s="2" t="s">
        <v>38</v>
      </c>
      <c r="X1048" s="2" t="s">
        <v>39</v>
      </c>
      <c r="Y1048" s="2" t="s">
        <v>39</v>
      </c>
      <c r="Z1048" s="2" t="s">
        <v>39</v>
      </c>
      <c r="AA1048" s="2" t="s">
        <v>39</v>
      </c>
      <c r="AB1048" s="2" t="s">
        <v>39</v>
      </c>
      <c r="AC1048" s="2" t="s">
        <v>38</v>
      </c>
      <c r="AD1048" s="2" t="s">
        <v>38</v>
      </c>
      <c r="AE1048" s="2" t="s">
        <v>39</v>
      </c>
    </row>
    <row r="1049" spans="1:31" ht="409.5">
      <c r="A1049" s="2">
        <v>2746494</v>
      </c>
      <c r="B1049" s="2">
        <f>HYPERLINK("https://platform.v2.vetology.net/cases/2746494/screening-report/1?type=pdf&amp;v=v6&amp;scorecard=1&amp;secret_key=BX%25IJ%24%2F65ieZ%29f6", 2746494)</f>
        <v>2746494</v>
      </c>
      <c r="C1049" s="2">
        <f>HYPERLINK("https://platform.v2.vetology.net/report/v/final/"&amp;2746494, 2746494)</f>
        <v>2746494</v>
      </c>
      <c r="D1049" s="2" t="s">
        <v>3510</v>
      </c>
      <c r="E1049" s="2" t="s">
        <v>3511</v>
      </c>
      <c r="F1049" s="2"/>
      <c r="G1049" s="2" t="s">
        <v>100</v>
      </c>
      <c r="H1049" s="2" t="s">
        <v>432</v>
      </c>
      <c r="I1049" s="2" t="s">
        <v>36</v>
      </c>
      <c r="J1049" s="2" t="s">
        <v>37</v>
      </c>
      <c r="K1049" s="2" t="s">
        <v>39</v>
      </c>
      <c r="L1049" s="2" t="s">
        <v>39</v>
      </c>
      <c r="M1049" s="2" t="s">
        <v>39</v>
      </c>
      <c r="N1049" s="2" t="s">
        <v>39</v>
      </c>
      <c r="O1049" s="2" t="s">
        <v>39</v>
      </c>
      <c r="P1049" s="2" t="s">
        <v>38</v>
      </c>
      <c r="Q1049" s="2" t="s">
        <v>39</v>
      </c>
      <c r="R1049" s="2" t="s">
        <v>39</v>
      </c>
      <c r="S1049" s="2" t="s">
        <v>39</v>
      </c>
      <c r="T1049" s="2" t="s">
        <v>39</v>
      </c>
      <c r="U1049" s="2" t="s">
        <v>39</v>
      </c>
      <c r="V1049" s="2" t="s">
        <v>39</v>
      </c>
      <c r="W1049" s="2" t="s">
        <v>39</v>
      </c>
      <c r="X1049" s="2" t="s">
        <v>39</v>
      </c>
      <c r="Y1049" s="2" t="s">
        <v>39</v>
      </c>
      <c r="Z1049" s="2" t="s">
        <v>39</v>
      </c>
      <c r="AA1049" s="2" t="s">
        <v>39</v>
      </c>
      <c r="AB1049" s="2" t="s">
        <v>39</v>
      </c>
      <c r="AC1049" s="2" t="s">
        <v>39</v>
      </c>
      <c r="AD1049" s="2" t="s">
        <v>39</v>
      </c>
      <c r="AE1049" s="2"/>
    </row>
    <row r="1050" spans="1:31" ht="409.5">
      <c r="A1050" s="2">
        <v>2746468</v>
      </c>
      <c r="B1050" s="2">
        <f>HYPERLINK("https://platform.v2.vetology.net/cases/2746468/screening-report/1?type=pdf&amp;v=v6&amp;scorecard=1&amp;secret_key=BX%25IJ%24%2F65ieZ%29f6", 2746468)</f>
        <v>2746468</v>
      </c>
      <c r="C1050" s="2">
        <f>HYPERLINK("https://platform.v2.vetology.net/report/v/final/"&amp;2746468, 2746468)</f>
        <v>2746468</v>
      </c>
      <c r="D1050" s="2" t="s">
        <v>3512</v>
      </c>
      <c r="E1050" s="2" t="s">
        <v>3513</v>
      </c>
      <c r="F1050" s="2" t="s">
        <v>43</v>
      </c>
      <c r="G1050" s="2" t="s">
        <v>44</v>
      </c>
      <c r="H1050" s="2" t="s">
        <v>69</v>
      </c>
      <c r="I1050" s="2" t="s">
        <v>46</v>
      </c>
      <c r="J1050" s="2"/>
      <c r="K1050" s="2" t="s">
        <v>39</v>
      </c>
      <c r="L1050" s="2" t="s">
        <v>39</v>
      </c>
      <c r="M1050" s="2" t="s">
        <v>39</v>
      </c>
      <c r="N1050" s="2" t="s">
        <v>39</v>
      </c>
      <c r="O1050" s="2" t="s">
        <v>39</v>
      </c>
      <c r="P1050" s="2" t="s">
        <v>39</v>
      </c>
      <c r="Q1050" s="2" t="s">
        <v>39</v>
      </c>
      <c r="R1050" s="2" t="s">
        <v>39</v>
      </c>
      <c r="S1050" s="2" t="s">
        <v>39</v>
      </c>
      <c r="T1050" s="2" t="s">
        <v>39</v>
      </c>
      <c r="U1050" s="2" t="s">
        <v>39</v>
      </c>
      <c r="V1050" s="2" t="s">
        <v>39</v>
      </c>
      <c r="W1050" s="2" t="s">
        <v>39</v>
      </c>
      <c r="X1050" s="2" t="s">
        <v>39</v>
      </c>
      <c r="Y1050" s="2" t="s">
        <v>39</v>
      </c>
      <c r="Z1050" s="2" t="s">
        <v>39</v>
      </c>
      <c r="AA1050" s="2" t="s">
        <v>39</v>
      </c>
      <c r="AB1050" s="2" t="s">
        <v>39</v>
      </c>
      <c r="AC1050" s="2" t="s">
        <v>39</v>
      </c>
      <c r="AD1050" s="2" t="s">
        <v>39</v>
      </c>
      <c r="AE1050" s="2" t="s">
        <v>39</v>
      </c>
    </row>
    <row r="1051" spans="1:31" ht="409.5">
      <c r="A1051" s="2">
        <v>2746359</v>
      </c>
      <c r="B1051" s="2">
        <f>HYPERLINK("https://platform.v2.vetology.net/cases/2746359/screening-report/1?type=pdf&amp;v=v6&amp;scorecard=1&amp;secret_key=BX%25IJ%24%2F65ieZ%29f6", 2746359)</f>
        <v>2746359</v>
      </c>
      <c r="C1051" s="2">
        <f>HYPERLINK("https://platform.v2.vetology.net/report/v/final/"&amp;2746359, 2746359)</f>
        <v>2746359</v>
      </c>
      <c r="D1051" s="2" t="s">
        <v>3514</v>
      </c>
      <c r="E1051" s="2" t="s">
        <v>3515</v>
      </c>
      <c r="F1051" s="2"/>
      <c r="G1051" s="2" t="s">
        <v>81</v>
      </c>
      <c r="H1051" s="2" t="s">
        <v>3516</v>
      </c>
      <c r="I1051" s="2" t="s">
        <v>36</v>
      </c>
      <c r="J1051" s="2" t="s">
        <v>37</v>
      </c>
      <c r="K1051" s="2" t="s">
        <v>38</v>
      </c>
      <c r="L1051" s="2" t="s">
        <v>38</v>
      </c>
      <c r="M1051" s="2" t="s">
        <v>38</v>
      </c>
      <c r="N1051" s="2" t="s">
        <v>38</v>
      </c>
      <c r="O1051" s="2" t="s">
        <v>38</v>
      </c>
      <c r="P1051" s="2" t="s">
        <v>38</v>
      </c>
      <c r="Q1051" s="2" t="s">
        <v>39</v>
      </c>
      <c r="R1051" s="2" t="s">
        <v>38</v>
      </c>
      <c r="S1051" s="2" t="s">
        <v>38</v>
      </c>
      <c r="T1051" s="2" t="s">
        <v>38</v>
      </c>
      <c r="U1051" s="2" t="s">
        <v>38</v>
      </c>
      <c r="V1051" s="2" t="s">
        <v>38</v>
      </c>
      <c r="W1051" s="2" t="s">
        <v>38</v>
      </c>
      <c r="X1051" s="2" t="s">
        <v>39</v>
      </c>
      <c r="Y1051" s="2" t="s">
        <v>38</v>
      </c>
      <c r="Z1051" s="2" t="s">
        <v>38</v>
      </c>
      <c r="AA1051" s="2" t="s">
        <v>38</v>
      </c>
      <c r="AB1051" s="2" t="s">
        <v>39</v>
      </c>
      <c r="AC1051" s="2" t="s">
        <v>38</v>
      </c>
      <c r="AD1051" s="2" t="s">
        <v>38</v>
      </c>
      <c r="AE1051" s="2" t="s">
        <v>39</v>
      </c>
    </row>
    <row r="1052" spans="1:31" ht="409.5">
      <c r="A1052" s="2">
        <v>2746338</v>
      </c>
      <c r="B1052" s="2">
        <f>HYPERLINK("https://platform.v2.vetology.net/cases/2746338/screening-report/1?type=pdf&amp;v=v6&amp;scorecard=1&amp;secret_key=BX%25IJ%24%2F65ieZ%29f6", 2746338)</f>
        <v>2746338</v>
      </c>
      <c r="C1052" s="2">
        <f>HYPERLINK("https://platform.v2.vetology.net/report/v/final/"&amp;2746338, 2746338)</f>
        <v>2746338</v>
      </c>
      <c r="D1052" s="2" t="s">
        <v>3517</v>
      </c>
      <c r="E1052" s="2" t="s">
        <v>3518</v>
      </c>
      <c r="F1052" s="2" t="s">
        <v>3519</v>
      </c>
      <c r="G1052" s="2" t="s">
        <v>251</v>
      </c>
      <c r="H1052" s="2" t="s">
        <v>3520</v>
      </c>
      <c r="I1052" s="2" t="s">
        <v>73</v>
      </c>
      <c r="J1052" s="2" t="s">
        <v>74</v>
      </c>
      <c r="K1052" s="2" t="s">
        <v>38</v>
      </c>
      <c r="L1052" s="2" t="s">
        <v>38</v>
      </c>
      <c r="M1052" s="2" t="s">
        <v>38</v>
      </c>
      <c r="N1052" s="2" t="s">
        <v>38</v>
      </c>
      <c r="O1052" s="2" t="s">
        <v>38</v>
      </c>
      <c r="P1052" s="2" t="s">
        <v>38</v>
      </c>
      <c r="Q1052" s="2" t="s">
        <v>38</v>
      </c>
      <c r="R1052" s="2" t="s">
        <v>39</v>
      </c>
      <c r="S1052" s="2" t="s">
        <v>38</v>
      </c>
      <c r="T1052" s="2" t="s">
        <v>38</v>
      </c>
      <c r="U1052" s="2" t="s">
        <v>38</v>
      </c>
      <c r="V1052" s="2" t="s">
        <v>38</v>
      </c>
      <c r="W1052" s="2" t="s">
        <v>39</v>
      </c>
      <c r="X1052" s="2" t="s">
        <v>38</v>
      </c>
      <c r="Y1052" s="2" t="s">
        <v>39</v>
      </c>
      <c r="Z1052" s="2" t="s">
        <v>39</v>
      </c>
      <c r="AA1052" s="2" t="s">
        <v>38</v>
      </c>
      <c r="AB1052" s="2" t="s">
        <v>38</v>
      </c>
      <c r="AC1052" s="2" t="s">
        <v>39</v>
      </c>
      <c r="AD1052" s="2" t="s">
        <v>39</v>
      </c>
      <c r="AE1052" s="2" t="s">
        <v>39</v>
      </c>
    </row>
    <row r="1053" spans="1:31" ht="409.5">
      <c r="A1053" s="2">
        <v>2746319</v>
      </c>
      <c r="B1053" s="2">
        <f>HYPERLINK("https://platform.v2.vetology.net/cases/2746319/screening-report/1?type=pdf&amp;v=v6&amp;scorecard=1&amp;secret_key=BX%25IJ%24%2F65ieZ%29f6", 2746319)</f>
        <v>2746319</v>
      </c>
      <c r="C1053" s="2">
        <f>HYPERLINK("https://platform.v2.vetology.net/report/v/final/"&amp;2746319, 2746319)</f>
        <v>2746319</v>
      </c>
      <c r="D1053" s="2" t="s">
        <v>3521</v>
      </c>
      <c r="E1053" s="2" t="s">
        <v>3522</v>
      </c>
      <c r="F1053" s="2" t="s">
        <v>3523</v>
      </c>
      <c r="G1053" s="2" t="s">
        <v>34</v>
      </c>
      <c r="H1053" s="2" t="s">
        <v>3524</v>
      </c>
      <c r="I1053" s="2" t="s">
        <v>73</v>
      </c>
      <c r="J1053" s="2" t="s">
        <v>74</v>
      </c>
      <c r="K1053" s="2" t="s">
        <v>38</v>
      </c>
      <c r="L1053" s="2" t="s">
        <v>38</v>
      </c>
      <c r="M1053" s="2" t="s">
        <v>38</v>
      </c>
      <c r="N1053" s="2" t="s">
        <v>38</v>
      </c>
      <c r="O1053" s="2" t="s">
        <v>38</v>
      </c>
      <c r="P1053" s="2" t="s">
        <v>38</v>
      </c>
      <c r="Q1053" s="2" t="s">
        <v>38</v>
      </c>
      <c r="R1053" s="2" t="s">
        <v>39</v>
      </c>
      <c r="S1053" s="2" t="s">
        <v>38</v>
      </c>
      <c r="T1053" s="2" t="s">
        <v>38</v>
      </c>
      <c r="U1053" s="2" t="s">
        <v>38</v>
      </c>
      <c r="V1053" s="2" t="s">
        <v>38</v>
      </c>
      <c r="W1053" s="2" t="s">
        <v>38</v>
      </c>
      <c r="X1053" s="2" t="s">
        <v>38</v>
      </c>
      <c r="Y1053" s="2" t="s">
        <v>38</v>
      </c>
      <c r="Z1053" s="2" t="s">
        <v>38</v>
      </c>
      <c r="AA1053" s="2" t="s">
        <v>38</v>
      </c>
      <c r="AB1053" s="2" t="s">
        <v>38</v>
      </c>
      <c r="AC1053" s="2" t="s">
        <v>38</v>
      </c>
      <c r="AD1053" s="2" t="s">
        <v>39</v>
      </c>
      <c r="AE1053" s="2" t="s">
        <v>40</v>
      </c>
    </row>
    <row r="1054" spans="1:31" ht="409.5">
      <c r="A1054" s="2">
        <v>2746276</v>
      </c>
      <c r="B1054" s="2">
        <f>HYPERLINK("https://platform.v2.vetology.net/cases/2746276/screening-report/1?type=pdf&amp;v=v6&amp;scorecard=1&amp;secret_key=BX%25IJ%24%2F65ieZ%29f6", 2746276)</f>
        <v>2746276</v>
      </c>
      <c r="C1054" s="2">
        <f>HYPERLINK("https://platform.v2.vetology.net/report/v/final/"&amp;2746276, 2746276)</f>
        <v>2746276</v>
      </c>
      <c r="D1054" s="2" t="s">
        <v>3525</v>
      </c>
      <c r="E1054" s="2" t="s">
        <v>3526</v>
      </c>
      <c r="F1054" s="2" t="s">
        <v>3527</v>
      </c>
      <c r="G1054" s="2" t="s">
        <v>127</v>
      </c>
      <c r="H1054" s="2" t="s">
        <v>3528</v>
      </c>
      <c r="I1054" s="2" t="s">
        <v>73</v>
      </c>
      <c r="J1054" s="2" t="s">
        <v>74</v>
      </c>
      <c r="K1054" s="2" t="s">
        <v>38</v>
      </c>
      <c r="L1054" s="2" t="s">
        <v>38</v>
      </c>
      <c r="M1054" s="2" t="s">
        <v>38</v>
      </c>
      <c r="N1054" s="2" t="s">
        <v>38</v>
      </c>
      <c r="O1054" s="2" t="s">
        <v>38</v>
      </c>
      <c r="P1054" s="2" t="s">
        <v>38</v>
      </c>
      <c r="Q1054" s="2" t="s">
        <v>38</v>
      </c>
      <c r="R1054" s="2" t="s">
        <v>38</v>
      </c>
      <c r="S1054" s="2" t="s">
        <v>38</v>
      </c>
      <c r="T1054" s="2" t="s">
        <v>38</v>
      </c>
      <c r="U1054" s="2" t="s">
        <v>39</v>
      </c>
      <c r="V1054" s="2" t="s">
        <v>39</v>
      </c>
      <c r="W1054" s="2" t="s">
        <v>38</v>
      </c>
      <c r="X1054" s="2" t="s">
        <v>38</v>
      </c>
      <c r="Y1054" s="2" t="s">
        <v>38</v>
      </c>
      <c r="Z1054" s="2" t="s">
        <v>38</v>
      </c>
      <c r="AA1054" s="2" t="s">
        <v>38</v>
      </c>
      <c r="AB1054" s="2" t="s">
        <v>38</v>
      </c>
      <c r="AC1054" s="2" t="s">
        <v>38</v>
      </c>
      <c r="AD1054" s="2" t="s">
        <v>38</v>
      </c>
      <c r="AE1054" s="2" t="s">
        <v>39</v>
      </c>
    </row>
    <row r="1055" spans="1:31" ht="409.5">
      <c r="A1055" s="2">
        <v>2746259</v>
      </c>
      <c r="B1055" s="2">
        <f>HYPERLINK("https://platform.v2.vetology.net/cases/2746259/screening-report/1?type=pdf&amp;v=v6&amp;scorecard=1&amp;secret_key=BX%25IJ%24%2F65ieZ%29f6", 2746259)</f>
        <v>2746259</v>
      </c>
      <c r="C1055" s="2">
        <f>HYPERLINK("https://platform.v2.vetology.net/report/v/final/"&amp;2746259, 2746259)</f>
        <v>2746259</v>
      </c>
      <c r="D1055" s="2" t="s">
        <v>3529</v>
      </c>
      <c r="E1055" s="2" t="s">
        <v>3530</v>
      </c>
      <c r="F1055" s="2" t="s">
        <v>3531</v>
      </c>
      <c r="G1055" s="2" t="s">
        <v>127</v>
      </c>
      <c r="H1055" s="2" t="s">
        <v>3532</v>
      </c>
      <c r="I1055" s="2" t="s">
        <v>129</v>
      </c>
      <c r="J1055" s="2" t="s">
        <v>74</v>
      </c>
      <c r="K1055" s="2" t="s">
        <v>38</v>
      </c>
      <c r="L1055" s="2" t="s">
        <v>38</v>
      </c>
      <c r="M1055" s="2" t="s">
        <v>38</v>
      </c>
      <c r="N1055" s="2" t="s">
        <v>38</v>
      </c>
      <c r="O1055" s="2" t="s">
        <v>38</v>
      </c>
      <c r="P1055" s="2" t="s">
        <v>38</v>
      </c>
      <c r="Q1055" s="2" t="s">
        <v>38</v>
      </c>
      <c r="R1055" s="2" t="s">
        <v>38</v>
      </c>
      <c r="S1055" s="2" t="s">
        <v>38</v>
      </c>
      <c r="T1055" s="2" t="s">
        <v>38</v>
      </c>
      <c r="U1055" s="2" t="s">
        <v>38</v>
      </c>
      <c r="V1055" s="2" t="s">
        <v>38</v>
      </c>
      <c r="W1055" s="2" t="s">
        <v>38</v>
      </c>
      <c r="X1055" s="2" t="s">
        <v>38</v>
      </c>
      <c r="Y1055" s="2" t="s">
        <v>38</v>
      </c>
      <c r="Z1055" s="2" t="s">
        <v>38</v>
      </c>
      <c r="AA1055" s="2" t="s">
        <v>38</v>
      </c>
      <c r="AB1055" s="2" t="s">
        <v>38</v>
      </c>
      <c r="AC1055" s="2" t="s">
        <v>38</v>
      </c>
      <c r="AD1055" s="2" t="s">
        <v>38</v>
      </c>
      <c r="AE1055" s="2" t="s">
        <v>39</v>
      </c>
    </row>
    <row r="1056" spans="1:31" ht="409.5">
      <c r="A1056" s="2">
        <v>2746257</v>
      </c>
      <c r="B1056" s="2">
        <f>HYPERLINK("https://platform.v2.vetology.net/cases/2746257/screening-report/1?type=pdf&amp;v=v6&amp;scorecard=1&amp;secret_key=BX%25IJ%24%2F65ieZ%29f6", 2746257)</f>
        <v>2746257</v>
      </c>
      <c r="C1056" s="2">
        <f>HYPERLINK("https://platform.v2.vetology.net/report/v/final/"&amp;2746257, 2746257)</f>
        <v>2746257</v>
      </c>
      <c r="D1056" s="2" t="s">
        <v>3533</v>
      </c>
      <c r="E1056" s="2" t="s">
        <v>3534</v>
      </c>
      <c r="F1056" s="2" t="s">
        <v>3535</v>
      </c>
      <c r="G1056" s="2" t="s">
        <v>170</v>
      </c>
      <c r="H1056" s="2" t="s">
        <v>1168</v>
      </c>
      <c r="I1056" s="2" t="s">
        <v>36</v>
      </c>
      <c r="J1056" s="2" t="s">
        <v>37</v>
      </c>
      <c r="K1056" s="2" t="s">
        <v>38</v>
      </c>
      <c r="L1056" s="2" t="s">
        <v>38</v>
      </c>
      <c r="M1056" s="2" t="s">
        <v>38</v>
      </c>
      <c r="N1056" s="2" t="s">
        <v>38</v>
      </c>
      <c r="O1056" s="2" t="s">
        <v>38</v>
      </c>
      <c r="P1056" s="2" t="s">
        <v>39</v>
      </c>
      <c r="Q1056" s="2" t="s">
        <v>39</v>
      </c>
      <c r="R1056" s="2" t="s">
        <v>38</v>
      </c>
      <c r="S1056" s="2" t="s">
        <v>38</v>
      </c>
      <c r="T1056" s="2" t="s">
        <v>38</v>
      </c>
      <c r="U1056" s="2" t="s">
        <v>38</v>
      </c>
      <c r="V1056" s="2" t="s">
        <v>38</v>
      </c>
      <c r="W1056" s="2" t="s">
        <v>38</v>
      </c>
      <c r="X1056" s="2" t="s">
        <v>39</v>
      </c>
      <c r="Y1056" s="2" t="s">
        <v>38</v>
      </c>
      <c r="Z1056" s="2" t="s">
        <v>38</v>
      </c>
      <c r="AA1056" s="2" t="s">
        <v>38</v>
      </c>
      <c r="AB1056" s="2" t="s">
        <v>39</v>
      </c>
      <c r="AC1056" s="2" t="s">
        <v>38</v>
      </c>
      <c r="AD1056" s="2" t="s">
        <v>38</v>
      </c>
      <c r="AE1056" s="2" t="s">
        <v>39</v>
      </c>
    </row>
    <row r="1057" spans="1:31" ht="409.5">
      <c r="A1057" s="2">
        <v>2746256</v>
      </c>
      <c r="B1057" s="2">
        <f>HYPERLINK("https://platform.v2.vetology.net/cases/2746256/screening-report/1?type=pdf&amp;v=v6&amp;scorecard=1&amp;secret_key=BX%25IJ%24%2F65ieZ%29f6", 2746256)</f>
        <v>2746256</v>
      </c>
      <c r="C1057" s="2">
        <f>HYPERLINK("https://platform.v2.vetology.net/report/v/final/"&amp;2746256, 2746256)</f>
        <v>2746256</v>
      </c>
      <c r="D1057" s="2" t="s">
        <v>3536</v>
      </c>
      <c r="E1057" s="2" t="s">
        <v>3537</v>
      </c>
      <c r="F1057" s="2" t="s">
        <v>3538</v>
      </c>
      <c r="G1057" s="2" t="s">
        <v>170</v>
      </c>
      <c r="H1057" s="2" t="s">
        <v>3539</v>
      </c>
      <c r="I1057" s="2" t="s">
        <v>36</v>
      </c>
      <c r="J1057" s="2" t="s">
        <v>37</v>
      </c>
      <c r="K1057" s="2" t="s">
        <v>39</v>
      </c>
      <c r="L1057" s="2" t="s">
        <v>39</v>
      </c>
      <c r="M1057" s="2" t="s">
        <v>38</v>
      </c>
      <c r="N1057" s="2" t="s">
        <v>38</v>
      </c>
      <c r="O1057" s="2" t="s">
        <v>38</v>
      </c>
      <c r="P1057" s="2" t="s">
        <v>39</v>
      </c>
      <c r="Q1057" s="2" t="s">
        <v>39</v>
      </c>
      <c r="R1057" s="2" t="s">
        <v>38</v>
      </c>
      <c r="S1057" s="2" t="s">
        <v>38</v>
      </c>
      <c r="T1057" s="2" t="s">
        <v>39</v>
      </c>
      <c r="U1057" s="2" t="s">
        <v>39</v>
      </c>
      <c r="V1057" s="2" t="s">
        <v>38</v>
      </c>
      <c r="W1057" s="2" t="s">
        <v>38</v>
      </c>
      <c r="X1057" s="2" t="s">
        <v>39</v>
      </c>
      <c r="Y1057" s="2" t="s">
        <v>38</v>
      </c>
      <c r="Z1057" s="2" t="s">
        <v>38</v>
      </c>
      <c r="AA1057" s="2" t="s">
        <v>38</v>
      </c>
      <c r="AB1057" s="2" t="s">
        <v>39</v>
      </c>
      <c r="AC1057" s="2" t="s">
        <v>38</v>
      </c>
      <c r="AD1057" s="2" t="s">
        <v>38</v>
      </c>
      <c r="AE1057" s="2" t="s">
        <v>40</v>
      </c>
    </row>
    <row r="1058" spans="1:31" ht="409.5">
      <c r="A1058" s="2">
        <v>2746247</v>
      </c>
      <c r="B1058" s="2">
        <f>HYPERLINK("https://platform.v2.vetology.net/cases/2746247/screening-report/1?type=pdf&amp;v=v6&amp;scorecard=1&amp;secret_key=BX%25IJ%24%2F65ieZ%29f6", 2746247)</f>
        <v>2746247</v>
      </c>
      <c r="C1058" s="2">
        <f>HYPERLINK("https://platform.v2.vetology.net/report/v/final/"&amp;2746247, 2746247)</f>
        <v>2746247</v>
      </c>
      <c r="D1058" s="2" t="s">
        <v>3540</v>
      </c>
      <c r="E1058" s="2" t="s">
        <v>3541</v>
      </c>
      <c r="F1058" s="2"/>
      <c r="G1058" s="2" t="s">
        <v>81</v>
      </c>
      <c r="H1058" s="2" t="s">
        <v>3542</v>
      </c>
      <c r="I1058" s="2" t="s">
        <v>73</v>
      </c>
      <c r="J1058" s="2" t="s">
        <v>74</v>
      </c>
      <c r="K1058" s="2" t="s">
        <v>38</v>
      </c>
      <c r="L1058" s="2" t="s">
        <v>38</v>
      </c>
      <c r="M1058" s="2" t="s">
        <v>38</v>
      </c>
      <c r="N1058" s="2" t="s">
        <v>38</v>
      </c>
      <c r="O1058" s="2" t="s">
        <v>38</v>
      </c>
      <c r="P1058" s="2" t="s">
        <v>38</v>
      </c>
      <c r="Q1058" s="2" t="s">
        <v>38</v>
      </c>
      <c r="R1058" s="2" t="s">
        <v>38</v>
      </c>
      <c r="S1058" s="2" t="s">
        <v>38</v>
      </c>
      <c r="T1058" s="2" t="s">
        <v>38</v>
      </c>
      <c r="U1058" s="2" t="s">
        <v>38</v>
      </c>
      <c r="V1058" s="2" t="s">
        <v>38</v>
      </c>
      <c r="W1058" s="2" t="s">
        <v>38</v>
      </c>
      <c r="X1058" s="2" t="s">
        <v>38</v>
      </c>
      <c r="Y1058" s="2" t="s">
        <v>38</v>
      </c>
      <c r="Z1058" s="2" t="s">
        <v>38</v>
      </c>
      <c r="AA1058" s="2" t="s">
        <v>38</v>
      </c>
      <c r="AB1058" s="2" t="s">
        <v>38</v>
      </c>
      <c r="AC1058" s="2" t="s">
        <v>38</v>
      </c>
      <c r="AD1058" s="2" t="s">
        <v>38</v>
      </c>
      <c r="AE1058" s="2" t="s">
        <v>40</v>
      </c>
    </row>
    <row r="1059" spans="1:31" ht="409.5">
      <c r="A1059" s="2">
        <v>2746245</v>
      </c>
      <c r="B1059" s="2">
        <f>HYPERLINK("https://platform.v2.vetology.net/cases/2746245/screening-report/1?type=pdf&amp;v=v6&amp;scorecard=1&amp;secret_key=BX%25IJ%24%2F65ieZ%29f6", 2746245)</f>
        <v>2746245</v>
      </c>
      <c r="C1059" s="2">
        <f>HYPERLINK("https://platform.v2.vetology.net/report/v/final/"&amp;2746245, 2746245)</f>
        <v>2746245</v>
      </c>
      <c r="D1059" s="2" t="s">
        <v>3543</v>
      </c>
      <c r="E1059" s="2" t="s">
        <v>3544</v>
      </c>
      <c r="F1059" s="2" t="s">
        <v>3545</v>
      </c>
      <c r="G1059" s="2" t="s">
        <v>127</v>
      </c>
      <c r="H1059" s="2" t="s">
        <v>93</v>
      </c>
      <c r="I1059" s="2" t="s">
        <v>59</v>
      </c>
      <c r="J1059" s="2" t="s">
        <v>37</v>
      </c>
      <c r="K1059" s="2" t="s">
        <v>38</v>
      </c>
      <c r="L1059" s="2" t="s">
        <v>39</v>
      </c>
      <c r="M1059" s="2" t="s">
        <v>39</v>
      </c>
      <c r="N1059" s="2" t="s">
        <v>38</v>
      </c>
      <c r="O1059" s="2" t="s">
        <v>39</v>
      </c>
      <c r="P1059" s="2" t="s">
        <v>39</v>
      </c>
      <c r="Q1059" s="2" t="s">
        <v>39</v>
      </c>
      <c r="R1059" s="2" t="s">
        <v>39</v>
      </c>
      <c r="S1059" s="2" t="s">
        <v>39</v>
      </c>
      <c r="T1059" s="2" t="s">
        <v>38</v>
      </c>
      <c r="U1059" s="2" t="s">
        <v>38</v>
      </c>
      <c r="V1059" s="2" t="s">
        <v>38</v>
      </c>
      <c r="W1059" s="2" t="s">
        <v>39</v>
      </c>
      <c r="X1059" s="2" t="s">
        <v>39</v>
      </c>
      <c r="Y1059" s="2" t="s">
        <v>39</v>
      </c>
      <c r="Z1059" s="2" t="s">
        <v>38</v>
      </c>
      <c r="AA1059" s="2" t="s">
        <v>39</v>
      </c>
      <c r="AB1059" s="2" t="s">
        <v>39</v>
      </c>
      <c r="AC1059" s="2" t="s">
        <v>39</v>
      </c>
      <c r="AD1059" s="2" t="s">
        <v>38</v>
      </c>
      <c r="AE1059" s="2" t="s">
        <v>40</v>
      </c>
    </row>
    <row r="1060" spans="1:31" ht="409.5">
      <c r="A1060" s="2">
        <v>2746241</v>
      </c>
      <c r="B1060" s="2">
        <f>HYPERLINK("https://platform.v2.vetology.net/cases/2746241/screening-report/1?type=pdf&amp;v=v6&amp;scorecard=1&amp;secret_key=BX%25IJ%24%2F65ieZ%29f6", 2746241)</f>
        <v>2746241</v>
      </c>
      <c r="C1060" s="2">
        <f>HYPERLINK("https://platform.v2.vetology.net/report/v/final/"&amp;2746241, 2746241)</f>
        <v>2746241</v>
      </c>
      <c r="D1060" s="2" t="s">
        <v>3546</v>
      </c>
      <c r="E1060" s="2" t="s">
        <v>3547</v>
      </c>
      <c r="F1060" s="2" t="s">
        <v>3548</v>
      </c>
      <c r="G1060" s="2" t="s">
        <v>53</v>
      </c>
      <c r="H1060" s="2" t="s">
        <v>69</v>
      </c>
      <c r="I1060" s="2" t="s">
        <v>46</v>
      </c>
      <c r="J1060" s="2"/>
      <c r="K1060" s="2" t="s">
        <v>39</v>
      </c>
      <c r="L1060" s="2" t="s">
        <v>39</v>
      </c>
      <c r="M1060" s="2" t="s">
        <v>39</v>
      </c>
      <c r="N1060" s="2" t="s">
        <v>39</v>
      </c>
      <c r="O1060" s="2" t="s">
        <v>39</v>
      </c>
      <c r="P1060" s="2" t="s">
        <v>39</v>
      </c>
      <c r="Q1060" s="2" t="s">
        <v>39</v>
      </c>
      <c r="R1060" s="2" t="s">
        <v>39</v>
      </c>
      <c r="S1060" s="2" t="s">
        <v>39</v>
      </c>
      <c r="T1060" s="2" t="s">
        <v>39</v>
      </c>
      <c r="U1060" s="2" t="s">
        <v>39</v>
      </c>
      <c r="V1060" s="2" t="s">
        <v>39</v>
      </c>
      <c r="W1060" s="2" t="s">
        <v>39</v>
      </c>
      <c r="X1060" s="2" t="s">
        <v>39</v>
      </c>
      <c r="Y1060" s="2" t="s">
        <v>39</v>
      </c>
      <c r="Z1060" s="2" t="s">
        <v>39</v>
      </c>
      <c r="AA1060" s="2" t="s">
        <v>39</v>
      </c>
      <c r="AB1060" s="2" t="s">
        <v>39</v>
      </c>
      <c r="AC1060" s="2" t="s">
        <v>39</v>
      </c>
      <c r="AD1060" s="2" t="s">
        <v>39</v>
      </c>
      <c r="AE1060" s="2" t="s">
        <v>39</v>
      </c>
    </row>
    <row r="1061" spans="1:31" ht="409.5">
      <c r="A1061" s="2">
        <v>2746238</v>
      </c>
      <c r="B1061" s="2">
        <f>HYPERLINK("https://platform.v2.vetology.net/cases/2746238/screening-report/1?type=pdf&amp;v=v6&amp;scorecard=1&amp;secret_key=BX%25IJ%24%2F65ieZ%29f6", 2746238)</f>
        <v>2746238</v>
      </c>
      <c r="C1061" s="2">
        <f>HYPERLINK("https://platform.v2.vetology.net/report/v/final/"&amp;2746238, 2746238)</f>
        <v>2746238</v>
      </c>
      <c r="D1061" s="2" t="s">
        <v>3549</v>
      </c>
      <c r="E1061" s="2" t="s">
        <v>3550</v>
      </c>
      <c r="F1061" s="2" t="s">
        <v>43</v>
      </c>
      <c r="G1061" s="2" t="s">
        <v>44</v>
      </c>
      <c r="H1061" s="2" t="s">
        <v>182</v>
      </c>
      <c r="I1061" s="2" t="s">
        <v>46</v>
      </c>
      <c r="J1061" s="2"/>
      <c r="K1061" s="2" t="s">
        <v>38</v>
      </c>
      <c r="L1061" s="2" t="s">
        <v>39</v>
      </c>
      <c r="M1061" s="2" t="s">
        <v>39</v>
      </c>
      <c r="N1061" s="2" t="s">
        <v>39</v>
      </c>
      <c r="O1061" s="2" t="s">
        <v>38</v>
      </c>
      <c r="P1061" s="2" t="s">
        <v>39</v>
      </c>
      <c r="Q1061" s="2" t="s">
        <v>39</v>
      </c>
      <c r="R1061" s="2" t="s">
        <v>38</v>
      </c>
      <c r="S1061" s="2" t="s">
        <v>39</v>
      </c>
      <c r="T1061" s="2" t="s">
        <v>39</v>
      </c>
      <c r="U1061" s="2" t="s">
        <v>38</v>
      </c>
      <c r="V1061" s="2" t="s">
        <v>38</v>
      </c>
      <c r="W1061" s="2" t="s">
        <v>38</v>
      </c>
      <c r="X1061" s="2" t="s">
        <v>39</v>
      </c>
      <c r="Y1061" s="2" t="s">
        <v>39</v>
      </c>
      <c r="Z1061" s="2" t="s">
        <v>38</v>
      </c>
      <c r="AA1061" s="2" t="s">
        <v>39</v>
      </c>
      <c r="AB1061" s="2" t="s">
        <v>39</v>
      </c>
      <c r="AC1061" s="2" t="s">
        <v>38</v>
      </c>
      <c r="AD1061" s="2" t="s">
        <v>38</v>
      </c>
      <c r="AE1061" s="2" t="s">
        <v>39</v>
      </c>
    </row>
    <row r="1062" spans="1:31" ht="409.5">
      <c r="A1062" s="2">
        <v>2746233</v>
      </c>
      <c r="B1062" s="2">
        <f>HYPERLINK("https://platform.v2.vetology.net/cases/2746233/screening-report/1?type=pdf&amp;v=v6&amp;scorecard=1&amp;secret_key=BX%25IJ%24%2F65ieZ%29f6", 2746233)</f>
        <v>2746233</v>
      </c>
      <c r="C1062" s="2">
        <f>HYPERLINK("https://platform.v2.vetology.net/report/v/final/"&amp;2746233, 2746233)</f>
        <v>2746233</v>
      </c>
      <c r="D1062" s="2" t="s">
        <v>3551</v>
      </c>
      <c r="E1062" s="2" t="s">
        <v>3552</v>
      </c>
      <c r="F1062" s="2" t="s">
        <v>43</v>
      </c>
      <c r="G1062" s="2" t="s">
        <v>44</v>
      </c>
      <c r="H1062" s="2" t="s">
        <v>3553</v>
      </c>
      <c r="I1062" s="2" t="s">
        <v>36</v>
      </c>
      <c r="J1062" s="2" t="s">
        <v>37</v>
      </c>
      <c r="K1062" s="2" t="s">
        <v>38</v>
      </c>
      <c r="L1062" s="2" t="s">
        <v>38</v>
      </c>
      <c r="M1062" s="2" t="s">
        <v>38</v>
      </c>
      <c r="N1062" s="2" t="s">
        <v>38</v>
      </c>
      <c r="O1062" s="2" t="s">
        <v>38</v>
      </c>
      <c r="P1062" s="2" t="s">
        <v>39</v>
      </c>
      <c r="Q1062" s="2" t="s">
        <v>39</v>
      </c>
      <c r="R1062" s="2" t="s">
        <v>38</v>
      </c>
      <c r="S1062" s="2" t="s">
        <v>38</v>
      </c>
      <c r="T1062" s="2" t="s">
        <v>39</v>
      </c>
      <c r="U1062" s="2" t="s">
        <v>38</v>
      </c>
      <c r="V1062" s="2" t="s">
        <v>38</v>
      </c>
      <c r="W1062" s="2" t="s">
        <v>38</v>
      </c>
      <c r="X1062" s="2" t="s">
        <v>39</v>
      </c>
      <c r="Y1062" s="2" t="s">
        <v>39</v>
      </c>
      <c r="Z1062" s="2" t="s">
        <v>38</v>
      </c>
      <c r="AA1062" s="2" t="s">
        <v>38</v>
      </c>
      <c r="AB1062" s="2" t="s">
        <v>39</v>
      </c>
      <c r="AC1062" s="2" t="s">
        <v>38</v>
      </c>
      <c r="AD1062" s="2" t="s">
        <v>38</v>
      </c>
      <c r="AE1062" s="2" t="s">
        <v>40</v>
      </c>
    </row>
    <row r="1063" spans="1:31" ht="409.5">
      <c r="A1063" s="2">
        <v>2746199</v>
      </c>
      <c r="B1063" s="2">
        <f>HYPERLINK("https://platform.v2.vetology.net/cases/2746199/screening-report/1?type=pdf&amp;v=v6&amp;scorecard=1&amp;secret_key=BX%25IJ%24%2F65ieZ%29f6", 2746199)</f>
        <v>2746199</v>
      </c>
      <c r="C1063" s="2">
        <f>HYPERLINK("https://platform.v2.vetology.net/report/v/final/"&amp;2746199, 2746199)</f>
        <v>2746199</v>
      </c>
      <c r="D1063" s="2" t="s">
        <v>3554</v>
      </c>
      <c r="E1063" s="2" t="s">
        <v>3555</v>
      </c>
      <c r="F1063" s="2" t="s">
        <v>3556</v>
      </c>
      <c r="G1063" s="2" t="s">
        <v>170</v>
      </c>
      <c r="H1063" s="2" t="s">
        <v>3557</v>
      </c>
      <c r="I1063" s="2" t="s">
        <v>36</v>
      </c>
      <c r="J1063" s="2" t="s">
        <v>37</v>
      </c>
      <c r="K1063" s="2" t="s">
        <v>38</v>
      </c>
      <c r="L1063" s="2" t="s">
        <v>39</v>
      </c>
      <c r="M1063" s="2" t="s">
        <v>38</v>
      </c>
      <c r="N1063" s="2" t="s">
        <v>39</v>
      </c>
      <c r="O1063" s="2" t="s">
        <v>38</v>
      </c>
      <c r="P1063" s="2" t="s">
        <v>39</v>
      </c>
      <c r="Q1063" s="2" t="s">
        <v>39</v>
      </c>
      <c r="R1063" s="2" t="s">
        <v>38</v>
      </c>
      <c r="S1063" s="2" t="s">
        <v>39</v>
      </c>
      <c r="T1063" s="2" t="s">
        <v>39</v>
      </c>
      <c r="U1063" s="2" t="s">
        <v>39</v>
      </c>
      <c r="V1063" s="2" t="s">
        <v>38</v>
      </c>
      <c r="W1063" s="2" t="s">
        <v>38</v>
      </c>
      <c r="X1063" s="2" t="s">
        <v>38</v>
      </c>
      <c r="Y1063" s="2" t="s">
        <v>39</v>
      </c>
      <c r="Z1063" s="2" t="s">
        <v>39</v>
      </c>
      <c r="AA1063" s="2" t="s">
        <v>39</v>
      </c>
      <c r="AB1063" s="2" t="s">
        <v>39</v>
      </c>
      <c r="AC1063" s="2" t="s">
        <v>38</v>
      </c>
      <c r="AD1063" s="2" t="s">
        <v>38</v>
      </c>
      <c r="AE1063" s="2" t="s">
        <v>39</v>
      </c>
    </row>
    <row r="1064" spans="1:31" ht="409.5">
      <c r="A1064" s="2">
        <v>2746183</v>
      </c>
      <c r="B1064" s="2">
        <f>HYPERLINK("https://platform.v2.vetology.net/cases/2746183/screening-report/1?type=pdf&amp;v=v6&amp;scorecard=1&amp;secret_key=BX%25IJ%24%2F65ieZ%29f6", 2746183)</f>
        <v>2746183</v>
      </c>
      <c r="C1064" s="2">
        <f>HYPERLINK("https://platform.v2.vetology.net/report/v/final/"&amp;2746183, 2746183)</f>
        <v>2746183</v>
      </c>
      <c r="D1064" s="2" t="s">
        <v>3558</v>
      </c>
      <c r="E1064" s="2" t="s">
        <v>3559</v>
      </c>
      <c r="F1064" s="2" t="s">
        <v>3560</v>
      </c>
      <c r="G1064" s="2" t="s">
        <v>44</v>
      </c>
      <c r="H1064" s="2" t="s">
        <v>45</v>
      </c>
      <c r="I1064" s="2" t="s">
        <v>46</v>
      </c>
      <c r="J1064" s="2"/>
      <c r="K1064" s="2" t="s">
        <v>39</v>
      </c>
      <c r="L1064" s="2" t="s">
        <v>39</v>
      </c>
      <c r="M1064" s="2" t="s">
        <v>39</v>
      </c>
      <c r="N1064" s="2" t="s">
        <v>39</v>
      </c>
      <c r="O1064" s="2" t="s">
        <v>39</v>
      </c>
      <c r="P1064" s="2" t="s">
        <v>39</v>
      </c>
      <c r="Q1064" s="2" t="s">
        <v>39</v>
      </c>
      <c r="R1064" s="2" t="s">
        <v>38</v>
      </c>
      <c r="S1064" s="2" t="s">
        <v>39</v>
      </c>
      <c r="T1064" s="2" t="s">
        <v>39</v>
      </c>
      <c r="U1064" s="2" t="s">
        <v>39</v>
      </c>
      <c r="V1064" s="2" t="s">
        <v>39</v>
      </c>
      <c r="W1064" s="2" t="s">
        <v>39</v>
      </c>
      <c r="X1064" s="2" t="s">
        <v>39</v>
      </c>
      <c r="Y1064" s="2" t="s">
        <v>39</v>
      </c>
      <c r="Z1064" s="2" t="s">
        <v>39</v>
      </c>
      <c r="AA1064" s="2" t="s">
        <v>39</v>
      </c>
      <c r="AB1064" s="2" t="s">
        <v>39</v>
      </c>
      <c r="AC1064" s="2" t="s">
        <v>39</v>
      </c>
      <c r="AD1064" s="2" t="s">
        <v>39</v>
      </c>
      <c r="AE1064" s="2"/>
    </row>
    <row r="1065" spans="1:31" ht="409.5">
      <c r="A1065" s="2">
        <v>2746177</v>
      </c>
      <c r="B1065" s="2">
        <f>HYPERLINK("https://platform.v2.vetology.net/cases/2746177/screening-report/1?type=pdf&amp;v=v6&amp;scorecard=1&amp;secret_key=BX%25IJ%24%2F65ieZ%29f6", 2746177)</f>
        <v>2746177</v>
      </c>
      <c r="C1065" s="2">
        <f>HYPERLINK("https://platform.v2.vetology.net/report/v/final/"&amp;2746177, 2746177)</f>
        <v>2746177</v>
      </c>
      <c r="D1065" s="2" t="s">
        <v>3561</v>
      </c>
      <c r="E1065" s="2" t="s">
        <v>3562</v>
      </c>
      <c r="F1065" s="2" t="s">
        <v>3563</v>
      </c>
      <c r="G1065" s="2" t="s">
        <v>53</v>
      </c>
      <c r="H1065" s="2" t="s">
        <v>3564</v>
      </c>
      <c r="I1065" s="2" t="s">
        <v>59</v>
      </c>
      <c r="J1065" s="2" t="s">
        <v>37</v>
      </c>
      <c r="K1065" s="2" t="s">
        <v>38</v>
      </c>
      <c r="L1065" s="2" t="s">
        <v>38</v>
      </c>
      <c r="M1065" s="2" t="s">
        <v>39</v>
      </c>
      <c r="N1065" s="2" t="s">
        <v>39</v>
      </c>
      <c r="O1065" s="2" t="s">
        <v>39</v>
      </c>
      <c r="P1065" s="2" t="s">
        <v>39</v>
      </c>
      <c r="Q1065" s="2" t="s">
        <v>39</v>
      </c>
      <c r="R1065" s="2" t="s">
        <v>39</v>
      </c>
      <c r="S1065" s="2" t="s">
        <v>39</v>
      </c>
      <c r="T1065" s="2" t="s">
        <v>39</v>
      </c>
      <c r="U1065" s="2" t="s">
        <v>38</v>
      </c>
      <c r="V1065" s="2" t="s">
        <v>38</v>
      </c>
      <c r="W1065" s="2" t="s">
        <v>38</v>
      </c>
      <c r="X1065" s="2" t="s">
        <v>39</v>
      </c>
      <c r="Y1065" s="2" t="s">
        <v>39</v>
      </c>
      <c r="Z1065" s="2" t="s">
        <v>39</v>
      </c>
      <c r="AA1065" s="2" t="s">
        <v>38</v>
      </c>
      <c r="AB1065" s="2" t="s">
        <v>39</v>
      </c>
      <c r="AC1065" s="2" t="s">
        <v>38</v>
      </c>
      <c r="AD1065" s="2" t="s">
        <v>39</v>
      </c>
      <c r="AE1065" s="2" t="s">
        <v>40</v>
      </c>
    </row>
    <row r="1066" spans="1:31" ht="409.5">
      <c r="A1066" s="2">
        <v>2746164</v>
      </c>
      <c r="B1066" s="2">
        <f>HYPERLINK("https://platform.v2.vetology.net/cases/2746164/screening-report/1?type=pdf&amp;v=v6&amp;scorecard=1&amp;secret_key=BX%25IJ%24%2F65ieZ%29f6", 2746164)</f>
        <v>2746164</v>
      </c>
      <c r="C1066" s="2">
        <f>HYPERLINK("https://platform.v2.vetology.net/report/v/final/"&amp;2746164, 2746164)</f>
        <v>2746164</v>
      </c>
      <c r="D1066" s="2" t="s">
        <v>3565</v>
      </c>
      <c r="E1066" s="2" t="s">
        <v>3566</v>
      </c>
      <c r="F1066" s="2" t="s">
        <v>3567</v>
      </c>
      <c r="G1066" s="2" t="s">
        <v>34</v>
      </c>
      <c r="H1066" s="2" t="s">
        <v>3568</v>
      </c>
      <c r="I1066" s="2" t="s">
        <v>257</v>
      </c>
      <c r="J1066" s="2" t="s">
        <v>74</v>
      </c>
      <c r="K1066" s="2" t="s">
        <v>38</v>
      </c>
      <c r="L1066" s="2" t="s">
        <v>38</v>
      </c>
      <c r="M1066" s="2" t="s">
        <v>38</v>
      </c>
      <c r="N1066" s="2" t="s">
        <v>38</v>
      </c>
      <c r="O1066" s="2" t="s">
        <v>38</v>
      </c>
      <c r="P1066" s="2" t="s">
        <v>38</v>
      </c>
      <c r="Q1066" s="2" t="s">
        <v>38</v>
      </c>
      <c r="R1066" s="2" t="s">
        <v>38</v>
      </c>
      <c r="S1066" s="2" t="s">
        <v>38</v>
      </c>
      <c r="T1066" s="2" t="s">
        <v>38</v>
      </c>
      <c r="U1066" s="2" t="s">
        <v>38</v>
      </c>
      <c r="V1066" s="2" t="s">
        <v>38</v>
      </c>
      <c r="W1066" s="2" t="s">
        <v>38</v>
      </c>
      <c r="X1066" s="2" t="s">
        <v>38</v>
      </c>
      <c r="Y1066" s="2" t="s">
        <v>38</v>
      </c>
      <c r="Z1066" s="2" t="s">
        <v>38</v>
      </c>
      <c r="AA1066" s="2" t="s">
        <v>38</v>
      </c>
      <c r="AB1066" s="2" t="s">
        <v>38</v>
      </c>
      <c r="AC1066" s="2" t="s">
        <v>38</v>
      </c>
      <c r="AD1066" s="2" t="s">
        <v>38</v>
      </c>
      <c r="AE1066" s="2" t="s">
        <v>40</v>
      </c>
    </row>
    <row r="1067" spans="1:31" ht="409.5">
      <c r="A1067" s="2">
        <v>2746157</v>
      </c>
      <c r="B1067" s="2">
        <f>HYPERLINK("https://platform.v2.vetology.net/cases/2746157/screening-report/1?type=pdf&amp;v=v6&amp;scorecard=1&amp;secret_key=BX%25IJ%24%2F65ieZ%29f6", 2746157)</f>
        <v>2746157</v>
      </c>
      <c r="C1067" s="2">
        <f>HYPERLINK("https://platform.v2.vetology.net/report/v/final/"&amp;2746157, 2746157)</f>
        <v>2746157</v>
      </c>
      <c r="D1067" s="2" t="s">
        <v>3569</v>
      </c>
      <c r="E1067" s="2" t="s">
        <v>3570</v>
      </c>
      <c r="F1067" s="2" t="s">
        <v>3571</v>
      </c>
      <c r="G1067" s="2" t="s">
        <v>34</v>
      </c>
      <c r="H1067" s="2" t="s">
        <v>222</v>
      </c>
      <c r="I1067" s="2" t="s">
        <v>36</v>
      </c>
      <c r="J1067" s="2" t="s">
        <v>37</v>
      </c>
      <c r="K1067" s="2" t="s">
        <v>39</v>
      </c>
      <c r="L1067" s="2" t="s">
        <v>39</v>
      </c>
      <c r="M1067" s="2" t="s">
        <v>38</v>
      </c>
      <c r="N1067" s="2" t="s">
        <v>38</v>
      </c>
      <c r="O1067" s="2" t="s">
        <v>38</v>
      </c>
      <c r="P1067" s="2" t="s">
        <v>39</v>
      </c>
      <c r="Q1067" s="2" t="s">
        <v>39</v>
      </c>
      <c r="R1067" s="2" t="s">
        <v>38</v>
      </c>
      <c r="S1067" s="2" t="s">
        <v>38</v>
      </c>
      <c r="T1067" s="2" t="s">
        <v>39</v>
      </c>
      <c r="U1067" s="2" t="s">
        <v>39</v>
      </c>
      <c r="V1067" s="2" t="s">
        <v>39</v>
      </c>
      <c r="W1067" s="2" t="s">
        <v>38</v>
      </c>
      <c r="X1067" s="2" t="s">
        <v>39</v>
      </c>
      <c r="Y1067" s="2" t="s">
        <v>39</v>
      </c>
      <c r="Z1067" s="2" t="s">
        <v>38</v>
      </c>
      <c r="AA1067" s="2" t="s">
        <v>39</v>
      </c>
      <c r="AB1067" s="2" t="s">
        <v>39</v>
      </c>
      <c r="AC1067" s="2" t="s">
        <v>38</v>
      </c>
      <c r="AD1067" s="2" t="s">
        <v>38</v>
      </c>
      <c r="AE1067" s="2" t="s">
        <v>40</v>
      </c>
    </row>
    <row r="1068" spans="1:31" ht="409.5">
      <c r="A1068" s="2">
        <v>2746147</v>
      </c>
      <c r="B1068" s="2">
        <f>HYPERLINK("https://platform.v2.vetology.net/cases/2746147/screening-report/1?type=pdf&amp;v=v6&amp;scorecard=1&amp;secret_key=BX%25IJ%24%2F65ieZ%29f6", 2746147)</f>
        <v>2746147</v>
      </c>
      <c r="C1068" s="2">
        <f>HYPERLINK("https://platform.v2.vetology.net/report/v/final/"&amp;2746147, 2746147)</f>
        <v>2746147</v>
      </c>
      <c r="D1068" s="2" t="s">
        <v>3572</v>
      </c>
      <c r="E1068" s="2" t="s">
        <v>3573</v>
      </c>
      <c r="F1068" s="2" t="s">
        <v>3574</v>
      </c>
      <c r="G1068" s="2" t="s">
        <v>34</v>
      </c>
      <c r="H1068" s="2" t="s">
        <v>675</v>
      </c>
      <c r="I1068" s="2" t="s">
        <v>36</v>
      </c>
      <c r="J1068" s="2" t="s">
        <v>37</v>
      </c>
      <c r="K1068" s="2" t="s">
        <v>38</v>
      </c>
      <c r="L1068" s="2" t="s">
        <v>38</v>
      </c>
      <c r="M1068" s="2" t="s">
        <v>38</v>
      </c>
      <c r="N1068" s="2" t="s">
        <v>38</v>
      </c>
      <c r="O1068" s="2" t="s">
        <v>38</v>
      </c>
      <c r="P1068" s="2" t="s">
        <v>39</v>
      </c>
      <c r="Q1068" s="2" t="s">
        <v>39</v>
      </c>
      <c r="R1068" s="2" t="s">
        <v>38</v>
      </c>
      <c r="S1068" s="2" t="s">
        <v>38</v>
      </c>
      <c r="T1068" s="2" t="s">
        <v>38</v>
      </c>
      <c r="U1068" s="2" t="s">
        <v>39</v>
      </c>
      <c r="V1068" s="2" t="s">
        <v>38</v>
      </c>
      <c r="W1068" s="2" t="s">
        <v>38</v>
      </c>
      <c r="X1068" s="2" t="s">
        <v>39</v>
      </c>
      <c r="Y1068" s="2" t="s">
        <v>39</v>
      </c>
      <c r="Z1068" s="2" t="s">
        <v>38</v>
      </c>
      <c r="AA1068" s="2" t="s">
        <v>38</v>
      </c>
      <c r="AB1068" s="2" t="s">
        <v>39</v>
      </c>
      <c r="AC1068" s="2" t="s">
        <v>38</v>
      </c>
      <c r="AD1068" s="2" t="s">
        <v>38</v>
      </c>
      <c r="AE1068" s="2" t="s">
        <v>40</v>
      </c>
    </row>
    <row r="1069" spans="1:31" ht="409.5">
      <c r="A1069" s="2">
        <v>2746141</v>
      </c>
      <c r="B1069" s="2">
        <f>HYPERLINK("https://platform.v2.vetology.net/cases/2746141/screening-report/1?type=pdf&amp;v=v6&amp;scorecard=1&amp;secret_key=BX%25IJ%24%2F65ieZ%29f6", 2746141)</f>
        <v>2746141</v>
      </c>
      <c r="C1069" s="2">
        <f>HYPERLINK("https://platform.v2.vetology.net/report/v/final/"&amp;2746141, 2746141)</f>
        <v>2746141</v>
      </c>
      <c r="D1069" s="2" t="s">
        <v>3575</v>
      </c>
      <c r="E1069" s="2" t="s">
        <v>3576</v>
      </c>
      <c r="F1069" s="2" t="s">
        <v>3577</v>
      </c>
      <c r="G1069" s="2" t="s">
        <v>170</v>
      </c>
      <c r="H1069" s="2" t="s">
        <v>515</v>
      </c>
      <c r="I1069" s="2" t="s">
        <v>36</v>
      </c>
      <c r="J1069" s="2" t="s">
        <v>37</v>
      </c>
      <c r="K1069" s="2" t="s">
        <v>39</v>
      </c>
      <c r="L1069" s="2" t="s">
        <v>39</v>
      </c>
      <c r="M1069" s="2" t="s">
        <v>38</v>
      </c>
      <c r="N1069" s="2" t="s">
        <v>39</v>
      </c>
      <c r="O1069" s="2" t="s">
        <v>38</v>
      </c>
      <c r="P1069" s="2" t="s">
        <v>39</v>
      </c>
      <c r="Q1069" s="2" t="s">
        <v>39</v>
      </c>
      <c r="R1069" s="2" t="s">
        <v>39</v>
      </c>
      <c r="S1069" s="2" t="s">
        <v>39</v>
      </c>
      <c r="T1069" s="2" t="s">
        <v>38</v>
      </c>
      <c r="U1069" s="2" t="s">
        <v>39</v>
      </c>
      <c r="V1069" s="2" t="s">
        <v>39</v>
      </c>
      <c r="W1069" s="2" t="s">
        <v>38</v>
      </c>
      <c r="X1069" s="2" t="s">
        <v>39</v>
      </c>
      <c r="Y1069" s="2" t="s">
        <v>39</v>
      </c>
      <c r="Z1069" s="2" t="s">
        <v>39</v>
      </c>
      <c r="AA1069" s="2" t="s">
        <v>39</v>
      </c>
      <c r="AB1069" s="2" t="s">
        <v>39</v>
      </c>
      <c r="AC1069" s="2" t="s">
        <v>38</v>
      </c>
      <c r="AD1069" s="2" t="s">
        <v>38</v>
      </c>
      <c r="AE1069" s="2" t="s">
        <v>40</v>
      </c>
    </row>
    <row r="1070" spans="1:31" ht="409.5">
      <c r="A1070" s="2">
        <v>2746138</v>
      </c>
      <c r="B1070" s="2">
        <f>HYPERLINK("https://platform.v2.vetology.net/cases/2746138/screening-report/1?type=pdf&amp;v=v6&amp;scorecard=1&amp;secret_key=BX%25IJ%24%2F65ieZ%29f6", 2746138)</f>
        <v>2746138</v>
      </c>
      <c r="C1070" s="2">
        <f>HYPERLINK("https://platform.v2.vetology.net/report/v/final/"&amp;2746138, 2746138)</f>
        <v>2746138</v>
      </c>
      <c r="D1070" s="2" t="s">
        <v>3578</v>
      </c>
      <c r="E1070" s="2" t="s">
        <v>3579</v>
      </c>
      <c r="F1070" s="2" t="s">
        <v>43</v>
      </c>
      <c r="G1070" s="2" t="s">
        <v>44</v>
      </c>
      <c r="H1070" s="2" t="s">
        <v>3580</v>
      </c>
      <c r="I1070" s="2" t="s">
        <v>36</v>
      </c>
      <c r="J1070" s="2" t="s">
        <v>37</v>
      </c>
      <c r="K1070" s="2" t="s">
        <v>38</v>
      </c>
      <c r="L1070" s="2" t="s">
        <v>38</v>
      </c>
      <c r="M1070" s="2" t="s">
        <v>38</v>
      </c>
      <c r="N1070" s="2" t="s">
        <v>38</v>
      </c>
      <c r="O1070" s="2" t="s">
        <v>38</v>
      </c>
      <c r="P1070" s="2" t="s">
        <v>38</v>
      </c>
      <c r="Q1070" s="2" t="s">
        <v>39</v>
      </c>
      <c r="R1070" s="2" t="s">
        <v>38</v>
      </c>
      <c r="S1070" s="2" t="s">
        <v>38</v>
      </c>
      <c r="T1070" s="2" t="s">
        <v>39</v>
      </c>
      <c r="U1070" s="2" t="s">
        <v>38</v>
      </c>
      <c r="V1070" s="2" t="s">
        <v>38</v>
      </c>
      <c r="W1070" s="2" t="s">
        <v>38</v>
      </c>
      <c r="X1070" s="2" t="s">
        <v>38</v>
      </c>
      <c r="Y1070" s="2" t="s">
        <v>38</v>
      </c>
      <c r="Z1070" s="2" t="s">
        <v>38</v>
      </c>
      <c r="AA1070" s="2" t="s">
        <v>38</v>
      </c>
      <c r="AB1070" s="2" t="s">
        <v>39</v>
      </c>
      <c r="AC1070" s="2" t="s">
        <v>38</v>
      </c>
      <c r="AD1070" s="2" t="s">
        <v>38</v>
      </c>
      <c r="AE1070" s="2" t="s">
        <v>40</v>
      </c>
    </row>
    <row r="1071" spans="1:31" ht="409.5">
      <c r="A1071" s="2">
        <v>2746134</v>
      </c>
      <c r="B1071" s="2">
        <f>HYPERLINK("https://platform.v2.vetology.net/cases/2746134/screening-report/1?type=pdf&amp;v=v6&amp;scorecard=1&amp;secret_key=BX%25IJ%24%2F65ieZ%29f6", 2746134)</f>
        <v>2746134</v>
      </c>
      <c r="C1071" s="2">
        <f>HYPERLINK("https://platform.v2.vetology.net/report/v/final/"&amp;2746134, 2746134)</f>
        <v>2746134</v>
      </c>
      <c r="D1071" s="2" t="s">
        <v>3581</v>
      </c>
      <c r="E1071" s="2" t="s">
        <v>3582</v>
      </c>
      <c r="F1071" s="2" t="s">
        <v>3583</v>
      </c>
      <c r="G1071" s="2" t="s">
        <v>170</v>
      </c>
      <c r="H1071" s="2" t="s">
        <v>3584</v>
      </c>
      <c r="I1071" s="2" t="s">
        <v>73</v>
      </c>
      <c r="J1071" s="2" t="s">
        <v>74</v>
      </c>
      <c r="K1071" s="2" t="s">
        <v>38</v>
      </c>
      <c r="L1071" s="2" t="s">
        <v>38</v>
      </c>
      <c r="M1071" s="2" t="s">
        <v>38</v>
      </c>
      <c r="N1071" s="2" t="s">
        <v>38</v>
      </c>
      <c r="O1071" s="2" t="s">
        <v>38</v>
      </c>
      <c r="P1071" s="2" t="s">
        <v>38</v>
      </c>
      <c r="Q1071" s="2" t="s">
        <v>38</v>
      </c>
      <c r="R1071" s="2" t="s">
        <v>38</v>
      </c>
      <c r="S1071" s="2" t="s">
        <v>38</v>
      </c>
      <c r="T1071" s="2" t="s">
        <v>38</v>
      </c>
      <c r="U1071" s="2" t="s">
        <v>38</v>
      </c>
      <c r="V1071" s="2" t="s">
        <v>38</v>
      </c>
      <c r="W1071" s="2" t="s">
        <v>39</v>
      </c>
      <c r="X1071" s="2" t="s">
        <v>38</v>
      </c>
      <c r="Y1071" s="2" t="s">
        <v>39</v>
      </c>
      <c r="Z1071" s="2" t="s">
        <v>38</v>
      </c>
      <c r="AA1071" s="2" t="s">
        <v>38</v>
      </c>
      <c r="AB1071" s="2" t="s">
        <v>38</v>
      </c>
      <c r="AC1071" s="2" t="s">
        <v>38</v>
      </c>
      <c r="AD1071" s="2" t="s">
        <v>38</v>
      </c>
      <c r="AE1071" s="2" t="s">
        <v>40</v>
      </c>
    </row>
    <row r="1072" spans="1:31" ht="409.5">
      <c r="A1072" s="2">
        <v>2746133</v>
      </c>
      <c r="B1072" s="2">
        <f>HYPERLINK("https://platform.v2.vetology.net/cases/2746133/screening-report/1?type=pdf&amp;v=v6&amp;scorecard=1&amp;secret_key=BX%25IJ%24%2F65ieZ%29f6", 2746133)</f>
        <v>2746133</v>
      </c>
      <c r="C1072" s="2">
        <f>HYPERLINK("https://platform.v2.vetology.net/report/v/final/"&amp;2746133, 2746133)</f>
        <v>2746133</v>
      </c>
      <c r="D1072" s="2" t="s">
        <v>3585</v>
      </c>
      <c r="E1072" s="2" t="s">
        <v>3586</v>
      </c>
      <c r="F1072" s="2" t="s">
        <v>174</v>
      </c>
      <c r="G1072" s="2" t="s">
        <v>170</v>
      </c>
      <c r="H1072" s="2" t="s">
        <v>3587</v>
      </c>
      <c r="I1072" s="2" t="s">
        <v>129</v>
      </c>
      <c r="J1072" s="2" t="s">
        <v>74</v>
      </c>
      <c r="K1072" s="2" t="s">
        <v>38</v>
      </c>
      <c r="L1072" s="2" t="s">
        <v>39</v>
      </c>
      <c r="M1072" s="2" t="s">
        <v>38</v>
      </c>
      <c r="N1072" s="2" t="s">
        <v>38</v>
      </c>
      <c r="O1072" s="2" t="s">
        <v>38</v>
      </c>
      <c r="P1072" s="2" t="s">
        <v>38</v>
      </c>
      <c r="Q1072" s="2" t="s">
        <v>38</v>
      </c>
      <c r="R1072" s="2" t="s">
        <v>39</v>
      </c>
      <c r="S1072" s="2" t="s">
        <v>38</v>
      </c>
      <c r="T1072" s="2" t="s">
        <v>38</v>
      </c>
      <c r="U1072" s="2" t="s">
        <v>38</v>
      </c>
      <c r="V1072" s="2" t="s">
        <v>38</v>
      </c>
      <c r="W1072" s="2" t="s">
        <v>38</v>
      </c>
      <c r="X1072" s="2" t="s">
        <v>38</v>
      </c>
      <c r="Y1072" s="2" t="s">
        <v>39</v>
      </c>
      <c r="Z1072" s="2" t="s">
        <v>39</v>
      </c>
      <c r="AA1072" s="2" t="s">
        <v>38</v>
      </c>
      <c r="AB1072" s="2" t="s">
        <v>38</v>
      </c>
      <c r="AC1072" s="2" t="s">
        <v>38</v>
      </c>
      <c r="AD1072" s="2" t="s">
        <v>39</v>
      </c>
      <c r="AE1072" s="2" t="s">
        <v>40</v>
      </c>
    </row>
    <row r="1073" spans="1:31" ht="409.5">
      <c r="A1073" s="2">
        <v>2746131</v>
      </c>
      <c r="B1073" s="2">
        <f>HYPERLINK("https://platform.v2.vetology.net/cases/2746131/screening-report/1?type=pdf&amp;v=v6&amp;scorecard=1&amp;secret_key=BX%25IJ%24%2F65ieZ%29f6", 2746131)</f>
        <v>2746131</v>
      </c>
      <c r="C1073" s="2">
        <f>HYPERLINK("https://platform.v2.vetology.net/report/v/final/"&amp;2746131, 2746131)</f>
        <v>2746131</v>
      </c>
      <c r="D1073" s="2" t="s">
        <v>3588</v>
      </c>
      <c r="E1073" s="2" t="s">
        <v>3589</v>
      </c>
      <c r="F1073" s="2" t="s">
        <v>3590</v>
      </c>
      <c r="G1073" s="2" t="s">
        <v>44</v>
      </c>
      <c r="H1073" s="2" t="s">
        <v>2862</v>
      </c>
      <c r="I1073" s="2" t="s">
        <v>46</v>
      </c>
      <c r="J1073" s="2"/>
      <c r="K1073" s="2" t="s">
        <v>38</v>
      </c>
      <c r="L1073" s="2" t="s">
        <v>39</v>
      </c>
      <c r="M1073" s="2" t="s">
        <v>39</v>
      </c>
      <c r="N1073" s="2" t="s">
        <v>39</v>
      </c>
      <c r="O1073" s="2" t="s">
        <v>39</v>
      </c>
      <c r="P1073" s="2" t="s">
        <v>39</v>
      </c>
      <c r="Q1073" s="2" t="s">
        <v>39</v>
      </c>
      <c r="R1073" s="2" t="s">
        <v>38</v>
      </c>
      <c r="S1073" s="2" t="s">
        <v>38</v>
      </c>
      <c r="T1073" s="2" t="s">
        <v>39</v>
      </c>
      <c r="U1073" s="2" t="s">
        <v>38</v>
      </c>
      <c r="V1073" s="2" t="s">
        <v>38</v>
      </c>
      <c r="W1073" s="2" t="s">
        <v>39</v>
      </c>
      <c r="X1073" s="2" t="s">
        <v>39</v>
      </c>
      <c r="Y1073" s="2" t="s">
        <v>39</v>
      </c>
      <c r="Z1073" s="2" t="s">
        <v>39</v>
      </c>
      <c r="AA1073" s="2" t="s">
        <v>38</v>
      </c>
      <c r="AB1073" s="2" t="s">
        <v>39</v>
      </c>
      <c r="AC1073" s="2" t="s">
        <v>38</v>
      </c>
      <c r="AD1073" s="2" t="s">
        <v>38</v>
      </c>
      <c r="AE1073" s="2" t="s">
        <v>39</v>
      </c>
    </row>
    <row r="1074" spans="1:31" ht="409.5">
      <c r="A1074" s="2">
        <v>2746122</v>
      </c>
      <c r="B1074" s="2">
        <f>HYPERLINK("https://platform.v2.vetology.net/cases/2746122/screening-report/1?type=pdf&amp;v=v6&amp;scorecard=1&amp;secret_key=BX%25IJ%24%2F65ieZ%29f6", 2746122)</f>
        <v>2746122</v>
      </c>
      <c r="C1074" s="2">
        <f>HYPERLINK("https://platform.v2.vetology.net/report/v/final/"&amp;2746122, 2746122)</f>
        <v>2746122</v>
      </c>
      <c r="D1074" s="2" t="s">
        <v>3591</v>
      </c>
      <c r="E1074" s="2" t="s">
        <v>3592</v>
      </c>
      <c r="F1074" s="2" t="s">
        <v>3593</v>
      </c>
      <c r="G1074" s="2" t="s">
        <v>34</v>
      </c>
      <c r="H1074" s="2" t="s">
        <v>3594</v>
      </c>
      <c r="I1074" s="2" t="s">
        <v>36</v>
      </c>
      <c r="J1074" s="2" t="s">
        <v>37</v>
      </c>
      <c r="K1074" s="2" t="s">
        <v>38</v>
      </c>
      <c r="L1074" s="2" t="s">
        <v>39</v>
      </c>
      <c r="M1074" s="2" t="s">
        <v>39</v>
      </c>
      <c r="N1074" s="2" t="s">
        <v>38</v>
      </c>
      <c r="O1074" s="2" t="s">
        <v>39</v>
      </c>
      <c r="P1074" s="2" t="s">
        <v>38</v>
      </c>
      <c r="Q1074" s="2" t="s">
        <v>39</v>
      </c>
      <c r="R1074" s="2" t="s">
        <v>39</v>
      </c>
      <c r="S1074" s="2" t="s">
        <v>38</v>
      </c>
      <c r="T1074" s="2" t="s">
        <v>39</v>
      </c>
      <c r="U1074" s="2" t="s">
        <v>38</v>
      </c>
      <c r="V1074" s="2" t="s">
        <v>38</v>
      </c>
      <c r="W1074" s="2" t="s">
        <v>38</v>
      </c>
      <c r="X1074" s="2" t="s">
        <v>39</v>
      </c>
      <c r="Y1074" s="2" t="s">
        <v>39</v>
      </c>
      <c r="Z1074" s="2" t="s">
        <v>39</v>
      </c>
      <c r="AA1074" s="2" t="s">
        <v>39</v>
      </c>
      <c r="AB1074" s="2" t="s">
        <v>39</v>
      </c>
      <c r="AC1074" s="2" t="s">
        <v>38</v>
      </c>
      <c r="AD1074" s="2" t="s">
        <v>38</v>
      </c>
      <c r="AE1074" s="2" t="s">
        <v>39</v>
      </c>
    </row>
    <row r="1075" spans="1:31" ht="409.5">
      <c r="A1075" s="2">
        <v>2746121</v>
      </c>
      <c r="B1075" s="2">
        <f>HYPERLINK("https://platform.v2.vetology.net/cases/2746121/screening-report/1?type=pdf&amp;v=v6&amp;scorecard=1&amp;secret_key=BX%25IJ%24%2F65ieZ%29f6", 2746121)</f>
        <v>2746121</v>
      </c>
      <c r="C1075" s="2">
        <f>HYPERLINK("https://platform.v2.vetology.net/report/v/final/"&amp;2746121, 2746121)</f>
        <v>2746121</v>
      </c>
      <c r="D1075" s="2" t="s">
        <v>3595</v>
      </c>
      <c r="E1075" s="2" t="s">
        <v>3596</v>
      </c>
      <c r="F1075" s="2" t="s">
        <v>43</v>
      </c>
      <c r="G1075" s="2" t="s">
        <v>44</v>
      </c>
      <c r="H1075" s="2" t="s">
        <v>3597</v>
      </c>
      <c r="I1075" s="2" t="s">
        <v>36</v>
      </c>
      <c r="J1075" s="2" t="s">
        <v>37</v>
      </c>
      <c r="K1075" s="2" t="s">
        <v>38</v>
      </c>
      <c r="L1075" s="2" t="s">
        <v>39</v>
      </c>
      <c r="M1075" s="2" t="s">
        <v>38</v>
      </c>
      <c r="N1075" s="2" t="s">
        <v>38</v>
      </c>
      <c r="O1075" s="2" t="s">
        <v>38</v>
      </c>
      <c r="P1075" s="2" t="s">
        <v>38</v>
      </c>
      <c r="Q1075" s="2" t="s">
        <v>39</v>
      </c>
      <c r="R1075" s="2" t="s">
        <v>39</v>
      </c>
      <c r="S1075" s="2" t="s">
        <v>39</v>
      </c>
      <c r="T1075" s="2" t="s">
        <v>38</v>
      </c>
      <c r="U1075" s="2" t="s">
        <v>39</v>
      </c>
      <c r="V1075" s="2" t="s">
        <v>38</v>
      </c>
      <c r="W1075" s="2" t="s">
        <v>38</v>
      </c>
      <c r="X1075" s="2" t="s">
        <v>39</v>
      </c>
      <c r="Y1075" s="2" t="s">
        <v>39</v>
      </c>
      <c r="Z1075" s="2" t="s">
        <v>39</v>
      </c>
      <c r="AA1075" s="2" t="s">
        <v>39</v>
      </c>
      <c r="AB1075" s="2" t="s">
        <v>39</v>
      </c>
      <c r="AC1075" s="2" t="s">
        <v>39</v>
      </c>
      <c r="AD1075" s="2" t="s">
        <v>39</v>
      </c>
      <c r="AE1075" s="2" t="s">
        <v>39</v>
      </c>
    </row>
    <row r="1076" spans="1:31" ht="409.5">
      <c r="A1076" s="2">
        <v>2746108</v>
      </c>
      <c r="B1076" s="2">
        <f>HYPERLINK("https://platform.v2.vetology.net/cases/2746108/screening-report/1?type=pdf&amp;v=v6&amp;scorecard=1&amp;secret_key=BX%25IJ%24%2F65ieZ%29f6", 2746108)</f>
        <v>2746108</v>
      </c>
      <c r="C1076" s="2">
        <f>HYPERLINK("https://platform.v2.vetology.net/report/v/final/"&amp;2746108, 2746108)</f>
        <v>2746108</v>
      </c>
      <c r="D1076" s="2" t="s">
        <v>3598</v>
      </c>
      <c r="E1076" s="2" t="s">
        <v>3599</v>
      </c>
      <c r="F1076" s="2"/>
      <c r="G1076" s="2" t="s">
        <v>81</v>
      </c>
      <c r="H1076" s="2" t="s">
        <v>69</v>
      </c>
      <c r="I1076" s="2" t="s">
        <v>46</v>
      </c>
      <c r="J1076" s="2"/>
      <c r="K1076" s="2" t="s">
        <v>39</v>
      </c>
      <c r="L1076" s="2" t="s">
        <v>39</v>
      </c>
      <c r="M1076" s="2" t="s">
        <v>39</v>
      </c>
      <c r="N1076" s="2" t="s">
        <v>39</v>
      </c>
      <c r="O1076" s="2" t="s">
        <v>39</v>
      </c>
      <c r="P1076" s="2" t="s">
        <v>39</v>
      </c>
      <c r="Q1076" s="2" t="s">
        <v>39</v>
      </c>
      <c r="R1076" s="2" t="s">
        <v>39</v>
      </c>
      <c r="S1076" s="2" t="s">
        <v>39</v>
      </c>
      <c r="T1076" s="2" t="s">
        <v>39</v>
      </c>
      <c r="U1076" s="2" t="s">
        <v>39</v>
      </c>
      <c r="V1076" s="2" t="s">
        <v>39</v>
      </c>
      <c r="W1076" s="2" t="s">
        <v>39</v>
      </c>
      <c r="X1076" s="2" t="s">
        <v>39</v>
      </c>
      <c r="Y1076" s="2" t="s">
        <v>39</v>
      </c>
      <c r="Z1076" s="2" t="s">
        <v>39</v>
      </c>
      <c r="AA1076" s="2" t="s">
        <v>39</v>
      </c>
      <c r="AB1076" s="2" t="s">
        <v>39</v>
      </c>
      <c r="AC1076" s="2" t="s">
        <v>39</v>
      </c>
      <c r="AD1076" s="2" t="s">
        <v>39</v>
      </c>
      <c r="AE1076" s="2" t="s">
        <v>39</v>
      </c>
    </row>
    <row r="1077" spans="1:31" ht="409.5">
      <c r="A1077" s="2">
        <v>2746041</v>
      </c>
      <c r="B1077" s="2">
        <f>HYPERLINK("https://platform.v2.vetology.net/cases/2746041/screening-report/1?type=pdf&amp;v=v6&amp;scorecard=1&amp;secret_key=BX%25IJ%24%2F65ieZ%29f6", 2746041)</f>
        <v>2746041</v>
      </c>
      <c r="C1077" s="2">
        <f>HYPERLINK("https://platform.v2.vetology.net/report/v/final/"&amp;2746041, 2746041)</f>
        <v>2746041</v>
      </c>
      <c r="D1077" s="2" t="s">
        <v>3600</v>
      </c>
      <c r="E1077" s="2" t="s">
        <v>3601</v>
      </c>
      <c r="F1077" s="2" t="s">
        <v>3602</v>
      </c>
      <c r="G1077" s="2" t="s">
        <v>170</v>
      </c>
      <c r="H1077" s="2" t="s">
        <v>277</v>
      </c>
      <c r="I1077" s="2" t="s">
        <v>46</v>
      </c>
      <c r="J1077" s="2"/>
      <c r="K1077" s="2" t="s">
        <v>39</v>
      </c>
      <c r="L1077" s="2" t="s">
        <v>38</v>
      </c>
      <c r="M1077" s="2" t="s">
        <v>39</v>
      </c>
      <c r="N1077" s="2" t="s">
        <v>39</v>
      </c>
      <c r="O1077" s="2" t="s">
        <v>39</v>
      </c>
      <c r="P1077" s="2" t="s">
        <v>39</v>
      </c>
      <c r="Q1077" s="2" t="s">
        <v>39</v>
      </c>
      <c r="R1077" s="2" t="s">
        <v>39</v>
      </c>
      <c r="S1077" s="2" t="s">
        <v>39</v>
      </c>
      <c r="T1077" s="2" t="s">
        <v>39</v>
      </c>
      <c r="U1077" s="2" t="s">
        <v>39</v>
      </c>
      <c r="V1077" s="2" t="s">
        <v>39</v>
      </c>
      <c r="W1077" s="2" t="s">
        <v>38</v>
      </c>
      <c r="X1077" s="2" t="s">
        <v>39</v>
      </c>
      <c r="Y1077" s="2" t="s">
        <v>39</v>
      </c>
      <c r="Z1077" s="2" t="s">
        <v>39</v>
      </c>
      <c r="AA1077" s="2" t="s">
        <v>39</v>
      </c>
      <c r="AB1077" s="2" t="s">
        <v>39</v>
      </c>
      <c r="AC1077" s="2" t="s">
        <v>38</v>
      </c>
      <c r="AD1077" s="2" t="s">
        <v>38</v>
      </c>
      <c r="AE1077" s="2" t="s">
        <v>39</v>
      </c>
    </row>
    <row r="1078" spans="1:31" ht="409.5">
      <c r="A1078" s="2">
        <v>2746039</v>
      </c>
      <c r="B1078" s="2">
        <f>HYPERLINK("https://platform.v2.vetology.net/cases/2746039/screening-report/1?type=pdf&amp;v=v6&amp;scorecard=1&amp;secret_key=BX%25IJ%24%2F65ieZ%29f6", 2746039)</f>
        <v>2746039</v>
      </c>
      <c r="C1078" s="2">
        <f>HYPERLINK("https://platform.v2.vetology.net/report/v/final/"&amp;2746039, 2746039)</f>
        <v>2746039</v>
      </c>
      <c r="D1078" s="2" t="s">
        <v>302</v>
      </c>
      <c r="E1078" s="2" t="s">
        <v>99</v>
      </c>
      <c r="F1078" s="2"/>
      <c r="G1078" s="2" t="s">
        <v>100</v>
      </c>
      <c r="H1078" s="2" t="s">
        <v>2256</v>
      </c>
      <c r="I1078" s="2" t="s">
        <v>36</v>
      </c>
      <c r="J1078" s="2" t="s">
        <v>37</v>
      </c>
      <c r="K1078" s="2" t="s">
        <v>39</v>
      </c>
      <c r="L1078" s="2" t="s">
        <v>38</v>
      </c>
      <c r="M1078" s="2" t="s">
        <v>38</v>
      </c>
      <c r="N1078" s="2" t="s">
        <v>38</v>
      </c>
      <c r="O1078" s="2" t="s">
        <v>38</v>
      </c>
      <c r="P1078" s="2" t="s">
        <v>39</v>
      </c>
      <c r="Q1078" s="2" t="s">
        <v>39</v>
      </c>
      <c r="R1078" s="2" t="s">
        <v>38</v>
      </c>
      <c r="S1078" s="2" t="s">
        <v>39</v>
      </c>
      <c r="T1078" s="2" t="s">
        <v>38</v>
      </c>
      <c r="U1078" s="2" t="s">
        <v>39</v>
      </c>
      <c r="V1078" s="2" t="s">
        <v>39</v>
      </c>
      <c r="W1078" s="2" t="s">
        <v>39</v>
      </c>
      <c r="X1078" s="2" t="s">
        <v>39</v>
      </c>
      <c r="Y1078" s="2" t="s">
        <v>39</v>
      </c>
      <c r="Z1078" s="2" t="s">
        <v>39</v>
      </c>
      <c r="AA1078" s="2" t="s">
        <v>39</v>
      </c>
      <c r="AB1078" s="2" t="s">
        <v>39</v>
      </c>
      <c r="AC1078" s="2" t="s">
        <v>38</v>
      </c>
      <c r="AD1078" s="2" t="s">
        <v>38</v>
      </c>
      <c r="AE1078" s="2" t="s">
        <v>39</v>
      </c>
    </row>
    <row r="1079" spans="1:31" ht="409.5">
      <c r="A1079" s="2">
        <v>2746019</v>
      </c>
      <c r="B1079" s="2">
        <f>HYPERLINK("https://platform.v2.vetology.net/cases/2746019/screening-report/1?type=pdf&amp;v=v6&amp;scorecard=1&amp;secret_key=BX%25IJ%24%2F65ieZ%29f6", 2746019)</f>
        <v>2746019</v>
      </c>
      <c r="C1079" s="2">
        <f>HYPERLINK("https://platform.v2.vetology.net/report/v/final/"&amp;2746019, 2746019)</f>
        <v>2746019</v>
      </c>
      <c r="D1079" s="2" t="s">
        <v>3603</v>
      </c>
      <c r="E1079" s="2" t="s">
        <v>3604</v>
      </c>
      <c r="F1079" s="2" t="s">
        <v>3605</v>
      </c>
      <c r="G1079" s="2" t="s">
        <v>170</v>
      </c>
      <c r="H1079" s="2" t="s">
        <v>3606</v>
      </c>
      <c r="I1079" s="2" t="s">
        <v>36</v>
      </c>
      <c r="J1079" s="2" t="s">
        <v>37</v>
      </c>
      <c r="K1079" s="2" t="s">
        <v>39</v>
      </c>
      <c r="L1079" s="2" t="s">
        <v>38</v>
      </c>
      <c r="M1079" s="2" t="s">
        <v>38</v>
      </c>
      <c r="N1079" s="2" t="s">
        <v>39</v>
      </c>
      <c r="O1079" s="2" t="s">
        <v>38</v>
      </c>
      <c r="P1079" s="2" t="s">
        <v>39</v>
      </c>
      <c r="Q1079" s="2" t="s">
        <v>39</v>
      </c>
      <c r="R1079" s="2" t="s">
        <v>39</v>
      </c>
      <c r="S1079" s="2" t="s">
        <v>39</v>
      </c>
      <c r="T1079" s="2" t="s">
        <v>39</v>
      </c>
      <c r="U1079" s="2" t="s">
        <v>39</v>
      </c>
      <c r="V1079" s="2" t="s">
        <v>39</v>
      </c>
      <c r="W1079" s="2" t="s">
        <v>39</v>
      </c>
      <c r="X1079" s="2" t="s">
        <v>39</v>
      </c>
      <c r="Y1079" s="2" t="s">
        <v>39</v>
      </c>
      <c r="Z1079" s="2" t="s">
        <v>39</v>
      </c>
      <c r="AA1079" s="2" t="s">
        <v>38</v>
      </c>
      <c r="AB1079" s="2" t="s">
        <v>39</v>
      </c>
      <c r="AC1079" s="2" t="s">
        <v>39</v>
      </c>
      <c r="AD1079" s="2" t="s">
        <v>38</v>
      </c>
      <c r="AE1079" s="2" t="s">
        <v>39</v>
      </c>
    </row>
    <row r="1080" spans="1:31" ht="409.5">
      <c r="A1080" s="2">
        <v>2745962</v>
      </c>
      <c r="B1080" s="2">
        <f>HYPERLINK("https://platform.v2.vetology.net/cases/2745962/screening-report/1?type=pdf&amp;v=v6&amp;scorecard=1&amp;secret_key=BX%25IJ%24%2F65ieZ%29f6", 2745962)</f>
        <v>2745962</v>
      </c>
      <c r="C1080" s="2">
        <f>HYPERLINK("https://platform.v2.vetology.net/report/v/final/"&amp;2745962, 2745962)</f>
        <v>2745962</v>
      </c>
      <c r="D1080" s="2" t="s">
        <v>3607</v>
      </c>
      <c r="E1080" s="2" t="s">
        <v>3608</v>
      </c>
      <c r="F1080" s="2" t="s">
        <v>3609</v>
      </c>
      <c r="G1080" s="2" t="s">
        <v>251</v>
      </c>
      <c r="H1080" s="2" t="s">
        <v>3610</v>
      </c>
      <c r="I1080" s="2" t="s">
        <v>129</v>
      </c>
      <c r="J1080" s="2" t="s">
        <v>74</v>
      </c>
      <c r="K1080" s="2" t="s">
        <v>38</v>
      </c>
      <c r="L1080" s="2" t="s">
        <v>39</v>
      </c>
      <c r="M1080" s="2" t="s">
        <v>38</v>
      </c>
      <c r="N1080" s="2" t="s">
        <v>38</v>
      </c>
      <c r="O1080" s="2" t="s">
        <v>38</v>
      </c>
      <c r="P1080" s="2" t="s">
        <v>38</v>
      </c>
      <c r="Q1080" s="2" t="s">
        <v>38</v>
      </c>
      <c r="R1080" s="2" t="s">
        <v>39</v>
      </c>
      <c r="S1080" s="2" t="s">
        <v>39</v>
      </c>
      <c r="T1080" s="2" t="s">
        <v>38</v>
      </c>
      <c r="U1080" s="2" t="s">
        <v>39</v>
      </c>
      <c r="V1080" s="2" t="s">
        <v>38</v>
      </c>
      <c r="W1080" s="2" t="s">
        <v>38</v>
      </c>
      <c r="X1080" s="2" t="s">
        <v>38</v>
      </c>
      <c r="Y1080" s="2" t="s">
        <v>39</v>
      </c>
      <c r="Z1080" s="2" t="s">
        <v>38</v>
      </c>
      <c r="AA1080" s="2" t="s">
        <v>38</v>
      </c>
      <c r="AB1080" s="2" t="s">
        <v>38</v>
      </c>
      <c r="AC1080" s="2" t="s">
        <v>38</v>
      </c>
      <c r="AD1080" s="2" t="s">
        <v>38</v>
      </c>
      <c r="AE1080" s="2" t="s">
        <v>40</v>
      </c>
    </row>
    <row r="1081" spans="1:31" ht="409.5">
      <c r="A1081" s="2">
        <v>2745945</v>
      </c>
      <c r="B1081" s="2">
        <f>HYPERLINK("https://platform.v2.vetology.net/cases/2745945/screening-report/1?type=pdf&amp;v=v6&amp;scorecard=1&amp;secret_key=BX%25IJ%24%2F65ieZ%29f6", 2745945)</f>
        <v>2745945</v>
      </c>
      <c r="C1081" s="2">
        <f>HYPERLINK("https://platform.v2.vetology.net/report/v/final/"&amp;2745945, 2745945)</f>
        <v>2745945</v>
      </c>
      <c r="D1081" s="2" t="s">
        <v>3611</v>
      </c>
      <c r="E1081" s="2" t="s">
        <v>3612</v>
      </c>
      <c r="F1081" s="2"/>
      <c r="G1081" s="2" t="s">
        <v>507</v>
      </c>
      <c r="H1081" s="2" t="s">
        <v>3606</v>
      </c>
      <c r="I1081" s="2" t="s">
        <v>36</v>
      </c>
      <c r="J1081" s="2" t="s">
        <v>37</v>
      </c>
      <c r="K1081" s="2" t="s">
        <v>39</v>
      </c>
      <c r="L1081" s="2" t="s">
        <v>38</v>
      </c>
      <c r="M1081" s="2" t="s">
        <v>38</v>
      </c>
      <c r="N1081" s="2" t="s">
        <v>39</v>
      </c>
      <c r="O1081" s="2" t="s">
        <v>39</v>
      </c>
      <c r="P1081" s="2" t="s">
        <v>39</v>
      </c>
      <c r="Q1081" s="2" t="s">
        <v>39</v>
      </c>
      <c r="R1081" s="2" t="s">
        <v>39</v>
      </c>
      <c r="S1081" s="2" t="s">
        <v>39</v>
      </c>
      <c r="T1081" s="2" t="s">
        <v>39</v>
      </c>
      <c r="U1081" s="2" t="s">
        <v>39</v>
      </c>
      <c r="V1081" s="2" t="s">
        <v>39</v>
      </c>
      <c r="W1081" s="2" t="s">
        <v>39</v>
      </c>
      <c r="X1081" s="2" t="s">
        <v>39</v>
      </c>
      <c r="Y1081" s="2" t="s">
        <v>39</v>
      </c>
      <c r="Z1081" s="2" t="s">
        <v>39</v>
      </c>
      <c r="AA1081" s="2" t="s">
        <v>39</v>
      </c>
      <c r="AB1081" s="2" t="s">
        <v>39</v>
      </c>
      <c r="AC1081" s="2" t="s">
        <v>38</v>
      </c>
      <c r="AD1081" s="2" t="s">
        <v>39</v>
      </c>
      <c r="AE1081" s="2" t="s">
        <v>40</v>
      </c>
    </row>
    <row r="1082" spans="1:31" ht="409.5">
      <c r="A1082" s="2">
        <v>2745938</v>
      </c>
      <c r="B1082" s="2">
        <f>HYPERLINK("https://platform.v2.vetology.net/cases/2745938/screening-report/1?type=pdf&amp;v=v6&amp;scorecard=1&amp;secret_key=BX%25IJ%24%2F65ieZ%29f6", 2745938)</f>
        <v>2745938</v>
      </c>
      <c r="C1082" s="2">
        <f>HYPERLINK("https://platform.v2.vetology.net/report/v/final/"&amp;2745938, 2745938)</f>
        <v>2745938</v>
      </c>
      <c r="D1082" s="2" t="s">
        <v>3613</v>
      </c>
      <c r="E1082" s="2" t="s">
        <v>3614</v>
      </c>
      <c r="F1082" s="2" t="s">
        <v>3615</v>
      </c>
      <c r="G1082" s="2" t="s">
        <v>53</v>
      </c>
      <c r="H1082" s="2" t="s">
        <v>3616</v>
      </c>
      <c r="I1082" s="2" t="s">
        <v>73</v>
      </c>
      <c r="J1082" s="2" t="s">
        <v>74</v>
      </c>
      <c r="K1082" s="2" t="s">
        <v>38</v>
      </c>
      <c r="L1082" s="2" t="s">
        <v>38</v>
      </c>
      <c r="M1082" s="2" t="s">
        <v>38</v>
      </c>
      <c r="N1082" s="2" t="s">
        <v>38</v>
      </c>
      <c r="O1082" s="2" t="s">
        <v>38</v>
      </c>
      <c r="P1082" s="2" t="s">
        <v>38</v>
      </c>
      <c r="Q1082" s="2" t="s">
        <v>38</v>
      </c>
      <c r="R1082" s="2" t="s">
        <v>38</v>
      </c>
      <c r="S1082" s="2" t="s">
        <v>38</v>
      </c>
      <c r="T1082" s="2" t="s">
        <v>38</v>
      </c>
      <c r="U1082" s="2" t="s">
        <v>38</v>
      </c>
      <c r="V1082" s="2" t="s">
        <v>38</v>
      </c>
      <c r="W1082" s="2" t="s">
        <v>38</v>
      </c>
      <c r="X1082" s="2" t="s">
        <v>38</v>
      </c>
      <c r="Y1082" s="2" t="s">
        <v>38</v>
      </c>
      <c r="Z1082" s="2" t="s">
        <v>38</v>
      </c>
      <c r="AA1082" s="2" t="s">
        <v>38</v>
      </c>
      <c r="AB1082" s="2" t="s">
        <v>38</v>
      </c>
      <c r="AC1082" s="2" t="s">
        <v>38</v>
      </c>
      <c r="AD1082" s="2" t="s">
        <v>39</v>
      </c>
      <c r="AE1082" s="2" t="s">
        <v>40</v>
      </c>
    </row>
    <row r="1083" spans="1:31" ht="409.5">
      <c r="A1083" s="2">
        <v>2745923</v>
      </c>
      <c r="B1083" s="2">
        <f>HYPERLINK("https://platform.v2.vetology.net/cases/2745923/screening-report/1?type=pdf&amp;v=v6&amp;scorecard=1&amp;secret_key=BX%25IJ%24%2F65ieZ%29f6", 2745923)</f>
        <v>2745923</v>
      </c>
      <c r="C1083" s="2">
        <f>HYPERLINK("https://platform.v2.vetology.net/report/v/final/"&amp;2745923, 2745923)</f>
        <v>2745923</v>
      </c>
      <c r="D1083" s="2" t="s">
        <v>3617</v>
      </c>
      <c r="E1083" s="2" t="s">
        <v>3618</v>
      </c>
      <c r="F1083" s="2" t="s">
        <v>3619</v>
      </c>
      <c r="G1083" s="2" t="s">
        <v>53</v>
      </c>
      <c r="H1083" s="2" t="s">
        <v>888</v>
      </c>
      <c r="I1083" s="2" t="s">
        <v>36</v>
      </c>
      <c r="J1083" s="2" t="s">
        <v>37</v>
      </c>
      <c r="K1083" s="2" t="s">
        <v>39</v>
      </c>
      <c r="L1083" s="2" t="s">
        <v>39</v>
      </c>
      <c r="M1083" s="2" t="s">
        <v>38</v>
      </c>
      <c r="N1083" s="2" t="s">
        <v>38</v>
      </c>
      <c r="O1083" s="2" t="s">
        <v>38</v>
      </c>
      <c r="P1083" s="2" t="s">
        <v>39</v>
      </c>
      <c r="Q1083" s="2" t="s">
        <v>39</v>
      </c>
      <c r="R1083" s="2" t="s">
        <v>38</v>
      </c>
      <c r="S1083" s="2" t="s">
        <v>39</v>
      </c>
      <c r="T1083" s="2" t="s">
        <v>38</v>
      </c>
      <c r="U1083" s="2" t="s">
        <v>39</v>
      </c>
      <c r="V1083" s="2" t="s">
        <v>39</v>
      </c>
      <c r="W1083" s="2" t="s">
        <v>38</v>
      </c>
      <c r="X1083" s="2" t="s">
        <v>38</v>
      </c>
      <c r="Y1083" s="2" t="s">
        <v>38</v>
      </c>
      <c r="Z1083" s="2" t="s">
        <v>38</v>
      </c>
      <c r="AA1083" s="2" t="s">
        <v>38</v>
      </c>
      <c r="AB1083" s="2" t="s">
        <v>38</v>
      </c>
      <c r="AC1083" s="2" t="s">
        <v>38</v>
      </c>
      <c r="AD1083" s="2" t="s">
        <v>38</v>
      </c>
      <c r="AE1083" s="2" t="s">
        <v>40</v>
      </c>
    </row>
    <row r="1084" spans="1:31" ht="409.5">
      <c r="A1084" s="2">
        <v>2745920</v>
      </c>
      <c r="B1084" s="2">
        <f>HYPERLINK("https://platform.v2.vetology.net/cases/2745920/screening-report/1?type=pdf&amp;v=v6&amp;scorecard=1&amp;secret_key=BX%25IJ%24%2F65ieZ%29f6", 2745920)</f>
        <v>2745920</v>
      </c>
      <c r="C1084" s="2">
        <f>HYPERLINK("https://platform.v2.vetology.net/report/v/final/"&amp;2745920, 2745920)</f>
        <v>2745920</v>
      </c>
      <c r="D1084" s="2" t="s">
        <v>3620</v>
      </c>
      <c r="E1084" s="2" t="s">
        <v>3621</v>
      </c>
      <c r="F1084" s="2" t="s">
        <v>3622</v>
      </c>
      <c r="G1084" s="2" t="s">
        <v>34</v>
      </c>
      <c r="H1084" s="2" t="s">
        <v>3623</v>
      </c>
      <c r="I1084" s="2" t="s">
        <v>36</v>
      </c>
      <c r="J1084" s="2" t="s">
        <v>37</v>
      </c>
      <c r="K1084" s="2" t="s">
        <v>39</v>
      </c>
      <c r="L1084" s="2" t="s">
        <v>38</v>
      </c>
      <c r="M1084" s="2" t="s">
        <v>39</v>
      </c>
      <c r="N1084" s="2" t="s">
        <v>38</v>
      </c>
      <c r="O1084" s="2" t="s">
        <v>39</v>
      </c>
      <c r="P1084" s="2" t="s">
        <v>39</v>
      </c>
      <c r="Q1084" s="2" t="s">
        <v>39</v>
      </c>
      <c r="R1084" s="2" t="s">
        <v>39</v>
      </c>
      <c r="S1084" s="2" t="s">
        <v>39</v>
      </c>
      <c r="T1084" s="2" t="s">
        <v>38</v>
      </c>
      <c r="U1084" s="2" t="s">
        <v>39</v>
      </c>
      <c r="V1084" s="2" t="s">
        <v>38</v>
      </c>
      <c r="W1084" s="2" t="s">
        <v>38</v>
      </c>
      <c r="X1084" s="2" t="s">
        <v>39</v>
      </c>
      <c r="Y1084" s="2" t="s">
        <v>38</v>
      </c>
      <c r="Z1084" s="2" t="s">
        <v>38</v>
      </c>
      <c r="AA1084" s="2" t="s">
        <v>39</v>
      </c>
      <c r="AB1084" s="2" t="s">
        <v>39</v>
      </c>
      <c r="AC1084" s="2" t="s">
        <v>38</v>
      </c>
      <c r="AD1084" s="2" t="s">
        <v>38</v>
      </c>
      <c r="AE1084" s="2" t="s">
        <v>39</v>
      </c>
    </row>
    <row r="1085" spans="1:31" ht="409.5">
      <c r="A1085" s="2">
        <v>2745918</v>
      </c>
      <c r="B1085" s="2">
        <f>HYPERLINK("https://platform.v2.vetology.net/cases/2745918/screening-report/1?type=pdf&amp;v=v6&amp;scorecard=1&amp;secret_key=BX%25IJ%24%2F65ieZ%29f6", 2745918)</f>
        <v>2745918</v>
      </c>
      <c r="C1085" s="2">
        <f>HYPERLINK("https://platform.v2.vetology.net/report/v/final/"&amp;2745918, 2745918)</f>
        <v>2745918</v>
      </c>
      <c r="D1085" s="2" t="s">
        <v>3624</v>
      </c>
      <c r="E1085" s="2" t="s">
        <v>3625</v>
      </c>
      <c r="F1085" s="2" t="s">
        <v>43</v>
      </c>
      <c r="G1085" s="2" t="s">
        <v>507</v>
      </c>
      <c r="H1085" s="2" t="s">
        <v>3626</v>
      </c>
      <c r="I1085" s="2" t="s">
        <v>73</v>
      </c>
      <c r="J1085" s="2" t="s">
        <v>74</v>
      </c>
      <c r="K1085" s="2" t="s">
        <v>38</v>
      </c>
      <c r="L1085" s="2" t="s">
        <v>39</v>
      </c>
      <c r="M1085" s="2" t="s">
        <v>38</v>
      </c>
      <c r="N1085" s="2" t="s">
        <v>38</v>
      </c>
      <c r="O1085" s="2" t="s">
        <v>38</v>
      </c>
      <c r="P1085" s="2" t="s">
        <v>38</v>
      </c>
      <c r="Q1085" s="2" t="s">
        <v>38</v>
      </c>
      <c r="R1085" s="2" t="s">
        <v>38</v>
      </c>
      <c r="S1085" s="2" t="s">
        <v>38</v>
      </c>
      <c r="T1085" s="2" t="s">
        <v>38</v>
      </c>
      <c r="U1085" s="2" t="s">
        <v>39</v>
      </c>
      <c r="V1085" s="2" t="s">
        <v>39</v>
      </c>
      <c r="W1085" s="2" t="s">
        <v>38</v>
      </c>
      <c r="X1085" s="2" t="s">
        <v>38</v>
      </c>
      <c r="Y1085" s="2" t="s">
        <v>39</v>
      </c>
      <c r="Z1085" s="2" t="s">
        <v>38</v>
      </c>
      <c r="AA1085" s="2" t="s">
        <v>38</v>
      </c>
      <c r="AB1085" s="2" t="s">
        <v>38</v>
      </c>
      <c r="AC1085" s="2" t="s">
        <v>38</v>
      </c>
      <c r="AD1085" s="2" t="s">
        <v>39</v>
      </c>
      <c r="AE1085" s="2" t="s">
        <v>40</v>
      </c>
    </row>
    <row r="1086" spans="1:31" ht="409.5">
      <c r="A1086" s="2">
        <v>2745913</v>
      </c>
      <c r="B1086" s="2">
        <f>HYPERLINK("https://platform.v2.vetology.net/cases/2745913/screening-report/1?type=pdf&amp;v=v6&amp;scorecard=1&amp;secret_key=BX%25IJ%24%2F65ieZ%29f6", 2745913)</f>
        <v>2745913</v>
      </c>
      <c r="C1086" s="2">
        <f>HYPERLINK("https://platform.v2.vetology.net/report/v/final/"&amp;2745913, 2745913)</f>
        <v>2745913</v>
      </c>
      <c r="D1086" s="2" t="s">
        <v>3627</v>
      </c>
      <c r="E1086" s="2" t="s">
        <v>3628</v>
      </c>
      <c r="F1086" s="2" t="s">
        <v>3629</v>
      </c>
      <c r="G1086" s="2" t="s">
        <v>251</v>
      </c>
      <c r="H1086" s="2" t="s">
        <v>69</v>
      </c>
      <c r="I1086" s="2" t="s">
        <v>46</v>
      </c>
      <c r="J1086" s="2"/>
      <c r="K1086" s="2" t="s">
        <v>39</v>
      </c>
      <c r="L1086" s="2" t="s">
        <v>39</v>
      </c>
      <c r="M1086" s="2" t="s">
        <v>39</v>
      </c>
      <c r="N1086" s="2" t="s">
        <v>39</v>
      </c>
      <c r="O1086" s="2" t="s">
        <v>39</v>
      </c>
      <c r="P1086" s="2" t="s">
        <v>39</v>
      </c>
      <c r="Q1086" s="2" t="s">
        <v>39</v>
      </c>
      <c r="R1086" s="2" t="s">
        <v>39</v>
      </c>
      <c r="S1086" s="2" t="s">
        <v>39</v>
      </c>
      <c r="T1086" s="2" t="s">
        <v>39</v>
      </c>
      <c r="U1086" s="2" t="s">
        <v>39</v>
      </c>
      <c r="V1086" s="2" t="s">
        <v>39</v>
      </c>
      <c r="W1086" s="2" t="s">
        <v>39</v>
      </c>
      <c r="X1086" s="2" t="s">
        <v>39</v>
      </c>
      <c r="Y1086" s="2" t="s">
        <v>39</v>
      </c>
      <c r="Z1086" s="2" t="s">
        <v>39</v>
      </c>
      <c r="AA1086" s="2" t="s">
        <v>39</v>
      </c>
      <c r="AB1086" s="2" t="s">
        <v>39</v>
      </c>
      <c r="AC1086" s="2" t="s">
        <v>38</v>
      </c>
      <c r="AD1086" s="2" t="s">
        <v>39</v>
      </c>
      <c r="AE1086" s="2" t="s">
        <v>39</v>
      </c>
    </row>
    <row r="1087" spans="1:31" ht="409.5">
      <c r="A1087" s="2">
        <v>2745905</v>
      </c>
      <c r="B1087" s="2">
        <f>HYPERLINK("https://platform.v2.vetology.net/cases/2745905/screening-report/1?type=pdf&amp;v=v6&amp;scorecard=1&amp;secret_key=BX%25IJ%24%2F65ieZ%29f6", 2745905)</f>
        <v>2745905</v>
      </c>
      <c r="C1087" s="2">
        <f>HYPERLINK("https://platform.v2.vetology.net/report/v/final/"&amp;2745905, 2745905)</f>
        <v>2745905</v>
      </c>
      <c r="D1087" s="2" t="s">
        <v>3630</v>
      </c>
      <c r="E1087" s="2" t="s">
        <v>3631</v>
      </c>
      <c r="F1087" s="2" t="s">
        <v>43</v>
      </c>
      <c r="G1087" s="2" t="s">
        <v>507</v>
      </c>
      <c r="H1087" s="2" t="s">
        <v>3632</v>
      </c>
      <c r="I1087" s="2" t="s">
        <v>129</v>
      </c>
      <c r="J1087" s="2" t="s">
        <v>74</v>
      </c>
      <c r="K1087" s="2" t="s">
        <v>39</v>
      </c>
      <c r="L1087" s="2" t="s">
        <v>39</v>
      </c>
      <c r="M1087" s="2" t="s">
        <v>38</v>
      </c>
      <c r="N1087" s="2" t="s">
        <v>39</v>
      </c>
      <c r="O1087" s="2" t="s">
        <v>39</v>
      </c>
      <c r="P1087" s="2" t="s">
        <v>38</v>
      </c>
      <c r="Q1087" s="2" t="s">
        <v>38</v>
      </c>
      <c r="R1087" s="2" t="s">
        <v>39</v>
      </c>
      <c r="S1087" s="2" t="s">
        <v>38</v>
      </c>
      <c r="T1087" s="2" t="s">
        <v>38</v>
      </c>
      <c r="U1087" s="2" t="s">
        <v>39</v>
      </c>
      <c r="V1087" s="2" t="s">
        <v>39</v>
      </c>
      <c r="W1087" s="2" t="s">
        <v>38</v>
      </c>
      <c r="X1087" s="2" t="s">
        <v>38</v>
      </c>
      <c r="Y1087" s="2" t="s">
        <v>39</v>
      </c>
      <c r="Z1087" s="2" t="s">
        <v>39</v>
      </c>
      <c r="AA1087" s="2" t="s">
        <v>39</v>
      </c>
      <c r="AB1087" s="2" t="s">
        <v>38</v>
      </c>
      <c r="AC1087" s="2" t="s">
        <v>39</v>
      </c>
      <c r="AD1087" s="2" t="s">
        <v>38</v>
      </c>
      <c r="AE1087" s="2" t="s">
        <v>39</v>
      </c>
    </row>
    <row r="1088" spans="1:31" ht="409.5">
      <c r="A1088" s="2">
        <v>2745890</v>
      </c>
      <c r="B1088" s="2">
        <f>HYPERLINK("https://platform.v2.vetology.net/cases/2745890/screening-report/1?type=pdf&amp;v=v6&amp;scorecard=1&amp;secret_key=BX%25IJ%24%2F65ieZ%29f6", 2745890)</f>
        <v>2745890</v>
      </c>
      <c r="C1088" s="2">
        <f>HYPERLINK("https://platform.v2.vetology.net/report/v/final/"&amp;2745890, 2745890)</f>
        <v>2745890</v>
      </c>
      <c r="D1088" s="2" t="s">
        <v>3633</v>
      </c>
      <c r="E1088" s="2" t="s">
        <v>3634</v>
      </c>
      <c r="F1088" s="2" t="s">
        <v>3635</v>
      </c>
      <c r="G1088" s="2" t="s">
        <v>34</v>
      </c>
      <c r="H1088" s="2" t="s">
        <v>1188</v>
      </c>
      <c r="I1088" s="2" t="s">
        <v>129</v>
      </c>
      <c r="J1088" s="2" t="s">
        <v>74</v>
      </c>
      <c r="K1088" s="2" t="s">
        <v>39</v>
      </c>
      <c r="L1088" s="2" t="s">
        <v>38</v>
      </c>
      <c r="M1088" s="2" t="s">
        <v>38</v>
      </c>
      <c r="N1088" s="2" t="s">
        <v>38</v>
      </c>
      <c r="O1088" s="2" t="s">
        <v>39</v>
      </c>
      <c r="P1088" s="2" t="s">
        <v>39</v>
      </c>
      <c r="Q1088" s="2" t="s">
        <v>38</v>
      </c>
      <c r="R1088" s="2" t="s">
        <v>38</v>
      </c>
      <c r="S1088" s="2" t="s">
        <v>38</v>
      </c>
      <c r="T1088" s="2" t="s">
        <v>39</v>
      </c>
      <c r="U1088" s="2" t="s">
        <v>39</v>
      </c>
      <c r="V1088" s="2" t="s">
        <v>39</v>
      </c>
      <c r="W1088" s="2" t="s">
        <v>38</v>
      </c>
      <c r="X1088" s="2" t="s">
        <v>38</v>
      </c>
      <c r="Y1088" s="2" t="s">
        <v>39</v>
      </c>
      <c r="Z1088" s="2" t="s">
        <v>38</v>
      </c>
      <c r="AA1088" s="2" t="s">
        <v>38</v>
      </c>
      <c r="AB1088" s="2" t="s">
        <v>39</v>
      </c>
      <c r="AC1088" s="2" t="s">
        <v>38</v>
      </c>
      <c r="AD1088" s="2" t="s">
        <v>39</v>
      </c>
      <c r="AE1088" s="2"/>
    </row>
    <row r="1089" spans="1:31" ht="409.5">
      <c r="A1089" s="2">
        <v>2745886</v>
      </c>
      <c r="B1089" s="2">
        <f>HYPERLINK("https://platform.v2.vetology.net/cases/2745886/screening-report/1?type=pdf&amp;v=v6&amp;scorecard=1&amp;secret_key=BX%25IJ%24%2F65ieZ%29f6", 2745886)</f>
        <v>2745886</v>
      </c>
      <c r="C1089" s="2">
        <f>HYPERLINK("https://platform.v2.vetology.net/report/v/final/"&amp;2745886, 2745886)</f>
        <v>2745886</v>
      </c>
      <c r="D1089" s="2" t="s">
        <v>3636</v>
      </c>
      <c r="E1089" s="2" t="s">
        <v>3637</v>
      </c>
      <c r="F1089" s="2"/>
      <c r="G1089" s="2" t="s">
        <v>507</v>
      </c>
      <c r="H1089" s="2" t="s">
        <v>611</v>
      </c>
      <c r="I1089" s="2" t="s">
        <v>46</v>
      </c>
      <c r="J1089" s="2"/>
      <c r="K1089" s="2" t="s">
        <v>39</v>
      </c>
      <c r="L1089" s="2" t="s">
        <v>39</v>
      </c>
      <c r="M1089" s="2" t="s">
        <v>39</v>
      </c>
      <c r="N1089" s="2" t="s">
        <v>39</v>
      </c>
      <c r="O1089" s="2" t="s">
        <v>39</v>
      </c>
      <c r="P1089" s="2" t="s">
        <v>39</v>
      </c>
      <c r="Q1089" s="2" t="s">
        <v>39</v>
      </c>
      <c r="R1089" s="2" t="s">
        <v>39</v>
      </c>
      <c r="S1089" s="2" t="s">
        <v>39</v>
      </c>
      <c r="T1089" s="2" t="s">
        <v>39</v>
      </c>
      <c r="U1089" s="2" t="s">
        <v>39</v>
      </c>
      <c r="V1089" s="2" t="s">
        <v>39</v>
      </c>
      <c r="W1089" s="2" t="s">
        <v>39</v>
      </c>
      <c r="X1089" s="2" t="s">
        <v>39</v>
      </c>
      <c r="Y1089" s="2" t="s">
        <v>39</v>
      </c>
      <c r="Z1089" s="2" t="s">
        <v>39</v>
      </c>
      <c r="AA1089" s="2" t="s">
        <v>39</v>
      </c>
      <c r="AB1089" s="2" t="s">
        <v>39</v>
      </c>
      <c r="AC1089" s="2" t="s">
        <v>39</v>
      </c>
      <c r="AD1089" s="2" t="s">
        <v>39</v>
      </c>
      <c r="AE1089" s="2" t="s">
        <v>39</v>
      </c>
    </row>
    <row r="1090" spans="1:31" ht="409.5">
      <c r="A1090" s="2">
        <v>2745874</v>
      </c>
      <c r="B1090" s="2">
        <f>HYPERLINK("https://platform.v2.vetology.net/cases/2745874/screening-report/1?type=pdf&amp;v=v6&amp;scorecard=1&amp;secret_key=BX%25IJ%24%2F65ieZ%29f6", 2745874)</f>
        <v>2745874</v>
      </c>
      <c r="C1090" s="2">
        <f>HYPERLINK("https://platform.v2.vetology.net/report/v/final/"&amp;2745874, 2745874)</f>
        <v>2745874</v>
      </c>
      <c r="D1090" s="2" t="s">
        <v>3638</v>
      </c>
      <c r="E1090" s="2" t="s">
        <v>3639</v>
      </c>
      <c r="F1090" s="2" t="s">
        <v>3640</v>
      </c>
      <c r="G1090" s="2" t="s">
        <v>170</v>
      </c>
      <c r="H1090" s="2" t="s">
        <v>3641</v>
      </c>
      <c r="I1090" s="2" t="s">
        <v>257</v>
      </c>
      <c r="J1090" s="2" t="s">
        <v>74</v>
      </c>
      <c r="K1090" s="2" t="s">
        <v>38</v>
      </c>
      <c r="L1090" s="2" t="s">
        <v>38</v>
      </c>
      <c r="M1090" s="2" t="s">
        <v>38</v>
      </c>
      <c r="N1090" s="2" t="s">
        <v>38</v>
      </c>
      <c r="O1090" s="2" t="s">
        <v>38</v>
      </c>
      <c r="P1090" s="2" t="s">
        <v>38</v>
      </c>
      <c r="Q1090" s="2" t="s">
        <v>38</v>
      </c>
      <c r="R1090" s="2" t="s">
        <v>38</v>
      </c>
      <c r="S1090" s="2" t="s">
        <v>38</v>
      </c>
      <c r="T1090" s="2" t="s">
        <v>38</v>
      </c>
      <c r="U1090" s="2" t="s">
        <v>38</v>
      </c>
      <c r="V1090" s="2" t="s">
        <v>38</v>
      </c>
      <c r="W1090" s="2" t="s">
        <v>38</v>
      </c>
      <c r="X1090" s="2" t="s">
        <v>38</v>
      </c>
      <c r="Y1090" s="2" t="s">
        <v>38</v>
      </c>
      <c r="Z1090" s="2" t="s">
        <v>38</v>
      </c>
      <c r="AA1090" s="2" t="s">
        <v>38</v>
      </c>
      <c r="AB1090" s="2" t="s">
        <v>38</v>
      </c>
      <c r="AC1090" s="2" t="s">
        <v>38</v>
      </c>
      <c r="AD1090" s="2" t="s">
        <v>38</v>
      </c>
      <c r="AE1090" s="2" t="s">
        <v>39</v>
      </c>
    </row>
    <row r="1091" spans="1:31" ht="409.5">
      <c r="A1091" s="2">
        <v>2745868</v>
      </c>
      <c r="B1091" s="2">
        <f>HYPERLINK("https://platform.v2.vetology.net/cases/2745868/screening-report/1?type=pdf&amp;v=v6&amp;scorecard=1&amp;secret_key=BX%25IJ%24%2F65ieZ%29f6", 2745868)</f>
        <v>2745868</v>
      </c>
      <c r="C1091" s="2">
        <f>HYPERLINK("https://platform.v2.vetology.net/report/v/final/"&amp;2745868, 2745868)</f>
        <v>2745868</v>
      </c>
      <c r="D1091" s="2" t="s">
        <v>3642</v>
      </c>
      <c r="E1091" s="2" t="s">
        <v>3643</v>
      </c>
      <c r="F1091" s="2" t="s">
        <v>43</v>
      </c>
      <c r="G1091" s="2" t="s">
        <v>44</v>
      </c>
      <c r="H1091" s="2" t="s">
        <v>1175</v>
      </c>
      <c r="I1091" s="2" t="s">
        <v>36</v>
      </c>
      <c r="J1091" s="2" t="s">
        <v>37</v>
      </c>
      <c r="K1091" s="2" t="s">
        <v>39</v>
      </c>
      <c r="L1091" s="2" t="s">
        <v>39</v>
      </c>
      <c r="M1091" s="2" t="s">
        <v>38</v>
      </c>
      <c r="N1091" s="2" t="s">
        <v>39</v>
      </c>
      <c r="O1091" s="2" t="s">
        <v>38</v>
      </c>
      <c r="P1091" s="2" t="s">
        <v>39</v>
      </c>
      <c r="Q1091" s="2" t="s">
        <v>39</v>
      </c>
      <c r="R1091" s="2" t="s">
        <v>38</v>
      </c>
      <c r="S1091" s="2" t="s">
        <v>39</v>
      </c>
      <c r="T1091" s="2" t="s">
        <v>39</v>
      </c>
      <c r="U1091" s="2" t="s">
        <v>39</v>
      </c>
      <c r="V1091" s="2" t="s">
        <v>39</v>
      </c>
      <c r="W1091" s="2" t="s">
        <v>38</v>
      </c>
      <c r="X1091" s="2" t="s">
        <v>39</v>
      </c>
      <c r="Y1091" s="2" t="s">
        <v>39</v>
      </c>
      <c r="Z1091" s="2" t="s">
        <v>39</v>
      </c>
      <c r="AA1091" s="2" t="s">
        <v>39</v>
      </c>
      <c r="AB1091" s="2" t="s">
        <v>39</v>
      </c>
      <c r="AC1091" s="2" t="s">
        <v>38</v>
      </c>
      <c r="AD1091" s="2" t="s">
        <v>39</v>
      </c>
      <c r="AE1091" s="2" t="s">
        <v>39</v>
      </c>
    </row>
    <row r="1092" spans="1:31" ht="409.5">
      <c r="A1092" s="2">
        <v>2745790</v>
      </c>
      <c r="B1092" s="2">
        <f>HYPERLINK("https://platform.v2.vetology.net/cases/2745790/screening-report/1?type=pdf&amp;v=v6&amp;scorecard=1&amp;secret_key=BX%25IJ%24%2F65ieZ%29f6", 2745790)</f>
        <v>2745790</v>
      </c>
      <c r="C1092" s="2">
        <f>HYPERLINK("https://platform.v2.vetology.net/report/v/final/"&amp;2745790, 2745790)</f>
        <v>2745790</v>
      </c>
      <c r="D1092" s="2" t="s">
        <v>3644</v>
      </c>
      <c r="E1092" s="2" t="s">
        <v>3645</v>
      </c>
      <c r="F1092" s="2" t="s">
        <v>3646</v>
      </c>
      <c r="G1092" s="2" t="s">
        <v>170</v>
      </c>
      <c r="H1092" s="2" t="s">
        <v>3647</v>
      </c>
      <c r="I1092" s="2" t="s">
        <v>73</v>
      </c>
      <c r="J1092" s="2" t="s">
        <v>74</v>
      </c>
      <c r="K1092" s="2" t="s">
        <v>38</v>
      </c>
      <c r="L1092" s="2" t="s">
        <v>38</v>
      </c>
      <c r="M1092" s="2" t="s">
        <v>38</v>
      </c>
      <c r="N1092" s="2" t="s">
        <v>38</v>
      </c>
      <c r="O1092" s="2" t="s">
        <v>38</v>
      </c>
      <c r="P1092" s="2" t="s">
        <v>38</v>
      </c>
      <c r="Q1092" s="2" t="s">
        <v>38</v>
      </c>
      <c r="R1092" s="2" t="s">
        <v>38</v>
      </c>
      <c r="S1092" s="2" t="s">
        <v>38</v>
      </c>
      <c r="T1092" s="2" t="s">
        <v>38</v>
      </c>
      <c r="U1092" s="2" t="s">
        <v>38</v>
      </c>
      <c r="V1092" s="2" t="s">
        <v>38</v>
      </c>
      <c r="W1092" s="2" t="s">
        <v>38</v>
      </c>
      <c r="X1092" s="2" t="s">
        <v>38</v>
      </c>
      <c r="Y1092" s="2" t="s">
        <v>38</v>
      </c>
      <c r="Z1092" s="2" t="s">
        <v>38</v>
      </c>
      <c r="AA1092" s="2" t="s">
        <v>38</v>
      </c>
      <c r="AB1092" s="2" t="s">
        <v>38</v>
      </c>
      <c r="AC1092" s="2" t="s">
        <v>38</v>
      </c>
      <c r="AD1092" s="2" t="s">
        <v>38</v>
      </c>
      <c r="AE1092" s="2" t="s">
        <v>39</v>
      </c>
    </row>
    <row r="1093" spans="1:31" ht="409.5">
      <c r="A1093" s="2">
        <v>2745644</v>
      </c>
      <c r="B1093" s="2">
        <f>HYPERLINK("https://platform.v2.vetology.net/cases/2745644/screening-report/1?type=pdf&amp;v=v6&amp;scorecard=1&amp;secret_key=BX%25IJ%24%2F65ieZ%29f6", 2745644)</f>
        <v>2745644</v>
      </c>
      <c r="C1093" s="2">
        <f>HYPERLINK("https://platform.v2.vetology.net/report/v/final/"&amp;2745644, 2745644)</f>
        <v>2745644</v>
      </c>
      <c r="D1093" s="2" t="s">
        <v>3648</v>
      </c>
      <c r="E1093" s="2" t="s">
        <v>3649</v>
      </c>
      <c r="F1093" s="2" t="s">
        <v>43</v>
      </c>
      <c r="G1093" s="2" t="s">
        <v>44</v>
      </c>
      <c r="H1093" s="2" t="s">
        <v>3650</v>
      </c>
      <c r="I1093" s="2" t="s">
        <v>73</v>
      </c>
      <c r="J1093" s="2" t="s">
        <v>74</v>
      </c>
      <c r="K1093" s="2" t="s">
        <v>38</v>
      </c>
      <c r="L1093" s="2" t="s">
        <v>38</v>
      </c>
      <c r="M1093" s="2" t="s">
        <v>38</v>
      </c>
      <c r="N1093" s="2" t="s">
        <v>38</v>
      </c>
      <c r="O1093" s="2" t="s">
        <v>38</v>
      </c>
      <c r="P1093" s="2" t="s">
        <v>38</v>
      </c>
      <c r="Q1093" s="2" t="s">
        <v>38</v>
      </c>
      <c r="R1093" s="2" t="s">
        <v>38</v>
      </c>
      <c r="S1093" s="2" t="s">
        <v>38</v>
      </c>
      <c r="T1093" s="2" t="s">
        <v>38</v>
      </c>
      <c r="U1093" s="2" t="s">
        <v>38</v>
      </c>
      <c r="V1093" s="2" t="s">
        <v>38</v>
      </c>
      <c r="W1093" s="2" t="s">
        <v>38</v>
      </c>
      <c r="X1093" s="2" t="s">
        <v>38</v>
      </c>
      <c r="Y1093" s="2" t="s">
        <v>38</v>
      </c>
      <c r="Z1093" s="2" t="s">
        <v>38</v>
      </c>
      <c r="AA1093" s="2" t="s">
        <v>38</v>
      </c>
      <c r="AB1093" s="2" t="s">
        <v>38</v>
      </c>
      <c r="AC1093" s="2" t="s">
        <v>38</v>
      </c>
      <c r="AD1093" s="2" t="s">
        <v>38</v>
      </c>
      <c r="AE1093" s="2" t="s">
        <v>40</v>
      </c>
    </row>
    <row r="1094" spans="1:31" ht="409.5">
      <c r="A1094" s="2">
        <v>2745616</v>
      </c>
      <c r="B1094" s="2">
        <f>HYPERLINK("https://platform.v2.vetology.net/cases/2745616/screening-report/1?type=pdf&amp;v=v6&amp;scorecard=1&amp;secret_key=BX%25IJ%24%2F65ieZ%29f6", 2745616)</f>
        <v>2745616</v>
      </c>
      <c r="C1094" s="2">
        <f>HYPERLINK("https://platform.v2.vetology.net/report/v/final/"&amp;2745616, 2745616)</f>
        <v>2745616</v>
      </c>
      <c r="D1094" s="2" t="s">
        <v>3651</v>
      </c>
      <c r="E1094" s="2" t="s">
        <v>3652</v>
      </c>
      <c r="F1094" s="2" t="s">
        <v>3653</v>
      </c>
      <c r="G1094" s="2" t="s">
        <v>170</v>
      </c>
      <c r="H1094" s="2" t="s">
        <v>3444</v>
      </c>
      <c r="I1094" s="2" t="s">
        <v>129</v>
      </c>
      <c r="J1094" s="2" t="s">
        <v>74</v>
      </c>
      <c r="K1094" s="2" t="s">
        <v>39</v>
      </c>
      <c r="L1094" s="2" t="s">
        <v>38</v>
      </c>
      <c r="M1094" s="2" t="s">
        <v>38</v>
      </c>
      <c r="N1094" s="2" t="s">
        <v>38</v>
      </c>
      <c r="O1094" s="2" t="s">
        <v>38</v>
      </c>
      <c r="P1094" s="2" t="s">
        <v>38</v>
      </c>
      <c r="Q1094" s="2" t="s">
        <v>38</v>
      </c>
      <c r="R1094" s="2" t="s">
        <v>38</v>
      </c>
      <c r="S1094" s="2" t="s">
        <v>38</v>
      </c>
      <c r="T1094" s="2" t="s">
        <v>38</v>
      </c>
      <c r="U1094" s="2" t="s">
        <v>39</v>
      </c>
      <c r="V1094" s="2" t="s">
        <v>39</v>
      </c>
      <c r="W1094" s="2" t="s">
        <v>38</v>
      </c>
      <c r="X1094" s="2" t="s">
        <v>38</v>
      </c>
      <c r="Y1094" s="2" t="s">
        <v>38</v>
      </c>
      <c r="Z1094" s="2" t="s">
        <v>38</v>
      </c>
      <c r="AA1094" s="2" t="s">
        <v>38</v>
      </c>
      <c r="AB1094" s="2" t="s">
        <v>38</v>
      </c>
      <c r="AC1094" s="2" t="s">
        <v>38</v>
      </c>
      <c r="AD1094" s="2" t="s">
        <v>39</v>
      </c>
      <c r="AE1094" s="2" t="s">
        <v>40</v>
      </c>
    </row>
    <row r="1095" spans="1:31" ht="409.5">
      <c r="A1095" s="2">
        <v>2745579</v>
      </c>
      <c r="B1095" s="2">
        <f>HYPERLINK("https://platform.v2.vetology.net/cases/2745579/screening-report/1?type=pdf&amp;v=v6&amp;scorecard=1&amp;secret_key=BX%25IJ%24%2F65ieZ%29f6", 2745579)</f>
        <v>2745579</v>
      </c>
      <c r="C1095" s="2">
        <f>HYPERLINK("https://platform.v2.vetology.net/report/v/final/"&amp;2745579, 2745579)</f>
        <v>2745579</v>
      </c>
      <c r="D1095" s="2" t="s">
        <v>3654</v>
      </c>
      <c r="E1095" s="2" t="s">
        <v>3655</v>
      </c>
      <c r="F1095" s="2" t="s">
        <v>3656</v>
      </c>
      <c r="G1095" s="2" t="s">
        <v>170</v>
      </c>
      <c r="H1095" s="2" t="s">
        <v>3657</v>
      </c>
      <c r="I1095" s="2" t="s">
        <v>684</v>
      </c>
      <c r="J1095" s="2" t="s">
        <v>74</v>
      </c>
      <c r="K1095" s="2" t="s">
        <v>39</v>
      </c>
      <c r="L1095" s="2" t="s">
        <v>39</v>
      </c>
      <c r="M1095" s="2" t="s">
        <v>39</v>
      </c>
      <c r="N1095" s="2" t="s">
        <v>39</v>
      </c>
      <c r="O1095" s="2" t="s">
        <v>38</v>
      </c>
      <c r="P1095" s="2" t="s">
        <v>39</v>
      </c>
      <c r="Q1095" s="2" t="s">
        <v>38</v>
      </c>
      <c r="R1095" s="2" t="s">
        <v>39</v>
      </c>
      <c r="S1095" s="2" t="s">
        <v>39</v>
      </c>
      <c r="T1095" s="2" t="s">
        <v>39</v>
      </c>
      <c r="U1095" s="2" t="s">
        <v>38</v>
      </c>
      <c r="V1095" s="2" t="s">
        <v>39</v>
      </c>
      <c r="W1095" s="2" t="s">
        <v>39</v>
      </c>
      <c r="X1095" s="2" t="s">
        <v>39</v>
      </c>
      <c r="Y1095" s="2" t="s">
        <v>39</v>
      </c>
      <c r="Z1095" s="2" t="s">
        <v>39</v>
      </c>
      <c r="AA1095" s="2" t="s">
        <v>39</v>
      </c>
      <c r="AB1095" s="2" t="s">
        <v>39</v>
      </c>
      <c r="AC1095" s="2" t="s">
        <v>39</v>
      </c>
      <c r="AD1095" s="2" t="s">
        <v>38</v>
      </c>
      <c r="AE1095" s="2"/>
    </row>
    <row r="1096" spans="1:31" ht="409.5">
      <c r="A1096" s="2">
        <v>2745514</v>
      </c>
      <c r="B1096" s="2">
        <f>HYPERLINK("https://platform.v2.vetology.net/cases/2745514/screening-report/1?type=pdf&amp;v=v6&amp;scorecard=1&amp;secret_key=BX%25IJ%24%2F65ieZ%29f6", 2745514)</f>
        <v>2745514</v>
      </c>
      <c r="C1096" s="2">
        <f>HYPERLINK("https://platform.v2.vetology.net/report/v/final/"&amp;2745514, 2745514)</f>
        <v>2745514</v>
      </c>
      <c r="D1096" s="2" t="s">
        <v>3658</v>
      </c>
      <c r="E1096" s="2" t="s">
        <v>3659</v>
      </c>
      <c r="F1096" s="2" t="s">
        <v>3660</v>
      </c>
      <c r="G1096" s="2" t="s">
        <v>111</v>
      </c>
      <c r="H1096" s="2" t="s">
        <v>45</v>
      </c>
      <c r="I1096" s="2" t="s">
        <v>46</v>
      </c>
      <c r="J1096" s="2"/>
      <c r="K1096" s="2" t="s">
        <v>39</v>
      </c>
      <c r="L1096" s="2" t="s">
        <v>39</v>
      </c>
      <c r="M1096" s="2" t="s">
        <v>39</v>
      </c>
      <c r="N1096" s="2" t="s">
        <v>39</v>
      </c>
      <c r="O1096" s="2" t="s">
        <v>39</v>
      </c>
      <c r="P1096" s="2" t="s">
        <v>39</v>
      </c>
      <c r="Q1096" s="2" t="s">
        <v>39</v>
      </c>
      <c r="R1096" s="2" t="s">
        <v>38</v>
      </c>
      <c r="S1096" s="2" t="s">
        <v>39</v>
      </c>
      <c r="T1096" s="2" t="s">
        <v>39</v>
      </c>
      <c r="U1096" s="2" t="s">
        <v>39</v>
      </c>
      <c r="V1096" s="2" t="s">
        <v>39</v>
      </c>
      <c r="W1096" s="2" t="s">
        <v>39</v>
      </c>
      <c r="X1096" s="2" t="s">
        <v>39</v>
      </c>
      <c r="Y1096" s="2" t="s">
        <v>39</v>
      </c>
      <c r="Z1096" s="2" t="s">
        <v>39</v>
      </c>
      <c r="AA1096" s="2" t="s">
        <v>39</v>
      </c>
      <c r="AB1096" s="2" t="s">
        <v>39</v>
      </c>
      <c r="AC1096" s="2" t="s">
        <v>38</v>
      </c>
      <c r="AD1096" s="2" t="s">
        <v>38</v>
      </c>
      <c r="AE1096" s="2" t="s">
        <v>39</v>
      </c>
    </row>
    <row r="1097" spans="1:31" ht="409.5">
      <c r="A1097" s="2">
        <v>2745439</v>
      </c>
      <c r="B1097" s="2">
        <f>HYPERLINK("https://platform.v2.vetology.net/cases/2745439/screening-report/1?type=pdf&amp;v=v6&amp;scorecard=1&amp;secret_key=BX%25IJ%24%2F65ieZ%29f6", 2745439)</f>
        <v>2745439</v>
      </c>
      <c r="C1097" s="2">
        <f>HYPERLINK("https://platform.v2.vetology.net/report/v/final/"&amp;2745439, 2745439)</f>
        <v>2745439</v>
      </c>
      <c r="D1097" s="2" t="s">
        <v>3661</v>
      </c>
      <c r="E1097" s="2" t="s">
        <v>3662</v>
      </c>
      <c r="F1097" s="2" t="s">
        <v>3663</v>
      </c>
      <c r="G1097" s="2" t="s">
        <v>53</v>
      </c>
      <c r="H1097" s="2" t="s">
        <v>3664</v>
      </c>
      <c r="I1097" s="2" t="s">
        <v>36</v>
      </c>
      <c r="J1097" s="2" t="s">
        <v>37</v>
      </c>
      <c r="K1097" s="2" t="s">
        <v>39</v>
      </c>
      <c r="L1097" s="2" t="s">
        <v>38</v>
      </c>
      <c r="M1097" s="2" t="s">
        <v>38</v>
      </c>
      <c r="N1097" s="2" t="s">
        <v>38</v>
      </c>
      <c r="O1097" s="2" t="s">
        <v>38</v>
      </c>
      <c r="P1097" s="2" t="s">
        <v>38</v>
      </c>
      <c r="Q1097" s="2" t="s">
        <v>39</v>
      </c>
      <c r="R1097" s="2" t="s">
        <v>38</v>
      </c>
      <c r="S1097" s="2" t="s">
        <v>38</v>
      </c>
      <c r="T1097" s="2" t="s">
        <v>39</v>
      </c>
      <c r="U1097" s="2" t="s">
        <v>39</v>
      </c>
      <c r="V1097" s="2" t="s">
        <v>39</v>
      </c>
      <c r="W1097" s="2" t="s">
        <v>38</v>
      </c>
      <c r="X1097" s="2" t="s">
        <v>39</v>
      </c>
      <c r="Y1097" s="2" t="s">
        <v>39</v>
      </c>
      <c r="Z1097" s="2" t="s">
        <v>38</v>
      </c>
      <c r="AA1097" s="2" t="s">
        <v>38</v>
      </c>
      <c r="AB1097" s="2" t="s">
        <v>39</v>
      </c>
      <c r="AC1097" s="2" t="s">
        <v>38</v>
      </c>
      <c r="AD1097" s="2" t="s">
        <v>39</v>
      </c>
      <c r="AE1097" s="2"/>
    </row>
    <row r="1098" spans="1:31" ht="409.5">
      <c r="A1098" s="2">
        <v>2745432</v>
      </c>
      <c r="B1098" s="2">
        <f>HYPERLINK("https://platform.v2.vetology.net/cases/2745432/screening-report/1?type=pdf&amp;v=v6&amp;scorecard=1&amp;secret_key=BX%25IJ%24%2F65ieZ%29f6", 2745432)</f>
        <v>2745432</v>
      </c>
      <c r="C1098" s="2">
        <f>HYPERLINK("https://platform.v2.vetology.net/report/v/final/"&amp;2745432, 2745432)</f>
        <v>2745432</v>
      </c>
      <c r="D1098" s="2" t="s">
        <v>3665</v>
      </c>
      <c r="E1098" s="2" t="s">
        <v>3666</v>
      </c>
      <c r="F1098" s="2" t="s">
        <v>3667</v>
      </c>
      <c r="G1098" s="2" t="s">
        <v>34</v>
      </c>
      <c r="H1098" s="2" t="s">
        <v>3668</v>
      </c>
      <c r="I1098" s="2" t="s">
        <v>36</v>
      </c>
      <c r="J1098" s="2" t="s">
        <v>37</v>
      </c>
      <c r="K1098" s="2" t="s">
        <v>39</v>
      </c>
      <c r="L1098" s="2" t="s">
        <v>38</v>
      </c>
      <c r="M1098" s="2" t="s">
        <v>39</v>
      </c>
      <c r="N1098" s="2" t="s">
        <v>39</v>
      </c>
      <c r="O1098" s="2" t="s">
        <v>39</v>
      </c>
      <c r="P1098" s="2" t="s">
        <v>39</v>
      </c>
      <c r="Q1098" s="2" t="s">
        <v>39</v>
      </c>
      <c r="R1098" s="2" t="s">
        <v>39</v>
      </c>
      <c r="S1098" s="2" t="s">
        <v>38</v>
      </c>
      <c r="T1098" s="2" t="s">
        <v>39</v>
      </c>
      <c r="U1098" s="2" t="s">
        <v>39</v>
      </c>
      <c r="V1098" s="2" t="s">
        <v>39</v>
      </c>
      <c r="W1098" s="2" t="s">
        <v>38</v>
      </c>
      <c r="X1098" s="2" t="s">
        <v>39</v>
      </c>
      <c r="Y1098" s="2" t="s">
        <v>39</v>
      </c>
      <c r="Z1098" s="2" t="s">
        <v>38</v>
      </c>
      <c r="AA1098" s="2" t="s">
        <v>38</v>
      </c>
      <c r="AB1098" s="2" t="s">
        <v>39</v>
      </c>
      <c r="AC1098" s="2" t="s">
        <v>39</v>
      </c>
      <c r="AD1098" s="2" t="s">
        <v>39</v>
      </c>
      <c r="AE1098" s="2" t="s">
        <v>39</v>
      </c>
    </row>
    <row r="1099" spans="1:31" ht="409.5">
      <c r="A1099" s="2">
        <v>2745421</v>
      </c>
      <c r="B1099" s="2">
        <f>HYPERLINK("https://platform.v2.vetology.net/cases/2745421/screening-report/1?type=pdf&amp;v=v6&amp;scorecard=1&amp;secret_key=BX%25IJ%24%2F65ieZ%29f6", 2745421)</f>
        <v>2745421</v>
      </c>
      <c r="C1099" s="2">
        <f>HYPERLINK("https://platform.v2.vetology.net/report/v/final/"&amp;2745421, 2745421)</f>
        <v>2745421</v>
      </c>
      <c r="D1099" s="2" t="s">
        <v>3669</v>
      </c>
      <c r="E1099" s="2" t="s">
        <v>3670</v>
      </c>
      <c r="F1099" s="2" t="s">
        <v>43</v>
      </c>
      <c r="G1099" s="2" t="s">
        <v>507</v>
      </c>
      <c r="H1099" s="2" t="s">
        <v>3671</v>
      </c>
      <c r="I1099" s="2" t="s">
        <v>73</v>
      </c>
      <c r="J1099" s="2" t="s">
        <v>74</v>
      </c>
      <c r="K1099" s="2" t="s">
        <v>38</v>
      </c>
      <c r="L1099" s="2" t="s">
        <v>38</v>
      </c>
      <c r="M1099" s="2" t="s">
        <v>38</v>
      </c>
      <c r="N1099" s="2" t="s">
        <v>38</v>
      </c>
      <c r="O1099" s="2" t="s">
        <v>38</v>
      </c>
      <c r="P1099" s="2" t="s">
        <v>38</v>
      </c>
      <c r="Q1099" s="2" t="s">
        <v>38</v>
      </c>
      <c r="R1099" s="2" t="s">
        <v>38</v>
      </c>
      <c r="S1099" s="2" t="s">
        <v>38</v>
      </c>
      <c r="T1099" s="2" t="s">
        <v>38</v>
      </c>
      <c r="U1099" s="2" t="s">
        <v>38</v>
      </c>
      <c r="V1099" s="2" t="s">
        <v>38</v>
      </c>
      <c r="W1099" s="2" t="s">
        <v>38</v>
      </c>
      <c r="X1099" s="2" t="s">
        <v>38</v>
      </c>
      <c r="Y1099" s="2" t="s">
        <v>38</v>
      </c>
      <c r="Z1099" s="2" t="s">
        <v>38</v>
      </c>
      <c r="AA1099" s="2" t="s">
        <v>38</v>
      </c>
      <c r="AB1099" s="2" t="s">
        <v>38</v>
      </c>
      <c r="AC1099" s="2" t="s">
        <v>38</v>
      </c>
      <c r="AD1099" s="2" t="s">
        <v>38</v>
      </c>
      <c r="AE1099" s="2" t="s">
        <v>39</v>
      </c>
    </row>
    <row r="1100" spans="1:31" ht="409.5">
      <c r="A1100" s="2">
        <v>2745408</v>
      </c>
      <c r="B1100" s="2">
        <f>HYPERLINK("https://platform.v2.vetology.net/cases/2745408/screening-report/1?type=pdf&amp;v=v6&amp;scorecard=1&amp;secret_key=BX%25IJ%24%2F65ieZ%29f6", 2745408)</f>
        <v>2745408</v>
      </c>
      <c r="C1100" s="2">
        <f>HYPERLINK("https://platform.v2.vetology.net/report/v/final/"&amp;2745408, 2745408)</f>
        <v>2745408</v>
      </c>
      <c r="D1100" s="2" t="s">
        <v>3672</v>
      </c>
      <c r="E1100" s="2" t="s">
        <v>3673</v>
      </c>
      <c r="F1100" s="2" t="s">
        <v>43</v>
      </c>
      <c r="G1100" s="2" t="s">
        <v>507</v>
      </c>
      <c r="H1100" s="2" t="s">
        <v>201</v>
      </c>
      <c r="I1100" s="2" t="s">
        <v>36</v>
      </c>
      <c r="J1100" s="2" t="s">
        <v>37</v>
      </c>
      <c r="K1100" s="2" t="s">
        <v>39</v>
      </c>
      <c r="L1100" s="2" t="s">
        <v>39</v>
      </c>
      <c r="M1100" s="2" t="s">
        <v>38</v>
      </c>
      <c r="N1100" s="2" t="s">
        <v>38</v>
      </c>
      <c r="O1100" s="2" t="s">
        <v>38</v>
      </c>
      <c r="P1100" s="2" t="s">
        <v>39</v>
      </c>
      <c r="Q1100" s="2" t="s">
        <v>39</v>
      </c>
      <c r="R1100" s="2" t="s">
        <v>39</v>
      </c>
      <c r="S1100" s="2" t="s">
        <v>39</v>
      </c>
      <c r="T1100" s="2" t="s">
        <v>38</v>
      </c>
      <c r="U1100" s="2" t="s">
        <v>39</v>
      </c>
      <c r="V1100" s="2" t="s">
        <v>39</v>
      </c>
      <c r="W1100" s="2" t="s">
        <v>38</v>
      </c>
      <c r="X1100" s="2" t="s">
        <v>39</v>
      </c>
      <c r="Y1100" s="2" t="s">
        <v>39</v>
      </c>
      <c r="Z1100" s="2" t="s">
        <v>39</v>
      </c>
      <c r="AA1100" s="2" t="s">
        <v>39</v>
      </c>
      <c r="AB1100" s="2" t="s">
        <v>39</v>
      </c>
      <c r="AC1100" s="2" t="s">
        <v>39</v>
      </c>
      <c r="AD1100" s="2" t="s">
        <v>39</v>
      </c>
      <c r="AE1100" s="2" t="s">
        <v>39</v>
      </c>
    </row>
    <row r="1101" spans="1:31" ht="409.5">
      <c r="A1101" s="2">
        <v>2745405</v>
      </c>
      <c r="B1101" s="2">
        <f>HYPERLINK("https://platform.v2.vetology.net/cases/2745405/screening-report/1?type=pdf&amp;v=v6&amp;scorecard=1&amp;secret_key=BX%25IJ%24%2F65ieZ%29f6", 2745405)</f>
        <v>2745405</v>
      </c>
      <c r="C1101" s="2">
        <f>HYPERLINK("https://platform.v2.vetology.net/report/v/final/"&amp;2745405, 2745405)</f>
        <v>2745405</v>
      </c>
      <c r="D1101" s="2" t="s">
        <v>3674</v>
      </c>
      <c r="E1101" s="2" t="s">
        <v>3675</v>
      </c>
      <c r="F1101" s="2" t="s">
        <v>3676</v>
      </c>
      <c r="G1101" s="2" t="s">
        <v>53</v>
      </c>
      <c r="H1101" s="2" t="s">
        <v>62</v>
      </c>
      <c r="I1101" s="2" t="s">
        <v>46</v>
      </c>
      <c r="J1101" s="2"/>
      <c r="K1101" s="2" t="s">
        <v>39</v>
      </c>
      <c r="L1101" s="2" t="s">
        <v>39</v>
      </c>
      <c r="M1101" s="2" t="s">
        <v>39</v>
      </c>
      <c r="N1101" s="2" t="s">
        <v>39</v>
      </c>
      <c r="O1101" s="2" t="s">
        <v>39</v>
      </c>
      <c r="P1101" s="2" t="s">
        <v>39</v>
      </c>
      <c r="Q1101" s="2" t="s">
        <v>39</v>
      </c>
      <c r="R1101" s="2" t="s">
        <v>38</v>
      </c>
      <c r="S1101" s="2" t="s">
        <v>38</v>
      </c>
      <c r="T1101" s="2" t="s">
        <v>39</v>
      </c>
      <c r="U1101" s="2" t="s">
        <v>39</v>
      </c>
      <c r="V1101" s="2" t="s">
        <v>39</v>
      </c>
      <c r="W1101" s="2" t="s">
        <v>38</v>
      </c>
      <c r="X1101" s="2" t="s">
        <v>39</v>
      </c>
      <c r="Y1101" s="2" t="s">
        <v>39</v>
      </c>
      <c r="Z1101" s="2" t="s">
        <v>39</v>
      </c>
      <c r="AA1101" s="2" t="s">
        <v>39</v>
      </c>
      <c r="AB1101" s="2" t="s">
        <v>39</v>
      </c>
      <c r="AC1101" s="2" t="s">
        <v>38</v>
      </c>
      <c r="AD1101" s="2" t="s">
        <v>38</v>
      </c>
      <c r="AE1101" s="2" t="s">
        <v>39</v>
      </c>
    </row>
    <row r="1102" spans="1:31" ht="409.5">
      <c r="A1102" s="2">
        <v>2745402</v>
      </c>
      <c r="B1102" s="2">
        <f>HYPERLINK("https://platform.v2.vetology.net/cases/2745402/screening-report/1?type=pdf&amp;v=v6&amp;scorecard=1&amp;secret_key=BX%25IJ%24%2F65ieZ%29f6", 2745402)</f>
        <v>2745402</v>
      </c>
      <c r="C1102" s="2">
        <f>HYPERLINK("https://platform.v2.vetology.net/report/v/final/"&amp;2745402, 2745402)</f>
        <v>2745402</v>
      </c>
      <c r="D1102" s="2" t="s">
        <v>3677</v>
      </c>
      <c r="E1102" s="2" t="s">
        <v>3678</v>
      </c>
      <c r="F1102" s="2" t="s">
        <v>43</v>
      </c>
      <c r="G1102" s="2" t="s">
        <v>44</v>
      </c>
      <c r="H1102" s="2" t="s">
        <v>3679</v>
      </c>
      <c r="I1102" s="2" t="s">
        <v>73</v>
      </c>
      <c r="J1102" s="2" t="s">
        <v>74</v>
      </c>
      <c r="K1102" s="2" t="s">
        <v>38</v>
      </c>
      <c r="L1102" s="2" t="s">
        <v>39</v>
      </c>
      <c r="M1102" s="2" t="s">
        <v>38</v>
      </c>
      <c r="N1102" s="2" t="s">
        <v>38</v>
      </c>
      <c r="O1102" s="2" t="s">
        <v>38</v>
      </c>
      <c r="P1102" s="2" t="s">
        <v>38</v>
      </c>
      <c r="Q1102" s="2" t="s">
        <v>38</v>
      </c>
      <c r="R1102" s="2" t="s">
        <v>38</v>
      </c>
      <c r="S1102" s="2" t="s">
        <v>38</v>
      </c>
      <c r="T1102" s="2" t="s">
        <v>38</v>
      </c>
      <c r="U1102" s="2" t="s">
        <v>38</v>
      </c>
      <c r="V1102" s="2" t="s">
        <v>38</v>
      </c>
      <c r="W1102" s="2" t="s">
        <v>39</v>
      </c>
      <c r="X1102" s="2" t="s">
        <v>38</v>
      </c>
      <c r="Y1102" s="2" t="s">
        <v>39</v>
      </c>
      <c r="Z1102" s="2" t="s">
        <v>38</v>
      </c>
      <c r="AA1102" s="2" t="s">
        <v>38</v>
      </c>
      <c r="AB1102" s="2" t="s">
        <v>38</v>
      </c>
      <c r="AC1102" s="2" t="s">
        <v>38</v>
      </c>
      <c r="AD1102" s="2" t="s">
        <v>39</v>
      </c>
      <c r="AE1102" s="2" t="s">
        <v>40</v>
      </c>
    </row>
    <row r="1103" spans="1:31" ht="409.5">
      <c r="A1103" s="2">
        <v>2745401</v>
      </c>
      <c r="B1103" s="2">
        <f>HYPERLINK("https://platform.v2.vetology.net/cases/2745401/screening-report/1?type=pdf&amp;v=v6&amp;scorecard=1&amp;secret_key=BX%25IJ%24%2F65ieZ%29f6", 2745401)</f>
        <v>2745401</v>
      </c>
      <c r="C1103" s="2">
        <f>HYPERLINK("https://platform.v2.vetology.net/report/v/final/"&amp;2745401, 2745401)</f>
        <v>2745401</v>
      </c>
      <c r="D1103" s="2" t="s">
        <v>3680</v>
      </c>
      <c r="E1103" s="2" t="s">
        <v>3681</v>
      </c>
      <c r="F1103" s="2" t="s">
        <v>3682</v>
      </c>
      <c r="G1103" s="2" t="s">
        <v>53</v>
      </c>
      <c r="H1103" s="2" t="s">
        <v>3683</v>
      </c>
      <c r="I1103" s="2" t="s">
        <v>73</v>
      </c>
      <c r="J1103" s="2" t="s">
        <v>74</v>
      </c>
      <c r="K1103" s="2" t="s">
        <v>38</v>
      </c>
      <c r="L1103" s="2" t="s">
        <v>39</v>
      </c>
      <c r="M1103" s="2" t="s">
        <v>38</v>
      </c>
      <c r="N1103" s="2" t="s">
        <v>38</v>
      </c>
      <c r="O1103" s="2" t="s">
        <v>38</v>
      </c>
      <c r="P1103" s="2" t="s">
        <v>38</v>
      </c>
      <c r="Q1103" s="2" t="s">
        <v>38</v>
      </c>
      <c r="R1103" s="2" t="s">
        <v>39</v>
      </c>
      <c r="S1103" s="2" t="s">
        <v>39</v>
      </c>
      <c r="T1103" s="2" t="s">
        <v>38</v>
      </c>
      <c r="U1103" s="2" t="s">
        <v>38</v>
      </c>
      <c r="V1103" s="2" t="s">
        <v>38</v>
      </c>
      <c r="W1103" s="2" t="s">
        <v>38</v>
      </c>
      <c r="X1103" s="2" t="s">
        <v>38</v>
      </c>
      <c r="Y1103" s="2" t="s">
        <v>39</v>
      </c>
      <c r="Z1103" s="2" t="s">
        <v>38</v>
      </c>
      <c r="AA1103" s="2" t="s">
        <v>38</v>
      </c>
      <c r="AB1103" s="2" t="s">
        <v>38</v>
      </c>
      <c r="AC1103" s="2" t="s">
        <v>38</v>
      </c>
      <c r="AD1103" s="2" t="s">
        <v>39</v>
      </c>
      <c r="AE1103" s="2" t="s">
        <v>40</v>
      </c>
    </row>
    <row r="1104" spans="1:31" ht="409.5">
      <c r="A1104" s="2">
        <v>2745366</v>
      </c>
      <c r="B1104" s="2">
        <f>HYPERLINK("https://platform.v2.vetology.net/cases/2745366/screening-report/1?type=pdf&amp;v=v6&amp;scorecard=1&amp;secret_key=BX%25IJ%24%2F65ieZ%29f6", 2745366)</f>
        <v>2745366</v>
      </c>
      <c r="C1104" s="2">
        <f>HYPERLINK("https://platform.v2.vetology.net/report/v/final/"&amp;2745366, 2745366)</f>
        <v>2745366</v>
      </c>
      <c r="D1104" s="2" t="s">
        <v>302</v>
      </c>
      <c r="E1104" s="2" t="s">
        <v>99</v>
      </c>
      <c r="F1104" s="2"/>
      <c r="G1104" s="2" t="s">
        <v>100</v>
      </c>
      <c r="H1104" s="2" t="s">
        <v>69</v>
      </c>
      <c r="I1104" s="2" t="s">
        <v>46</v>
      </c>
      <c r="J1104" s="2"/>
      <c r="K1104" s="2" t="s">
        <v>39</v>
      </c>
      <c r="L1104" s="2" t="s">
        <v>39</v>
      </c>
      <c r="M1104" s="2" t="s">
        <v>39</v>
      </c>
      <c r="N1104" s="2" t="s">
        <v>39</v>
      </c>
      <c r="O1104" s="2" t="s">
        <v>39</v>
      </c>
      <c r="P1104" s="2" t="s">
        <v>39</v>
      </c>
      <c r="Q1104" s="2" t="s">
        <v>39</v>
      </c>
      <c r="R1104" s="2" t="s">
        <v>39</v>
      </c>
      <c r="S1104" s="2" t="s">
        <v>39</v>
      </c>
      <c r="T1104" s="2" t="s">
        <v>39</v>
      </c>
      <c r="U1104" s="2" t="s">
        <v>39</v>
      </c>
      <c r="V1104" s="2" t="s">
        <v>39</v>
      </c>
      <c r="W1104" s="2" t="s">
        <v>39</v>
      </c>
      <c r="X1104" s="2" t="s">
        <v>39</v>
      </c>
      <c r="Y1104" s="2" t="s">
        <v>39</v>
      </c>
      <c r="Z1104" s="2" t="s">
        <v>39</v>
      </c>
      <c r="AA1104" s="2" t="s">
        <v>39</v>
      </c>
      <c r="AB1104" s="2" t="s">
        <v>39</v>
      </c>
      <c r="AC1104" s="2" t="s">
        <v>38</v>
      </c>
      <c r="AD1104" s="2" t="s">
        <v>39</v>
      </c>
      <c r="AE1104" s="2" t="s">
        <v>39</v>
      </c>
    </row>
    <row r="1105" spans="1:31" ht="409.5">
      <c r="A1105" s="2">
        <v>2745363</v>
      </c>
      <c r="B1105" s="2">
        <f>HYPERLINK("https://platform.v2.vetology.net/cases/2745363/screening-report/1?type=pdf&amp;v=v6&amp;scorecard=1&amp;secret_key=BX%25IJ%24%2F65ieZ%29f6", 2745363)</f>
        <v>2745363</v>
      </c>
      <c r="C1105" s="2">
        <f>HYPERLINK("https://platform.v2.vetology.net/report/v/final/"&amp;2745363, 2745363)</f>
        <v>2745363</v>
      </c>
      <c r="D1105" s="2" t="s">
        <v>3684</v>
      </c>
      <c r="E1105" s="2" t="s">
        <v>3685</v>
      </c>
      <c r="F1105" s="2" t="s">
        <v>3686</v>
      </c>
      <c r="G1105" s="2" t="s">
        <v>111</v>
      </c>
      <c r="H1105" s="2" t="s">
        <v>3687</v>
      </c>
      <c r="I1105" s="2" t="s">
        <v>129</v>
      </c>
      <c r="J1105" s="2" t="s">
        <v>74</v>
      </c>
      <c r="K1105" s="2" t="s">
        <v>38</v>
      </c>
      <c r="L1105" s="2" t="s">
        <v>38</v>
      </c>
      <c r="M1105" s="2" t="s">
        <v>39</v>
      </c>
      <c r="N1105" s="2" t="s">
        <v>38</v>
      </c>
      <c r="O1105" s="2" t="s">
        <v>38</v>
      </c>
      <c r="P1105" s="2" t="s">
        <v>38</v>
      </c>
      <c r="Q1105" s="2" t="s">
        <v>38</v>
      </c>
      <c r="R1105" s="2" t="s">
        <v>39</v>
      </c>
      <c r="S1105" s="2" t="s">
        <v>38</v>
      </c>
      <c r="T1105" s="2" t="s">
        <v>38</v>
      </c>
      <c r="U1105" s="2" t="s">
        <v>39</v>
      </c>
      <c r="V1105" s="2" t="s">
        <v>38</v>
      </c>
      <c r="W1105" s="2" t="s">
        <v>38</v>
      </c>
      <c r="X1105" s="2" t="s">
        <v>38</v>
      </c>
      <c r="Y1105" s="2" t="s">
        <v>39</v>
      </c>
      <c r="Z1105" s="2" t="s">
        <v>39</v>
      </c>
      <c r="AA1105" s="2" t="s">
        <v>38</v>
      </c>
      <c r="AB1105" s="2" t="s">
        <v>38</v>
      </c>
      <c r="AC1105" s="2" t="s">
        <v>39</v>
      </c>
      <c r="AD1105" s="2" t="s">
        <v>39</v>
      </c>
      <c r="AE1105" s="2" t="s">
        <v>39</v>
      </c>
    </row>
    <row r="1106" spans="1:31" ht="409.5">
      <c r="A1106" s="2">
        <v>2745362</v>
      </c>
      <c r="B1106" s="2">
        <f>HYPERLINK("https://platform.v2.vetology.net/cases/2745362/screening-report/1?type=pdf&amp;v=v6&amp;scorecard=1&amp;secret_key=BX%25IJ%24%2F65ieZ%29f6", 2745362)</f>
        <v>2745362</v>
      </c>
      <c r="C1106" s="2">
        <f>HYPERLINK("https://platform.v2.vetology.net/report/v/final/"&amp;2745362, 2745362)</f>
        <v>2745362</v>
      </c>
      <c r="D1106" s="2" t="s">
        <v>3688</v>
      </c>
      <c r="E1106" s="2" t="s">
        <v>3689</v>
      </c>
      <c r="F1106" s="2" t="s">
        <v>3690</v>
      </c>
      <c r="G1106" s="2" t="s">
        <v>251</v>
      </c>
      <c r="H1106" s="2" t="s">
        <v>158</v>
      </c>
      <c r="I1106" s="2" t="s">
        <v>59</v>
      </c>
      <c r="J1106" s="2" t="s">
        <v>37</v>
      </c>
      <c r="K1106" s="2" t="s">
        <v>38</v>
      </c>
      <c r="L1106" s="2" t="s">
        <v>39</v>
      </c>
      <c r="M1106" s="2" t="s">
        <v>39</v>
      </c>
      <c r="N1106" s="2" t="s">
        <v>39</v>
      </c>
      <c r="O1106" s="2" t="s">
        <v>39</v>
      </c>
      <c r="P1106" s="2" t="s">
        <v>39</v>
      </c>
      <c r="Q1106" s="2" t="s">
        <v>39</v>
      </c>
      <c r="R1106" s="2" t="s">
        <v>39</v>
      </c>
      <c r="S1106" s="2" t="s">
        <v>39</v>
      </c>
      <c r="T1106" s="2" t="s">
        <v>39</v>
      </c>
      <c r="U1106" s="2" t="s">
        <v>39</v>
      </c>
      <c r="V1106" s="2" t="s">
        <v>38</v>
      </c>
      <c r="W1106" s="2" t="s">
        <v>39</v>
      </c>
      <c r="X1106" s="2" t="s">
        <v>39</v>
      </c>
      <c r="Y1106" s="2" t="s">
        <v>39</v>
      </c>
      <c r="Z1106" s="2" t="s">
        <v>39</v>
      </c>
      <c r="AA1106" s="2" t="s">
        <v>39</v>
      </c>
      <c r="AB1106" s="2" t="s">
        <v>39</v>
      </c>
      <c r="AC1106" s="2" t="s">
        <v>39</v>
      </c>
      <c r="AD1106" s="2" t="s">
        <v>38</v>
      </c>
      <c r="AE1106" s="2" t="s">
        <v>39</v>
      </c>
    </row>
    <row r="1107" spans="1:31" ht="409.5">
      <c r="A1107" s="2">
        <v>2745338</v>
      </c>
      <c r="B1107" s="2">
        <f>HYPERLINK("https://platform.v2.vetology.net/cases/2745338/screening-report/1?type=pdf&amp;v=v6&amp;scorecard=1&amp;secret_key=BX%25IJ%24%2F65ieZ%29f6", 2745338)</f>
        <v>2745338</v>
      </c>
      <c r="C1107" s="2">
        <f>HYPERLINK("https://platform.v2.vetology.net/report/v/final/"&amp;2745338, 2745338)</f>
        <v>2745338</v>
      </c>
      <c r="D1107" s="2" t="s">
        <v>3691</v>
      </c>
      <c r="E1107" s="2" t="s">
        <v>3692</v>
      </c>
      <c r="F1107" s="2" t="s">
        <v>43</v>
      </c>
      <c r="G1107" s="2" t="s">
        <v>44</v>
      </c>
      <c r="H1107" s="2" t="s">
        <v>3693</v>
      </c>
      <c r="I1107" s="2" t="s">
        <v>46</v>
      </c>
      <c r="J1107" s="2"/>
      <c r="K1107" s="2" t="s">
        <v>38</v>
      </c>
      <c r="L1107" s="2" t="s">
        <v>39</v>
      </c>
      <c r="M1107" s="2" t="s">
        <v>39</v>
      </c>
      <c r="N1107" s="2" t="s">
        <v>39</v>
      </c>
      <c r="O1107" s="2" t="s">
        <v>39</v>
      </c>
      <c r="P1107" s="2" t="s">
        <v>39</v>
      </c>
      <c r="Q1107" s="2" t="s">
        <v>39</v>
      </c>
      <c r="R1107" s="2" t="s">
        <v>39</v>
      </c>
      <c r="S1107" s="2" t="s">
        <v>38</v>
      </c>
      <c r="T1107" s="2" t="s">
        <v>39</v>
      </c>
      <c r="U1107" s="2" t="s">
        <v>38</v>
      </c>
      <c r="V1107" s="2" t="s">
        <v>38</v>
      </c>
      <c r="W1107" s="2" t="s">
        <v>39</v>
      </c>
      <c r="X1107" s="2" t="s">
        <v>39</v>
      </c>
      <c r="Y1107" s="2" t="s">
        <v>39</v>
      </c>
      <c r="Z1107" s="2" t="s">
        <v>39</v>
      </c>
      <c r="AA1107" s="2" t="s">
        <v>39</v>
      </c>
      <c r="AB1107" s="2" t="s">
        <v>39</v>
      </c>
      <c r="AC1107" s="2" t="s">
        <v>39</v>
      </c>
      <c r="AD1107" s="2" t="s">
        <v>38</v>
      </c>
      <c r="AE1107" s="2"/>
    </row>
    <row r="1108" spans="1:31" ht="409.5">
      <c r="A1108" s="2">
        <v>2745325</v>
      </c>
      <c r="B1108" s="2">
        <f>HYPERLINK("https://platform.v2.vetology.net/cases/2745325/screening-report/1?type=pdf&amp;v=v6&amp;scorecard=1&amp;secret_key=BX%25IJ%24%2F65ieZ%29f6", 2745325)</f>
        <v>2745325</v>
      </c>
      <c r="C1108" s="2">
        <f>HYPERLINK("https://platform.v2.vetology.net/report/v/final/"&amp;2745325, 2745325)</f>
        <v>2745325</v>
      </c>
      <c r="D1108" s="2" t="s">
        <v>3694</v>
      </c>
      <c r="E1108" s="2" t="s">
        <v>3695</v>
      </c>
      <c r="F1108" s="2" t="s">
        <v>3696</v>
      </c>
      <c r="G1108" s="2" t="s">
        <v>111</v>
      </c>
      <c r="H1108" s="2" t="s">
        <v>3697</v>
      </c>
      <c r="I1108" s="2" t="s">
        <v>36</v>
      </c>
      <c r="J1108" s="2" t="s">
        <v>37</v>
      </c>
      <c r="K1108" s="2" t="s">
        <v>38</v>
      </c>
      <c r="L1108" s="2" t="s">
        <v>39</v>
      </c>
      <c r="M1108" s="2" t="s">
        <v>38</v>
      </c>
      <c r="N1108" s="2" t="s">
        <v>39</v>
      </c>
      <c r="O1108" s="2" t="s">
        <v>38</v>
      </c>
      <c r="P1108" s="2" t="s">
        <v>39</v>
      </c>
      <c r="Q1108" s="2" t="s">
        <v>39</v>
      </c>
      <c r="R1108" s="2" t="s">
        <v>39</v>
      </c>
      <c r="S1108" s="2" t="s">
        <v>39</v>
      </c>
      <c r="T1108" s="2" t="s">
        <v>38</v>
      </c>
      <c r="U1108" s="2" t="s">
        <v>38</v>
      </c>
      <c r="V1108" s="2" t="s">
        <v>38</v>
      </c>
      <c r="W1108" s="2" t="s">
        <v>39</v>
      </c>
      <c r="X1108" s="2" t="s">
        <v>39</v>
      </c>
      <c r="Y1108" s="2" t="s">
        <v>39</v>
      </c>
      <c r="Z1108" s="2" t="s">
        <v>38</v>
      </c>
      <c r="AA1108" s="2" t="s">
        <v>38</v>
      </c>
      <c r="AB1108" s="2" t="s">
        <v>39</v>
      </c>
      <c r="AC1108" s="2" t="s">
        <v>38</v>
      </c>
      <c r="AD1108" s="2" t="s">
        <v>39</v>
      </c>
      <c r="AE1108" s="2" t="s">
        <v>40</v>
      </c>
    </row>
    <row r="1109" spans="1:31" ht="409.5">
      <c r="A1109" s="2">
        <v>2745315</v>
      </c>
      <c r="B1109" s="2">
        <f>HYPERLINK("https://platform.v2.vetology.net/cases/2745315/screening-report/1?type=pdf&amp;v=v6&amp;scorecard=1&amp;secret_key=BX%25IJ%24%2F65ieZ%29f6", 2745315)</f>
        <v>2745315</v>
      </c>
      <c r="C1109" s="2">
        <f>HYPERLINK("https://platform.v2.vetology.net/report/v/final/"&amp;2745315, 2745315)</f>
        <v>2745315</v>
      </c>
      <c r="D1109" s="2" t="s">
        <v>3698</v>
      </c>
      <c r="E1109" s="2" t="s">
        <v>3699</v>
      </c>
      <c r="F1109" s="2" t="s">
        <v>43</v>
      </c>
      <c r="G1109" s="2" t="s">
        <v>507</v>
      </c>
      <c r="H1109" s="2" t="s">
        <v>3700</v>
      </c>
      <c r="I1109" s="2" t="s">
        <v>73</v>
      </c>
      <c r="J1109" s="2" t="s">
        <v>74</v>
      </c>
      <c r="K1109" s="2" t="s">
        <v>38</v>
      </c>
      <c r="L1109" s="2" t="s">
        <v>38</v>
      </c>
      <c r="M1109" s="2" t="s">
        <v>39</v>
      </c>
      <c r="N1109" s="2" t="s">
        <v>38</v>
      </c>
      <c r="O1109" s="2" t="s">
        <v>39</v>
      </c>
      <c r="P1109" s="2" t="s">
        <v>38</v>
      </c>
      <c r="Q1109" s="2" t="s">
        <v>38</v>
      </c>
      <c r="R1109" s="2" t="s">
        <v>39</v>
      </c>
      <c r="S1109" s="2" t="s">
        <v>39</v>
      </c>
      <c r="T1109" s="2" t="s">
        <v>38</v>
      </c>
      <c r="U1109" s="2" t="s">
        <v>38</v>
      </c>
      <c r="V1109" s="2" t="s">
        <v>38</v>
      </c>
      <c r="W1109" s="2" t="s">
        <v>39</v>
      </c>
      <c r="X1109" s="2" t="s">
        <v>38</v>
      </c>
      <c r="Y1109" s="2" t="s">
        <v>39</v>
      </c>
      <c r="Z1109" s="2" t="s">
        <v>39</v>
      </c>
      <c r="AA1109" s="2" t="s">
        <v>38</v>
      </c>
      <c r="AB1109" s="2" t="s">
        <v>38</v>
      </c>
      <c r="AC1109" s="2" t="s">
        <v>39</v>
      </c>
      <c r="AD1109" s="2" t="s">
        <v>39</v>
      </c>
      <c r="AE1109" s="2" t="s">
        <v>40</v>
      </c>
    </row>
    <row r="1110" spans="1:31" ht="409.5">
      <c r="A1110" s="2">
        <v>2745253</v>
      </c>
      <c r="B1110" s="2">
        <f>HYPERLINK("https://platform.v2.vetology.net/cases/2745253/screening-report/1?type=pdf&amp;v=v6&amp;scorecard=1&amp;secret_key=BX%25IJ%24%2F65ieZ%29f6", 2745253)</f>
        <v>2745253</v>
      </c>
      <c r="C1110" s="2">
        <f>HYPERLINK("https://platform.v2.vetology.net/report/v/final/"&amp;2745253, 2745253)</f>
        <v>2745253</v>
      </c>
      <c r="D1110" s="2" t="s">
        <v>3701</v>
      </c>
      <c r="E1110" s="2" t="s">
        <v>3702</v>
      </c>
      <c r="F1110" s="2" t="s">
        <v>3703</v>
      </c>
      <c r="G1110" s="2" t="s">
        <v>34</v>
      </c>
      <c r="H1110" s="2" t="s">
        <v>2003</v>
      </c>
      <c r="I1110" s="2" t="s">
        <v>46</v>
      </c>
      <c r="J1110" s="2"/>
      <c r="K1110" s="2" t="s">
        <v>39</v>
      </c>
      <c r="L1110" s="2" t="s">
        <v>38</v>
      </c>
      <c r="M1110" s="2" t="s">
        <v>39</v>
      </c>
      <c r="N1110" s="2" t="s">
        <v>39</v>
      </c>
      <c r="O1110" s="2" t="s">
        <v>39</v>
      </c>
      <c r="P1110" s="2" t="s">
        <v>39</v>
      </c>
      <c r="Q1110" s="2" t="s">
        <v>39</v>
      </c>
      <c r="R1110" s="2" t="s">
        <v>38</v>
      </c>
      <c r="S1110" s="2" t="s">
        <v>39</v>
      </c>
      <c r="T1110" s="2" t="s">
        <v>39</v>
      </c>
      <c r="U1110" s="2" t="s">
        <v>39</v>
      </c>
      <c r="V1110" s="2" t="s">
        <v>39</v>
      </c>
      <c r="W1110" s="2" t="s">
        <v>39</v>
      </c>
      <c r="X1110" s="2" t="s">
        <v>39</v>
      </c>
      <c r="Y1110" s="2" t="s">
        <v>39</v>
      </c>
      <c r="Z1110" s="2" t="s">
        <v>39</v>
      </c>
      <c r="AA1110" s="2" t="s">
        <v>39</v>
      </c>
      <c r="AB1110" s="2" t="s">
        <v>39</v>
      </c>
      <c r="AC1110" s="2" t="s">
        <v>39</v>
      </c>
      <c r="AD1110" s="2" t="s">
        <v>38</v>
      </c>
      <c r="AE1110" s="2" t="s">
        <v>39</v>
      </c>
    </row>
    <row r="1111" spans="1:31" ht="409.5">
      <c r="A1111" s="2">
        <v>2745252</v>
      </c>
      <c r="B1111" s="2">
        <f>HYPERLINK("https://platform.v2.vetology.net/cases/2745252/screening-report/1?type=pdf&amp;v=v6&amp;scorecard=1&amp;secret_key=BX%25IJ%24%2F65ieZ%29f6", 2745252)</f>
        <v>2745252</v>
      </c>
      <c r="C1111" s="2">
        <f>HYPERLINK("https://platform.v2.vetology.net/report/v/final/"&amp;2745252, 2745252)</f>
        <v>2745252</v>
      </c>
      <c r="D1111" s="2" t="s">
        <v>3704</v>
      </c>
      <c r="E1111" s="2" t="s">
        <v>3705</v>
      </c>
      <c r="F1111" s="2"/>
      <c r="G1111" s="2" t="s">
        <v>81</v>
      </c>
      <c r="H1111" s="2" t="s">
        <v>3706</v>
      </c>
      <c r="I1111" s="2" t="s">
        <v>36</v>
      </c>
      <c r="J1111" s="2" t="s">
        <v>37</v>
      </c>
      <c r="K1111" s="2" t="s">
        <v>38</v>
      </c>
      <c r="L1111" s="2" t="s">
        <v>38</v>
      </c>
      <c r="M1111" s="2" t="s">
        <v>38</v>
      </c>
      <c r="N1111" s="2" t="s">
        <v>38</v>
      </c>
      <c r="O1111" s="2" t="s">
        <v>38</v>
      </c>
      <c r="P1111" s="2" t="s">
        <v>39</v>
      </c>
      <c r="Q1111" s="2" t="s">
        <v>39</v>
      </c>
      <c r="R1111" s="2" t="s">
        <v>39</v>
      </c>
      <c r="S1111" s="2" t="s">
        <v>38</v>
      </c>
      <c r="T1111" s="2" t="s">
        <v>39</v>
      </c>
      <c r="U1111" s="2" t="s">
        <v>39</v>
      </c>
      <c r="V1111" s="2" t="s">
        <v>38</v>
      </c>
      <c r="W1111" s="2" t="s">
        <v>38</v>
      </c>
      <c r="X1111" s="2" t="s">
        <v>38</v>
      </c>
      <c r="Y1111" s="2" t="s">
        <v>38</v>
      </c>
      <c r="Z1111" s="2" t="s">
        <v>38</v>
      </c>
      <c r="AA1111" s="2" t="s">
        <v>39</v>
      </c>
      <c r="AB1111" s="2" t="s">
        <v>39</v>
      </c>
      <c r="AC1111" s="2" t="s">
        <v>38</v>
      </c>
      <c r="AD1111" s="2" t="s">
        <v>38</v>
      </c>
      <c r="AE1111" s="2" t="s">
        <v>40</v>
      </c>
    </row>
    <row r="1112" spans="1:31" ht="409.5">
      <c r="A1112" s="2">
        <v>2745237</v>
      </c>
      <c r="B1112" s="2">
        <f>HYPERLINK("https://platform.v2.vetology.net/cases/2745237/screening-report/1?type=pdf&amp;v=v6&amp;scorecard=1&amp;secret_key=BX%25IJ%24%2F65ieZ%29f6", 2745237)</f>
        <v>2745237</v>
      </c>
      <c r="C1112" s="2">
        <f>HYPERLINK("https://platform.v2.vetology.net/report/v/final/"&amp;2745237, 2745237)</f>
        <v>2745237</v>
      </c>
      <c r="D1112" s="2" t="s">
        <v>3707</v>
      </c>
      <c r="E1112" s="2" t="s">
        <v>3708</v>
      </c>
      <c r="F1112" s="2" t="s">
        <v>3709</v>
      </c>
      <c r="G1112" s="2" t="s">
        <v>170</v>
      </c>
      <c r="H1112" s="2" t="s">
        <v>3710</v>
      </c>
      <c r="I1112" s="2" t="s">
        <v>257</v>
      </c>
      <c r="J1112" s="2" t="s">
        <v>74</v>
      </c>
      <c r="K1112" s="2" t="s">
        <v>38</v>
      </c>
      <c r="L1112" s="2" t="s">
        <v>38</v>
      </c>
      <c r="M1112" s="2" t="s">
        <v>38</v>
      </c>
      <c r="N1112" s="2" t="s">
        <v>38</v>
      </c>
      <c r="O1112" s="2" t="s">
        <v>38</v>
      </c>
      <c r="P1112" s="2" t="s">
        <v>38</v>
      </c>
      <c r="Q1112" s="2" t="s">
        <v>38</v>
      </c>
      <c r="R1112" s="2" t="s">
        <v>38</v>
      </c>
      <c r="S1112" s="2" t="s">
        <v>38</v>
      </c>
      <c r="T1112" s="2" t="s">
        <v>38</v>
      </c>
      <c r="U1112" s="2" t="s">
        <v>38</v>
      </c>
      <c r="V1112" s="2" t="s">
        <v>38</v>
      </c>
      <c r="W1112" s="2" t="s">
        <v>38</v>
      </c>
      <c r="X1112" s="2" t="s">
        <v>38</v>
      </c>
      <c r="Y1112" s="2" t="s">
        <v>38</v>
      </c>
      <c r="Z1112" s="2" t="s">
        <v>38</v>
      </c>
      <c r="AA1112" s="2" t="s">
        <v>38</v>
      </c>
      <c r="AB1112" s="2" t="s">
        <v>38</v>
      </c>
      <c r="AC1112" s="2" t="s">
        <v>38</v>
      </c>
      <c r="AD1112" s="2" t="s">
        <v>38</v>
      </c>
      <c r="AE1112" s="2" t="s">
        <v>39</v>
      </c>
    </row>
    <row r="1113" spans="1:31" ht="409.5">
      <c r="A1113" s="2">
        <v>2745210</v>
      </c>
      <c r="B1113" s="2">
        <f>HYPERLINK("https://platform.v2.vetology.net/cases/2745210/screening-report/1?type=pdf&amp;v=v6&amp;scorecard=1&amp;secret_key=BX%25IJ%24%2F65ieZ%29f6", 2745210)</f>
        <v>2745210</v>
      </c>
      <c r="C1113" s="2">
        <f>HYPERLINK("https://platform.v2.vetology.net/report/v/final/"&amp;2745210, 2745210)</f>
        <v>2745210</v>
      </c>
      <c r="D1113" s="2" t="s">
        <v>3711</v>
      </c>
      <c r="E1113" s="2" t="s">
        <v>3712</v>
      </c>
      <c r="F1113" s="2" t="s">
        <v>3713</v>
      </c>
      <c r="G1113" s="2" t="s">
        <v>53</v>
      </c>
      <c r="H1113" s="2" t="s">
        <v>3714</v>
      </c>
      <c r="I1113" s="2" t="s">
        <v>36</v>
      </c>
      <c r="J1113" s="2" t="s">
        <v>37</v>
      </c>
      <c r="K1113" s="2" t="s">
        <v>38</v>
      </c>
      <c r="L1113" s="2" t="s">
        <v>38</v>
      </c>
      <c r="M1113" s="2" t="s">
        <v>39</v>
      </c>
      <c r="N1113" s="2" t="s">
        <v>39</v>
      </c>
      <c r="O1113" s="2" t="s">
        <v>38</v>
      </c>
      <c r="P1113" s="2" t="s">
        <v>39</v>
      </c>
      <c r="Q1113" s="2" t="s">
        <v>39</v>
      </c>
      <c r="R1113" s="2" t="s">
        <v>39</v>
      </c>
      <c r="S1113" s="2" t="s">
        <v>39</v>
      </c>
      <c r="T1113" s="2" t="s">
        <v>39</v>
      </c>
      <c r="U1113" s="2" t="s">
        <v>38</v>
      </c>
      <c r="V1113" s="2" t="s">
        <v>38</v>
      </c>
      <c r="W1113" s="2" t="s">
        <v>39</v>
      </c>
      <c r="X1113" s="2" t="s">
        <v>39</v>
      </c>
      <c r="Y1113" s="2" t="s">
        <v>39</v>
      </c>
      <c r="Z1113" s="2" t="s">
        <v>39</v>
      </c>
      <c r="AA1113" s="2" t="s">
        <v>39</v>
      </c>
      <c r="AB1113" s="2" t="s">
        <v>39</v>
      </c>
      <c r="AC1113" s="2" t="s">
        <v>39</v>
      </c>
      <c r="AD1113" s="2" t="s">
        <v>38</v>
      </c>
      <c r="AE1113" s="2" t="s">
        <v>39</v>
      </c>
    </row>
    <row r="1114" spans="1:31" ht="409.5">
      <c r="A1114" s="2">
        <v>2745208</v>
      </c>
      <c r="B1114" s="2">
        <f>HYPERLINK("https://platform.v2.vetology.net/cases/2745208/screening-report/1?type=pdf&amp;v=v6&amp;scorecard=1&amp;secret_key=BX%25IJ%24%2F65ieZ%29f6", 2745208)</f>
        <v>2745208</v>
      </c>
      <c r="C1114" s="2">
        <f>HYPERLINK("https://platform.v2.vetology.net/report/v/final/"&amp;2745208, 2745208)</f>
        <v>2745208</v>
      </c>
      <c r="D1114" s="2" t="s">
        <v>3715</v>
      </c>
      <c r="E1114" s="2" t="s">
        <v>3716</v>
      </c>
      <c r="F1114" s="2" t="s">
        <v>463</v>
      </c>
      <c r="G1114" s="2" t="s">
        <v>34</v>
      </c>
      <c r="H1114" s="2" t="s">
        <v>3717</v>
      </c>
      <c r="I1114" s="2" t="s">
        <v>129</v>
      </c>
      <c r="J1114" s="2" t="s">
        <v>74</v>
      </c>
      <c r="K1114" s="2" t="s">
        <v>39</v>
      </c>
      <c r="L1114" s="2" t="s">
        <v>39</v>
      </c>
      <c r="M1114" s="2" t="s">
        <v>38</v>
      </c>
      <c r="N1114" s="2" t="s">
        <v>38</v>
      </c>
      <c r="O1114" s="2" t="s">
        <v>38</v>
      </c>
      <c r="P1114" s="2" t="s">
        <v>38</v>
      </c>
      <c r="Q1114" s="2" t="s">
        <v>38</v>
      </c>
      <c r="R1114" s="2" t="s">
        <v>38</v>
      </c>
      <c r="S1114" s="2" t="s">
        <v>39</v>
      </c>
      <c r="T1114" s="2" t="s">
        <v>38</v>
      </c>
      <c r="U1114" s="2" t="s">
        <v>39</v>
      </c>
      <c r="V1114" s="2" t="s">
        <v>39</v>
      </c>
      <c r="W1114" s="2" t="s">
        <v>38</v>
      </c>
      <c r="X1114" s="2" t="s">
        <v>38</v>
      </c>
      <c r="Y1114" s="2" t="s">
        <v>39</v>
      </c>
      <c r="Z1114" s="2" t="s">
        <v>38</v>
      </c>
      <c r="AA1114" s="2" t="s">
        <v>38</v>
      </c>
      <c r="AB1114" s="2" t="s">
        <v>38</v>
      </c>
      <c r="AC1114" s="2" t="s">
        <v>38</v>
      </c>
      <c r="AD1114" s="2" t="s">
        <v>39</v>
      </c>
      <c r="AE1114" s="2" t="s">
        <v>40</v>
      </c>
    </row>
    <row r="1115" spans="1:31" ht="409.5">
      <c r="A1115" s="2">
        <v>2745202</v>
      </c>
      <c r="B1115" s="2">
        <f>HYPERLINK("https://platform.v2.vetology.net/cases/2745202/screening-report/1?type=pdf&amp;v=v6&amp;scorecard=1&amp;secret_key=BX%25IJ%24%2F65ieZ%29f6", 2745202)</f>
        <v>2745202</v>
      </c>
      <c r="C1115" s="2">
        <f>HYPERLINK("https://platform.v2.vetology.net/report/v/final/"&amp;2745202, 2745202)</f>
        <v>2745202</v>
      </c>
      <c r="D1115" s="2" t="s">
        <v>3718</v>
      </c>
      <c r="E1115" s="2" t="s">
        <v>3719</v>
      </c>
      <c r="F1115" s="2" t="s">
        <v>3720</v>
      </c>
      <c r="G1115" s="2" t="s">
        <v>53</v>
      </c>
      <c r="H1115" s="2" t="s">
        <v>3721</v>
      </c>
      <c r="I1115" s="2" t="s">
        <v>36</v>
      </c>
      <c r="J1115" s="2" t="s">
        <v>37</v>
      </c>
      <c r="K1115" s="2" t="s">
        <v>38</v>
      </c>
      <c r="L1115" s="2" t="s">
        <v>38</v>
      </c>
      <c r="M1115" s="2" t="s">
        <v>38</v>
      </c>
      <c r="N1115" s="2" t="s">
        <v>38</v>
      </c>
      <c r="O1115" s="2" t="s">
        <v>38</v>
      </c>
      <c r="P1115" s="2" t="s">
        <v>39</v>
      </c>
      <c r="Q1115" s="2" t="s">
        <v>39</v>
      </c>
      <c r="R1115" s="2" t="s">
        <v>38</v>
      </c>
      <c r="S1115" s="2" t="s">
        <v>38</v>
      </c>
      <c r="T1115" s="2" t="s">
        <v>39</v>
      </c>
      <c r="U1115" s="2" t="s">
        <v>38</v>
      </c>
      <c r="V1115" s="2" t="s">
        <v>38</v>
      </c>
      <c r="W1115" s="2" t="s">
        <v>38</v>
      </c>
      <c r="X1115" s="2" t="s">
        <v>39</v>
      </c>
      <c r="Y1115" s="2" t="s">
        <v>38</v>
      </c>
      <c r="Z1115" s="2" t="s">
        <v>38</v>
      </c>
      <c r="AA1115" s="2" t="s">
        <v>38</v>
      </c>
      <c r="AB1115" s="2" t="s">
        <v>39</v>
      </c>
      <c r="AC1115" s="2" t="s">
        <v>38</v>
      </c>
      <c r="AD1115" s="2" t="s">
        <v>38</v>
      </c>
      <c r="AE1115" s="2" t="s">
        <v>40</v>
      </c>
    </row>
    <row r="1116" spans="1:31" ht="409.5">
      <c r="A1116" s="2">
        <v>2745186</v>
      </c>
      <c r="B1116" s="2">
        <f>HYPERLINK("https://platform.v2.vetology.net/cases/2745186/screening-report/1?type=pdf&amp;v=v6&amp;scorecard=1&amp;secret_key=BX%25IJ%24%2F65ieZ%29f6", 2745186)</f>
        <v>2745186</v>
      </c>
      <c r="C1116" s="2">
        <f>HYPERLINK("https://platform.v2.vetology.net/report/v/final/"&amp;2745186, 2745186)</f>
        <v>2745186</v>
      </c>
      <c r="D1116" s="2" t="s">
        <v>3722</v>
      </c>
      <c r="E1116" s="2" t="s">
        <v>3723</v>
      </c>
      <c r="F1116" s="2" t="s">
        <v>422</v>
      </c>
      <c r="G1116" s="2" t="s">
        <v>34</v>
      </c>
      <c r="H1116" s="2" t="s">
        <v>3724</v>
      </c>
      <c r="I1116" s="2" t="s">
        <v>257</v>
      </c>
      <c r="J1116" s="2" t="s">
        <v>74</v>
      </c>
      <c r="K1116" s="2" t="s">
        <v>38</v>
      </c>
      <c r="L1116" s="2" t="s">
        <v>38</v>
      </c>
      <c r="M1116" s="2" t="s">
        <v>38</v>
      </c>
      <c r="N1116" s="2" t="s">
        <v>38</v>
      </c>
      <c r="O1116" s="2" t="s">
        <v>38</v>
      </c>
      <c r="P1116" s="2" t="s">
        <v>39</v>
      </c>
      <c r="Q1116" s="2" t="s">
        <v>38</v>
      </c>
      <c r="R1116" s="2" t="s">
        <v>38</v>
      </c>
      <c r="S1116" s="2" t="s">
        <v>38</v>
      </c>
      <c r="T1116" s="2" t="s">
        <v>38</v>
      </c>
      <c r="U1116" s="2" t="s">
        <v>38</v>
      </c>
      <c r="V1116" s="2" t="s">
        <v>38</v>
      </c>
      <c r="W1116" s="2" t="s">
        <v>38</v>
      </c>
      <c r="X1116" s="2" t="s">
        <v>38</v>
      </c>
      <c r="Y1116" s="2" t="s">
        <v>38</v>
      </c>
      <c r="Z1116" s="2" t="s">
        <v>38</v>
      </c>
      <c r="AA1116" s="2" t="s">
        <v>38</v>
      </c>
      <c r="AB1116" s="2" t="s">
        <v>38</v>
      </c>
      <c r="AC1116" s="2" t="s">
        <v>38</v>
      </c>
      <c r="AD1116" s="2" t="s">
        <v>38</v>
      </c>
      <c r="AE1116" s="2" t="s">
        <v>40</v>
      </c>
    </row>
    <row r="1117" spans="1:31" ht="409.5">
      <c r="A1117" s="2">
        <v>2745172</v>
      </c>
      <c r="B1117" s="2">
        <f>HYPERLINK("https://platform.v2.vetology.net/cases/2745172/screening-report/1?type=pdf&amp;v=v6&amp;scorecard=1&amp;secret_key=BX%25IJ%24%2F65ieZ%29f6", 2745172)</f>
        <v>2745172</v>
      </c>
      <c r="C1117" s="2">
        <f>HYPERLINK("https://platform.v2.vetology.net/report/v/final/"&amp;2745172, 2745172)</f>
        <v>2745172</v>
      </c>
      <c r="D1117" s="2" t="s">
        <v>3725</v>
      </c>
      <c r="E1117" s="2" t="s">
        <v>3726</v>
      </c>
      <c r="F1117" s="2" t="s">
        <v>3727</v>
      </c>
      <c r="G1117" s="2" t="s">
        <v>53</v>
      </c>
      <c r="H1117" s="2" t="s">
        <v>3728</v>
      </c>
      <c r="I1117" s="2" t="s">
        <v>36</v>
      </c>
      <c r="J1117" s="2" t="s">
        <v>37</v>
      </c>
      <c r="K1117" s="2" t="s">
        <v>39</v>
      </c>
      <c r="L1117" s="2" t="s">
        <v>38</v>
      </c>
      <c r="M1117" s="2" t="s">
        <v>38</v>
      </c>
      <c r="N1117" s="2" t="s">
        <v>38</v>
      </c>
      <c r="O1117" s="2" t="s">
        <v>38</v>
      </c>
      <c r="P1117" s="2" t="s">
        <v>38</v>
      </c>
      <c r="Q1117" s="2" t="s">
        <v>39</v>
      </c>
      <c r="R1117" s="2" t="s">
        <v>39</v>
      </c>
      <c r="S1117" s="2" t="s">
        <v>38</v>
      </c>
      <c r="T1117" s="2" t="s">
        <v>39</v>
      </c>
      <c r="U1117" s="2" t="s">
        <v>39</v>
      </c>
      <c r="V1117" s="2" t="s">
        <v>39</v>
      </c>
      <c r="W1117" s="2" t="s">
        <v>38</v>
      </c>
      <c r="X1117" s="2" t="s">
        <v>39</v>
      </c>
      <c r="Y1117" s="2" t="s">
        <v>39</v>
      </c>
      <c r="Z1117" s="2" t="s">
        <v>38</v>
      </c>
      <c r="AA1117" s="2" t="s">
        <v>38</v>
      </c>
      <c r="AB1117" s="2" t="s">
        <v>39</v>
      </c>
      <c r="AC1117" s="2" t="s">
        <v>38</v>
      </c>
      <c r="AD1117" s="2" t="s">
        <v>38</v>
      </c>
      <c r="AE1117" s="2" t="s">
        <v>39</v>
      </c>
    </row>
    <row r="1118" spans="1:31" ht="409.5">
      <c r="A1118" s="2">
        <v>2745162</v>
      </c>
      <c r="B1118" s="2">
        <f>HYPERLINK("https://platform.v2.vetology.net/cases/2745162/screening-report/1?type=pdf&amp;v=v6&amp;scorecard=1&amp;secret_key=BX%25IJ%24%2F65ieZ%29f6", 2745162)</f>
        <v>2745162</v>
      </c>
      <c r="C1118" s="2">
        <f>HYPERLINK("https://platform.v2.vetology.net/report/v/final/"&amp;2745162, 2745162)</f>
        <v>2745162</v>
      </c>
      <c r="D1118" s="2" t="s">
        <v>3729</v>
      </c>
      <c r="E1118" s="2" t="s">
        <v>3730</v>
      </c>
      <c r="F1118" s="2" t="s">
        <v>3731</v>
      </c>
      <c r="G1118" s="2" t="s">
        <v>53</v>
      </c>
      <c r="H1118" s="2" t="s">
        <v>3732</v>
      </c>
      <c r="I1118" s="2" t="s">
        <v>36</v>
      </c>
      <c r="J1118" s="2" t="s">
        <v>37</v>
      </c>
      <c r="K1118" s="2" t="s">
        <v>38</v>
      </c>
      <c r="L1118" s="2" t="s">
        <v>38</v>
      </c>
      <c r="M1118" s="2" t="s">
        <v>38</v>
      </c>
      <c r="N1118" s="2" t="s">
        <v>38</v>
      </c>
      <c r="O1118" s="2" t="s">
        <v>38</v>
      </c>
      <c r="P1118" s="2" t="s">
        <v>39</v>
      </c>
      <c r="Q1118" s="2" t="s">
        <v>39</v>
      </c>
      <c r="R1118" s="2" t="s">
        <v>38</v>
      </c>
      <c r="S1118" s="2" t="s">
        <v>38</v>
      </c>
      <c r="T1118" s="2" t="s">
        <v>38</v>
      </c>
      <c r="U1118" s="2" t="s">
        <v>38</v>
      </c>
      <c r="V1118" s="2" t="s">
        <v>38</v>
      </c>
      <c r="W1118" s="2" t="s">
        <v>38</v>
      </c>
      <c r="X1118" s="2" t="s">
        <v>39</v>
      </c>
      <c r="Y1118" s="2" t="s">
        <v>38</v>
      </c>
      <c r="Z1118" s="2" t="s">
        <v>38</v>
      </c>
      <c r="AA1118" s="2" t="s">
        <v>38</v>
      </c>
      <c r="AB1118" s="2" t="s">
        <v>39</v>
      </c>
      <c r="AC1118" s="2" t="s">
        <v>38</v>
      </c>
      <c r="AD1118" s="2" t="s">
        <v>38</v>
      </c>
      <c r="AE1118" s="2"/>
    </row>
    <row r="1119" spans="1:31" ht="409.5">
      <c r="A1119" s="2">
        <v>2745141</v>
      </c>
      <c r="B1119" s="2">
        <f>HYPERLINK("https://platform.v2.vetology.net/cases/2745141/screening-report/1?type=pdf&amp;v=v6&amp;scorecard=1&amp;secret_key=BX%25IJ%24%2F65ieZ%29f6", 2745141)</f>
        <v>2745141</v>
      </c>
      <c r="C1119" s="2">
        <f>HYPERLINK("https://platform.v2.vetology.net/report/v/final/"&amp;2745141, 2745141)</f>
        <v>2745141</v>
      </c>
      <c r="D1119" s="2" t="s">
        <v>3733</v>
      </c>
      <c r="E1119" s="2" t="s">
        <v>3734</v>
      </c>
      <c r="F1119" s="2" t="s">
        <v>3735</v>
      </c>
      <c r="G1119" s="2" t="s">
        <v>251</v>
      </c>
      <c r="H1119" s="2" t="s">
        <v>3736</v>
      </c>
      <c r="I1119" s="2" t="s">
        <v>257</v>
      </c>
      <c r="J1119" s="2" t="s">
        <v>74</v>
      </c>
      <c r="K1119" s="2" t="s">
        <v>38</v>
      </c>
      <c r="L1119" s="2" t="s">
        <v>38</v>
      </c>
      <c r="M1119" s="2" t="s">
        <v>38</v>
      </c>
      <c r="N1119" s="2" t="s">
        <v>38</v>
      </c>
      <c r="O1119" s="2" t="s">
        <v>38</v>
      </c>
      <c r="P1119" s="2" t="s">
        <v>38</v>
      </c>
      <c r="Q1119" s="2" t="s">
        <v>38</v>
      </c>
      <c r="R1119" s="2" t="s">
        <v>38</v>
      </c>
      <c r="S1119" s="2" t="s">
        <v>38</v>
      </c>
      <c r="T1119" s="2" t="s">
        <v>38</v>
      </c>
      <c r="U1119" s="2" t="s">
        <v>38</v>
      </c>
      <c r="V1119" s="2" t="s">
        <v>38</v>
      </c>
      <c r="W1119" s="2" t="s">
        <v>38</v>
      </c>
      <c r="X1119" s="2" t="s">
        <v>38</v>
      </c>
      <c r="Y1119" s="2" t="s">
        <v>38</v>
      </c>
      <c r="Z1119" s="2" t="s">
        <v>38</v>
      </c>
      <c r="AA1119" s="2" t="s">
        <v>38</v>
      </c>
      <c r="AB1119" s="2" t="s">
        <v>38</v>
      </c>
      <c r="AC1119" s="2" t="s">
        <v>38</v>
      </c>
      <c r="AD1119" s="2" t="s">
        <v>38</v>
      </c>
      <c r="AE1119" s="2"/>
    </row>
    <row r="1120" spans="1:31" ht="409.5">
      <c r="A1120" s="2">
        <v>2745110</v>
      </c>
      <c r="B1120" s="2">
        <f>HYPERLINK("https://platform.v2.vetology.net/cases/2745110/screening-report/1?type=pdf&amp;v=v6&amp;scorecard=1&amp;secret_key=BX%25IJ%24%2F65ieZ%29f6", 2745110)</f>
        <v>2745110</v>
      </c>
      <c r="C1120" s="2">
        <f>HYPERLINK("https://platform.v2.vetology.net/report/v/final/"&amp;2745110, 2745110)</f>
        <v>2745110</v>
      </c>
      <c r="D1120" s="2" t="s">
        <v>3737</v>
      </c>
      <c r="E1120" s="2" t="s">
        <v>3738</v>
      </c>
      <c r="F1120" s="2" t="s">
        <v>738</v>
      </c>
      <c r="G1120" s="2" t="s">
        <v>34</v>
      </c>
      <c r="H1120" s="2" t="s">
        <v>1985</v>
      </c>
      <c r="I1120" s="2" t="s">
        <v>36</v>
      </c>
      <c r="J1120" s="2" t="s">
        <v>37</v>
      </c>
      <c r="K1120" s="2" t="s">
        <v>39</v>
      </c>
      <c r="L1120" s="2" t="s">
        <v>38</v>
      </c>
      <c r="M1120" s="2" t="s">
        <v>38</v>
      </c>
      <c r="N1120" s="2" t="s">
        <v>38</v>
      </c>
      <c r="O1120" s="2" t="s">
        <v>38</v>
      </c>
      <c r="P1120" s="2" t="s">
        <v>39</v>
      </c>
      <c r="Q1120" s="2" t="s">
        <v>39</v>
      </c>
      <c r="R1120" s="2" t="s">
        <v>39</v>
      </c>
      <c r="S1120" s="2" t="s">
        <v>39</v>
      </c>
      <c r="T1120" s="2" t="s">
        <v>39</v>
      </c>
      <c r="U1120" s="2" t="s">
        <v>39</v>
      </c>
      <c r="V1120" s="2" t="s">
        <v>39</v>
      </c>
      <c r="W1120" s="2" t="s">
        <v>38</v>
      </c>
      <c r="X1120" s="2" t="s">
        <v>39</v>
      </c>
      <c r="Y1120" s="2" t="s">
        <v>39</v>
      </c>
      <c r="Z1120" s="2" t="s">
        <v>38</v>
      </c>
      <c r="AA1120" s="2" t="s">
        <v>38</v>
      </c>
      <c r="AB1120" s="2" t="s">
        <v>39</v>
      </c>
      <c r="AC1120" s="2" t="s">
        <v>38</v>
      </c>
      <c r="AD1120" s="2" t="s">
        <v>38</v>
      </c>
      <c r="AE1120" s="2" t="s">
        <v>40</v>
      </c>
    </row>
    <row r="1121" spans="1:31" ht="409.5">
      <c r="A1121" s="2">
        <v>2745109</v>
      </c>
      <c r="B1121" s="2">
        <f>HYPERLINK("https://platform.v2.vetology.net/cases/2745109/screening-report/1?type=pdf&amp;v=v6&amp;scorecard=1&amp;secret_key=BX%25IJ%24%2F65ieZ%29f6", 2745109)</f>
        <v>2745109</v>
      </c>
      <c r="C1121" s="2">
        <f>HYPERLINK("https://platform.v2.vetology.net/report/v/final/"&amp;2745109, 2745109)</f>
        <v>2745109</v>
      </c>
      <c r="D1121" s="2" t="s">
        <v>3739</v>
      </c>
      <c r="E1121" s="2" t="s">
        <v>3740</v>
      </c>
      <c r="F1121" s="2" t="s">
        <v>280</v>
      </c>
      <c r="G1121" s="2" t="s">
        <v>170</v>
      </c>
      <c r="H1121" s="2" t="s">
        <v>3741</v>
      </c>
      <c r="I1121" s="2" t="s">
        <v>73</v>
      </c>
      <c r="J1121" s="2" t="s">
        <v>74</v>
      </c>
      <c r="K1121" s="2" t="s">
        <v>38</v>
      </c>
      <c r="L1121" s="2" t="s">
        <v>38</v>
      </c>
      <c r="M1121" s="2" t="s">
        <v>38</v>
      </c>
      <c r="N1121" s="2" t="s">
        <v>38</v>
      </c>
      <c r="O1121" s="2" t="s">
        <v>38</v>
      </c>
      <c r="P1121" s="2" t="s">
        <v>38</v>
      </c>
      <c r="Q1121" s="2" t="s">
        <v>38</v>
      </c>
      <c r="R1121" s="2" t="s">
        <v>38</v>
      </c>
      <c r="S1121" s="2" t="s">
        <v>38</v>
      </c>
      <c r="T1121" s="2" t="s">
        <v>38</v>
      </c>
      <c r="U1121" s="2" t="s">
        <v>38</v>
      </c>
      <c r="V1121" s="2" t="s">
        <v>38</v>
      </c>
      <c r="W1121" s="2" t="s">
        <v>38</v>
      </c>
      <c r="X1121" s="2" t="s">
        <v>38</v>
      </c>
      <c r="Y1121" s="2" t="s">
        <v>39</v>
      </c>
      <c r="Z1121" s="2" t="s">
        <v>38</v>
      </c>
      <c r="AA1121" s="2" t="s">
        <v>38</v>
      </c>
      <c r="AB1121" s="2" t="s">
        <v>38</v>
      </c>
      <c r="AC1121" s="2" t="s">
        <v>39</v>
      </c>
      <c r="AD1121" s="2" t="s">
        <v>38</v>
      </c>
      <c r="AE1121" s="2"/>
    </row>
    <row r="1122" spans="1:31" ht="409.5">
      <c r="A1122" s="2">
        <v>2745094</v>
      </c>
      <c r="B1122" s="2">
        <f>HYPERLINK("https://platform.v2.vetology.net/cases/2745094/screening-report/1?type=pdf&amp;v=v6&amp;scorecard=1&amp;secret_key=BX%25IJ%24%2F65ieZ%29f6", 2745094)</f>
        <v>2745094</v>
      </c>
      <c r="C1122" s="2">
        <f>HYPERLINK("https://platform.v2.vetology.net/report/v/final/"&amp;2745094, 2745094)</f>
        <v>2745094</v>
      </c>
      <c r="D1122" s="2" t="s">
        <v>3742</v>
      </c>
      <c r="E1122" s="2" t="s">
        <v>3743</v>
      </c>
      <c r="F1122" s="2" t="s">
        <v>3744</v>
      </c>
      <c r="G1122" s="2" t="s">
        <v>34</v>
      </c>
      <c r="H1122" s="2" t="s">
        <v>398</v>
      </c>
      <c r="I1122" s="2" t="s">
        <v>46</v>
      </c>
      <c r="J1122" s="2"/>
      <c r="K1122" s="2" t="s">
        <v>38</v>
      </c>
      <c r="L1122" s="2" t="s">
        <v>39</v>
      </c>
      <c r="M1122" s="2" t="s">
        <v>39</v>
      </c>
      <c r="N1122" s="2" t="s">
        <v>39</v>
      </c>
      <c r="O1122" s="2" t="s">
        <v>39</v>
      </c>
      <c r="P1122" s="2" t="s">
        <v>39</v>
      </c>
      <c r="Q1122" s="2" t="s">
        <v>39</v>
      </c>
      <c r="R1122" s="2" t="s">
        <v>39</v>
      </c>
      <c r="S1122" s="2" t="s">
        <v>39</v>
      </c>
      <c r="T1122" s="2" t="s">
        <v>39</v>
      </c>
      <c r="U1122" s="2" t="s">
        <v>39</v>
      </c>
      <c r="V1122" s="2" t="s">
        <v>39</v>
      </c>
      <c r="W1122" s="2" t="s">
        <v>39</v>
      </c>
      <c r="X1122" s="2" t="s">
        <v>39</v>
      </c>
      <c r="Y1122" s="2" t="s">
        <v>39</v>
      </c>
      <c r="Z1122" s="2" t="s">
        <v>39</v>
      </c>
      <c r="AA1122" s="2" t="s">
        <v>39</v>
      </c>
      <c r="AB1122" s="2" t="s">
        <v>39</v>
      </c>
      <c r="AC1122" s="2" t="s">
        <v>38</v>
      </c>
      <c r="AD1122" s="2" t="s">
        <v>39</v>
      </c>
      <c r="AE1122" s="2" t="s">
        <v>39</v>
      </c>
    </row>
    <row r="1123" spans="1:31" ht="409.5">
      <c r="A1123" s="2">
        <v>2745086</v>
      </c>
      <c r="B1123" s="2">
        <f>HYPERLINK("https://platform.v2.vetology.net/cases/2745086/screening-report/1?type=pdf&amp;v=v6&amp;scorecard=1&amp;secret_key=BX%25IJ%24%2F65ieZ%29f6", 2745086)</f>
        <v>2745086</v>
      </c>
      <c r="C1123" s="2">
        <f>HYPERLINK("https://platform.v2.vetology.net/report/v/final/"&amp;2745086, 2745086)</f>
        <v>2745086</v>
      </c>
      <c r="D1123" s="2" t="s">
        <v>3745</v>
      </c>
      <c r="E1123" s="2" t="s">
        <v>3746</v>
      </c>
      <c r="F1123" s="2" t="s">
        <v>43</v>
      </c>
      <c r="G1123" s="2" t="s">
        <v>100</v>
      </c>
      <c r="H1123" s="2" t="s">
        <v>3747</v>
      </c>
      <c r="I1123" s="2" t="s">
        <v>73</v>
      </c>
      <c r="J1123" s="2" t="s">
        <v>74</v>
      </c>
      <c r="K1123" s="2" t="s">
        <v>38</v>
      </c>
      <c r="L1123" s="2" t="s">
        <v>38</v>
      </c>
      <c r="M1123" s="2" t="s">
        <v>38</v>
      </c>
      <c r="N1123" s="2" t="s">
        <v>38</v>
      </c>
      <c r="O1123" s="2" t="s">
        <v>38</v>
      </c>
      <c r="P1123" s="2" t="s">
        <v>38</v>
      </c>
      <c r="Q1123" s="2" t="s">
        <v>38</v>
      </c>
      <c r="R1123" s="2" t="s">
        <v>38</v>
      </c>
      <c r="S1123" s="2" t="s">
        <v>38</v>
      </c>
      <c r="T1123" s="2" t="s">
        <v>38</v>
      </c>
      <c r="U1123" s="2" t="s">
        <v>38</v>
      </c>
      <c r="V1123" s="2" t="s">
        <v>38</v>
      </c>
      <c r="W1123" s="2" t="s">
        <v>38</v>
      </c>
      <c r="X1123" s="2" t="s">
        <v>38</v>
      </c>
      <c r="Y1123" s="2" t="s">
        <v>39</v>
      </c>
      <c r="Z1123" s="2" t="s">
        <v>38</v>
      </c>
      <c r="AA1123" s="2" t="s">
        <v>38</v>
      </c>
      <c r="AB1123" s="2" t="s">
        <v>38</v>
      </c>
      <c r="AC1123" s="2" t="s">
        <v>38</v>
      </c>
      <c r="AD1123" s="2" t="s">
        <v>38</v>
      </c>
      <c r="AE1123" s="2" t="s">
        <v>40</v>
      </c>
    </row>
    <row r="1124" spans="1:31" ht="409.5">
      <c r="A1124" s="2">
        <v>2745073</v>
      </c>
      <c r="B1124" s="2">
        <f>HYPERLINK("https://platform.v2.vetology.net/cases/2745073/screening-report/1?type=pdf&amp;v=v6&amp;scorecard=1&amp;secret_key=BX%25IJ%24%2F65ieZ%29f6", 2745073)</f>
        <v>2745073</v>
      </c>
      <c r="C1124" s="2">
        <f>HYPERLINK("https://platform.v2.vetology.net/report/v/final/"&amp;2745073, 2745073)</f>
        <v>2745073</v>
      </c>
      <c r="D1124" s="2" t="s">
        <v>3748</v>
      </c>
      <c r="E1124" s="2" t="s">
        <v>3749</v>
      </c>
      <c r="F1124" s="2" t="s">
        <v>3750</v>
      </c>
      <c r="G1124" s="2" t="s">
        <v>44</v>
      </c>
      <c r="H1124" s="2" t="s">
        <v>3751</v>
      </c>
      <c r="I1124" s="2" t="s">
        <v>36</v>
      </c>
      <c r="J1124" s="2" t="s">
        <v>37</v>
      </c>
      <c r="K1124" s="2" t="s">
        <v>38</v>
      </c>
      <c r="L1124" s="2" t="s">
        <v>39</v>
      </c>
      <c r="M1124" s="2" t="s">
        <v>38</v>
      </c>
      <c r="N1124" s="2" t="s">
        <v>38</v>
      </c>
      <c r="O1124" s="2" t="s">
        <v>38</v>
      </c>
      <c r="P1124" s="2" t="s">
        <v>39</v>
      </c>
      <c r="Q1124" s="2" t="s">
        <v>39</v>
      </c>
      <c r="R1124" s="2" t="s">
        <v>38</v>
      </c>
      <c r="S1124" s="2" t="s">
        <v>38</v>
      </c>
      <c r="T1124" s="2" t="s">
        <v>38</v>
      </c>
      <c r="U1124" s="2" t="s">
        <v>38</v>
      </c>
      <c r="V1124" s="2" t="s">
        <v>39</v>
      </c>
      <c r="W1124" s="2" t="s">
        <v>38</v>
      </c>
      <c r="X1124" s="2" t="s">
        <v>39</v>
      </c>
      <c r="Y1124" s="2" t="s">
        <v>39</v>
      </c>
      <c r="Z1124" s="2" t="s">
        <v>38</v>
      </c>
      <c r="AA1124" s="2" t="s">
        <v>38</v>
      </c>
      <c r="AB1124" s="2" t="s">
        <v>39</v>
      </c>
      <c r="AC1124" s="2" t="s">
        <v>38</v>
      </c>
      <c r="AD1124" s="2" t="s">
        <v>38</v>
      </c>
      <c r="AE1124" s="2" t="s">
        <v>40</v>
      </c>
    </row>
    <row r="1125" spans="1:31" ht="409.5">
      <c r="A1125" s="2">
        <v>2745060</v>
      </c>
      <c r="B1125" s="2">
        <f>HYPERLINK("https://platform.v2.vetology.net/cases/2745060/screening-report/1?type=pdf&amp;v=v6&amp;scorecard=1&amp;secret_key=BX%25IJ%24%2F65ieZ%29f6", 2745060)</f>
        <v>2745060</v>
      </c>
      <c r="C1125" s="2">
        <f>HYPERLINK("https://platform.v2.vetology.net/report/v/final/"&amp;2745060, 2745060)</f>
        <v>2745060</v>
      </c>
      <c r="D1125" s="2" t="s">
        <v>3752</v>
      </c>
      <c r="E1125" s="2" t="s">
        <v>3753</v>
      </c>
      <c r="F1125" s="2" t="s">
        <v>3754</v>
      </c>
      <c r="G1125" s="2" t="s">
        <v>100</v>
      </c>
      <c r="H1125" s="2" t="s">
        <v>3755</v>
      </c>
      <c r="I1125" s="2" t="s">
        <v>73</v>
      </c>
      <c r="J1125" s="2" t="s">
        <v>74</v>
      </c>
      <c r="K1125" s="2" t="s">
        <v>38</v>
      </c>
      <c r="L1125" s="2" t="s">
        <v>38</v>
      </c>
      <c r="M1125" s="2" t="s">
        <v>38</v>
      </c>
      <c r="N1125" s="2" t="s">
        <v>38</v>
      </c>
      <c r="O1125" s="2" t="s">
        <v>38</v>
      </c>
      <c r="P1125" s="2" t="s">
        <v>38</v>
      </c>
      <c r="Q1125" s="2" t="s">
        <v>38</v>
      </c>
      <c r="R1125" s="2" t="s">
        <v>38</v>
      </c>
      <c r="S1125" s="2" t="s">
        <v>38</v>
      </c>
      <c r="T1125" s="2" t="s">
        <v>38</v>
      </c>
      <c r="U1125" s="2" t="s">
        <v>38</v>
      </c>
      <c r="V1125" s="2" t="s">
        <v>38</v>
      </c>
      <c r="W1125" s="2" t="s">
        <v>38</v>
      </c>
      <c r="X1125" s="2" t="s">
        <v>38</v>
      </c>
      <c r="Y1125" s="2" t="s">
        <v>38</v>
      </c>
      <c r="Z1125" s="2" t="s">
        <v>38</v>
      </c>
      <c r="AA1125" s="2" t="s">
        <v>38</v>
      </c>
      <c r="AB1125" s="2" t="s">
        <v>38</v>
      </c>
      <c r="AC1125" s="2" t="s">
        <v>38</v>
      </c>
      <c r="AD1125" s="2" t="s">
        <v>38</v>
      </c>
      <c r="AE1125" s="2" t="s">
        <v>40</v>
      </c>
    </row>
    <row r="1126" spans="1:31" ht="409.5">
      <c r="A1126" s="2">
        <v>2745035</v>
      </c>
      <c r="B1126" s="2">
        <f>HYPERLINK("https://platform.v2.vetology.net/cases/2745035/screening-report/1?type=pdf&amp;v=v6&amp;scorecard=1&amp;secret_key=BX%25IJ%24%2F65ieZ%29f6", 2745035)</f>
        <v>2745035</v>
      </c>
      <c r="C1126" s="2">
        <f>HYPERLINK("https://platform.v2.vetology.net/report/v/final/"&amp;2745035, 2745035)</f>
        <v>2745035</v>
      </c>
      <c r="D1126" s="2" t="s">
        <v>3756</v>
      </c>
      <c r="E1126" s="2" t="s">
        <v>3757</v>
      </c>
      <c r="F1126" s="2" t="s">
        <v>3758</v>
      </c>
      <c r="G1126" s="2" t="s">
        <v>53</v>
      </c>
      <c r="H1126" s="2" t="s">
        <v>398</v>
      </c>
      <c r="I1126" s="2" t="s">
        <v>46</v>
      </c>
      <c r="J1126" s="2"/>
      <c r="K1126" s="2" t="s">
        <v>38</v>
      </c>
      <c r="L1126" s="2" t="s">
        <v>39</v>
      </c>
      <c r="M1126" s="2" t="s">
        <v>39</v>
      </c>
      <c r="N1126" s="2" t="s">
        <v>39</v>
      </c>
      <c r="O1126" s="2" t="s">
        <v>39</v>
      </c>
      <c r="P1126" s="2" t="s">
        <v>39</v>
      </c>
      <c r="Q1126" s="2" t="s">
        <v>39</v>
      </c>
      <c r="R1126" s="2" t="s">
        <v>39</v>
      </c>
      <c r="S1126" s="2" t="s">
        <v>39</v>
      </c>
      <c r="T1126" s="2" t="s">
        <v>39</v>
      </c>
      <c r="U1126" s="2" t="s">
        <v>39</v>
      </c>
      <c r="V1126" s="2" t="s">
        <v>39</v>
      </c>
      <c r="W1126" s="2" t="s">
        <v>38</v>
      </c>
      <c r="X1126" s="2" t="s">
        <v>39</v>
      </c>
      <c r="Y1126" s="2" t="s">
        <v>39</v>
      </c>
      <c r="Z1126" s="2" t="s">
        <v>39</v>
      </c>
      <c r="AA1126" s="2" t="s">
        <v>39</v>
      </c>
      <c r="AB1126" s="2" t="s">
        <v>39</v>
      </c>
      <c r="AC1126" s="2" t="s">
        <v>38</v>
      </c>
      <c r="AD1126" s="2" t="s">
        <v>38</v>
      </c>
      <c r="AE1126" s="2" t="s">
        <v>40</v>
      </c>
    </row>
    <row r="1127" spans="1:31" ht="409.5">
      <c r="A1127" s="2">
        <v>2745017</v>
      </c>
      <c r="B1127" s="2">
        <f>HYPERLINK("https://platform.v2.vetology.net/cases/2745017/screening-report/1?type=pdf&amp;v=v6&amp;scorecard=1&amp;secret_key=BX%25IJ%24%2F65ieZ%29f6", 2745017)</f>
        <v>2745017</v>
      </c>
      <c r="C1127" s="2">
        <f>HYPERLINK("https://platform.v2.vetology.net/report/v/final/"&amp;2745017, 2745017)</f>
        <v>2745017</v>
      </c>
      <c r="D1127" s="2" t="s">
        <v>3759</v>
      </c>
      <c r="E1127" s="2" t="s">
        <v>3760</v>
      </c>
      <c r="F1127" s="2"/>
      <c r="G1127" s="2" t="s">
        <v>81</v>
      </c>
      <c r="H1127" s="2" t="s">
        <v>69</v>
      </c>
      <c r="I1127" s="2" t="s">
        <v>46</v>
      </c>
      <c r="J1127" s="2"/>
      <c r="K1127" s="2" t="s">
        <v>39</v>
      </c>
      <c r="L1127" s="2" t="s">
        <v>39</v>
      </c>
      <c r="M1127" s="2" t="s">
        <v>39</v>
      </c>
      <c r="N1127" s="2" t="s">
        <v>39</v>
      </c>
      <c r="O1127" s="2" t="s">
        <v>39</v>
      </c>
      <c r="P1127" s="2" t="s">
        <v>39</v>
      </c>
      <c r="Q1127" s="2" t="s">
        <v>39</v>
      </c>
      <c r="R1127" s="2" t="s">
        <v>39</v>
      </c>
      <c r="S1127" s="2" t="s">
        <v>39</v>
      </c>
      <c r="T1127" s="2" t="s">
        <v>39</v>
      </c>
      <c r="U1127" s="2" t="s">
        <v>39</v>
      </c>
      <c r="V1127" s="2" t="s">
        <v>39</v>
      </c>
      <c r="W1127" s="2" t="s">
        <v>39</v>
      </c>
      <c r="X1127" s="2" t="s">
        <v>39</v>
      </c>
      <c r="Y1127" s="2" t="s">
        <v>39</v>
      </c>
      <c r="Z1127" s="2" t="s">
        <v>39</v>
      </c>
      <c r="AA1127" s="2" t="s">
        <v>39</v>
      </c>
      <c r="AB1127" s="2" t="s">
        <v>39</v>
      </c>
      <c r="AC1127" s="2" t="s">
        <v>39</v>
      </c>
      <c r="AD1127" s="2" t="s">
        <v>39</v>
      </c>
      <c r="AE1127" s="2" t="s">
        <v>39</v>
      </c>
    </row>
    <row r="1128" spans="1:31" ht="409.5">
      <c r="A1128" s="2">
        <v>2744978</v>
      </c>
      <c r="B1128" s="2">
        <f>HYPERLINK("https://platform.v2.vetology.net/cases/2744978/screening-report/1?type=pdf&amp;v=v6&amp;scorecard=1&amp;secret_key=BX%25IJ%24%2F65ieZ%29f6", 2744978)</f>
        <v>2744978</v>
      </c>
      <c r="C1128" s="2">
        <f>HYPERLINK("https://platform.v2.vetology.net/report/v/final/"&amp;2744978, 2744978)</f>
        <v>2744978</v>
      </c>
      <c r="D1128" s="2" t="s">
        <v>3761</v>
      </c>
      <c r="E1128" s="2" t="s">
        <v>3762</v>
      </c>
      <c r="F1128" s="2" t="s">
        <v>3763</v>
      </c>
      <c r="G1128" s="2" t="s">
        <v>111</v>
      </c>
      <c r="H1128" s="2" t="s">
        <v>3764</v>
      </c>
      <c r="I1128" s="2" t="s">
        <v>36</v>
      </c>
      <c r="J1128" s="2" t="s">
        <v>37</v>
      </c>
      <c r="K1128" s="2" t="s">
        <v>39</v>
      </c>
      <c r="L1128" s="2" t="s">
        <v>39</v>
      </c>
      <c r="M1128" s="2" t="s">
        <v>38</v>
      </c>
      <c r="N1128" s="2" t="s">
        <v>38</v>
      </c>
      <c r="O1128" s="2" t="s">
        <v>39</v>
      </c>
      <c r="P1128" s="2" t="s">
        <v>39</v>
      </c>
      <c r="Q1128" s="2" t="s">
        <v>39</v>
      </c>
      <c r="R1128" s="2" t="s">
        <v>38</v>
      </c>
      <c r="S1128" s="2" t="s">
        <v>39</v>
      </c>
      <c r="T1128" s="2" t="s">
        <v>38</v>
      </c>
      <c r="U1128" s="2" t="s">
        <v>39</v>
      </c>
      <c r="V1128" s="2" t="s">
        <v>39</v>
      </c>
      <c r="W1128" s="2" t="s">
        <v>38</v>
      </c>
      <c r="X1128" s="2" t="s">
        <v>39</v>
      </c>
      <c r="Y1128" s="2" t="s">
        <v>39</v>
      </c>
      <c r="Z1128" s="2" t="s">
        <v>38</v>
      </c>
      <c r="AA1128" s="2" t="s">
        <v>39</v>
      </c>
      <c r="AB1128" s="2" t="s">
        <v>39</v>
      </c>
      <c r="AC1128" s="2" t="s">
        <v>39</v>
      </c>
      <c r="AD1128" s="2" t="s">
        <v>39</v>
      </c>
      <c r="AE1128" s="2" t="s">
        <v>39</v>
      </c>
    </row>
    <row r="1129" spans="1:31" ht="409.5">
      <c r="A1129" s="2">
        <v>2744970</v>
      </c>
      <c r="B1129" s="2">
        <f>HYPERLINK("https://platform.v2.vetology.net/cases/2744970/screening-report/1?type=pdf&amp;v=v6&amp;scorecard=1&amp;secret_key=BX%25IJ%24%2F65ieZ%29f6", 2744970)</f>
        <v>2744970</v>
      </c>
      <c r="C1129" s="2">
        <f>HYPERLINK("https://platform.v2.vetology.net/report/v/final/"&amp;2744970, 2744970)</f>
        <v>2744970</v>
      </c>
      <c r="D1129" s="2" t="s">
        <v>3765</v>
      </c>
      <c r="E1129" s="2" t="s">
        <v>3766</v>
      </c>
      <c r="F1129" s="2" t="s">
        <v>3767</v>
      </c>
      <c r="G1129" s="2" t="s">
        <v>34</v>
      </c>
      <c r="H1129" s="2" t="s">
        <v>3768</v>
      </c>
      <c r="I1129" s="2" t="s">
        <v>73</v>
      </c>
      <c r="J1129" s="2" t="s">
        <v>74</v>
      </c>
      <c r="K1129" s="2" t="s">
        <v>38</v>
      </c>
      <c r="L1129" s="2" t="s">
        <v>38</v>
      </c>
      <c r="M1129" s="2" t="s">
        <v>38</v>
      </c>
      <c r="N1129" s="2" t="s">
        <v>38</v>
      </c>
      <c r="O1129" s="2" t="s">
        <v>38</v>
      </c>
      <c r="P1129" s="2" t="s">
        <v>38</v>
      </c>
      <c r="Q1129" s="2" t="s">
        <v>38</v>
      </c>
      <c r="R1129" s="2" t="s">
        <v>38</v>
      </c>
      <c r="S1129" s="2" t="s">
        <v>38</v>
      </c>
      <c r="T1129" s="2" t="s">
        <v>38</v>
      </c>
      <c r="U1129" s="2" t="s">
        <v>38</v>
      </c>
      <c r="V1129" s="2" t="s">
        <v>38</v>
      </c>
      <c r="W1129" s="2" t="s">
        <v>38</v>
      </c>
      <c r="X1129" s="2" t="s">
        <v>38</v>
      </c>
      <c r="Y1129" s="2" t="s">
        <v>38</v>
      </c>
      <c r="Z1129" s="2" t="s">
        <v>38</v>
      </c>
      <c r="AA1129" s="2" t="s">
        <v>38</v>
      </c>
      <c r="AB1129" s="2" t="s">
        <v>38</v>
      </c>
      <c r="AC1129" s="2" t="s">
        <v>38</v>
      </c>
      <c r="AD1129" s="2" t="s">
        <v>38</v>
      </c>
      <c r="AE1129" s="2" t="s">
        <v>40</v>
      </c>
    </row>
    <row r="1130" spans="1:31" ht="409.5">
      <c r="A1130" s="2">
        <v>2744969</v>
      </c>
      <c r="B1130" s="2">
        <f>HYPERLINK("https://platform.v2.vetology.net/cases/2744969/screening-report/1?type=pdf&amp;v=v6&amp;scorecard=1&amp;secret_key=BX%25IJ%24%2F65ieZ%29f6", 2744969)</f>
        <v>2744969</v>
      </c>
      <c r="C1130" s="2">
        <f>HYPERLINK("https://platform.v2.vetology.net/report/v/final/"&amp;2744969, 2744969)</f>
        <v>2744969</v>
      </c>
      <c r="D1130" s="2" t="s">
        <v>3769</v>
      </c>
      <c r="E1130" s="2" t="s">
        <v>3695</v>
      </c>
      <c r="F1130" s="2" t="s">
        <v>3770</v>
      </c>
      <c r="G1130" s="2" t="s">
        <v>111</v>
      </c>
      <c r="H1130" s="2" t="s">
        <v>69</v>
      </c>
      <c r="I1130" s="2" t="s">
        <v>46</v>
      </c>
      <c r="J1130" s="2"/>
      <c r="K1130" s="2" t="s">
        <v>39</v>
      </c>
      <c r="L1130" s="2" t="s">
        <v>39</v>
      </c>
      <c r="M1130" s="2" t="s">
        <v>39</v>
      </c>
      <c r="N1130" s="2" t="s">
        <v>39</v>
      </c>
      <c r="O1130" s="2" t="s">
        <v>39</v>
      </c>
      <c r="P1130" s="2" t="s">
        <v>39</v>
      </c>
      <c r="Q1130" s="2" t="s">
        <v>39</v>
      </c>
      <c r="R1130" s="2" t="s">
        <v>39</v>
      </c>
      <c r="S1130" s="2" t="s">
        <v>39</v>
      </c>
      <c r="T1130" s="2" t="s">
        <v>39</v>
      </c>
      <c r="U1130" s="2" t="s">
        <v>39</v>
      </c>
      <c r="V1130" s="2" t="s">
        <v>39</v>
      </c>
      <c r="W1130" s="2" t="s">
        <v>39</v>
      </c>
      <c r="X1130" s="2" t="s">
        <v>39</v>
      </c>
      <c r="Y1130" s="2" t="s">
        <v>39</v>
      </c>
      <c r="Z1130" s="2" t="s">
        <v>39</v>
      </c>
      <c r="AA1130" s="2" t="s">
        <v>39</v>
      </c>
      <c r="AB1130" s="2" t="s">
        <v>39</v>
      </c>
      <c r="AC1130" s="2" t="s">
        <v>38</v>
      </c>
      <c r="AD1130" s="2" t="s">
        <v>38</v>
      </c>
      <c r="AE1130" s="2" t="s">
        <v>40</v>
      </c>
    </row>
    <row r="1131" spans="1:31" ht="409.5">
      <c r="A1131" s="2">
        <v>2744947</v>
      </c>
      <c r="B1131" s="2">
        <f>HYPERLINK("https://platform.v2.vetology.net/cases/2744947/screening-report/1?type=pdf&amp;v=v6&amp;scorecard=1&amp;secret_key=BX%25IJ%24%2F65ieZ%29f6", 2744947)</f>
        <v>2744947</v>
      </c>
      <c r="C1131" s="2">
        <f>HYPERLINK("https://platform.v2.vetology.net/report/v/final/"&amp;2744947, 2744947)</f>
        <v>2744947</v>
      </c>
      <c r="D1131" s="2" t="s">
        <v>3771</v>
      </c>
      <c r="E1131" s="2" t="s">
        <v>331</v>
      </c>
      <c r="F1131" s="2" t="s">
        <v>3291</v>
      </c>
      <c r="G1131" s="2" t="s">
        <v>100</v>
      </c>
      <c r="H1131" s="2" t="s">
        <v>3772</v>
      </c>
      <c r="I1131" s="2" t="s">
        <v>73</v>
      </c>
      <c r="J1131" s="2" t="s">
        <v>74</v>
      </c>
      <c r="K1131" s="2" t="s">
        <v>38</v>
      </c>
      <c r="L1131" s="2" t="s">
        <v>38</v>
      </c>
      <c r="M1131" s="2" t="s">
        <v>38</v>
      </c>
      <c r="N1131" s="2" t="s">
        <v>38</v>
      </c>
      <c r="O1131" s="2" t="s">
        <v>38</v>
      </c>
      <c r="P1131" s="2" t="s">
        <v>38</v>
      </c>
      <c r="Q1131" s="2" t="s">
        <v>38</v>
      </c>
      <c r="R1131" s="2" t="s">
        <v>38</v>
      </c>
      <c r="S1131" s="2" t="s">
        <v>38</v>
      </c>
      <c r="T1131" s="2" t="s">
        <v>38</v>
      </c>
      <c r="U1131" s="2" t="s">
        <v>38</v>
      </c>
      <c r="V1131" s="2" t="s">
        <v>38</v>
      </c>
      <c r="W1131" s="2" t="s">
        <v>38</v>
      </c>
      <c r="X1131" s="2" t="s">
        <v>38</v>
      </c>
      <c r="Y1131" s="2" t="s">
        <v>38</v>
      </c>
      <c r="Z1131" s="2" t="s">
        <v>38</v>
      </c>
      <c r="AA1131" s="2" t="s">
        <v>38</v>
      </c>
      <c r="AB1131" s="2" t="s">
        <v>38</v>
      </c>
      <c r="AC1131" s="2" t="s">
        <v>38</v>
      </c>
      <c r="AD1131" s="2" t="s">
        <v>38</v>
      </c>
      <c r="AE1131" s="2"/>
    </row>
    <row r="1132" spans="1:31" ht="409.5">
      <c r="A1132" s="2">
        <v>2744896</v>
      </c>
      <c r="B1132" s="2">
        <f>HYPERLINK("https://platform.v2.vetology.net/cases/2744896/screening-report/1?type=pdf&amp;v=v6&amp;scorecard=1&amp;secret_key=BX%25IJ%24%2F65ieZ%29f6", 2744896)</f>
        <v>2744896</v>
      </c>
      <c r="C1132" s="2">
        <f>HYPERLINK("https://platform.v2.vetology.net/report/v/final/"&amp;2744896, 2744896)</f>
        <v>2744896</v>
      </c>
      <c r="D1132" s="2" t="s">
        <v>3773</v>
      </c>
      <c r="E1132" s="2" t="s">
        <v>3774</v>
      </c>
      <c r="F1132" s="2" t="s">
        <v>310</v>
      </c>
      <c r="G1132" s="2" t="s">
        <v>34</v>
      </c>
      <c r="H1132" s="2" t="s">
        <v>3775</v>
      </c>
      <c r="I1132" s="2" t="s">
        <v>36</v>
      </c>
      <c r="J1132" s="2" t="s">
        <v>37</v>
      </c>
      <c r="K1132" s="2" t="s">
        <v>39</v>
      </c>
      <c r="L1132" s="2" t="s">
        <v>38</v>
      </c>
      <c r="M1132" s="2" t="s">
        <v>39</v>
      </c>
      <c r="N1132" s="2" t="s">
        <v>38</v>
      </c>
      <c r="O1132" s="2" t="s">
        <v>39</v>
      </c>
      <c r="P1132" s="2" t="s">
        <v>39</v>
      </c>
      <c r="Q1132" s="2" t="s">
        <v>39</v>
      </c>
      <c r="R1132" s="2" t="s">
        <v>38</v>
      </c>
      <c r="S1132" s="2" t="s">
        <v>38</v>
      </c>
      <c r="T1132" s="2" t="s">
        <v>38</v>
      </c>
      <c r="U1132" s="2" t="s">
        <v>39</v>
      </c>
      <c r="V1132" s="2" t="s">
        <v>39</v>
      </c>
      <c r="W1132" s="2" t="s">
        <v>38</v>
      </c>
      <c r="X1132" s="2" t="s">
        <v>39</v>
      </c>
      <c r="Y1132" s="2" t="s">
        <v>39</v>
      </c>
      <c r="Z1132" s="2" t="s">
        <v>38</v>
      </c>
      <c r="AA1132" s="2" t="s">
        <v>39</v>
      </c>
      <c r="AB1132" s="2" t="s">
        <v>39</v>
      </c>
      <c r="AC1132" s="2" t="s">
        <v>38</v>
      </c>
      <c r="AD1132" s="2" t="s">
        <v>38</v>
      </c>
      <c r="AE1132" s="2" t="s">
        <v>39</v>
      </c>
    </row>
    <row r="1133" spans="1:31" ht="409.5">
      <c r="A1133" s="2">
        <v>2744892</v>
      </c>
      <c r="B1133" s="2">
        <f>HYPERLINK("https://platform.v2.vetology.net/cases/2744892/screening-report/1?type=pdf&amp;v=v6&amp;scorecard=1&amp;secret_key=BX%25IJ%24%2F65ieZ%29f6", 2744892)</f>
        <v>2744892</v>
      </c>
      <c r="C1133" s="2">
        <f>HYPERLINK("https://platform.v2.vetology.net/report/v/final/"&amp;2744892, 2744892)</f>
        <v>2744892</v>
      </c>
      <c r="D1133" s="2" t="s">
        <v>3776</v>
      </c>
      <c r="E1133" s="2" t="s">
        <v>3777</v>
      </c>
      <c r="F1133" s="2" t="s">
        <v>3778</v>
      </c>
      <c r="G1133" s="2" t="s">
        <v>34</v>
      </c>
      <c r="H1133" s="2" t="s">
        <v>1056</v>
      </c>
      <c r="I1133" s="2" t="s">
        <v>59</v>
      </c>
      <c r="J1133" s="2" t="s">
        <v>37</v>
      </c>
      <c r="K1133" s="2" t="s">
        <v>39</v>
      </c>
      <c r="L1133" s="2" t="s">
        <v>39</v>
      </c>
      <c r="M1133" s="2" t="s">
        <v>39</v>
      </c>
      <c r="N1133" s="2" t="s">
        <v>38</v>
      </c>
      <c r="O1133" s="2" t="s">
        <v>39</v>
      </c>
      <c r="P1133" s="2" t="s">
        <v>39</v>
      </c>
      <c r="Q1133" s="2" t="s">
        <v>39</v>
      </c>
      <c r="R1133" s="2" t="s">
        <v>39</v>
      </c>
      <c r="S1133" s="2" t="s">
        <v>39</v>
      </c>
      <c r="T1133" s="2" t="s">
        <v>38</v>
      </c>
      <c r="U1133" s="2" t="s">
        <v>39</v>
      </c>
      <c r="V1133" s="2" t="s">
        <v>39</v>
      </c>
      <c r="W1133" s="2" t="s">
        <v>39</v>
      </c>
      <c r="X1133" s="2" t="s">
        <v>39</v>
      </c>
      <c r="Y1133" s="2" t="s">
        <v>39</v>
      </c>
      <c r="Z1133" s="2" t="s">
        <v>38</v>
      </c>
      <c r="AA1133" s="2" t="s">
        <v>39</v>
      </c>
      <c r="AB1133" s="2" t="s">
        <v>39</v>
      </c>
      <c r="AC1133" s="2" t="s">
        <v>38</v>
      </c>
      <c r="AD1133" s="2" t="s">
        <v>38</v>
      </c>
      <c r="AE1133" s="2"/>
    </row>
    <row r="1134" spans="1:31" ht="409.5">
      <c r="A1134" s="2">
        <v>2744860</v>
      </c>
      <c r="B1134" s="2">
        <f>HYPERLINK("https://platform.v2.vetology.net/cases/2744860/screening-report/1?type=pdf&amp;v=v6&amp;scorecard=1&amp;secret_key=BX%25IJ%24%2F65ieZ%29f6", 2744860)</f>
        <v>2744860</v>
      </c>
      <c r="C1134" s="2">
        <f>HYPERLINK("https://platform.v2.vetology.net/report/v/final/"&amp;2744860, 2744860)</f>
        <v>2744860</v>
      </c>
      <c r="D1134" s="2" t="s">
        <v>3779</v>
      </c>
      <c r="E1134" s="2" t="s">
        <v>3780</v>
      </c>
      <c r="F1134" s="2" t="s">
        <v>3781</v>
      </c>
      <c r="G1134" s="2" t="s">
        <v>170</v>
      </c>
      <c r="H1134" s="2" t="s">
        <v>2323</v>
      </c>
      <c r="I1134" s="2" t="s">
        <v>59</v>
      </c>
      <c r="J1134" s="2" t="s">
        <v>37</v>
      </c>
      <c r="K1134" s="2" t="s">
        <v>38</v>
      </c>
      <c r="L1134" s="2" t="s">
        <v>39</v>
      </c>
      <c r="M1134" s="2" t="s">
        <v>39</v>
      </c>
      <c r="N1134" s="2" t="s">
        <v>39</v>
      </c>
      <c r="O1134" s="2" t="s">
        <v>39</v>
      </c>
      <c r="P1134" s="2" t="s">
        <v>39</v>
      </c>
      <c r="Q1134" s="2" t="s">
        <v>39</v>
      </c>
      <c r="R1134" s="2" t="s">
        <v>38</v>
      </c>
      <c r="S1134" s="2" t="s">
        <v>38</v>
      </c>
      <c r="T1134" s="2" t="s">
        <v>38</v>
      </c>
      <c r="U1134" s="2" t="s">
        <v>38</v>
      </c>
      <c r="V1134" s="2" t="s">
        <v>38</v>
      </c>
      <c r="W1134" s="2" t="s">
        <v>38</v>
      </c>
      <c r="X1134" s="2" t="s">
        <v>39</v>
      </c>
      <c r="Y1134" s="2" t="s">
        <v>39</v>
      </c>
      <c r="Z1134" s="2" t="s">
        <v>38</v>
      </c>
      <c r="AA1134" s="2" t="s">
        <v>38</v>
      </c>
      <c r="AB1134" s="2" t="s">
        <v>39</v>
      </c>
      <c r="AC1134" s="2" t="s">
        <v>38</v>
      </c>
      <c r="AD1134" s="2" t="s">
        <v>39</v>
      </c>
      <c r="AE1134" s="2" t="s">
        <v>39</v>
      </c>
    </row>
    <row r="1135" spans="1:31" ht="409.5">
      <c r="A1135" s="2">
        <v>2744847</v>
      </c>
      <c r="B1135" s="2">
        <f>HYPERLINK("https://platform.v2.vetology.net/cases/2744847/screening-report/1?type=pdf&amp;v=v6&amp;scorecard=1&amp;secret_key=BX%25IJ%24%2F65ieZ%29f6", 2744847)</f>
        <v>2744847</v>
      </c>
      <c r="C1135" s="2">
        <f>HYPERLINK("https://platform.v2.vetology.net/report/v/final/"&amp;2744847, 2744847)</f>
        <v>2744847</v>
      </c>
      <c r="D1135" s="2" t="s">
        <v>3782</v>
      </c>
      <c r="E1135" s="2" t="s">
        <v>3783</v>
      </c>
      <c r="F1135" s="2" t="s">
        <v>1908</v>
      </c>
      <c r="G1135" s="2" t="s">
        <v>100</v>
      </c>
      <c r="H1135" s="2" t="s">
        <v>69</v>
      </c>
      <c r="I1135" s="2" t="s">
        <v>46</v>
      </c>
      <c r="J1135" s="2"/>
      <c r="K1135" s="2" t="s">
        <v>39</v>
      </c>
      <c r="L1135" s="2" t="s">
        <v>39</v>
      </c>
      <c r="M1135" s="2" t="s">
        <v>39</v>
      </c>
      <c r="N1135" s="2" t="s">
        <v>39</v>
      </c>
      <c r="O1135" s="2" t="s">
        <v>39</v>
      </c>
      <c r="P1135" s="2" t="s">
        <v>39</v>
      </c>
      <c r="Q1135" s="2" t="s">
        <v>39</v>
      </c>
      <c r="R1135" s="2" t="s">
        <v>39</v>
      </c>
      <c r="S1135" s="2" t="s">
        <v>39</v>
      </c>
      <c r="T1135" s="2" t="s">
        <v>39</v>
      </c>
      <c r="U1135" s="2" t="s">
        <v>39</v>
      </c>
      <c r="V1135" s="2" t="s">
        <v>39</v>
      </c>
      <c r="W1135" s="2" t="s">
        <v>39</v>
      </c>
      <c r="X1135" s="2" t="s">
        <v>39</v>
      </c>
      <c r="Y1135" s="2" t="s">
        <v>39</v>
      </c>
      <c r="Z1135" s="2" t="s">
        <v>39</v>
      </c>
      <c r="AA1135" s="2" t="s">
        <v>39</v>
      </c>
      <c r="AB1135" s="2" t="s">
        <v>39</v>
      </c>
      <c r="AC1135" s="2" t="s">
        <v>39</v>
      </c>
      <c r="AD1135" s="2" t="s">
        <v>39</v>
      </c>
      <c r="AE1135" s="2" t="s">
        <v>39</v>
      </c>
    </row>
    <row r="1136" spans="1:31" ht="409.5">
      <c r="A1136" s="2">
        <v>2744829</v>
      </c>
      <c r="B1136" s="2">
        <f>HYPERLINK("https://platform.v2.vetology.net/cases/2744829/screening-report/1?type=pdf&amp;v=v6&amp;scorecard=1&amp;secret_key=BX%25IJ%24%2F65ieZ%29f6", 2744829)</f>
        <v>2744829</v>
      </c>
      <c r="C1136" s="2">
        <f>HYPERLINK("https://platform.v2.vetology.net/report/v/final/"&amp;2744829, 2744829)</f>
        <v>2744829</v>
      </c>
      <c r="D1136" s="2" t="s">
        <v>3784</v>
      </c>
      <c r="E1136" s="2" t="s">
        <v>3785</v>
      </c>
      <c r="F1136" s="2" t="s">
        <v>3786</v>
      </c>
      <c r="G1136" s="2" t="s">
        <v>44</v>
      </c>
      <c r="H1136" s="2" t="s">
        <v>3787</v>
      </c>
      <c r="I1136" s="2" t="s">
        <v>36</v>
      </c>
      <c r="J1136" s="2" t="s">
        <v>37</v>
      </c>
      <c r="K1136" s="2" t="s">
        <v>39</v>
      </c>
      <c r="L1136" s="2" t="s">
        <v>38</v>
      </c>
      <c r="M1136" s="2" t="s">
        <v>38</v>
      </c>
      <c r="N1136" s="2" t="s">
        <v>38</v>
      </c>
      <c r="O1136" s="2" t="s">
        <v>38</v>
      </c>
      <c r="P1136" s="2" t="s">
        <v>39</v>
      </c>
      <c r="Q1136" s="2" t="s">
        <v>39</v>
      </c>
      <c r="R1136" s="2" t="s">
        <v>39</v>
      </c>
      <c r="S1136" s="2" t="s">
        <v>39</v>
      </c>
      <c r="T1136" s="2" t="s">
        <v>38</v>
      </c>
      <c r="U1136" s="2" t="s">
        <v>39</v>
      </c>
      <c r="V1136" s="2" t="s">
        <v>39</v>
      </c>
      <c r="W1136" s="2" t="s">
        <v>38</v>
      </c>
      <c r="X1136" s="2" t="s">
        <v>39</v>
      </c>
      <c r="Y1136" s="2" t="s">
        <v>39</v>
      </c>
      <c r="Z1136" s="2" t="s">
        <v>38</v>
      </c>
      <c r="AA1136" s="2" t="s">
        <v>38</v>
      </c>
      <c r="AB1136" s="2" t="s">
        <v>39</v>
      </c>
      <c r="AC1136" s="2" t="s">
        <v>38</v>
      </c>
      <c r="AD1136" s="2" t="s">
        <v>38</v>
      </c>
      <c r="AE1136" s="2" t="s">
        <v>40</v>
      </c>
    </row>
    <row r="1137" spans="1:31" ht="409.5">
      <c r="A1137" s="2">
        <v>2744828</v>
      </c>
      <c r="B1137" s="2">
        <f>HYPERLINK("https://platform.v2.vetology.net/cases/2744828/screening-report/1?type=pdf&amp;v=v6&amp;scorecard=1&amp;secret_key=BX%25IJ%24%2F65ieZ%29f6", 2744828)</f>
        <v>2744828</v>
      </c>
      <c r="C1137" s="2">
        <f>HYPERLINK("https://platform.v2.vetology.net/report/v/final/"&amp;2744828, 2744828)</f>
        <v>2744828</v>
      </c>
      <c r="D1137" s="2" t="s">
        <v>3788</v>
      </c>
      <c r="E1137" s="2" t="s">
        <v>3789</v>
      </c>
      <c r="F1137" s="2" t="s">
        <v>3790</v>
      </c>
      <c r="G1137" s="2" t="s">
        <v>251</v>
      </c>
      <c r="H1137" s="2" t="s">
        <v>3791</v>
      </c>
      <c r="I1137" s="2" t="s">
        <v>129</v>
      </c>
      <c r="J1137" s="2" t="s">
        <v>74</v>
      </c>
      <c r="K1137" s="2" t="s">
        <v>38</v>
      </c>
      <c r="L1137" s="2" t="s">
        <v>38</v>
      </c>
      <c r="M1137" s="2" t="s">
        <v>38</v>
      </c>
      <c r="N1137" s="2" t="s">
        <v>38</v>
      </c>
      <c r="O1137" s="2" t="s">
        <v>38</v>
      </c>
      <c r="P1137" s="2" t="s">
        <v>38</v>
      </c>
      <c r="Q1137" s="2" t="s">
        <v>38</v>
      </c>
      <c r="R1137" s="2" t="s">
        <v>38</v>
      </c>
      <c r="S1137" s="2" t="s">
        <v>38</v>
      </c>
      <c r="T1137" s="2" t="s">
        <v>38</v>
      </c>
      <c r="U1137" s="2" t="s">
        <v>38</v>
      </c>
      <c r="V1137" s="2" t="s">
        <v>38</v>
      </c>
      <c r="W1137" s="2" t="s">
        <v>38</v>
      </c>
      <c r="X1137" s="2" t="s">
        <v>38</v>
      </c>
      <c r="Y1137" s="2" t="s">
        <v>38</v>
      </c>
      <c r="Z1137" s="2" t="s">
        <v>38</v>
      </c>
      <c r="AA1137" s="2" t="s">
        <v>38</v>
      </c>
      <c r="AB1137" s="2" t="s">
        <v>38</v>
      </c>
      <c r="AC1137" s="2" t="s">
        <v>38</v>
      </c>
      <c r="AD1137" s="2" t="s">
        <v>38</v>
      </c>
      <c r="AE1137" s="2" t="s">
        <v>40</v>
      </c>
    </row>
    <row r="1138" spans="1:31" ht="409.5">
      <c r="A1138" s="2">
        <v>2744826</v>
      </c>
      <c r="B1138" s="2">
        <f>HYPERLINK("https://platform.v2.vetology.net/cases/2744826/screening-report/1?type=pdf&amp;v=v6&amp;scorecard=1&amp;secret_key=BX%25IJ%24%2F65ieZ%29f6", 2744826)</f>
        <v>2744826</v>
      </c>
      <c r="C1138" s="2">
        <f>HYPERLINK("https://platform.v2.vetology.net/report/v/final/"&amp;2744826, 2744826)</f>
        <v>2744826</v>
      </c>
      <c r="D1138" s="2" t="s">
        <v>3792</v>
      </c>
      <c r="E1138" s="2" t="s">
        <v>3793</v>
      </c>
      <c r="F1138" s="2" t="s">
        <v>3794</v>
      </c>
      <c r="G1138" s="2" t="s">
        <v>111</v>
      </c>
      <c r="H1138" s="2" t="s">
        <v>45</v>
      </c>
      <c r="I1138" s="2" t="s">
        <v>46</v>
      </c>
      <c r="J1138" s="2"/>
      <c r="K1138" s="2" t="s">
        <v>39</v>
      </c>
      <c r="L1138" s="2" t="s">
        <v>39</v>
      </c>
      <c r="M1138" s="2" t="s">
        <v>39</v>
      </c>
      <c r="N1138" s="2" t="s">
        <v>39</v>
      </c>
      <c r="O1138" s="2" t="s">
        <v>39</v>
      </c>
      <c r="P1138" s="2" t="s">
        <v>39</v>
      </c>
      <c r="Q1138" s="2" t="s">
        <v>39</v>
      </c>
      <c r="R1138" s="2" t="s">
        <v>38</v>
      </c>
      <c r="S1138" s="2" t="s">
        <v>39</v>
      </c>
      <c r="T1138" s="2" t="s">
        <v>39</v>
      </c>
      <c r="U1138" s="2" t="s">
        <v>39</v>
      </c>
      <c r="V1138" s="2" t="s">
        <v>39</v>
      </c>
      <c r="W1138" s="2" t="s">
        <v>39</v>
      </c>
      <c r="X1138" s="2" t="s">
        <v>39</v>
      </c>
      <c r="Y1138" s="2" t="s">
        <v>39</v>
      </c>
      <c r="Z1138" s="2" t="s">
        <v>39</v>
      </c>
      <c r="AA1138" s="2" t="s">
        <v>39</v>
      </c>
      <c r="AB1138" s="2" t="s">
        <v>39</v>
      </c>
      <c r="AC1138" s="2" t="s">
        <v>38</v>
      </c>
      <c r="AD1138" s="2" t="s">
        <v>39</v>
      </c>
      <c r="AE1138" s="2" t="s">
        <v>39</v>
      </c>
    </row>
    <row r="1139" spans="1:31" ht="409.5">
      <c r="A1139" s="2">
        <v>2744818</v>
      </c>
      <c r="B1139" s="2">
        <f>HYPERLINK("https://platform.v2.vetology.net/cases/2744818/screening-report/1?type=pdf&amp;v=v6&amp;scorecard=1&amp;secret_key=BX%25IJ%24%2F65ieZ%29f6", 2744818)</f>
        <v>2744818</v>
      </c>
      <c r="C1139" s="2">
        <f>HYPERLINK("https://platform.v2.vetology.net/report/v/final/"&amp;2744818, 2744818)</f>
        <v>2744818</v>
      </c>
      <c r="D1139" s="2" t="s">
        <v>3795</v>
      </c>
      <c r="E1139" s="2" t="s">
        <v>3796</v>
      </c>
      <c r="F1139" s="2" t="s">
        <v>3797</v>
      </c>
      <c r="G1139" s="2" t="s">
        <v>170</v>
      </c>
      <c r="H1139" s="2" t="s">
        <v>3798</v>
      </c>
      <c r="I1139" s="2" t="s">
        <v>36</v>
      </c>
      <c r="J1139" s="2" t="s">
        <v>37</v>
      </c>
      <c r="K1139" s="2" t="s">
        <v>38</v>
      </c>
      <c r="L1139" s="2" t="s">
        <v>38</v>
      </c>
      <c r="M1139" s="2" t="s">
        <v>38</v>
      </c>
      <c r="N1139" s="2" t="s">
        <v>38</v>
      </c>
      <c r="O1139" s="2" t="s">
        <v>38</v>
      </c>
      <c r="P1139" s="2" t="s">
        <v>39</v>
      </c>
      <c r="Q1139" s="2" t="s">
        <v>39</v>
      </c>
      <c r="R1139" s="2" t="s">
        <v>38</v>
      </c>
      <c r="S1139" s="2" t="s">
        <v>38</v>
      </c>
      <c r="T1139" s="2" t="s">
        <v>38</v>
      </c>
      <c r="U1139" s="2" t="s">
        <v>38</v>
      </c>
      <c r="V1139" s="2" t="s">
        <v>38</v>
      </c>
      <c r="W1139" s="2" t="s">
        <v>38</v>
      </c>
      <c r="X1139" s="2" t="s">
        <v>39</v>
      </c>
      <c r="Y1139" s="2" t="s">
        <v>39</v>
      </c>
      <c r="Z1139" s="2" t="s">
        <v>38</v>
      </c>
      <c r="AA1139" s="2" t="s">
        <v>38</v>
      </c>
      <c r="AB1139" s="2" t="s">
        <v>39</v>
      </c>
      <c r="AC1139" s="2" t="s">
        <v>38</v>
      </c>
      <c r="AD1139" s="2" t="s">
        <v>38</v>
      </c>
      <c r="AE1139" s="2" t="s">
        <v>39</v>
      </c>
    </row>
    <row r="1140" spans="1:31" ht="409.5">
      <c r="A1140" s="2">
        <v>2744814</v>
      </c>
      <c r="B1140" s="2">
        <f>HYPERLINK("https://platform.v2.vetology.net/cases/2744814/screening-report/1?type=pdf&amp;v=v6&amp;scorecard=1&amp;secret_key=BX%25IJ%24%2F65ieZ%29f6", 2744814)</f>
        <v>2744814</v>
      </c>
      <c r="C1140" s="2">
        <f>HYPERLINK("https://platform.v2.vetology.net/report/v/final/"&amp;2744814, 2744814)</f>
        <v>2744814</v>
      </c>
      <c r="D1140" s="2" t="s">
        <v>3799</v>
      </c>
      <c r="E1140" s="2" t="s">
        <v>3800</v>
      </c>
      <c r="F1140" s="2" t="s">
        <v>3801</v>
      </c>
      <c r="G1140" s="2" t="s">
        <v>170</v>
      </c>
      <c r="H1140" s="2" t="s">
        <v>3802</v>
      </c>
      <c r="I1140" s="2" t="s">
        <v>129</v>
      </c>
      <c r="J1140" s="2" t="s">
        <v>74</v>
      </c>
      <c r="K1140" s="2" t="s">
        <v>38</v>
      </c>
      <c r="L1140" s="2" t="s">
        <v>39</v>
      </c>
      <c r="M1140" s="2" t="s">
        <v>38</v>
      </c>
      <c r="N1140" s="2" t="s">
        <v>38</v>
      </c>
      <c r="O1140" s="2" t="s">
        <v>38</v>
      </c>
      <c r="P1140" s="2" t="s">
        <v>39</v>
      </c>
      <c r="Q1140" s="2" t="s">
        <v>38</v>
      </c>
      <c r="R1140" s="2" t="s">
        <v>38</v>
      </c>
      <c r="S1140" s="2" t="s">
        <v>38</v>
      </c>
      <c r="T1140" s="2" t="s">
        <v>38</v>
      </c>
      <c r="U1140" s="2" t="s">
        <v>39</v>
      </c>
      <c r="V1140" s="2" t="s">
        <v>38</v>
      </c>
      <c r="W1140" s="2" t="s">
        <v>38</v>
      </c>
      <c r="X1140" s="2" t="s">
        <v>38</v>
      </c>
      <c r="Y1140" s="2" t="s">
        <v>39</v>
      </c>
      <c r="Z1140" s="2" t="s">
        <v>38</v>
      </c>
      <c r="AA1140" s="2" t="s">
        <v>38</v>
      </c>
      <c r="AB1140" s="2" t="s">
        <v>38</v>
      </c>
      <c r="AC1140" s="2" t="s">
        <v>38</v>
      </c>
      <c r="AD1140" s="2" t="s">
        <v>38</v>
      </c>
      <c r="AE1140" s="2" t="s">
        <v>40</v>
      </c>
    </row>
    <row r="1141" spans="1:31" ht="409.5">
      <c r="A1141" s="2">
        <v>2744813</v>
      </c>
      <c r="B1141" s="2">
        <f>HYPERLINK("https://platform.v2.vetology.net/cases/2744813/screening-report/1?type=pdf&amp;v=v6&amp;scorecard=1&amp;secret_key=BX%25IJ%24%2F65ieZ%29f6", 2744813)</f>
        <v>2744813</v>
      </c>
      <c r="C1141" s="2">
        <f>HYPERLINK("https://platform.v2.vetology.net/report/v/final/"&amp;2744813, 2744813)</f>
        <v>2744813</v>
      </c>
      <c r="D1141" s="2" t="s">
        <v>3803</v>
      </c>
      <c r="E1141" s="2" t="s">
        <v>3804</v>
      </c>
      <c r="F1141" s="2" t="s">
        <v>3797</v>
      </c>
      <c r="G1141" s="2" t="s">
        <v>170</v>
      </c>
      <c r="H1141" s="2" t="s">
        <v>3805</v>
      </c>
      <c r="I1141" s="2" t="s">
        <v>36</v>
      </c>
      <c r="J1141" s="2" t="s">
        <v>37</v>
      </c>
      <c r="K1141" s="2" t="s">
        <v>39</v>
      </c>
      <c r="L1141" s="2" t="s">
        <v>38</v>
      </c>
      <c r="M1141" s="2" t="s">
        <v>39</v>
      </c>
      <c r="N1141" s="2" t="s">
        <v>38</v>
      </c>
      <c r="O1141" s="2" t="s">
        <v>38</v>
      </c>
      <c r="P1141" s="2" t="s">
        <v>39</v>
      </c>
      <c r="Q1141" s="2" t="s">
        <v>39</v>
      </c>
      <c r="R1141" s="2" t="s">
        <v>38</v>
      </c>
      <c r="S1141" s="2" t="s">
        <v>38</v>
      </c>
      <c r="T1141" s="2" t="s">
        <v>39</v>
      </c>
      <c r="U1141" s="2" t="s">
        <v>39</v>
      </c>
      <c r="V1141" s="2" t="s">
        <v>39</v>
      </c>
      <c r="W1141" s="2" t="s">
        <v>38</v>
      </c>
      <c r="X1141" s="2" t="s">
        <v>39</v>
      </c>
      <c r="Y1141" s="2" t="s">
        <v>39</v>
      </c>
      <c r="Z1141" s="2" t="s">
        <v>38</v>
      </c>
      <c r="AA1141" s="2" t="s">
        <v>38</v>
      </c>
      <c r="AB1141" s="2" t="s">
        <v>39</v>
      </c>
      <c r="AC1141" s="2" t="s">
        <v>38</v>
      </c>
      <c r="AD1141" s="2" t="s">
        <v>39</v>
      </c>
      <c r="AE1141" s="2" t="s">
        <v>40</v>
      </c>
    </row>
    <row r="1142" spans="1:31" ht="409.5">
      <c r="A1142" s="2">
        <v>2744786</v>
      </c>
      <c r="B1142" s="2">
        <f>HYPERLINK("https://platform.v2.vetology.net/cases/2744786/screening-report/1?type=pdf&amp;v=v6&amp;scorecard=1&amp;secret_key=BX%25IJ%24%2F65ieZ%29f6", 2744786)</f>
        <v>2744786</v>
      </c>
      <c r="C1142" s="2">
        <f>HYPERLINK("https://platform.v2.vetology.net/report/v/final/"&amp;2744786, 2744786)</f>
        <v>2744786</v>
      </c>
      <c r="D1142" s="2" t="s">
        <v>3806</v>
      </c>
      <c r="E1142" s="2" t="s">
        <v>3807</v>
      </c>
      <c r="F1142" s="2" t="s">
        <v>3808</v>
      </c>
      <c r="G1142" s="2" t="s">
        <v>170</v>
      </c>
      <c r="H1142" s="2" t="s">
        <v>3809</v>
      </c>
      <c r="I1142" s="2" t="s">
        <v>36</v>
      </c>
      <c r="J1142" s="2" t="s">
        <v>37</v>
      </c>
      <c r="K1142" s="2" t="s">
        <v>39</v>
      </c>
      <c r="L1142" s="2" t="s">
        <v>38</v>
      </c>
      <c r="M1142" s="2" t="s">
        <v>38</v>
      </c>
      <c r="N1142" s="2" t="s">
        <v>38</v>
      </c>
      <c r="O1142" s="2" t="s">
        <v>38</v>
      </c>
      <c r="P1142" s="2" t="s">
        <v>38</v>
      </c>
      <c r="Q1142" s="2" t="s">
        <v>39</v>
      </c>
      <c r="R1142" s="2" t="s">
        <v>39</v>
      </c>
      <c r="S1142" s="2" t="s">
        <v>38</v>
      </c>
      <c r="T1142" s="2" t="s">
        <v>38</v>
      </c>
      <c r="U1142" s="2" t="s">
        <v>39</v>
      </c>
      <c r="V1142" s="2" t="s">
        <v>39</v>
      </c>
      <c r="W1142" s="2" t="s">
        <v>38</v>
      </c>
      <c r="X1142" s="2" t="s">
        <v>39</v>
      </c>
      <c r="Y1142" s="2" t="s">
        <v>39</v>
      </c>
      <c r="Z1142" s="2" t="s">
        <v>38</v>
      </c>
      <c r="AA1142" s="2" t="s">
        <v>39</v>
      </c>
      <c r="AB1142" s="2" t="s">
        <v>39</v>
      </c>
      <c r="AC1142" s="2" t="s">
        <v>38</v>
      </c>
      <c r="AD1142" s="2" t="s">
        <v>38</v>
      </c>
      <c r="AE1142" s="2" t="s">
        <v>39</v>
      </c>
    </row>
    <row r="1143" spans="1:31" ht="409.5">
      <c r="A1143" s="2">
        <v>2744781</v>
      </c>
      <c r="B1143" s="2">
        <f>HYPERLINK("https://platform.v2.vetology.net/cases/2744781/screening-report/1?type=pdf&amp;v=v6&amp;scorecard=1&amp;secret_key=BX%25IJ%24%2F65ieZ%29f6", 2744781)</f>
        <v>2744781</v>
      </c>
      <c r="C1143" s="2">
        <f>HYPERLINK("https://platform.v2.vetology.net/report/v/final/"&amp;2744781, 2744781)</f>
        <v>2744781</v>
      </c>
      <c r="D1143" s="2" t="s">
        <v>3810</v>
      </c>
      <c r="E1143" s="2" t="s">
        <v>969</v>
      </c>
      <c r="F1143" s="2" t="s">
        <v>787</v>
      </c>
      <c r="G1143" s="2" t="s">
        <v>100</v>
      </c>
      <c r="H1143" s="2" t="s">
        <v>222</v>
      </c>
      <c r="I1143" s="2" t="s">
        <v>36</v>
      </c>
      <c r="J1143" s="2" t="s">
        <v>37</v>
      </c>
      <c r="K1143" s="2" t="s">
        <v>39</v>
      </c>
      <c r="L1143" s="2" t="s">
        <v>39</v>
      </c>
      <c r="M1143" s="2" t="s">
        <v>38</v>
      </c>
      <c r="N1143" s="2" t="s">
        <v>38</v>
      </c>
      <c r="O1143" s="2" t="s">
        <v>38</v>
      </c>
      <c r="P1143" s="2" t="s">
        <v>39</v>
      </c>
      <c r="Q1143" s="2" t="s">
        <v>39</v>
      </c>
      <c r="R1143" s="2" t="s">
        <v>38</v>
      </c>
      <c r="S1143" s="2" t="s">
        <v>38</v>
      </c>
      <c r="T1143" s="2" t="s">
        <v>38</v>
      </c>
      <c r="U1143" s="2" t="s">
        <v>39</v>
      </c>
      <c r="V1143" s="2" t="s">
        <v>38</v>
      </c>
      <c r="W1143" s="2" t="s">
        <v>38</v>
      </c>
      <c r="X1143" s="2" t="s">
        <v>39</v>
      </c>
      <c r="Y1143" s="2" t="s">
        <v>39</v>
      </c>
      <c r="Z1143" s="2" t="s">
        <v>38</v>
      </c>
      <c r="AA1143" s="2" t="s">
        <v>39</v>
      </c>
      <c r="AB1143" s="2" t="s">
        <v>39</v>
      </c>
      <c r="AC1143" s="2" t="s">
        <v>38</v>
      </c>
      <c r="AD1143" s="2" t="s">
        <v>38</v>
      </c>
      <c r="AE1143" s="2" t="s">
        <v>39</v>
      </c>
    </row>
    <row r="1144" spans="1:31" ht="409.5">
      <c r="A1144" s="2">
        <v>2744775</v>
      </c>
      <c r="B1144" s="2">
        <f>HYPERLINK("https://platform.v2.vetology.net/cases/2744775/screening-report/1?type=pdf&amp;v=v6&amp;scorecard=1&amp;secret_key=BX%25IJ%24%2F65ieZ%29f6", 2744775)</f>
        <v>2744775</v>
      </c>
      <c r="C1144" s="2">
        <f>HYPERLINK("https://platform.v2.vetology.net/report/v/final/"&amp;2744775, 2744775)</f>
        <v>2744775</v>
      </c>
      <c r="D1144" s="2" t="s">
        <v>3811</v>
      </c>
      <c r="E1144" s="2" t="s">
        <v>3812</v>
      </c>
      <c r="F1144" s="2" t="s">
        <v>43</v>
      </c>
      <c r="G1144" s="2" t="s">
        <v>44</v>
      </c>
      <c r="H1144" s="2" t="s">
        <v>3813</v>
      </c>
      <c r="I1144" s="2" t="s">
        <v>36</v>
      </c>
      <c r="J1144" s="2" t="s">
        <v>37</v>
      </c>
      <c r="K1144" s="2" t="s">
        <v>38</v>
      </c>
      <c r="L1144" s="2" t="s">
        <v>38</v>
      </c>
      <c r="M1144" s="2" t="s">
        <v>38</v>
      </c>
      <c r="N1144" s="2" t="s">
        <v>38</v>
      </c>
      <c r="O1144" s="2" t="s">
        <v>38</v>
      </c>
      <c r="P1144" s="2" t="s">
        <v>38</v>
      </c>
      <c r="Q1144" s="2" t="s">
        <v>39</v>
      </c>
      <c r="R1144" s="2" t="s">
        <v>38</v>
      </c>
      <c r="S1144" s="2" t="s">
        <v>38</v>
      </c>
      <c r="T1144" s="2" t="s">
        <v>39</v>
      </c>
      <c r="U1144" s="2" t="s">
        <v>39</v>
      </c>
      <c r="V1144" s="2" t="s">
        <v>38</v>
      </c>
      <c r="W1144" s="2" t="s">
        <v>38</v>
      </c>
      <c r="X1144" s="2" t="s">
        <v>39</v>
      </c>
      <c r="Y1144" s="2" t="s">
        <v>38</v>
      </c>
      <c r="Z1144" s="2" t="s">
        <v>38</v>
      </c>
      <c r="AA1144" s="2" t="s">
        <v>38</v>
      </c>
      <c r="AB1144" s="2" t="s">
        <v>38</v>
      </c>
      <c r="AC1144" s="2" t="s">
        <v>38</v>
      </c>
      <c r="AD1144" s="2" t="s">
        <v>39</v>
      </c>
      <c r="AE1144" s="2" t="s">
        <v>40</v>
      </c>
    </row>
    <row r="1145" spans="1:31" ht="409.5">
      <c r="A1145" s="2">
        <v>2744766</v>
      </c>
      <c r="B1145" s="2">
        <f>HYPERLINK("https://platform.v2.vetology.net/cases/2744766/screening-report/1?type=pdf&amp;v=v6&amp;scorecard=1&amp;secret_key=BX%25IJ%24%2F65ieZ%29f6", 2744766)</f>
        <v>2744766</v>
      </c>
      <c r="C1145" s="2">
        <f>HYPERLINK("https://platform.v2.vetology.net/report/v/final/"&amp;2744766, 2744766)</f>
        <v>2744766</v>
      </c>
      <c r="D1145" s="2" t="s">
        <v>3814</v>
      </c>
      <c r="E1145" s="2" t="s">
        <v>3815</v>
      </c>
      <c r="F1145" s="2" t="s">
        <v>3816</v>
      </c>
      <c r="G1145" s="2" t="s">
        <v>53</v>
      </c>
      <c r="H1145" s="2" t="s">
        <v>3817</v>
      </c>
      <c r="I1145" s="2" t="s">
        <v>129</v>
      </c>
      <c r="J1145" s="2" t="s">
        <v>74</v>
      </c>
      <c r="K1145" s="2" t="s">
        <v>38</v>
      </c>
      <c r="L1145" s="2" t="s">
        <v>38</v>
      </c>
      <c r="M1145" s="2" t="s">
        <v>38</v>
      </c>
      <c r="N1145" s="2" t="s">
        <v>38</v>
      </c>
      <c r="O1145" s="2" t="s">
        <v>38</v>
      </c>
      <c r="P1145" s="2" t="s">
        <v>38</v>
      </c>
      <c r="Q1145" s="2" t="s">
        <v>38</v>
      </c>
      <c r="R1145" s="2" t="s">
        <v>39</v>
      </c>
      <c r="S1145" s="2" t="s">
        <v>38</v>
      </c>
      <c r="T1145" s="2" t="s">
        <v>38</v>
      </c>
      <c r="U1145" s="2" t="s">
        <v>39</v>
      </c>
      <c r="V1145" s="2" t="s">
        <v>38</v>
      </c>
      <c r="W1145" s="2" t="s">
        <v>38</v>
      </c>
      <c r="X1145" s="2" t="s">
        <v>39</v>
      </c>
      <c r="Y1145" s="2" t="s">
        <v>38</v>
      </c>
      <c r="Z1145" s="2" t="s">
        <v>38</v>
      </c>
      <c r="AA1145" s="2" t="s">
        <v>38</v>
      </c>
      <c r="AB1145" s="2" t="s">
        <v>39</v>
      </c>
      <c r="AC1145" s="2" t="s">
        <v>38</v>
      </c>
      <c r="AD1145" s="2" t="s">
        <v>38</v>
      </c>
      <c r="AE1145" s="2" t="s">
        <v>40</v>
      </c>
    </row>
    <row r="1146" spans="1:31" ht="409.5">
      <c r="A1146" s="2">
        <v>2744744</v>
      </c>
      <c r="B1146" s="2">
        <f>HYPERLINK("https://platform.v2.vetology.net/cases/2744744/screening-report/1?type=pdf&amp;v=v6&amp;scorecard=1&amp;secret_key=BX%25IJ%24%2F65ieZ%29f6", 2744744)</f>
        <v>2744744</v>
      </c>
      <c r="C1146" s="2">
        <f>HYPERLINK("https://platform.v2.vetology.net/report/v/final/"&amp;2744744, 2744744)</f>
        <v>2744744</v>
      </c>
      <c r="D1146" s="2" t="s">
        <v>3818</v>
      </c>
      <c r="E1146" s="2" t="s">
        <v>3819</v>
      </c>
      <c r="F1146" s="2" t="s">
        <v>3820</v>
      </c>
      <c r="G1146" s="2" t="s">
        <v>44</v>
      </c>
      <c r="H1146" s="2" t="s">
        <v>1241</v>
      </c>
      <c r="I1146" s="2" t="s">
        <v>36</v>
      </c>
      <c r="J1146" s="2" t="s">
        <v>37</v>
      </c>
      <c r="K1146" s="2" t="s">
        <v>39</v>
      </c>
      <c r="L1146" s="2" t="s">
        <v>39</v>
      </c>
      <c r="M1146" s="2" t="s">
        <v>38</v>
      </c>
      <c r="N1146" s="2" t="s">
        <v>39</v>
      </c>
      <c r="O1146" s="2" t="s">
        <v>39</v>
      </c>
      <c r="P1146" s="2" t="s">
        <v>39</v>
      </c>
      <c r="Q1146" s="2" t="s">
        <v>39</v>
      </c>
      <c r="R1146" s="2" t="s">
        <v>39</v>
      </c>
      <c r="S1146" s="2" t="s">
        <v>39</v>
      </c>
      <c r="T1146" s="2" t="s">
        <v>38</v>
      </c>
      <c r="U1146" s="2" t="s">
        <v>39</v>
      </c>
      <c r="V1146" s="2" t="s">
        <v>39</v>
      </c>
      <c r="W1146" s="2" t="s">
        <v>38</v>
      </c>
      <c r="X1146" s="2" t="s">
        <v>39</v>
      </c>
      <c r="Y1146" s="2" t="s">
        <v>39</v>
      </c>
      <c r="Z1146" s="2" t="s">
        <v>39</v>
      </c>
      <c r="AA1146" s="2" t="s">
        <v>39</v>
      </c>
      <c r="AB1146" s="2" t="s">
        <v>39</v>
      </c>
      <c r="AC1146" s="2" t="s">
        <v>39</v>
      </c>
      <c r="AD1146" s="2" t="s">
        <v>38</v>
      </c>
      <c r="AE1146" s="2" t="s">
        <v>40</v>
      </c>
    </row>
    <row r="1147" spans="1:31" ht="409.5">
      <c r="A1147" s="2">
        <v>2744741</v>
      </c>
      <c r="B1147" s="2">
        <f>HYPERLINK("https://platform.v2.vetology.net/cases/2744741/screening-report/1?type=pdf&amp;v=v6&amp;scorecard=1&amp;secret_key=BX%25IJ%24%2F65ieZ%29f6", 2744741)</f>
        <v>2744741</v>
      </c>
      <c r="C1147" s="2">
        <f>HYPERLINK("https://platform.v2.vetology.net/report/v/final/"&amp;2744741, 2744741)</f>
        <v>2744741</v>
      </c>
      <c r="D1147" s="2" t="s">
        <v>3821</v>
      </c>
      <c r="E1147" s="2" t="s">
        <v>3822</v>
      </c>
      <c r="F1147" s="2" t="s">
        <v>43</v>
      </c>
      <c r="G1147" s="2" t="s">
        <v>507</v>
      </c>
      <c r="H1147" s="2" t="s">
        <v>45</v>
      </c>
      <c r="I1147" s="2" t="s">
        <v>46</v>
      </c>
      <c r="J1147" s="2"/>
      <c r="K1147" s="2" t="s">
        <v>39</v>
      </c>
      <c r="L1147" s="2" t="s">
        <v>39</v>
      </c>
      <c r="M1147" s="2" t="s">
        <v>39</v>
      </c>
      <c r="N1147" s="2" t="s">
        <v>39</v>
      </c>
      <c r="O1147" s="2" t="s">
        <v>39</v>
      </c>
      <c r="P1147" s="2" t="s">
        <v>39</v>
      </c>
      <c r="Q1147" s="2" t="s">
        <v>39</v>
      </c>
      <c r="R1147" s="2" t="s">
        <v>38</v>
      </c>
      <c r="S1147" s="2" t="s">
        <v>39</v>
      </c>
      <c r="T1147" s="2" t="s">
        <v>39</v>
      </c>
      <c r="U1147" s="2" t="s">
        <v>39</v>
      </c>
      <c r="V1147" s="2" t="s">
        <v>39</v>
      </c>
      <c r="W1147" s="2" t="s">
        <v>39</v>
      </c>
      <c r="X1147" s="2" t="s">
        <v>39</v>
      </c>
      <c r="Y1147" s="2" t="s">
        <v>39</v>
      </c>
      <c r="Z1147" s="2" t="s">
        <v>39</v>
      </c>
      <c r="AA1147" s="2" t="s">
        <v>39</v>
      </c>
      <c r="AB1147" s="2" t="s">
        <v>39</v>
      </c>
      <c r="AC1147" s="2" t="s">
        <v>38</v>
      </c>
      <c r="AD1147" s="2" t="s">
        <v>39</v>
      </c>
      <c r="AE1147" s="2" t="s">
        <v>39</v>
      </c>
    </row>
    <row r="1148" spans="1:31" ht="409.5">
      <c r="A1148" s="2">
        <v>2744732</v>
      </c>
      <c r="B1148" s="2">
        <f>HYPERLINK("https://platform.v2.vetology.net/cases/2744732/screening-report/1?type=pdf&amp;v=v6&amp;scorecard=1&amp;secret_key=BX%25IJ%24%2F65ieZ%29f6", 2744732)</f>
        <v>2744732</v>
      </c>
      <c r="C1148" s="2">
        <f>HYPERLINK("https://platform.v2.vetology.net/report/v/final/"&amp;2744732, 2744732)</f>
        <v>2744732</v>
      </c>
      <c r="D1148" s="2" t="s">
        <v>3823</v>
      </c>
      <c r="E1148" s="2" t="s">
        <v>3824</v>
      </c>
      <c r="F1148" s="2" t="s">
        <v>3825</v>
      </c>
      <c r="G1148" s="2" t="s">
        <v>53</v>
      </c>
      <c r="H1148" s="2" t="s">
        <v>3826</v>
      </c>
      <c r="I1148" s="2" t="s">
        <v>73</v>
      </c>
      <c r="J1148" s="2" t="s">
        <v>74</v>
      </c>
      <c r="K1148" s="2" t="s">
        <v>38</v>
      </c>
      <c r="L1148" s="2" t="s">
        <v>38</v>
      </c>
      <c r="M1148" s="2" t="s">
        <v>38</v>
      </c>
      <c r="N1148" s="2" t="s">
        <v>38</v>
      </c>
      <c r="O1148" s="2" t="s">
        <v>38</v>
      </c>
      <c r="P1148" s="2" t="s">
        <v>38</v>
      </c>
      <c r="Q1148" s="2" t="s">
        <v>38</v>
      </c>
      <c r="R1148" s="2" t="s">
        <v>39</v>
      </c>
      <c r="S1148" s="2" t="s">
        <v>38</v>
      </c>
      <c r="T1148" s="2" t="s">
        <v>38</v>
      </c>
      <c r="U1148" s="2" t="s">
        <v>38</v>
      </c>
      <c r="V1148" s="2" t="s">
        <v>38</v>
      </c>
      <c r="W1148" s="2" t="s">
        <v>38</v>
      </c>
      <c r="X1148" s="2" t="s">
        <v>38</v>
      </c>
      <c r="Y1148" s="2" t="s">
        <v>39</v>
      </c>
      <c r="Z1148" s="2" t="s">
        <v>39</v>
      </c>
      <c r="AA1148" s="2" t="s">
        <v>38</v>
      </c>
      <c r="AB1148" s="2" t="s">
        <v>38</v>
      </c>
      <c r="AC1148" s="2" t="s">
        <v>38</v>
      </c>
      <c r="AD1148" s="2" t="s">
        <v>38</v>
      </c>
      <c r="AE1148" s="2" t="s">
        <v>39</v>
      </c>
    </row>
    <row r="1149" spans="1:31" ht="409.5">
      <c r="A1149" s="2">
        <v>2744672</v>
      </c>
      <c r="B1149" s="2">
        <f>HYPERLINK("https://platform.v2.vetology.net/cases/2744672/screening-report/1?type=pdf&amp;v=v6&amp;scorecard=1&amp;secret_key=BX%25IJ%24%2F65ieZ%29f6", 2744672)</f>
        <v>2744672</v>
      </c>
      <c r="C1149" s="2">
        <f>HYPERLINK("https://platform.v2.vetology.net/report/v/final/"&amp;2744672, 2744672)</f>
        <v>2744672</v>
      </c>
      <c r="D1149" s="2" t="s">
        <v>3827</v>
      </c>
      <c r="E1149" s="2" t="s">
        <v>3828</v>
      </c>
      <c r="F1149" s="2" t="s">
        <v>3829</v>
      </c>
      <c r="G1149" s="2" t="s">
        <v>53</v>
      </c>
      <c r="H1149" s="2" t="s">
        <v>3830</v>
      </c>
      <c r="I1149" s="2" t="s">
        <v>36</v>
      </c>
      <c r="J1149" s="2" t="s">
        <v>37</v>
      </c>
      <c r="K1149" s="2" t="s">
        <v>39</v>
      </c>
      <c r="L1149" s="2" t="s">
        <v>38</v>
      </c>
      <c r="M1149" s="2" t="s">
        <v>38</v>
      </c>
      <c r="N1149" s="2" t="s">
        <v>38</v>
      </c>
      <c r="O1149" s="2" t="s">
        <v>39</v>
      </c>
      <c r="P1149" s="2" t="s">
        <v>39</v>
      </c>
      <c r="Q1149" s="2" t="s">
        <v>39</v>
      </c>
      <c r="R1149" s="2" t="s">
        <v>38</v>
      </c>
      <c r="S1149" s="2" t="s">
        <v>38</v>
      </c>
      <c r="T1149" s="2" t="s">
        <v>38</v>
      </c>
      <c r="U1149" s="2" t="s">
        <v>38</v>
      </c>
      <c r="V1149" s="2" t="s">
        <v>38</v>
      </c>
      <c r="W1149" s="2" t="s">
        <v>38</v>
      </c>
      <c r="X1149" s="2" t="s">
        <v>39</v>
      </c>
      <c r="Y1149" s="2" t="s">
        <v>39</v>
      </c>
      <c r="Z1149" s="2" t="s">
        <v>38</v>
      </c>
      <c r="AA1149" s="2" t="s">
        <v>38</v>
      </c>
      <c r="AB1149" s="2" t="s">
        <v>39</v>
      </c>
      <c r="AC1149" s="2" t="s">
        <v>38</v>
      </c>
      <c r="AD1149" s="2" t="s">
        <v>38</v>
      </c>
      <c r="AE1149" s="2"/>
    </row>
    <row r="1150" spans="1:31" ht="409.5">
      <c r="A1150" s="2">
        <v>2744666</v>
      </c>
      <c r="B1150" s="2">
        <f>HYPERLINK("https://platform.v2.vetology.net/cases/2744666/screening-report/1?type=pdf&amp;v=v6&amp;scorecard=1&amp;secret_key=BX%25IJ%24%2F65ieZ%29f6", 2744666)</f>
        <v>2744666</v>
      </c>
      <c r="C1150" s="2">
        <f>HYPERLINK("https://platform.v2.vetology.net/report/v/final/"&amp;2744666, 2744666)</f>
        <v>2744666</v>
      </c>
      <c r="D1150" s="2" t="s">
        <v>3831</v>
      </c>
      <c r="E1150" s="2" t="s">
        <v>3832</v>
      </c>
      <c r="F1150" s="2" t="s">
        <v>3833</v>
      </c>
      <c r="G1150" s="2" t="s">
        <v>111</v>
      </c>
      <c r="H1150" s="2" t="s">
        <v>3834</v>
      </c>
      <c r="I1150" s="2" t="s">
        <v>129</v>
      </c>
      <c r="J1150" s="2" t="s">
        <v>74</v>
      </c>
      <c r="K1150" s="2" t="s">
        <v>39</v>
      </c>
      <c r="L1150" s="2" t="s">
        <v>38</v>
      </c>
      <c r="M1150" s="2" t="s">
        <v>38</v>
      </c>
      <c r="N1150" s="2" t="s">
        <v>38</v>
      </c>
      <c r="O1150" s="2" t="s">
        <v>38</v>
      </c>
      <c r="P1150" s="2" t="s">
        <v>38</v>
      </c>
      <c r="Q1150" s="2" t="s">
        <v>38</v>
      </c>
      <c r="R1150" s="2" t="s">
        <v>38</v>
      </c>
      <c r="S1150" s="2" t="s">
        <v>38</v>
      </c>
      <c r="T1150" s="2" t="s">
        <v>38</v>
      </c>
      <c r="U1150" s="2" t="s">
        <v>39</v>
      </c>
      <c r="V1150" s="2" t="s">
        <v>39</v>
      </c>
      <c r="W1150" s="2" t="s">
        <v>38</v>
      </c>
      <c r="X1150" s="2" t="s">
        <v>38</v>
      </c>
      <c r="Y1150" s="2" t="s">
        <v>39</v>
      </c>
      <c r="Z1150" s="2" t="s">
        <v>38</v>
      </c>
      <c r="AA1150" s="2" t="s">
        <v>38</v>
      </c>
      <c r="AB1150" s="2" t="s">
        <v>38</v>
      </c>
      <c r="AC1150" s="2" t="s">
        <v>38</v>
      </c>
      <c r="AD1150" s="2" t="s">
        <v>38</v>
      </c>
      <c r="AE1150" s="2" t="s">
        <v>39</v>
      </c>
    </row>
    <row r="1151" spans="1:31" ht="409.5">
      <c r="A1151" s="2">
        <v>2744611</v>
      </c>
      <c r="B1151" s="2">
        <f>HYPERLINK("https://platform.v2.vetology.net/cases/2744611/screening-report/1?type=pdf&amp;v=v6&amp;scorecard=1&amp;secret_key=BX%25IJ%24%2F65ieZ%29f6", 2744611)</f>
        <v>2744611</v>
      </c>
      <c r="C1151" s="2">
        <f>HYPERLINK("https://platform.v2.vetology.net/report/v/final/"&amp;2744611, 2744611)</f>
        <v>2744611</v>
      </c>
      <c r="D1151" s="2" t="s">
        <v>3835</v>
      </c>
      <c r="E1151" s="2" t="s">
        <v>2593</v>
      </c>
      <c r="F1151" s="2" t="s">
        <v>174</v>
      </c>
      <c r="G1151" s="2" t="s">
        <v>170</v>
      </c>
      <c r="H1151" s="2" t="s">
        <v>1222</v>
      </c>
      <c r="I1151" s="2" t="s">
        <v>46</v>
      </c>
      <c r="J1151" s="2"/>
      <c r="K1151" s="2" t="s">
        <v>38</v>
      </c>
      <c r="L1151" s="2" t="s">
        <v>38</v>
      </c>
      <c r="M1151" s="2" t="s">
        <v>39</v>
      </c>
      <c r="N1151" s="2" t="s">
        <v>39</v>
      </c>
      <c r="O1151" s="2" t="s">
        <v>39</v>
      </c>
      <c r="P1151" s="2" t="s">
        <v>39</v>
      </c>
      <c r="Q1151" s="2" t="s">
        <v>39</v>
      </c>
      <c r="R1151" s="2" t="s">
        <v>39</v>
      </c>
      <c r="S1151" s="2" t="s">
        <v>39</v>
      </c>
      <c r="T1151" s="2" t="s">
        <v>39</v>
      </c>
      <c r="U1151" s="2" t="s">
        <v>39</v>
      </c>
      <c r="V1151" s="2" t="s">
        <v>38</v>
      </c>
      <c r="W1151" s="2" t="s">
        <v>38</v>
      </c>
      <c r="X1151" s="2" t="s">
        <v>39</v>
      </c>
      <c r="Y1151" s="2" t="s">
        <v>39</v>
      </c>
      <c r="Z1151" s="2" t="s">
        <v>38</v>
      </c>
      <c r="AA1151" s="2" t="s">
        <v>39</v>
      </c>
      <c r="AB1151" s="2" t="s">
        <v>39</v>
      </c>
      <c r="AC1151" s="2" t="s">
        <v>38</v>
      </c>
      <c r="AD1151" s="2" t="s">
        <v>38</v>
      </c>
      <c r="AE1151" s="2" t="s">
        <v>39</v>
      </c>
    </row>
    <row r="1152" spans="1:31" ht="409.5">
      <c r="A1152" s="2">
        <v>2744607</v>
      </c>
      <c r="B1152" s="2">
        <f>HYPERLINK("https://platform.v2.vetology.net/cases/2744607/screening-report/1?type=pdf&amp;v=v6&amp;scorecard=1&amp;secret_key=BX%25IJ%24%2F65ieZ%29f6", 2744607)</f>
        <v>2744607</v>
      </c>
      <c r="C1152" s="2">
        <f>HYPERLINK("https://platform.v2.vetology.net/report/v/final/"&amp;2744607, 2744607)</f>
        <v>2744607</v>
      </c>
      <c r="D1152" s="2" t="s">
        <v>3836</v>
      </c>
      <c r="E1152" s="2" t="s">
        <v>3837</v>
      </c>
      <c r="F1152" s="2" t="s">
        <v>43</v>
      </c>
      <c r="G1152" s="2" t="s">
        <v>507</v>
      </c>
      <c r="H1152" s="2" t="s">
        <v>3838</v>
      </c>
      <c r="I1152" s="2" t="s">
        <v>129</v>
      </c>
      <c r="J1152" s="2" t="s">
        <v>74</v>
      </c>
      <c r="K1152" s="2" t="s">
        <v>39</v>
      </c>
      <c r="L1152" s="2" t="s">
        <v>38</v>
      </c>
      <c r="M1152" s="2" t="s">
        <v>38</v>
      </c>
      <c r="N1152" s="2" t="s">
        <v>38</v>
      </c>
      <c r="O1152" s="2" t="s">
        <v>38</v>
      </c>
      <c r="P1152" s="2" t="s">
        <v>38</v>
      </c>
      <c r="Q1152" s="2" t="s">
        <v>38</v>
      </c>
      <c r="R1152" s="2" t="s">
        <v>38</v>
      </c>
      <c r="S1152" s="2" t="s">
        <v>38</v>
      </c>
      <c r="T1152" s="2" t="s">
        <v>38</v>
      </c>
      <c r="U1152" s="2" t="s">
        <v>39</v>
      </c>
      <c r="V1152" s="2" t="s">
        <v>38</v>
      </c>
      <c r="W1152" s="2" t="s">
        <v>38</v>
      </c>
      <c r="X1152" s="2" t="s">
        <v>38</v>
      </c>
      <c r="Y1152" s="2" t="s">
        <v>39</v>
      </c>
      <c r="Z1152" s="2" t="s">
        <v>38</v>
      </c>
      <c r="AA1152" s="2" t="s">
        <v>38</v>
      </c>
      <c r="AB1152" s="2" t="s">
        <v>38</v>
      </c>
      <c r="AC1152" s="2" t="s">
        <v>38</v>
      </c>
      <c r="AD1152" s="2" t="s">
        <v>38</v>
      </c>
      <c r="AE1152" s="2" t="s">
        <v>39</v>
      </c>
    </row>
    <row r="1153" spans="1:31" ht="409.5">
      <c r="A1153" s="2">
        <v>2744552</v>
      </c>
      <c r="B1153" s="2">
        <f>HYPERLINK("https://platform.v2.vetology.net/cases/2744552/screening-report/1?type=pdf&amp;v=v6&amp;scorecard=1&amp;secret_key=BX%25IJ%24%2F65ieZ%29f6", 2744552)</f>
        <v>2744552</v>
      </c>
      <c r="C1153" s="2">
        <f>HYPERLINK("https://platform.v2.vetology.net/report/v/final/"&amp;2744552, 2744552)</f>
        <v>2744552</v>
      </c>
      <c r="D1153" s="2" t="s">
        <v>3839</v>
      </c>
      <c r="E1153" s="2" t="s">
        <v>3840</v>
      </c>
      <c r="F1153" s="2" t="s">
        <v>3841</v>
      </c>
      <c r="G1153" s="2" t="s">
        <v>34</v>
      </c>
      <c r="H1153" s="2" t="s">
        <v>3842</v>
      </c>
      <c r="I1153" s="2" t="s">
        <v>129</v>
      </c>
      <c r="J1153" s="2" t="s">
        <v>74</v>
      </c>
      <c r="K1153" s="2" t="s">
        <v>39</v>
      </c>
      <c r="L1153" s="2" t="s">
        <v>38</v>
      </c>
      <c r="M1153" s="2" t="s">
        <v>38</v>
      </c>
      <c r="N1153" s="2" t="s">
        <v>38</v>
      </c>
      <c r="O1153" s="2" t="s">
        <v>38</v>
      </c>
      <c r="P1153" s="2" t="s">
        <v>38</v>
      </c>
      <c r="Q1153" s="2" t="s">
        <v>38</v>
      </c>
      <c r="R1153" s="2" t="s">
        <v>39</v>
      </c>
      <c r="S1153" s="2" t="s">
        <v>38</v>
      </c>
      <c r="T1153" s="2" t="s">
        <v>38</v>
      </c>
      <c r="U1153" s="2" t="s">
        <v>39</v>
      </c>
      <c r="V1153" s="2" t="s">
        <v>39</v>
      </c>
      <c r="W1153" s="2" t="s">
        <v>38</v>
      </c>
      <c r="X1153" s="2" t="s">
        <v>38</v>
      </c>
      <c r="Y1153" s="2" t="s">
        <v>39</v>
      </c>
      <c r="Z1153" s="2" t="s">
        <v>38</v>
      </c>
      <c r="AA1153" s="2" t="s">
        <v>38</v>
      </c>
      <c r="AB1153" s="2" t="s">
        <v>38</v>
      </c>
      <c r="AC1153" s="2" t="s">
        <v>38</v>
      </c>
      <c r="AD1153" s="2" t="s">
        <v>39</v>
      </c>
      <c r="AE1153" s="2"/>
    </row>
    <row r="1154" spans="1:31" ht="409.5">
      <c r="A1154" s="2">
        <v>2744523</v>
      </c>
      <c r="B1154" s="2">
        <f>HYPERLINK("https://platform.v2.vetology.net/cases/2744523/screening-report/1?type=pdf&amp;v=v6&amp;scorecard=1&amp;secret_key=BX%25IJ%24%2F65ieZ%29f6", 2744523)</f>
        <v>2744523</v>
      </c>
      <c r="C1154" s="2">
        <f>HYPERLINK("https://platform.v2.vetology.net/report/v/final/"&amp;2744523, 2744523)</f>
        <v>2744523</v>
      </c>
      <c r="D1154" s="2" t="s">
        <v>3843</v>
      </c>
      <c r="E1154" s="2" t="s">
        <v>3844</v>
      </c>
      <c r="F1154" s="2" t="s">
        <v>43</v>
      </c>
      <c r="G1154" s="2" t="s">
        <v>44</v>
      </c>
      <c r="H1154" s="2" t="s">
        <v>265</v>
      </c>
      <c r="I1154" s="2" t="s">
        <v>36</v>
      </c>
      <c r="J1154" s="2" t="s">
        <v>37</v>
      </c>
      <c r="K1154" s="2" t="s">
        <v>39</v>
      </c>
      <c r="L1154" s="2" t="s">
        <v>39</v>
      </c>
      <c r="M1154" s="2" t="s">
        <v>38</v>
      </c>
      <c r="N1154" s="2" t="s">
        <v>39</v>
      </c>
      <c r="O1154" s="2" t="s">
        <v>39</v>
      </c>
      <c r="P1154" s="2" t="s">
        <v>39</v>
      </c>
      <c r="Q1154" s="2" t="s">
        <v>39</v>
      </c>
      <c r="R1154" s="2" t="s">
        <v>39</v>
      </c>
      <c r="S1154" s="2" t="s">
        <v>39</v>
      </c>
      <c r="T1154" s="2" t="s">
        <v>39</v>
      </c>
      <c r="U1154" s="2" t="s">
        <v>39</v>
      </c>
      <c r="V1154" s="2" t="s">
        <v>39</v>
      </c>
      <c r="W1154" s="2" t="s">
        <v>39</v>
      </c>
      <c r="X1154" s="2" t="s">
        <v>39</v>
      </c>
      <c r="Y1154" s="2" t="s">
        <v>39</v>
      </c>
      <c r="Z1154" s="2" t="s">
        <v>39</v>
      </c>
      <c r="AA1154" s="2" t="s">
        <v>39</v>
      </c>
      <c r="AB1154" s="2" t="s">
        <v>39</v>
      </c>
      <c r="AC1154" s="2" t="s">
        <v>38</v>
      </c>
      <c r="AD1154" s="2" t="s">
        <v>39</v>
      </c>
      <c r="AE1154" s="2" t="s">
        <v>40</v>
      </c>
    </row>
    <row r="1155" spans="1:31" ht="409.5">
      <c r="A1155" s="2">
        <v>2744514</v>
      </c>
      <c r="B1155" s="2">
        <f>HYPERLINK("https://platform.v2.vetology.net/cases/2744514/screening-report/1?type=pdf&amp;v=v6&amp;scorecard=1&amp;secret_key=BX%25IJ%24%2F65ieZ%29f6", 2744514)</f>
        <v>2744514</v>
      </c>
      <c r="C1155" s="2">
        <f>HYPERLINK("https://platform.v2.vetology.net/report/v/final/"&amp;2744514, 2744514)</f>
        <v>2744514</v>
      </c>
      <c r="D1155" s="2" t="s">
        <v>3845</v>
      </c>
      <c r="E1155" s="2" t="s">
        <v>3846</v>
      </c>
      <c r="F1155" s="2" t="s">
        <v>3847</v>
      </c>
      <c r="G1155" s="2" t="s">
        <v>44</v>
      </c>
      <c r="H1155" s="2" t="s">
        <v>69</v>
      </c>
      <c r="I1155" s="2" t="s">
        <v>46</v>
      </c>
      <c r="J1155" s="2"/>
      <c r="K1155" s="2" t="s">
        <v>39</v>
      </c>
      <c r="L1155" s="2" t="s">
        <v>39</v>
      </c>
      <c r="M1155" s="2" t="s">
        <v>39</v>
      </c>
      <c r="N1155" s="2" t="s">
        <v>39</v>
      </c>
      <c r="O1155" s="2" t="s">
        <v>39</v>
      </c>
      <c r="P1155" s="2" t="s">
        <v>39</v>
      </c>
      <c r="Q1155" s="2" t="s">
        <v>39</v>
      </c>
      <c r="R1155" s="2" t="s">
        <v>39</v>
      </c>
      <c r="S1155" s="2" t="s">
        <v>39</v>
      </c>
      <c r="T1155" s="2" t="s">
        <v>39</v>
      </c>
      <c r="U1155" s="2" t="s">
        <v>39</v>
      </c>
      <c r="V1155" s="2" t="s">
        <v>38</v>
      </c>
      <c r="W1155" s="2" t="s">
        <v>39</v>
      </c>
      <c r="X1155" s="2" t="s">
        <v>39</v>
      </c>
      <c r="Y1155" s="2" t="s">
        <v>39</v>
      </c>
      <c r="Z1155" s="2" t="s">
        <v>39</v>
      </c>
      <c r="AA1155" s="2" t="s">
        <v>38</v>
      </c>
      <c r="AB1155" s="2" t="s">
        <v>39</v>
      </c>
      <c r="AC1155" s="2" t="s">
        <v>39</v>
      </c>
      <c r="AD1155" s="2" t="s">
        <v>39</v>
      </c>
      <c r="AE1155" s="2" t="s">
        <v>39</v>
      </c>
    </row>
    <row r="1156" spans="1:31" ht="409.5">
      <c r="A1156" s="2">
        <v>2744512</v>
      </c>
      <c r="B1156" s="2">
        <f>HYPERLINK("https://platform.v2.vetology.net/cases/2744512/screening-report/1?type=pdf&amp;v=v6&amp;scorecard=1&amp;secret_key=BX%25IJ%24%2F65ieZ%29f6", 2744512)</f>
        <v>2744512</v>
      </c>
      <c r="C1156" s="2">
        <f>HYPERLINK("https://platform.v2.vetology.net/report/v/final/"&amp;2744512, 2744512)</f>
        <v>2744512</v>
      </c>
      <c r="D1156" s="2" t="s">
        <v>3848</v>
      </c>
      <c r="E1156" s="2" t="s">
        <v>3849</v>
      </c>
      <c r="F1156" s="2" t="s">
        <v>1225</v>
      </c>
      <c r="G1156" s="2" t="s">
        <v>44</v>
      </c>
      <c r="H1156" s="2" t="s">
        <v>3850</v>
      </c>
      <c r="I1156" s="2" t="s">
        <v>36</v>
      </c>
      <c r="J1156" s="2" t="s">
        <v>37</v>
      </c>
      <c r="K1156" s="2" t="s">
        <v>38</v>
      </c>
      <c r="L1156" s="2" t="s">
        <v>38</v>
      </c>
      <c r="M1156" s="2" t="s">
        <v>38</v>
      </c>
      <c r="N1156" s="2" t="s">
        <v>38</v>
      </c>
      <c r="O1156" s="2" t="s">
        <v>38</v>
      </c>
      <c r="P1156" s="2" t="s">
        <v>39</v>
      </c>
      <c r="Q1156" s="2" t="s">
        <v>39</v>
      </c>
      <c r="R1156" s="2" t="s">
        <v>38</v>
      </c>
      <c r="S1156" s="2" t="s">
        <v>38</v>
      </c>
      <c r="T1156" s="2" t="s">
        <v>39</v>
      </c>
      <c r="U1156" s="2" t="s">
        <v>38</v>
      </c>
      <c r="V1156" s="2" t="s">
        <v>38</v>
      </c>
      <c r="W1156" s="2" t="s">
        <v>38</v>
      </c>
      <c r="X1156" s="2" t="s">
        <v>39</v>
      </c>
      <c r="Y1156" s="2" t="s">
        <v>39</v>
      </c>
      <c r="Z1156" s="2" t="s">
        <v>38</v>
      </c>
      <c r="AA1156" s="2" t="s">
        <v>38</v>
      </c>
      <c r="AB1156" s="2" t="s">
        <v>39</v>
      </c>
      <c r="AC1156" s="2" t="s">
        <v>38</v>
      </c>
      <c r="AD1156" s="2" t="s">
        <v>38</v>
      </c>
      <c r="AE1156" s="2" t="s">
        <v>39</v>
      </c>
    </row>
    <row r="1157" spans="1:31" ht="409.5">
      <c r="A1157" s="2">
        <v>2744499</v>
      </c>
      <c r="B1157" s="2">
        <f>HYPERLINK("https://platform.v2.vetology.net/cases/2744499/screening-report/1?type=pdf&amp;v=v6&amp;scorecard=1&amp;secret_key=BX%25IJ%24%2F65ieZ%29f6", 2744499)</f>
        <v>2744499</v>
      </c>
      <c r="C1157" s="2">
        <f>HYPERLINK("https://platform.v2.vetology.net/report/v/final/"&amp;2744499, 2744499)</f>
        <v>2744499</v>
      </c>
      <c r="D1157" s="2" t="s">
        <v>3851</v>
      </c>
      <c r="E1157" s="2" t="s">
        <v>3852</v>
      </c>
      <c r="F1157" s="2" t="s">
        <v>43</v>
      </c>
      <c r="G1157" s="2" t="s">
        <v>44</v>
      </c>
      <c r="H1157" s="2" t="s">
        <v>3853</v>
      </c>
      <c r="I1157" s="2" t="s">
        <v>73</v>
      </c>
      <c r="J1157" s="2" t="s">
        <v>74</v>
      </c>
      <c r="K1157" s="2" t="s">
        <v>38</v>
      </c>
      <c r="L1157" s="2" t="s">
        <v>38</v>
      </c>
      <c r="M1157" s="2" t="s">
        <v>38</v>
      </c>
      <c r="N1157" s="2" t="s">
        <v>38</v>
      </c>
      <c r="O1157" s="2" t="s">
        <v>38</v>
      </c>
      <c r="P1157" s="2" t="s">
        <v>38</v>
      </c>
      <c r="Q1157" s="2" t="s">
        <v>38</v>
      </c>
      <c r="R1157" s="2" t="s">
        <v>38</v>
      </c>
      <c r="S1157" s="2" t="s">
        <v>38</v>
      </c>
      <c r="T1157" s="2" t="s">
        <v>38</v>
      </c>
      <c r="U1157" s="2" t="s">
        <v>38</v>
      </c>
      <c r="V1157" s="2" t="s">
        <v>38</v>
      </c>
      <c r="W1157" s="2" t="s">
        <v>38</v>
      </c>
      <c r="X1157" s="2" t="s">
        <v>38</v>
      </c>
      <c r="Y1157" s="2" t="s">
        <v>38</v>
      </c>
      <c r="Z1157" s="2" t="s">
        <v>38</v>
      </c>
      <c r="AA1157" s="2" t="s">
        <v>38</v>
      </c>
      <c r="AB1157" s="2" t="s">
        <v>38</v>
      </c>
      <c r="AC1157" s="2" t="s">
        <v>38</v>
      </c>
      <c r="AD1157" s="2" t="s">
        <v>39</v>
      </c>
      <c r="AE1157" s="2" t="s">
        <v>40</v>
      </c>
    </row>
    <row r="1158" spans="1:31" ht="409.5">
      <c r="A1158" s="2">
        <v>2744492</v>
      </c>
      <c r="B1158" s="2">
        <f>HYPERLINK("https://platform.v2.vetology.net/cases/2744492/screening-report/1?type=pdf&amp;v=v6&amp;scorecard=1&amp;secret_key=BX%25IJ%24%2F65ieZ%29f6", 2744492)</f>
        <v>2744492</v>
      </c>
      <c r="C1158" s="2">
        <f>HYPERLINK("https://platform.v2.vetology.net/report/v/final/"&amp;2744492, 2744492)</f>
        <v>2744492</v>
      </c>
      <c r="D1158" s="2" t="s">
        <v>3854</v>
      </c>
      <c r="E1158" s="2" t="s">
        <v>3855</v>
      </c>
      <c r="F1158" s="2"/>
      <c r="G1158" s="2" t="s">
        <v>81</v>
      </c>
      <c r="H1158" s="2" t="s">
        <v>3856</v>
      </c>
      <c r="I1158" s="2" t="s">
        <v>36</v>
      </c>
      <c r="J1158" s="2" t="s">
        <v>37</v>
      </c>
      <c r="K1158" s="2" t="s">
        <v>39</v>
      </c>
      <c r="L1158" s="2" t="s">
        <v>38</v>
      </c>
      <c r="M1158" s="2" t="s">
        <v>38</v>
      </c>
      <c r="N1158" s="2" t="s">
        <v>38</v>
      </c>
      <c r="O1158" s="2" t="s">
        <v>38</v>
      </c>
      <c r="P1158" s="2" t="s">
        <v>38</v>
      </c>
      <c r="Q1158" s="2" t="s">
        <v>39</v>
      </c>
      <c r="R1158" s="2" t="s">
        <v>38</v>
      </c>
      <c r="S1158" s="2" t="s">
        <v>38</v>
      </c>
      <c r="T1158" s="2" t="s">
        <v>38</v>
      </c>
      <c r="U1158" s="2" t="s">
        <v>39</v>
      </c>
      <c r="V1158" s="2" t="s">
        <v>39</v>
      </c>
      <c r="W1158" s="2" t="s">
        <v>38</v>
      </c>
      <c r="X1158" s="2" t="s">
        <v>39</v>
      </c>
      <c r="Y1158" s="2" t="s">
        <v>39</v>
      </c>
      <c r="Z1158" s="2" t="s">
        <v>38</v>
      </c>
      <c r="AA1158" s="2" t="s">
        <v>38</v>
      </c>
      <c r="AB1158" s="2" t="s">
        <v>39</v>
      </c>
      <c r="AC1158" s="2" t="s">
        <v>38</v>
      </c>
      <c r="AD1158" s="2" t="s">
        <v>39</v>
      </c>
      <c r="AE1158" s="2" t="s">
        <v>40</v>
      </c>
    </row>
    <row r="1159" spans="1:31" ht="409.5">
      <c r="A1159" s="2">
        <v>2744491</v>
      </c>
      <c r="B1159" s="2">
        <f>HYPERLINK("https://platform.v2.vetology.net/cases/2744491/screening-report/1?type=pdf&amp;v=v6&amp;scorecard=1&amp;secret_key=BX%25IJ%24%2F65ieZ%29f6", 2744491)</f>
        <v>2744491</v>
      </c>
      <c r="C1159" s="2">
        <f>HYPERLINK("https://platform.v2.vetology.net/report/v/final/"&amp;2744491, 2744491)</f>
        <v>2744491</v>
      </c>
      <c r="D1159" s="2" t="s">
        <v>3857</v>
      </c>
      <c r="E1159" s="2" t="s">
        <v>3858</v>
      </c>
      <c r="F1159" s="2"/>
      <c r="G1159" s="2" t="s">
        <v>81</v>
      </c>
      <c r="H1159" s="2" t="s">
        <v>1669</v>
      </c>
      <c r="I1159" s="2" t="s">
        <v>46</v>
      </c>
      <c r="J1159" s="2"/>
      <c r="K1159" s="2" t="s">
        <v>39</v>
      </c>
      <c r="L1159" s="2" t="s">
        <v>39</v>
      </c>
      <c r="M1159" s="2" t="s">
        <v>39</v>
      </c>
      <c r="N1159" s="2" t="s">
        <v>39</v>
      </c>
      <c r="O1159" s="2" t="s">
        <v>39</v>
      </c>
      <c r="P1159" s="2" t="s">
        <v>38</v>
      </c>
      <c r="Q1159" s="2" t="s">
        <v>39</v>
      </c>
      <c r="R1159" s="2" t="s">
        <v>39</v>
      </c>
      <c r="S1159" s="2" t="s">
        <v>39</v>
      </c>
      <c r="T1159" s="2" t="s">
        <v>39</v>
      </c>
      <c r="U1159" s="2" t="s">
        <v>39</v>
      </c>
      <c r="V1159" s="2" t="s">
        <v>39</v>
      </c>
      <c r="W1159" s="2" t="s">
        <v>39</v>
      </c>
      <c r="X1159" s="2" t="s">
        <v>39</v>
      </c>
      <c r="Y1159" s="2" t="s">
        <v>39</v>
      </c>
      <c r="Z1159" s="2" t="s">
        <v>39</v>
      </c>
      <c r="AA1159" s="2" t="s">
        <v>39</v>
      </c>
      <c r="AB1159" s="2" t="s">
        <v>39</v>
      </c>
      <c r="AC1159" s="2" t="s">
        <v>39</v>
      </c>
      <c r="AD1159" s="2" t="s">
        <v>39</v>
      </c>
      <c r="AE1159" s="2" t="s">
        <v>39</v>
      </c>
    </row>
    <row r="1160" spans="1:31" ht="409.5">
      <c r="A1160" s="2">
        <v>2744490</v>
      </c>
      <c r="B1160" s="2">
        <f>HYPERLINK("https://platform.v2.vetology.net/cases/2744490/screening-report/1?type=pdf&amp;v=v6&amp;scorecard=1&amp;secret_key=BX%25IJ%24%2F65ieZ%29f6", 2744490)</f>
        <v>2744490</v>
      </c>
      <c r="C1160" s="2">
        <f>HYPERLINK("https://platform.v2.vetology.net/report/v/final/"&amp;2744490, 2744490)</f>
        <v>2744490</v>
      </c>
      <c r="D1160" s="2" t="s">
        <v>3859</v>
      </c>
      <c r="E1160" s="2" t="s">
        <v>3860</v>
      </c>
      <c r="F1160" s="2" t="s">
        <v>3861</v>
      </c>
      <c r="G1160" s="2" t="s">
        <v>81</v>
      </c>
      <c r="H1160" s="2" t="s">
        <v>419</v>
      </c>
      <c r="I1160" s="2" t="s">
        <v>36</v>
      </c>
      <c r="J1160" s="2" t="s">
        <v>37</v>
      </c>
      <c r="K1160" s="2" t="s">
        <v>39</v>
      </c>
      <c r="L1160" s="2" t="s">
        <v>39</v>
      </c>
      <c r="M1160" s="2" t="s">
        <v>38</v>
      </c>
      <c r="N1160" s="2" t="s">
        <v>39</v>
      </c>
      <c r="O1160" s="2" t="s">
        <v>39</v>
      </c>
      <c r="P1160" s="2" t="s">
        <v>39</v>
      </c>
      <c r="Q1160" s="2" t="s">
        <v>39</v>
      </c>
      <c r="R1160" s="2" t="s">
        <v>38</v>
      </c>
      <c r="S1160" s="2" t="s">
        <v>39</v>
      </c>
      <c r="T1160" s="2" t="s">
        <v>39</v>
      </c>
      <c r="U1160" s="2" t="s">
        <v>39</v>
      </c>
      <c r="V1160" s="2" t="s">
        <v>39</v>
      </c>
      <c r="W1160" s="2" t="s">
        <v>39</v>
      </c>
      <c r="X1160" s="2" t="s">
        <v>39</v>
      </c>
      <c r="Y1160" s="2" t="s">
        <v>39</v>
      </c>
      <c r="Z1160" s="2" t="s">
        <v>39</v>
      </c>
      <c r="AA1160" s="2" t="s">
        <v>39</v>
      </c>
      <c r="AB1160" s="2" t="s">
        <v>39</v>
      </c>
      <c r="AC1160" s="2" t="s">
        <v>39</v>
      </c>
      <c r="AD1160" s="2" t="s">
        <v>39</v>
      </c>
      <c r="AE1160" s="2"/>
    </row>
    <row r="1161" spans="1:31" ht="409.5">
      <c r="A1161" s="2">
        <v>2744462</v>
      </c>
      <c r="B1161" s="2">
        <f>HYPERLINK("https://platform.v2.vetology.net/cases/2744462/screening-report/1?type=pdf&amp;v=v6&amp;scorecard=1&amp;secret_key=BX%25IJ%24%2F65ieZ%29f6", 2744462)</f>
        <v>2744462</v>
      </c>
      <c r="C1161" s="2">
        <f>HYPERLINK("https://platform.v2.vetology.net/report/v/final/"&amp;2744462, 2744462)</f>
        <v>2744462</v>
      </c>
      <c r="D1161" s="2" t="s">
        <v>3862</v>
      </c>
      <c r="E1161" s="2" t="s">
        <v>3863</v>
      </c>
      <c r="F1161" s="2" t="s">
        <v>3864</v>
      </c>
      <c r="G1161" s="2" t="s">
        <v>2414</v>
      </c>
      <c r="H1161" s="2" t="s">
        <v>182</v>
      </c>
      <c r="I1161" s="2" t="s">
        <v>46</v>
      </c>
      <c r="J1161" s="2"/>
      <c r="K1161" s="2" t="s">
        <v>38</v>
      </c>
      <c r="L1161" s="2" t="s">
        <v>39</v>
      </c>
      <c r="M1161" s="2" t="s">
        <v>39</v>
      </c>
      <c r="N1161" s="2" t="s">
        <v>39</v>
      </c>
      <c r="O1161" s="2" t="s">
        <v>39</v>
      </c>
      <c r="P1161" s="2" t="s">
        <v>39</v>
      </c>
      <c r="Q1161" s="2" t="s">
        <v>39</v>
      </c>
      <c r="R1161" s="2" t="s">
        <v>38</v>
      </c>
      <c r="S1161" s="2" t="s">
        <v>39</v>
      </c>
      <c r="T1161" s="2" t="s">
        <v>39</v>
      </c>
      <c r="U1161" s="2" t="s">
        <v>39</v>
      </c>
      <c r="V1161" s="2" t="s">
        <v>38</v>
      </c>
      <c r="W1161" s="2" t="s">
        <v>39</v>
      </c>
      <c r="X1161" s="2" t="s">
        <v>39</v>
      </c>
      <c r="Y1161" s="2" t="s">
        <v>39</v>
      </c>
      <c r="Z1161" s="2" t="s">
        <v>38</v>
      </c>
      <c r="AA1161" s="2" t="s">
        <v>39</v>
      </c>
      <c r="AB1161" s="2" t="s">
        <v>39</v>
      </c>
      <c r="AC1161" s="2" t="s">
        <v>38</v>
      </c>
      <c r="AD1161" s="2" t="s">
        <v>38</v>
      </c>
      <c r="AE1161" s="2" t="s">
        <v>39</v>
      </c>
    </row>
    <row r="1162" spans="1:31" ht="409.5">
      <c r="A1162" s="2">
        <v>2744453</v>
      </c>
      <c r="B1162" s="2">
        <f>HYPERLINK("https://platform.v2.vetology.net/cases/2744453/screening-report/1?type=pdf&amp;v=v6&amp;scorecard=1&amp;secret_key=BX%25IJ%24%2F65ieZ%29f6", 2744453)</f>
        <v>2744453</v>
      </c>
      <c r="C1162" s="2">
        <f>HYPERLINK("https://platform.v2.vetology.net/report/v/final/"&amp;2744453, 2744453)</f>
        <v>2744453</v>
      </c>
      <c r="D1162" s="2" t="s">
        <v>3865</v>
      </c>
      <c r="E1162" s="2" t="s">
        <v>3866</v>
      </c>
      <c r="F1162" s="2" t="s">
        <v>3867</v>
      </c>
      <c r="G1162" s="2" t="s">
        <v>2414</v>
      </c>
      <c r="H1162" s="2" t="s">
        <v>398</v>
      </c>
      <c r="I1162" s="2" t="s">
        <v>46</v>
      </c>
      <c r="J1162" s="2"/>
      <c r="K1162" s="2" t="s">
        <v>38</v>
      </c>
      <c r="L1162" s="2" t="s">
        <v>39</v>
      </c>
      <c r="M1162" s="2" t="s">
        <v>39</v>
      </c>
      <c r="N1162" s="2" t="s">
        <v>39</v>
      </c>
      <c r="O1162" s="2" t="s">
        <v>39</v>
      </c>
      <c r="P1162" s="2" t="s">
        <v>39</v>
      </c>
      <c r="Q1162" s="2" t="s">
        <v>39</v>
      </c>
      <c r="R1162" s="2" t="s">
        <v>39</v>
      </c>
      <c r="S1162" s="2" t="s">
        <v>39</v>
      </c>
      <c r="T1162" s="2" t="s">
        <v>39</v>
      </c>
      <c r="U1162" s="2" t="s">
        <v>38</v>
      </c>
      <c r="V1162" s="2" t="s">
        <v>39</v>
      </c>
      <c r="W1162" s="2" t="s">
        <v>39</v>
      </c>
      <c r="X1162" s="2" t="s">
        <v>39</v>
      </c>
      <c r="Y1162" s="2" t="s">
        <v>39</v>
      </c>
      <c r="Z1162" s="2" t="s">
        <v>39</v>
      </c>
      <c r="AA1162" s="2" t="s">
        <v>39</v>
      </c>
      <c r="AB1162" s="2" t="s">
        <v>39</v>
      </c>
      <c r="AC1162" s="2" t="s">
        <v>39</v>
      </c>
      <c r="AD1162" s="2" t="s">
        <v>38</v>
      </c>
      <c r="AE1162" s="2"/>
    </row>
    <row r="1163" spans="1:31" ht="409.5">
      <c r="A1163" s="2">
        <v>2744446</v>
      </c>
      <c r="B1163" s="2">
        <f>HYPERLINK("https://platform.v2.vetology.net/cases/2744446/screening-report/1?type=pdf&amp;v=v6&amp;scorecard=1&amp;secret_key=BX%25IJ%24%2F65ieZ%29f6", 2744446)</f>
        <v>2744446</v>
      </c>
      <c r="C1163" s="2">
        <f>HYPERLINK("https://platform.v2.vetology.net/report/v/final/"&amp;2744446, 2744446)</f>
        <v>2744446</v>
      </c>
      <c r="D1163" s="2" t="s">
        <v>3868</v>
      </c>
      <c r="E1163" s="2" t="s">
        <v>3869</v>
      </c>
      <c r="F1163" s="2"/>
      <c r="G1163" s="2" t="s">
        <v>81</v>
      </c>
      <c r="H1163" s="2" t="s">
        <v>1099</v>
      </c>
      <c r="I1163" s="2" t="s">
        <v>36</v>
      </c>
      <c r="J1163" s="2" t="s">
        <v>37</v>
      </c>
      <c r="K1163" s="2" t="s">
        <v>39</v>
      </c>
      <c r="L1163" s="2" t="s">
        <v>38</v>
      </c>
      <c r="M1163" s="2" t="s">
        <v>38</v>
      </c>
      <c r="N1163" s="2" t="s">
        <v>38</v>
      </c>
      <c r="O1163" s="2" t="s">
        <v>38</v>
      </c>
      <c r="P1163" s="2" t="s">
        <v>39</v>
      </c>
      <c r="Q1163" s="2" t="s">
        <v>39</v>
      </c>
      <c r="R1163" s="2" t="s">
        <v>38</v>
      </c>
      <c r="S1163" s="2" t="s">
        <v>38</v>
      </c>
      <c r="T1163" s="2" t="s">
        <v>38</v>
      </c>
      <c r="U1163" s="2" t="s">
        <v>39</v>
      </c>
      <c r="V1163" s="2" t="s">
        <v>38</v>
      </c>
      <c r="W1163" s="2" t="s">
        <v>38</v>
      </c>
      <c r="X1163" s="2" t="s">
        <v>39</v>
      </c>
      <c r="Y1163" s="2" t="s">
        <v>39</v>
      </c>
      <c r="Z1163" s="2" t="s">
        <v>38</v>
      </c>
      <c r="AA1163" s="2" t="s">
        <v>38</v>
      </c>
      <c r="AB1163" s="2" t="s">
        <v>39</v>
      </c>
      <c r="AC1163" s="2" t="s">
        <v>38</v>
      </c>
      <c r="AD1163" s="2" t="s">
        <v>38</v>
      </c>
      <c r="AE1163" s="2" t="s">
        <v>39</v>
      </c>
    </row>
    <row r="1164" spans="1:31" ht="409.5">
      <c r="A1164" s="2">
        <v>2744433</v>
      </c>
      <c r="B1164" s="2">
        <f>HYPERLINK("https://platform.v2.vetology.net/cases/2744433/screening-report/1?type=pdf&amp;v=v6&amp;scorecard=1&amp;secret_key=BX%25IJ%24%2F65ieZ%29f6", 2744433)</f>
        <v>2744433</v>
      </c>
      <c r="C1164" s="2">
        <f>HYPERLINK("https://platform.v2.vetology.net/report/v/final/"&amp;2744433, 2744433)</f>
        <v>2744433</v>
      </c>
      <c r="D1164" s="2" t="s">
        <v>3870</v>
      </c>
      <c r="E1164" s="2" t="s">
        <v>3871</v>
      </c>
      <c r="F1164" s="2" t="s">
        <v>3872</v>
      </c>
      <c r="G1164" s="2" t="s">
        <v>251</v>
      </c>
      <c r="H1164" s="2" t="s">
        <v>69</v>
      </c>
      <c r="I1164" s="2" t="s">
        <v>46</v>
      </c>
      <c r="J1164" s="2"/>
      <c r="K1164" s="2" t="s">
        <v>39</v>
      </c>
      <c r="L1164" s="2" t="s">
        <v>39</v>
      </c>
      <c r="M1164" s="2" t="s">
        <v>39</v>
      </c>
      <c r="N1164" s="2" t="s">
        <v>39</v>
      </c>
      <c r="O1164" s="2" t="s">
        <v>39</v>
      </c>
      <c r="P1164" s="2" t="s">
        <v>39</v>
      </c>
      <c r="Q1164" s="2" t="s">
        <v>39</v>
      </c>
      <c r="R1164" s="2" t="s">
        <v>39</v>
      </c>
      <c r="S1164" s="2" t="s">
        <v>39</v>
      </c>
      <c r="T1164" s="2" t="s">
        <v>39</v>
      </c>
      <c r="U1164" s="2" t="s">
        <v>39</v>
      </c>
      <c r="V1164" s="2" t="s">
        <v>39</v>
      </c>
      <c r="W1164" s="2" t="s">
        <v>39</v>
      </c>
      <c r="X1164" s="2" t="s">
        <v>39</v>
      </c>
      <c r="Y1164" s="2" t="s">
        <v>39</v>
      </c>
      <c r="Z1164" s="2" t="s">
        <v>39</v>
      </c>
      <c r="AA1164" s="2" t="s">
        <v>39</v>
      </c>
      <c r="AB1164" s="2" t="s">
        <v>39</v>
      </c>
      <c r="AC1164" s="2" t="s">
        <v>39</v>
      </c>
      <c r="AD1164" s="2" t="s">
        <v>38</v>
      </c>
      <c r="AE1164" s="2" t="s">
        <v>40</v>
      </c>
    </row>
    <row r="1165" spans="1:31" ht="409.5">
      <c r="A1165" s="2">
        <v>2744418</v>
      </c>
      <c r="B1165" s="2">
        <f>HYPERLINK("https://platform.v2.vetology.net/cases/2744418/screening-report/1?type=pdf&amp;v=v6&amp;scorecard=1&amp;secret_key=BX%25IJ%24%2F65ieZ%29f6", 2744418)</f>
        <v>2744418</v>
      </c>
      <c r="C1165" s="2">
        <f>HYPERLINK("https://platform.v2.vetology.net/report/v/final/"&amp;2744418, 2744418)</f>
        <v>2744418</v>
      </c>
      <c r="D1165" s="2" t="s">
        <v>3873</v>
      </c>
      <c r="E1165" s="2" t="s">
        <v>3874</v>
      </c>
      <c r="F1165" s="2" t="s">
        <v>3875</v>
      </c>
      <c r="G1165" s="2" t="s">
        <v>34</v>
      </c>
      <c r="H1165" s="2" t="s">
        <v>3876</v>
      </c>
      <c r="I1165" s="2" t="s">
        <v>36</v>
      </c>
      <c r="J1165" s="2" t="s">
        <v>37</v>
      </c>
      <c r="K1165" s="2" t="s">
        <v>38</v>
      </c>
      <c r="L1165" s="2" t="s">
        <v>39</v>
      </c>
      <c r="M1165" s="2" t="s">
        <v>38</v>
      </c>
      <c r="N1165" s="2" t="s">
        <v>38</v>
      </c>
      <c r="O1165" s="2" t="s">
        <v>38</v>
      </c>
      <c r="P1165" s="2" t="s">
        <v>38</v>
      </c>
      <c r="Q1165" s="2" t="s">
        <v>38</v>
      </c>
      <c r="R1165" s="2" t="s">
        <v>39</v>
      </c>
      <c r="S1165" s="2" t="s">
        <v>39</v>
      </c>
      <c r="T1165" s="2" t="s">
        <v>38</v>
      </c>
      <c r="U1165" s="2" t="s">
        <v>39</v>
      </c>
      <c r="V1165" s="2" t="s">
        <v>39</v>
      </c>
      <c r="W1165" s="2" t="s">
        <v>39</v>
      </c>
      <c r="X1165" s="2" t="s">
        <v>39</v>
      </c>
      <c r="Y1165" s="2" t="s">
        <v>39</v>
      </c>
      <c r="Z1165" s="2" t="s">
        <v>38</v>
      </c>
      <c r="AA1165" s="2" t="s">
        <v>39</v>
      </c>
      <c r="AB1165" s="2" t="s">
        <v>39</v>
      </c>
      <c r="AC1165" s="2" t="s">
        <v>38</v>
      </c>
      <c r="AD1165" s="2" t="s">
        <v>39</v>
      </c>
      <c r="AE1165" s="2" t="s">
        <v>40</v>
      </c>
    </row>
    <row r="1166" spans="1:31" ht="409.5">
      <c r="A1166" s="2">
        <v>2744371</v>
      </c>
      <c r="B1166" s="2">
        <f>HYPERLINK("https://platform.v2.vetology.net/cases/2744371/screening-report/1?type=pdf&amp;v=v6&amp;scorecard=1&amp;secret_key=BX%25IJ%24%2F65ieZ%29f6", 2744371)</f>
        <v>2744371</v>
      </c>
      <c r="C1166" s="2">
        <f>HYPERLINK("https://platform.v2.vetology.net/report/v/final/"&amp;2744371, 2744371)</f>
        <v>2744371</v>
      </c>
      <c r="D1166" s="2" t="s">
        <v>3877</v>
      </c>
      <c r="E1166" s="2" t="s">
        <v>3878</v>
      </c>
      <c r="F1166" s="2" t="s">
        <v>43</v>
      </c>
      <c r="G1166" s="2" t="s">
        <v>507</v>
      </c>
      <c r="H1166" s="2" t="s">
        <v>1656</v>
      </c>
      <c r="I1166" s="2" t="s">
        <v>36</v>
      </c>
      <c r="J1166" s="2" t="s">
        <v>37</v>
      </c>
      <c r="K1166" s="2" t="s">
        <v>39</v>
      </c>
      <c r="L1166" s="2" t="s">
        <v>39</v>
      </c>
      <c r="M1166" s="2" t="s">
        <v>38</v>
      </c>
      <c r="N1166" s="2" t="s">
        <v>39</v>
      </c>
      <c r="O1166" s="2" t="s">
        <v>38</v>
      </c>
      <c r="P1166" s="2" t="s">
        <v>39</v>
      </c>
      <c r="Q1166" s="2" t="s">
        <v>39</v>
      </c>
      <c r="R1166" s="2" t="s">
        <v>38</v>
      </c>
      <c r="S1166" s="2" t="s">
        <v>38</v>
      </c>
      <c r="T1166" s="2" t="s">
        <v>38</v>
      </c>
      <c r="U1166" s="2" t="s">
        <v>39</v>
      </c>
      <c r="V1166" s="2" t="s">
        <v>39</v>
      </c>
      <c r="W1166" s="2" t="s">
        <v>39</v>
      </c>
      <c r="X1166" s="2" t="s">
        <v>39</v>
      </c>
      <c r="Y1166" s="2" t="s">
        <v>39</v>
      </c>
      <c r="Z1166" s="2" t="s">
        <v>38</v>
      </c>
      <c r="AA1166" s="2" t="s">
        <v>39</v>
      </c>
      <c r="AB1166" s="2" t="s">
        <v>39</v>
      </c>
      <c r="AC1166" s="2" t="s">
        <v>38</v>
      </c>
      <c r="AD1166" s="2" t="s">
        <v>38</v>
      </c>
      <c r="AE1166" s="2" t="s">
        <v>40</v>
      </c>
    </row>
    <row r="1167" spans="1:31" ht="409.5">
      <c r="A1167" s="2">
        <v>2744295</v>
      </c>
      <c r="B1167" s="2">
        <f>HYPERLINK("https://platform.v2.vetology.net/cases/2744295/screening-report/1?type=pdf&amp;v=v6&amp;scorecard=1&amp;secret_key=BX%25IJ%24%2F65ieZ%29f6", 2744295)</f>
        <v>2744295</v>
      </c>
      <c r="C1167" s="2">
        <f>HYPERLINK("https://platform.v2.vetology.net/report/v/final/"&amp;2744295, 2744295)</f>
        <v>2744295</v>
      </c>
      <c r="D1167" s="2" t="s">
        <v>3879</v>
      </c>
      <c r="E1167" s="2" t="s">
        <v>3880</v>
      </c>
      <c r="F1167" s="2" t="s">
        <v>3881</v>
      </c>
      <c r="G1167" s="2" t="s">
        <v>251</v>
      </c>
      <c r="H1167" s="2" t="s">
        <v>69</v>
      </c>
      <c r="I1167" s="2" t="s">
        <v>46</v>
      </c>
      <c r="J1167" s="2"/>
      <c r="K1167" s="2" t="s">
        <v>39</v>
      </c>
      <c r="L1167" s="2" t="s">
        <v>39</v>
      </c>
      <c r="M1167" s="2" t="s">
        <v>39</v>
      </c>
      <c r="N1167" s="2" t="s">
        <v>39</v>
      </c>
      <c r="O1167" s="2" t="s">
        <v>39</v>
      </c>
      <c r="P1167" s="2" t="s">
        <v>39</v>
      </c>
      <c r="Q1167" s="2" t="s">
        <v>39</v>
      </c>
      <c r="R1167" s="2" t="s">
        <v>39</v>
      </c>
      <c r="S1167" s="2" t="s">
        <v>39</v>
      </c>
      <c r="T1167" s="2" t="s">
        <v>39</v>
      </c>
      <c r="U1167" s="2" t="s">
        <v>39</v>
      </c>
      <c r="V1167" s="2" t="s">
        <v>39</v>
      </c>
      <c r="W1167" s="2" t="s">
        <v>39</v>
      </c>
      <c r="X1167" s="2" t="s">
        <v>39</v>
      </c>
      <c r="Y1167" s="2" t="s">
        <v>39</v>
      </c>
      <c r="Z1167" s="2" t="s">
        <v>39</v>
      </c>
      <c r="AA1167" s="2" t="s">
        <v>39</v>
      </c>
      <c r="AB1167" s="2" t="s">
        <v>39</v>
      </c>
      <c r="AC1167" s="2" t="s">
        <v>39</v>
      </c>
      <c r="AD1167" s="2" t="s">
        <v>38</v>
      </c>
      <c r="AE1167" s="2" t="s">
        <v>39</v>
      </c>
    </row>
    <row r="1168" spans="1:31" ht="409.5">
      <c r="A1168" s="2">
        <v>2744262</v>
      </c>
      <c r="B1168" s="2">
        <f>HYPERLINK("https://platform.v2.vetology.net/cases/2744262/screening-report/1?type=pdf&amp;v=v6&amp;scorecard=1&amp;secret_key=BX%25IJ%24%2F65ieZ%29f6", 2744262)</f>
        <v>2744262</v>
      </c>
      <c r="C1168" s="2">
        <f>HYPERLINK("https://platform.v2.vetology.net/report/v/final/"&amp;2744262, 2744262)</f>
        <v>2744262</v>
      </c>
      <c r="D1168" s="2" t="s">
        <v>3882</v>
      </c>
      <c r="E1168" s="2" t="s">
        <v>3883</v>
      </c>
      <c r="F1168" s="2" t="s">
        <v>3884</v>
      </c>
      <c r="G1168" s="2" t="s">
        <v>34</v>
      </c>
      <c r="H1168" s="2" t="s">
        <v>3885</v>
      </c>
      <c r="I1168" s="2" t="s">
        <v>813</v>
      </c>
      <c r="J1168" s="2" t="s">
        <v>37</v>
      </c>
      <c r="K1168" s="2" t="s">
        <v>39</v>
      </c>
      <c r="L1168" s="2" t="s">
        <v>39</v>
      </c>
      <c r="M1168" s="2" t="s">
        <v>39</v>
      </c>
      <c r="N1168" s="2" t="s">
        <v>39</v>
      </c>
      <c r="O1168" s="2" t="s">
        <v>39</v>
      </c>
      <c r="P1168" s="2" t="s">
        <v>39</v>
      </c>
      <c r="Q1168" s="2" t="s">
        <v>39</v>
      </c>
      <c r="R1168" s="2" t="s">
        <v>38</v>
      </c>
      <c r="S1168" s="2" t="s">
        <v>39</v>
      </c>
      <c r="T1168" s="2" t="s">
        <v>39</v>
      </c>
      <c r="U1168" s="2" t="s">
        <v>39</v>
      </c>
      <c r="V1168" s="2" t="s">
        <v>39</v>
      </c>
      <c r="W1168" s="2" t="s">
        <v>39</v>
      </c>
      <c r="X1168" s="2" t="s">
        <v>39</v>
      </c>
      <c r="Y1168" s="2" t="s">
        <v>39</v>
      </c>
      <c r="Z1168" s="2" t="s">
        <v>39</v>
      </c>
      <c r="AA1168" s="2" t="s">
        <v>39</v>
      </c>
      <c r="AB1168" s="2" t="s">
        <v>39</v>
      </c>
      <c r="AC1168" s="2" t="s">
        <v>39</v>
      </c>
      <c r="AD1168" s="2" t="s">
        <v>39</v>
      </c>
      <c r="AE1168" s="2"/>
    </row>
    <row r="1169" spans="1:31" ht="409.5">
      <c r="A1169" s="2">
        <v>2744243</v>
      </c>
      <c r="B1169" s="2">
        <f>HYPERLINK("https://platform.v2.vetology.net/cases/2744243/screening-report/1?type=pdf&amp;v=v6&amp;scorecard=1&amp;secret_key=BX%25IJ%24%2F65ieZ%29f6", 2744243)</f>
        <v>2744243</v>
      </c>
      <c r="C1169" s="2">
        <f>HYPERLINK("https://platform.v2.vetology.net/report/v/final/"&amp;2744243, 2744243)</f>
        <v>2744243</v>
      </c>
      <c r="D1169" s="2" t="s">
        <v>3886</v>
      </c>
      <c r="E1169" s="2" t="s">
        <v>3887</v>
      </c>
      <c r="F1169" s="2" t="s">
        <v>3888</v>
      </c>
      <c r="G1169" s="2" t="s">
        <v>34</v>
      </c>
      <c r="H1169" s="2" t="s">
        <v>3889</v>
      </c>
      <c r="I1169" s="2" t="s">
        <v>129</v>
      </c>
      <c r="J1169" s="2" t="s">
        <v>74</v>
      </c>
      <c r="K1169" s="2" t="s">
        <v>39</v>
      </c>
      <c r="L1169" s="2" t="s">
        <v>38</v>
      </c>
      <c r="M1169" s="2" t="s">
        <v>38</v>
      </c>
      <c r="N1169" s="2" t="s">
        <v>38</v>
      </c>
      <c r="O1169" s="2" t="s">
        <v>38</v>
      </c>
      <c r="P1169" s="2" t="s">
        <v>38</v>
      </c>
      <c r="Q1169" s="2" t="s">
        <v>38</v>
      </c>
      <c r="R1169" s="2" t="s">
        <v>38</v>
      </c>
      <c r="S1169" s="2" t="s">
        <v>38</v>
      </c>
      <c r="T1169" s="2" t="s">
        <v>38</v>
      </c>
      <c r="U1169" s="2" t="s">
        <v>39</v>
      </c>
      <c r="V1169" s="2" t="s">
        <v>39</v>
      </c>
      <c r="W1169" s="2" t="s">
        <v>38</v>
      </c>
      <c r="X1169" s="2" t="s">
        <v>38</v>
      </c>
      <c r="Y1169" s="2" t="s">
        <v>39</v>
      </c>
      <c r="Z1169" s="2" t="s">
        <v>38</v>
      </c>
      <c r="AA1169" s="2" t="s">
        <v>38</v>
      </c>
      <c r="AB1169" s="2" t="s">
        <v>38</v>
      </c>
      <c r="AC1169" s="2" t="s">
        <v>38</v>
      </c>
      <c r="AD1169" s="2" t="s">
        <v>39</v>
      </c>
      <c r="AE1169" s="2" t="s">
        <v>39</v>
      </c>
    </row>
    <row r="1170" spans="1:31" ht="409.5">
      <c r="A1170" s="2">
        <v>2744236</v>
      </c>
      <c r="B1170" s="2">
        <f>HYPERLINK("https://platform.v2.vetology.net/cases/2744236/screening-report/1?type=pdf&amp;v=v6&amp;scorecard=1&amp;secret_key=BX%25IJ%24%2F65ieZ%29f6", 2744236)</f>
        <v>2744236</v>
      </c>
      <c r="C1170" s="2">
        <f>HYPERLINK("https://platform.v2.vetology.net/report/v/final/"&amp;2744236, 2744236)</f>
        <v>2744236</v>
      </c>
      <c r="D1170" s="2" t="s">
        <v>3890</v>
      </c>
      <c r="E1170" s="2" t="s">
        <v>3891</v>
      </c>
      <c r="F1170" s="2" t="s">
        <v>43</v>
      </c>
      <c r="G1170" s="2" t="s">
        <v>100</v>
      </c>
      <c r="H1170" s="2" t="s">
        <v>3892</v>
      </c>
      <c r="I1170" s="2" t="s">
        <v>684</v>
      </c>
      <c r="J1170" s="2" t="s">
        <v>74</v>
      </c>
      <c r="K1170" s="2" t="s">
        <v>38</v>
      </c>
      <c r="L1170" s="2" t="s">
        <v>39</v>
      </c>
      <c r="M1170" s="2" t="s">
        <v>39</v>
      </c>
      <c r="N1170" s="2" t="s">
        <v>39</v>
      </c>
      <c r="O1170" s="2" t="s">
        <v>38</v>
      </c>
      <c r="P1170" s="2" t="s">
        <v>38</v>
      </c>
      <c r="Q1170" s="2" t="s">
        <v>38</v>
      </c>
      <c r="R1170" s="2" t="s">
        <v>39</v>
      </c>
      <c r="S1170" s="2" t="s">
        <v>39</v>
      </c>
      <c r="T1170" s="2" t="s">
        <v>38</v>
      </c>
      <c r="U1170" s="2" t="s">
        <v>38</v>
      </c>
      <c r="V1170" s="2" t="s">
        <v>38</v>
      </c>
      <c r="W1170" s="2" t="s">
        <v>38</v>
      </c>
      <c r="X1170" s="2" t="s">
        <v>39</v>
      </c>
      <c r="Y1170" s="2" t="s">
        <v>39</v>
      </c>
      <c r="Z1170" s="2" t="s">
        <v>39</v>
      </c>
      <c r="AA1170" s="2" t="s">
        <v>38</v>
      </c>
      <c r="AB1170" s="2" t="s">
        <v>39</v>
      </c>
      <c r="AC1170" s="2" t="s">
        <v>38</v>
      </c>
      <c r="AD1170" s="2" t="s">
        <v>39</v>
      </c>
      <c r="AE1170" s="2" t="s">
        <v>39</v>
      </c>
    </row>
    <row r="1171" spans="1:31" ht="409.5">
      <c r="A1171" s="2">
        <v>2744203</v>
      </c>
      <c r="B1171" s="2">
        <f>HYPERLINK("https://platform.v2.vetology.net/cases/2744203/screening-report/1?type=pdf&amp;v=v6&amp;scorecard=1&amp;secret_key=BX%25IJ%24%2F65ieZ%29f6", 2744203)</f>
        <v>2744203</v>
      </c>
      <c r="C1171" s="2">
        <f>HYPERLINK("https://platform.v2.vetology.net/report/v/final/"&amp;2744203, 2744203)</f>
        <v>2744203</v>
      </c>
      <c r="D1171" s="2" t="s">
        <v>3893</v>
      </c>
      <c r="E1171" s="2" t="s">
        <v>3894</v>
      </c>
      <c r="F1171" s="2" t="s">
        <v>3895</v>
      </c>
      <c r="G1171" s="2" t="s">
        <v>34</v>
      </c>
      <c r="H1171" s="2" t="s">
        <v>158</v>
      </c>
      <c r="I1171" s="2" t="s">
        <v>59</v>
      </c>
      <c r="J1171" s="2" t="s">
        <v>37</v>
      </c>
      <c r="K1171" s="2" t="s">
        <v>38</v>
      </c>
      <c r="L1171" s="2" t="s">
        <v>39</v>
      </c>
      <c r="M1171" s="2" t="s">
        <v>39</v>
      </c>
      <c r="N1171" s="2" t="s">
        <v>39</v>
      </c>
      <c r="O1171" s="2" t="s">
        <v>39</v>
      </c>
      <c r="P1171" s="2" t="s">
        <v>39</v>
      </c>
      <c r="Q1171" s="2" t="s">
        <v>39</v>
      </c>
      <c r="R1171" s="2" t="s">
        <v>39</v>
      </c>
      <c r="S1171" s="2" t="s">
        <v>39</v>
      </c>
      <c r="T1171" s="2" t="s">
        <v>39</v>
      </c>
      <c r="U1171" s="2" t="s">
        <v>38</v>
      </c>
      <c r="V1171" s="2" t="s">
        <v>38</v>
      </c>
      <c r="W1171" s="2" t="s">
        <v>39</v>
      </c>
      <c r="X1171" s="2" t="s">
        <v>39</v>
      </c>
      <c r="Y1171" s="2" t="s">
        <v>39</v>
      </c>
      <c r="Z1171" s="2" t="s">
        <v>39</v>
      </c>
      <c r="AA1171" s="2" t="s">
        <v>39</v>
      </c>
      <c r="AB1171" s="2" t="s">
        <v>39</v>
      </c>
      <c r="AC1171" s="2" t="s">
        <v>39</v>
      </c>
      <c r="AD1171" s="2" t="s">
        <v>39</v>
      </c>
      <c r="AE1171" s="2" t="s">
        <v>39</v>
      </c>
    </row>
    <row r="1172" spans="1:31" ht="409.5">
      <c r="A1172" s="2">
        <v>2744192</v>
      </c>
      <c r="B1172" s="2">
        <f>HYPERLINK("https://platform.v2.vetology.net/cases/2744192/screening-report/1?type=pdf&amp;v=v6&amp;scorecard=1&amp;secret_key=BX%25IJ%24%2F65ieZ%29f6", 2744192)</f>
        <v>2744192</v>
      </c>
      <c r="C1172" s="2">
        <f>HYPERLINK("https://platform.v2.vetology.net/report/v/final/"&amp;2744192, 2744192)</f>
        <v>2744192</v>
      </c>
      <c r="D1172" s="2" t="s">
        <v>3896</v>
      </c>
      <c r="E1172" s="2" t="s">
        <v>3897</v>
      </c>
      <c r="F1172" s="2" t="s">
        <v>3898</v>
      </c>
      <c r="G1172" s="2" t="s">
        <v>170</v>
      </c>
      <c r="H1172" s="2" t="s">
        <v>3899</v>
      </c>
      <c r="I1172" s="2" t="s">
        <v>73</v>
      </c>
      <c r="J1172" s="2" t="s">
        <v>74</v>
      </c>
      <c r="K1172" s="2" t="s">
        <v>38</v>
      </c>
      <c r="L1172" s="2" t="s">
        <v>38</v>
      </c>
      <c r="M1172" s="2" t="s">
        <v>38</v>
      </c>
      <c r="N1172" s="2" t="s">
        <v>38</v>
      </c>
      <c r="O1172" s="2" t="s">
        <v>38</v>
      </c>
      <c r="P1172" s="2" t="s">
        <v>38</v>
      </c>
      <c r="Q1172" s="2" t="s">
        <v>38</v>
      </c>
      <c r="R1172" s="2" t="s">
        <v>38</v>
      </c>
      <c r="S1172" s="2" t="s">
        <v>38</v>
      </c>
      <c r="T1172" s="2" t="s">
        <v>38</v>
      </c>
      <c r="U1172" s="2" t="s">
        <v>38</v>
      </c>
      <c r="V1172" s="2" t="s">
        <v>38</v>
      </c>
      <c r="W1172" s="2" t="s">
        <v>38</v>
      </c>
      <c r="X1172" s="2" t="s">
        <v>38</v>
      </c>
      <c r="Y1172" s="2" t="s">
        <v>38</v>
      </c>
      <c r="Z1172" s="2" t="s">
        <v>38</v>
      </c>
      <c r="AA1172" s="2" t="s">
        <v>38</v>
      </c>
      <c r="AB1172" s="2" t="s">
        <v>38</v>
      </c>
      <c r="AC1172" s="2" t="s">
        <v>38</v>
      </c>
      <c r="AD1172" s="2" t="s">
        <v>38</v>
      </c>
      <c r="AE1172" s="2" t="s">
        <v>40</v>
      </c>
    </row>
    <row r="1173" spans="1:31" ht="409.5">
      <c r="A1173" s="2">
        <v>2744158</v>
      </c>
      <c r="B1173" s="2">
        <f>HYPERLINK("https://platform.v2.vetology.net/cases/2744158/screening-report/1?type=pdf&amp;v=v6&amp;scorecard=1&amp;secret_key=BX%25IJ%24%2F65ieZ%29f6", 2744158)</f>
        <v>2744158</v>
      </c>
      <c r="C1173" s="2">
        <f>HYPERLINK("https://platform.v2.vetology.net/report/v/final/"&amp;2744158, 2744158)</f>
        <v>2744158</v>
      </c>
      <c r="D1173" s="2" t="s">
        <v>3900</v>
      </c>
      <c r="E1173" s="2" t="s">
        <v>3901</v>
      </c>
      <c r="F1173" s="2" t="s">
        <v>3902</v>
      </c>
      <c r="G1173" s="2" t="s">
        <v>53</v>
      </c>
      <c r="H1173" s="2" t="s">
        <v>265</v>
      </c>
      <c r="I1173" s="2" t="s">
        <v>36</v>
      </c>
      <c r="J1173" s="2" t="s">
        <v>37</v>
      </c>
      <c r="K1173" s="2" t="s">
        <v>39</v>
      </c>
      <c r="L1173" s="2" t="s">
        <v>39</v>
      </c>
      <c r="M1173" s="2" t="s">
        <v>38</v>
      </c>
      <c r="N1173" s="2" t="s">
        <v>39</v>
      </c>
      <c r="O1173" s="2" t="s">
        <v>39</v>
      </c>
      <c r="P1173" s="2" t="s">
        <v>39</v>
      </c>
      <c r="Q1173" s="2" t="s">
        <v>39</v>
      </c>
      <c r="R1173" s="2" t="s">
        <v>39</v>
      </c>
      <c r="S1173" s="2" t="s">
        <v>39</v>
      </c>
      <c r="T1173" s="2" t="s">
        <v>39</v>
      </c>
      <c r="U1173" s="2" t="s">
        <v>39</v>
      </c>
      <c r="V1173" s="2" t="s">
        <v>39</v>
      </c>
      <c r="W1173" s="2" t="s">
        <v>39</v>
      </c>
      <c r="X1173" s="2" t="s">
        <v>39</v>
      </c>
      <c r="Y1173" s="2" t="s">
        <v>39</v>
      </c>
      <c r="Z1173" s="2" t="s">
        <v>38</v>
      </c>
      <c r="AA1173" s="2" t="s">
        <v>39</v>
      </c>
      <c r="AB1173" s="2" t="s">
        <v>39</v>
      </c>
      <c r="AC1173" s="2" t="s">
        <v>38</v>
      </c>
      <c r="AD1173" s="2" t="s">
        <v>39</v>
      </c>
      <c r="AE1173" s="2" t="s">
        <v>39</v>
      </c>
    </row>
    <row r="1174" spans="1:31" ht="409.5">
      <c r="A1174" s="2">
        <v>2744139</v>
      </c>
      <c r="B1174" s="2">
        <f>HYPERLINK("https://platform.v2.vetology.net/cases/2744139/screening-report/1?type=pdf&amp;v=v6&amp;scorecard=1&amp;secret_key=BX%25IJ%24%2F65ieZ%29f6", 2744139)</f>
        <v>2744139</v>
      </c>
      <c r="C1174" s="2">
        <f>HYPERLINK("https://platform.v2.vetology.net/report/v/final/"&amp;2744139, 2744139)</f>
        <v>2744139</v>
      </c>
      <c r="D1174" s="2" t="s">
        <v>3903</v>
      </c>
      <c r="E1174" s="2" t="s">
        <v>3904</v>
      </c>
      <c r="F1174" s="2"/>
      <c r="G1174" s="2" t="s">
        <v>100</v>
      </c>
      <c r="H1174" s="2" t="s">
        <v>3905</v>
      </c>
      <c r="I1174" s="2" t="s">
        <v>36</v>
      </c>
      <c r="J1174" s="2" t="s">
        <v>37</v>
      </c>
      <c r="K1174" s="2" t="s">
        <v>38</v>
      </c>
      <c r="L1174" s="2" t="s">
        <v>38</v>
      </c>
      <c r="M1174" s="2" t="s">
        <v>38</v>
      </c>
      <c r="N1174" s="2" t="s">
        <v>38</v>
      </c>
      <c r="O1174" s="2" t="s">
        <v>38</v>
      </c>
      <c r="P1174" s="2" t="s">
        <v>39</v>
      </c>
      <c r="Q1174" s="2" t="s">
        <v>39</v>
      </c>
      <c r="R1174" s="2" t="s">
        <v>38</v>
      </c>
      <c r="S1174" s="2" t="s">
        <v>38</v>
      </c>
      <c r="T1174" s="2" t="s">
        <v>39</v>
      </c>
      <c r="U1174" s="2" t="s">
        <v>38</v>
      </c>
      <c r="V1174" s="2" t="s">
        <v>38</v>
      </c>
      <c r="W1174" s="2" t="s">
        <v>38</v>
      </c>
      <c r="X1174" s="2" t="s">
        <v>39</v>
      </c>
      <c r="Y1174" s="2" t="s">
        <v>39</v>
      </c>
      <c r="Z1174" s="2" t="s">
        <v>38</v>
      </c>
      <c r="AA1174" s="2" t="s">
        <v>39</v>
      </c>
      <c r="AB1174" s="2" t="s">
        <v>39</v>
      </c>
      <c r="AC1174" s="2" t="s">
        <v>38</v>
      </c>
      <c r="AD1174" s="2" t="s">
        <v>38</v>
      </c>
      <c r="AE1174" s="2" t="s">
        <v>40</v>
      </c>
    </row>
    <row r="1175" spans="1:31" ht="409.5">
      <c r="A1175" s="2">
        <v>2744130</v>
      </c>
      <c r="B1175" s="2">
        <f>HYPERLINK("https://platform.v2.vetology.net/cases/2744130/screening-report/1?type=pdf&amp;v=v6&amp;scorecard=1&amp;secret_key=BX%25IJ%24%2F65ieZ%29f6", 2744130)</f>
        <v>2744130</v>
      </c>
      <c r="C1175" s="2">
        <f>HYPERLINK("https://platform.v2.vetology.net/report/v/final/"&amp;2744130, 2744130)</f>
        <v>2744130</v>
      </c>
      <c r="D1175" s="2" t="s">
        <v>3906</v>
      </c>
      <c r="E1175" s="2" t="s">
        <v>3907</v>
      </c>
      <c r="F1175" s="2" t="s">
        <v>43</v>
      </c>
      <c r="G1175" s="2" t="s">
        <v>507</v>
      </c>
      <c r="H1175" s="2" t="s">
        <v>3908</v>
      </c>
      <c r="I1175" s="2" t="s">
        <v>36</v>
      </c>
      <c r="J1175" s="2" t="s">
        <v>37</v>
      </c>
      <c r="K1175" s="2" t="s">
        <v>38</v>
      </c>
      <c r="L1175" s="2" t="s">
        <v>38</v>
      </c>
      <c r="M1175" s="2" t="s">
        <v>38</v>
      </c>
      <c r="N1175" s="2" t="s">
        <v>38</v>
      </c>
      <c r="O1175" s="2" t="s">
        <v>38</v>
      </c>
      <c r="P1175" s="2" t="s">
        <v>39</v>
      </c>
      <c r="Q1175" s="2" t="s">
        <v>39</v>
      </c>
      <c r="R1175" s="2" t="s">
        <v>38</v>
      </c>
      <c r="S1175" s="2" t="s">
        <v>38</v>
      </c>
      <c r="T1175" s="2" t="s">
        <v>38</v>
      </c>
      <c r="U1175" s="2" t="s">
        <v>38</v>
      </c>
      <c r="V1175" s="2" t="s">
        <v>38</v>
      </c>
      <c r="W1175" s="2" t="s">
        <v>38</v>
      </c>
      <c r="X1175" s="2" t="s">
        <v>39</v>
      </c>
      <c r="Y1175" s="2" t="s">
        <v>38</v>
      </c>
      <c r="Z1175" s="2" t="s">
        <v>38</v>
      </c>
      <c r="AA1175" s="2" t="s">
        <v>39</v>
      </c>
      <c r="AB1175" s="2" t="s">
        <v>39</v>
      </c>
      <c r="AC1175" s="2" t="s">
        <v>38</v>
      </c>
      <c r="AD1175" s="2" t="s">
        <v>38</v>
      </c>
      <c r="AE1175" s="2" t="s">
        <v>39</v>
      </c>
    </row>
    <row r="1176" spans="1:31" ht="409.5">
      <c r="A1176" s="2">
        <v>2744123</v>
      </c>
      <c r="B1176" s="2">
        <f>HYPERLINK("https://platform.v2.vetology.net/cases/2744123/screening-report/1?type=pdf&amp;v=v6&amp;scorecard=1&amp;secret_key=BX%25IJ%24%2F65ieZ%29f6", 2744123)</f>
        <v>2744123</v>
      </c>
      <c r="C1176" s="2">
        <f>HYPERLINK("https://platform.v2.vetology.net/report/v/final/"&amp;2744123, 2744123)</f>
        <v>2744123</v>
      </c>
      <c r="D1176" s="2" t="s">
        <v>3909</v>
      </c>
      <c r="E1176" s="2" t="s">
        <v>3910</v>
      </c>
      <c r="F1176" s="2" t="s">
        <v>3911</v>
      </c>
      <c r="G1176" s="2" t="s">
        <v>170</v>
      </c>
      <c r="H1176" s="2" t="s">
        <v>3912</v>
      </c>
      <c r="I1176" s="2" t="s">
        <v>73</v>
      </c>
      <c r="J1176" s="2" t="s">
        <v>74</v>
      </c>
      <c r="K1176" s="2" t="s">
        <v>38</v>
      </c>
      <c r="L1176" s="2" t="s">
        <v>39</v>
      </c>
      <c r="M1176" s="2" t="s">
        <v>38</v>
      </c>
      <c r="N1176" s="2" t="s">
        <v>38</v>
      </c>
      <c r="O1176" s="2" t="s">
        <v>39</v>
      </c>
      <c r="P1176" s="2" t="s">
        <v>38</v>
      </c>
      <c r="Q1176" s="2" t="s">
        <v>38</v>
      </c>
      <c r="R1176" s="2" t="s">
        <v>38</v>
      </c>
      <c r="S1176" s="2" t="s">
        <v>38</v>
      </c>
      <c r="T1176" s="2" t="s">
        <v>38</v>
      </c>
      <c r="U1176" s="2" t="s">
        <v>38</v>
      </c>
      <c r="V1176" s="2" t="s">
        <v>38</v>
      </c>
      <c r="W1176" s="2" t="s">
        <v>39</v>
      </c>
      <c r="X1176" s="2" t="s">
        <v>38</v>
      </c>
      <c r="Y1176" s="2" t="s">
        <v>39</v>
      </c>
      <c r="Z1176" s="2" t="s">
        <v>38</v>
      </c>
      <c r="AA1176" s="2" t="s">
        <v>38</v>
      </c>
      <c r="AB1176" s="2" t="s">
        <v>38</v>
      </c>
      <c r="AC1176" s="2" t="s">
        <v>38</v>
      </c>
      <c r="AD1176" s="2" t="s">
        <v>38</v>
      </c>
      <c r="AE1176" s="2"/>
    </row>
    <row r="1177" spans="1:31" ht="409.5">
      <c r="A1177" s="2">
        <v>2744118</v>
      </c>
      <c r="B1177" s="2">
        <f>HYPERLINK("https://platform.v2.vetology.net/cases/2744118/screening-report/1?type=pdf&amp;v=v6&amp;scorecard=1&amp;secret_key=BX%25IJ%24%2F65ieZ%29f6", 2744118)</f>
        <v>2744118</v>
      </c>
      <c r="C1177" s="2">
        <f>HYPERLINK("https://platform.v2.vetology.net/report/v/final/"&amp;2744118, 2744118)</f>
        <v>2744118</v>
      </c>
      <c r="D1177" s="2" t="s">
        <v>3913</v>
      </c>
      <c r="E1177" s="2" t="s">
        <v>3914</v>
      </c>
      <c r="F1177" s="2" t="s">
        <v>43</v>
      </c>
      <c r="G1177" s="2" t="s">
        <v>507</v>
      </c>
      <c r="H1177" s="2" t="s">
        <v>62</v>
      </c>
      <c r="I1177" s="2" t="s">
        <v>46</v>
      </c>
      <c r="J1177" s="2"/>
      <c r="K1177" s="2" t="s">
        <v>39</v>
      </c>
      <c r="L1177" s="2" t="s">
        <v>39</v>
      </c>
      <c r="M1177" s="2" t="s">
        <v>39</v>
      </c>
      <c r="N1177" s="2" t="s">
        <v>39</v>
      </c>
      <c r="O1177" s="2" t="s">
        <v>39</v>
      </c>
      <c r="P1177" s="2" t="s">
        <v>39</v>
      </c>
      <c r="Q1177" s="2" t="s">
        <v>39</v>
      </c>
      <c r="R1177" s="2" t="s">
        <v>38</v>
      </c>
      <c r="S1177" s="2" t="s">
        <v>38</v>
      </c>
      <c r="T1177" s="2" t="s">
        <v>39</v>
      </c>
      <c r="U1177" s="2" t="s">
        <v>39</v>
      </c>
      <c r="V1177" s="2" t="s">
        <v>38</v>
      </c>
      <c r="W1177" s="2" t="s">
        <v>38</v>
      </c>
      <c r="X1177" s="2" t="s">
        <v>39</v>
      </c>
      <c r="Y1177" s="2" t="s">
        <v>39</v>
      </c>
      <c r="Z1177" s="2" t="s">
        <v>38</v>
      </c>
      <c r="AA1177" s="2" t="s">
        <v>39</v>
      </c>
      <c r="AB1177" s="2" t="s">
        <v>39</v>
      </c>
      <c r="AC1177" s="2" t="s">
        <v>38</v>
      </c>
      <c r="AD1177" s="2" t="s">
        <v>39</v>
      </c>
      <c r="AE1177" s="2" t="s">
        <v>39</v>
      </c>
    </row>
    <row r="1178" spans="1:31" ht="409.5">
      <c r="A1178" s="2">
        <v>2744107</v>
      </c>
      <c r="B1178" s="2">
        <f>HYPERLINK("https://platform.v2.vetology.net/cases/2744107/screening-report/1?type=pdf&amp;v=v6&amp;scorecard=1&amp;secret_key=BX%25IJ%24%2F65ieZ%29f6", 2744107)</f>
        <v>2744107</v>
      </c>
      <c r="C1178" s="2">
        <f>HYPERLINK("https://platform.v2.vetology.net/report/v/final/"&amp;2744107, 2744107)</f>
        <v>2744107</v>
      </c>
      <c r="D1178" s="2" t="s">
        <v>3915</v>
      </c>
      <c r="E1178" s="2" t="s">
        <v>3916</v>
      </c>
      <c r="F1178" s="2"/>
      <c r="G1178" s="2" t="s">
        <v>81</v>
      </c>
      <c r="H1178" s="2" t="s">
        <v>3917</v>
      </c>
      <c r="I1178" s="2" t="s">
        <v>59</v>
      </c>
      <c r="J1178" s="2" t="s">
        <v>37</v>
      </c>
      <c r="K1178" s="2" t="s">
        <v>39</v>
      </c>
      <c r="L1178" s="2" t="s">
        <v>39</v>
      </c>
      <c r="M1178" s="2" t="s">
        <v>39</v>
      </c>
      <c r="N1178" s="2" t="s">
        <v>38</v>
      </c>
      <c r="O1178" s="2" t="s">
        <v>39</v>
      </c>
      <c r="P1178" s="2" t="s">
        <v>39</v>
      </c>
      <c r="Q1178" s="2" t="s">
        <v>39</v>
      </c>
      <c r="R1178" s="2" t="s">
        <v>38</v>
      </c>
      <c r="S1178" s="2" t="s">
        <v>38</v>
      </c>
      <c r="T1178" s="2" t="s">
        <v>38</v>
      </c>
      <c r="U1178" s="2" t="s">
        <v>39</v>
      </c>
      <c r="V1178" s="2" t="s">
        <v>39</v>
      </c>
      <c r="W1178" s="2" t="s">
        <v>38</v>
      </c>
      <c r="X1178" s="2" t="s">
        <v>39</v>
      </c>
      <c r="Y1178" s="2" t="s">
        <v>39</v>
      </c>
      <c r="Z1178" s="2" t="s">
        <v>38</v>
      </c>
      <c r="AA1178" s="2" t="s">
        <v>38</v>
      </c>
      <c r="AB1178" s="2" t="s">
        <v>39</v>
      </c>
      <c r="AC1178" s="2" t="s">
        <v>38</v>
      </c>
      <c r="AD1178" s="2" t="s">
        <v>38</v>
      </c>
      <c r="AE1178" s="2" t="s">
        <v>39</v>
      </c>
    </row>
    <row r="1179" spans="1:31" ht="409.5">
      <c r="A1179" s="2">
        <v>2744043</v>
      </c>
      <c r="B1179" s="2">
        <f>HYPERLINK("https://platform.v2.vetology.net/cases/2744043/screening-report/1?type=pdf&amp;v=v6&amp;scorecard=1&amp;secret_key=BX%25IJ%24%2F65ieZ%29f6", 2744043)</f>
        <v>2744043</v>
      </c>
      <c r="C1179" s="2">
        <f>HYPERLINK("https://platform.v2.vetology.net/report/v/final/"&amp;2744043, 2744043)</f>
        <v>2744043</v>
      </c>
      <c r="D1179" s="2" t="s">
        <v>3918</v>
      </c>
      <c r="E1179" s="2" t="s">
        <v>3919</v>
      </c>
      <c r="F1179" s="2" t="s">
        <v>3920</v>
      </c>
      <c r="G1179" s="2" t="s">
        <v>170</v>
      </c>
      <c r="H1179" s="2" t="s">
        <v>3921</v>
      </c>
      <c r="I1179" s="2" t="s">
        <v>129</v>
      </c>
      <c r="J1179" s="2" t="s">
        <v>74</v>
      </c>
      <c r="K1179" s="2" t="s">
        <v>39</v>
      </c>
      <c r="L1179" s="2" t="s">
        <v>38</v>
      </c>
      <c r="M1179" s="2" t="s">
        <v>38</v>
      </c>
      <c r="N1179" s="2" t="s">
        <v>38</v>
      </c>
      <c r="O1179" s="2" t="s">
        <v>38</v>
      </c>
      <c r="P1179" s="2" t="s">
        <v>38</v>
      </c>
      <c r="Q1179" s="2" t="s">
        <v>38</v>
      </c>
      <c r="R1179" s="2" t="s">
        <v>38</v>
      </c>
      <c r="S1179" s="2" t="s">
        <v>38</v>
      </c>
      <c r="T1179" s="2" t="s">
        <v>38</v>
      </c>
      <c r="U1179" s="2" t="s">
        <v>39</v>
      </c>
      <c r="V1179" s="2" t="s">
        <v>38</v>
      </c>
      <c r="W1179" s="2" t="s">
        <v>38</v>
      </c>
      <c r="X1179" s="2" t="s">
        <v>38</v>
      </c>
      <c r="Y1179" s="2" t="s">
        <v>39</v>
      </c>
      <c r="Z1179" s="2" t="s">
        <v>38</v>
      </c>
      <c r="AA1179" s="2" t="s">
        <v>38</v>
      </c>
      <c r="AB1179" s="2" t="s">
        <v>38</v>
      </c>
      <c r="AC1179" s="2" t="s">
        <v>38</v>
      </c>
      <c r="AD1179" s="2" t="s">
        <v>39</v>
      </c>
      <c r="AE1179" s="2" t="s">
        <v>39</v>
      </c>
    </row>
    <row r="1180" spans="1:31" ht="409.5">
      <c r="A1180" s="2">
        <v>2744041</v>
      </c>
      <c r="B1180" s="2">
        <f>HYPERLINK("https://platform.v2.vetology.net/cases/2744041/screening-report/1?type=pdf&amp;v=v6&amp;scorecard=1&amp;secret_key=BX%25IJ%24%2F65ieZ%29f6", 2744041)</f>
        <v>2744041</v>
      </c>
      <c r="C1180" s="2">
        <f>HYPERLINK("https://platform.v2.vetology.net/report/v/final/"&amp;2744041, 2744041)</f>
        <v>2744041</v>
      </c>
      <c r="D1180" s="2" t="s">
        <v>3922</v>
      </c>
      <c r="E1180" s="2" t="s">
        <v>3923</v>
      </c>
      <c r="F1180" s="2" t="s">
        <v>3924</v>
      </c>
      <c r="G1180" s="2" t="s">
        <v>111</v>
      </c>
      <c r="H1180" s="2" t="s">
        <v>3925</v>
      </c>
      <c r="I1180" s="2" t="s">
        <v>73</v>
      </c>
      <c r="J1180" s="2" t="s">
        <v>74</v>
      </c>
      <c r="K1180" s="2" t="s">
        <v>38</v>
      </c>
      <c r="L1180" s="2" t="s">
        <v>38</v>
      </c>
      <c r="M1180" s="2" t="s">
        <v>38</v>
      </c>
      <c r="N1180" s="2" t="s">
        <v>38</v>
      </c>
      <c r="O1180" s="2" t="s">
        <v>38</v>
      </c>
      <c r="P1180" s="2" t="s">
        <v>38</v>
      </c>
      <c r="Q1180" s="2" t="s">
        <v>38</v>
      </c>
      <c r="R1180" s="2" t="s">
        <v>38</v>
      </c>
      <c r="S1180" s="2" t="s">
        <v>38</v>
      </c>
      <c r="T1180" s="2" t="s">
        <v>38</v>
      </c>
      <c r="U1180" s="2" t="s">
        <v>38</v>
      </c>
      <c r="V1180" s="2" t="s">
        <v>38</v>
      </c>
      <c r="W1180" s="2" t="s">
        <v>38</v>
      </c>
      <c r="X1180" s="2" t="s">
        <v>38</v>
      </c>
      <c r="Y1180" s="2" t="s">
        <v>38</v>
      </c>
      <c r="Z1180" s="2" t="s">
        <v>38</v>
      </c>
      <c r="AA1180" s="2" t="s">
        <v>38</v>
      </c>
      <c r="AB1180" s="2" t="s">
        <v>38</v>
      </c>
      <c r="AC1180" s="2" t="s">
        <v>38</v>
      </c>
      <c r="AD1180" s="2" t="s">
        <v>38</v>
      </c>
      <c r="AE1180" s="2" t="s">
        <v>40</v>
      </c>
    </row>
    <row r="1181" spans="1:31" ht="409.5">
      <c r="A1181" s="2">
        <v>2743981</v>
      </c>
      <c r="B1181" s="2">
        <f>HYPERLINK("https://platform.v2.vetology.net/cases/2743981/screening-report/1?type=pdf&amp;v=v6&amp;scorecard=1&amp;secret_key=BX%25IJ%24%2F65ieZ%29f6", 2743981)</f>
        <v>2743981</v>
      </c>
      <c r="C1181" s="2">
        <f>HYPERLINK("https://platform.v2.vetology.net/report/v/final/"&amp;2743981, 2743981)</f>
        <v>2743981</v>
      </c>
      <c r="D1181" s="2" t="s">
        <v>3926</v>
      </c>
      <c r="E1181" s="2" t="s">
        <v>3927</v>
      </c>
      <c r="F1181" s="2" t="s">
        <v>43</v>
      </c>
      <c r="G1181" s="2" t="s">
        <v>44</v>
      </c>
      <c r="H1181" s="2" t="s">
        <v>3928</v>
      </c>
      <c r="I1181" s="2" t="s">
        <v>36</v>
      </c>
      <c r="J1181" s="2" t="s">
        <v>37</v>
      </c>
      <c r="K1181" s="2" t="s">
        <v>39</v>
      </c>
      <c r="L1181" s="2" t="s">
        <v>38</v>
      </c>
      <c r="M1181" s="2" t="s">
        <v>39</v>
      </c>
      <c r="N1181" s="2" t="s">
        <v>39</v>
      </c>
      <c r="O1181" s="2" t="s">
        <v>39</v>
      </c>
      <c r="P1181" s="2" t="s">
        <v>39</v>
      </c>
      <c r="Q1181" s="2" t="s">
        <v>39</v>
      </c>
      <c r="R1181" s="2" t="s">
        <v>38</v>
      </c>
      <c r="S1181" s="2" t="s">
        <v>38</v>
      </c>
      <c r="T1181" s="2" t="s">
        <v>39</v>
      </c>
      <c r="U1181" s="2" t="s">
        <v>39</v>
      </c>
      <c r="V1181" s="2" t="s">
        <v>39</v>
      </c>
      <c r="W1181" s="2" t="s">
        <v>39</v>
      </c>
      <c r="X1181" s="2" t="s">
        <v>39</v>
      </c>
      <c r="Y1181" s="2" t="s">
        <v>39</v>
      </c>
      <c r="Z1181" s="2" t="s">
        <v>38</v>
      </c>
      <c r="AA1181" s="2" t="s">
        <v>38</v>
      </c>
      <c r="AB1181" s="2" t="s">
        <v>39</v>
      </c>
      <c r="AC1181" s="2" t="s">
        <v>38</v>
      </c>
      <c r="AD1181" s="2" t="s">
        <v>39</v>
      </c>
      <c r="AE1181" s="2" t="s">
        <v>39</v>
      </c>
    </row>
    <row r="1182" spans="1:31" ht="409.5">
      <c r="A1182" s="2">
        <v>2743940</v>
      </c>
      <c r="B1182" s="2">
        <f>HYPERLINK("https://platform.v2.vetology.net/cases/2743940/screening-report/1?type=pdf&amp;v=v6&amp;scorecard=1&amp;secret_key=BX%25IJ%24%2F65ieZ%29f6", 2743940)</f>
        <v>2743940</v>
      </c>
      <c r="C1182" s="2">
        <f>HYPERLINK("https://platform.v2.vetology.net/report/v/final/"&amp;2743940, 2743940)</f>
        <v>2743940</v>
      </c>
      <c r="D1182" s="2" t="s">
        <v>3929</v>
      </c>
      <c r="E1182" s="2" t="s">
        <v>3930</v>
      </c>
      <c r="F1182" s="2" t="s">
        <v>3931</v>
      </c>
      <c r="G1182" s="2" t="s">
        <v>44</v>
      </c>
      <c r="H1182" s="2" t="s">
        <v>3932</v>
      </c>
      <c r="I1182" s="2" t="s">
        <v>36</v>
      </c>
      <c r="J1182" s="2" t="s">
        <v>37</v>
      </c>
      <c r="K1182" s="2" t="s">
        <v>38</v>
      </c>
      <c r="L1182" s="2" t="s">
        <v>38</v>
      </c>
      <c r="M1182" s="2" t="s">
        <v>38</v>
      </c>
      <c r="N1182" s="2" t="s">
        <v>38</v>
      </c>
      <c r="O1182" s="2" t="s">
        <v>38</v>
      </c>
      <c r="P1182" s="2" t="s">
        <v>39</v>
      </c>
      <c r="Q1182" s="2" t="s">
        <v>39</v>
      </c>
      <c r="R1182" s="2" t="s">
        <v>38</v>
      </c>
      <c r="S1182" s="2" t="s">
        <v>38</v>
      </c>
      <c r="T1182" s="2" t="s">
        <v>38</v>
      </c>
      <c r="U1182" s="2" t="s">
        <v>38</v>
      </c>
      <c r="V1182" s="2" t="s">
        <v>38</v>
      </c>
      <c r="W1182" s="2" t="s">
        <v>38</v>
      </c>
      <c r="X1182" s="2" t="s">
        <v>39</v>
      </c>
      <c r="Y1182" s="2" t="s">
        <v>38</v>
      </c>
      <c r="Z1182" s="2" t="s">
        <v>38</v>
      </c>
      <c r="AA1182" s="2" t="s">
        <v>38</v>
      </c>
      <c r="AB1182" s="2" t="s">
        <v>39</v>
      </c>
      <c r="AC1182" s="2" t="s">
        <v>38</v>
      </c>
      <c r="AD1182" s="2" t="s">
        <v>38</v>
      </c>
      <c r="AE1182" s="2" t="s">
        <v>39</v>
      </c>
    </row>
    <row r="1183" spans="1:31" ht="409.5">
      <c r="A1183" s="2">
        <v>2743882</v>
      </c>
      <c r="B1183" s="2">
        <f>HYPERLINK("https://platform.v2.vetology.net/cases/2743882/screening-report/1?type=pdf&amp;v=v6&amp;scorecard=1&amp;secret_key=BX%25IJ%24%2F65ieZ%29f6", 2743882)</f>
        <v>2743882</v>
      </c>
      <c r="C1183" s="2">
        <f>HYPERLINK("https://platform.v2.vetology.net/report/v/final/"&amp;2743882, 2743882)</f>
        <v>2743882</v>
      </c>
      <c r="D1183" s="2" t="s">
        <v>3933</v>
      </c>
      <c r="E1183" s="2" t="s">
        <v>3934</v>
      </c>
      <c r="F1183" s="2" t="s">
        <v>3935</v>
      </c>
      <c r="G1183" s="2" t="s">
        <v>170</v>
      </c>
      <c r="H1183" s="2" t="s">
        <v>3936</v>
      </c>
      <c r="I1183" s="2" t="s">
        <v>73</v>
      </c>
      <c r="J1183" s="2" t="s">
        <v>74</v>
      </c>
      <c r="K1183" s="2" t="s">
        <v>38</v>
      </c>
      <c r="L1183" s="2" t="s">
        <v>38</v>
      </c>
      <c r="M1183" s="2" t="s">
        <v>38</v>
      </c>
      <c r="N1183" s="2" t="s">
        <v>38</v>
      </c>
      <c r="O1183" s="2" t="s">
        <v>38</v>
      </c>
      <c r="P1183" s="2" t="s">
        <v>38</v>
      </c>
      <c r="Q1183" s="2" t="s">
        <v>38</v>
      </c>
      <c r="R1183" s="2" t="s">
        <v>38</v>
      </c>
      <c r="S1183" s="2" t="s">
        <v>38</v>
      </c>
      <c r="T1183" s="2" t="s">
        <v>38</v>
      </c>
      <c r="U1183" s="2" t="s">
        <v>38</v>
      </c>
      <c r="V1183" s="2" t="s">
        <v>38</v>
      </c>
      <c r="W1183" s="2" t="s">
        <v>38</v>
      </c>
      <c r="X1183" s="2" t="s">
        <v>38</v>
      </c>
      <c r="Y1183" s="2" t="s">
        <v>38</v>
      </c>
      <c r="Z1183" s="2" t="s">
        <v>38</v>
      </c>
      <c r="AA1183" s="2" t="s">
        <v>38</v>
      </c>
      <c r="AB1183" s="2" t="s">
        <v>38</v>
      </c>
      <c r="AC1183" s="2" t="s">
        <v>38</v>
      </c>
      <c r="AD1183" s="2" t="s">
        <v>38</v>
      </c>
      <c r="AE1183" s="2" t="s">
        <v>40</v>
      </c>
    </row>
    <row r="1184" spans="1:31" ht="409.5">
      <c r="A1184" s="2">
        <v>2743872</v>
      </c>
      <c r="B1184" s="2">
        <f>HYPERLINK("https://platform.v2.vetology.net/cases/2743872/screening-report/1?type=pdf&amp;v=v6&amp;scorecard=1&amp;secret_key=BX%25IJ%24%2F65ieZ%29f6", 2743872)</f>
        <v>2743872</v>
      </c>
      <c r="C1184" s="2">
        <f>HYPERLINK("https://platform.v2.vetology.net/report/v/final/"&amp;2743872, 2743872)</f>
        <v>2743872</v>
      </c>
      <c r="D1184" s="2" t="s">
        <v>3937</v>
      </c>
      <c r="E1184" s="2" t="s">
        <v>3938</v>
      </c>
      <c r="F1184" s="2" t="s">
        <v>3939</v>
      </c>
      <c r="G1184" s="2" t="s">
        <v>170</v>
      </c>
      <c r="H1184" s="2" t="s">
        <v>3349</v>
      </c>
      <c r="I1184" s="2" t="s">
        <v>129</v>
      </c>
      <c r="J1184" s="2" t="s">
        <v>74</v>
      </c>
      <c r="K1184" s="2" t="s">
        <v>39</v>
      </c>
      <c r="L1184" s="2" t="s">
        <v>38</v>
      </c>
      <c r="M1184" s="2" t="s">
        <v>38</v>
      </c>
      <c r="N1184" s="2" t="s">
        <v>38</v>
      </c>
      <c r="O1184" s="2" t="s">
        <v>38</v>
      </c>
      <c r="P1184" s="2" t="s">
        <v>38</v>
      </c>
      <c r="Q1184" s="2" t="s">
        <v>38</v>
      </c>
      <c r="R1184" s="2" t="s">
        <v>39</v>
      </c>
      <c r="S1184" s="2" t="s">
        <v>38</v>
      </c>
      <c r="T1184" s="2" t="s">
        <v>38</v>
      </c>
      <c r="U1184" s="2" t="s">
        <v>39</v>
      </c>
      <c r="V1184" s="2" t="s">
        <v>39</v>
      </c>
      <c r="W1184" s="2" t="s">
        <v>38</v>
      </c>
      <c r="X1184" s="2" t="s">
        <v>38</v>
      </c>
      <c r="Y1184" s="2" t="s">
        <v>39</v>
      </c>
      <c r="Z1184" s="2" t="s">
        <v>38</v>
      </c>
      <c r="AA1184" s="2" t="s">
        <v>38</v>
      </c>
      <c r="AB1184" s="2" t="s">
        <v>38</v>
      </c>
      <c r="AC1184" s="2" t="s">
        <v>38</v>
      </c>
      <c r="AD1184" s="2" t="s">
        <v>38</v>
      </c>
      <c r="AE1184" s="2" t="s">
        <v>39</v>
      </c>
    </row>
    <row r="1185" spans="1:31" ht="409.5">
      <c r="A1185" s="2">
        <v>2743870</v>
      </c>
      <c r="B1185" s="2">
        <f>HYPERLINK("https://platform.v2.vetology.net/cases/2743870/screening-report/1?type=pdf&amp;v=v6&amp;scorecard=1&amp;secret_key=BX%25IJ%24%2F65ieZ%29f6", 2743870)</f>
        <v>2743870</v>
      </c>
      <c r="C1185" s="2">
        <f>HYPERLINK("https://platform.v2.vetology.net/report/v/final/"&amp;2743870, 2743870)</f>
        <v>2743870</v>
      </c>
      <c r="D1185" s="2" t="s">
        <v>3940</v>
      </c>
      <c r="E1185" s="2" t="s">
        <v>3941</v>
      </c>
      <c r="F1185" s="2" t="s">
        <v>3942</v>
      </c>
      <c r="G1185" s="2" t="s">
        <v>53</v>
      </c>
      <c r="H1185" s="2" t="s">
        <v>3943</v>
      </c>
      <c r="I1185" s="2" t="s">
        <v>129</v>
      </c>
      <c r="J1185" s="2" t="s">
        <v>74</v>
      </c>
      <c r="K1185" s="2" t="s">
        <v>39</v>
      </c>
      <c r="L1185" s="2" t="s">
        <v>38</v>
      </c>
      <c r="M1185" s="2" t="s">
        <v>38</v>
      </c>
      <c r="N1185" s="2" t="s">
        <v>38</v>
      </c>
      <c r="O1185" s="2" t="s">
        <v>38</v>
      </c>
      <c r="P1185" s="2" t="s">
        <v>39</v>
      </c>
      <c r="Q1185" s="2" t="s">
        <v>38</v>
      </c>
      <c r="R1185" s="2" t="s">
        <v>39</v>
      </c>
      <c r="S1185" s="2" t="s">
        <v>39</v>
      </c>
      <c r="T1185" s="2" t="s">
        <v>38</v>
      </c>
      <c r="U1185" s="2" t="s">
        <v>39</v>
      </c>
      <c r="V1185" s="2" t="s">
        <v>38</v>
      </c>
      <c r="W1185" s="2" t="s">
        <v>38</v>
      </c>
      <c r="X1185" s="2" t="s">
        <v>38</v>
      </c>
      <c r="Y1185" s="2" t="s">
        <v>39</v>
      </c>
      <c r="Z1185" s="2" t="s">
        <v>38</v>
      </c>
      <c r="AA1185" s="2" t="s">
        <v>39</v>
      </c>
      <c r="AB1185" s="2" t="s">
        <v>39</v>
      </c>
      <c r="AC1185" s="2" t="s">
        <v>38</v>
      </c>
      <c r="AD1185" s="2" t="s">
        <v>38</v>
      </c>
      <c r="AE1185" s="2" t="s">
        <v>39</v>
      </c>
    </row>
    <row r="1186" spans="1:31" ht="409.5">
      <c r="A1186" s="2">
        <v>2743847</v>
      </c>
      <c r="B1186" s="2">
        <f>HYPERLINK("https://platform.v2.vetology.net/cases/2743847/screening-report/1?type=pdf&amp;v=v6&amp;scorecard=1&amp;secret_key=BX%25IJ%24%2F65ieZ%29f6", 2743847)</f>
        <v>2743847</v>
      </c>
      <c r="C1186" s="2">
        <f>HYPERLINK("https://platform.v2.vetology.net/report/v/final/"&amp;2743847, 2743847)</f>
        <v>2743847</v>
      </c>
      <c r="D1186" s="2" t="s">
        <v>3944</v>
      </c>
      <c r="E1186" s="2" t="s">
        <v>3945</v>
      </c>
      <c r="F1186" s="2" t="s">
        <v>3946</v>
      </c>
      <c r="G1186" s="2" t="s">
        <v>170</v>
      </c>
      <c r="H1186" s="2" t="s">
        <v>3947</v>
      </c>
      <c r="I1186" s="2" t="s">
        <v>36</v>
      </c>
      <c r="J1186" s="2" t="s">
        <v>37</v>
      </c>
      <c r="K1186" s="2" t="s">
        <v>38</v>
      </c>
      <c r="L1186" s="2" t="s">
        <v>38</v>
      </c>
      <c r="M1186" s="2" t="s">
        <v>38</v>
      </c>
      <c r="N1186" s="2" t="s">
        <v>39</v>
      </c>
      <c r="O1186" s="2" t="s">
        <v>39</v>
      </c>
      <c r="P1186" s="2" t="s">
        <v>38</v>
      </c>
      <c r="Q1186" s="2" t="s">
        <v>39</v>
      </c>
      <c r="R1186" s="2" t="s">
        <v>38</v>
      </c>
      <c r="S1186" s="2" t="s">
        <v>38</v>
      </c>
      <c r="T1186" s="2" t="s">
        <v>38</v>
      </c>
      <c r="U1186" s="2" t="s">
        <v>38</v>
      </c>
      <c r="V1186" s="2" t="s">
        <v>38</v>
      </c>
      <c r="W1186" s="2" t="s">
        <v>38</v>
      </c>
      <c r="X1186" s="2" t="s">
        <v>39</v>
      </c>
      <c r="Y1186" s="2" t="s">
        <v>38</v>
      </c>
      <c r="Z1186" s="2" t="s">
        <v>38</v>
      </c>
      <c r="AA1186" s="2" t="s">
        <v>38</v>
      </c>
      <c r="AB1186" s="2" t="s">
        <v>39</v>
      </c>
      <c r="AC1186" s="2" t="s">
        <v>38</v>
      </c>
      <c r="AD1186" s="2" t="s">
        <v>38</v>
      </c>
      <c r="AE1186" s="2" t="s">
        <v>40</v>
      </c>
    </row>
    <row r="1187" spans="1:31" ht="409.5">
      <c r="A1187" s="2">
        <v>2743835</v>
      </c>
      <c r="B1187" s="2">
        <f>HYPERLINK("https://platform.v2.vetology.net/cases/2743835/screening-report/1?type=pdf&amp;v=v6&amp;scorecard=1&amp;secret_key=BX%25IJ%24%2F65ieZ%29f6", 2743835)</f>
        <v>2743835</v>
      </c>
      <c r="C1187" s="2">
        <f>HYPERLINK("https://platform.v2.vetology.net/report/v/final/"&amp;2743835, 2743835)</f>
        <v>2743835</v>
      </c>
      <c r="D1187" s="2" t="s">
        <v>3948</v>
      </c>
      <c r="E1187" s="2" t="s">
        <v>3949</v>
      </c>
      <c r="F1187" s="2" t="s">
        <v>3950</v>
      </c>
      <c r="G1187" s="2" t="s">
        <v>170</v>
      </c>
      <c r="H1187" s="2" t="s">
        <v>3951</v>
      </c>
      <c r="I1187" s="2" t="s">
        <v>36</v>
      </c>
      <c r="J1187" s="2" t="s">
        <v>37</v>
      </c>
      <c r="K1187" s="2" t="s">
        <v>38</v>
      </c>
      <c r="L1187" s="2" t="s">
        <v>39</v>
      </c>
      <c r="M1187" s="2" t="s">
        <v>38</v>
      </c>
      <c r="N1187" s="2" t="s">
        <v>38</v>
      </c>
      <c r="O1187" s="2" t="s">
        <v>39</v>
      </c>
      <c r="P1187" s="2" t="s">
        <v>39</v>
      </c>
      <c r="Q1187" s="2" t="s">
        <v>39</v>
      </c>
      <c r="R1187" s="2" t="s">
        <v>39</v>
      </c>
      <c r="S1187" s="2" t="s">
        <v>39</v>
      </c>
      <c r="T1187" s="2" t="s">
        <v>39</v>
      </c>
      <c r="U1187" s="2" t="s">
        <v>38</v>
      </c>
      <c r="V1187" s="2" t="s">
        <v>38</v>
      </c>
      <c r="W1187" s="2" t="s">
        <v>38</v>
      </c>
      <c r="X1187" s="2" t="s">
        <v>39</v>
      </c>
      <c r="Y1187" s="2" t="s">
        <v>39</v>
      </c>
      <c r="Z1187" s="2" t="s">
        <v>38</v>
      </c>
      <c r="AA1187" s="2" t="s">
        <v>38</v>
      </c>
      <c r="AB1187" s="2" t="s">
        <v>39</v>
      </c>
      <c r="AC1187" s="2" t="s">
        <v>38</v>
      </c>
      <c r="AD1187" s="2" t="s">
        <v>39</v>
      </c>
      <c r="AE1187" s="2" t="s">
        <v>39</v>
      </c>
    </row>
    <row r="1188" spans="1:31" ht="409.5">
      <c r="A1188" s="2">
        <v>2743814</v>
      </c>
      <c r="B1188" s="2">
        <f>HYPERLINK("https://platform.v2.vetology.net/cases/2743814/screening-report/1?type=pdf&amp;v=v6&amp;scorecard=1&amp;secret_key=BX%25IJ%24%2F65ieZ%29f6", 2743814)</f>
        <v>2743814</v>
      </c>
      <c r="C1188" s="2">
        <f>HYPERLINK("https://platform.v2.vetology.net/report/v/final/"&amp;2743814, 2743814)</f>
        <v>2743814</v>
      </c>
      <c r="D1188" s="2" t="s">
        <v>3952</v>
      </c>
      <c r="E1188" s="2" t="s">
        <v>3953</v>
      </c>
      <c r="F1188" s="2" t="s">
        <v>3954</v>
      </c>
      <c r="G1188" s="2" t="s">
        <v>53</v>
      </c>
      <c r="H1188" s="2" t="s">
        <v>3955</v>
      </c>
      <c r="I1188" s="2" t="s">
        <v>36</v>
      </c>
      <c r="J1188" s="2" t="s">
        <v>37</v>
      </c>
      <c r="K1188" s="2" t="s">
        <v>39</v>
      </c>
      <c r="L1188" s="2" t="s">
        <v>39</v>
      </c>
      <c r="M1188" s="2" t="s">
        <v>38</v>
      </c>
      <c r="N1188" s="2" t="s">
        <v>39</v>
      </c>
      <c r="O1188" s="2" t="s">
        <v>39</v>
      </c>
      <c r="P1188" s="2" t="s">
        <v>38</v>
      </c>
      <c r="Q1188" s="2" t="s">
        <v>39</v>
      </c>
      <c r="R1188" s="2" t="s">
        <v>39</v>
      </c>
      <c r="S1188" s="2" t="s">
        <v>39</v>
      </c>
      <c r="T1188" s="2" t="s">
        <v>38</v>
      </c>
      <c r="U1188" s="2" t="s">
        <v>39</v>
      </c>
      <c r="V1188" s="2" t="s">
        <v>39</v>
      </c>
      <c r="W1188" s="2" t="s">
        <v>38</v>
      </c>
      <c r="X1188" s="2" t="s">
        <v>39</v>
      </c>
      <c r="Y1188" s="2" t="s">
        <v>39</v>
      </c>
      <c r="Z1188" s="2" t="s">
        <v>38</v>
      </c>
      <c r="AA1188" s="2" t="s">
        <v>38</v>
      </c>
      <c r="AB1188" s="2" t="s">
        <v>39</v>
      </c>
      <c r="AC1188" s="2" t="s">
        <v>38</v>
      </c>
      <c r="AD1188" s="2" t="s">
        <v>39</v>
      </c>
      <c r="AE1188" s="2" t="s">
        <v>39</v>
      </c>
    </row>
    <row r="1189" spans="1:31" ht="409.5">
      <c r="A1189" s="2">
        <v>2743797</v>
      </c>
      <c r="B1189" s="2">
        <f>HYPERLINK("https://platform.v2.vetology.net/cases/2743797/screening-report/1?type=pdf&amp;v=v6&amp;scorecard=1&amp;secret_key=BX%25IJ%24%2F65ieZ%29f6", 2743797)</f>
        <v>2743797</v>
      </c>
      <c r="C1189" s="2">
        <f>HYPERLINK("https://platform.v2.vetology.net/report/v/final/"&amp;2743797, 2743797)</f>
        <v>2743797</v>
      </c>
      <c r="D1189" s="2" t="s">
        <v>3956</v>
      </c>
      <c r="E1189" s="2" t="s">
        <v>3957</v>
      </c>
      <c r="F1189" s="2" t="s">
        <v>3958</v>
      </c>
      <c r="G1189" s="2" t="s">
        <v>170</v>
      </c>
      <c r="H1189" s="2" t="s">
        <v>69</v>
      </c>
      <c r="I1189" s="2" t="s">
        <v>46</v>
      </c>
      <c r="J1189" s="2"/>
      <c r="K1189" s="2" t="s">
        <v>39</v>
      </c>
      <c r="L1189" s="2" t="s">
        <v>39</v>
      </c>
      <c r="M1189" s="2" t="s">
        <v>39</v>
      </c>
      <c r="N1189" s="2" t="s">
        <v>39</v>
      </c>
      <c r="O1189" s="2" t="s">
        <v>39</v>
      </c>
      <c r="P1189" s="2" t="s">
        <v>39</v>
      </c>
      <c r="Q1189" s="2" t="s">
        <v>39</v>
      </c>
      <c r="R1189" s="2" t="s">
        <v>39</v>
      </c>
      <c r="S1189" s="2" t="s">
        <v>39</v>
      </c>
      <c r="T1189" s="2" t="s">
        <v>39</v>
      </c>
      <c r="U1189" s="2" t="s">
        <v>39</v>
      </c>
      <c r="V1189" s="2" t="s">
        <v>39</v>
      </c>
      <c r="W1189" s="2" t="s">
        <v>38</v>
      </c>
      <c r="X1189" s="2" t="s">
        <v>39</v>
      </c>
      <c r="Y1189" s="2" t="s">
        <v>39</v>
      </c>
      <c r="Z1189" s="2" t="s">
        <v>39</v>
      </c>
      <c r="AA1189" s="2" t="s">
        <v>39</v>
      </c>
      <c r="AB1189" s="2" t="s">
        <v>39</v>
      </c>
      <c r="AC1189" s="2" t="s">
        <v>39</v>
      </c>
      <c r="AD1189" s="2" t="s">
        <v>39</v>
      </c>
      <c r="AE1189" s="2" t="s">
        <v>39</v>
      </c>
    </row>
    <row r="1190" spans="1:31" ht="409.5">
      <c r="A1190" s="2">
        <v>2743795</v>
      </c>
      <c r="B1190" s="2">
        <f>HYPERLINK("https://platform.v2.vetology.net/cases/2743795/screening-report/1?type=pdf&amp;v=v6&amp;scorecard=1&amp;secret_key=BX%25IJ%24%2F65ieZ%29f6", 2743795)</f>
        <v>2743795</v>
      </c>
      <c r="C1190" s="2">
        <f>HYPERLINK("https://platform.v2.vetology.net/report/v/final/"&amp;2743795, 2743795)</f>
        <v>2743795</v>
      </c>
      <c r="D1190" s="2" t="s">
        <v>3959</v>
      </c>
      <c r="E1190" s="2" t="s">
        <v>3960</v>
      </c>
      <c r="F1190" s="2" t="s">
        <v>3961</v>
      </c>
      <c r="G1190" s="2" t="s">
        <v>53</v>
      </c>
      <c r="H1190" s="2" t="s">
        <v>1267</v>
      </c>
      <c r="I1190" s="2" t="s">
        <v>36</v>
      </c>
      <c r="J1190" s="2" t="s">
        <v>37</v>
      </c>
      <c r="K1190" s="2" t="s">
        <v>39</v>
      </c>
      <c r="L1190" s="2" t="s">
        <v>38</v>
      </c>
      <c r="M1190" s="2" t="s">
        <v>39</v>
      </c>
      <c r="N1190" s="2" t="s">
        <v>39</v>
      </c>
      <c r="O1190" s="2" t="s">
        <v>39</v>
      </c>
      <c r="P1190" s="2" t="s">
        <v>39</v>
      </c>
      <c r="Q1190" s="2" t="s">
        <v>39</v>
      </c>
      <c r="R1190" s="2" t="s">
        <v>39</v>
      </c>
      <c r="S1190" s="2" t="s">
        <v>39</v>
      </c>
      <c r="T1190" s="2" t="s">
        <v>39</v>
      </c>
      <c r="U1190" s="2" t="s">
        <v>39</v>
      </c>
      <c r="V1190" s="2" t="s">
        <v>39</v>
      </c>
      <c r="W1190" s="2" t="s">
        <v>39</v>
      </c>
      <c r="X1190" s="2" t="s">
        <v>39</v>
      </c>
      <c r="Y1190" s="2" t="s">
        <v>39</v>
      </c>
      <c r="Z1190" s="2" t="s">
        <v>39</v>
      </c>
      <c r="AA1190" s="2" t="s">
        <v>39</v>
      </c>
      <c r="AB1190" s="2" t="s">
        <v>39</v>
      </c>
      <c r="AC1190" s="2" t="s">
        <v>39</v>
      </c>
      <c r="AD1190" s="2" t="s">
        <v>39</v>
      </c>
      <c r="AE1190" s="2"/>
    </row>
    <row r="1191" spans="1:31" ht="409.5">
      <c r="A1191" s="2">
        <v>2743740</v>
      </c>
      <c r="B1191" s="2">
        <f>HYPERLINK("https://platform.v2.vetology.net/cases/2743740/screening-report/1?type=pdf&amp;v=v6&amp;scorecard=1&amp;secret_key=BX%25IJ%24%2F65ieZ%29f6", 2743740)</f>
        <v>2743740</v>
      </c>
      <c r="C1191" s="2">
        <f>HYPERLINK("https://platform.v2.vetology.net/report/v/final/"&amp;2743740, 2743740)</f>
        <v>2743740</v>
      </c>
      <c r="D1191" s="2" t="s">
        <v>3962</v>
      </c>
      <c r="E1191" s="2" t="s">
        <v>3963</v>
      </c>
      <c r="F1191" s="2" t="s">
        <v>3964</v>
      </c>
      <c r="G1191" s="2" t="s">
        <v>44</v>
      </c>
      <c r="H1191" s="2" t="s">
        <v>45</v>
      </c>
      <c r="I1191" s="2" t="s">
        <v>46</v>
      </c>
      <c r="J1191" s="2"/>
      <c r="K1191" s="2" t="s">
        <v>39</v>
      </c>
      <c r="L1191" s="2" t="s">
        <v>39</v>
      </c>
      <c r="M1191" s="2" t="s">
        <v>39</v>
      </c>
      <c r="N1191" s="2" t="s">
        <v>39</v>
      </c>
      <c r="O1191" s="2" t="s">
        <v>39</v>
      </c>
      <c r="P1191" s="2" t="s">
        <v>39</v>
      </c>
      <c r="Q1191" s="2" t="s">
        <v>39</v>
      </c>
      <c r="R1191" s="2" t="s">
        <v>38</v>
      </c>
      <c r="S1191" s="2" t="s">
        <v>39</v>
      </c>
      <c r="T1191" s="2" t="s">
        <v>39</v>
      </c>
      <c r="U1191" s="2" t="s">
        <v>39</v>
      </c>
      <c r="V1191" s="2" t="s">
        <v>38</v>
      </c>
      <c r="W1191" s="2" t="s">
        <v>38</v>
      </c>
      <c r="X1191" s="2" t="s">
        <v>39</v>
      </c>
      <c r="Y1191" s="2" t="s">
        <v>39</v>
      </c>
      <c r="Z1191" s="2" t="s">
        <v>39</v>
      </c>
      <c r="AA1191" s="2" t="s">
        <v>38</v>
      </c>
      <c r="AB1191" s="2" t="s">
        <v>39</v>
      </c>
      <c r="AC1191" s="2" t="s">
        <v>38</v>
      </c>
      <c r="AD1191" s="2" t="s">
        <v>39</v>
      </c>
      <c r="AE1191" s="2" t="s">
        <v>40</v>
      </c>
    </row>
    <row r="1192" spans="1:31" ht="409.5">
      <c r="A1192" s="2">
        <v>2743737</v>
      </c>
      <c r="B1192" s="2">
        <f>HYPERLINK("https://platform.v2.vetology.net/cases/2743737/screening-report/1?type=pdf&amp;v=v6&amp;scorecard=1&amp;secret_key=BX%25IJ%24%2F65ieZ%29f6", 2743737)</f>
        <v>2743737</v>
      </c>
      <c r="C1192" s="2">
        <f>HYPERLINK("https://platform.v2.vetology.net/report/v/final/"&amp;2743737, 2743737)</f>
        <v>2743737</v>
      </c>
      <c r="D1192" s="2" t="s">
        <v>3965</v>
      </c>
      <c r="E1192" s="2" t="s">
        <v>3966</v>
      </c>
      <c r="F1192" s="2"/>
      <c r="G1192" s="2" t="s">
        <v>100</v>
      </c>
      <c r="H1192" s="2" t="s">
        <v>1222</v>
      </c>
      <c r="I1192" s="2" t="s">
        <v>36</v>
      </c>
      <c r="J1192" s="2" t="s">
        <v>37</v>
      </c>
      <c r="K1192" s="2" t="s">
        <v>38</v>
      </c>
      <c r="L1192" s="2" t="s">
        <v>38</v>
      </c>
      <c r="M1192" s="2" t="s">
        <v>39</v>
      </c>
      <c r="N1192" s="2" t="s">
        <v>39</v>
      </c>
      <c r="O1192" s="2" t="s">
        <v>38</v>
      </c>
      <c r="P1192" s="2" t="s">
        <v>39</v>
      </c>
      <c r="Q1192" s="2" t="s">
        <v>39</v>
      </c>
      <c r="R1192" s="2" t="s">
        <v>39</v>
      </c>
      <c r="S1192" s="2" t="s">
        <v>39</v>
      </c>
      <c r="T1192" s="2" t="s">
        <v>38</v>
      </c>
      <c r="U1192" s="2" t="s">
        <v>39</v>
      </c>
      <c r="V1192" s="2" t="s">
        <v>39</v>
      </c>
      <c r="W1192" s="2" t="s">
        <v>39</v>
      </c>
      <c r="X1192" s="2" t="s">
        <v>39</v>
      </c>
      <c r="Y1192" s="2" t="s">
        <v>39</v>
      </c>
      <c r="Z1192" s="2" t="s">
        <v>38</v>
      </c>
      <c r="AA1192" s="2" t="s">
        <v>39</v>
      </c>
      <c r="AB1192" s="2" t="s">
        <v>39</v>
      </c>
      <c r="AC1192" s="2" t="s">
        <v>39</v>
      </c>
      <c r="AD1192" s="2" t="s">
        <v>39</v>
      </c>
      <c r="AE1192" s="2" t="s">
        <v>39</v>
      </c>
    </row>
    <row r="1193" spans="1:31" ht="409.5">
      <c r="A1193" s="2">
        <v>2743736</v>
      </c>
      <c r="B1193" s="2">
        <f>HYPERLINK("https://platform.v2.vetology.net/cases/2743736/screening-report/1?type=pdf&amp;v=v6&amp;scorecard=1&amp;secret_key=BX%25IJ%24%2F65ieZ%29f6", 2743736)</f>
        <v>2743736</v>
      </c>
      <c r="C1193" s="2">
        <f>HYPERLINK("https://platform.v2.vetology.net/report/v/final/"&amp;2743736, 2743736)</f>
        <v>2743736</v>
      </c>
      <c r="D1193" s="2" t="s">
        <v>3967</v>
      </c>
      <c r="E1193" s="2" t="s">
        <v>3968</v>
      </c>
      <c r="F1193" s="2" t="s">
        <v>2226</v>
      </c>
      <c r="G1193" s="2" t="s">
        <v>100</v>
      </c>
      <c r="H1193" s="2" t="s">
        <v>3969</v>
      </c>
      <c r="I1193" s="2" t="s">
        <v>36</v>
      </c>
      <c r="J1193" s="2" t="s">
        <v>37</v>
      </c>
      <c r="K1193" s="2" t="s">
        <v>39</v>
      </c>
      <c r="L1193" s="2" t="s">
        <v>39</v>
      </c>
      <c r="M1193" s="2" t="s">
        <v>38</v>
      </c>
      <c r="N1193" s="2" t="s">
        <v>38</v>
      </c>
      <c r="O1193" s="2" t="s">
        <v>39</v>
      </c>
      <c r="P1193" s="2" t="s">
        <v>38</v>
      </c>
      <c r="Q1193" s="2" t="s">
        <v>39</v>
      </c>
      <c r="R1193" s="2" t="s">
        <v>39</v>
      </c>
      <c r="S1193" s="2" t="s">
        <v>38</v>
      </c>
      <c r="T1193" s="2" t="s">
        <v>39</v>
      </c>
      <c r="U1193" s="2" t="s">
        <v>39</v>
      </c>
      <c r="V1193" s="2" t="s">
        <v>39</v>
      </c>
      <c r="W1193" s="2" t="s">
        <v>39</v>
      </c>
      <c r="X1193" s="2" t="s">
        <v>39</v>
      </c>
      <c r="Y1193" s="2" t="s">
        <v>39</v>
      </c>
      <c r="Z1193" s="2" t="s">
        <v>39</v>
      </c>
      <c r="AA1193" s="2" t="s">
        <v>39</v>
      </c>
      <c r="AB1193" s="2" t="s">
        <v>39</v>
      </c>
      <c r="AC1193" s="2" t="s">
        <v>39</v>
      </c>
      <c r="AD1193" s="2" t="s">
        <v>39</v>
      </c>
      <c r="AE1193" s="2"/>
    </row>
    <row r="1194" spans="1:31" ht="409.5">
      <c r="A1194" s="2">
        <v>2743733</v>
      </c>
      <c r="B1194" s="2">
        <f>HYPERLINK("https://platform.v2.vetology.net/cases/2743733/screening-report/1?type=pdf&amp;v=v6&amp;scorecard=1&amp;secret_key=BX%25IJ%24%2F65ieZ%29f6", 2743733)</f>
        <v>2743733</v>
      </c>
      <c r="C1194" s="2">
        <f>HYPERLINK("https://platform.v2.vetology.net/report/v/final/"&amp;2743733, 2743733)</f>
        <v>2743733</v>
      </c>
      <c r="D1194" s="2" t="s">
        <v>3970</v>
      </c>
      <c r="E1194" s="2" t="s">
        <v>3971</v>
      </c>
      <c r="F1194" s="2" t="s">
        <v>2226</v>
      </c>
      <c r="G1194" s="2" t="s">
        <v>100</v>
      </c>
      <c r="H1194" s="2" t="s">
        <v>3972</v>
      </c>
      <c r="I1194" s="2" t="s">
        <v>36</v>
      </c>
      <c r="J1194" s="2" t="s">
        <v>37</v>
      </c>
      <c r="K1194" s="2" t="s">
        <v>39</v>
      </c>
      <c r="L1194" s="2" t="s">
        <v>38</v>
      </c>
      <c r="M1194" s="2" t="s">
        <v>39</v>
      </c>
      <c r="N1194" s="2" t="s">
        <v>39</v>
      </c>
      <c r="O1194" s="2" t="s">
        <v>39</v>
      </c>
      <c r="P1194" s="2" t="s">
        <v>39</v>
      </c>
      <c r="Q1194" s="2" t="s">
        <v>39</v>
      </c>
      <c r="R1194" s="2" t="s">
        <v>38</v>
      </c>
      <c r="S1194" s="2" t="s">
        <v>38</v>
      </c>
      <c r="T1194" s="2" t="s">
        <v>39</v>
      </c>
      <c r="U1194" s="2" t="s">
        <v>39</v>
      </c>
      <c r="V1194" s="2" t="s">
        <v>39</v>
      </c>
      <c r="W1194" s="2" t="s">
        <v>38</v>
      </c>
      <c r="X1194" s="2" t="s">
        <v>39</v>
      </c>
      <c r="Y1194" s="2" t="s">
        <v>39</v>
      </c>
      <c r="Z1194" s="2" t="s">
        <v>38</v>
      </c>
      <c r="AA1194" s="2" t="s">
        <v>39</v>
      </c>
      <c r="AB1194" s="2" t="s">
        <v>39</v>
      </c>
      <c r="AC1194" s="2" t="s">
        <v>39</v>
      </c>
      <c r="AD1194" s="2" t="s">
        <v>39</v>
      </c>
      <c r="AE1194" s="2"/>
    </row>
    <row r="1195" spans="1:31" ht="409.5">
      <c r="A1195" s="2">
        <v>2743704</v>
      </c>
      <c r="B1195" s="2">
        <f>HYPERLINK("https://platform.v2.vetology.net/cases/2743704/screening-report/1?type=pdf&amp;v=v6&amp;scorecard=1&amp;secret_key=BX%25IJ%24%2F65ieZ%29f6", 2743704)</f>
        <v>2743704</v>
      </c>
      <c r="C1195" s="2">
        <f>HYPERLINK("https://platform.v2.vetology.net/report/v/final/"&amp;2743704, 2743704)</f>
        <v>2743704</v>
      </c>
      <c r="D1195" s="2" t="s">
        <v>3973</v>
      </c>
      <c r="E1195" s="2" t="s">
        <v>3974</v>
      </c>
      <c r="F1195" s="2" t="s">
        <v>43</v>
      </c>
      <c r="G1195" s="2" t="s">
        <v>44</v>
      </c>
      <c r="H1195" s="2" t="s">
        <v>3975</v>
      </c>
      <c r="I1195" s="2" t="s">
        <v>36</v>
      </c>
      <c r="J1195" s="2" t="s">
        <v>37</v>
      </c>
      <c r="K1195" s="2" t="s">
        <v>39</v>
      </c>
      <c r="L1195" s="2" t="s">
        <v>38</v>
      </c>
      <c r="M1195" s="2" t="s">
        <v>38</v>
      </c>
      <c r="N1195" s="2" t="s">
        <v>38</v>
      </c>
      <c r="O1195" s="2" t="s">
        <v>38</v>
      </c>
      <c r="P1195" s="2" t="s">
        <v>38</v>
      </c>
      <c r="Q1195" s="2" t="s">
        <v>39</v>
      </c>
      <c r="R1195" s="2" t="s">
        <v>38</v>
      </c>
      <c r="S1195" s="2" t="s">
        <v>38</v>
      </c>
      <c r="T1195" s="2" t="s">
        <v>39</v>
      </c>
      <c r="U1195" s="2" t="s">
        <v>38</v>
      </c>
      <c r="V1195" s="2" t="s">
        <v>38</v>
      </c>
      <c r="W1195" s="2" t="s">
        <v>38</v>
      </c>
      <c r="X1195" s="2" t="s">
        <v>39</v>
      </c>
      <c r="Y1195" s="2" t="s">
        <v>39</v>
      </c>
      <c r="Z1195" s="2" t="s">
        <v>38</v>
      </c>
      <c r="AA1195" s="2" t="s">
        <v>38</v>
      </c>
      <c r="AB1195" s="2" t="s">
        <v>39</v>
      </c>
      <c r="AC1195" s="2" t="s">
        <v>38</v>
      </c>
      <c r="AD1195" s="2" t="s">
        <v>38</v>
      </c>
      <c r="AE1195" s="2"/>
    </row>
    <row r="1196" spans="1:31" ht="409.5">
      <c r="A1196" s="2">
        <v>2743700</v>
      </c>
      <c r="B1196" s="2">
        <f>HYPERLINK("https://platform.v2.vetology.net/cases/2743700/screening-report/1?type=pdf&amp;v=v6&amp;scorecard=1&amp;secret_key=BX%25IJ%24%2F65ieZ%29f6", 2743700)</f>
        <v>2743700</v>
      </c>
      <c r="C1196" s="2">
        <f>HYPERLINK("https://platform.v2.vetology.net/report/v/final/"&amp;2743700, 2743700)</f>
        <v>2743700</v>
      </c>
      <c r="D1196" s="2" t="s">
        <v>3976</v>
      </c>
      <c r="E1196" s="2" t="s">
        <v>3977</v>
      </c>
      <c r="F1196" s="2" t="s">
        <v>3978</v>
      </c>
      <c r="G1196" s="2" t="s">
        <v>170</v>
      </c>
      <c r="H1196" s="2" t="s">
        <v>3979</v>
      </c>
      <c r="I1196" s="2" t="s">
        <v>36</v>
      </c>
      <c r="J1196" s="2" t="s">
        <v>37</v>
      </c>
      <c r="K1196" s="2" t="s">
        <v>38</v>
      </c>
      <c r="L1196" s="2" t="s">
        <v>38</v>
      </c>
      <c r="M1196" s="2" t="s">
        <v>38</v>
      </c>
      <c r="N1196" s="2" t="s">
        <v>38</v>
      </c>
      <c r="O1196" s="2" t="s">
        <v>38</v>
      </c>
      <c r="P1196" s="2" t="s">
        <v>39</v>
      </c>
      <c r="Q1196" s="2" t="s">
        <v>38</v>
      </c>
      <c r="R1196" s="2" t="s">
        <v>38</v>
      </c>
      <c r="S1196" s="2" t="s">
        <v>38</v>
      </c>
      <c r="T1196" s="2" t="s">
        <v>38</v>
      </c>
      <c r="U1196" s="2" t="s">
        <v>38</v>
      </c>
      <c r="V1196" s="2" t="s">
        <v>38</v>
      </c>
      <c r="W1196" s="2" t="s">
        <v>38</v>
      </c>
      <c r="X1196" s="2" t="s">
        <v>39</v>
      </c>
      <c r="Y1196" s="2" t="s">
        <v>39</v>
      </c>
      <c r="Z1196" s="2" t="s">
        <v>38</v>
      </c>
      <c r="AA1196" s="2" t="s">
        <v>38</v>
      </c>
      <c r="AB1196" s="2" t="s">
        <v>39</v>
      </c>
      <c r="AC1196" s="2" t="s">
        <v>38</v>
      </c>
      <c r="AD1196" s="2" t="s">
        <v>38</v>
      </c>
      <c r="AE1196" s="2" t="s">
        <v>39</v>
      </c>
    </row>
    <row r="1197" spans="1:31" ht="409.5">
      <c r="A1197" s="2">
        <v>2743697</v>
      </c>
      <c r="B1197" s="2">
        <f>HYPERLINK("https://platform.v2.vetology.net/cases/2743697/screening-report/1?type=pdf&amp;v=v6&amp;scorecard=1&amp;secret_key=BX%25IJ%24%2F65ieZ%29f6", 2743697)</f>
        <v>2743697</v>
      </c>
      <c r="C1197" s="2">
        <f>HYPERLINK("https://platform.v2.vetology.net/report/v/final/"&amp;2743697, 2743697)</f>
        <v>2743697</v>
      </c>
      <c r="D1197" s="2" t="s">
        <v>3980</v>
      </c>
      <c r="E1197" s="2" t="s">
        <v>3981</v>
      </c>
      <c r="F1197" s="2" t="s">
        <v>3982</v>
      </c>
      <c r="G1197" s="2" t="s">
        <v>53</v>
      </c>
      <c r="H1197" s="2" t="s">
        <v>69</v>
      </c>
      <c r="I1197" s="2" t="s">
        <v>46</v>
      </c>
      <c r="J1197" s="2"/>
      <c r="K1197" s="2" t="s">
        <v>39</v>
      </c>
      <c r="L1197" s="2" t="s">
        <v>39</v>
      </c>
      <c r="M1197" s="2" t="s">
        <v>39</v>
      </c>
      <c r="N1197" s="2" t="s">
        <v>39</v>
      </c>
      <c r="O1197" s="2" t="s">
        <v>39</v>
      </c>
      <c r="P1197" s="2" t="s">
        <v>39</v>
      </c>
      <c r="Q1197" s="2" t="s">
        <v>39</v>
      </c>
      <c r="R1197" s="2" t="s">
        <v>39</v>
      </c>
      <c r="S1197" s="2" t="s">
        <v>39</v>
      </c>
      <c r="T1197" s="2" t="s">
        <v>39</v>
      </c>
      <c r="U1197" s="2" t="s">
        <v>39</v>
      </c>
      <c r="V1197" s="2" t="s">
        <v>38</v>
      </c>
      <c r="W1197" s="2" t="s">
        <v>39</v>
      </c>
      <c r="X1197" s="2" t="s">
        <v>39</v>
      </c>
      <c r="Y1197" s="2" t="s">
        <v>39</v>
      </c>
      <c r="Z1197" s="2" t="s">
        <v>39</v>
      </c>
      <c r="AA1197" s="2" t="s">
        <v>39</v>
      </c>
      <c r="AB1197" s="2" t="s">
        <v>39</v>
      </c>
      <c r="AC1197" s="2" t="s">
        <v>39</v>
      </c>
      <c r="AD1197" s="2" t="s">
        <v>39</v>
      </c>
      <c r="AE1197" s="2" t="s">
        <v>39</v>
      </c>
    </row>
    <row r="1198" spans="1:31" ht="409.5">
      <c r="A1198" s="2">
        <v>2743692</v>
      </c>
      <c r="B1198" s="2">
        <f>HYPERLINK("https://platform.v2.vetology.net/cases/2743692/screening-report/1?type=pdf&amp;v=v6&amp;scorecard=1&amp;secret_key=BX%25IJ%24%2F65ieZ%29f6", 2743692)</f>
        <v>2743692</v>
      </c>
      <c r="C1198" s="2">
        <f>HYPERLINK("https://platform.v2.vetology.net/report/v/final/"&amp;2743692, 2743692)</f>
        <v>2743692</v>
      </c>
      <c r="D1198" s="2" t="s">
        <v>3983</v>
      </c>
      <c r="E1198" s="2" t="s">
        <v>3984</v>
      </c>
      <c r="F1198" s="2" t="s">
        <v>3985</v>
      </c>
      <c r="G1198" s="2" t="s">
        <v>53</v>
      </c>
      <c r="H1198" s="2" t="s">
        <v>3986</v>
      </c>
      <c r="I1198" s="2" t="s">
        <v>36</v>
      </c>
      <c r="J1198" s="2" t="s">
        <v>37</v>
      </c>
      <c r="K1198" s="2" t="s">
        <v>39</v>
      </c>
      <c r="L1198" s="2" t="s">
        <v>38</v>
      </c>
      <c r="M1198" s="2" t="s">
        <v>39</v>
      </c>
      <c r="N1198" s="2" t="s">
        <v>38</v>
      </c>
      <c r="O1198" s="2" t="s">
        <v>38</v>
      </c>
      <c r="P1198" s="2" t="s">
        <v>39</v>
      </c>
      <c r="Q1198" s="2" t="s">
        <v>39</v>
      </c>
      <c r="R1198" s="2" t="s">
        <v>38</v>
      </c>
      <c r="S1198" s="2" t="s">
        <v>38</v>
      </c>
      <c r="T1198" s="2" t="s">
        <v>38</v>
      </c>
      <c r="U1198" s="2" t="s">
        <v>39</v>
      </c>
      <c r="V1198" s="2" t="s">
        <v>39</v>
      </c>
      <c r="W1198" s="2" t="s">
        <v>38</v>
      </c>
      <c r="X1198" s="2" t="s">
        <v>39</v>
      </c>
      <c r="Y1198" s="2" t="s">
        <v>38</v>
      </c>
      <c r="Z1198" s="2" t="s">
        <v>38</v>
      </c>
      <c r="AA1198" s="2" t="s">
        <v>38</v>
      </c>
      <c r="AB1198" s="2" t="s">
        <v>39</v>
      </c>
      <c r="AC1198" s="2" t="s">
        <v>38</v>
      </c>
      <c r="AD1198" s="2" t="s">
        <v>38</v>
      </c>
      <c r="AE1198" s="2"/>
    </row>
    <row r="1199" spans="1:31" ht="409.5">
      <c r="A1199" s="2">
        <v>2743686</v>
      </c>
      <c r="B1199" s="2">
        <f>HYPERLINK("https://platform.v2.vetology.net/cases/2743686/screening-report/1?type=pdf&amp;v=v6&amp;scorecard=1&amp;secret_key=BX%25IJ%24%2F65ieZ%29f6", 2743686)</f>
        <v>2743686</v>
      </c>
      <c r="C1199" s="2">
        <f>HYPERLINK("https://platform.v2.vetology.net/report/v/final/"&amp;2743686, 2743686)</f>
        <v>2743686</v>
      </c>
      <c r="D1199" s="2" t="s">
        <v>3987</v>
      </c>
      <c r="E1199" s="2" t="s">
        <v>3988</v>
      </c>
      <c r="F1199" s="2" t="s">
        <v>3989</v>
      </c>
      <c r="G1199" s="2" t="s">
        <v>170</v>
      </c>
      <c r="H1199" s="2" t="s">
        <v>3990</v>
      </c>
      <c r="I1199" s="2" t="s">
        <v>36</v>
      </c>
      <c r="J1199" s="2" t="s">
        <v>37</v>
      </c>
      <c r="K1199" s="2" t="s">
        <v>38</v>
      </c>
      <c r="L1199" s="2" t="s">
        <v>38</v>
      </c>
      <c r="M1199" s="2" t="s">
        <v>38</v>
      </c>
      <c r="N1199" s="2" t="s">
        <v>38</v>
      </c>
      <c r="O1199" s="2" t="s">
        <v>38</v>
      </c>
      <c r="P1199" s="2" t="s">
        <v>39</v>
      </c>
      <c r="Q1199" s="2" t="s">
        <v>39</v>
      </c>
      <c r="R1199" s="2" t="s">
        <v>38</v>
      </c>
      <c r="S1199" s="2" t="s">
        <v>38</v>
      </c>
      <c r="T1199" s="2" t="s">
        <v>39</v>
      </c>
      <c r="U1199" s="2" t="s">
        <v>38</v>
      </c>
      <c r="V1199" s="2" t="s">
        <v>38</v>
      </c>
      <c r="W1199" s="2" t="s">
        <v>39</v>
      </c>
      <c r="X1199" s="2" t="s">
        <v>39</v>
      </c>
      <c r="Y1199" s="2" t="s">
        <v>39</v>
      </c>
      <c r="Z1199" s="2" t="s">
        <v>38</v>
      </c>
      <c r="AA1199" s="2" t="s">
        <v>38</v>
      </c>
      <c r="AB1199" s="2" t="s">
        <v>39</v>
      </c>
      <c r="AC1199" s="2" t="s">
        <v>38</v>
      </c>
      <c r="AD1199" s="2" t="s">
        <v>38</v>
      </c>
      <c r="AE1199" s="2" t="s">
        <v>39</v>
      </c>
    </row>
    <row r="1200" spans="1:31" ht="409.5">
      <c r="A1200" s="2">
        <v>2743666</v>
      </c>
      <c r="B1200" s="2">
        <f>HYPERLINK("https://platform.v2.vetology.net/cases/2743666/screening-report/1?type=pdf&amp;v=v6&amp;scorecard=1&amp;secret_key=BX%25IJ%24%2F65ieZ%29f6", 2743666)</f>
        <v>2743666</v>
      </c>
      <c r="C1200" s="2">
        <f>HYPERLINK("https://platform.v2.vetology.net/report/v/final/"&amp;2743666, 2743666)</f>
        <v>2743666</v>
      </c>
      <c r="D1200" s="2" t="s">
        <v>3991</v>
      </c>
      <c r="E1200" s="2" t="s">
        <v>3992</v>
      </c>
      <c r="F1200" s="2" t="s">
        <v>3993</v>
      </c>
      <c r="G1200" s="2" t="s">
        <v>44</v>
      </c>
      <c r="H1200" s="2" t="s">
        <v>1821</v>
      </c>
      <c r="I1200" s="2" t="s">
        <v>36</v>
      </c>
      <c r="J1200" s="2" t="s">
        <v>37</v>
      </c>
      <c r="K1200" s="2" t="s">
        <v>39</v>
      </c>
      <c r="L1200" s="2" t="s">
        <v>38</v>
      </c>
      <c r="M1200" s="2" t="s">
        <v>39</v>
      </c>
      <c r="N1200" s="2" t="s">
        <v>39</v>
      </c>
      <c r="O1200" s="2" t="s">
        <v>38</v>
      </c>
      <c r="P1200" s="2" t="s">
        <v>39</v>
      </c>
      <c r="Q1200" s="2" t="s">
        <v>39</v>
      </c>
      <c r="R1200" s="2" t="s">
        <v>39</v>
      </c>
      <c r="S1200" s="2" t="s">
        <v>38</v>
      </c>
      <c r="T1200" s="2" t="s">
        <v>38</v>
      </c>
      <c r="U1200" s="2" t="s">
        <v>39</v>
      </c>
      <c r="V1200" s="2" t="s">
        <v>39</v>
      </c>
      <c r="W1200" s="2" t="s">
        <v>39</v>
      </c>
      <c r="X1200" s="2" t="s">
        <v>39</v>
      </c>
      <c r="Y1200" s="2" t="s">
        <v>39</v>
      </c>
      <c r="Z1200" s="2" t="s">
        <v>39</v>
      </c>
      <c r="AA1200" s="2" t="s">
        <v>39</v>
      </c>
      <c r="AB1200" s="2" t="s">
        <v>39</v>
      </c>
      <c r="AC1200" s="2" t="s">
        <v>39</v>
      </c>
      <c r="AD1200" s="2" t="s">
        <v>38</v>
      </c>
      <c r="AE1200" s="2"/>
    </row>
    <row r="1201" spans="1:31" ht="409.5">
      <c r="A1201" s="2">
        <v>2743653</v>
      </c>
      <c r="B1201" s="2">
        <f>HYPERLINK("https://platform.v2.vetology.net/cases/2743653/screening-report/1?type=pdf&amp;v=v6&amp;scorecard=1&amp;secret_key=BX%25IJ%24%2F65ieZ%29f6", 2743653)</f>
        <v>2743653</v>
      </c>
      <c r="C1201" s="2">
        <f>HYPERLINK("https://platform.v2.vetology.net/report/v/final/"&amp;2743653, 2743653)</f>
        <v>2743653</v>
      </c>
      <c r="D1201" s="2" t="s">
        <v>3994</v>
      </c>
      <c r="E1201" s="2" t="s">
        <v>3995</v>
      </c>
      <c r="F1201" s="2" t="s">
        <v>1225</v>
      </c>
      <c r="G1201" s="2" t="s">
        <v>44</v>
      </c>
      <c r="H1201" s="2" t="s">
        <v>3996</v>
      </c>
      <c r="I1201" s="2" t="s">
        <v>36</v>
      </c>
      <c r="J1201" s="2" t="s">
        <v>37</v>
      </c>
      <c r="K1201" s="2" t="s">
        <v>39</v>
      </c>
      <c r="L1201" s="2" t="s">
        <v>38</v>
      </c>
      <c r="M1201" s="2" t="s">
        <v>38</v>
      </c>
      <c r="N1201" s="2" t="s">
        <v>38</v>
      </c>
      <c r="O1201" s="2" t="s">
        <v>38</v>
      </c>
      <c r="P1201" s="2" t="s">
        <v>39</v>
      </c>
      <c r="Q1201" s="2" t="s">
        <v>39</v>
      </c>
      <c r="R1201" s="2" t="s">
        <v>38</v>
      </c>
      <c r="S1201" s="2" t="s">
        <v>38</v>
      </c>
      <c r="T1201" s="2" t="s">
        <v>39</v>
      </c>
      <c r="U1201" s="2" t="s">
        <v>38</v>
      </c>
      <c r="V1201" s="2" t="s">
        <v>38</v>
      </c>
      <c r="W1201" s="2" t="s">
        <v>38</v>
      </c>
      <c r="X1201" s="2" t="s">
        <v>39</v>
      </c>
      <c r="Y1201" s="2" t="s">
        <v>39</v>
      </c>
      <c r="Z1201" s="2" t="s">
        <v>38</v>
      </c>
      <c r="AA1201" s="2" t="s">
        <v>38</v>
      </c>
      <c r="AB1201" s="2" t="s">
        <v>39</v>
      </c>
      <c r="AC1201" s="2" t="s">
        <v>38</v>
      </c>
      <c r="AD1201" s="2" t="s">
        <v>39</v>
      </c>
      <c r="AE1201" s="2" t="s">
        <v>40</v>
      </c>
    </row>
    <row r="1202" spans="1:31" ht="409.5">
      <c r="A1202" s="2">
        <v>2743615</v>
      </c>
      <c r="B1202" s="2">
        <f>HYPERLINK("https://platform.v2.vetology.net/cases/2743615/screening-report/1?type=pdf&amp;v=v6&amp;scorecard=1&amp;secret_key=BX%25IJ%24%2F65ieZ%29f6", 2743615)</f>
        <v>2743615</v>
      </c>
      <c r="C1202" s="2">
        <f>HYPERLINK("https://platform.v2.vetology.net/report/v/final/"&amp;2743615, 2743615)</f>
        <v>2743615</v>
      </c>
      <c r="D1202" s="2" t="s">
        <v>3997</v>
      </c>
      <c r="E1202" s="2" t="s">
        <v>3998</v>
      </c>
      <c r="F1202" s="2" t="s">
        <v>43</v>
      </c>
      <c r="G1202" s="2" t="s">
        <v>100</v>
      </c>
      <c r="H1202" s="2" t="s">
        <v>3999</v>
      </c>
      <c r="I1202" s="2" t="s">
        <v>129</v>
      </c>
      <c r="J1202" s="2" t="s">
        <v>74</v>
      </c>
      <c r="K1202" s="2" t="s">
        <v>38</v>
      </c>
      <c r="L1202" s="2" t="s">
        <v>38</v>
      </c>
      <c r="M1202" s="2" t="s">
        <v>38</v>
      </c>
      <c r="N1202" s="2" t="s">
        <v>38</v>
      </c>
      <c r="O1202" s="2" t="s">
        <v>38</v>
      </c>
      <c r="P1202" s="2" t="s">
        <v>38</v>
      </c>
      <c r="Q1202" s="2" t="s">
        <v>38</v>
      </c>
      <c r="R1202" s="2" t="s">
        <v>38</v>
      </c>
      <c r="S1202" s="2" t="s">
        <v>38</v>
      </c>
      <c r="T1202" s="2" t="s">
        <v>38</v>
      </c>
      <c r="U1202" s="2" t="s">
        <v>39</v>
      </c>
      <c r="V1202" s="2" t="s">
        <v>38</v>
      </c>
      <c r="W1202" s="2" t="s">
        <v>38</v>
      </c>
      <c r="X1202" s="2" t="s">
        <v>38</v>
      </c>
      <c r="Y1202" s="2" t="s">
        <v>38</v>
      </c>
      <c r="Z1202" s="2" t="s">
        <v>38</v>
      </c>
      <c r="AA1202" s="2" t="s">
        <v>38</v>
      </c>
      <c r="AB1202" s="2" t="s">
        <v>38</v>
      </c>
      <c r="AC1202" s="2" t="s">
        <v>38</v>
      </c>
      <c r="AD1202" s="2" t="s">
        <v>38</v>
      </c>
      <c r="AE1202" s="2"/>
    </row>
    <row r="1203" spans="1:31" ht="409.5">
      <c r="A1203" s="2">
        <v>2743609</v>
      </c>
      <c r="B1203" s="2">
        <f>HYPERLINK("https://platform.v2.vetology.net/cases/2743609/screening-report/1?type=pdf&amp;v=v6&amp;scorecard=1&amp;secret_key=BX%25IJ%24%2F65ieZ%29f6", 2743609)</f>
        <v>2743609</v>
      </c>
      <c r="C1203" s="2">
        <f>HYPERLINK("https://platform.v2.vetology.net/report/v/final/"&amp;2743609, 2743609)</f>
        <v>2743609</v>
      </c>
      <c r="D1203" s="2" t="s">
        <v>4000</v>
      </c>
      <c r="E1203" s="2" t="s">
        <v>4001</v>
      </c>
      <c r="F1203" s="2" t="s">
        <v>43</v>
      </c>
      <c r="G1203" s="2" t="s">
        <v>44</v>
      </c>
      <c r="H1203" s="2" t="s">
        <v>4002</v>
      </c>
      <c r="I1203" s="2" t="s">
        <v>129</v>
      </c>
      <c r="J1203" s="2" t="s">
        <v>74</v>
      </c>
      <c r="K1203" s="2" t="s">
        <v>39</v>
      </c>
      <c r="L1203" s="2" t="s">
        <v>39</v>
      </c>
      <c r="M1203" s="2" t="s">
        <v>39</v>
      </c>
      <c r="N1203" s="2" t="s">
        <v>39</v>
      </c>
      <c r="O1203" s="2" t="s">
        <v>38</v>
      </c>
      <c r="P1203" s="2" t="s">
        <v>38</v>
      </c>
      <c r="Q1203" s="2" t="s">
        <v>38</v>
      </c>
      <c r="R1203" s="2" t="s">
        <v>39</v>
      </c>
      <c r="S1203" s="2" t="s">
        <v>39</v>
      </c>
      <c r="T1203" s="2" t="s">
        <v>38</v>
      </c>
      <c r="U1203" s="2" t="s">
        <v>39</v>
      </c>
      <c r="V1203" s="2" t="s">
        <v>39</v>
      </c>
      <c r="W1203" s="2" t="s">
        <v>39</v>
      </c>
      <c r="X1203" s="2" t="s">
        <v>39</v>
      </c>
      <c r="Y1203" s="2" t="s">
        <v>39</v>
      </c>
      <c r="Z1203" s="2" t="s">
        <v>38</v>
      </c>
      <c r="AA1203" s="2" t="s">
        <v>38</v>
      </c>
      <c r="AB1203" s="2" t="s">
        <v>39</v>
      </c>
      <c r="AC1203" s="2" t="s">
        <v>39</v>
      </c>
      <c r="AD1203" s="2" t="s">
        <v>39</v>
      </c>
      <c r="AE1203" s="2"/>
    </row>
    <row r="1204" spans="1:31" ht="409.5">
      <c r="A1204" s="2">
        <v>2743603</v>
      </c>
      <c r="B1204" s="2">
        <f>HYPERLINK("https://platform.v2.vetology.net/cases/2743603/screening-report/1?type=pdf&amp;v=v6&amp;scorecard=1&amp;secret_key=BX%25IJ%24%2F65ieZ%29f6", 2743603)</f>
        <v>2743603</v>
      </c>
      <c r="C1204" s="2">
        <f>HYPERLINK("https://platform.v2.vetology.net/report/v/final/"&amp;2743603, 2743603)</f>
        <v>2743603</v>
      </c>
      <c r="D1204" s="2" t="s">
        <v>4003</v>
      </c>
      <c r="E1204" s="2" t="s">
        <v>4004</v>
      </c>
      <c r="F1204" s="2" t="s">
        <v>4005</v>
      </c>
      <c r="G1204" s="2" t="s">
        <v>111</v>
      </c>
      <c r="H1204" s="2" t="s">
        <v>277</v>
      </c>
      <c r="I1204" s="2" t="s">
        <v>46</v>
      </c>
      <c r="J1204" s="2"/>
      <c r="K1204" s="2" t="s">
        <v>39</v>
      </c>
      <c r="L1204" s="2" t="s">
        <v>38</v>
      </c>
      <c r="M1204" s="2" t="s">
        <v>39</v>
      </c>
      <c r="N1204" s="2" t="s">
        <v>39</v>
      </c>
      <c r="O1204" s="2" t="s">
        <v>39</v>
      </c>
      <c r="P1204" s="2" t="s">
        <v>39</v>
      </c>
      <c r="Q1204" s="2" t="s">
        <v>39</v>
      </c>
      <c r="R1204" s="2" t="s">
        <v>39</v>
      </c>
      <c r="S1204" s="2" t="s">
        <v>39</v>
      </c>
      <c r="T1204" s="2" t="s">
        <v>38</v>
      </c>
      <c r="U1204" s="2" t="s">
        <v>39</v>
      </c>
      <c r="V1204" s="2" t="s">
        <v>39</v>
      </c>
      <c r="W1204" s="2" t="s">
        <v>38</v>
      </c>
      <c r="X1204" s="2" t="s">
        <v>39</v>
      </c>
      <c r="Y1204" s="2" t="s">
        <v>39</v>
      </c>
      <c r="Z1204" s="2" t="s">
        <v>38</v>
      </c>
      <c r="AA1204" s="2" t="s">
        <v>38</v>
      </c>
      <c r="AB1204" s="2" t="s">
        <v>39</v>
      </c>
      <c r="AC1204" s="2" t="s">
        <v>38</v>
      </c>
      <c r="AD1204" s="2" t="s">
        <v>38</v>
      </c>
      <c r="AE1204" s="2" t="s">
        <v>39</v>
      </c>
    </row>
    <row r="1205" spans="1:31" ht="409.5">
      <c r="A1205" s="2">
        <v>2743592</v>
      </c>
      <c r="B1205" s="2">
        <f>HYPERLINK("https://platform.v2.vetology.net/cases/2743592/screening-report/1?type=pdf&amp;v=v6&amp;scorecard=1&amp;secret_key=BX%25IJ%24%2F65ieZ%29f6", 2743592)</f>
        <v>2743592</v>
      </c>
      <c r="C1205" s="2">
        <f>HYPERLINK("https://platform.v2.vetology.net/report/v/final/"&amp;2743592, 2743592)</f>
        <v>2743592</v>
      </c>
      <c r="D1205" s="2" t="s">
        <v>4006</v>
      </c>
      <c r="E1205" s="2" t="s">
        <v>4007</v>
      </c>
      <c r="F1205" s="2" t="s">
        <v>4008</v>
      </c>
      <c r="G1205" s="2" t="s">
        <v>170</v>
      </c>
      <c r="H1205" s="2" t="s">
        <v>4009</v>
      </c>
      <c r="I1205" s="2" t="s">
        <v>129</v>
      </c>
      <c r="J1205" s="2" t="s">
        <v>74</v>
      </c>
      <c r="K1205" s="2" t="s">
        <v>38</v>
      </c>
      <c r="L1205" s="2" t="s">
        <v>38</v>
      </c>
      <c r="M1205" s="2" t="s">
        <v>38</v>
      </c>
      <c r="N1205" s="2" t="s">
        <v>38</v>
      </c>
      <c r="O1205" s="2" t="s">
        <v>38</v>
      </c>
      <c r="P1205" s="2" t="s">
        <v>38</v>
      </c>
      <c r="Q1205" s="2" t="s">
        <v>38</v>
      </c>
      <c r="R1205" s="2" t="s">
        <v>39</v>
      </c>
      <c r="S1205" s="2" t="s">
        <v>39</v>
      </c>
      <c r="T1205" s="2" t="s">
        <v>38</v>
      </c>
      <c r="U1205" s="2" t="s">
        <v>39</v>
      </c>
      <c r="V1205" s="2" t="s">
        <v>38</v>
      </c>
      <c r="W1205" s="2" t="s">
        <v>38</v>
      </c>
      <c r="X1205" s="2" t="s">
        <v>38</v>
      </c>
      <c r="Y1205" s="2" t="s">
        <v>39</v>
      </c>
      <c r="Z1205" s="2" t="s">
        <v>38</v>
      </c>
      <c r="AA1205" s="2" t="s">
        <v>38</v>
      </c>
      <c r="AB1205" s="2" t="s">
        <v>38</v>
      </c>
      <c r="AC1205" s="2" t="s">
        <v>38</v>
      </c>
      <c r="AD1205" s="2" t="s">
        <v>39</v>
      </c>
      <c r="AE1205" s="2" t="s">
        <v>40</v>
      </c>
    </row>
    <row r="1206" spans="1:31" ht="409.5">
      <c r="A1206" s="2">
        <v>2743559</v>
      </c>
      <c r="B1206" s="2">
        <f>HYPERLINK("https://platform.v2.vetology.net/cases/2743559/screening-report/1?type=pdf&amp;v=v6&amp;scorecard=1&amp;secret_key=BX%25IJ%24%2F65ieZ%29f6", 2743559)</f>
        <v>2743559</v>
      </c>
      <c r="C1206" s="2">
        <f>HYPERLINK("https://platform.v2.vetology.net/report/v/final/"&amp;2743559, 2743559)</f>
        <v>2743559</v>
      </c>
      <c r="D1206" s="2" t="s">
        <v>4010</v>
      </c>
      <c r="E1206" s="2" t="s">
        <v>4011</v>
      </c>
      <c r="F1206" s="2" t="s">
        <v>4012</v>
      </c>
      <c r="G1206" s="2" t="s">
        <v>111</v>
      </c>
      <c r="H1206" s="2" t="s">
        <v>4013</v>
      </c>
      <c r="I1206" s="2" t="s">
        <v>36</v>
      </c>
      <c r="J1206" s="2" t="s">
        <v>37</v>
      </c>
      <c r="K1206" s="2" t="s">
        <v>38</v>
      </c>
      <c r="L1206" s="2" t="s">
        <v>38</v>
      </c>
      <c r="M1206" s="2" t="s">
        <v>38</v>
      </c>
      <c r="N1206" s="2" t="s">
        <v>38</v>
      </c>
      <c r="O1206" s="2" t="s">
        <v>38</v>
      </c>
      <c r="P1206" s="2" t="s">
        <v>38</v>
      </c>
      <c r="Q1206" s="2" t="s">
        <v>39</v>
      </c>
      <c r="R1206" s="2" t="s">
        <v>38</v>
      </c>
      <c r="S1206" s="2" t="s">
        <v>38</v>
      </c>
      <c r="T1206" s="2" t="s">
        <v>38</v>
      </c>
      <c r="U1206" s="2" t="s">
        <v>38</v>
      </c>
      <c r="V1206" s="2" t="s">
        <v>38</v>
      </c>
      <c r="W1206" s="2" t="s">
        <v>38</v>
      </c>
      <c r="X1206" s="2" t="s">
        <v>38</v>
      </c>
      <c r="Y1206" s="2" t="s">
        <v>38</v>
      </c>
      <c r="Z1206" s="2" t="s">
        <v>38</v>
      </c>
      <c r="AA1206" s="2" t="s">
        <v>39</v>
      </c>
      <c r="AB1206" s="2" t="s">
        <v>38</v>
      </c>
      <c r="AC1206" s="2" t="s">
        <v>38</v>
      </c>
      <c r="AD1206" s="2" t="s">
        <v>38</v>
      </c>
      <c r="AE1206" s="2" t="s">
        <v>39</v>
      </c>
    </row>
    <row r="1207" spans="1:31" ht="409.5">
      <c r="A1207" s="2">
        <v>2743545</v>
      </c>
      <c r="B1207" s="2">
        <f>HYPERLINK("https://platform.v2.vetology.net/cases/2743545/screening-report/1?type=pdf&amp;v=v6&amp;scorecard=1&amp;secret_key=BX%25IJ%24%2F65ieZ%29f6", 2743545)</f>
        <v>2743545</v>
      </c>
      <c r="C1207" s="2">
        <f>HYPERLINK("https://platform.v2.vetology.net/report/v/final/"&amp;2743545, 2743545)</f>
        <v>2743545</v>
      </c>
      <c r="D1207" s="2" t="s">
        <v>4014</v>
      </c>
      <c r="E1207" s="2" t="s">
        <v>4015</v>
      </c>
      <c r="F1207" s="2" t="s">
        <v>4016</v>
      </c>
      <c r="G1207" s="2" t="s">
        <v>34</v>
      </c>
      <c r="H1207" s="2" t="s">
        <v>4017</v>
      </c>
      <c r="I1207" s="2" t="s">
        <v>36</v>
      </c>
      <c r="J1207" s="2" t="s">
        <v>37</v>
      </c>
      <c r="K1207" s="2" t="s">
        <v>38</v>
      </c>
      <c r="L1207" s="2" t="s">
        <v>38</v>
      </c>
      <c r="M1207" s="2" t="s">
        <v>38</v>
      </c>
      <c r="N1207" s="2" t="s">
        <v>38</v>
      </c>
      <c r="O1207" s="2" t="s">
        <v>38</v>
      </c>
      <c r="P1207" s="2" t="s">
        <v>38</v>
      </c>
      <c r="Q1207" s="2" t="s">
        <v>39</v>
      </c>
      <c r="R1207" s="2" t="s">
        <v>38</v>
      </c>
      <c r="S1207" s="2" t="s">
        <v>38</v>
      </c>
      <c r="T1207" s="2" t="s">
        <v>39</v>
      </c>
      <c r="U1207" s="2" t="s">
        <v>38</v>
      </c>
      <c r="V1207" s="2" t="s">
        <v>38</v>
      </c>
      <c r="W1207" s="2" t="s">
        <v>38</v>
      </c>
      <c r="X1207" s="2" t="s">
        <v>39</v>
      </c>
      <c r="Y1207" s="2" t="s">
        <v>38</v>
      </c>
      <c r="Z1207" s="2" t="s">
        <v>38</v>
      </c>
      <c r="AA1207" s="2" t="s">
        <v>38</v>
      </c>
      <c r="AB1207" s="2" t="s">
        <v>38</v>
      </c>
      <c r="AC1207" s="2" t="s">
        <v>38</v>
      </c>
      <c r="AD1207" s="2" t="s">
        <v>38</v>
      </c>
      <c r="AE1207" s="2" t="s">
        <v>40</v>
      </c>
    </row>
    <row r="1208" spans="1:31" ht="409.5">
      <c r="A1208" s="2">
        <v>2743492</v>
      </c>
      <c r="B1208" s="2">
        <f>HYPERLINK("https://platform.v2.vetology.net/cases/2743492/screening-report/1?type=pdf&amp;v=v6&amp;scorecard=1&amp;secret_key=BX%25IJ%24%2F65ieZ%29f6", 2743492)</f>
        <v>2743492</v>
      </c>
      <c r="C1208" s="2">
        <f>HYPERLINK("https://platform.v2.vetology.net/report/v/final/"&amp;2743492, 2743492)</f>
        <v>2743492</v>
      </c>
      <c r="D1208" s="2" t="s">
        <v>2629</v>
      </c>
      <c r="E1208" s="2" t="s">
        <v>4018</v>
      </c>
      <c r="F1208" s="2" t="s">
        <v>4019</v>
      </c>
      <c r="G1208" s="2" t="s">
        <v>111</v>
      </c>
      <c r="H1208" s="2" t="s">
        <v>801</v>
      </c>
      <c r="I1208" s="2" t="s">
        <v>59</v>
      </c>
      <c r="J1208" s="2" t="s">
        <v>37</v>
      </c>
      <c r="K1208" s="2" t="s">
        <v>38</v>
      </c>
      <c r="L1208" s="2" t="s">
        <v>39</v>
      </c>
      <c r="M1208" s="2" t="s">
        <v>39</v>
      </c>
      <c r="N1208" s="2" t="s">
        <v>39</v>
      </c>
      <c r="O1208" s="2" t="s">
        <v>39</v>
      </c>
      <c r="P1208" s="2" t="s">
        <v>39</v>
      </c>
      <c r="Q1208" s="2" t="s">
        <v>39</v>
      </c>
      <c r="R1208" s="2" t="s">
        <v>38</v>
      </c>
      <c r="S1208" s="2" t="s">
        <v>39</v>
      </c>
      <c r="T1208" s="2" t="s">
        <v>38</v>
      </c>
      <c r="U1208" s="2" t="s">
        <v>38</v>
      </c>
      <c r="V1208" s="2" t="s">
        <v>38</v>
      </c>
      <c r="W1208" s="2" t="s">
        <v>39</v>
      </c>
      <c r="X1208" s="2" t="s">
        <v>39</v>
      </c>
      <c r="Y1208" s="2" t="s">
        <v>39</v>
      </c>
      <c r="Z1208" s="2" t="s">
        <v>39</v>
      </c>
      <c r="AA1208" s="2" t="s">
        <v>39</v>
      </c>
      <c r="AB1208" s="2" t="s">
        <v>39</v>
      </c>
      <c r="AC1208" s="2" t="s">
        <v>38</v>
      </c>
      <c r="AD1208" s="2" t="s">
        <v>39</v>
      </c>
      <c r="AE1208" s="2" t="s">
        <v>39</v>
      </c>
    </row>
    <row r="1209" spans="1:31" ht="409.5">
      <c r="A1209" s="2">
        <v>2743445</v>
      </c>
      <c r="B1209" s="2">
        <f>HYPERLINK("https://platform.v2.vetology.net/cases/2743445/screening-report/1?type=pdf&amp;v=v6&amp;scorecard=1&amp;secret_key=BX%25IJ%24%2F65ieZ%29f6", 2743445)</f>
        <v>2743445</v>
      </c>
      <c r="C1209" s="2">
        <f>HYPERLINK("https://platform.v2.vetology.net/report/v/final/"&amp;2743445, 2743445)</f>
        <v>2743445</v>
      </c>
      <c r="D1209" s="2" t="s">
        <v>2629</v>
      </c>
      <c r="E1209" s="2" t="s">
        <v>118</v>
      </c>
      <c r="F1209" s="2" t="s">
        <v>4020</v>
      </c>
      <c r="G1209" s="2" t="s">
        <v>111</v>
      </c>
      <c r="H1209" s="2" t="s">
        <v>4021</v>
      </c>
      <c r="I1209" s="2" t="s">
        <v>36</v>
      </c>
      <c r="J1209" s="2" t="s">
        <v>37</v>
      </c>
      <c r="K1209" s="2" t="s">
        <v>38</v>
      </c>
      <c r="L1209" s="2" t="s">
        <v>38</v>
      </c>
      <c r="M1209" s="2" t="s">
        <v>38</v>
      </c>
      <c r="N1209" s="2" t="s">
        <v>38</v>
      </c>
      <c r="O1209" s="2" t="s">
        <v>38</v>
      </c>
      <c r="P1209" s="2" t="s">
        <v>39</v>
      </c>
      <c r="Q1209" s="2" t="s">
        <v>39</v>
      </c>
      <c r="R1209" s="2" t="s">
        <v>39</v>
      </c>
      <c r="S1209" s="2" t="s">
        <v>38</v>
      </c>
      <c r="T1209" s="2" t="s">
        <v>39</v>
      </c>
      <c r="U1209" s="2" t="s">
        <v>38</v>
      </c>
      <c r="V1209" s="2" t="s">
        <v>38</v>
      </c>
      <c r="W1209" s="2" t="s">
        <v>38</v>
      </c>
      <c r="X1209" s="2" t="s">
        <v>39</v>
      </c>
      <c r="Y1209" s="2" t="s">
        <v>39</v>
      </c>
      <c r="Z1209" s="2" t="s">
        <v>38</v>
      </c>
      <c r="AA1209" s="2" t="s">
        <v>38</v>
      </c>
      <c r="AB1209" s="2" t="s">
        <v>39</v>
      </c>
      <c r="AC1209" s="2" t="s">
        <v>38</v>
      </c>
      <c r="AD1209" s="2" t="s">
        <v>38</v>
      </c>
      <c r="AE1209" s="2" t="s">
        <v>40</v>
      </c>
    </row>
    <row r="1210" spans="1:31" ht="409.5">
      <c r="A1210" s="2">
        <v>2743408</v>
      </c>
      <c r="B1210" s="2">
        <f>HYPERLINK("https://platform.v2.vetology.net/cases/2743408/screening-report/1?type=pdf&amp;v=v6&amp;scorecard=1&amp;secret_key=BX%25IJ%24%2F65ieZ%29f6", 2743408)</f>
        <v>2743408</v>
      </c>
      <c r="C1210" s="2">
        <f>HYPERLINK("https://platform.v2.vetology.net/report/v/final/"&amp;2743408, 2743408)</f>
        <v>2743408</v>
      </c>
      <c r="D1210" s="2" t="s">
        <v>4022</v>
      </c>
      <c r="E1210" s="2" t="s">
        <v>118</v>
      </c>
      <c r="F1210" s="2" t="s">
        <v>4023</v>
      </c>
      <c r="G1210" s="2" t="s">
        <v>111</v>
      </c>
      <c r="H1210" s="2" t="s">
        <v>4024</v>
      </c>
      <c r="I1210" s="2" t="s">
        <v>36</v>
      </c>
      <c r="J1210" s="2" t="s">
        <v>37</v>
      </c>
      <c r="K1210" s="2" t="s">
        <v>38</v>
      </c>
      <c r="L1210" s="2" t="s">
        <v>38</v>
      </c>
      <c r="M1210" s="2" t="s">
        <v>38</v>
      </c>
      <c r="N1210" s="2" t="s">
        <v>38</v>
      </c>
      <c r="O1210" s="2" t="s">
        <v>38</v>
      </c>
      <c r="P1210" s="2" t="s">
        <v>38</v>
      </c>
      <c r="Q1210" s="2" t="s">
        <v>39</v>
      </c>
      <c r="R1210" s="2" t="s">
        <v>38</v>
      </c>
      <c r="S1210" s="2" t="s">
        <v>38</v>
      </c>
      <c r="T1210" s="2" t="s">
        <v>38</v>
      </c>
      <c r="U1210" s="2" t="s">
        <v>38</v>
      </c>
      <c r="V1210" s="2" t="s">
        <v>38</v>
      </c>
      <c r="W1210" s="2" t="s">
        <v>38</v>
      </c>
      <c r="X1210" s="2" t="s">
        <v>39</v>
      </c>
      <c r="Y1210" s="2" t="s">
        <v>38</v>
      </c>
      <c r="Z1210" s="2" t="s">
        <v>38</v>
      </c>
      <c r="AA1210" s="2" t="s">
        <v>38</v>
      </c>
      <c r="AB1210" s="2" t="s">
        <v>39</v>
      </c>
      <c r="AC1210" s="2" t="s">
        <v>38</v>
      </c>
      <c r="AD1210" s="2" t="s">
        <v>38</v>
      </c>
      <c r="AE1210" s="2" t="s">
        <v>39</v>
      </c>
    </row>
    <row r="1211" spans="1:31" ht="409.5">
      <c r="A1211" s="2">
        <v>2743380</v>
      </c>
      <c r="B1211" s="2">
        <f>HYPERLINK("https://platform.v2.vetology.net/cases/2743380/screening-report/1?type=pdf&amp;v=v6&amp;scorecard=1&amp;secret_key=BX%25IJ%24%2F65ieZ%29f6", 2743380)</f>
        <v>2743380</v>
      </c>
      <c r="C1211" s="2">
        <f>HYPERLINK("https://platform.v2.vetology.net/report/v/final/"&amp;2743380, 2743380)</f>
        <v>2743380</v>
      </c>
      <c r="D1211" s="2" t="s">
        <v>2873</v>
      </c>
      <c r="E1211" s="2" t="s">
        <v>4025</v>
      </c>
      <c r="F1211" s="2" t="s">
        <v>4026</v>
      </c>
      <c r="G1211" s="2" t="s">
        <v>111</v>
      </c>
      <c r="H1211" s="2" t="s">
        <v>4027</v>
      </c>
      <c r="I1211" s="2" t="s">
        <v>73</v>
      </c>
      <c r="J1211" s="2" t="s">
        <v>74</v>
      </c>
      <c r="K1211" s="2" t="s">
        <v>38</v>
      </c>
      <c r="L1211" s="2" t="s">
        <v>38</v>
      </c>
      <c r="M1211" s="2" t="s">
        <v>38</v>
      </c>
      <c r="N1211" s="2" t="s">
        <v>38</v>
      </c>
      <c r="O1211" s="2" t="s">
        <v>38</v>
      </c>
      <c r="P1211" s="2" t="s">
        <v>38</v>
      </c>
      <c r="Q1211" s="2" t="s">
        <v>38</v>
      </c>
      <c r="R1211" s="2" t="s">
        <v>38</v>
      </c>
      <c r="S1211" s="2" t="s">
        <v>38</v>
      </c>
      <c r="T1211" s="2" t="s">
        <v>38</v>
      </c>
      <c r="U1211" s="2" t="s">
        <v>38</v>
      </c>
      <c r="V1211" s="2" t="s">
        <v>38</v>
      </c>
      <c r="W1211" s="2" t="s">
        <v>38</v>
      </c>
      <c r="X1211" s="2" t="s">
        <v>38</v>
      </c>
      <c r="Y1211" s="2" t="s">
        <v>39</v>
      </c>
      <c r="Z1211" s="2" t="s">
        <v>38</v>
      </c>
      <c r="AA1211" s="2" t="s">
        <v>38</v>
      </c>
      <c r="AB1211" s="2" t="s">
        <v>38</v>
      </c>
      <c r="AC1211" s="2" t="s">
        <v>38</v>
      </c>
      <c r="AD1211" s="2" t="s">
        <v>38</v>
      </c>
      <c r="AE1211" s="2" t="s">
        <v>40</v>
      </c>
    </row>
    <row r="1212" spans="1:31" ht="409.5">
      <c r="A1212" s="2">
        <v>2743334</v>
      </c>
      <c r="B1212" s="2">
        <f>HYPERLINK("https://platform.v2.vetology.net/cases/2743334/screening-report/1?type=pdf&amp;v=v6&amp;scorecard=1&amp;secret_key=BX%25IJ%24%2F65ieZ%29f6", 2743334)</f>
        <v>2743334</v>
      </c>
      <c r="C1212" s="2">
        <f>HYPERLINK("https://platform.v2.vetology.net/report/v/final/"&amp;2743334, 2743334)</f>
        <v>2743334</v>
      </c>
      <c r="D1212" s="2" t="s">
        <v>3346</v>
      </c>
      <c r="E1212" s="2" t="s">
        <v>4028</v>
      </c>
      <c r="F1212" s="2" t="s">
        <v>4029</v>
      </c>
      <c r="G1212" s="2" t="s">
        <v>111</v>
      </c>
      <c r="H1212" s="2" t="s">
        <v>2816</v>
      </c>
      <c r="I1212" s="2" t="s">
        <v>36</v>
      </c>
      <c r="J1212" s="2" t="s">
        <v>37</v>
      </c>
      <c r="K1212" s="2" t="s">
        <v>39</v>
      </c>
      <c r="L1212" s="2" t="s">
        <v>38</v>
      </c>
      <c r="M1212" s="2" t="s">
        <v>39</v>
      </c>
      <c r="N1212" s="2" t="s">
        <v>39</v>
      </c>
      <c r="O1212" s="2" t="s">
        <v>39</v>
      </c>
      <c r="P1212" s="2" t="s">
        <v>39</v>
      </c>
      <c r="Q1212" s="2" t="s">
        <v>39</v>
      </c>
      <c r="R1212" s="2" t="s">
        <v>39</v>
      </c>
      <c r="S1212" s="2" t="s">
        <v>39</v>
      </c>
      <c r="T1212" s="2" t="s">
        <v>38</v>
      </c>
      <c r="U1212" s="2" t="s">
        <v>39</v>
      </c>
      <c r="V1212" s="2" t="s">
        <v>39</v>
      </c>
      <c r="W1212" s="2" t="s">
        <v>39</v>
      </c>
      <c r="X1212" s="2" t="s">
        <v>39</v>
      </c>
      <c r="Y1212" s="2" t="s">
        <v>39</v>
      </c>
      <c r="Z1212" s="2" t="s">
        <v>39</v>
      </c>
      <c r="AA1212" s="2" t="s">
        <v>38</v>
      </c>
      <c r="AB1212" s="2" t="s">
        <v>39</v>
      </c>
      <c r="AC1212" s="2" t="s">
        <v>39</v>
      </c>
      <c r="AD1212" s="2" t="s">
        <v>39</v>
      </c>
      <c r="AE1212" s="2" t="s">
        <v>39</v>
      </c>
    </row>
    <row r="1213" spans="1:31" ht="409.5">
      <c r="A1213" s="2">
        <v>2743296</v>
      </c>
      <c r="B1213" s="2">
        <f>HYPERLINK("https://platform.v2.vetology.net/cases/2743296/screening-report/1?type=pdf&amp;v=v6&amp;scorecard=1&amp;secret_key=BX%25IJ%24%2F65ieZ%29f6", 2743296)</f>
        <v>2743296</v>
      </c>
      <c r="C1213" s="2">
        <f>HYPERLINK("https://platform.v2.vetology.net/report/v/final/"&amp;2743296, 2743296)</f>
        <v>2743296</v>
      </c>
      <c r="D1213" s="2" t="s">
        <v>4030</v>
      </c>
      <c r="E1213" s="2" t="s">
        <v>4031</v>
      </c>
      <c r="F1213" s="2" t="s">
        <v>4032</v>
      </c>
      <c r="G1213" s="2" t="s">
        <v>53</v>
      </c>
      <c r="H1213" s="2" t="s">
        <v>4033</v>
      </c>
      <c r="I1213" s="2" t="s">
        <v>73</v>
      </c>
      <c r="J1213" s="2" t="s">
        <v>74</v>
      </c>
      <c r="K1213" s="2" t="s">
        <v>38</v>
      </c>
      <c r="L1213" s="2" t="s">
        <v>38</v>
      </c>
      <c r="M1213" s="2" t="s">
        <v>38</v>
      </c>
      <c r="N1213" s="2" t="s">
        <v>38</v>
      </c>
      <c r="O1213" s="2" t="s">
        <v>38</v>
      </c>
      <c r="P1213" s="2" t="s">
        <v>38</v>
      </c>
      <c r="Q1213" s="2" t="s">
        <v>38</v>
      </c>
      <c r="R1213" s="2" t="s">
        <v>38</v>
      </c>
      <c r="S1213" s="2" t="s">
        <v>38</v>
      </c>
      <c r="T1213" s="2" t="s">
        <v>38</v>
      </c>
      <c r="U1213" s="2" t="s">
        <v>38</v>
      </c>
      <c r="V1213" s="2" t="s">
        <v>39</v>
      </c>
      <c r="W1213" s="2" t="s">
        <v>38</v>
      </c>
      <c r="X1213" s="2" t="s">
        <v>38</v>
      </c>
      <c r="Y1213" s="2" t="s">
        <v>39</v>
      </c>
      <c r="Z1213" s="2" t="s">
        <v>38</v>
      </c>
      <c r="AA1213" s="2" t="s">
        <v>38</v>
      </c>
      <c r="AB1213" s="2" t="s">
        <v>38</v>
      </c>
      <c r="AC1213" s="2" t="s">
        <v>38</v>
      </c>
      <c r="AD1213" s="2" t="s">
        <v>39</v>
      </c>
      <c r="AE1213" s="2" t="s">
        <v>39</v>
      </c>
    </row>
    <row r="1214" spans="1:31" ht="409.5">
      <c r="A1214" s="2">
        <v>2743238</v>
      </c>
      <c r="B1214" s="2">
        <f>HYPERLINK("https://platform.v2.vetology.net/cases/2743238/screening-report/1?type=pdf&amp;v=v6&amp;scorecard=1&amp;secret_key=BX%25IJ%24%2F65ieZ%29f6", 2743238)</f>
        <v>2743238</v>
      </c>
      <c r="C1214" s="2">
        <f>HYPERLINK("https://platform.v2.vetology.net/report/v/final/"&amp;2743238, 2743238)</f>
        <v>2743238</v>
      </c>
      <c r="D1214" s="2" t="s">
        <v>4034</v>
      </c>
      <c r="E1214" s="2" t="s">
        <v>4035</v>
      </c>
      <c r="F1214" s="2" t="s">
        <v>4036</v>
      </c>
      <c r="G1214" s="2" t="s">
        <v>34</v>
      </c>
      <c r="H1214" s="2" t="s">
        <v>611</v>
      </c>
      <c r="I1214" s="2" t="s">
        <v>46</v>
      </c>
      <c r="J1214" s="2"/>
      <c r="K1214" s="2" t="s">
        <v>39</v>
      </c>
      <c r="L1214" s="2" t="s">
        <v>39</v>
      </c>
      <c r="M1214" s="2" t="s">
        <v>39</v>
      </c>
      <c r="N1214" s="2" t="s">
        <v>39</v>
      </c>
      <c r="O1214" s="2" t="s">
        <v>39</v>
      </c>
      <c r="P1214" s="2" t="s">
        <v>39</v>
      </c>
      <c r="Q1214" s="2" t="s">
        <v>39</v>
      </c>
      <c r="R1214" s="2" t="s">
        <v>39</v>
      </c>
      <c r="S1214" s="2" t="s">
        <v>39</v>
      </c>
      <c r="T1214" s="2" t="s">
        <v>38</v>
      </c>
      <c r="U1214" s="2" t="s">
        <v>39</v>
      </c>
      <c r="V1214" s="2" t="s">
        <v>38</v>
      </c>
      <c r="W1214" s="2" t="s">
        <v>39</v>
      </c>
      <c r="X1214" s="2" t="s">
        <v>39</v>
      </c>
      <c r="Y1214" s="2" t="s">
        <v>39</v>
      </c>
      <c r="Z1214" s="2" t="s">
        <v>39</v>
      </c>
      <c r="AA1214" s="2" t="s">
        <v>39</v>
      </c>
      <c r="AB1214" s="2" t="s">
        <v>39</v>
      </c>
      <c r="AC1214" s="2" t="s">
        <v>39</v>
      </c>
      <c r="AD1214" s="2" t="s">
        <v>38</v>
      </c>
      <c r="AE1214" s="2" t="s">
        <v>39</v>
      </c>
    </row>
    <row r="1215" spans="1:31" ht="409.5">
      <c r="A1215" s="2">
        <v>2743216</v>
      </c>
      <c r="B1215" s="2">
        <f>HYPERLINK("https://platform.v2.vetology.net/cases/2743216/screening-report/1?type=pdf&amp;v=v6&amp;scorecard=1&amp;secret_key=BX%25IJ%24%2F65ieZ%29f6", 2743216)</f>
        <v>2743216</v>
      </c>
      <c r="C1215" s="2">
        <f>HYPERLINK("https://platform.v2.vetology.net/report/v/final/"&amp;2743216, 2743216)</f>
        <v>2743216</v>
      </c>
      <c r="D1215" s="2" t="s">
        <v>4037</v>
      </c>
      <c r="E1215" s="2" t="s">
        <v>4038</v>
      </c>
      <c r="F1215" s="2" t="s">
        <v>4039</v>
      </c>
      <c r="G1215" s="2" t="s">
        <v>34</v>
      </c>
      <c r="H1215" s="2" t="s">
        <v>1450</v>
      </c>
      <c r="I1215" s="2" t="s">
        <v>73</v>
      </c>
      <c r="J1215" s="2" t="s">
        <v>74</v>
      </c>
      <c r="K1215" s="2" t="s">
        <v>38</v>
      </c>
      <c r="L1215" s="2" t="s">
        <v>38</v>
      </c>
      <c r="M1215" s="2" t="s">
        <v>38</v>
      </c>
      <c r="N1215" s="2" t="s">
        <v>38</v>
      </c>
      <c r="O1215" s="2" t="s">
        <v>38</v>
      </c>
      <c r="P1215" s="2" t="s">
        <v>38</v>
      </c>
      <c r="Q1215" s="2" t="s">
        <v>38</v>
      </c>
      <c r="R1215" s="2" t="s">
        <v>38</v>
      </c>
      <c r="S1215" s="2" t="s">
        <v>38</v>
      </c>
      <c r="T1215" s="2" t="s">
        <v>38</v>
      </c>
      <c r="U1215" s="2" t="s">
        <v>38</v>
      </c>
      <c r="V1215" s="2" t="s">
        <v>38</v>
      </c>
      <c r="W1215" s="2" t="s">
        <v>38</v>
      </c>
      <c r="X1215" s="2" t="s">
        <v>38</v>
      </c>
      <c r="Y1215" s="2" t="s">
        <v>39</v>
      </c>
      <c r="Z1215" s="2" t="s">
        <v>38</v>
      </c>
      <c r="AA1215" s="2" t="s">
        <v>38</v>
      </c>
      <c r="AB1215" s="2" t="s">
        <v>38</v>
      </c>
      <c r="AC1215" s="2" t="s">
        <v>38</v>
      </c>
      <c r="AD1215" s="2" t="s">
        <v>38</v>
      </c>
      <c r="AE1215" s="2" t="s">
        <v>39</v>
      </c>
    </row>
    <row r="1216" spans="1:31" ht="409.5">
      <c r="A1216" s="2">
        <v>2743193</v>
      </c>
      <c r="B1216" s="2">
        <f>HYPERLINK("https://platform.v2.vetology.net/cases/2743193/screening-report/1?type=pdf&amp;v=v6&amp;scorecard=1&amp;secret_key=BX%25IJ%24%2F65ieZ%29f6", 2743193)</f>
        <v>2743193</v>
      </c>
      <c r="C1216" s="2">
        <f>HYPERLINK("https://platform.v2.vetology.net/report/v/final/"&amp;2743193, 2743193)</f>
        <v>2743193</v>
      </c>
      <c r="D1216" s="2" t="s">
        <v>4040</v>
      </c>
      <c r="E1216" s="2" t="s">
        <v>4041</v>
      </c>
      <c r="F1216" s="2" t="s">
        <v>229</v>
      </c>
      <c r="G1216" s="2" t="s">
        <v>170</v>
      </c>
      <c r="H1216" s="2" t="s">
        <v>4042</v>
      </c>
      <c r="I1216" s="2" t="s">
        <v>36</v>
      </c>
      <c r="J1216" s="2" t="s">
        <v>37</v>
      </c>
      <c r="K1216" s="2" t="s">
        <v>38</v>
      </c>
      <c r="L1216" s="2" t="s">
        <v>38</v>
      </c>
      <c r="M1216" s="2" t="s">
        <v>38</v>
      </c>
      <c r="N1216" s="2" t="s">
        <v>38</v>
      </c>
      <c r="O1216" s="2" t="s">
        <v>38</v>
      </c>
      <c r="P1216" s="2" t="s">
        <v>38</v>
      </c>
      <c r="Q1216" s="2" t="s">
        <v>38</v>
      </c>
      <c r="R1216" s="2" t="s">
        <v>38</v>
      </c>
      <c r="S1216" s="2" t="s">
        <v>38</v>
      </c>
      <c r="T1216" s="2" t="s">
        <v>38</v>
      </c>
      <c r="U1216" s="2" t="s">
        <v>38</v>
      </c>
      <c r="V1216" s="2" t="s">
        <v>38</v>
      </c>
      <c r="W1216" s="2" t="s">
        <v>38</v>
      </c>
      <c r="X1216" s="2" t="s">
        <v>38</v>
      </c>
      <c r="Y1216" s="2" t="s">
        <v>38</v>
      </c>
      <c r="Z1216" s="2" t="s">
        <v>38</v>
      </c>
      <c r="AA1216" s="2" t="s">
        <v>38</v>
      </c>
      <c r="AB1216" s="2" t="s">
        <v>39</v>
      </c>
      <c r="AC1216" s="2" t="s">
        <v>38</v>
      </c>
      <c r="AD1216" s="2" t="s">
        <v>38</v>
      </c>
      <c r="AE1216" s="2"/>
    </row>
    <row r="1217" spans="1:31" ht="409.5">
      <c r="A1217" s="2">
        <v>2743161</v>
      </c>
      <c r="B1217" s="2">
        <f>HYPERLINK("https://platform.v2.vetology.net/cases/2743161/screening-report/1?type=pdf&amp;v=v6&amp;scorecard=1&amp;secret_key=BX%25IJ%24%2F65ieZ%29f6", 2743161)</f>
        <v>2743161</v>
      </c>
      <c r="C1217" s="2">
        <f>HYPERLINK("https://platform.v2.vetology.net/report/v/final/"&amp;2743161, 2743161)</f>
        <v>2743161</v>
      </c>
      <c r="D1217" s="2" t="s">
        <v>4043</v>
      </c>
      <c r="E1217" s="2" t="s">
        <v>4044</v>
      </c>
      <c r="F1217" s="2" t="s">
        <v>4045</v>
      </c>
      <c r="G1217" s="2" t="s">
        <v>507</v>
      </c>
      <c r="H1217" s="2" t="s">
        <v>4046</v>
      </c>
      <c r="I1217" s="2" t="s">
        <v>36</v>
      </c>
      <c r="J1217" s="2" t="s">
        <v>37</v>
      </c>
      <c r="K1217" s="2" t="s">
        <v>38</v>
      </c>
      <c r="L1217" s="2" t="s">
        <v>38</v>
      </c>
      <c r="M1217" s="2" t="s">
        <v>38</v>
      </c>
      <c r="N1217" s="2" t="s">
        <v>38</v>
      </c>
      <c r="O1217" s="2" t="s">
        <v>38</v>
      </c>
      <c r="P1217" s="2" t="s">
        <v>39</v>
      </c>
      <c r="Q1217" s="2" t="s">
        <v>39</v>
      </c>
      <c r="R1217" s="2" t="s">
        <v>38</v>
      </c>
      <c r="S1217" s="2" t="s">
        <v>38</v>
      </c>
      <c r="T1217" s="2" t="s">
        <v>39</v>
      </c>
      <c r="U1217" s="2" t="s">
        <v>38</v>
      </c>
      <c r="V1217" s="2" t="s">
        <v>38</v>
      </c>
      <c r="W1217" s="2" t="s">
        <v>38</v>
      </c>
      <c r="X1217" s="2" t="s">
        <v>39</v>
      </c>
      <c r="Y1217" s="2" t="s">
        <v>38</v>
      </c>
      <c r="Z1217" s="2" t="s">
        <v>38</v>
      </c>
      <c r="AA1217" s="2" t="s">
        <v>38</v>
      </c>
      <c r="AB1217" s="2" t="s">
        <v>39</v>
      </c>
      <c r="AC1217" s="2" t="s">
        <v>38</v>
      </c>
      <c r="AD1217" s="2" t="s">
        <v>39</v>
      </c>
      <c r="AE1217" s="2" t="s">
        <v>40</v>
      </c>
    </row>
    <row r="1218" spans="1:31" ht="409.5">
      <c r="A1218" s="2">
        <v>2743141</v>
      </c>
      <c r="B1218" s="2">
        <f>HYPERLINK("https://platform.v2.vetology.net/cases/2743141/screening-report/1?type=pdf&amp;v=v6&amp;scorecard=1&amp;secret_key=BX%25IJ%24%2F65ieZ%29f6", 2743141)</f>
        <v>2743141</v>
      </c>
      <c r="C1218" s="2">
        <f>HYPERLINK("https://platform.v2.vetology.net/report/v/final/"&amp;2743141, 2743141)</f>
        <v>2743141</v>
      </c>
      <c r="D1218" s="2" t="s">
        <v>4047</v>
      </c>
      <c r="E1218" s="2" t="s">
        <v>4048</v>
      </c>
      <c r="F1218" s="2" t="s">
        <v>4049</v>
      </c>
      <c r="G1218" s="2" t="s">
        <v>100</v>
      </c>
      <c r="H1218" s="2" t="s">
        <v>4050</v>
      </c>
      <c r="I1218" s="2" t="s">
        <v>36</v>
      </c>
      <c r="J1218" s="2" t="s">
        <v>37</v>
      </c>
      <c r="K1218" s="2" t="s">
        <v>38</v>
      </c>
      <c r="L1218" s="2" t="s">
        <v>39</v>
      </c>
      <c r="M1218" s="2" t="s">
        <v>38</v>
      </c>
      <c r="N1218" s="2" t="s">
        <v>39</v>
      </c>
      <c r="O1218" s="2" t="s">
        <v>39</v>
      </c>
      <c r="P1218" s="2" t="s">
        <v>39</v>
      </c>
      <c r="Q1218" s="2" t="s">
        <v>39</v>
      </c>
      <c r="R1218" s="2" t="s">
        <v>39</v>
      </c>
      <c r="S1218" s="2" t="s">
        <v>39</v>
      </c>
      <c r="T1218" s="2" t="s">
        <v>39</v>
      </c>
      <c r="U1218" s="2" t="s">
        <v>39</v>
      </c>
      <c r="V1218" s="2" t="s">
        <v>38</v>
      </c>
      <c r="W1218" s="2" t="s">
        <v>38</v>
      </c>
      <c r="X1218" s="2" t="s">
        <v>39</v>
      </c>
      <c r="Y1218" s="2" t="s">
        <v>39</v>
      </c>
      <c r="Z1218" s="2" t="s">
        <v>39</v>
      </c>
      <c r="AA1218" s="2" t="s">
        <v>39</v>
      </c>
      <c r="AB1218" s="2" t="s">
        <v>39</v>
      </c>
      <c r="AC1218" s="2" t="s">
        <v>39</v>
      </c>
      <c r="AD1218" s="2" t="s">
        <v>39</v>
      </c>
      <c r="AE1218" s="2" t="s">
        <v>39</v>
      </c>
    </row>
    <row r="1219" spans="1:31" ht="409.5">
      <c r="A1219" s="2">
        <v>2743136</v>
      </c>
      <c r="B1219" s="2">
        <f>HYPERLINK("https://platform.v2.vetology.net/cases/2743136/screening-report/1?type=pdf&amp;v=v6&amp;scorecard=1&amp;secret_key=BX%25IJ%24%2F65ieZ%29f6", 2743136)</f>
        <v>2743136</v>
      </c>
      <c r="C1219" s="2">
        <f>HYPERLINK("https://platform.v2.vetology.net/report/v/final/"&amp;2743136, 2743136)</f>
        <v>2743136</v>
      </c>
      <c r="D1219" s="2" t="s">
        <v>4051</v>
      </c>
      <c r="E1219" s="2" t="s">
        <v>4052</v>
      </c>
      <c r="F1219" s="2" t="s">
        <v>4053</v>
      </c>
      <c r="G1219" s="2" t="s">
        <v>507</v>
      </c>
      <c r="H1219" s="2" t="s">
        <v>4054</v>
      </c>
      <c r="I1219" s="2" t="s">
        <v>73</v>
      </c>
      <c r="J1219" s="2" t="s">
        <v>74</v>
      </c>
      <c r="K1219" s="2" t="s">
        <v>38</v>
      </c>
      <c r="L1219" s="2" t="s">
        <v>38</v>
      </c>
      <c r="M1219" s="2" t="s">
        <v>38</v>
      </c>
      <c r="N1219" s="2" t="s">
        <v>38</v>
      </c>
      <c r="O1219" s="2" t="s">
        <v>38</v>
      </c>
      <c r="P1219" s="2" t="s">
        <v>38</v>
      </c>
      <c r="Q1219" s="2" t="s">
        <v>38</v>
      </c>
      <c r="R1219" s="2" t="s">
        <v>38</v>
      </c>
      <c r="S1219" s="2" t="s">
        <v>38</v>
      </c>
      <c r="T1219" s="2" t="s">
        <v>38</v>
      </c>
      <c r="U1219" s="2" t="s">
        <v>38</v>
      </c>
      <c r="V1219" s="2" t="s">
        <v>38</v>
      </c>
      <c r="W1219" s="2" t="s">
        <v>38</v>
      </c>
      <c r="X1219" s="2" t="s">
        <v>38</v>
      </c>
      <c r="Y1219" s="2" t="s">
        <v>38</v>
      </c>
      <c r="Z1219" s="2" t="s">
        <v>38</v>
      </c>
      <c r="AA1219" s="2" t="s">
        <v>38</v>
      </c>
      <c r="AB1219" s="2" t="s">
        <v>38</v>
      </c>
      <c r="AC1219" s="2" t="s">
        <v>38</v>
      </c>
      <c r="AD1219" s="2" t="s">
        <v>38</v>
      </c>
      <c r="AE1219" s="2" t="s">
        <v>40</v>
      </c>
    </row>
    <row r="1220" spans="1:31" ht="409.5">
      <c r="A1220" s="2">
        <v>2743127</v>
      </c>
      <c r="B1220" s="2">
        <f>HYPERLINK("https://platform.v2.vetology.net/cases/2743127/screening-report/1?type=pdf&amp;v=v6&amp;scorecard=1&amp;secret_key=BX%25IJ%24%2F65ieZ%29f6", 2743127)</f>
        <v>2743127</v>
      </c>
      <c r="C1220" s="2">
        <f>HYPERLINK("https://platform.v2.vetology.net/report/v/final/"&amp;2743127, 2743127)</f>
        <v>2743127</v>
      </c>
      <c r="D1220" s="2" t="s">
        <v>4055</v>
      </c>
      <c r="E1220" s="2" t="s">
        <v>4056</v>
      </c>
      <c r="F1220" s="2" t="s">
        <v>43</v>
      </c>
      <c r="G1220" s="2" t="s">
        <v>44</v>
      </c>
      <c r="H1220" s="2" t="s">
        <v>69</v>
      </c>
      <c r="I1220" s="2" t="s">
        <v>46</v>
      </c>
      <c r="J1220" s="2"/>
      <c r="K1220" s="2" t="s">
        <v>39</v>
      </c>
      <c r="L1220" s="2" t="s">
        <v>39</v>
      </c>
      <c r="M1220" s="2" t="s">
        <v>39</v>
      </c>
      <c r="N1220" s="2" t="s">
        <v>39</v>
      </c>
      <c r="O1220" s="2" t="s">
        <v>39</v>
      </c>
      <c r="P1220" s="2" t="s">
        <v>39</v>
      </c>
      <c r="Q1220" s="2" t="s">
        <v>39</v>
      </c>
      <c r="R1220" s="2" t="s">
        <v>39</v>
      </c>
      <c r="S1220" s="2" t="s">
        <v>39</v>
      </c>
      <c r="T1220" s="2" t="s">
        <v>39</v>
      </c>
      <c r="U1220" s="2" t="s">
        <v>39</v>
      </c>
      <c r="V1220" s="2" t="s">
        <v>39</v>
      </c>
      <c r="W1220" s="2" t="s">
        <v>39</v>
      </c>
      <c r="X1220" s="2" t="s">
        <v>39</v>
      </c>
      <c r="Y1220" s="2" t="s">
        <v>39</v>
      </c>
      <c r="Z1220" s="2" t="s">
        <v>39</v>
      </c>
      <c r="AA1220" s="2" t="s">
        <v>39</v>
      </c>
      <c r="AB1220" s="2" t="s">
        <v>39</v>
      </c>
      <c r="AC1220" s="2" t="s">
        <v>38</v>
      </c>
      <c r="AD1220" s="2" t="s">
        <v>39</v>
      </c>
      <c r="AE1220" s="2" t="s">
        <v>39</v>
      </c>
    </row>
    <row r="1221" spans="1:31" ht="409.5">
      <c r="A1221" s="2">
        <v>2743109</v>
      </c>
      <c r="B1221" s="2">
        <f>HYPERLINK("https://platform.v2.vetology.net/cases/2743109/screening-report/1?type=pdf&amp;v=v6&amp;scorecard=1&amp;secret_key=BX%25IJ%24%2F65ieZ%29f6", 2743109)</f>
        <v>2743109</v>
      </c>
      <c r="C1221" s="2">
        <f>HYPERLINK("https://platform.v2.vetology.net/report/v/final/"&amp;2743109, 2743109)</f>
        <v>2743109</v>
      </c>
      <c r="D1221" s="2" t="s">
        <v>4057</v>
      </c>
      <c r="E1221" s="2" t="s">
        <v>4058</v>
      </c>
      <c r="F1221" s="2" t="s">
        <v>4059</v>
      </c>
      <c r="G1221" s="2" t="s">
        <v>507</v>
      </c>
      <c r="H1221" s="2" t="s">
        <v>4060</v>
      </c>
      <c r="I1221" s="2" t="s">
        <v>73</v>
      </c>
      <c r="J1221" s="2" t="s">
        <v>74</v>
      </c>
      <c r="K1221" s="2" t="s">
        <v>38</v>
      </c>
      <c r="L1221" s="2" t="s">
        <v>38</v>
      </c>
      <c r="M1221" s="2" t="s">
        <v>38</v>
      </c>
      <c r="N1221" s="2" t="s">
        <v>38</v>
      </c>
      <c r="O1221" s="2" t="s">
        <v>38</v>
      </c>
      <c r="P1221" s="2" t="s">
        <v>38</v>
      </c>
      <c r="Q1221" s="2" t="s">
        <v>38</v>
      </c>
      <c r="R1221" s="2" t="s">
        <v>38</v>
      </c>
      <c r="S1221" s="2" t="s">
        <v>38</v>
      </c>
      <c r="T1221" s="2" t="s">
        <v>38</v>
      </c>
      <c r="U1221" s="2" t="s">
        <v>38</v>
      </c>
      <c r="V1221" s="2" t="s">
        <v>38</v>
      </c>
      <c r="W1221" s="2" t="s">
        <v>38</v>
      </c>
      <c r="X1221" s="2" t="s">
        <v>38</v>
      </c>
      <c r="Y1221" s="2" t="s">
        <v>38</v>
      </c>
      <c r="Z1221" s="2" t="s">
        <v>38</v>
      </c>
      <c r="AA1221" s="2" t="s">
        <v>38</v>
      </c>
      <c r="AB1221" s="2" t="s">
        <v>38</v>
      </c>
      <c r="AC1221" s="2" t="s">
        <v>38</v>
      </c>
      <c r="AD1221" s="2" t="s">
        <v>38</v>
      </c>
      <c r="AE1221" s="2" t="s">
        <v>39</v>
      </c>
    </row>
    <row r="1222" spans="1:31" ht="409.5">
      <c r="A1222" s="2">
        <v>2743060</v>
      </c>
      <c r="B1222" s="2">
        <f>HYPERLINK("https://platform.v2.vetology.net/cases/2743060/screening-report/1?type=pdf&amp;v=v6&amp;scorecard=1&amp;secret_key=BX%25IJ%24%2F65ieZ%29f6", 2743060)</f>
        <v>2743060</v>
      </c>
      <c r="C1222" s="2">
        <f>HYPERLINK("https://platform.v2.vetology.net/report/v/final/"&amp;2743060, 2743060)</f>
        <v>2743060</v>
      </c>
      <c r="D1222" s="2" t="s">
        <v>4061</v>
      </c>
      <c r="E1222" s="2" t="s">
        <v>4062</v>
      </c>
      <c r="F1222" s="2" t="s">
        <v>43</v>
      </c>
      <c r="G1222" s="2" t="s">
        <v>507</v>
      </c>
      <c r="H1222" s="2" t="s">
        <v>69</v>
      </c>
      <c r="I1222" s="2" t="s">
        <v>46</v>
      </c>
      <c r="J1222" s="2"/>
      <c r="K1222" s="2" t="s">
        <v>39</v>
      </c>
      <c r="L1222" s="2" t="s">
        <v>39</v>
      </c>
      <c r="M1222" s="2" t="s">
        <v>39</v>
      </c>
      <c r="N1222" s="2" t="s">
        <v>39</v>
      </c>
      <c r="O1222" s="2" t="s">
        <v>39</v>
      </c>
      <c r="P1222" s="2" t="s">
        <v>39</v>
      </c>
      <c r="Q1222" s="2" t="s">
        <v>39</v>
      </c>
      <c r="R1222" s="2" t="s">
        <v>39</v>
      </c>
      <c r="S1222" s="2" t="s">
        <v>39</v>
      </c>
      <c r="T1222" s="2" t="s">
        <v>39</v>
      </c>
      <c r="U1222" s="2" t="s">
        <v>39</v>
      </c>
      <c r="V1222" s="2" t="s">
        <v>39</v>
      </c>
      <c r="W1222" s="2" t="s">
        <v>39</v>
      </c>
      <c r="X1222" s="2" t="s">
        <v>39</v>
      </c>
      <c r="Y1222" s="2" t="s">
        <v>39</v>
      </c>
      <c r="Z1222" s="2" t="s">
        <v>39</v>
      </c>
      <c r="AA1222" s="2" t="s">
        <v>39</v>
      </c>
      <c r="AB1222" s="2" t="s">
        <v>39</v>
      </c>
      <c r="AC1222" s="2" t="s">
        <v>39</v>
      </c>
      <c r="AD1222" s="2" t="s">
        <v>39</v>
      </c>
      <c r="AE1222" s="2" t="s">
        <v>40</v>
      </c>
    </row>
    <row r="1223" spans="1:31" ht="409.5">
      <c r="A1223" s="2">
        <v>2743038</v>
      </c>
      <c r="B1223" s="2">
        <f>HYPERLINK("https://platform.v2.vetology.net/cases/2743038/screening-report/1?type=pdf&amp;v=v6&amp;scorecard=1&amp;secret_key=BX%25IJ%24%2F65ieZ%29f6", 2743038)</f>
        <v>2743038</v>
      </c>
      <c r="C1223" s="2">
        <f>HYPERLINK("https://platform.v2.vetology.net/report/v/final/"&amp;2743038, 2743038)</f>
        <v>2743038</v>
      </c>
      <c r="D1223" s="2" t="s">
        <v>4063</v>
      </c>
      <c r="E1223" s="2" t="s">
        <v>4048</v>
      </c>
      <c r="F1223" s="2" t="s">
        <v>4064</v>
      </c>
      <c r="G1223" s="2" t="s">
        <v>100</v>
      </c>
      <c r="H1223" s="2" t="s">
        <v>4065</v>
      </c>
      <c r="I1223" s="2" t="s">
        <v>36</v>
      </c>
      <c r="J1223" s="2" t="s">
        <v>37</v>
      </c>
      <c r="K1223" s="2" t="s">
        <v>38</v>
      </c>
      <c r="L1223" s="2" t="s">
        <v>39</v>
      </c>
      <c r="M1223" s="2" t="s">
        <v>38</v>
      </c>
      <c r="N1223" s="2" t="s">
        <v>39</v>
      </c>
      <c r="O1223" s="2" t="s">
        <v>38</v>
      </c>
      <c r="P1223" s="2" t="s">
        <v>39</v>
      </c>
      <c r="Q1223" s="2" t="s">
        <v>39</v>
      </c>
      <c r="R1223" s="2" t="s">
        <v>39</v>
      </c>
      <c r="S1223" s="2" t="s">
        <v>39</v>
      </c>
      <c r="T1223" s="2" t="s">
        <v>39</v>
      </c>
      <c r="U1223" s="2" t="s">
        <v>38</v>
      </c>
      <c r="V1223" s="2" t="s">
        <v>39</v>
      </c>
      <c r="W1223" s="2" t="s">
        <v>39</v>
      </c>
      <c r="X1223" s="2" t="s">
        <v>39</v>
      </c>
      <c r="Y1223" s="2" t="s">
        <v>39</v>
      </c>
      <c r="Z1223" s="2" t="s">
        <v>39</v>
      </c>
      <c r="AA1223" s="2" t="s">
        <v>39</v>
      </c>
      <c r="AB1223" s="2" t="s">
        <v>39</v>
      </c>
      <c r="AC1223" s="2" t="s">
        <v>38</v>
      </c>
      <c r="AD1223" s="2" t="s">
        <v>39</v>
      </c>
      <c r="AE1223" s="2" t="s">
        <v>39</v>
      </c>
    </row>
    <row r="1224" spans="1:31" ht="409.5">
      <c r="A1224" s="2">
        <v>2743033</v>
      </c>
      <c r="B1224" s="2">
        <f>HYPERLINK("https://platform.v2.vetology.net/cases/2743033/screening-report/1?type=pdf&amp;v=v6&amp;scorecard=1&amp;secret_key=BX%25IJ%24%2F65ieZ%29f6", 2743033)</f>
        <v>2743033</v>
      </c>
      <c r="C1224" s="2">
        <f>HYPERLINK("https://platform.v2.vetology.net/report/v/final/"&amp;2743033, 2743033)</f>
        <v>2743033</v>
      </c>
      <c r="D1224" s="2" t="s">
        <v>4066</v>
      </c>
      <c r="E1224" s="2" t="s">
        <v>4067</v>
      </c>
      <c r="F1224" s="2" t="s">
        <v>1744</v>
      </c>
      <c r="G1224" s="2" t="s">
        <v>100</v>
      </c>
      <c r="H1224" s="2" t="s">
        <v>4068</v>
      </c>
      <c r="I1224" s="2" t="s">
        <v>73</v>
      </c>
      <c r="J1224" s="2" t="s">
        <v>74</v>
      </c>
      <c r="K1224" s="2" t="s">
        <v>38</v>
      </c>
      <c r="L1224" s="2" t="s">
        <v>38</v>
      </c>
      <c r="M1224" s="2" t="s">
        <v>38</v>
      </c>
      <c r="N1224" s="2" t="s">
        <v>38</v>
      </c>
      <c r="O1224" s="2" t="s">
        <v>38</v>
      </c>
      <c r="P1224" s="2" t="s">
        <v>38</v>
      </c>
      <c r="Q1224" s="2" t="s">
        <v>38</v>
      </c>
      <c r="R1224" s="2" t="s">
        <v>39</v>
      </c>
      <c r="S1224" s="2" t="s">
        <v>38</v>
      </c>
      <c r="T1224" s="2" t="s">
        <v>38</v>
      </c>
      <c r="U1224" s="2" t="s">
        <v>38</v>
      </c>
      <c r="V1224" s="2" t="s">
        <v>38</v>
      </c>
      <c r="W1224" s="2" t="s">
        <v>38</v>
      </c>
      <c r="X1224" s="2" t="s">
        <v>38</v>
      </c>
      <c r="Y1224" s="2" t="s">
        <v>38</v>
      </c>
      <c r="Z1224" s="2" t="s">
        <v>38</v>
      </c>
      <c r="AA1224" s="2" t="s">
        <v>38</v>
      </c>
      <c r="AB1224" s="2" t="s">
        <v>38</v>
      </c>
      <c r="AC1224" s="2" t="s">
        <v>38</v>
      </c>
      <c r="AD1224" s="2" t="s">
        <v>38</v>
      </c>
      <c r="AE1224" s="2" t="s">
        <v>39</v>
      </c>
    </row>
    <row r="1225" spans="1:31" ht="409.5">
      <c r="A1225" s="2">
        <v>2743027</v>
      </c>
      <c r="B1225" s="2">
        <f>HYPERLINK("https://platform.v2.vetology.net/cases/2743027/screening-report/1?type=pdf&amp;v=v6&amp;scorecard=1&amp;secret_key=BX%25IJ%24%2F65ieZ%29f6", 2743027)</f>
        <v>2743027</v>
      </c>
      <c r="C1225" s="2">
        <f>HYPERLINK("https://platform.v2.vetology.net/report/v/final/"&amp;2743027, 2743027)</f>
        <v>2743027</v>
      </c>
      <c r="D1225" s="2" t="s">
        <v>4069</v>
      </c>
      <c r="E1225" s="2" t="s">
        <v>4070</v>
      </c>
      <c r="F1225" s="2" t="s">
        <v>43</v>
      </c>
      <c r="G1225" s="2" t="s">
        <v>44</v>
      </c>
      <c r="H1225" s="2" t="s">
        <v>158</v>
      </c>
      <c r="I1225" s="2" t="s">
        <v>59</v>
      </c>
      <c r="J1225" s="2" t="s">
        <v>37</v>
      </c>
      <c r="K1225" s="2" t="s">
        <v>38</v>
      </c>
      <c r="L1225" s="2" t="s">
        <v>39</v>
      </c>
      <c r="M1225" s="2" t="s">
        <v>39</v>
      </c>
      <c r="N1225" s="2" t="s">
        <v>39</v>
      </c>
      <c r="O1225" s="2" t="s">
        <v>39</v>
      </c>
      <c r="P1225" s="2" t="s">
        <v>39</v>
      </c>
      <c r="Q1225" s="2" t="s">
        <v>39</v>
      </c>
      <c r="R1225" s="2" t="s">
        <v>39</v>
      </c>
      <c r="S1225" s="2" t="s">
        <v>39</v>
      </c>
      <c r="T1225" s="2" t="s">
        <v>38</v>
      </c>
      <c r="U1225" s="2" t="s">
        <v>38</v>
      </c>
      <c r="V1225" s="2" t="s">
        <v>38</v>
      </c>
      <c r="W1225" s="2" t="s">
        <v>39</v>
      </c>
      <c r="X1225" s="2" t="s">
        <v>39</v>
      </c>
      <c r="Y1225" s="2" t="s">
        <v>39</v>
      </c>
      <c r="Z1225" s="2" t="s">
        <v>39</v>
      </c>
      <c r="AA1225" s="2" t="s">
        <v>39</v>
      </c>
      <c r="AB1225" s="2" t="s">
        <v>39</v>
      </c>
      <c r="AC1225" s="2" t="s">
        <v>39</v>
      </c>
      <c r="AD1225" s="2" t="s">
        <v>39</v>
      </c>
      <c r="AE1225" s="2" t="s">
        <v>39</v>
      </c>
    </row>
    <row r="1226" spans="1:31" ht="409.5">
      <c r="A1226" s="2">
        <v>2743007</v>
      </c>
      <c r="B1226" s="2">
        <f>HYPERLINK("https://platform.v2.vetology.net/cases/2743007/screening-report/1?type=pdf&amp;v=v6&amp;scorecard=1&amp;secret_key=BX%25IJ%24%2F65ieZ%29f6", 2743007)</f>
        <v>2743007</v>
      </c>
      <c r="C1226" s="2">
        <f>HYPERLINK("https://platform.v2.vetology.net/report/v/final/"&amp;2743007, 2743007)</f>
        <v>2743007</v>
      </c>
      <c r="D1226" s="2" t="s">
        <v>4071</v>
      </c>
      <c r="E1226" s="2" t="s">
        <v>4072</v>
      </c>
      <c r="F1226" s="2" t="s">
        <v>43</v>
      </c>
      <c r="G1226" s="2" t="s">
        <v>44</v>
      </c>
      <c r="H1226" s="2" t="s">
        <v>4073</v>
      </c>
      <c r="I1226" s="2" t="s">
        <v>257</v>
      </c>
      <c r="J1226" s="2" t="s">
        <v>74</v>
      </c>
      <c r="K1226" s="2" t="s">
        <v>38</v>
      </c>
      <c r="L1226" s="2" t="s">
        <v>38</v>
      </c>
      <c r="M1226" s="2" t="s">
        <v>38</v>
      </c>
      <c r="N1226" s="2" t="s">
        <v>38</v>
      </c>
      <c r="O1226" s="2" t="s">
        <v>38</v>
      </c>
      <c r="P1226" s="2" t="s">
        <v>38</v>
      </c>
      <c r="Q1226" s="2" t="s">
        <v>38</v>
      </c>
      <c r="R1226" s="2" t="s">
        <v>38</v>
      </c>
      <c r="S1226" s="2" t="s">
        <v>38</v>
      </c>
      <c r="T1226" s="2" t="s">
        <v>38</v>
      </c>
      <c r="U1226" s="2" t="s">
        <v>38</v>
      </c>
      <c r="V1226" s="2" t="s">
        <v>38</v>
      </c>
      <c r="W1226" s="2" t="s">
        <v>38</v>
      </c>
      <c r="X1226" s="2" t="s">
        <v>38</v>
      </c>
      <c r="Y1226" s="2" t="s">
        <v>38</v>
      </c>
      <c r="Z1226" s="2" t="s">
        <v>38</v>
      </c>
      <c r="AA1226" s="2" t="s">
        <v>38</v>
      </c>
      <c r="AB1226" s="2" t="s">
        <v>38</v>
      </c>
      <c r="AC1226" s="2" t="s">
        <v>38</v>
      </c>
      <c r="AD1226" s="2" t="s">
        <v>38</v>
      </c>
      <c r="AE1226" s="2"/>
    </row>
    <row r="1227" spans="1:31" ht="409.5">
      <c r="A1227" s="2">
        <v>2742988</v>
      </c>
      <c r="B1227" s="2">
        <f>HYPERLINK("https://platform.v2.vetology.net/cases/2742988/screening-report/1?type=pdf&amp;v=v6&amp;scorecard=1&amp;secret_key=BX%25IJ%24%2F65ieZ%29f6", 2742988)</f>
        <v>2742988</v>
      </c>
      <c r="C1227" s="2">
        <f>HYPERLINK("https://platform.v2.vetology.net/report/v/final/"&amp;2742988, 2742988)</f>
        <v>2742988</v>
      </c>
      <c r="D1227" s="2" t="s">
        <v>4074</v>
      </c>
      <c r="E1227" s="2" t="s">
        <v>4075</v>
      </c>
      <c r="F1227" s="2" t="s">
        <v>4076</v>
      </c>
      <c r="G1227" s="2" t="s">
        <v>251</v>
      </c>
      <c r="H1227" s="2" t="s">
        <v>2719</v>
      </c>
      <c r="I1227" s="2" t="s">
        <v>36</v>
      </c>
      <c r="J1227" s="2" t="s">
        <v>37</v>
      </c>
      <c r="K1227" s="2" t="s">
        <v>38</v>
      </c>
      <c r="L1227" s="2" t="s">
        <v>39</v>
      </c>
      <c r="M1227" s="2" t="s">
        <v>38</v>
      </c>
      <c r="N1227" s="2" t="s">
        <v>39</v>
      </c>
      <c r="O1227" s="2" t="s">
        <v>39</v>
      </c>
      <c r="P1227" s="2" t="s">
        <v>39</v>
      </c>
      <c r="Q1227" s="2" t="s">
        <v>39</v>
      </c>
      <c r="R1227" s="2" t="s">
        <v>39</v>
      </c>
      <c r="S1227" s="2" t="s">
        <v>39</v>
      </c>
      <c r="T1227" s="2" t="s">
        <v>38</v>
      </c>
      <c r="U1227" s="2" t="s">
        <v>39</v>
      </c>
      <c r="V1227" s="2" t="s">
        <v>39</v>
      </c>
      <c r="W1227" s="2" t="s">
        <v>39</v>
      </c>
      <c r="X1227" s="2" t="s">
        <v>39</v>
      </c>
      <c r="Y1227" s="2" t="s">
        <v>39</v>
      </c>
      <c r="Z1227" s="2" t="s">
        <v>39</v>
      </c>
      <c r="AA1227" s="2" t="s">
        <v>39</v>
      </c>
      <c r="AB1227" s="2" t="s">
        <v>39</v>
      </c>
      <c r="AC1227" s="2" t="s">
        <v>39</v>
      </c>
      <c r="AD1227" s="2" t="s">
        <v>39</v>
      </c>
      <c r="AE1227" s="2" t="s">
        <v>40</v>
      </c>
    </row>
    <row r="1228" spans="1:31" ht="409.5">
      <c r="A1228" s="2">
        <v>2742904</v>
      </c>
      <c r="B1228" s="2">
        <f>HYPERLINK("https://platform.v2.vetology.net/cases/2742904/screening-report/1?type=pdf&amp;v=v6&amp;scorecard=1&amp;secret_key=BX%25IJ%24%2F65ieZ%29f6", 2742904)</f>
        <v>2742904</v>
      </c>
      <c r="C1228" s="2">
        <f>HYPERLINK("https://platform.v2.vetology.net/report/v/final/"&amp;2742904, 2742904)</f>
        <v>2742904</v>
      </c>
      <c r="D1228" s="2" t="s">
        <v>4077</v>
      </c>
      <c r="E1228" s="2" t="s">
        <v>4078</v>
      </c>
      <c r="F1228" s="2" t="s">
        <v>43</v>
      </c>
      <c r="G1228" s="2" t="s">
        <v>44</v>
      </c>
      <c r="H1228" s="2" t="s">
        <v>4079</v>
      </c>
      <c r="I1228" s="2" t="s">
        <v>73</v>
      </c>
      <c r="J1228" s="2" t="s">
        <v>74</v>
      </c>
      <c r="K1228" s="2" t="s">
        <v>38</v>
      </c>
      <c r="L1228" s="2" t="s">
        <v>38</v>
      </c>
      <c r="M1228" s="2" t="s">
        <v>38</v>
      </c>
      <c r="N1228" s="2" t="s">
        <v>38</v>
      </c>
      <c r="O1228" s="2" t="s">
        <v>38</v>
      </c>
      <c r="P1228" s="2" t="s">
        <v>38</v>
      </c>
      <c r="Q1228" s="2" t="s">
        <v>38</v>
      </c>
      <c r="R1228" s="2" t="s">
        <v>38</v>
      </c>
      <c r="S1228" s="2" t="s">
        <v>38</v>
      </c>
      <c r="T1228" s="2" t="s">
        <v>38</v>
      </c>
      <c r="U1228" s="2" t="s">
        <v>38</v>
      </c>
      <c r="V1228" s="2" t="s">
        <v>38</v>
      </c>
      <c r="W1228" s="2" t="s">
        <v>38</v>
      </c>
      <c r="X1228" s="2" t="s">
        <v>38</v>
      </c>
      <c r="Y1228" s="2" t="s">
        <v>38</v>
      </c>
      <c r="Z1228" s="2" t="s">
        <v>38</v>
      </c>
      <c r="AA1228" s="2" t="s">
        <v>38</v>
      </c>
      <c r="AB1228" s="2" t="s">
        <v>38</v>
      </c>
      <c r="AC1228" s="2" t="s">
        <v>38</v>
      </c>
      <c r="AD1228" s="2" t="s">
        <v>38</v>
      </c>
      <c r="AE1228" s="2" t="s">
        <v>40</v>
      </c>
    </row>
    <row r="1229" spans="1:31" ht="409.5">
      <c r="A1229" s="2">
        <v>2742890</v>
      </c>
      <c r="B1229" s="2">
        <f>HYPERLINK("https://platform.v2.vetology.net/cases/2742890/screening-report/1?type=pdf&amp;v=v6&amp;scorecard=1&amp;secret_key=BX%25IJ%24%2F65ieZ%29f6", 2742890)</f>
        <v>2742890</v>
      </c>
      <c r="C1229" s="2">
        <f>HYPERLINK("https://platform.v2.vetology.net/report/v/final/"&amp;2742890, 2742890)</f>
        <v>2742890</v>
      </c>
      <c r="D1229" s="2" t="s">
        <v>4080</v>
      </c>
      <c r="E1229" s="2" t="s">
        <v>4081</v>
      </c>
      <c r="F1229" s="2" t="s">
        <v>1908</v>
      </c>
      <c r="G1229" s="2" t="s">
        <v>100</v>
      </c>
      <c r="H1229" s="2" t="s">
        <v>4082</v>
      </c>
      <c r="I1229" s="2" t="s">
        <v>36</v>
      </c>
      <c r="J1229" s="2" t="s">
        <v>37</v>
      </c>
      <c r="K1229" s="2" t="s">
        <v>39</v>
      </c>
      <c r="L1229" s="2" t="s">
        <v>38</v>
      </c>
      <c r="M1229" s="2" t="s">
        <v>39</v>
      </c>
      <c r="N1229" s="2" t="s">
        <v>38</v>
      </c>
      <c r="O1229" s="2" t="s">
        <v>39</v>
      </c>
      <c r="P1229" s="2" t="s">
        <v>38</v>
      </c>
      <c r="Q1229" s="2" t="s">
        <v>39</v>
      </c>
      <c r="R1229" s="2" t="s">
        <v>39</v>
      </c>
      <c r="S1229" s="2" t="s">
        <v>39</v>
      </c>
      <c r="T1229" s="2" t="s">
        <v>39</v>
      </c>
      <c r="U1229" s="2" t="s">
        <v>39</v>
      </c>
      <c r="V1229" s="2" t="s">
        <v>39</v>
      </c>
      <c r="W1229" s="2" t="s">
        <v>38</v>
      </c>
      <c r="X1229" s="2" t="s">
        <v>39</v>
      </c>
      <c r="Y1229" s="2" t="s">
        <v>39</v>
      </c>
      <c r="Z1229" s="2" t="s">
        <v>39</v>
      </c>
      <c r="AA1229" s="2" t="s">
        <v>39</v>
      </c>
      <c r="AB1229" s="2" t="s">
        <v>39</v>
      </c>
      <c r="AC1229" s="2" t="s">
        <v>38</v>
      </c>
      <c r="AD1229" s="2" t="s">
        <v>38</v>
      </c>
      <c r="AE1229" s="2"/>
    </row>
    <row r="1230" spans="1:31" ht="409.5">
      <c r="A1230" s="2">
        <v>2742769</v>
      </c>
      <c r="B1230" s="2">
        <f>HYPERLINK("https://platform.v2.vetology.net/cases/2742769/screening-report/1?type=pdf&amp;v=v6&amp;scorecard=1&amp;secret_key=BX%25IJ%24%2F65ieZ%29f6", 2742769)</f>
        <v>2742769</v>
      </c>
      <c r="C1230" s="2">
        <f>HYPERLINK("https://platform.v2.vetology.net/report/v/final/"&amp;2742769, 2742769)</f>
        <v>2742769</v>
      </c>
      <c r="D1230" s="2" t="s">
        <v>4083</v>
      </c>
      <c r="E1230" s="2" t="s">
        <v>4084</v>
      </c>
      <c r="F1230" s="2" t="s">
        <v>4085</v>
      </c>
      <c r="G1230" s="2" t="s">
        <v>53</v>
      </c>
      <c r="H1230" s="2" t="s">
        <v>2003</v>
      </c>
      <c r="I1230" s="2" t="s">
        <v>46</v>
      </c>
      <c r="J1230" s="2"/>
      <c r="K1230" s="2" t="s">
        <v>39</v>
      </c>
      <c r="L1230" s="2" t="s">
        <v>38</v>
      </c>
      <c r="M1230" s="2" t="s">
        <v>39</v>
      </c>
      <c r="N1230" s="2" t="s">
        <v>39</v>
      </c>
      <c r="O1230" s="2" t="s">
        <v>38</v>
      </c>
      <c r="P1230" s="2" t="s">
        <v>39</v>
      </c>
      <c r="Q1230" s="2" t="s">
        <v>39</v>
      </c>
      <c r="R1230" s="2" t="s">
        <v>38</v>
      </c>
      <c r="S1230" s="2" t="s">
        <v>39</v>
      </c>
      <c r="T1230" s="2" t="s">
        <v>38</v>
      </c>
      <c r="U1230" s="2" t="s">
        <v>39</v>
      </c>
      <c r="V1230" s="2" t="s">
        <v>39</v>
      </c>
      <c r="W1230" s="2" t="s">
        <v>38</v>
      </c>
      <c r="X1230" s="2" t="s">
        <v>39</v>
      </c>
      <c r="Y1230" s="2" t="s">
        <v>39</v>
      </c>
      <c r="Z1230" s="2" t="s">
        <v>38</v>
      </c>
      <c r="AA1230" s="2" t="s">
        <v>38</v>
      </c>
      <c r="AB1230" s="2" t="s">
        <v>39</v>
      </c>
      <c r="AC1230" s="2" t="s">
        <v>38</v>
      </c>
      <c r="AD1230" s="2" t="s">
        <v>39</v>
      </c>
      <c r="AE1230" s="2" t="s">
        <v>39</v>
      </c>
    </row>
    <row r="1231" spans="1:31" ht="409.5">
      <c r="A1231" s="2">
        <v>2742749</v>
      </c>
      <c r="B1231" s="2">
        <f>HYPERLINK("https://platform.v2.vetology.net/cases/2742749/screening-report/1?type=pdf&amp;v=v6&amp;scorecard=1&amp;secret_key=BX%25IJ%24%2F65ieZ%29f6", 2742749)</f>
        <v>2742749</v>
      </c>
      <c r="C1231" s="2">
        <f>HYPERLINK("https://platform.v2.vetology.net/report/v/final/"&amp;2742749, 2742749)</f>
        <v>2742749</v>
      </c>
      <c r="D1231" s="2" t="s">
        <v>4086</v>
      </c>
      <c r="E1231" s="2" t="s">
        <v>4087</v>
      </c>
      <c r="F1231" s="2" t="s">
        <v>4088</v>
      </c>
      <c r="G1231" s="2" t="s">
        <v>170</v>
      </c>
      <c r="H1231" s="2" t="s">
        <v>2446</v>
      </c>
      <c r="I1231" s="2" t="s">
        <v>36</v>
      </c>
      <c r="J1231" s="2" t="s">
        <v>37</v>
      </c>
      <c r="K1231" s="2" t="s">
        <v>38</v>
      </c>
      <c r="L1231" s="2" t="s">
        <v>38</v>
      </c>
      <c r="M1231" s="2" t="s">
        <v>38</v>
      </c>
      <c r="N1231" s="2" t="s">
        <v>38</v>
      </c>
      <c r="O1231" s="2" t="s">
        <v>38</v>
      </c>
      <c r="P1231" s="2" t="s">
        <v>38</v>
      </c>
      <c r="Q1231" s="2" t="s">
        <v>39</v>
      </c>
      <c r="R1231" s="2" t="s">
        <v>38</v>
      </c>
      <c r="S1231" s="2" t="s">
        <v>38</v>
      </c>
      <c r="T1231" s="2" t="s">
        <v>38</v>
      </c>
      <c r="U1231" s="2" t="s">
        <v>38</v>
      </c>
      <c r="V1231" s="2" t="s">
        <v>39</v>
      </c>
      <c r="W1231" s="2" t="s">
        <v>38</v>
      </c>
      <c r="X1231" s="2" t="s">
        <v>39</v>
      </c>
      <c r="Y1231" s="2" t="s">
        <v>39</v>
      </c>
      <c r="Z1231" s="2" t="s">
        <v>38</v>
      </c>
      <c r="AA1231" s="2" t="s">
        <v>38</v>
      </c>
      <c r="AB1231" s="2" t="s">
        <v>39</v>
      </c>
      <c r="AC1231" s="2" t="s">
        <v>38</v>
      </c>
      <c r="AD1231" s="2" t="s">
        <v>38</v>
      </c>
      <c r="AE1231" s="2"/>
    </row>
    <row r="1232" spans="1:31" ht="409.5">
      <c r="A1232" s="2">
        <v>2742730</v>
      </c>
      <c r="B1232" s="2">
        <f>HYPERLINK("https://platform.v2.vetology.net/cases/2742730/screening-report/1?type=pdf&amp;v=v6&amp;scorecard=1&amp;secret_key=BX%25IJ%24%2F65ieZ%29f6", 2742730)</f>
        <v>2742730</v>
      </c>
      <c r="C1232" s="2">
        <f>HYPERLINK("https://platform.v2.vetology.net/report/v/final/"&amp;2742730, 2742730)</f>
        <v>2742730</v>
      </c>
      <c r="D1232" s="2" t="s">
        <v>4089</v>
      </c>
      <c r="E1232" s="2" t="s">
        <v>4090</v>
      </c>
      <c r="F1232" s="2" t="s">
        <v>43</v>
      </c>
      <c r="G1232" s="2" t="s">
        <v>44</v>
      </c>
      <c r="H1232" s="2" t="s">
        <v>69</v>
      </c>
      <c r="I1232" s="2" t="s">
        <v>46</v>
      </c>
      <c r="J1232" s="2"/>
      <c r="K1232" s="2" t="s">
        <v>39</v>
      </c>
      <c r="L1232" s="2" t="s">
        <v>39</v>
      </c>
      <c r="M1232" s="2" t="s">
        <v>39</v>
      </c>
      <c r="N1232" s="2" t="s">
        <v>39</v>
      </c>
      <c r="O1232" s="2" t="s">
        <v>39</v>
      </c>
      <c r="P1232" s="2" t="s">
        <v>39</v>
      </c>
      <c r="Q1232" s="2" t="s">
        <v>39</v>
      </c>
      <c r="R1232" s="2" t="s">
        <v>39</v>
      </c>
      <c r="S1232" s="2" t="s">
        <v>39</v>
      </c>
      <c r="T1232" s="2" t="s">
        <v>39</v>
      </c>
      <c r="U1232" s="2" t="s">
        <v>39</v>
      </c>
      <c r="V1232" s="2" t="s">
        <v>39</v>
      </c>
      <c r="W1232" s="2" t="s">
        <v>39</v>
      </c>
      <c r="X1232" s="2" t="s">
        <v>39</v>
      </c>
      <c r="Y1232" s="2" t="s">
        <v>39</v>
      </c>
      <c r="Z1232" s="2" t="s">
        <v>39</v>
      </c>
      <c r="AA1232" s="2" t="s">
        <v>39</v>
      </c>
      <c r="AB1232" s="2" t="s">
        <v>39</v>
      </c>
      <c r="AC1232" s="2" t="s">
        <v>39</v>
      </c>
      <c r="AD1232" s="2" t="s">
        <v>38</v>
      </c>
      <c r="AE1232" s="2" t="s">
        <v>39</v>
      </c>
    </row>
    <row r="1233" spans="1:31" ht="409.5">
      <c r="A1233" s="2">
        <v>2742726</v>
      </c>
      <c r="B1233" s="2">
        <f>HYPERLINK("https://platform.v2.vetology.net/cases/2742726/screening-report/1?type=pdf&amp;v=v6&amp;scorecard=1&amp;secret_key=BX%25IJ%24%2F65ieZ%29f6", 2742726)</f>
        <v>2742726</v>
      </c>
      <c r="C1233" s="2">
        <f>HYPERLINK("https://platform.v2.vetology.net/report/v/final/"&amp;2742726, 2742726)</f>
        <v>2742726</v>
      </c>
      <c r="D1233" s="2" t="s">
        <v>4091</v>
      </c>
      <c r="E1233" s="2" t="s">
        <v>4092</v>
      </c>
      <c r="F1233" s="2" t="s">
        <v>4093</v>
      </c>
      <c r="G1233" s="2" t="s">
        <v>34</v>
      </c>
      <c r="H1233" s="2" t="s">
        <v>4094</v>
      </c>
      <c r="I1233" s="2" t="s">
        <v>129</v>
      </c>
      <c r="J1233" s="2" t="s">
        <v>74</v>
      </c>
      <c r="K1233" s="2" t="s">
        <v>39</v>
      </c>
      <c r="L1233" s="2" t="s">
        <v>38</v>
      </c>
      <c r="M1233" s="2" t="s">
        <v>38</v>
      </c>
      <c r="N1233" s="2" t="s">
        <v>39</v>
      </c>
      <c r="O1233" s="2" t="s">
        <v>38</v>
      </c>
      <c r="P1233" s="2" t="s">
        <v>38</v>
      </c>
      <c r="Q1233" s="2" t="s">
        <v>38</v>
      </c>
      <c r="R1233" s="2" t="s">
        <v>39</v>
      </c>
      <c r="S1233" s="2" t="s">
        <v>39</v>
      </c>
      <c r="T1233" s="2" t="s">
        <v>39</v>
      </c>
      <c r="U1233" s="2" t="s">
        <v>39</v>
      </c>
      <c r="V1233" s="2" t="s">
        <v>39</v>
      </c>
      <c r="W1233" s="2" t="s">
        <v>39</v>
      </c>
      <c r="X1233" s="2" t="s">
        <v>38</v>
      </c>
      <c r="Y1233" s="2" t="s">
        <v>39</v>
      </c>
      <c r="Z1233" s="2" t="s">
        <v>39</v>
      </c>
      <c r="AA1233" s="2" t="s">
        <v>39</v>
      </c>
      <c r="AB1233" s="2" t="s">
        <v>38</v>
      </c>
      <c r="AC1233" s="2" t="s">
        <v>39</v>
      </c>
      <c r="AD1233" s="2" t="s">
        <v>39</v>
      </c>
      <c r="AE1233" s="2" t="s">
        <v>39</v>
      </c>
    </row>
    <row r="1234" spans="1:31" ht="409.5">
      <c r="A1234" s="2">
        <v>2742721</v>
      </c>
      <c r="B1234" s="2">
        <f>HYPERLINK("https://platform.v2.vetology.net/cases/2742721/screening-report/1?type=pdf&amp;v=v6&amp;scorecard=1&amp;secret_key=BX%25IJ%24%2F65ieZ%29f6", 2742721)</f>
        <v>2742721</v>
      </c>
      <c r="C1234" s="2">
        <f>HYPERLINK("https://platform.v2.vetology.net/report/v/final/"&amp;2742721, 2742721)</f>
        <v>2742721</v>
      </c>
      <c r="D1234" s="2" t="s">
        <v>4095</v>
      </c>
      <c r="E1234" s="2" t="s">
        <v>4096</v>
      </c>
      <c r="F1234" s="2" t="s">
        <v>43</v>
      </c>
      <c r="G1234" s="2" t="s">
        <v>507</v>
      </c>
      <c r="H1234" s="2" t="s">
        <v>4097</v>
      </c>
      <c r="I1234" s="2" t="s">
        <v>129</v>
      </c>
      <c r="J1234" s="2" t="s">
        <v>74</v>
      </c>
      <c r="K1234" s="2" t="s">
        <v>38</v>
      </c>
      <c r="L1234" s="2" t="s">
        <v>38</v>
      </c>
      <c r="M1234" s="2" t="s">
        <v>38</v>
      </c>
      <c r="N1234" s="2" t="s">
        <v>38</v>
      </c>
      <c r="O1234" s="2" t="s">
        <v>38</v>
      </c>
      <c r="P1234" s="2" t="s">
        <v>38</v>
      </c>
      <c r="Q1234" s="2" t="s">
        <v>38</v>
      </c>
      <c r="R1234" s="2" t="s">
        <v>38</v>
      </c>
      <c r="S1234" s="2" t="s">
        <v>38</v>
      </c>
      <c r="T1234" s="2" t="s">
        <v>38</v>
      </c>
      <c r="U1234" s="2" t="s">
        <v>39</v>
      </c>
      <c r="V1234" s="2" t="s">
        <v>38</v>
      </c>
      <c r="W1234" s="2" t="s">
        <v>38</v>
      </c>
      <c r="X1234" s="2" t="s">
        <v>38</v>
      </c>
      <c r="Y1234" s="2" t="s">
        <v>38</v>
      </c>
      <c r="Z1234" s="2" t="s">
        <v>38</v>
      </c>
      <c r="AA1234" s="2" t="s">
        <v>38</v>
      </c>
      <c r="AB1234" s="2" t="s">
        <v>38</v>
      </c>
      <c r="AC1234" s="2" t="s">
        <v>38</v>
      </c>
      <c r="AD1234" s="2" t="s">
        <v>39</v>
      </c>
      <c r="AE1234" s="2" t="s">
        <v>39</v>
      </c>
    </row>
    <row r="1235" spans="1:31" ht="409.5">
      <c r="A1235" s="2">
        <v>2742714</v>
      </c>
      <c r="B1235" s="2">
        <f>HYPERLINK("https://platform.v2.vetology.net/cases/2742714/screening-report/1?type=pdf&amp;v=v6&amp;scorecard=1&amp;secret_key=BX%25IJ%24%2F65ieZ%29f6", 2742714)</f>
        <v>2742714</v>
      </c>
      <c r="C1235" s="2">
        <f>HYPERLINK("https://platform.v2.vetology.net/report/v/final/"&amp;2742714, 2742714)</f>
        <v>2742714</v>
      </c>
      <c r="D1235" s="2" t="s">
        <v>3346</v>
      </c>
      <c r="E1235" s="2" t="s">
        <v>4098</v>
      </c>
      <c r="F1235" s="2" t="s">
        <v>4029</v>
      </c>
      <c r="G1235" s="2" t="s">
        <v>111</v>
      </c>
      <c r="H1235" s="2" t="s">
        <v>1241</v>
      </c>
      <c r="I1235" s="2" t="s">
        <v>36</v>
      </c>
      <c r="J1235" s="2" t="s">
        <v>37</v>
      </c>
      <c r="K1235" s="2" t="s">
        <v>39</v>
      </c>
      <c r="L1235" s="2" t="s">
        <v>39</v>
      </c>
      <c r="M1235" s="2" t="s">
        <v>38</v>
      </c>
      <c r="N1235" s="2" t="s">
        <v>39</v>
      </c>
      <c r="O1235" s="2" t="s">
        <v>39</v>
      </c>
      <c r="P1235" s="2" t="s">
        <v>39</v>
      </c>
      <c r="Q1235" s="2" t="s">
        <v>39</v>
      </c>
      <c r="R1235" s="2" t="s">
        <v>39</v>
      </c>
      <c r="S1235" s="2" t="s">
        <v>39</v>
      </c>
      <c r="T1235" s="2" t="s">
        <v>39</v>
      </c>
      <c r="U1235" s="2" t="s">
        <v>39</v>
      </c>
      <c r="V1235" s="2" t="s">
        <v>39</v>
      </c>
      <c r="W1235" s="2" t="s">
        <v>39</v>
      </c>
      <c r="X1235" s="2" t="s">
        <v>39</v>
      </c>
      <c r="Y1235" s="2" t="s">
        <v>39</v>
      </c>
      <c r="Z1235" s="2" t="s">
        <v>39</v>
      </c>
      <c r="AA1235" s="2" t="s">
        <v>39</v>
      </c>
      <c r="AB1235" s="2" t="s">
        <v>39</v>
      </c>
      <c r="AC1235" s="2" t="s">
        <v>39</v>
      </c>
      <c r="AD1235" s="2" t="s">
        <v>39</v>
      </c>
      <c r="AE1235" s="2" t="s">
        <v>40</v>
      </c>
    </row>
    <row r="1236" spans="1:31" ht="409.5">
      <c r="A1236" s="2">
        <v>2742709</v>
      </c>
      <c r="B1236" s="2">
        <f>HYPERLINK("https://platform.v2.vetology.net/cases/2742709/screening-report/1?type=pdf&amp;v=v6&amp;scorecard=1&amp;secret_key=BX%25IJ%24%2F65ieZ%29f6", 2742709)</f>
        <v>2742709</v>
      </c>
      <c r="C1236" s="2">
        <f>HYPERLINK("https://platform.v2.vetology.net/report/v/final/"&amp;2742709, 2742709)</f>
        <v>2742709</v>
      </c>
      <c r="D1236" s="2" t="s">
        <v>4099</v>
      </c>
      <c r="E1236" s="2" t="s">
        <v>4100</v>
      </c>
      <c r="F1236" s="2"/>
      <c r="G1236" s="2" t="s">
        <v>100</v>
      </c>
      <c r="H1236" s="2" t="s">
        <v>4101</v>
      </c>
      <c r="I1236" s="2" t="s">
        <v>36</v>
      </c>
      <c r="J1236" s="2" t="s">
        <v>37</v>
      </c>
      <c r="K1236" s="2" t="s">
        <v>38</v>
      </c>
      <c r="L1236" s="2" t="s">
        <v>39</v>
      </c>
      <c r="M1236" s="2" t="s">
        <v>38</v>
      </c>
      <c r="N1236" s="2" t="s">
        <v>39</v>
      </c>
      <c r="O1236" s="2" t="s">
        <v>38</v>
      </c>
      <c r="P1236" s="2" t="s">
        <v>39</v>
      </c>
      <c r="Q1236" s="2" t="s">
        <v>39</v>
      </c>
      <c r="R1236" s="2" t="s">
        <v>38</v>
      </c>
      <c r="S1236" s="2" t="s">
        <v>38</v>
      </c>
      <c r="T1236" s="2" t="s">
        <v>39</v>
      </c>
      <c r="U1236" s="2" t="s">
        <v>38</v>
      </c>
      <c r="V1236" s="2" t="s">
        <v>38</v>
      </c>
      <c r="W1236" s="2" t="s">
        <v>38</v>
      </c>
      <c r="X1236" s="2" t="s">
        <v>38</v>
      </c>
      <c r="Y1236" s="2" t="s">
        <v>39</v>
      </c>
      <c r="Z1236" s="2" t="s">
        <v>38</v>
      </c>
      <c r="AA1236" s="2" t="s">
        <v>38</v>
      </c>
      <c r="AB1236" s="2" t="s">
        <v>39</v>
      </c>
      <c r="AC1236" s="2" t="s">
        <v>38</v>
      </c>
      <c r="AD1236" s="2" t="s">
        <v>38</v>
      </c>
      <c r="AE1236" s="2" t="s">
        <v>39</v>
      </c>
    </row>
    <row r="1237" spans="1:31" ht="409.5">
      <c r="A1237" s="2">
        <v>2742696</v>
      </c>
      <c r="B1237" s="2">
        <f>HYPERLINK("https://platform.v2.vetology.net/cases/2742696/screening-report/1?type=pdf&amp;v=v6&amp;scorecard=1&amp;secret_key=BX%25IJ%24%2F65ieZ%29f6", 2742696)</f>
        <v>2742696</v>
      </c>
      <c r="C1237" s="2">
        <f>HYPERLINK("https://platform.v2.vetology.net/report/v/final/"&amp;2742696, 2742696)</f>
        <v>2742696</v>
      </c>
      <c r="D1237" s="2" t="s">
        <v>4102</v>
      </c>
      <c r="E1237" s="2" t="s">
        <v>4103</v>
      </c>
      <c r="F1237" s="2" t="s">
        <v>4104</v>
      </c>
      <c r="G1237" s="2" t="s">
        <v>44</v>
      </c>
      <c r="H1237" s="2" t="s">
        <v>611</v>
      </c>
      <c r="I1237" s="2" t="s">
        <v>46</v>
      </c>
      <c r="J1237" s="2"/>
      <c r="K1237" s="2" t="s">
        <v>39</v>
      </c>
      <c r="L1237" s="2" t="s">
        <v>39</v>
      </c>
      <c r="M1237" s="2" t="s">
        <v>39</v>
      </c>
      <c r="N1237" s="2" t="s">
        <v>39</v>
      </c>
      <c r="O1237" s="2" t="s">
        <v>39</v>
      </c>
      <c r="P1237" s="2" t="s">
        <v>39</v>
      </c>
      <c r="Q1237" s="2" t="s">
        <v>39</v>
      </c>
      <c r="R1237" s="2" t="s">
        <v>39</v>
      </c>
      <c r="S1237" s="2" t="s">
        <v>39</v>
      </c>
      <c r="T1237" s="2" t="s">
        <v>39</v>
      </c>
      <c r="U1237" s="2" t="s">
        <v>39</v>
      </c>
      <c r="V1237" s="2" t="s">
        <v>39</v>
      </c>
      <c r="W1237" s="2" t="s">
        <v>39</v>
      </c>
      <c r="X1237" s="2" t="s">
        <v>39</v>
      </c>
      <c r="Y1237" s="2" t="s">
        <v>39</v>
      </c>
      <c r="Z1237" s="2" t="s">
        <v>39</v>
      </c>
      <c r="AA1237" s="2" t="s">
        <v>39</v>
      </c>
      <c r="AB1237" s="2" t="s">
        <v>39</v>
      </c>
      <c r="AC1237" s="2" t="s">
        <v>38</v>
      </c>
      <c r="AD1237" s="2" t="s">
        <v>39</v>
      </c>
      <c r="AE1237" s="2" t="s">
        <v>39</v>
      </c>
    </row>
    <row r="1238" spans="1:31" ht="409.5">
      <c r="A1238" s="2">
        <v>2742656</v>
      </c>
      <c r="B1238" s="2">
        <f>HYPERLINK("https://platform.v2.vetology.net/cases/2742656/screening-report/1?type=pdf&amp;v=v6&amp;scorecard=1&amp;secret_key=BX%25IJ%24%2F65ieZ%29f6", 2742656)</f>
        <v>2742656</v>
      </c>
      <c r="C1238" s="2">
        <f>HYPERLINK("https://platform.v2.vetology.net/report/v/final/"&amp;2742656, 2742656)</f>
        <v>2742656</v>
      </c>
      <c r="D1238" s="2" t="s">
        <v>4105</v>
      </c>
      <c r="E1238" s="2" t="s">
        <v>2593</v>
      </c>
      <c r="F1238" s="2" t="s">
        <v>229</v>
      </c>
      <c r="G1238" s="2" t="s">
        <v>170</v>
      </c>
      <c r="H1238" s="2" t="s">
        <v>4106</v>
      </c>
      <c r="I1238" s="2" t="s">
        <v>36</v>
      </c>
      <c r="J1238" s="2" t="s">
        <v>37</v>
      </c>
      <c r="K1238" s="2" t="s">
        <v>39</v>
      </c>
      <c r="L1238" s="2" t="s">
        <v>38</v>
      </c>
      <c r="M1238" s="2" t="s">
        <v>38</v>
      </c>
      <c r="N1238" s="2" t="s">
        <v>39</v>
      </c>
      <c r="O1238" s="2" t="s">
        <v>39</v>
      </c>
      <c r="P1238" s="2" t="s">
        <v>39</v>
      </c>
      <c r="Q1238" s="2" t="s">
        <v>39</v>
      </c>
      <c r="R1238" s="2" t="s">
        <v>39</v>
      </c>
      <c r="S1238" s="2" t="s">
        <v>39</v>
      </c>
      <c r="T1238" s="2" t="s">
        <v>39</v>
      </c>
      <c r="U1238" s="2" t="s">
        <v>39</v>
      </c>
      <c r="V1238" s="2" t="s">
        <v>39</v>
      </c>
      <c r="W1238" s="2" t="s">
        <v>38</v>
      </c>
      <c r="X1238" s="2" t="s">
        <v>39</v>
      </c>
      <c r="Y1238" s="2" t="s">
        <v>39</v>
      </c>
      <c r="Z1238" s="2" t="s">
        <v>39</v>
      </c>
      <c r="AA1238" s="2" t="s">
        <v>38</v>
      </c>
      <c r="AB1238" s="2" t="s">
        <v>39</v>
      </c>
      <c r="AC1238" s="2" t="s">
        <v>39</v>
      </c>
      <c r="AD1238" s="2" t="s">
        <v>39</v>
      </c>
      <c r="AE1238" s="2" t="s">
        <v>39</v>
      </c>
    </row>
    <row r="1239" spans="1:31" ht="409.5">
      <c r="A1239" s="2">
        <v>2742627</v>
      </c>
      <c r="B1239" s="2">
        <f>HYPERLINK("https://platform.v2.vetology.net/cases/2742627/screening-report/1?type=pdf&amp;v=v6&amp;scorecard=1&amp;secret_key=BX%25IJ%24%2F65ieZ%29f6", 2742627)</f>
        <v>2742627</v>
      </c>
      <c r="C1239" s="2">
        <f>HYPERLINK("https://platform.v2.vetology.net/report/v/final/"&amp;2742627, 2742627)</f>
        <v>2742627</v>
      </c>
      <c r="D1239" s="2" t="s">
        <v>4107</v>
      </c>
      <c r="E1239" s="2" t="s">
        <v>4108</v>
      </c>
      <c r="F1239" s="2" t="s">
        <v>4109</v>
      </c>
      <c r="G1239" s="2" t="s">
        <v>170</v>
      </c>
      <c r="H1239" s="2" t="s">
        <v>4110</v>
      </c>
      <c r="I1239" s="2" t="s">
        <v>36</v>
      </c>
      <c r="J1239" s="2" t="s">
        <v>37</v>
      </c>
      <c r="K1239" s="2" t="s">
        <v>38</v>
      </c>
      <c r="L1239" s="2" t="s">
        <v>38</v>
      </c>
      <c r="M1239" s="2" t="s">
        <v>38</v>
      </c>
      <c r="N1239" s="2" t="s">
        <v>38</v>
      </c>
      <c r="O1239" s="2" t="s">
        <v>38</v>
      </c>
      <c r="P1239" s="2" t="s">
        <v>39</v>
      </c>
      <c r="Q1239" s="2" t="s">
        <v>39</v>
      </c>
      <c r="R1239" s="2" t="s">
        <v>39</v>
      </c>
      <c r="S1239" s="2" t="s">
        <v>39</v>
      </c>
      <c r="T1239" s="2" t="s">
        <v>39</v>
      </c>
      <c r="U1239" s="2" t="s">
        <v>39</v>
      </c>
      <c r="V1239" s="2" t="s">
        <v>38</v>
      </c>
      <c r="W1239" s="2" t="s">
        <v>39</v>
      </c>
      <c r="X1239" s="2" t="s">
        <v>39</v>
      </c>
      <c r="Y1239" s="2" t="s">
        <v>39</v>
      </c>
      <c r="Z1239" s="2" t="s">
        <v>38</v>
      </c>
      <c r="AA1239" s="2" t="s">
        <v>39</v>
      </c>
      <c r="AB1239" s="2" t="s">
        <v>39</v>
      </c>
      <c r="AC1239" s="2" t="s">
        <v>38</v>
      </c>
      <c r="AD1239" s="2" t="s">
        <v>39</v>
      </c>
      <c r="AE1239" s="2" t="s">
        <v>39</v>
      </c>
    </row>
    <row r="1240" spans="1:31" ht="409.5">
      <c r="A1240" s="2">
        <v>2742618</v>
      </c>
      <c r="B1240" s="2">
        <f>HYPERLINK("https://platform.v2.vetology.net/cases/2742618/screening-report/1?type=pdf&amp;v=v6&amp;scorecard=1&amp;secret_key=BX%25IJ%24%2F65ieZ%29f6", 2742618)</f>
        <v>2742618</v>
      </c>
      <c r="C1240" s="2">
        <f>HYPERLINK("https://platform.v2.vetology.net/report/v/final/"&amp;2742618, 2742618)</f>
        <v>2742618</v>
      </c>
      <c r="D1240" s="2" t="s">
        <v>4111</v>
      </c>
      <c r="E1240" s="2" t="s">
        <v>4112</v>
      </c>
      <c r="F1240" s="2" t="s">
        <v>4113</v>
      </c>
      <c r="G1240" s="2" t="s">
        <v>53</v>
      </c>
      <c r="H1240" s="2" t="s">
        <v>4114</v>
      </c>
      <c r="I1240" s="2" t="s">
        <v>73</v>
      </c>
      <c r="J1240" s="2" t="s">
        <v>74</v>
      </c>
      <c r="K1240" s="2" t="s">
        <v>38</v>
      </c>
      <c r="L1240" s="2" t="s">
        <v>38</v>
      </c>
      <c r="M1240" s="2" t="s">
        <v>38</v>
      </c>
      <c r="N1240" s="2" t="s">
        <v>38</v>
      </c>
      <c r="O1240" s="2" t="s">
        <v>38</v>
      </c>
      <c r="P1240" s="2" t="s">
        <v>38</v>
      </c>
      <c r="Q1240" s="2" t="s">
        <v>38</v>
      </c>
      <c r="R1240" s="2" t="s">
        <v>38</v>
      </c>
      <c r="S1240" s="2" t="s">
        <v>38</v>
      </c>
      <c r="T1240" s="2" t="s">
        <v>38</v>
      </c>
      <c r="U1240" s="2" t="s">
        <v>38</v>
      </c>
      <c r="V1240" s="2" t="s">
        <v>38</v>
      </c>
      <c r="W1240" s="2" t="s">
        <v>38</v>
      </c>
      <c r="X1240" s="2" t="s">
        <v>38</v>
      </c>
      <c r="Y1240" s="2" t="s">
        <v>38</v>
      </c>
      <c r="Z1240" s="2" t="s">
        <v>38</v>
      </c>
      <c r="AA1240" s="2" t="s">
        <v>38</v>
      </c>
      <c r="AB1240" s="2" t="s">
        <v>38</v>
      </c>
      <c r="AC1240" s="2" t="s">
        <v>38</v>
      </c>
      <c r="AD1240" s="2" t="s">
        <v>38</v>
      </c>
      <c r="AE1240" s="2" t="s">
        <v>40</v>
      </c>
    </row>
    <row r="1241" spans="1:31" ht="409.5">
      <c r="A1241" s="2">
        <v>2742603</v>
      </c>
      <c r="B1241" s="2">
        <f>HYPERLINK("https://platform.v2.vetology.net/cases/2742603/screening-report/1?type=pdf&amp;v=v6&amp;scorecard=1&amp;secret_key=BX%25IJ%24%2F65ieZ%29f6", 2742603)</f>
        <v>2742603</v>
      </c>
      <c r="C1241" s="2">
        <f>HYPERLINK("https://platform.v2.vetology.net/report/v/final/"&amp;2742603, 2742603)</f>
        <v>2742603</v>
      </c>
      <c r="D1241" s="2" t="s">
        <v>4115</v>
      </c>
      <c r="E1241" s="2" t="s">
        <v>4116</v>
      </c>
      <c r="F1241" s="2" t="s">
        <v>4117</v>
      </c>
      <c r="G1241" s="2" t="s">
        <v>53</v>
      </c>
      <c r="H1241" s="2" t="s">
        <v>4118</v>
      </c>
      <c r="I1241" s="2" t="s">
        <v>73</v>
      </c>
      <c r="J1241" s="2" t="s">
        <v>74</v>
      </c>
      <c r="K1241" s="2" t="s">
        <v>38</v>
      </c>
      <c r="L1241" s="2" t="s">
        <v>38</v>
      </c>
      <c r="M1241" s="2" t="s">
        <v>38</v>
      </c>
      <c r="N1241" s="2" t="s">
        <v>38</v>
      </c>
      <c r="O1241" s="2" t="s">
        <v>38</v>
      </c>
      <c r="P1241" s="2" t="s">
        <v>38</v>
      </c>
      <c r="Q1241" s="2" t="s">
        <v>38</v>
      </c>
      <c r="R1241" s="2" t="s">
        <v>38</v>
      </c>
      <c r="S1241" s="2" t="s">
        <v>38</v>
      </c>
      <c r="T1241" s="2" t="s">
        <v>38</v>
      </c>
      <c r="U1241" s="2" t="s">
        <v>38</v>
      </c>
      <c r="V1241" s="2" t="s">
        <v>38</v>
      </c>
      <c r="W1241" s="2" t="s">
        <v>38</v>
      </c>
      <c r="X1241" s="2" t="s">
        <v>38</v>
      </c>
      <c r="Y1241" s="2" t="s">
        <v>38</v>
      </c>
      <c r="Z1241" s="2" t="s">
        <v>38</v>
      </c>
      <c r="AA1241" s="2" t="s">
        <v>38</v>
      </c>
      <c r="AB1241" s="2" t="s">
        <v>38</v>
      </c>
      <c r="AC1241" s="2" t="s">
        <v>38</v>
      </c>
      <c r="AD1241" s="2" t="s">
        <v>39</v>
      </c>
      <c r="AE1241" s="2" t="s">
        <v>40</v>
      </c>
    </row>
    <row r="1242" spans="1:31" ht="409.5">
      <c r="A1242" s="2">
        <v>2742532</v>
      </c>
      <c r="B1242" s="2">
        <f>HYPERLINK("https://platform.v2.vetology.net/cases/2742532/screening-report/1?type=pdf&amp;v=v6&amp;scorecard=1&amp;secret_key=BX%25IJ%24%2F65ieZ%29f6", 2742532)</f>
        <v>2742532</v>
      </c>
      <c r="C1242" s="2">
        <f>HYPERLINK("https://platform.v2.vetology.net/report/v/final/"&amp;2742532, 2742532)</f>
        <v>2742532</v>
      </c>
      <c r="D1242" s="2" t="s">
        <v>4119</v>
      </c>
      <c r="E1242" s="2" t="s">
        <v>4120</v>
      </c>
      <c r="F1242" s="2" t="s">
        <v>243</v>
      </c>
      <c r="G1242" s="2" t="s">
        <v>127</v>
      </c>
      <c r="H1242" s="2" t="s">
        <v>69</v>
      </c>
      <c r="I1242" s="2" t="s">
        <v>46</v>
      </c>
      <c r="J1242" s="2"/>
      <c r="K1242" s="2" t="s">
        <v>39</v>
      </c>
      <c r="L1242" s="2" t="s">
        <v>39</v>
      </c>
      <c r="M1242" s="2" t="s">
        <v>39</v>
      </c>
      <c r="N1242" s="2" t="s">
        <v>39</v>
      </c>
      <c r="O1242" s="2" t="s">
        <v>39</v>
      </c>
      <c r="P1242" s="2" t="s">
        <v>39</v>
      </c>
      <c r="Q1242" s="2" t="s">
        <v>39</v>
      </c>
      <c r="R1242" s="2" t="s">
        <v>39</v>
      </c>
      <c r="S1242" s="2" t="s">
        <v>39</v>
      </c>
      <c r="T1242" s="2" t="s">
        <v>39</v>
      </c>
      <c r="U1242" s="2" t="s">
        <v>39</v>
      </c>
      <c r="V1242" s="2" t="s">
        <v>39</v>
      </c>
      <c r="W1242" s="2" t="s">
        <v>39</v>
      </c>
      <c r="X1242" s="2" t="s">
        <v>39</v>
      </c>
      <c r="Y1242" s="2" t="s">
        <v>39</v>
      </c>
      <c r="Z1242" s="2" t="s">
        <v>39</v>
      </c>
      <c r="AA1242" s="2" t="s">
        <v>39</v>
      </c>
      <c r="AB1242" s="2" t="s">
        <v>39</v>
      </c>
      <c r="AC1242" s="2" t="s">
        <v>39</v>
      </c>
      <c r="AD1242" s="2" t="s">
        <v>39</v>
      </c>
      <c r="AE1242" s="2" t="s">
        <v>39</v>
      </c>
    </row>
    <row r="1243" spans="1:31" ht="409.5">
      <c r="A1243" s="2">
        <v>2742528</v>
      </c>
      <c r="B1243" s="2">
        <f>HYPERLINK("https://platform.v2.vetology.net/cases/2742528/screening-report/1?type=pdf&amp;v=v6&amp;scorecard=1&amp;secret_key=BX%25IJ%24%2F65ieZ%29f6", 2742528)</f>
        <v>2742528</v>
      </c>
      <c r="C1243" s="2">
        <f>HYPERLINK("https://platform.v2.vetology.net/report/v/final/"&amp;2742528, 2742528)</f>
        <v>2742528</v>
      </c>
      <c r="D1243" s="2" t="s">
        <v>4121</v>
      </c>
      <c r="E1243" s="2" t="s">
        <v>4122</v>
      </c>
      <c r="F1243" s="2" t="s">
        <v>2845</v>
      </c>
      <c r="G1243" s="2" t="s">
        <v>170</v>
      </c>
      <c r="H1243" s="2" t="s">
        <v>69</v>
      </c>
      <c r="I1243" s="2" t="s">
        <v>46</v>
      </c>
      <c r="J1243" s="2"/>
      <c r="K1243" s="2" t="s">
        <v>39</v>
      </c>
      <c r="L1243" s="2" t="s">
        <v>39</v>
      </c>
      <c r="M1243" s="2" t="s">
        <v>39</v>
      </c>
      <c r="N1243" s="2" t="s">
        <v>39</v>
      </c>
      <c r="O1243" s="2" t="s">
        <v>39</v>
      </c>
      <c r="P1243" s="2" t="s">
        <v>39</v>
      </c>
      <c r="Q1243" s="2" t="s">
        <v>39</v>
      </c>
      <c r="R1243" s="2" t="s">
        <v>39</v>
      </c>
      <c r="S1243" s="2" t="s">
        <v>39</v>
      </c>
      <c r="T1243" s="2" t="s">
        <v>39</v>
      </c>
      <c r="U1243" s="2" t="s">
        <v>39</v>
      </c>
      <c r="V1243" s="2" t="s">
        <v>39</v>
      </c>
      <c r="W1243" s="2" t="s">
        <v>39</v>
      </c>
      <c r="X1243" s="2" t="s">
        <v>39</v>
      </c>
      <c r="Y1243" s="2" t="s">
        <v>39</v>
      </c>
      <c r="Z1243" s="2" t="s">
        <v>39</v>
      </c>
      <c r="AA1243" s="2" t="s">
        <v>39</v>
      </c>
      <c r="AB1243" s="2" t="s">
        <v>39</v>
      </c>
      <c r="AC1243" s="2" t="s">
        <v>39</v>
      </c>
      <c r="AD1243" s="2" t="s">
        <v>39</v>
      </c>
      <c r="AE1243" s="2" t="s">
        <v>39</v>
      </c>
    </row>
    <row r="1244" spans="1:31" ht="409.5">
      <c r="A1244" s="2">
        <v>2742489</v>
      </c>
      <c r="B1244" s="2">
        <f>HYPERLINK("https://platform.v2.vetology.net/cases/2742489/screening-report/1?type=pdf&amp;v=v6&amp;scorecard=1&amp;secret_key=BX%25IJ%24%2F65ieZ%29f6", 2742489)</f>
        <v>2742489</v>
      </c>
      <c r="C1244" s="2">
        <f>HYPERLINK("https://platform.v2.vetology.net/report/v/final/"&amp;2742489, 2742489)</f>
        <v>2742489</v>
      </c>
      <c r="D1244" s="2" t="s">
        <v>4123</v>
      </c>
      <c r="E1244" s="2" t="s">
        <v>4124</v>
      </c>
      <c r="F1244" s="2" t="s">
        <v>4125</v>
      </c>
      <c r="G1244" s="2" t="s">
        <v>127</v>
      </c>
      <c r="H1244" s="2" t="s">
        <v>4126</v>
      </c>
      <c r="I1244" s="2" t="s">
        <v>36</v>
      </c>
      <c r="J1244" s="2" t="s">
        <v>37</v>
      </c>
      <c r="K1244" s="2" t="s">
        <v>39</v>
      </c>
      <c r="L1244" s="2" t="s">
        <v>38</v>
      </c>
      <c r="M1244" s="2" t="s">
        <v>38</v>
      </c>
      <c r="N1244" s="2" t="s">
        <v>38</v>
      </c>
      <c r="O1244" s="2" t="s">
        <v>38</v>
      </c>
      <c r="P1244" s="2" t="s">
        <v>38</v>
      </c>
      <c r="Q1244" s="2" t="s">
        <v>39</v>
      </c>
      <c r="R1244" s="2" t="s">
        <v>38</v>
      </c>
      <c r="S1244" s="2" t="s">
        <v>38</v>
      </c>
      <c r="T1244" s="2" t="s">
        <v>39</v>
      </c>
      <c r="U1244" s="2" t="s">
        <v>39</v>
      </c>
      <c r="V1244" s="2" t="s">
        <v>39</v>
      </c>
      <c r="W1244" s="2" t="s">
        <v>38</v>
      </c>
      <c r="X1244" s="2" t="s">
        <v>39</v>
      </c>
      <c r="Y1244" s="2" t="s">
        <v>39</v>
      </c>
      <c r="Z1244" s="2" t="s">
        <v>38</v>
      </c>
      <c r="AA1244" s="2" t="s">
        <v>38</v>
      </c>
      <c r="AB1244" s="2" t="s">
        <v>39</v>
      </c>
      <c r="AC1244" s="2" t="s">
        <v>38</v>
      </c>
      <c r="AD1244" s="2" t="s">
        <v>38</v>
      </c>
      <c r="AE1244" s="2" t="s">
        <v>40</v>
      </c>
    </row>
    <row r="1245" spans="1:31" ht="409.5">
      <c r="A1245" s="2">
        <v>2742452</v>
      </c>
      <c r="B1245" s="2">
        <f>HYPERLINK("https://platform.v2.vetology.net/cases/2742452/screening-report/1?type=pdf&amp;v=v6&amp;scorecard=1&amp;secret_key=BX%25IJ%24%2F65ieZ%29f6", 2742452)</f>
        <v>2742452</v>
      </c>
      <c r="C1245" s="2">
        <f>HYPERLINK("https://platform.v2.vetology.net/report/v/final/"&amp;2742452, 2742452)</f>
        <v>2742452</v>
      </c>
      <c r="D1245" s="2" t="s">
        <v>4127</v>
      </c>
      <c r="E1245" s="2" t="s">
        <v>4128</v>
      </c>
      <c r="F1245" s="2" t="s">
        <v>43</v>
      </c>
      <c r="G1245" s="2" t="s">
        <v>100</v>
      </c>
      <c r="H1245" s="2" t="s">
        <v>4129</v>
      </c>
      <c r="I1245" s="2" t="s">
        <v>36</v>
      </c>
      <c r="J1245" s="2" t="s">
        <v>37</v>
      </c>
      <c r="K1245" s="2" t="s">
        <v>39</v>
      </c>
      <c r="L1245" s="2" t="s">
        <v>39</v>
      </c>
      <c r="M1245" s="2" t="s">
        <v>38</v>
      </c>
      <c r="N1245" s="2" t="s">
        <v>39</v>
      </c>
      <c r="O1245" s="2" t="s">
        <v>38</v>
      </c>
      <c r="P1245" s="2" t="s">
        <v>39</v>
      </c>
      <c r="Q1245" s="2" t="s">
        <v>39</v>
      </c>
      <c r="R1245" s="2" t="s">
        <v>38</v>
      </c>
      <c r="S1245" s="2" t="s">
        <v>39</v>
      </c>
      <c r="T1245" s="2" t="s">
        <v>39</v>
      </c>
      <c r="U1245" s="2" t="s">
        <v>39</v>
      </c>
      <c r="V1245" s="2" t="s">
        <v>39</v>
      </c>
      <c r="W1245" s="2" t="s">
        <v>38</v>
      </c>
      <c r="X1245" s="2" t="s">
        <v>39</v>
      </c>
      <c r="Y1245" s="2" t="s">
        <v>39</v>
      </c>
      <c r="Z1245" s="2" t="s">
        <v>38</v>
      </c>
      <c r="AA1245" s="2" t="s">
        <v>38</v>
      </c>
      <c r="AB1245" s="2" t="s">
        <v>39</v>
      </c>
      <c r="AC1245" s="2" t="s">
        <v>38</v>
      </c>
      <c r="AD1245" s="2" t="s">
        <v>39</v>
      </c>
      <c r="AE1245" s="2"/>
    </row>
    <row r="1246" spans="1:31" ht="409.5">
      <c r="A1246" s="2">
        <v>2742401</v>
      </c>
      <c r="B1246" s="2">
        <f>HYPERLINK("https://platform.v2.vetology.net/cases/2742401/screening-report/1?type=pdf&amp;v=v6&amp;scorecard=1&amp;secret_key=BX%25IJ%24%2F65ieZ%29f6", 2742401)</f>
        <v>2742401</v>
      </c>
      <c r="C1246" s="2">
        <f>HYPERLINK("https://platform.v2.vetology.net/report/v/final/"&amp;2742401, 2742401)</f>
        <v>2742401</v>
      </c>
      <c r="D1246" s="2" t="s">
        <v>4130</v>
      </c>
      <c r="E1246" s="2" t="s">
        <v>4131</v>
      </c>
      <c r="F1246" s="2" t="s">
        <v>4132</v>
      </c>
      <c r="G1246" s="2" t="s">
        <v>251</v>
      </c>
      <c r="H1246" s="2" t="s">
        <v>69</v>
      </c>
      <c r="I1246" s="2" t="s">
        <v>46</v>
      </c>
      <c r="J1246" s="2"/>
      <c r="K1246" s="2" t="s">
        <v>39</v>
      </c>
      <c r="L1246" s="2" t="s">
        <v>39</v>
      </c>
      <c r="M1246" s="2" t="s">
        <v>39</v>
      </c>
      <c r="N1246" s="2" t="s">
        <v>39</v>
      </c>
      <c r="O1246" s="2" t="s">
        <v>39</v>
      </c>
      <c r="P1246" s="2" t="s">
        <v>39</v>
      </c>
      <c r="Q1246" s="2" t="s">
        <v>39</v>
      </c>
      <c r="R1246" s="2" t="s">
        <v>39</v>
      </c>
      <c r="S1246" s="2" t="s">
        <v>39</v>
      </c>
      <c r="T1246" s="2" t="s">
        <v>39</v>
      </c>
      <c r="U1246" s="2" t="s">
        <v>38</v>
      </c>
      <c r="V1246" s="2" t="s">
        <v>39</v>
      </c>
      <c r="W1246" s="2" t="s">
        <v>39</v>
      </c>
      <c r="X1246" s="2" t="s">
        <v>39</v>
      </c>
      <c r="Y1246" s="2" t="s">
        <v>39</v>
      </c>
      <c r="Z1246" s="2" t="s">
        <v>39</v>
      </c>
      <c r="AA1246" s="2" t="s">
        <v>39</v>
      </c>
      <c r="AB1246" s="2" t="s">
        <v>39</v>
      </c>
      <c r="AC1246" s="2" t="s">
        <v>38</v>
      </c>
      <c r="AD1246" s="2" t="s">
        <v>39</v>
      </c>
      <c r="AE1246" s="2" t="s">
        <v>39</v>
      </c>
    </row>
    <row r="1247" spans="1:31" ht="409.5">
      <c r="A1247" s="2">
        <v>2742387</v>
      </c>
      <c r="B1247" s="2">
        <f>HYPERLINK("https://platform.v2.vetology.net/cases/2742387/screening-report/1?type=pdf&amp;v=v6&amp;scorecard=1&amp;secret_key=BX%25IJ%24%2F65ieZ%29f6", 2742387)</f>
        <v>2742387</v>
      </c>
      <c r="C1247" s="2">
        <f>HYPERLINK("https://platform.v2.vetology.net/report/v/final/"&amp;2742387, 2742387)</f>
        <v>2742387</v>
      </c>
      <c r="D1247" s="2" t="s">
        <v>4133</v>
      </c>
      <c r="E1247" s="2" t="s">
        <v>4134</v>
      </c>
      <c r="F1247" s="2" t="s">
        <v>4135</v>
      </c>
      <c r="G1247" s="2" t="s">
        <v>170</v>
      </c>
      <c r="H1247" s="2" t="s">
        <v>611</v>
      </c>
      <c r="I1247" s="2" t="s">
        <v>46</v>
      </c>
      <c r="J1247" s="2"/>
      <c r="K1247" s="2" t="s">
        <v>39</v>
      </c>
      <c r="L1247" s="2" t="s">
        <v>39</v>
      </c>
      <c r="M1247" s="2" t="s">
        <v>39</v>
      </c>
      <c r="N1247" s="2" t="s">
        <v>39</v>
      </c>
      <c r="O1247" s="2" t="s">
        <v>39</v>
      </c>
      <c r="P1247" s="2" t="s">
        <v>39</v>
      </c>
      <c r="Q1247" s="2" t="s">
        <v>39</v>
      </c>
      <c r="R1247" s="2" t="s">
        <v>39</v>
      </c>
      <c r="S1247" s="2" t="s">
        <v>39</v>
      </c>
      <c r="T1247" s="2" t="s">
        <v>39</v>
      </c>
      <c r="U1247" s="2" t="s">
        <v>39</v>
      </c>
      <c r="V1247" s="2" t="s">
        <v>39</v>
      </c>
      <c r="W1247" s="2" t="s">
        <v>39</v>
      </c>
      <c r="X1247" s="2" t="s">
        <v>39</v>
      </c>
      <c r="Y1247" s="2" t="s">
        <v>39</v>
      </c>
      <c r="Z1247" s="2" t="s">
        <v>39</v>
      </c>
      <c r="AA1247" s="2" t="s">
        <v>39</v>
      </c>
      <c r="AB1247" s="2" t="s">
        <v>39</v>
      </c>
      <c r="AC1247" s="2" t="s">
        <v>38</v>
      </c>
      <c r="AD1247" s="2" t="s">
        <v>38</v>
      </c>
      <c r="AE1247" s="2" t="s">
        <v>39</v>
      </c>
    </row>
    <row r="1248" spans="1:31" ht="409.5">
      <c r="A1248" s="2">
        <v>2742378</v>
      </c>
      <c r="B1248" s="2">
        <f>HYPERLINK("https://platform.v2.vetology.net/cases/2742378/screening-report/1?type=pdf&amp;v=v6&amp;scorecard=1&amp;secret_key=BX%25IJ%24%2F65ieZ%29f6", 2742378)</f>
        <v>2742378</v>
      </c>
      <c r="C1248" s="2">
        <f>HYPERLINK("https://platform.v2.vetology.net/report/v/final/"&amp;2742378, 2742378)</f>
        <v>2742378</v>
      </c>
      <c r="D1248" s="2" t="s">
        <v>4136</v>
      </c>
      <c r="E1248" s="2" t="s">
        <v>513</v>
      </c>
      <c r="F1248" s="2" t="s">
        <v>4137</v>
      </c>
      <c r="G1248" s="2" t="s">
        <v>111</v>
      </c>
      <c r="H1248" s="2" t="s">
        <v>4138</v>
      </c>
      <c r="I1248" s="2" t="s">
        <v>73</v>
      </c>
      <c r="J1248" s="2" t="s">
        <v>74</v>
      </c>
      <c r="K1248" s="2" t="s">
        <v>38</v>
      </c>
      <c r="L1248" s="2" t="s">
        <v>38</v>
      </c>
      <c r="M1248" s="2" t="s">
        <v>38</v>
      </c>
      <c r="N1248" s="2" t="s">
        <v>38</v>
      </c>
      <c r="O1248" s="2" t="s">
        <v>38</v>
      </c>
      <c r="P1248" s="2" t="s">
        <v>38</v>
      </c>
      <c r="Q1248" s="2" t="s">
        <v>38</v>
      </c>
      <c r="R1248" s="2" t="s">
        <v>38</v>
      </c>
      <c r="S1248" s="2" t="s">
        <v>38</v>
      </c>
      <c r="T1248" s="2" t="s">
        <v>38</v>
      </c>
      <c r="U1248" s="2" t="s">
        <v>38</v>
      </c>
      <c r="V1248" s="2" t="s">
        <v>38</v>
      </c>
      <c r="W1248" s="2" t="s">
        <v>38</v>
      </c>
      <c r="X1248" s="2" t="s">
        <v>38</v>
      </c>
      <c r="Y1248" s="2" t="s">
        <v>38</v>
      </c>
      <c r="Z1248" s="2" t="s">
        <v>38</v>
      </c>
      <c r="AA1248" s="2" t="s">
        <v>38</v>
      </c>
      <c r="AB1248" s="2" t="s">
        <v>38</v>
      </c>
      <c r="AC1248" s="2" t="s">
        <v>38</v>
      </c>
      <c r="AD1248" s="2" t="s">
        <v>38</v>
      </c>
      <c r="AE1248" s="2" t="s">
        <v>40</v>
      </c>
    </row>
    <row r="1249" spans="1:31" ht="409.5">
      <c r="A1249" s="2">
        <v>2742369</v>
      </c>
      <c r="B1249" s="2">
        <f>HYPERLINK("https://platform.v2.vetology.net/cases/2742369/screening-report/1?type=pdf&amp;v=v6&amp;scorecard=1&amp;secret_key=BX%25IJ%24%2F65ieZ%29f6", 2742369)</f>
        <v>2742369</v>
      </c>
      <c r="C1249" s="2">
        <f>HYPERLINK("https://platform.v2.vetology.net/report/v/final/"&amp;2742369, 2742369)</f>
        <v>2742369</v>
      </c>
      <c r="D1249" s="2" t="s">
        <v>4139</v>
      </c>
      <c r="E1249" s="2" t="s">
        <v>1091</v>
      </c>
      <c r="F1249" s="2" t="s">
        <v>787</v>
      </c>
      <c r="G1249" s="2" t="s">
        <v>100</v>
      </c>
      <c r="H1249" s="2" t="s">
        <v>2424</v>
      </c>
      <c r="I1249" s="2" t="s">
        <v>36</v>
      </c>
      <c r="J1249" s="2" t="s">
        <v>37</v>
      </c>
      <c r="K1249" s="2" t="s">
        <v>39</v>
      </c>
      <c r="L1249" s="2" t="s">
        <v>39</v>
      </c>
      <c r="M1249" s="2" t="s">
        <v>38</v>
      </c>
      <c r="N1249" s="2" t="s">
        <v>38</v>
      </c>
      <c r="O1249" s="2" t="s">
        <v>38</v>
      </c>
      <c r="P1249" s="2" t="s">
        <v>39</v>
      </c>
      <c r="Q1249" s="2" t="s">
        <v>39</v>
      </c>
      <c r="R1249" s="2" t="s">
        <v>38</v>
      </c>
      <c r="S1249" s="2" t="s">
        <v>39</v>
      </c>
      <c r="T1249" s="2" t="s">
        <v>39</v>
      </c>
      <c r="U1249" s="2" t="s">
        <v>39</v>
      </c>
      <c r="V1249" s="2" t="s">
        <v>38</v>
      </c>
      <c r="W1249" s="2" t="s">
        <v>38</v>
      </c>
      <c r="X1249" s="2" t="s">
        <v>39</v>
      </c>
      <c r="Y1249" s="2" t="s">
        <v>39</v>
      </c>
      <c r="Z1249" s="2" t="s">
        <v>38</v>
      </c>
      <c r="AA1249" s="2" t="s">
        <v>38</v>
      </c>
      <c r="AB1249" s="2" t="s">
        <v>39</v>
      </c>
      <c r="AC1249" s="2" t="s">
        <v>38</v>
      </c>
      <c r="AD1249" s="2" t="s">
        <v>39</v>
      </c>
      <c r="AE1249" s="2" t="s">
        <v>40</v>
      </c>
    </row>
    <row r="1250" spans="1:31" ht="409.5">
      <c r="A1250" s="2">
        <v>2742341</v>
      </c>
      <c r="B1250" s="2">
        <f>HYPERLINK("https://platform.v2.vetology.net/cases/2742341/screening-report/1?type=pdf&amp;v=v6&amp;scorecard=1&amp;secret_key=BX%25IJ%24%2F65ieZ%29f6", 2742341)</f>
        <v>2742341</v>
      </c>
      <c r="C1250" s="2">
        <f>HYPERLINK("https://platform.v2.vetology.net/report/v/final/"&amp;2742341, 2742341)</f>
        <v>2742341</v>
      </c>
      <c r="D1250" s="2" t="s">
        <v>4140</v>
      </c>
      <c r="E1250" s="2" t="s">
        <v>4141</v>
      </c>
      <c r="F1250" s="2" t="s">
        <v>4142</v>
      </c>
      <c r="G1250" s="2" t="s">
        <v>127</v>
      </c>
      <c r="H1250" s="2" t="s">
        <v>69</v>
      </c>
      <c r="I1250" s="2" t="s">
        <v>46</v>
      </c>
      <c r="J1250" s="2"/>
      <c r="K1250" s="2" t="s">
        <v>39</v>
      </c>
      <c r="L1250" s="2" t="s">
        <v>39</v>
      </c>
      <c r="M1250" s="2" t="s">
        <v>39</v>
      </c>
      <c r="N1250" s="2" t="s">
        <v>39</v>
      </c>
      <c r="O1250" s="2" t="s">
        <v>39</v>
      </c>
      <c r="P1250" s="2" t="s">
        <v>39</v>
      </c>
      <c r="Q1250" s="2" t="s">
        <v>39</v>
      </c>
      <c r="R1250" s="2" t="s">
        <v>39</v>
      </c>
      <c r="S1250" s="2" t="s">
        <v>39</v>
      </c>
      <c r="T1250" s="2" t="s">
        <v>38</v>
      </c>
      <c r="U1250" s="2" t="s">
        <v>39</v>
      </c>
      <c r="V1250" s="2" t="s">
        <v>39</v>
      </c>
      <c r="W1250" s="2" t="s">
        <v>39</v>
      </c>
      <c r="X1250" s="2" t="s">
        <v>39</v>
      </c>
      <c r="Y1250" s="2" t="s">
        <v>39</v>
      </c>
      <c r="Z1250" s="2" t="s">
        <v>39</v>
      </c>
      <c r="AA1250" s="2" t="s">
        <v>39</v>
      </c>
      <c r="AB1250" s="2" t="s">
        <v>39</v>
      </c>
      <c r="AC1250" s="2" t="s">
        <v>39</v>
      </c>
      <c r="AD1250" s="2" t="s">
        <v>39</v>
      </c>
      <c r="AE1250" s="2" t="s">
        <v>39</v>
      </c>
    </row>
    <row r="1251" spans="1:31" ht="409.5">
      <c r="A1251" s="2">
        <v>2742329</v>
      </c>
      <c r="B1251" s="2">
        <f>HYPERLINK("https://platform.v2.vetology.net/cases/2742329/screening-report/1?type=pdf&amp;v=v6&amp;scorecard=1&amp;secret_key=BX%25IJ%24%2F65ieZ%29f6", 2742329)</f>
        <v>2742329</v>
      </c>
      <c r="C1251" s="2">
        <f>HYPERLINK("https://platform.v2.vetology.net/report/v/final/"&amp;2742329, 2742329)</f>
        <v>2742329</v>
      </c>
      <c r="D1251" s="2" t="s">
        <v>4143</v>
      </c>
      <c r="E1251" s="2" t="s">
        <v>4144</v>
      </c>
      <c r="F1251" s="2" t="s">
        <v>4145</v>
      </c>
      <c r="G1251" s="2" t="s">
        <v>170</v>
      </c>
      <c r="H1251" s="2" t="s">
        <v>4146</v>
      </c>
      <c r="I1251" s="2" t="s">
        <v>257</v>
      </c>
      <c r="J1251" s="2" t="s">
        <v>74</v>
      </c>
      <c r="K1251" s="2" t="s">
        <v>38</v>
      </c>
      <c r="L1251" s="2" t="s">
        <v>38</v>
      </c>
      <c r="M1251" s="2" t="s">
        <v>38</v>
      </c>
      <c r="N1251" s="2" t="s">
        <v>38</v>
      </c>
      <c r="O1251" s="2" t="s">
        <v>38</v>
      </c>
      <c r="P1251" s="2" t="s">
        <v>38</v>
      </c>
      <c r="Q1251" s="2" t="s">
        <v>38</v>
      </c>
      <c r="R1251" s="2" t="s">
        <v>38</v>
      </c>
      <c r="S1251" s="2" t="s">
        <v>38</v>
      </c>
      <c r="T1251" s="2" t="s">
        <v>38</v>
      </c>
      <c r="U1251" s="2" t="s">
        <v>38</v>
      </c>
      <c r="V1251" s="2" t="s">
        <v>38</v>
      </c>
      <c r="W1251" s="2" t="s">
        <v>38</v>
      </c>
      <c r="X1251" s="2" t="s">
        <v>38</v>
      </c>
      <c r="Y1251" s="2" t="s">
        <v>38</v>
      </c>
      <c r="Z1251" s="2" t="s">
        <v>38</v>
      </c>
      <c r="AA1251" s="2" t="s">
        <v>38</v>
      </c>
      <c r="AB1251" s="2" t="s">
        <v>38</v>
      </c>
      <c r="AC1251" s="2" t="s">
        <v>38</v>
      </c>
      <c r="AD1251" s="2" t="s">
        <v>38</v>
      </c>
      <c r="AE1251" s="2" t="s">
        <v>40</v>
      </c>
    </row>
    <row r="1252" spans="1:31" ht="409.5">
      <c r="A1252" s="2">
        <v>2742325</v>
      </c>
      <c r="B1252" s="2">
        <f>HYPERLINK("https://platform.v2.vetology.net/cases/2742325/screening-report/1?type=pdf&amp;v=v6&amp;scorecard=1&amp;secret_key=BX%25IJ%24%2F65ieZ%29f6", 2742325)</f>
        <v>2742325</v>
      </c>
      <c r="C1252" s="2">
        <f>HYPERLINK("https://platform.v2.vetology.net/report/v/final/"&amp;2742325, 2742325)</f>
        <v>2742325</v>
      </c>
      <c r="D1252" s="2" t="s">
        <v>4147</v>
      </c>
      <c r="E1252" s="2" t="s">
        <v>4148</v>
      </c>
      <c r="F1252" s="2" t="s">
        <v>4149</v>
      </c>
      <c r="G1252" s="2" t="s">
        <v>53</v>
      </c>
      <c r="H1252" s="2" t="s">
        <v>4150</v>
      </c>
      <c r="I1252" s="2" t="s">
        <v>73</v>
      </c>
      <c r="J1252" s="2" t="s">
        <v>74</v>
      </c>
      <c r="K1252" s="2" t="s">
        <v>38</v>
      </c>
      <c r="L1252" s="2" t="s">
        <v>38</v>
      </c>
      <c r="M1252" s="2" t="s">
        <v>38</v>
      </c>
      <c r="N1252" s="2" t="s">
        <v>38</v>
      </c>
      <c r="O1252" s="2" t="s">
        <v>38</v>
      </c>
      <c r="P1252" s="2" t="s">
        <v>38</v>
      </c>
      <c r="Q1252" s="2" t="s">
        <v>38</v>
      </c>
      <c r="R1252" s="2" t="s">
        <v>38</v>
      </c>
      <c r="S1252" s="2" t="s">
        <v>38</v>
      </c>
      <c r="T1252" s="2" t="s">
        <v>38</v>
      </c>
      <c r="U1252" s="2" t="s">
        <v>38</v>
      </c>
      <c r="V1252" s="2" t="s">
        <v>38</v>
      </c>
      <c r="W1252" s="2" t="s">
        <v>38</v>
      </c>
      <c r="X1252" s="2" t="s">
        <v>38</v>
      </c>
      <c r="Y1252" s="2" t="s">
        <v>38</v>
      </c>
      <c r="Z1252" s="2" t="s">
        <v>38</v>
      </c>
      <c r="AA1252" s="2" t="s">
        <v>38</v>
      </c>
      <c r="AB1252" s="2" t="s">
        <v>38</v>
      </c>
      <c r="AC1252" s="2" t="s">
        <v>38</v>
      </c>
      <c r="AD1252" s="2" t="s">
        <v>38</v>
      </c>
      <c r="AE1252" s="2" t="s">
        <v>39</v>
      </c>
    </row>
    <row r="1253" spans="1:31" ht="409.5">
      <c r="A1253" s="2">
        <v>2742316</v>
      </c>
      <c r="B1253" s="2">
        <f>HYPERLINK("https://platform.v2.vetology.net/cases/2742316/screening-report/1?type=pdf&amp;v=v6&amp;scorecard=1&amp;secret_key=BX%25IJ%24%2F65ieZ%29f6", 2742316)</f>
        <v>2742316</v>
      </c>
      <c r="C1253" s="2">
        <f>HYPERLINK("https://platform.v2.vetology.net/report/v/final/"&amp;2742316, 2742316)</f>
        <v>2742316</v>
      </c>
      <c r="D1253" s="2" t="s">
        <v>4151</v>
      </c>
      <c r="E1253" s="2" t="s">
        <v>4152</v>
      </c>
      <c r="F1253" s="2" t="s">
        <v>4153</v>
      </c>
      <c r="G1253" s="2" t="s">
        <v>53</v>
      </c>
      <c r="H1253" s="2" t="s">
        <v>1985</v>
      </c>
      <c r="I1253" s="2" t="s">
        <v>36</v>
      </c>
      <c r="J1253" s="2" t="s">
        <v>37</v>
      </c>
      <c r="K1253" s="2" t="s">
        <v>39</v>
      </c>
      <c r="L1253" s="2" t="s">
        <v>38</v>
      </c>
      <c r="M1253" s="2" t="s">
        <v>38</v>
      </c>
      <c r="N1253" s="2" t="s">
        <v>38</v>
      </c>
      <c r="O1253" s="2" t="s">
        <v>39</v>
      </c>
      <c r="P1253" s="2" t="s">
        <v>39</v>
      </c>
      <c r="Q1253" s="2" t="s">
        <v>39</v>
      </c>
      <c r="R1253" s="2" t="s">
        <v>39</v>
      </c>
      <c r="S1253" s="2" t="s">
        <v>39</v>
      </c>
      <c r="T1253" s="2" t="s">
        <v>39</v>
      </c>
      <c r="U1253" s="2" t="s">
        <v>39</v>
      </c>
      <c r="V1253" s="2" t="s">
        <v>39</v>
      </c>
      <c r="W1253" s="2" t="s">
        <v>39</v>
      </c>
      <c r="X1253" s="2" t="s">
        <v>39</v>
      </c>
      <c r="Y1253" s="2" t="s">
        <v>39</v>
      </c>
      <c r="Z1253" s="2" t="s">
        <v>39</v>
      </c>
      <c r="AA1253" s="2" t="s">
        <v>38</v>
      </c>
      <c r="AB1253" s="2" t="s">
        <v>39</v>
      </c>
      <c r="AC1253" s="2" t="s">
        <v>38</v>
      </c>
      <c r="AD1253" s="2" t="s">
        <v>38</v>
      </c>
      <c r="AE1253" s="2"/>
    </row>
    <row r="1254" spans="1:31" ht="409.5">
      <c r="A1254" s="2">
        <v>2742303</v>
      </c>
      <c r="B1254" s="2">
        <f>HYPERLINK("https://platform.v2.vetology.net/cases/2742303/screening-report/1?type=pdf&amp;v=v6&amp;scorecard=1&amp;secret_key=BX%25IJ%24%2F65ieZ%29f6", 2742303)</f>
        <v>2742303</v>
      </c>
      <c r="C1254" s="2">
        <f>HYPERLINK("https://platform.v2.vetology.net/report/v/final/"&amp;2742303, 2742303)</f>
        <v>2742303</v>
      </c>
      <c r="D1254" s="2" t="s">
        <v>4154</v>
      </c>
      <c r="E1254" s="2" t="s">
        <v>4155</v>
      </c>
      <c r="F1254" s="2" t="s">
        <v>4156</v>
      </c>
      <c r="G1254" s="2" t="s">
        <v>170</v>
      </c>
      <c r="H1254" s="2" t="s">
        <v>4157</v>
      </c>
      <c r="I1254" s="2" t="s">
        <v>36</v>
      </c>
      <c r="J1254" s="2" t="s">
        <v>37</v>
      </c>
      <c r="K1254" s="2" t="s">
        <v>39</v>
      </c>
      <c r="L1254" s="2" t="s">
        <v>38</v>
      </c>
      <c r="M1254" s="2" t="s">
        <v>38</v>
      </c>
      <c r="N1254" s="2" t="s">
        <v>38</v>
      </c>
      <c r="O1254" s="2" t="s">
        <v>38</v>
      </c>
      <c r="P1254" s="2" t="s">
        <v>39</v>
      </c>
      <c r="Q1254" s="2" t="s">
        <v>39</v>
      </c>
      <c r="R1254" s="2" t="s">
        <v>38</v>
      </c>
      <c r="S1254" s="2" t="s">
        <v>38</v>
      </c>
      <c r="T1254" s="2" t="s">
        <v>38</v>
      </c>
      <c r="U1254" s="2" t="s">
        <v>39</v>
      </c>
      <c r="V1254" s="2" t="s">
        <v>38</v>
      </c>
      <c r="W1254" s="2" t="s">
        <v>38</v>
      </c>
      <c r="X1254" s="2" t="s">
        <v>39</v>
      </c>
      <c r="Y1254" s="2" t="s">
        <v>38</v>
      </c>
      <c r="Z1254" s="2" t="s">
        <v>38</v>
      </c>
      <c r="AA1254" s="2" t="s">
        <v>38</v>
      </c>
      <c r="AB1254" s="2" t="s">
        <v>39</v>
      </c>
      <c r="AC1254" s="2" t="s">
        <v>38</v>
      </c>
      <c r="AD1254" s="2" t="s">
        <v>38</v>
      </c>
      <c r="AE1254" s="2" t="s">
        <v>40</v>
      </c>
    </row>
    <row r="1255" spans="1:31" ht="409.5">
      <c r="A1255" s="2">
        <v>2742297</v>
      </c>
      <c r="B1255" s="2">
        <f>HYPERLINK("https://platform.v2.vetology.net/cases/2742297/screening-report/1?type=pdf&amp;v=v6&amp;scorecard=1&amp;secret_key=BX%25IJ%24%2F65ieZ%29f6", 2742297)</f>
        <v>2742297</v>
      </c>
      <c r="C1255" s="2">
        <f>HYPERLINK("https://platform.v2.vetology.net/report/v/final/"&amp;2742297, 2742297)</f>
        <v>2742297</v>
      </c>
      <c r="D1255" s="2" t="s">
        <v>4158</v>
      </c>
      <c r="E1255" s="2" t="s">
        <v>4159</v>
      </c>
      <c r="F1255" s="2" t="s">
        <v>4160</v>
      </c>
      <c r="G1255" s="2" t="s">
        <v>127</v>
      </c>
      <c r="H1255" s="2" t="s">
        <v>530</v>
      </c>
      <c r="I1255" s="2" t="s">
        <v>59</v>
      </c>
      <c r="J1255" s="2" t="s">
        <v>37</v>
      </c>
      <c r="K1255" s="2" t="s">
        <v>38</v>
      </c>
      <c r="L1255" s="2" t="s">
        <v>39</v>
      </c>
      <c r="M1255" s="2" t="s">
        <v>39</v>
      </c>
      <c r="N1255" s="2" t="s">
        <v>39</v>
      </c>
      <c r="O1255" s="2" t="s">
        <v>39</v>
      </c>
      <c r="P1255" s="2" t="s">
        <v>39</v>
      </c>
      <c r="Q1255" s="2" t="s">
        <v>39</v>
      </c>
      <c r="R1255" s="2" t="s">
        <v>39</v>
      </c>
      <c r="S1255" s="2" t="s">
        <v>39</v>
      </c>
      <c r="T1255" s="2" t="s">
        <v>39</v>
      </c>
      <c r="U1255" s="2" t="s">
        <v>38</v>
      </c>
      <c r="V1255" s="2" t="s">
        <v>38</v>
      </c>
      <c r="W1255" s="2" t="s">
        <v>39</v>
      </c>
      <c r="X1255" s="2" t="s">
        <v>39</v>
      </c>
      <c r="Y1255" s="2" t="s">
        <v>39</v>
      </c>
      <c r="Z1255" s="2" t="s">
        <v>39</v>
      </c>
      <c r="AA1255" s="2" t="s">
        <v>39</v>
      </c>
      <c r="AB1255" s="2" t="s">
        <v>39</v>
      </c>
      <c r="AC1255" s="2" t="s">
        <v>39</v>
      </c>
      <c r="AD1255" s="2" t="s">
        <v>38</v>
      </c>
      <c r="AE1255" s="2" t="s">
        <v>39</v>
      </c>
    </row>
    <row r="1256" spans="1:31" ht="409.5">
      <c r="A1256" s="2">
        <v>2742288</v>
      </c>
      <c r="B1256" s="2">
        <f>HYPERLINK("https://platform.v2.vetology.net/cases/2742288/screening-report/1?type=pdf&amp;v=v6&amp;scorecard=1&amp;secret_key=BX%25IJ%24%2F65ieZ%29f6", 2742288)</f>
        <v>2742288</v>
      </c>
      <c r="C1256" s="2">
        <f>HYPERLINK("https://platform.v2.vetology.net/report/v/final/"&amp;2742288, 2742288)</f>
        <v>2742288</v>
      </c>
      <c r="D1256" s="2" t="s">
        <v>4161</v>
      </c>
      <c r="E1256" s="2" t="s">
        <v>4162</v>
      </c>
      <c r="F1256" s="2" t="s">
        <v>4163</v>
      </c>
      <c r="G1256" s="2" t="s">
        <v>53</v>
      </c>
      <c r="H1256" s="2" t="s">
        <v>69</v>
      </c>
      <c r="I1256" s="2" t="s">
        <v>46</v>
      </c>
      <c r="J1256" s="2"/>
      <c r="K1256" s="2" t="s">
        <v>39</v>
      </c>
      <c r="L1256" s="2" t="s">
        <v>39</v>
      </c>
      <c r="M1256" s="2" t="s">
        <v>39</v>
      </c>
      <c r="N1256" s="2" t="s">
        <v>39</v>
      </c>
      <c r="O1256" s="2" t="s">
        <v>39</v>
      </c>
      <c r="P1256" s="2" t="s">
        <v>39</v>
      </c>
      <c r="Q1256" s="2" t="s">
        <v>39</v>
      </c>
      <c r="R1256" s="2" t="s">
        <v>39</v>
      </c>
      <c r="S1256" s="2" t="s">
        <v>39</v>
      </c>
      <c r="T1256" s="2" t="s">
        <v>38</v>
      </c>
      <c r="U1256" s="2" t="s">
        <v>39</v>
      </c>
      <c r="V1256" s="2" t="s">
        <v>39</v>
      </c>
      <c r="W1256" s="2" t="s">
        <v>38</v>
      </c>
      <c r="X1256" s="2" t="s">
        <v>39</v>
      </c>
      <c r="Y1256" s="2" t="s">
        <v>39</v>
      </c>
      <c r="Z1256" s="2" t="s">
        <v>39</v>
      </c>
      <c r="AA1256" s="2" t="s">
        <v>38</v>
      </c>
      <c r="AB1256" s="2" t="s">
        <v>39</v>
      </c>
      <c r="AC1256" s="2" t="s">
        <v>38</v>
      </c>
      <c r="AD1256" s="2" t="s">
        <v>39</v>
      </c>
      <c r="AE1256" s="2" t="s">
        <v>39</v>
      </c>
    </row>
    <row r="1257" spans="1:31" ht="409.5">
      <c r="A1257" s="2">
        <v>2742286</v>
      </c>
      <c r="B1257" s="2">
        <f>HYPERLINK("https://platform.v2.vetology.net/cases/2742286/screening-report/1?type=pdf&amp;v=v6&amp;scorecard=1&amp;secret_key=BX%25IJ%24%2F65ieZ%29f6", 2742286)</f>
        <v>2742286</v>
      </c>
      <c r="C1257" s="2">
        <f>HYPERLINK("https://platform.v2.vetology.net/report/v/final/"&amp;2742286, 2742286)</f>
        <v>2742286</v>
      </c>
      <c r="D1257" s="2" t="s">
        <v>4164</v>
      </c>
      <c r="E1257" s="2" t="s">
        <v>4165</v>
      </c>
      <c r="F1257" s="2" t="s">
        <v>4166</v>
      </c>
      <c r="G1257" s="2" t="s">
        <v>127</v>
      </c>
      <c r="H1257" s="2" t="s">
        <v>4167</v>
      </c>
      <c r="I1257" s="2" t="s">
        <v>36</v>
      </c>
      <c r="J1257" s="2" t="s">
        <v>37</v>
      </c>
      <c r="K1257" s="2" t="s">
        <v>38</v>
      </c>
      <c r="L1257" s="2" t="s">
        <v>38</v>
      </c>
      <c r="M1257" s="2" t="s">
        <v>38</v>
      </c>
      <c r="N1257" s="2" t="s">
        <v>39</v>
      </c>
      <c r="O1257" s="2" t="s">
        <v>38</v>
      </c>
      <c r="P1257" s="2" t="s">
        <v>39</v>
      </c>
      <c r="Q1257" s="2" t="s">
        <v>39</v>
      </c>
      <c r="R1257" s="2" t="s">
        <v>38</v>
      </c>
      <c r="S1257" s="2" t="s">
        <v>38</v>
      </c>
      <c r="T1257" s="2" t="s">
        <v>39</v>
      </c>
      <c r="U1257" s="2" t="s">
        <v>39</v>
      </c>
      <c r="V1257" s="2" t="s">
        <v>38</v>
      </c>
      <c r="W1257" s="2" t="s">
        <v>38</v>
      </c>
      <c r="X1257" s="2" t="s">
        <v>39</v>
      </c>
      <c r="Y1257" s="2" t="s">
        <v>39</v>
      </c>
      <c r="Z1257" s="2" t="s">
        <v>38</v>
      </c>
      <c r="AA1257" s="2" t="s">
        <v>39</v>
      </c>
      <c r="AB1257" s="2" t="s">
        <v>39</v>
      </c>
      <c r="AC1257" s="2" t="s">
        <v>38</v>
      </c>
      <c r="AD1257" s="2" t="s">
        <v>39</v>
      </c>
      <c r="AE1257" s="2" t="s">
        <v>39</v>
      </c>
    </row>
    <row r="1258" spans="1:31" ht="409.5">
      <c r="A1258" s="2">
        <v>2742274</v>
      </c>
      <c r="B1258" s="2">
        <f>HYPERLINK("https://platform.v2.vetology.net/cases/2742274/screening-report/1?type=pdf&amp;v=v6&amp;scorecard=1&amp;secret_key=BX%25IJ%24%2F65ieZ%29f6", 2742274)</f>
        <v>2742274</v>
      </c>
      <c r="C1258" s="2">
        <f>HYPERLINK("https://platform.v2.vetology.net/report/v/final/"&amp;2742274, 2742274)</f>
        <v>2742274</v>
      </c>
      <c r="D1258" s="2" t="s">
        <v>4168</v>
      </c>
      <c r="E1258" s="2" t="s">
        <v>4169</v>
      </c>
      <c r="F1258" s="2" t="s">
        <v>1389</v>
      </c>
      <c r="G1258" s="2" t="s">
        <v>100</v>
      </c>
      <c r="H1258" s="2" t="s">
        <v>4170</v>
      </c>
      <c r="I1258" s="2" t="s">
        <v>129</v>
      </c>
      <c r="J1258" s="2" t="s">
        <v>74</v>
      </c>
      <c r="K1258" s="2" t="s">
        <v>38</v>
      </c>
      <c r="L1258" s="2" t="s">
        <v>39</v>
      </c>
      <c r="M1258" s="2" t="s">
        <v>38</v>
      </c>
      <c r="N1258" s="2" t="s">
        <v>38</v>
      </c>
      <c r="O1258" s="2" t="s">
        <v>38</v>
      </c>
      <c r="P1258" s="2" t="s">
        <v>39</v>
      </c>
      <c r="Q1258" s="2" t="s">
        <v>38</v>
      </c>
      <c r="R1258" s="2" t="s">
        <v>38</v>
      </c>
      <c r="S1258" s="2" t="s">
        <v>38</v>
      </c>
      <c r="T1258" s="2" t="s">
        <v>39</v>
      </c>
      <c r="U1258" s="2" t="s">
        <v>38</v>
      </c>
      <c r="V1258" s="2" t="s">
        <v>38</v>
      </c>
      <c r="W1258" s="2" t="s">
        <v>38</v>
      </c>
      <c r="X1258" s="2" t="s">
        <v>38</v>
      </c>
      <c r="Y1258" s="2" t="s">
        <v>39</v>
      </c>
      <c r="Z1258" s="2" t="s">
        <v>38</v>
      </c>
      <c r="AA1258" s="2" t="s">
        <v>39</v>
      </c>
      <c r="AB1258" s="2" t="s">
        <v>38</v>
      </c>
      <c r="AC1258" s="2" t="s">
        <v>38</v>
      </c>
      <c r="AD1258" s="2" t="s">
        <v>38</v>
      </c>
      <c r="AE1258" s="2" t="s">
        <v>40</v>
      </c>
    </row>
    <row r="1259" spans="1:31" ht="409.5">
      <c r="A1259" s="2">
        <v>2742269</v>
      </c>
      <c r="B1259" s="2">
        <f>HYPERLINK("https://platform.v2.vetology.net/cases/2742269/screening-report/1?type=pdf&amp;v=v6&amp;scorecard=1&amp;secret_key=BX%25IJ%24%2F65ieZ%29f6", 2742269)</f>
        <v>2742269</v>
      </c>
      <c r="C1259" s="2">
        <f>HYPERLINK("https://platform.v2.vetology.net/report/v/final/"&amp;2742269, 2742269)</f>
        <v>2742269</v>
      </c>
      <c r="D1259" s="2" t="s">
        <v>4171</v>
      </c>
      <c r="E1259" s="2" t="s">
        <v>4172</v>
      </c>
      <c r="F1259" s="2" t="s">
        <v>43</v>
      </c>
      <c r="G1259" s="2" t="s">
        <v>100</v>
      </c>
      <c r="H1259" s="2" t="s">
        <v>4173</v>
      </c>
      <c r="I1259" s="2" t="s">
        <v>36</v>
      </c>
      <c r="J1259" s="2" t="s">
        <v>37</v>
      </c>
      <c r="K1259" s="2" t="s">
        <v>38</v>
      </c>
      <c r="L1259" s="2" t="s">
        <v>38</v>
      </c>
      <c r="M1259" s="2" t="s">
        <v>39</v>
      </c>
      <c r="N1259" s="2" t="s">
        <v>39</v>
      </c>
      <c r="O1259" s="2" t="s">
        <v>39</v>
      </c>
      <c r="P1259" s="2" t="s">
        <v>39</v>
      </c>
      <c r="Q1259" s="2" t="s">
        <v>39</v>
      </c>
      <c r="R1259" s="2" t="s">
        <v>39</v>
      </c>
      <c r="S1259" s="2" t="s">
        <v>38</v>
      </c>
      <c r="T1259" s="2" t="s">
        <v>39</v>
      </c>
      <c r="U1259" s="2" t="s">
        <v>38</v>
      </c>
      <c r="V1259" s="2" t="s">
        <v>38</v>
      </c>
      <c r="W1259" s="2" t="s">
        <v>38</v>
      </c>
      <c r="X1259" s="2" t="s">
        <v>39</v>
      </c>
      <c r="Y1259" s="2" t="s">
        <v>39</v>
      </c>
      <c r="Z1259" s="2" t="s">
        <v>38</v>
      </c>
      <c r="AA1259" s="2" t="s">
        <v>38</v>
      </c>
      <c r="AB1259" s="2" t="s">
        <v>39</v>
      </c>
      <c r="AC1259" s="2" t="s">
        <v>38</v>
      </c>
      <c r="AD1259" s="2" t="s">
        <v>38</v>
      </c>
      <c r="AE1259" s="2" t="s">
        <v>39</v>
      </c>
    </row>
    <row r="1260" spans="1:31" ht="409.5">
      <c r="A1260" s="2">
        <v>2742261</v>
      </c>
      <c r="B1260" s="2">
        <f>HYPERLINK("https://platform.v2.vetology.net/cases/2742261/screening-report/1?type=pdf&amp;v=v6&amp;scorecard=1&amp;secret_key=BX%25IJ%24%2F65ieZ%29f6", 2742261)</f>
        <v>2742261</v>
      </c>
      <c r="C1260" s="2">
        <f>HYPERLINK("https://platform.v2.vetology.net/report/v/final/"&amp;2742261, 2742261)</f>
        <v>2742261</v>
      </c>
      <c r="D1260" s="2" t="s">
        <v>4174</v>
      </c>
      <c r="E1260" s="2" t="s">
        <v>4175</v>
      </c>
      <c r="F1260" s="2" t="s">
        <v>4176</v>
      </c>
      <c r="G1260" s="2" t="s">
        <v>53</v>
      </c>
      <c r="H1260" s="2" t="s">
        <v>69</v>
      </c>
      <c r="I1260" s="2" t="s">
        <v>46</v>
      </c>
      <c r="J1260" s="2"/>
      <c r="K1260" s="2" t="s">
        <v>39</v>
      </c>
      <c r="L1260" s="2" t="s">
        <v>39</v>
      </c>
      <c r="M1260" s="2" t="s">
        <v>39</v>
      </c>
      <c r="N1260" s="2" t="s">
        <v>39</v>
      </c>
      <c r="O1260" s="2" t="s">
        <v>39</v>
      </c>
      <c r="P1260" s="2" t="s">
        <v>39</v>
      </c>
      <c r="Q1260" s="2" t="s">
        <v>39</v>
      </c>
      <c r="R1260" s="2" t="s">
        <v>39</v>
      </c>
      <c r="S1260" s="2" t="s">
        <v>39</v>
      </c>
      <c r="T1260" s="2" t="s">
        <v>39</v>
      </c>
      <c r="U1260" s="2" t="s">
        <v>39</v>
      </c>
      <c r="V1260" s="2" t="s">
        <v>39</v>
      </c>
      <c r="W1260" s="2" t="s">
        <v>39</v>
      </c>
      <c r="X1260" s="2" t="s">
        <v>39</v>
      </c>
      <c r="Y1260" s="2" t="s">
        <v>39</v>
      </c>
      <c r="Z1260" s="2" t="s">
        <v>39</v>
      </c>
      <c r="AA1260" s="2" t="s">
        <v>39</v>
      </c>
      <c r="AB1260" s="2" t="s">
        <v>39</v>
      </c>
      <c r="AC1260" s="2" t="s">
        <v>38</v>
      </c>
      <c r="AD1260" s="2" t="s">
        <v>38</v>
      </c>
      <c r="AE1260" s="2" t="s">
        <v>40</v>
      </c>
    </row>
    <row r="1261" spans="1:31" ht="409.5">
      <c r="A1261" s="2">
        <v>2742258</v>
      </c>
      <c r="B1261" s="2">
        <f>HYPERLINK("https://platform.v2.vetology.net/cases/2742258/screening-report/1?type=pdf&amp;v=v6&amp;scorecard=1&amp;secret_key=BX%25IJ%24%2F65ieZ%29f6", 2742258)</f>
        <v>2742258</v>
      </c>
      <c r="C1261" s="2">
        <f>HYPERLINK("https://platform.v2.vetology.net/report/v/final/"&amp;2742258, 2742258)</f>
        <v>2742258</v>
      </c>
      <c r="D1261" s="2" t="s">
        <v>4177</v>
      </c>
      <c r="E1261" s="2" t="s">
        <v>4178</v>
      </c>
      <c r="F1261" s="2" t="s">
        <v>43</v>
      </c>
      <c r="G1261" s="2" t="s">
        <v>507</v>
      </c>
      <c r="H1261" s="2" t="s">
        <v>4179</v>
      </c>
      <c r="I1261" s="2" t="s">
        <v>129</v>
      </c>
      <c r="J1261" s="2" t="s">
        <v>74</v>
      </c>
      <c r="K1261" s="2" t="s">
        <v>39</v>
      </c>
      <c r="L1261" s="2" t="s">
        <v>38</v>
      </c>
      <c r="M1261" s="2" t="s">
        <v>38</v>
      </c>
      <c r="N1261" s="2" t="s">
        <v>39</v>
      </c>
      <c r="O1261" s="2" t="s">
        <v>38</v>
      </c>
      <c r="P1261" s="2" t="s">
        <v>38</v>
      </c>
      <c r="Q1261" s="2" t="s">
        <v>38</v>
      </c>
      <c r="R1261" s="2" t="s">
        <v>39</v>
      </c>
      <c r="S1261" s="2" t="s">
        <v>39</v>
      </c>
      <c r="T1261" s="2" t="s">
        <v>38</v>
      </c>
      <c r="U1261" s="2" t="s">
        <v>39</v>
      </c>
      <c r="V1261" s="2" t="s">
        <v>39</v>
      </c>
      <c r="W1261" s="2" t="s">
        <v>39</v>
      </c>
      <c r="X1261" s="2" t="s">
        <v>38</v>
      </c>
      <c r="Y1261" s="2" t="s">
        <v>39</v>
      </c>
      <c r="Z1261" s="2" t="s">
        <v>38</v>
      </c>
      <c r="AA1261" s="2" t="s">
        <v>39</v>
      </c>
      <c r="AB1261" s="2" t="s">
        <v>38</v>
      </c>
      <c r="AC1261" s="2" t="s">
        <v>39</v>
      </c>
      <c r="AD1261" s="2" t="s">
        <v>38</v>
      </c>
      <c r="AE1261" s="2" t="s">
        <v>39</v>
      </c>
    </row>
    <row r="1262" spans="1:31" ht="409.5">
      <c r="A1262" s="2">
        <v>2742204</v>
      </c>
      <c r="B1262" s="2">
        <f>HYPERLINK("https://platform.v2.vetology.net/cases/2742204/screening-report/1?type=pdf&amp;v=v6&amp;scorecard=1&amp;secret_key=BX%25IJ%24%2F65ieZ%29f6", 2742204)</f>
        <v>2742204</v>
      </c>
      <c r="C1262" s="2">
        <f>HYPERLINK("https://platform.v2.vetology.net/report/v/final/"&amp;2742204, 2742204)</f>
        <v>2742204</v>
      </c>
      <c r="D1262" s="2" t="s">
        <v>4180</v>
      </c>
      <c r="E1262" s="2" t="s">
        <v>4181</v>
      </c>
      <c r="F1262" s="2" t="s">
        <v>4182</v>
      </c>
      <c r="G1262" s="2" t="s">
        <v>53</v>
      </c>
      <c r="H1262" s="2" t="s">
        <v>4183</v>
      </c>
      <c r="I1262" s="2" t="s">
        <v>73</v>
      </c>
      <c r="J1262" s="2" t="s">
        <v>74</v>
      </c>
      <c r="K1262" s="2" t="s">
        <v>38</v>
      </c>
      <c r="L1262" s="2" t="s">
        <v>38</v>
      </c>
      <c r="M1262" s="2" t="s">
        <v>38</v>
      </c>
      <c r="N1262" s="2" t="s">
        <v>38</v>
      </c>
      <c r="O1262" s="2" t="s">
        <v>38</v>
      </c>
      <c r="P1262" s="2" t="s">
        <v>38</v>
      </c>
      <c r="Q1262" s="2" t="s">
        <v>38</v>
      </c>
      <c r="R1262" s="2" t="s">
        <v>39</v>
      </c>
      <c r="S1262" s="2" t="s">
        <v>38</v>
      </c>
      <c r="T1262" s="2" t="s">
        <v>38</v>
      </c>
      <c r="U1262" s="2" t="s">
        <v>38</v>
      </c>
      <c r="V1262" s="2" t="s">
        <v>38</v>
      </c>
      <c r="W1262" s="2" t="s">
        <v>38</v>
      </c>
      <c r="X1262" s="2" t="s">
        <v>38</v>
      </c>
      <c r="Y1262" s="2" t="s">
        <v>39</v>
      </c>
      <c r="Z1262" s="2" t="s">
        <v>38</v>
      </c>
      <c r="AA1262" s="2" t="s">
        <v>38</v>
      </c>
      <c r="AB1262" s="2" t="s">
        <v>38</v>
      </c>
      <c r="AC1262" s="2" t="s">
        <v>38</v>
      </c>
      <c r="AD1262" s="2" t="s">
        <v>38</v>
      </c>
      <c r="AE1262" s="2" t="s">
        <v>40</v>
      </c>
    </row>
    <row r="1263" spans="1:31" ht="409.5">
      <c r="A1263" s="2">
        <v>2742190</v>
      </c>
      <c r="B1263" s="2">
        <f>HYPERLINK("https://platform.v2.vetology.net/cases/2742190/screening-report/1?type=pdf&amp;v=v6&amp;scorecard=1&amp;secret_key=BX%25IJ%24%2F65ieZ%29f6", 2742190)</f>
        <v>2742190</v>
      </c>
      <c r="C1263" s="2">
        <f>HYPERLINK("https://platform.v2.vetology.net/report/v/final/"&amp;2742190, 2742190)</f>
        <v>2742190</v>
      </c>
      <c r="D1263" s="2" t="s">
        <v>4184</v>
      </c>
      <c r="E1263" s="2" t="s">
        <v>4185</v>
      </c>
      <c r="F1263" s="2" t="s">
        <v>4186</v>
      </c>
      <c r="G1263" s="2" t="s">
        <v>170</v>
      </c>
      <c r="H1263" s="2" t="s">
        <v>69</v>
      </c>
      <c r="I1263" s="2" t="s">
        <v>46</v>
      </c>
      <c r="J1263" s="2"/>
      <c r="K1263" s="2" t="s">
        <v>39</v>
      </c>
      <c r="L1263" s="2" t="s">
        <v>39</v>
      </c>
      <c r="M1263" s="2" t="s">
        <v>39</v>
      </c>
      <c r="N1263" s="2" t="s">
        <v>39</v>
      </c>
      <c r="O1263" s="2" t="s">
        <v>39</v>
      </c>
      <c r="P1263" s="2" t="s">
        <v>39</v>
      </c>
      <c r="Q1263" s="2" t="s">
        <v>39</v>
      </c>
      <c r="R1263" s="2" t="s">
        <v>39</v>
      </c>
      <c r="S1263" s="2" t="s">
        <v>39</v>
      </c>
      <c r="T1263" s="2" t="s">
        <v>38</v>
      </c>
      <c r="U1263" s="2" t="s">
        <v>39</v>
      </c>
      <c r="V1263" s="2" t="s">
        <v>39</v>
      </c>
      <c r="W1263" s="2" t="s">
        <v>38</v>
      </c>
      <c r="X1263" s="2" t="s">
        <v>39</v>
      </c>
      <c r="Y1263" s="2" t="s">
        <v>39</v>
      </c>
      <c r="Z1263" s="2" t="s">
        <v>38</v>
      </c>
      <c r="AA1263" s="2" t="s">
        <v>38</v>
      </c>
      <c r="AB1263" s="2" t="s">
        <v>39</v>
      </c>
      <c r="AC1263" s="2" t="s">
        <v>39</v>
      </c>
      <c r="AD1263" s="2" t="s">
        <v>39</v>
      </c>
      <c r="AE1263" s="2" t="s">
        <v>39</v>
      </c>
    </row>
    <row r="1264" spans="1:31" ht="409.5">
      <c r="A1264" s="2">
        <v>2742189</v>
      </c>
      <c r="B1264" s="2">
        <f>HYPERLINK("https://platform.v2.vetology.net/cases/2742189/screening-report/1?type=pdf&amp;v=v6&amp;scorecard=1&amp;secret_key=BX%25IJ%24%2F65ieZ%29f6", 2742189)</f>
        <v>2742189</v>
      </c>
      <c r="C1264" s="2">
        <f>HYPERLINK("https://platform.v2.vetology.net/report/v/final/"&amp;2742189, 2742189)</f>
        <v>2742189</v>
      </c>
      <c r="D1264" s="2" t="s">
        <v>4187</v>
      </c>
      <c r="E1264" s="2" t="s">
        <v>4188</v>
      </c>
      <c r="F1264" s="2" t="s">
        <v>4189</v>
      </c>
      <c r="G1264" s="2" t="s">
        <v>111</v>
      </c>
      <c r="H1264" s="2" t="s">
        <v>4190</v>
      </c>
      <c r="I1264" s="2" t="s">
        <v>73</v>
      </c>
      <c r="J1264" s="2" t="s">
        <v>74</v>
      </c>
      <c r="K1264" s="2" t="s">
        <v>38</v>
      </c>
      <c r="L1264" s="2" t="s">
        <v>38</v>
      </c>
      <c r="M1264" s="2" t="s">
        <v>38</v>
      </c>
      <c r="N1264" s="2" t="s">
        <v>38</v>
      </c>
      <c r="O1264" s="2" t="s">
        <v>38</v>
      </c>
      <c r="P1264" s="2" t="s">
        <v>38</v>
      </c>
      <c r="Q1264" s="2" t="s">
        <v>38</v>
      </c>
      <c r="R1264" s="2" t="s">
        <v>39</v>
      </c>
      <c r="S1264" s="2" t="s">
        <v>38</v>
      </c>
      <c r="T1264" s="2" t="s">
        <v>38</v>
      </c>
      <c r="U1264" s="2" t="s">
        <v>38</v>
      </c>
      <c r="V1264" s="2" t="s">
        <v>38</v>
      </c>
      <c r="W1264" s="2" t="s">
        <v>38</v>
      </c>
      <c r="X1264" s="2" t="s">
        <v>38</v>
      </c>
      <c r="Y1264" s="2" t="s">
        <v>39</v>
      </c>
      <c r="Z1264" s="2" t="s">
        <v>38</v>
      </c>
      <c r="AA1264" s="2" t="s">
        <v>39</v>
      </c>
      <c r="AB1264" s="2" t="s">
        <v>38</v>
      </c>
      <c r="AC1264" s="2" t="s">
        <v>38</v>
      </c>
      <c r="AD1264" s="2" t="s">
        <v>38</v>
      </c>
      <c r="AE1264" s="2" t="s">
        <v>39</v>
      </c>
    </row>
    <row r="1265" spans="1:31" ht="409.5">
      <c r="A1265" s="2">
        <v>2742182</v>
      </c>
      <c r="B1265" s="2">
        <f>HYPERLINK("https://platform.v2.vetology.net/cases/2742182/screening-report/1?type=pdf&amp;v=v6&amp;scorecard=1&amp;secret_key=BX%25IJ%24%2F65ieZ%29f6", 2742182)</f>
        <v>2742182</v>
      </c>
      <c r="C1265" s="2">
        <f>HYPERLINK("https://platform.v2.vetology.net/report/v/final/"&amp;2742182, 2742182)</f>
        <v>2742182</v>
      </c>
      <c r="D1265" s="2" t="s">
        <v>4191</v>
      </c>
      <c r="E1265" s="2" t="s">
        <v>4192</v>
      </c>
      <c r="F1265" s="2" t="s">
        <v>1354</v>
      </c>
      <c r="G1265" s="2" t="s">
        <v>111</v>
      </c>
      <c r="H1265" s="2" t="s">
        <v>4193</v>
      </c>
      <c r="I1265" s="2" t="s">
        <v>73</v>
      </c>
      <c r="J1265" s="2" t="s">
        <v>74</v>
      </c>
      <c r="K1265" s="2" t="s">
        <v>38</v>
      </c>
      <c r="L1265" s="2" t="s">
        <v>38</v>
      </c>
      <c r="M1265" s="2" t="s">
        <v>38</v>
      </c>
      <c r="N1265" s="2" t="s">
        <v>38</v>
      </c>
      <c r="O1265" s="2" t="s">
        <v>38</v>
      </c>
      <c r="P1265" s="2" t="s">
        <v>38</v>
      </c>
      <c r="Q1265" s="2" t="s">
        <v>38</v>
      </c>
      <c r="R1265" s="2" t="s">
        <v>38</v>
      </c>
      <c r="S1265" s="2" t="s">
        <v>38</v>
      </c>
      <c r="T1265" s="2" t="s">
        <v>38</v>
      </c>
      <c r="U1265" s="2" t="s">
        <v>38</v>
      </c>
      <c r="V1265" s="2" t="s">
        <v>38</v>
      </c>
      <c r="W1265" s="2" t="s">
        <v>38</v>
      </c>
      <c r="X1265" s="2" t="s">
        <v>38</v>
      </c>
      <c r="Y1265" s="2" t="s">
        <v>38</v>
      </c>
      <c r="Z1265" s="2" t="s">
        <v>38</v>
      </c>
      <c r="AA1265" s="2" t="s">
        <v>38</v>
      </c>
      <c r="AB1265" s="2" t="s">
        <v>38</v>
      </c>
      <c r="AC1265" s="2" t="s">
        <v>38</v>
      </c>
      <c r="AD1265" s="2" t="s">
        <v>38</v>
      </c>
      <c r="AE1265" s="2" t="s">
        <v>40</v>
      </c>
    </row>
    <row r="1266" spans="1:31" ht="409.5">
      <c r="A1266" s="2">
        <v>2742179</v>
      </c>
      <c r="B1266" s="2">
        <f>HYPERLINK("https://platform.v2.vetology.net/cases/2742179/screening-report/1?type=pdf&amp;v=v6&amp;scorecard=1&amp;secret_key=BX%25IJ%24%2F65ieZ%29f6", 2742179)</f>
        <v>2742179</v>
      </c>
      <c r="C1266" s="2">
        <f>HYPERLINK("https://platform.v2.vetology.net/report/v/final/"&amp;2742179, 2742179)</f>
        <v>2742179</v>
      </c>
      <c r="D1266" s="2" t="s">
        <v>4194</v>
      </c>
      <c r="E1266" s="2" t="s">
        <v>4195</v>
      </c>
      <c r="F1266" s="2" t="s">
        <v>4196</v>
      </c>
      <c r="G1266" s="2" t="s">
        <v>127</v>
      </c>
      <c r="H1266" s="2" t="s">
        <v>4197</v>
      </c>
      <c r="I1266" s="2" t="s">
        <v>73</v>
      </c>
      <c r="J1266" s="2" t="s">
        <v>74</v>
      </c>
      <c r="K1266" s="2" t="s">
        <v>38</v>
      </c>
      <c r="L1266" s="2" t="s">
        <v>38</v>
      </c>
      <c r="M1266" s="2" t="s">
        <v>38</v>
      </c>
      <c r="N1266" s="2" t="s">
        <v>38</v>
      </c>
      <c r="O1266" s="2" t="s">
        <v>38</v>
      </c>
      <c r="P1266" s="2" t="s">
        <v>38</v>
      </c>
      <c r="Q1266" s="2" t="s">
        <v>38</v>
      </c>
      <c r="R1266" s="2" t="s">
        <v>38</v>
      </c>
      <c r="S1266" s="2" t="s">
        <v>38</v>
      </c>
      <c r="T1266" s="2" t="s">
        <v>38</v>
      </c>
      <c r="U1266" s="2" t="s">
        <v>38</v>
      </c>
      <c r="V1266" s="2" t="s">
        <v>38</v>
      </c>
      <c r="W1266" s="2" t="s">
        <v>38</v>
      </c>
      <c r="X1266" s="2" t="s">
        <v>38</v>
      </c>
      <c r="Y1266" s="2" t="s">
        <v>38</v>
      </c>
      <c r="Z1266" s="2" t="s">
        <v>38</v>
      </c>
      <c r="AA1266" s="2" t="s">
        <v>38</v>
      </c>
      <c r="AB1266" s="2" t="s">
        <v>38</v>
      </c>
      <c r="AC1266" s="2" t="s">
        <v>38</v>
      </c>
      <c r="AD1266" s="2" t="s">
        <v>38</v>
      </c>
      <c r="AE1266" s="2" t="s">
        <v>40</v>
      </c>
    </row>
    <row r="1267" spans="1:31" ht="409.5">
      <c r="A1267" s="2">
        <v>2742173</v>
      </c>
      <c r="B1267" s="2">
        <f>HYPERLINK("https://platform.v2.vetology.net/cases/2742173/screening-report/1?type=pdf&amp;v=v6&amp;scorecard=1&amp;secret_key=BX%25IJ%24%2F65ieZ%29f6", 2742173)</f>
        <v>2742173</v>
      </c>
      <c r="C1267" s="2">
        <f>HYPERLINK("https://platform.v2.vetology.net/report/v/final/"&amp;2742173, 2742173)</f>
        <v>2742173</v>
      </c>
      <c r="D1267" s="2" t="s">
        <v>4198</v>
      </c>
      <c r="E1267" s="2" t="s">
        <v>4199</v>
      </c>
      <c r="F1267" s="2" t="s">
        <v>4200</v>
      </c>
      <c r="G1267" s="2" t="s">
        <v>53</v>
      </c>
      <c r="H1267" s="2" t="s">
        <v>394</v>
      </c>
      <c r="I1267" s="2" t="s">
        <v>59</v>
      </c>
      <c r="J1267" s="2" t="s">
        <v>37</v>
      </c>
      <c r="K1267" s="2" t="s">
        <v>38</v>
      </c>
      <c r="L1267" s="2" t="s">
        <v>39</v>
      </c>
      <c r="M1267" s="2" t="s">
        <v>39</v>
      </c>
      <c r="N1267" s="2" t="s">
        <v>39</v>
      </c>
      <c r="O1267" s="2" t="s">
        <v>38</v>
      </c>
      <c r="P1267" s="2" t="s">
        <v>39</v>
      </c>
      <c r="Q1267" s="2" t="s">
        <v>39</v>
      </c>
      <c r="R1267" s="2" t="s">
        <v>39</v>
      </c>
      <c r="S1267" s="2" t="s">
        <v>39</v>
      </c>
      <c r="T1267" s="2" t="s">
        <v>39</v>
      </c>
      <c r="U1267" s="2" t="s">
        <v>38</v>
      </c>
      <c r="V1267" s="2" t="s">
        <v>38</v>
      </c>
      <c r="W1267" s="2" t="s">
        <v>38</v>
      </c>
      <c r="X1267" s="2" t="s">
        <v>39</v>
      </c>
      <c r="Y1267" s="2" t="s">
        <v>39</v>
      </c>
      <c r="Z1267" s="2" t="s">
        <v>38</v>
      </c>
      <c r="AA1267" s="2" t="s">
        <v>38</v>
      </c>
      <c r="AB1267" s="2" t="s">
        <v>39</v>
      </c>
      <c r="AC1267" s="2" t="s">
        <v>38</v>
      </c>
      <c r="AD1267" s="2" t="s">
        <v>39</v>
      </c>
      <c r="AE1267" s="2" t="s">
        <v>40</v>
      </c>
    </row>
    <row r="1268" spans="1:31" ht="409.5">
      <c r="A1268" s="2">
        <v>2742159</v>
      </c>
      <c r="B1268" s="2">
        <f>HYPERLINK("https://platform.v2.vetology.net/cases/2742159/screening-report/1?type=pdf&amp;v=v6&amp;scorecard=1&amp;secret_key=BX%25IJ%24%2F65ieZ%29f6", 2742159)</f>
        <v>2742159</v>
      </c>
      <c r="C1268" s="2">
        <f>HYPERLINK("https://platform.v2.vetology.net/report/v/final/"&amp;2742159, 2742159)</f>
        <v>2742159</v>
      </c>
      <c r="D1268" s="2" t="s">
        <v>4201</v>
      </c>
      <c r="E1268" s="2" t="s">
        <v>4202</v>
      </c>
      <c r="F1268" s="2" t="s">
        <v>4203</v>
      </c>
      <c r="G1268" s="2" t="s">
        <v>170</v>
      </c>
      <c r="H1268" s="2" t="s">
        <v>4204</v>
      </c>
      <c r="I1268" s="2" t="s">
        <v>36</v>
      </c>
      <c r="J1268" s="2" t="s">
        <v>37</v>
      </c>
      <c r="K1268" s="2" t="s">
        <v>39</v>
      </c>
      <c r="L1268" s="2" t="s">
        <v>39</v>
      </c>
      <c r="M1268" s="2" t="s">
        <v>38</v>
      </c>
      <c r="N1268" s="2" t="s">
        <v>38</v>
      </c>
      <c r="O1268" s="2" t="s">
        <v>38</v>
      </c>
      <c r="P1268" s="2" t="s">
        <v>39</v>
      </c>
      <c r="Q1268" s="2" t="s">
        <v>39</v>
      </c>
      <c r="R1268" s="2" t="s">
        <v>38</v>
      </c>
      <c r="S1268" s="2" t="s">
        <v>39</v>
      </c>
      <c r="T1268" s="2" t="s">
        <v>39</v>
      </c>
      <c r="U1268" s="2" t="s">
        <v>38</v>
      </c>
      <c r="V1268" s="2" t="s">
        <v>38</v>
      </c>
      <c r="W1268" s="2" t="s">
        <v>38</v>
      </c>
      <c r="X1268" s="2" t="s">
        <v>39</v>
      </c>
      <c r="Y1268" s="2" t="s">
        <v>39</v>
      </c>
      <c r="Z1268" s="2" t="s">
        <v>38</v>
      </c>
      <c r="AA1268" s="2" t="s">
        <v>38</v>
      </c>
      <c r="AB1268" s="2" t="s">
        <v>39</v>
      </c>
      <c r="AC1268" s="2" t="s">
        <v>38</v>
      </c>
      <c r="AD1268" s="2" t="s">
        <v>38</v>
      </c>
      <c r="AE1268" s="2" t="s">
        <v>39</v>
      </c>
    </row>
    <row r="1269" spans="1:31" ht="409.5">
      <c r="A1269" s="2">
        <v>2742135</v>
      </c>
      <c r="B1269" s="2">
        <f>HYPERLINK("https://platform.v2.vetology.net/cases/2742135/screening-report/1?type=pdf&amp;v=v6&amp;scorecard=1&amp;secret_key=BX%25IJ%24%2F65ieZ%29f6", 2742135)</f>
        <v>2742135</v>
      </c>
      <c r="C1269" s="2">
        <f>HYPERLINK("https://platform.v2.vetology.net/report/v/final/"&amp;2742135, 2742135)</f>
        <v>2742135</v>
      </c>
      <c r="D1269" s="2" t="s">
        <v>4205</v>
      </c>
      <c r="E1269" s="2" t="s">
        <v>4206</v>
      </c>
      <c r="F1269" s="2" t="s">
        <v>4207</v>
      </c>
      <c r="G1269" s="2" t="s">
        <v>170</v>
      </c>
      <c r="H1269" s="2" t="s">
        <v>4208</v>
      </c>
      <c r="I1269" s="2" t="s">
        <v>36</v>
      </c>
      <c r="J1269" s="2" t="s">
        <v>37</v>
      </c>
      <c r="K1269" s="2" t="s">
        <v>38</v>
      </c>
      <c r="L1269" s="2" t="s">
        <v>38</v>
      </c>
      <c r="M1269" s="2" t="s">
        <v>38</v>
      </c>
      <c r="N1269" s="2" t="s">
        <v>39</v>
      </c>
      <c r="O1269" s="2" t="s">
        <v>38</v>
      </c>
      <c r="P1269" s="2" t="s">
        <v>39</v>
      </c>
      <c r="Q1269" s="2" t="s">
        <v>39</v>
      </c>
      <c r="R1269" s="2" t="s">
        <v>38</v>
      </c>
      <c r="S1269" s="2" t="s">
        <v>38</v>
      </c>
      <c r="T1269" s="2" t="s">
        <v>38</v>
      </c>
      <c r="U1269" s="2" t="s">
        <v>38</v>
      </c>
      <c r="V1269" s="2" t="s">
        <v>38</v>
      </c>
      <c r="W1269" s="2" t="s">
        <v>38</v>
      </c>
      <c r="X1269" s="2" t="s">
        <v>39</v>
      </c>
      <c r="Y1269" s="2" t="s">
        <v>38</v>
      </c>
      <c r="Z1269" s="2" t="s">
        <v>38</v>
      </c>
      <c r="AA1269" s="2" t="s">
        <v>38</v>
      </c>
      <c r="AB1269" s="2" t="s">
        <v>39</v>
      </c>
      <c r="AC1269" s="2" t="s">
        <v>38</v>
      </c>
      <c r="AD1269" s="2" t="s">
        <v>39</v>
      </c>
      <c r="AE1269" s="2" t="s">
        <v>40</v>
      </c>
    </row>
    <row r="1270" spans="1:31" ht="409.5">
      <c r="A1270" s="2">
        <v>2742116</v>
      </c>
      <c r="B1270" s="2">
        <f>HYPERLINK("https://platform.v2.vetology.net/cases/2742116/screening-report/1?type=pdf&amp;v=v6&amp;scorecard=1&amp;secret_key=BX%25IJ%24%2F65ieZ%29f6", 2742116)</f>
        <v>2742116</v>
      </c>
      <c r="C1270" s="2">
        <f>HYPERLINK("https://platform.v2.vetology.net/report/v/final/"&amp;2742116, 2742116)</f>
        <v>2742116</v>
      </c>
      <c r="D1270" s="2" t="s">
        <v>4209</v>
      </c>
      <c r="E1270" s="2" t="s">
        <v>3347</v>
      </c>
      <c r="F1270" s="2" t="s">
        <v>4029</v>
      </c>
      <c r="G1270" s="2" t="s">
        <v>111</v>
      </c>
      <c r="H1270" s="2" t="s">
        <v>4210</v>
      </c>
      <c r="I1270" s="2" t="s">
        <v>73</v>
      </c>
      <c r="J1270" s="2" t="s">
        <v>74</v>
      </c>
      <c r="K1270" s="2" t="s">
        <v>38</v>
      </c>
      <c r="L1270" s="2" t="s">
        <v>38</v>
      </c>
      <c r="M1270" s="2" t="s">
        <v>38</v>
      </c>
      <c r="N1270" s="2" t="s">
        <v>38</v>
      </c>
      <c r="O1270" s="2" t="s">
        <v>38</v>
      </c>
      <c r="P1270" s="2" t="s">
        <v>38</v>
      </c>
      <c r="Q1270" s="2" t="s">
        <v>38</v>
      </c>
      <c r="R1270" s="2" t="s">
        <v>39</v>
      </c>
      <c r="S1270" s="2" t="s">
        <v>38</v>
      </c>
      <c r="T1270" s="2" t="s">
        <v>38</v>
      </c>
      <c r="U1270" s="2" t="s">
        <v>39</v>
      </c>
      <c r="V1270" s="2" t="s">
        <v>38</v>
      </c>
      <c r="W1270" s="2" t="s">
        <v>38</v>
      </c>
      <c r="X1270" s="2" t="s">
        <v>38</v>
      </c>
      <c r="Y1270" s="2" t="s">
        <v>38</v>
      </c>
      <c r="Z1270" s="2" t="s">
        <v>38</v>
      </c>
      <c r="AA1270" s="2" t="s">
        <v>38</v>
      </c>
      <c r="AB1270" s="2" t="s">
        <v>38</v>
      </c>
      <c r="AC1270" s="2" t="s">
        <v>38</v>
      </c>
      <c r="AD1270" s="2" t="s">
        <v>38</v>
      </c>
      <c r="AE1270" s="2" t="s">
        <v>40</v>
      </c>
    </row>
    <row r="1271" spans="1:31" ht="409.5">
      <c r="A1271" s="2">
        <v>2742107</v>
      </c>
      <c r="B1271" s="2">
        <f>HYPERLINK("https://platform.v2.vetology.net/cases/2742107/screening-report/1?type=pdf&amp;v=v6&amp;scorecard=1&amp;secret_key=BX%25IJ%24%2F65ieZ%29f6", 2742107)</f>
        <v>2742107</v>
      </c>
      <c r="C1271" s="2">
        <f>HYPERLINK("https://platform.v2.vetology.net/report/v/final/"&amp;2742107, 2742107)</f>
        <v>2742107</v>
      </c>
      <c r="D1271" s="2" t="s">
        <v>4211</v>
      </c>
      <c r="E1271" s="2" t="s">
        <v>4212</v>
      </c>
      <c r="F1271" s="2" t="s">
        <v>229</v>
      </c>
      <c r="G1271" s="2" t="s">
        <v>170</v>
      </c>
      <c r="H1271" s="2" t="s">
        <v>4213</v>
      </c>
      <c r="I1271" s="2" t="s">
        <v>36</v>
      </c>
      <c r="J1271" s="2" t="s">
        <v>37</v>
      </c>
      <c r="K1271" s="2" t="s">
        <v>38</v>
      </c>
      <c r="L1271" s="2" t="s">
        <v>38</v>
      </c>
      <c r="M1271" s="2" t="s">
        <v>39</v>
      </c>
      <c r="N1271" s="2" t="s">
        <v>38</v>
      </c>
      <c r="O1271" s="2" t="s">
        <v>38</v>
      </c>
      <c r="P1271" s="2" t="s">
        <v>39</v>
      </c>
      <c r="Q1271" s="2" t="s">
        <v>39</v>
      </c>
      <c r="R1271" s="2" t="s">
        <v>39</v>
      </c>
      <c r="S1271" s="2" t="s">
        <v>39</v>
      </c>
      <c r="T1271" s="2" t="s">
        <v>39</v>
      </c>
      <c r="U1271" s="2" t="s">
        <v>38</v>
      </c>
      <c r="V1271" s="2" t="s">
        <v>38</v>
      </c>
      <c r="W1271" s="2" t="s">
        <v>38</v>
      </c>
      <c r="X1271" s="2" t="s">
        <v>39</v>
      </c>
      <c r="Y1271" s="2" t="s">
        <v>39</v>
      </c>
      <c r="Z1271" s="2" t="s">
        <v>38</v>
      </c>
      <c r="AA1271" s="2" t="s">
        <v>39</v>
      </c>
      <c r="AB1271" s="2" t="s">
        <v>39</v>
      </c>
      <c r="AC1271" s="2" t="s">
        <v>38</v>
      </c>
      <c r="AD1271" s="2" t="s">
        <v>39</v>
      </c>
      <c r="AE1271" s="2" t="s">
        <v>40</v>
      </c>
    </row>
    <row r="1272" spans="1:31" ht="409.5">
      <c r="A1272" s="2">
        <v>2742106</v>
      </c>
      <c r="B1272" s="2">
        <f>HYPERLINK("https://platform.v2.vetology.net/cases/2742106/screening-report/1?type=pdf&amp;v=v6&amp;scorecard=1&amp;secret_key=BX%25IJ%24%2F65ieZ%29f6", 2742106)</f>
        <v>2742106</v>
      </c>
      <c r="C1272" s="2">
        <f>HYPERLINK("https://platform.v2.vetology.net/report/v/final/"&amp;2742106, 2742106)</f>
        <v>2742106</v>
      </c>
      <c r="D1272" s="2" t="s">
        <v>4214</v>
      </c>
      <c r="E1272" s="2" t="s">
        <v>4215</v>
      </c>
      <c r="F1272" s="2" t="s">
        <v>4216</v>
      </c>
      <c r="G1272" s="2" t="s">
        <v>170</v>
      </c>
      <c r="H1272" s="2" t="s">
        <v>1446</v>
      </c>
      <c r="I1272" s="2" t="s">
        <v>36</v>
      </c>
      <c r="J1272" s="2" t="s">
        <v>37</v>
      </c>
      <c r="K1272" s="2" t="s">
        <v>39</v>
      </c>
      <c r="L1272" s="2" t="s">
        <v>39</v>
      </c>
      <c r="M1272" s="2" t="s">
        <v>38</v>
      </c>
      <c r="N1272" s="2" t="s">
        <v>39</v>
      </c>
      <c r="O1272" s="2" t="s">
        <v>39</v>
      </c>
      <c r="P1272" s="2" t="s">
        <v>39</v>
      </c>
      <c r="Q1272" s="2" t="s">
        <v>39</v>
      </c>
      <c r="R1272" s="2" t="s">
        <v>38</v>
      </c>
      <c r="S1272" s="2" t="s">
        <v>39</v>
      </c>
      <c r="T1272" s="2" t="s">
        <v>39</v>
      </c>
      <c r="U1272" s="2" t="s">
        <v>39</v>
      </c>
      <c r="V1272" s="2" t="s">
        <v>39</v>
      </c>
      <c r="W1272" s="2" t="s">
        <v>39</v>
      </c>
      <c r="X1272" s="2" t="s">
        <v>39</v>
      </c>
      <c r="Y1272" s="2" t="s">
        <v>39</v>
      </c>
      <c r="Z1272" s="2" t="s">
        <v>38</v>
      </c>
      <c r="AA1272" s="2" t="s">
        <v>39</v>
      </c>
      <c r="AB1272" s="2" t="s">
        <v>39</v>
      </c>
      <c r="AC1272" s="2" t="s">
        <v>39</v>
      </c>
      <c r="AD1272" s="2" t="s">
        <v>38</v>
      </c>
      <c r="AE1272" s="2"/>
    </row>
    <row r="1273" spans="1:31" ht="409.5">
      <c r="A1273" s="2">
        <v>2742105</v>
      </c>
      <c r="B1273" s="2">
        <f>HYPERLINK("https://platform.v2.vetology.net/cases/2742105/screening-report/1?type=pdf&amp;v=v6&amp;scorecard=1&amp;secret_key=BX%25IJ%24%2F65ieZ%29f6", 2742105)</f>
        <v>2742105</v>
      </c>
      <c r="C1273" s="2">
        <f>HYPERLINK("https://platform.v2.vetology.net/report/v/final/"&amp;2742105, 2742105)</f>
        <v>2742105</v>
      </c>
      <c r="D1273" s="2" t="s">
        <v>4217</v>
      </c>
      <c r="E1273" s="2" t="s">
        <v>1844</v>
      </c>
      <c r="F1273" s="2" t="s">
        <v>4218</v>
      </c>
      <c r="G1273" s="2" t="s">
        <v>111</v>
      </c>
      <c r="H1273" s="2" t="s">
        <v>4219</v>
      </c>
      <c r="I1273" s="2" t="s">
        <v>73</v>
      </c>
      <c r="J1273" s="2" t="s">
        <v>74</v>
      </c>
      <c r="K1273" s="2" t="s">
        <v>38</v>
      </c>
      <c r="L1273" s="2" t="s">
        <v>39</v>
      </c>
      <c r="M1273" s="2" t="s">
        <v>38</v>
      </c>
      <c r="N1273" s="2" t="s">
        <v>38</v>
      </c>
      <c r="O1273" s="2" t="s">
        <v>38</v>
      </c>
      <c r="P1273" s="2" t="s">
        <v>38</v>
      </c>
      <c r="Q1273" s="2" t="s">
        <v>38</v>
      </c>
      <c r="R1273" s="2" t="s">
        <v>39</v>
      </c>
      <c r="S1273" s="2" t="s">
        <v>39</v>
      </c>
      <c r="T1273" s="2" t="s">
        <v>39</v>
      </c>
      <c r="U1273" s="2" t="s">
        <v>38</v>
      </c>
      <c r="V1273" s="2" t="s">
        <v>38</v>
      </c>
      <c r="W1273" s="2" t="s">
        <v>39</v>
      </c>
      <c r="X1273" s="2" t="s">
        <v>38</v>
      </c>
      <c r="Y1273" s="2" t="s">
        <v>39</v>
      </c>
      <c r="Z1273" s="2" t="s">
        <v>38</v>
      </c>
      <c r="AA1273" s="2" t="s">
        <v>38</v>
      </c>
      <c r="AB1273" s="2" t="s">
        <v>39</v>
      </c>
      <c r="AC1273" s="2" t="s">
        <v>38</v>
      </c>
      <c r="AD1273" s="2" t="s">
        <v>39</v>
      </c>
      <c r="AE1273" s="2" t="s">
        <v>40</v>
      </c>
    </row>
    <row r="1274" spans="1:31" ht="409.5">
      <c r="A1274" s="2">
        <v>2742086</v>
      </c>
      <c r="B1274" s="2">
        <f>HYPERLINK("https://platform.v2.vetology.net/cases/2742086/screening-report/1?type=pdf&amp;v=v6&amp;scorecard=1&amp;secret_key=BX%25IJ%24%2F65ieZ%29f6", 2742086)</f>
        <v>2742086</v>
      </c>
      <c r="C1274" s="2">
        <f>HYPERLINK("https://platform.v2.vetology.net/report/v/final/"&amp;2742086, 2742086)</f>
        <v>2742086</v>
      </c>
      <c r="D1274" s="2" t="s">
        <v>4220</v>
      </c>
      <c r="E1274" s="2" t="s">
        <v>4221</v>
      </c>
      <c r="F1274" s="2" t="s">
        <v>2082</v>
      </c>
      <c r="G1274" s="2" t="s">
        <v>170</v>
      </c>
      <c r="H1274" s="2" t="s">
        <v>4222</v>
      </c>
      <c r="I1274" s="2" t="s">
        <v>36</v>
      </c>
      <c r="J1274" s="2" t="s">
        <v>37</v>
      </c>
      <c r="K1274" s="2" t="s">
        <v>39</v>
      </c>
      <c r="L1274" s="2" t="s">
        <v>39</v>
      </c>
      <c r="M1274" s="2" t="s">
        <v>38</v>
      </c>
      <c r="N1274" s="2" t="s">
        <v>39</v>
      </c>
      <c r="O1274" s="2" t="s">
        <v>39</v>
      </c>
      <c r="P1274" s="2" t="s">
        <v>38</v>
      </c>
      <c r="Q1274" s="2" t="s">
        <v>39</v>
      </c>
      <c r="R1274" s="2" t="s">
        <v>39</v>
      </c>
      <c r="S1274" s="2" t="s">
        <v>39</v>
      </c>
      <c r="T1274" s="2" t="s">
        <v>38</v>
      </c>
      <c r="U1274" s="2" t="s">
        <v>39</v>
      </c>
      <c r="V1274" s="2" t="s">
        <v>39</v>
      </c>
      <c r="W1274" s="2" t="s">
        <v>39</v>
      </c>
      <c r="X1274" s="2" t="s">
        <v>39</v>
      </c>
      <c r="Y1274" s="2" t="s">
        <v>39</v>
      </c>
      <c r="Z1274" s="2" t="s">
        <v>38</v>
      </c>
      <c r="AA1274" s="2" t="s">
        <v>39</v>
      </c>
      <c r="AB1274" s="2" t="s">
        <v>39</v>
      </c>
      <c r="AC1274" s="2" t="s">
        <v>39</v>
      </c>
      <c r="AD1274" s="2" t="s">
        <v>39</v>
      </c>
      <c r="AE1274" s="2" t="s">
        <v>40</v>
      </c>
    </row>
    <row r="1275" spans="1:31" ht="409.5">
      <c r="A1275" s="2">
        <v>2742078</v>
      </c>
      <c r="B1275" s="2">
        <f>HYPERLINK("https://platform.v2.vetology.net/cases/2742078/screening-report/1?type=pdf&amp;v=v6&amp;scorecard=1&amp;secret_key=BX%25IJ%24%2F65ieZ%29f6", 2742078)</f>
        <v>2742078</v>
      </c>
      <c r="C1275" s="2">
        <f>HYPERLINK("https://platform.v2.vetology.net/report/v/final/"&amp;2742078, 2742078)</f>
        <v>2742078</v>
      </c>
      <c r="D1275" s="2" t="s">
        <v>4223</v>
      </c>
      <c r="E1275" s="2" t="s">
        <v>4224</v>
      </c>
      <c r="F1275" s="2" t="s">
        <v>3629</v>
      </c>
      <c r="G1275" s="2" t="s">
        <v>251</v>
      </c>
      <c r="H1275" s="2" t="s">
        <v>69</v>
      </c>
      <c r="I1275" s="2" t="s">
        <v>46</v>
      </c>
      <c r="J1275" s="2"/>
      <c r="K1275" s="2" t="s">
        <v>39</v>
      </c>
      <c r="L1275" s="2" t="s">
        <v>39</v>
      </c>
      <c r="M1275" s="2" t="s">
        <v>39</v>
      </c>
      <c r="N1275" s="2" t="s">
        <v>39</v>
      </c>
      <c r="O1275" s="2" t="s">
        <v>39</v>
      </c>
      <c r="P1275" s="2" t="s">
        <v>39</v>
      </c>
      <c r="Q1275" s="2" t="s">
        <v>39</v>
      </c>
      <c r="R1275" s="2" t="s">
        <v>39</v>
      </c>
      <c r="S1275" s="2" t="s">
        <v>39</v>
      </c>
      <c r="T1275" s="2" t="s">
        <v>39</v>
      </c>
      <c r="U1275" s="2" t="s">
        <v>39</v>
      </c>
      <c r="V1275" s="2" t="s">
        <v>39</v>
      </c>
      <c r="W1275" s="2" t="s">
        <v>38</v>
      </c>
      <c r="X1275" s="2" t="s">
        <v>39</v>
      </c>
      <c r="Y1275" s="2" t="s">
        <v>39</v>
      </c>
      <c r="Z1275" s="2" t="s">
        <v>39</v>
      </c>
      <c r="AA1275" s="2" t="s">
        <v>39</v>
      </c>
      <c r="AB1275" s="2" t="s">
        <v>39</v>
      </c>
      <c r="AC1275" s="2" t="s">
        <v>39</v>
      </c>
      <c r="AD1275" s="2" t="s">
        <v>39</v>
      </c>
      <c r="AE1275" s="2" t="s">
        <v>39</v>
      </c>
    </row>
    <row r="1276" spans="1:31" ht="409.5">
      <c r="A1276" s="2">
        <v>2742067</v>
      </c>
      <c r="B1276" s="2">
        <f>HYPERLINK("https://platform.v2.vetology.net/cases/2742067/screening-report/1?type=pdf&amp;v=v6&amp;scorecard=1&amp;secret_key=BX%25IJ%24%2F65ieZ%29f6", 2742067)</f>
        <v>2742067</v>
      </c>
      <c r="C1276" s="2">
        <f>HYPERLINK("https://platform.v2.vetology.net/report/v/final/"&amp;2742067, 2742067)</f>
        <v>2742067</v>
      </c>
      <c r="D1276" s="2" t="s">
        <v>4225</v>
      </c>
      <c r="E1276" s="2" t="s">
        <v>4226</v>
      </c>
      <c r="F1276" s="2" t="s">
        <v>4227</v>
      </c>
      <c r="G1276" s="2" t="s">
        <v>170</v>
      </c>
      <c r="H1276" s="2" t="s">
        <v>4228</v>
      </c>
      <c r="I1276" s="2" t="s">
        <v>129</v>
      </c>
      <c r="J1276" s="2" t="s">
        <v>74</v>
      </c>
      <c r="K1276" s="2" t="s">
        <v>39</v>
      </c>
      <c r="L1276" s="2" t="s">
        <v>39</v>
      </c>
      <c r="M1276" s="2" t="s">
        <v>39</v>
      </c>
      <c r="N1276" s="2" t="s">
        <v>39</v>
      </c>
      <c r="O1276" s="2" t="s">
        <v>38</v>
      </c>
      <c r="P1276" s="2" t="s">
        <v>38</v>
      </c>
      <c r="Q1276" s="2" t="s">
        <v>38</v>
      </c>
      <c r="R1276" s="2" t="s">
        <v>39</v>
      </c>
      <c r="S1276" s="2" t="s">
        <v>38</v>
      </c>
      <c r="T1276" s="2" t="s">
        <v>38</v>
      </c>
      <c r="U1276" s="2" t="s">
        <v>39</v>
      </c>
      <c r="V1276" s="2" t="s">
        <v>38</v>
      </c>
      <c r="W1276" s="2" t="s">
        <v>38</v>
      </c>
      <c r="X1276" s="2" t="s">
        <v>38</v>
      </c>
      <c r="Y1276" s="2" t="s">
        <v>39</v>
      </c>
      <c r="Z1276" s="2" t="s">
        <v>39</v>
      </c>
      <c r="AA1276" s="2" t="s">
        <v>39</v>
      </c>
      <c r="AB1276" s="2" t="s">
        <v>39</v>
      </c>
      <c r="AC1276" s="2" t="s">
        <v>39</v>
      </c>
      <c r="AD1276" s="2" t="s">
        <v>38</v>
      </c>
      <c r="AE1276" s="2" t="s">
        <v>40</v>
      </c>
    </row>
    <row r="1277" spans="1:31" ht="409.5">
      <c r="A1277" s="2">
        <v>2741903</v>
      </c>
      <c r="B1277" s="2">
        <f>HYPERLINK("https://platform.v2.vetology.net/cases/2741903/screening-report/1?type=pdf&amp;v=v6&amp;scorecard=1&amp;secret_key=BX%25IJ%24%2F65ieZ%29f6", 2741903)</f>
        <v>2741903</v>
      </c>
      <c r="C1277" s="2">
        <f>HYPERLINK("https://platform.v2.vetology.net/report/v/final/"&amp;2741903, 2741903)</f>
        <v>2741903</v>
      </c>
      <c r="D1277" s="2" t="s">
        <v>4229</v>
      </c>
      <c r="E1277" s="2" t="s">
        <v>4230</v>
      </c>
      <c r="F1277" s="2" t="s">
        <v>4231</v>
      </c>
      <c r="G1277" s="2" t="s">
        <v>111</v>
      </c>
      <c r="H1277" s="2" t="s">
        <v>201</v>
      </c>
      <c r="I1277" s="2" t="s">
        <v>36</v>
      </c>
      <c r="J1277" s="2" t="s">
        <v>37</v>
      </c>
      <c r="K1277" s="2" t="s">
        <v>39</v>
      </c>
      <c r="L1277" s="2" t="s">
        <v>39</v>
      </c>
      <c r="M1277" s="2" t="s">
        <v>38</v>
      </c>
      <c r="N1277" s="2" t="s">
        <v>38</v>
      </c>
      <c r="O1277" s="2" t="s">
        <v>38</v>
      </c>
      <c r="P1277" s="2" t="s">
        <v>39</v>
      </c>
      <c r="Q1277" s="2" t="s">
        <v>39</v>
      </c>
      <c r="R1277" s="2" t="s">
        <v>39</v>
      </c>
      <c r="S1277" s="2" t="s">
        <v>39</v>
      </c>
      <c r="T1277" s="2" t="s">
        <v>38</v>
      </c>
      <c r="U1277" s="2" t="s">
        <v>39</v>
      </c>
      <c r="V1277" s="2" t="s">
        <v>39</v>
      </c>
      <c r="W1277" s="2" t="s">
        <v>38</v>
      </c>
      <c r="X1277" s="2" t="s">
        <v>39</v>
      </c>
      <c r="Y1277" s="2" t="s">
        <v>39</v>
      </c>
      <c r="Z1277" s="2" t="s">
        <v>38</v>
      </c>
      <c r="AA1277" s="2" t="s">
        <v>39</v>
      </c>
      <c r="AB1277" s="2" t="s">
        <v>39</v>
      </c>
      <c r="AC1277" s="2" t="s">
        <v>38</v>
      </c>
      <c r="AD1277" s="2" t="s">
        <v>38</v>
      </c>
      <c r="AE1277" s="2" t="s">
        <v>39</v>
      </c>
    </row>
    <row r="1278" spans="1:31" ht="409.5">
      <c r="A1278" s="2">
        <v>2741901</v>
      </c>
      <c r="B1278" s="2">
        <f>HYPERLINK("https://platform.v2.vetology.net/cases/2741901/screening-report/1?type=pdf&amp;v=v6&amp;scorecard=1&amp;secret_key=BX%25IJ%24%2F65ieZ%29f6", 2741901)</f>
        <v>2741901</v>
      </c>
      <c r="C1278" s="2">
        <f>HYPERLINK("https://platform.v2.vetology.net/report/v/final/"&amp;2741901, 2741901)</f>
        <v>2741901</v>
      </c>
      <c r="D1278" s="2" t="s">
        <v>4232</v>
      </c>
      <c r="E1278" s="2" t="s">
        <v>4233</v>
      </c>
      <c r="F1278" s="2" t="s">
        <v>4234</v>
      </c>
      <c r="G1278" s="2" t="s">
        <v>53</v>
      </c>
      <c r="H1278" s="2" t="s">
        <v>4235</v>
      </c>
      <c r="I1278" s="2" t="s">
        <v>129</v>
      </c>
      <c r="J1278" s="2" t="s">
        <v>74</v>
      </c>
      <c r="K1278" s="2" t="s">
        <v>38</v>
      </c>
      <c r="L1278" s="2" t="s">
        <v>38</v>
      </c>
      <c r="M1278" s="2" t="s">
        <v>39</v>
      </c>
      <c r="N1278" s="2" t="s">
        <v>38</v>
      </c>
      <c r="O1278" s="2" t="s">
        <v>38</v>
      </c>
      <c r="P1278" s="2" t="s">
        <v>39</v>
      </c>
      <c r="Q1278" s="2" t="s">
        <v>38</v>
      </c>
      <c r="R1278" s="2" t="s">
        <v>39</v>
      </c>
      <c r="S1278" s="2" t="s">
        <v>38</v>
      </c>
      <c r="T1278" s="2" t="s">
        <v>39</v>
      </c>
      <c r="U1278" s="2" t="s">
        <v>39</v>
      </c>
      <c r="V1278" s="2" t="s">
        <v>39</v>
      </c>
      <c r="W1278" s="2" t="s">
        <v>38</v>
      </c>
      <c r="X1278" s="2" t="s">
        <v>38</v>
      </c>
      <c r="Y1278" s="2" t="s">
        <v>38</v>
      </c>
      <c r="Z1278" s="2" t="s">
        <v>39</v>
      </c>
      <c r="AA1278" s="2" t="s">
        <v>38</v>
      </c>
      <c r="AB1278" s="2" t="s">
        <v>38</v>
      </c>
      <c r="AC1278" s="2" t="s">
        <v>38</v>
      </c>
      <c r="AD1278" s="2" t="s">
        <v>38</v>
      </c>
      <c r="AE1278" s="2" t="s">
        <v>39</v>
      </c>
    </row>
    <row r="1279" spans="1:31" ht="409.5">
      <c r="A1279" s="2">
        <v>2741896</v>
      </c>
      <c r="B1279" s="2">
        <f>HYPERLINK("https://platform.v2.vetology.net/cases/2741896/screening-report/1?type=pdf&amp;v=v6&amp;scorecard=1&amp;secret_key=BX%25IJ%24%2F65ieZ%29f6", 2741896)</f>
        <v>2741896</v>
      </c>
      <c r="C1279" s="2">
        <f>HYPERLINK("https://platform.v2.vetology.net/report/v/final/"&amp;2741896, 2741896)</f>
        <v>2741896</v>
      </c>
      <c r="D1279" s="2" t="s">
        <v>4236</v>
      </c>
      <c r="E1279" s="2" t="s">
        <v>4237</v>
      </c>
      <c r="F1279" s="2" t="s">
        <v>4238</v>
      </c>
      <c r="G1279" s="2" t="s">
        <v>53</v>
      </c>
      <c r="H1279" s="2" t="s">
        <v>69</v>
      </c>
      <c r="I1279" s="2" t="s">
        <v>46</v>
      </c>
      <c r="J1279" s="2"/>
      <c r="K1279" s="2" t="s">
        <v>39</v>
      </c>
      <c r="L1279" s="2" t="s">
        <v>39</v>
      </c>
      <c r="M1279" s="2" t="s">
        <v>39</v>
      </c>
      <c r="N1279" s="2" t="s">
        <v>39</v>
      </c>
      <c r="O1279" s="2" t="s">
        <v>39</v>
      </c>
      <c r="P1279" s="2" t="s">
        <v>39</v>
      </c>
      <c r="Q1279" s="2" t="s">
        <v>39</v>
      </c>
      <c r="R1279" s="2" t="s">
        <v>39</v>
      </c>
      <c r="S1279" s="2" t="s">
        <v>39</v>
      </c>
      <c r="T1279" s="2" t="s">
        <v>39</v>
      </c>
      <c r="U1279" s="2" t="s">
        <v>39</v>
      </c>
      <c r="V1279" s="2" t="s">
        <v>39</v>
      </c>
      <c r="W1279" s="2" t="s">
        <v>39</v>
      </c>
      <c r="X1279" s="2" t="s">
        <v>39</v>
      </c>
      <c r="Y1279" s="2" t="s">
        <v>39</v>
      </c>
      <c r="Z1279" s="2" t="s">
        <v>39</v>
      </c>
      <c r="AA1279" s="2" t="s">
        <v>39</v>
      </c>
      <c r="AB1279" s="2" t="s">
        <v>39</v>
      </c>
      <c r="AC1279" s="2" t="s">
        <v>39</v>
      </c>
      <c r="AD1279" s="2" t="s">
        <v>39</v>
      </c>
      <c r="AE1279" s="2" t="s">
        <v>39</v>
      </c>
    </row>
    <row r="1280" spans="1:31" ht="409.5">
      <c r="A1280" s="2">
        <v>2741862</v>
      </c>
      <c r="B1280" s="2">
        <f>HYPERLINK("https://platform.v2.vetology.net/cases/2741862/screening-report/1?type=pdf&amp;v=v6&amp;scorecard=1&amp;secret_key=BX%25IJ%24%2F65ieZ%29f6", 2741862)</f>
        <v>2741862</v>
      </c>
      <c r="C1280" s="2">
        <f>HYPERLINK("https://platform.v2.vetology.net/report/v/final/"&amp;2741862, 2741862)</f>
        <v>2741862</v>
      </c>
      <c r="D1280" s="2" t="s">
        <v>4239</v>
      </c>
      <c r="E1280" s="2" t="s">
        <v>4240</v>
      </c>
      <c r="F1280" s="2" t="s">
        <v>43</v>
      </c>
      <c r="G1280" s="2" t="s">
        <v>44</v>
      </c>
      <c r="H1280" s="2" t="s">
        <v>4241</v>
      </c>
      <c r="I1280" s="2" t="s">
        <v>129</v>
      </c>
      <c r="J1280" s="2" t="s">
        <v>74</v>
      </c>
      <c r="K1280" s="2" t="s">
        <v>39</v>
      </c>
      <c r="L1280" s="2" t="s">
        <v>38</v>
      </c>
      <c r="M1280" s="2" t="s">
        <v>38</v>
      </c>
      <c r="N1280" s="2" t="s">
        <v>38</v>
      </c>
      <c r="O1280" s="2" t="s">
        <v>38</v>
      </c>
      <c r="P1280" s="2" t="s">
        <v>38</v>
      </c>
      <c r="Q1280" s="2" t="s">
        <v>38</v>
      </c>
      <c r="R1280" s="2" t="s">
        <v>38</v>
      </c>
      <c r="S1280" s="2" t="s">
        <v>38</v>
      </c>
      <c r="T1280" s="2" t="s">
        <v>38</v>
      </c>
      <c r="U1280" s="2" t="s">
        <v>39</v>
      </c>
      <c r="V1280" s="2" t="s">
        <v>39</v>
      </c>
      <c r="W1280" s="2" t="s">
        <v>39</v>
      </c>
      <c r="X1280" s="2" t="s">
        <v>38</v>
      </c>
      <c r="Y1280" s="2" t="s">
        <v>39</v>
      </c>
      <c r="Z1280" s="2" t="s">
        <v>39</v>
      </c>
      <c r="AA1280" s="2" t="s">
        <v>38</v>
      </c>
      <c r="AB1280" s="2" t="s">
        <v>38</v>
      </c>
      <c r="AC1280" s="2" t="s">
        <v>39</v>
      </c>
      <c r="AD1280" s="2" t="s">
        <v>38</v>
      </c>
      <c r="AE1280" s="2" t="s">
        <v>40</v>
      </c>
    </row>
    <row r="1281" spans="1:31" ht="409.5">
      <c r="A1281" s="2">
        <v>2741825</v>
      </c>
      <c r="B1281" s="2">
        <f>HYPERLINK("https://platform.v2.vetology.net/cases/2741825/screening-report/1?type=pdf&amp;v=v6&amp;scorecard=1&amp;secret_key=BX%25IJ%24%2F65ieZ%29f6", 2741825)</f>
        <v>2741825</v>
      </c>
      <c r="C1281" s="2">
        <f>HYPERLINK("https://platform.v2.vetology.net/report/v/final/"&amp;2741825, 2741825)</f>
        <v>2741825</v>
      </c>
      <c r="D1281" s="2" t="s">
        <v>4242</v>
      </c>
      <c r="E1281" s="2" t="s">
        <v>4243</v>
      </c>
      <c r="F1281" s="2" t="s">
        <v>4244</v>
      </c>
      <c r="G1281" s="2" t="s">
        <v>53</v>
      </c>
      <c r="H1281" s="2" t="s">
        <v>4245</v>
      </c>
      <c r="I1281" s="2" t="s">
        <v>36</v>
      </c>
      <c r="J1281" s="2" t="s">
        <v>37</v>
      </c>
      <c r="K1281" s="2" t="s">
        <v>39</v>
      </c>
      <c r="L1281" s="2" t="s">
        <v>39</v>
      </c>
      <c r="M1281" s="2" t="s">
        <v>38</v>
      </c>
      <c r="N1281" s="2" t="s">
        <v>38</v>
      </c>
      <c r="O1281" s="2" t="s">
        <v>39</v>
      </c>
      <c r="P1281" s="2" t="s">
        <v>38</v>
      </c>
      <c r="Q1281" s="2" t="s">
        <v>39</v>
      </c>
      <c r="R1281" s="2" t="s">
        <v>38</v>
      </c>
      <c r="S1281" s="2" t="s">
        <v>39</v>
      </c>
      <c r="T1281" s="2" t="s">
        <v>38</v>
      </c>
      <c r="U1281" s="2" t="s">
        <v>39</v>
      </c>
      <c r="V1281" s="2" t="s">
        <v>39</v>
      </c>
      <c r="W1281" s="2" t="s">
        <v>38</v>
      </c>
      <c r="X1281" s="2" t="s">
        <v>39</v>
      </c>
      <c r="Y1281" s="2" t="s">
        <v>39</v>
      </c>
      <c r="Z1281" s="2" t="s">
        <v>39</v>
      </c>
      <c r="AA1281" s="2" t="s">
        <v>39</v>
      </c>
      <c r="AB1281" s="2" t="s">
        <v>39</v>
      </c>
      <c r="AC1281" s="2" t="s">
        <v>39</v>
      </c>
      <c r="AD1281" s="2" t="s">
        <v>39</v>
      </c>
      <c r="AE1281" s="2" t="s">
        <v>39</v>
      </c>
    </row>
    <row r="1282" spans="1:31" ht="409.5">
      <c r="A1282" s="2">
        <v>2741806</v>
      </c>
      <c r="B1282" s="2">
        <f>HYPERLINK("https://platform.v2.vetology.net/cases/2741806/screening-report/1?type=pdf&amp;v=v6&amp;scorecard=1&amp;secret_key=BX%25IJ%24%2F65ieZ%29f6", 2741806)</f>
        <v>2741806</v>
      </c>
      <c r="C1282" s="2">
        <f>HYPERLINK("https://platform.v2.vetology.net/report/v/final/"&amp;2741806, 2741806)</f>
        <v>2741806</v>
      </c>
      <c r="D1282" s="2" t="s">
        <v>4246</v>
      </c>
      <c r="E1282" s="2" t="s">
        <v>4247</v>
      </c>
      <c r="F1282" s="2" t="s">
        <v>43</v>
      </c>
      <c r="G1282" s="2" t="s">
        <v>44</v>
      </c>
      <c r="H1282" s="2" t="s">
        <v>4248</v>
      </c>
      <c r="I1282" s="2" t="s">
        <v>36</v>
      </c>
      <c r="J1282" s="2" t="s">
        <v>37</v>
      </c>
      <c r="K1282" s="2" t="s">
        <v>38</v>
      </c>
      <c r="L1282" s="2" t="s">
        <v>39</v>
      </c>
      <c r="M1282" s="2" t="s">
        <v>38</v>
      </c>
      <c r="N1282" s="2" t="s">
        <v>38</v>
      </c>
      <c r="O1282" s="2" t="s">
        <v>38</v>
      </c>
      <c r="P1282" s="2" t="s">
        <v>39</v>
      </c>
      <c r="Q1282" s="2" t="s">
        <v>39</v>
      </c>
      <c r="R1282" s="2" t="s">
        <v>38</v>
      </c>
      <c r="S1282" s="2" t="s">
        <v>38</v>
      </c>
      <c r="T1282" s="2" t="s">
        <v>38</v>
      </c>
      <c r="U1282" s="2" t="s">
        <v>38</v>
      </c>
      <c r="V1282" s="2" t="s">
        <v>38</v>
      </c>
      <c r="W1282" s="2" t="s">
        <v>38</v>
      </c>
      <c r="X1282" s="2" t="s">
        <v>39</v>
      </c>
      <c r="Y1282" s="2" t="s">
        <v>38</v>
      </c>
      <c r="Z1282" s="2" t="s">
        <v>38</v>
      </c>
      <c r="AA1282" s="2" t="s">
        <v>39</v>
      </c>
      <c r="AB1282" s="2" t="s">
        <v>39</v>
      </c>
      <c r="AC1282" s="2" t="s">
        <v>38</v>
      </c>
      <c r="AD1282" s="2" t="s">
        <v>38</v>
      </c>
      <c r="AE1282" s="2" t="s">
        <v>39</v>
      </c>
    </row>
    <row r="1283" spans="1:31" ht="409.5">
      <c r="A1283" s="2">
        <v>2741739</v>
      </c>
      <c r="B1283" s="2">
        <f>HYPERLINK("https://platform.v2.vetology.net/cases/2741739/screening-report/1?type=pdf&amp;v=v6&amp;scorecard=1&amp;secret_key=BX%25IJ%24%2F65ieZ%29f6", 2741739)</f>
        <v>2741739</v>
      </c>
      <c r="C1283" s="2">
        <f>HYPERLINK("https://platform.v2.vetology.net/report/v/final/"&amp;2741739, 2741739)</f>
        <v>2741739</v>
      </c>
      <c r="D1283" s="2" t="s">
        <v>4249</v>
      </c>
      <c r="E1283" s="2" t="s">
        <v>4250</v>
      </c>
      <c r="F1283" s="2" t="s">
        <v>43</v>
      </c>
      <c r="G1283" s="2" t="s">
        <v>44</v>
      </c>
      <c r="H1283" s="2" t="s">
        <v>4213</v>
      </c>
      <c r="I1283" s="2" t="s">
        <v>36</v>
      </c>
      <c r="J1283" s="2" t="s">
        <v>37</v>
      </c>
      <c r="K1283" s="2" t="s">
        <v>38</v>
      </c>
      <c r="L1283" s="2" t="s">
        <v>38</v>
      </c>
      <c r="M1283" s="2" t="s">
        <v>39</v>
      </c>
      <c r="N1283" s="2" t="s">
        <v>38</v>
      </c>
      <c r="O1283" s="2" t="s">
        <v>39</v>
      </c>
      <c r="P1283" s="2" t="s">
        <v>39</v>
      </c>
      <c r="Q1283" s="2" t="s">
        <v>39</v>
      </c>
      <c r="R1283" s="2" t="s">
        <v>39</v>
      </c>
      <c r="S1283" s="2" t="s">
        <v>39</v>
      </c>
      <c r="T1283" s="2" t="s">
        <v>39</v>
      </c>
      <c r="U1283" s="2" t="s">
        <v>38</v>
      </c>
      <c r="V1283" s="2" t="s">
        <v>38</v>
      </c>
      <c r="W1283" s="2" t="s">
        <v>38</v>
      </c>
      <c r="X1283" s="2" t="s">
        <v>39</v>
      </c>
      <c r="Y1283" s="2" t="s">
        <v>39</v>
      </c>
      <c r="Z1283" s="2" t="s">
        <v>39</v>
      </c>
      <c r="AA1283" s="2" t="s">
        <v>38</v>
      </c>
      <c r="AB1283" s="2" t="s">
        <v>39</v>
      </c>
      <c r="AC1283" s="2" t="s">
        <v>38</v>
      </c>
      <c r="AD1283" s="2" t="s">
        <v>38</v>
      </c>
      <c r="AE1283" s="2" t="s">
        <v>40</v>
      </c>
    </row>
    <row r="1284" spans="1:31" ht="409.5">
      <c r="A1284" s="2">
        <v>2741726</v>
      </c>
      <c r="B1284" s="2">
        <f>HYPERLINK("https://platform.v2.vetology.net/cases/2741726/screening-report/1?type=pdf&amp;v=v6&amp;scorecard=1&amp;secret_key=BX%25IJ%24%2F65ieZ%29f6", 2741726)</f>
        <v>2741726</v>
      </c>
      <c r="C1284" s="2">
        <f>HYPERLINK("https://platform.v2.vetology.net/report/v/final/"&amp;2741726, 2741726)</f>
        <v>2741726</v>
      </c>
      <c r="D1284" s="2" t="s">
        <v>4251</v>
      </c>
      <c r="E1284" s="2" t="s">
        <v>4252</v>
      </c>
      <c r="F1284" s="2" t="s">
        <v>4253</v>
      </c>
      <c r="G1284" s="2" t="s">
        <v>53</v>
      </c>
      <c r="H1284" s="2" t="s">
        <v>4254</v>
      </c>
      <c r="I1284" s="2" t="s">
        <v>36</v>
      </c>
      <c r="J1284" s="2" t="s">
        <v>37</v>
      </c>
      <c r="K1284" s="2" t="s">
        <v>38</v>
      </c>
      <c r="L1284" s="2" t="s">
        <v>38</v>
      </c>
      <c r="M1284" s="2" t="s">
        <v>39</v>
      </c>
      <c r="N1284" s="2" t="s">
        <v>38</v>
      </c>
      <c r="O1284" s="2" t="s">
        <v>38</v>
      </c>
      <c r="P1284" s="2" t="s">
        <v>39</v>
      </c>
      <c r="Q1284" s="2" t="s">
        <v>39</v>
      </c>
      <c r="R1284" s="2" t="s">
        <v>38</v>
      </c>
      <c r="S1284" s="2" t="s">
        <v>38</v>
      </c>
      <c r="T1284" s="2" t="s">
        <v>39</v>
      </c>
      <c r="U1284" s="2" t="s">
        <v>39</v>
      </c>
      <c r="V1284" s="2" t="s">
        <v>39</v>
      </c>
      <c r="W1284" s="2" t="s">
        <v>38</v>
      </c>
      <c r="X1284" s="2" t="s">
        <v>39</v>
      </c>
      <c r="Y1284" s="2" t="s">
        <v>39</v>
      </c>
      <c r="Z1284" s="2" t="s">
        <v>38</v>
      </c>
      <c r="AA1284" s="2" t="s">
        <v>38</v>
      </c>
      <c r="AB1284" s="2" t="s">
        <v>39</v>
      </c>
      <c r="AC1284" s="2" t="s">
        <v>38</v>
      </c>
      <c r="AD1284" s="2" t="s">
        <v>39</v>
      </c>
      <c r="AE1284" s="2" t="s">
        <v>39</v>
      </c>
    </row>
    <row r="1285" spans="1:31" ht="409.5">
      <c r="A1285" s="2">
        <v>2741723</v>
      </c>
      <c r="B1285" s="2">
        <f>HYPERLINK("https://platform.v2.vetology.net/cases/2741723/screening-report/1?type=pdf&amp;v=v6&amp;scorecard=1&amp;secret_key=BX%25IJ%24%2F65ieZ%29f6", 2741723)</f>
        <v>2741723</v>
      </c>
      <c r="C1285" s="2">
        <f>HYPERLINK("https://platform.v2.vetology.net/report/v/final/"&amp;2741723, 2741723)</f>
        <v>2741723</v>
      </c>
      <c r="D1285" s="2" t="s">
        <v>4255</v>
      </c>
      <c r="E1285" s="2" t="s">
        <v>4256</v>
      </c>
      <c r="F1285" s="2" t="s">
        <v>4257</v>
      </c>
      <c r="G1285" s="2" t="s">
        <v>111</v>
      </c>
      <c r="H1285" s="2" t="s">
        <v>4258</v>
      </c>
      <c r="I1285" s="2" t="s">
        <v>129</v>
      </c>
      <c r="J1285" s="2" t="s">
        <v>74</v>
      </c>
      <c r="K1285" s="2" t="s">
        <v>38</v>
      </c>
      <c r="L1285" s="2" t="s">
        <v>39</v>
      </c>
      <c r="M1285" s="2" t="s">
        <v>38</v>
      </c>
      <c r="N1285" s="2" t="s">
        <v>38</v>
      </c>
      <c r="O1285" s="2" t="s">
        <v>38</v>
      </c>
      <c r="P1285" s="2" t="s">
        <v>38</v>
      </c>
      <c r="Q1285" s="2" t="s">
        <v>38</v>
      </c>
      <c r="R1285" s="2" t="s">
        <v>38</v>
      </c>
      <c r="S1285" s="2" t="s">
        <v>38</v>
      </c>
      <c r="T1285" s="2" t="s">
        <v>38</v>
      </c>
      <c r="U1285" s="2" t="s">
        <v>38</v>
      </c>
      <c r="V1285" s="2" t="s">
        <v>38</v>
      </c>
      <c r="W1285" s="2" t="s">
        <v>38</v>
      </c>
      <c r="X1285" s="2" t="s">
        <v>38</v>
      </c>
      <c r="Y1285" s="2" t="s">
        <v>38</v>
      </c>
      <c r="Z1285" s="2" t="s">
        <v>38</v>
      </c>
      <c r="AA1285" s="2" t="s">
        <v>38</v>
      </c>
      <c r="AB1285" s="2" t="s">
        <v>38</v>
      </c>
      <c r="AC1285" s="2" t="s">
        <v>38</v>
      </c>
      <c r="AD1285" s="2" t="s">
        <v>39</v>
      </c>
      <c r="AE1285" s="2" t="s">
        <v>40</v>
      </c>
    </row>
    <row r="1286" spans="1:31" ht="409.5">
      <c r="A1286" s="2">
        <v>2741701</v>
      </c>
      <c r="B1286" s="2">
        <f>HYPERLINK("https://platform.v2.vetology.net/cases/2741701/screening-report/1?type=pdf&amp;v=v6&amp;scorecard=1&amp;secret_key=BX%25IJ%24%2F65ieZ%29f6", 2741701)</f>
        <v>2741701</v>
      </c>
      <c r="C1286" s="2">
        <f>HYPERLINK("https://platform.v2.vetology.net/report/v/final/"&amp;2741701, 2741701)</f>
        <v>2741701</v>
      </c>
      <c r="D1286" s="2" t="s">
        <v>4259</v>
      </c>
      <c r="E1286" s="2" t="s">
        <v>1484</v>
      </c>
      <c r="F1286" s="2" t="s">
        <v>4260</v>
      </c>
      <c r="G1286" s="2" t="s">
        <v>111</v>
      </c>
      <c r="H1286" s="2" t="s">
        <v>4261</v>
      </c>
      <c r="I1286" s="2" t="s">
        <v>36</v>
      </c>
      <c r="J1286" s="2" t="s">
        <v>37</v>
      </c>
      <c r="K1286" s="2" t="s">
        <v>38</v>
      </c>
      <c r="L1286" s="2" t="s">
        <v>39</v>
      </c>
      <c r="M1286" s="2" t="s">
        <v>38</v>
      </c>
      <c r="N1286" s="2" t="s">
        <v>39</v>
      </c>
      <c r="O1286" s="2" t="s">
        <v>38</v>
      </c>
      <c r="P1286" s="2" t="s">
        <v>39</v>
      </c>
      <c r="Q1286" s="2" t="s">
        <v>39</v>
      </c>
      <c r="R1286" s="2" t="s">
        <v>38</v>
      </c>
      <c r="S1286" s="2" t="s">
        <v>39</v>
      </c>
      <c r="T1286" s="2" t="s">
        <v>38</v>
      </c>
      <c r="U1286" s="2" t="s">
        <v>39</v>
      </c>
      <c r="V1286" s="2" t="s">
        <v>39</v>
      </c>
      <c r="W1286" s="2" t="s">
        <v>38</v>
      </c>
      <c r="X1286" s="2" t="s">
        <v>39</v>
      </c>
      <c r="Y1286" s="2" t="s">
        <v>39</v>
      </c>
      <c r="Z1286" s="2" t="s">
        <v>39</v>
      </c>
      <c r="AA1286" s="2" t="s">
        <v>39</v>
      </c>
      <c r="AB1286" s="2" t="s">
        <v>39</v>
      </c>
      <c r="AC1286" s="2" t="s">
        <v>38</v>
      </c>
      <c r="AD1286" s="2" t="s">
        <v>39</v>
      </c>
      <c r="AE1286" s="2" t="s">
        <v>40</v>
      </c>
    </row>
    <row r="1287" spans="1:31" ht="409.5">
      <c r="A1287" s="2">
        <v>2741680</v>
      </c>
      <c r="B1287" s="2">
        <f>HYPERLINK("https://platform.v2.vetology.net/cases/2741680/screening-report/1?type=pdf&amp;v=v6&amp;scorecard=1&amp;secret_key=BX%25IJ%24%2F65ieZ%29f6", 2741680)</f>
        <v>2741680</v>
      </c>
      <c r="C1287" s="2">
        <f>HYPERLINK("https://platform.v2.vetology.net/report/v/final/"&amp;2741680, 2741680)</f>
        <v>2741680</v>
      </c>
      <c r="D1287" s="2" t="s">
        <v>4262</v>
      </c>
      <c r="E1287" s="2" t="s">
        <v>4263</v>
      </c>
      <c r="F1287" s="2" t="s">
        <v>4264</v>
      </c>
      <c r="G1287" s="2" t="s">
        <v>53</v>
      </c>
      <c r="H1287" s="2" t="s">
        <v>69</v>
      </c>
      <c r="I1287" s="2" t="s">
        <v>46</v>
      </c>
      <c r="J1287" s="2"/>
      <c r="K1287" s="2" t="s">
        <v>39</v>
      </c>
      <c r="L1287" s="2" t="s">
        <v>39</v>
      </c>
      <c r="M1287" s="2" t="s">
        <v>39</v>
      </c>
      <c r="N1287" s="2" t="s">
        <v>39</v>
      </c>
      <c r="O1287" s="2" t="s">
        <v>39</v>
      </c>
      <c r="P1287" s="2" t="s">
        <v>39</v>
      </c>
      <c r="Q1287" s="2" t="s">
        <v>39</v>
      </c>
      <c r="R1287" s="2" t="s">
        <v>39</v>
      </c>
      <c r="S1287" s="2" t="s">
        <v>39</v>
      </c>
      <c r="T1287" s="2" t="s">
        <v>39</v>
      </c>
      <c r="U1287" s="2" t="s">
        <v>39</v>
      </c>
      <c r="V1287" s="2" t="s">
        <v>39</v>
      </c>
      <c r="W1287" s="2" t="s">
        <v>39</v>
      </c>
      <c r="X1287" s="2" t="s">
        <v>39</v>
      </c>
      <c r="Y1287" s="2" t="s">
        <v>39</v>
      </c>
      <c r="Z1287" s="2" t="s">
        <v>39</v>
      </c>
      <c r="AA1287" s="2" t="s">
        <v>39</v>
      </c>
      <c r="AB1287" s="2" t="s">
        <v>39</v>
      </c>
      <c r="AC1287" s="2" t="s">
        <v>39</v>
      </c>
      <c r="AD1287" s="2" t="s">
        <v>39</v>
      </c>
      <c r="AE1287" s="2" t="s">
        <v>39</v>
      </c>
    </row>
    <row r="1288" spans="1:31" ht="409.5">
      <c r="A1288" s="2">
        <v>2741672</v>
      </c>
      <c r="B1288" s="2">
        <f>HYPERLINK("https://platform.v2.vetology.net/cases/2741672/screening-report/1?type=pdf&amp;v=v6&amp;scorecard=1&amp;secret_key=BX%25IJ%24%2F65ieZ%29f6", 2741672)</f>
        <v>2741672</v>
      </c>
      <c r="C1288" s="2">
        <f>HYPERLINK("https://platform.v2.vetology.net/report/v/final/"&amp;2741672, 2741672)</f>
        <v>2741672</v>
      </c>
      <c r="D1288" s="2" t="s">
        <v>4265</v>
      </c>
      <c r="E1288" s="2" t="s">
        <v>4266</v>
      </c>
      <c r="F1288" s="2" t="s">
        <v>43</v>
      </c>
      <c r="G1288" s="2" t="s">
        <v>100</v>
      </c>
      <c r="H1288" s="2" t="s">
        <v>4267</v>
      </c>
      <c r="I1288" s="2" t="s">
        <v>73</v>
      </c>
      <c r="J1288" s="2" t="s">
        <v>74</v>
      </c>
      <c r="K1288" s="2" t="s">
        <v>38</v>
      </c>
      <c r="L1288" s="2" t="s">
        <v>38</v>
      </c>
      <c r="M1288" s="2" t="s">
        <v>38</v>
      </c>
      <c r="N1288" s="2" t="s">
        <v>38</v>
      </c>
      <c r="O1288" s="2" t="s">
        <v>38</v>
      </c>
      <c r="P1288" s="2" t="s">
        <v>38</v>
      </c>
      <c r="Q1288" s="2" t="s">
        <v>38</v>
      </c>
      <c r="R1288" s="2" t="s">
        <v>38</v>
      </c>
      <c r="S1288" s="2" t="s">
        <v>38</v>
      </c>
      <c r="T1288" s="2" t="s">
        <v>38</v>
      </c>
      <c r="U1288" s="2" t="s">
        <v>38</v>
      </c>
      <c r="V1288" s="2" t="s">
        <v>38</v>
      </c>
      <c r="W1288" s="2" t="s">
        <v>38</v>
      </c>
      <c r="X1288" s="2" t="s">
        <v>38</v>
      </c>
      <c r="Y1288" s="2" t="s">
        <v>38</v>
      </c>
      <c r="Z1288" s="2" t="s">
        <v>38</v>
      </c>
      <c r="AA1288" s="2" t="s">
        <v>38</v>
      </c>
      <c r="AB1288" s="2" t="s">
        <v>38</v>
      </c>
      <c r="AC1288" s="2" t="s">
        <v>38</v>
      </c>
      <c r="AD1288" s="2" t="s">
        <v>38</v>
      </c>
      <c r="AE1288" s="2" t="s">
        <v>39</v>
      </c>
    </row>
    <row r="1289" spans="1:31" ht="409.5">
      <c r="A1289" s="2">
        <v>2741667</v>
      </c>
      <c r="B1289" s="2">
        <f>HYPERLINK("https://platform.v2.vetology.net/cases/2741667/screening-report/1?type=pdf&amp;v=v6&amp;scorecard=1&amp;secret_key=BX%25IJ%24%2F65ieZ%29f6", 2741667)</f>
        <v>2741667</v>
      </c>
      <c r="C1289" s="2">
        <f>HYPERLINK("https://platform.v2.vetology.net/report/v/final/"&amp;2741667, 2741667)</f>
        <v>2741667</v>
      </c>
      <c r="D1289" s="2" t="s">
        <v>4268</v>
      </c>
      <c r="E1289" s="2" t="s">
        <v>1484</v>
      </c>
      <c r="F1289" s="2" t="s">
        <v>4260</v>
      </c>
      <c r="G1289" s="2" t="s">
        <v>111</v>
      </c>
      <c r="H1289" s="2" t="s">
        <v>4269</v>
      </c>
      <c r="I1289" s="2" t="s">
        <v>129</v>
      </c>
      <c r="J1289" s="2" t="s">
        <v>74</v>
      </c>
      <c r="K1289" s="2" t="s">
        <v>39</v>
      </c>
      <c r="L1289" s="2" t="s">
        <v>38</v>
      </c>
      <c r="M1289" s="2" t="s">
        <v>38</v>
      </c>
      <c r="N1289" s="2" t="s">
        <v>38</v>
      </c>
      <c r="O1289" s="2" t="s">
        <v>38</v>
      </c>
      <c r="P1289" s="2" t="s">
        <v>39</v>
      </c>
      <c r="Q1289" s="2" t="s">
        <v>38</v>
      </c>
      <c r="R1289" s="2" t="s">
        <v>38</v>
      </c>
      <c r="S1289" s="2" t="s">
        <v>38</v>
      </c>
      <c r="T1289" s="2" t="s">
        <v>38</v>
      </c>
      <c r="U1289" s="2" t="s">
        <v>38</v>
      </c>
      <c r="V1289" s="2" t="s">
        <v>39</v>
      </c>
      <c r="W1289" s="2" t="s">
        <v>38</v>
      </c>
      <c r="X1289" s="2" t="s">
        <v>39</v>
      </c>
      <c r="Y1289" s="2" t="s">
        <v>39</v>
      </c>
      <c r="Z1289" s="2" t="s">
        <v>38</v>
      </c>
      <c r="AA1289" s="2" t="s">
        <v>38</v>
      </c>
      <c r="AB1289" s="2" t="s">
        <v>39</v>
      </c>
      <c r="AC1289" s="2" t="s">
        <v>38</v>
      </c>
      <c r="AD1289" s="2" t="s">
        <v>39</v>
      </c>
      <c r="AE1289" s="2"/>
    </row>
    <row r="1290" spans="1:31" ht="409.5">
      <c r="A1290" s="2">
        <v>2741663</v>
      </c>
      <c r="B1290" s="2">
        <f>HYPERLINK("https://platform.v2.vetology.net/cases/2741663/screening-report/1?type=pdf&amp;v=v6&amp;scorecard=1&amp;secret_key=BX%25IJ%24%2F65ieZ%29f6", 2741663)</f>
        <v>2741663</v>
      </c>
      <c r="C1290" s="2">
        <f>HYPERLINK("https://platform.v2.vetology.net/report/v/final/"&amp;2741663, 2741663)</f>
        <v>2741663</v>
      </c>
      <c r="D1290" s="2" t="s">
        <v>4270</v>
      </c>
      <c r="E1290" s="2" t="s">
        <v>4271</v>
      </c>
      <c r="F1290" s="2" t="s">
        <v>43</v>
      </c>
      <c r="G1290" s="2" t="s">
        <v>44</v>
      </c>
      <c r="H1290" s="2" t="s">
        <v>4272</v>
      </c>
      <c r="I1290" s="2" t="s">
        <v>36</v>
      </c>
      <c r="J1290" s="2" t="s">
        <v>37</v>
      </c>
      <c r="K1290" s="2" t="s">
        <v>38</v>
      </c>
      <c r="L1290" s="2" t="s">
        <v>38</v>
      </c>
      <c r="M1290" s="2" t="s">
        <v>38</v>
      </c>
      <c r="N1290" s="2" t="s">
        <v>38</v>
      </c>
      <c r="O1290" s="2" t="s">
        <v>38</v>
      </c>
      <c r="P1290" s="2" t="s">
        <v>38</v>
      </c>
      <c r="Q1290" s="2" t="s">
        <v>39</v>
      </c>
      <c r="R1290" s="2" t="s">
        <v>38</v>
      </c>
      <c r="S1290" s="2" t="s">
        <v>38</v>
      </c>
      <c r="T1290" s="2" t="s">
        <v>38</v>
      </c>
      <c r="U1290" s="2" t="s">
        <v>38</v>
      </c>
      <c r="V1290" s="2" t="s">
        <v>38</v>
      </c>
      <c r="W1290" s="2" t="s">
        <v>38</v>
      </c>
      <c r="X1290" s="2" t="s">
        <v>39</v>
      </c>
      <c r="Y1290" s="2" t="s">
        <v>38</v>
      </c>
      <c r="Z1290" s="2" t="s">
        <v>38</v>
      </c>
      <c r="AA1290" s="2" t="s">
        <v>38</v>
      </c>
      <c r="AB1290" s="2" t="s">
        <v>38</v>
      </c>
      <c r="AC1290" s="2" t="s">
        <v>38</v>
      </c>
      <c r="AD1290" s="2" t="s">
        <v>38</v>
      </c>
      <c r="AE1290" s="2" t="s">
        <v>40</v>
      </c>
    </row>
    <row r="1291" spans="1:31" ht="409.5">
      <c r="A1291" s="2">
        <v>2741645</v>
      </c>
      <c r="B1291" s="2">
        <f>HYPERLINK("https://platform.v2.vetology.net/cases/2741645/screening-report/1?type=pdf&amp;v=v6&amp;scorecard=1&amp;secret_key=BX%25IJ%24%2F65ieZ%29f6", 2741645)</f>
        <v>2741645</v>
      </c>
      <c r="C1291" s="2">
        <f>HYPERLINK("https://platform.v2.vetology.net/report/v/final/"&amp;2741645, 2741645)</f>
        <v>2741645</v>
      </c>
      <c r="D1291" s="2" t="s">
        <v>4273</v>
      </c>
      <c r="E1291" s="2" t="s">
        <v>4274</v>
      </c>
      <c r="F1291" s="2" t="s">
        <v>4275</v>
      </c>
      <c r="G1291" s="2" t="s">
        <v>53</v>
      </c>
      <c r="H1291" s="2" t="s">
        <v>1056</v>
      </c>
      <c r="I1291" s="2" t="s">
        <v>59</v>
      </c>
      <c r="J1291" s="2" t="s">
        <v>37</v>
      </c>
      <c r="K1291" s="2" t="s">
        <v>39</v>
      </c>
      <c r="L1291" s="2" t="s">
        <v>39</v>
      </c>
      <c r="M1291" s="2" t="s">
        <v>39</v>
      </c>
      <c r="N1291" s="2" t="s">
        <v>38</v>
      </c>
      <c r="O1291" s="2" t="s">
        <v>38</v>
      </c>
      <c r="P1291" s="2" t="s">
        <v>39</v>
      </c>
      <c r="Q1291" s="2" t="s">
        <v>39</v>
      </c>
      <c r="R1291" s="2" t="s">
        <v>39</v>
      </c>
      <c r="S1291" s="2" t="s">
        <v>39</v>
      </c>
      <c r="T1291" s="2" t="s">
        <v>39</v>
      </c>
      <c r="U1291" s="2" t="s">
        <v>39</v>
      </c>
      <c r="V1291" s="2" t="s">
        <v>39</v>
      </c>
      <c r="W1291" s="2" t="s">
        <v>39</v>
      </c>
      <c r="X1291" s="2" t="s">
        <v>39</v>
      </c>
      <c r="Y1291" s="2" t="s">
        <v>39</v>
      </c>
      <c r="Z1291" s="2" t="s">
        <v>39</v>
      </c>
      <c r="AA1291" s="2" t="s">
        <v>38</v>
      </c>
      <c r="AB1291" s="2" t="s">
        <v>39</v>
      </c>
      <c r="AC1291" s="2" t="s">
        <v>38</v>
      </c>
      <c r="AD1291" s="2" t="s">
        <v>39</v>
      </c>
      <c r="AE1291" s="2"/>
    </row>
    <row r="1292" spans="1:31" ht="409.5">
      <c r="A1292" s="2">
        <v>2741627</v>
      </c>
      <c r="B1292" s="2">
        <f>HYPERLINK("https://platform.v2.vetology.net/cases/2741627/screening-report/1?type=pdf&amp;v=v6&amp;scorecard=1&amp;secret_key=BX%25IJ%24%2F65ieZ%29f6", 2741627)</f>
        <v>2741627</v>
      </c>
      <c r="C1292" s="2">
        <f>HYPERLINK("https://platform.v2.vetology.net/report/v/final/"&amp;2741627, 2741627)</f>
        <v>2741627</v>
      </c>
      <c r="D1292" s="2" t="s">
        <v>4276</v>
      </c>
      <c r="E1292" s="2" t="s">
        <v>4277</v>
      </c>
      <c r="F1292" s="2"/>
      <c r="G1292" s="2" t="s">
        <v>100</v>
      </c>
      <c r="H1292" s="2" t="s">
        <v>2003</v>
      </c>
      <c r="I1292" s="2" t="s">
        <v>46</v>
      </c>
      <c r="J1292" s="2"/>
      <c r="K1292" s="2" t="s">
        <v>39</v>
      </c>
      <c r="L1292" s="2" t="s">
        <v>38</v>
      </c>
      <c r="M1292" s="2" t="s">
        <v>39</v>
      </c>
      <c r="N1292" s="2" t="s">
        <v>39</v>
      </c>
      <c r="O1292" s="2" t="s">
        <v>39</v>
      </c>
      <c r="P1292" s="2" t="s">
        <v>39</v>
      </c>
      <c r="Q1292" s="2" t="s">
        <v>39</v>
      </c>
      <c r="R1292" s="2" t="s">
        <v>38</v>
      </c>
      <c r="S1292" s="2" t="s">
        <v>39</v>
      </c>
      <c r="T1292" s="2" t="s">
        <v>39</v>
      </c>
      <c r="U1292" s="2" t="s">
        <v>39</v>
      </c>
      <c r="V1292" s="2" t="s">
        <v>39</v>
      </c>
      <c r="W1292" s="2" t="s">
        <v>38</v>
      </c>
      <c r="X1292" s="2" t="s">
        <v>39</v>
      </c>
      <c r="Y1292" s="2" t="s">
        <v>39</v>
      </c>
      <c r="Z1292" s="2" t="s">
        <v>39</v>
      </c>
      <c r="AA1292" s="2" t="s">
        <v>39</v>
      </c>
      <c r="AB1292" s="2" t="s">
        <v>39</v>
      </c>
      <c r="AC1292" s="2" t="s">
        <v>38</v>
      </c>
      <c r="AD1292" s="2" t="s">
        <v>39</v>
      </c>
      <c r="AE1292" s="2" t="s">
        <v>39</v>
      </c>
    </row>
    <row r="1293" spans="1:31" ht="409.5">
      <c r="A1293" s="2">
        <v>2741615</v>
      </c>
      <c r="B1293" s="2">
        <f>HYPERLINK("https://platform.v2.vetology.net/cases/2741615/screening-report/1?type=pdf&amp;v=v6&amp;scorecard=1&amp;secret_key=BX%25IJ%24%2F65ieZ%29f6", 2741615)</f>
        <v>2741615</v>
      </c>
      <c r="C1293" s="2">
        <f>HYPERLINK("https://platform.v2.vetology.net/report/v/final/"&amp;2741615, 2741615)</f>
        <v>2741615</v>
      </c>
      <c r="D1293" s="2" t="s">
        <v>4278</v>
      </c>
      <c r="E1293" s="2" t="s">
        <v>4279</v>
      </c>
      <c r="F1293" s="2"/>
      <c r="G1293" s="2" t="s">
        <v>81</v>
      </c>
      <c r="H1293" s="2" t="s">
        <v>4280</v>
      </c>
      <c r="I1293" s="2" t="s">
        <v>36</v>
      </c>
      <c r="J1293" s="2" t="s">
        <v>37</v>
      </c>
      <c r="K1293" s="2" t="s">
        <v>39</v>
      </c>
      <c r="L1293" s="2" t="s">
        <v>38</v>
      </c>
      <c r="M1293" s="2" t="s">
        <v>38</v>
      </c>
      <c r="N1293" s="2" t="s">
        <v>38</v>
      </c>
      <c r="O1293" s="2" t="s">
        <v>39</v>
      </c>
      <c r="P1293" s="2" t="s">
        <v>39</v>
      </c>
      <c r="Q1293" s="2" t="s">
        <v>39</v>
      </c>
      <c r="R1293" s="2" t="s">
        <v>38</v>
      </c>
      <c r="S1293" s="2" t="s">
        <v>38</v>
      </c>
      <c r="T1293" s="2" t="s">
        <v>39</v>
      </c>
      <c r="U1293" s="2" t="s">
        <v>39</v>
      </c>
      <c r="V1293" s="2" t="s">
        <v>39</v>
      </c>
      <c r="W1293" s="2" t="s">
        <v>38</v>
      </c>
      <c r="X1293" s="2" t="s">
        <v>39</v>
      </c>
      <c r="Y1293" s="2" t="s">
        <v>39</v>
      </c>
      <c r="Z1293" s="2" t="s">
        <v>38</v>
      </c>
      <c r="AA1293" s="2" t="s">
        <v>38</v>
      </c>
      <c r="AB1293" s="2" t="s">
        <v>39</v>
      </c>
      <c r="AC1293" s="2" t="s">
        <v>38</v>
      </c>
      <c r="AD1293" s="2" t="s">
        <v>38</v>
      </c>
      <c r="AE1293" s="2"/>
    </row>
    <row r="1294" spans="1:31" ht="409.5">
      <c r="A1294" s="2">
        <v>2741612</v>
      </c>
      <c r="B1294" s="2">
        <f>HYPERLINK("https://platform.v2.vetology.net/cases/2741612/screening-report/1?type=pdf&amp;v=v6&amp;scorecard=1&amp;secret_key=BX%25IJ%24%2F65ieZ%29f6", 2741612)</f>
        <v>2741612</v>
      </c>
      <c r="C1294" s="2">
        <f>HYPERLINK("https://platform.v2.vetology.net/report/v/final/"&amp;2741612, 2741612)</f>
        <v>2741612</v>
      </c>
      <c r="D1294" s="2" t="s">
        <v>4281</v>
      </c>
      <c r="E1294" s="2" t="s">
        <v>4282</v>
      </c>
      <c r="F1294" s="2" t="s">
        <v>43</v>
      </c>
      <c r="G1294" s="2" t="s">
        <v>100</v>
      </c>
      <c r="H1294" s="2" t="s">
        <v>4283</v>
      </c>
      <c r="I1294" s="2" t="s">
        <v>73</v>
      </c>
      <c r="J1294" s="2" t="s">
        <v>74</v>
      </c>
      <c r="K1294" s="2" t="s">
        <v>38</v>
      </c>
      <c r="L1294" s="2" t="s">
        <v>38</v>
      </c>
      <c r="M1294" s="2" t="s">
        <v>39</v>
      </c>
      <c r="N1294" s="2" t="s">
        <v>38</v>
      </c>
      <c r="O1294" s="2" t="s">
        <v>38</v>
      </c>
      <c r="P1294" s="2" t="s">
        <v>38</v>
      </c>
      <c r="Q1294" s="2" t="s">
        <v>38</v>
      </c>
      <c r="R1294" s="2" t="s">
        <v>39</v>
      </c>
      <c r="S1294" s="2" t="s">
        <v>38</v>
      </c>
      <c r="T1294" s="2" t="s">
        <v>38</v>
      </c>
      <c r="U1294" s="2" t="s">
        <v>38</v>
      </c>
      <c r="V1294" s="2" t="s">
        <v>38</v>
      </c>
      <c r="W1294" s="2" t="s">
        <v>39</v>
      </c>
      <c r="X1294" s="2" t="s">
        <v>38</v>
      </c>
      <c r="Y1294" s="2" t="s">
        <v>39</v>
      </c>
      <c r="Z1294" s="2" t="s">
        <v>39</v>
      </c>
      <c r="AA1294" s="2" t="s">
        <v>38</v>
      </c>
      <c r="AB1294" s="2" t="s">
        <v>38</v>
      </c>
      <c r="AC1294" s="2" t="s">
        <v>38</v>
      </c>
      <c r="AD1294" s="2" t="s">
        <v>39</v>
      </c>
      <c r="AE1294" s="2" t="s">
        <v>40</v>
      </c>
    </row>
    <row r="1295" spans="1:31" ht="409.5">
      <c r="A1295" s="2">
        <v>2741597</v>
      </c>
      <c r="B1295" s="2">
        <f>HYPERLINK("https://platform.v2.vetology.net/cases/2741597/screening-report/1?type=pdf&amp;v=v6&amp;scorecard=1&amp;secret_key=BX%25IJ%24%2F65ieZ%29f6", 2741597)</f>
        <v>2741597</v>
      </c>
      <c r="C1295" s="2">
        <f>HYPERLINK("https://platform.v2.vetology.net/report/v/final/"&amp;2741597, 2741597)</f>
        <v>2741597</v>
      </c>
      <c r="D1295" s="2" t="s">
        <v>4284</v>
      </c>
      <c r="E1295" s="2" t="s">
        <v>4285</v>
      </c>
      <c r="F1295" s="2" t="s">
        <v>4286</v>
      </c>
      <c r="G1295" s="2" t="s">
        <v>1460</v>
      </c>
      <c r="H1295" s="2" t="s">
        <v>69</v>
      </c>
      <c r="I1295" s="2" t="s">
        <v>46</v>
      </c>
      <c r="J1295" s="2"/>
      <c r="K1295" s="2" t="s">
        <v>39</v>
      </c>
      <c r="L1295" s="2" t="s">
        <v>39</v>
      </c>
      <c r="M1295" s="2" t="s">
        <v>39</v>
      </c>
      <c r="N1295" s="2" t="s">
        <v>39</v>
      </c>
      <c r="O1295" s="2" t="s">
        <v>39</v>
      </c>
      <c r="P1295" s="2" t="s">
        <v>39</v>
      </c>
      <c r="Q1295" s="2" t="s">
        <v>39</v>
      </c>
      <c r="R1295" s="2" t="s">
        <v>39</v>
      </c>
      <c r="S1295" s="2" t="s">
        <v>39</v>
      </c>
      <c r="T1295" s="2" t="s">
        <v>39</v>
      </c>
      <c r="U1295" s="2" t="s">
        <v>39</v>
      </c>
      <c r="V1295" s="2" t="s">
        <v>39</v>
      </c>
      <c r="W1295" s="2" t="s">
        <v>39</v>
      </c>
      <c r="X1295" s="2" t="s">
        <v>39</v>
      </c>
      <c r="Y1295" s="2" t="s">
        <v>39</v>
      </c>
      <c r="Z1295" s="2" t="s">
        <v>39</v>
      </c>
      <c r="AA1295" s="2" t="s">
        <v>39</v>
      </c>
      <c r="AB1295" s="2" t="s">
        <v>39</v>
      </c>
      <c r="AC1295" s="2" t="s">
        <v>39</v>
      </c>
      <c r="AD1295" s="2" t="s">
        <v>39</v>
      </c>
      <c r="AE1295" s="2"/>
    </row>
    <row r="1296" spans="1:31" ht="409.5">
      <c r="A1296" s="2">
        <v>2741571</v>
      </c>
      <c r="B1296" s="2">
        <f>HYPERLINK("https://platform.v2.vetology.net/cases/2741571/screening-report/1?type=pdf&amp;v=v6&amp;scorecard=1&amp;secret_key=BX%25IJ%24%2F65ieZ%29f6", 2741571)</f>
        <v>2741571</v>
      </c>
      <c r="C1296" s="2">
        <f>HYPERLINK("https://platform.v2.vetology.net/report/v/final/"&amp;2741571, 2741571)</f>
        <v>2741571</v>
      </c>
      <c r="D1296" s="2" t="s">
        <v>4287</v>
      </c>
      <c r="E1296" s="2" t="s">
        <v>4288</v>
      </c>
      <c r="F1296" s="2" t="s">
        <v>4289</v>
      </c>
      <c r="G1296" s="2" t="s">
        <v>170</v>
      </c>
      <c r="H1296" s="2" t="s">
        <v>62</v>
      </c>
      <c r="I1296" s="2" t="s">
        <v>46</v>
      </c>
      <c r="J1296" s="2"/>
      <c r="K1296" s="2" t="s">
        <v>39</v>
      </c>
      <c r="L1296" s="2" t="s">
        <v>39</v>
      </c>
      <c r="M1296" s="2" t="s">
        <v>39</v>
      </c>
      <c r="N1296" s="2" t="s">
        <v>39</v>
      </c>
      <c r="O1296" s="2" t="s">
        <v>38</v>
      </c>
      <c r="P1296" s="2" t="s">
        <v>39</v>
      </c>
      <c r="Q1296" s="2" t="s">
        <v>39</v>
      </c>
      <c r="R1296" s="2" t="s">
        <v>38</v>
      </c>
      <c r="S1296" s="2" t="s">
        <v>38</v>
      </c>
      <c r="T1296" s="2" t="s">
        <v>39</v>
      </c>
      <c r="U1296" s="2" t="s">
        <v>39</v>
      </c>
      <c r="V1296" s="2" t="s">
        <v>39</v>
      </c>
      <c r="W1296" s="2" t="s">
        <v>38</v>
      </c>
      <c r="X1296" s="2" t="s">
        <v>39</v>
      </c>
      <c r="Y1296" s="2" t="s">
        <v>39</v>
      </c>
      <c r="Z1296" s="2" t="s">
        <v>39</v>
      </c>
      <c r="AA1296" s="2" t="s">
        <v>38</v>
      </c>
      <c r="AB1296" s="2" t="s">
        <v>39</v>
      </c>
      <c r="AC1296" s="2" t="s">
        <v>38</v>
      </c>
      <c r="AD1296" s="2" t="s">
        <v>38</v>
      </c>
      <c r="AE1296" s="2" t="s">
        <v>40</v>
      </c>
    </row>
    <row r="1297" spans="1:31" ht="409.5">
      <c r="A1297" s="2">
        <v>2741558</v>
      </c>
      <c r="B1297" s="2">
        <f>HYPERLINK("https://platform.v2.vetology.net/cases/2741558/screening-report/1?type=pdf&amp;v=v6&amp;scorecard=1&amp;secret_key=BX%25IJ%24%2F65ieZ%29f6", 2741558)</f>
        <v>2741558</v>
      </c>
      <c r="C1297" s="2">
        <f>HYPERLINK("https://platform.v2.vetology.net/report/v/final/"&amp;2741558, 2741558)</f>
        <v>2741558</v>
      </c>
      <c r="D1297" s="2" t="s">
        <v>4290</v>
      </c>
      <c r="E1297" s="2" t="s">
        <v>4291</v>
      </c>
      <c r="F1297" s="2" t="s">
        <v>4292</v>
      </c>
      <c r="G1297" s="2" t="s">
        <v>53</v>
      </c>
      <c r="H1297" s="2" t="s">
        <v>611</v>
      </c>
      <c r="I1297" s="2" t="s">
        <v>46</v>
      </c>
      <c r="J1297" s="2"/>
      <c r="K1297" s="2" t="s">
        <v>39</v>
      </c>
      <c r="L1297" s="2" t="s">
        <v>39</v>
      </c>
      <c r="M1297" s="2" t="s">
        <v>39</v>
      </c>
      <c r="N1297" s="2" t="s">
        <v>39</v>
      </c>
      <c r="O1297" s="2" t="s">
        <v>39</v>
      </c>
      <c r="P1297" s="2" t="s">
        <v>39</v>
      </c>
      <c r="Q1297" s="2" t="s">
        <v>39</v>
      </c>
      <c r="R1297" s="2" t="s">
        <v>39</v>
      </c>
      <c r="S1297" s="2" t="s">
        <v>39</v>
      </c>
      <c r="T1297" s="2" t="s">
        <v>39</v>
      </c>
      <c r="U1297" s="2" t="s">
        <v>39</v>
      </c>
      <c r="V1297" s="2" t="s">
        <v>39</v>
      </c>
      <c r="W1297" s="2" t="s">
        <v>39</v>
      </c>
      <c r="X1297" s="2" t="s">
        <v>39</v>
      </c>
      <c r="Y1297" s="2" t="s">
        <v>39</v>
      </c>
      <c r="Z1297" s="2" t="s">
        <v>39</v>
      </c>
      <c r="AA1297" s="2" t="s">
        <v>39</v>
      </c>
      <c r="AB1297" s="2" t="s">
        <v>39</v>
      </c>
      <c r="AC1297" s="2" t="s">
        <v>38</v>
      </c>
      <c r="AD1297" s="2" t="s">
        <v>39</v>
      </c>
      <c r="AE1297" s="2" t="s">
        <v>39</v>
      </c>
    </row>
    <row r="1298" spans="1:31" ht="409.5">
      <c r="A1298" s="2">
        <v>2741534</v>
      </c>
      <c r="B1298" s="2">
        <f>HYPERLINK("https://platform.v2.vetology.net/cases/2741534/screening-report/1?type=pdf&amp;v=v6&amp;scorecard=1&amp;secret_key=BX%25IJ%24%2F65ieZ%29f6", 2741534)</f>
        <v>2741534</v>
      </c>
      <c r="C1298" s="2">
        <f>HYPERLINK("https://platform.v2.vetology.net/report/v/final/"&amp;2741534, 2741534)</f>
        <v>2741534</v>
      </c>
      <c r="D1298" s="2" t="s">
        <v>4293</v>
      </c>
      <c r="E1298" s="2" t="s">
        <v>4294</v>
      </c>
      <c r="F1298" s="2" t="s">
        <v>43</v>
      </c>
      <c r="G1298" s="2" t="s">
        <v>507</v>
      </c>
      <c r="H1298" s="2" t="s">
        <v>158</v>
      </c>
      <c r="I1298" s="2" t="s">
        <v>59</v>
      </c>
      <c r="J1298" s="2" t="s">
        <v>37</v>
      </c>
      <c r="K1298" s="2" t="s">
        <v>38</v>
      </c>
      <c r="L1298" s="2" t="s">
        <v>39</v>
      </c>
      <c r="M1298" s="2" t="s">
        <v>39</v>
      </c>
      <c r="N1298" s="2" t="s">
        <v>39</v>
      </c>
      <c r="O1298" s="2" t="s">
        <v>39</v>
      </c>
      <c r="P1298" s="2" t="s">
        <v>39</v>
      </c>
      <c r="Q1298" s="2" t="s">
        <v>39</v>
      </c>
      <c r="R1298" s="2" t="s">
        <v>39</v>
      </c>
      <c r="S1298" s="2" t="s">
        <v>39</v>
      </c>
      <c r="T1298" s="2" t="s">
        <v>39</v>
      </c>
      <c r="U1298" s="2" t="s">
        <v>39</v>
      </c>
      <c r="V1298" s="2" t="s">
        <v>38</v>
      </c>
      <c r="W1298" s="2" t="s">
        <v>39</v>
      </c>
      <c r="X1298" s="2" t="s">
        <v>39</v>
      </c>
      <c r="Y1298" s="2" t="s">
        <v>39</v>
      </c>
      <c r="Z1298" s="2" t="s">
        <v>39</v>
      </c>
      <c r="AA1298" s="2" t="s">
        <v>39</v>
      </c>
      <c r="AB1298" s="2" t="s">
        <v>39</v>
      </c>
      <c r="AC1298" s="2" t="s">
        <v>39</v>
      </c>
      <c r="AD1298" s="2" t="s">
        <v>39</v>
      </c>
      <c r="AE1298" s="2" t="s">
        <v>39</v>
      </c>
    </row>
    <row r="1299" spans="1:31" ht="409.5">
      <c r="A1299" s="2">
        <v>2741517</v>
      </c>
      <c r="B1299" s="2">
        <f>HYPERLINK("https://platform.v2.vetology.net/cases/2741517/screening-report/1?type=pdf&amp;v=v6&amp;scorecard=1&amp;secret_key=BX%25IJ%24%2F65ieZ%29f6", 2741517)</f>
        <v>2741517</v>
      </c>
      <c r="C1299" s="2">
        <f>HYPERLINK("https://platform.v2.vetology.net/report/v/final/"&amp;2741517, 2741517)</f>
        <v>2741517</v>
      </c>
      <c r="D1299" s="2" t="s">
        <v>4295</v>
      </c>
      <c r="E1299" s="2" t="s">
        <v>4296</v>
      </c>
      <c r="F1299" s="2" t="s">
        <v>4297</v>
      </c>
      <c r="G1299" s="2" t="s">
        <v>170</v>
      </c>
      <c r="H1299" s="2" t="s">
        <v>45</v>
      </c>
      <c r="I1299" s="2" t="s">
        <v>46</v>
      </c>
      <c r="J1299" s="2"/>
      <c r="K1299" s="2" t="s">
        <v>39</v>
      </c>
      <c r="L1299" s="2" t="s">
        <v>39</v>
      </c>
      <c r="M1299" s="2" t="s">
        <v>39</v>
      </c>
      <c r="N1299" s="2" t="s">
        <v>39</v>
      </c>
      <c r="O1299" s="2" t="s">
        <v>39</v>
      </c>
      <c r="P1299" s="2" t="s">
        <v>39</v>
      </c>
      <c r="Q1299" s="2" t="s">
        <v>39</v>
      </c>
      <c r="R1299" s="2" t="s">
        <v>38</v>
      </c>
      <c r="S1299" s="2" t="s">
        <v>39</v>
      </c>
      <c r="T1299" s="2" t="s">
        <v>39</v>
      </c>
      <c r="U1299" s="2" t="s">
        <v>39</v>
      </c>
      <c r="V1299" s="2" t="s">
        <v>39</v>
      </c>
      <c r="W1299" s="2" t="s">
        <v>39</v>
      </c>
      <c r="X1299" s="2" t="s">
        <v>39</v>
      </c>
      <c r="Y1299" s="2" t="s">
        <v>39</v>
      </c>
      <c r="Z1299" s="2" t="s">
        <v>39</v>
      </c>
      <c r="AA1299" s="2" t="s">
        <v>39</v>
      </c>
      <c r="AB1299" s="2" t="s">
        <v>39</v>
      </c>
      <c r="AC1299" s="2" t="s">
        <v>38</v>
      </c>
      <c r="AD1299" s="2" t="s">
        <v>39</v>
      </c>
      <c r="AE1299" s="2" t="s">
        <v>39</v>
      </c>
    </row>
    <row r="1300" spans="1:31" ht="409.5">
      <c r="A1300" s="2">
        <v>2741516</v>
      </c>
      <c r="B1300" s="2">
        <f>HYPERLINK("https://platform.v2.vetology.net/cases/2741516/screening-report/1?type=pdf&amp;v=v6&amp;scorecard=1&amp;secret_key=BX%25IJ%24%2F65ieZ%29f6", 2741516)</f>
        <v>2741516</v>
      </c>
      <c r="C1300" s="2">
        <f>HYPERLINK("https://platform.v2.vetology.net/report/v/final/"&amp;2741516, 2741516)</f>
        <v>2741516</v>
      </c>
      <c r="D1300" s="2" t="s">
        <v>4298</v>
      </c>
      <c r="E1300" s="2" t="s">
        <v>4299</v>
      </c>
      <c r="F1300" s="2" t="s">
        <v>4300</v>
      </c>
      <c r="G1300" s="2" t="s">
        <v>53</v>
      </c>
      <c r="H1300" s="2" t="s">
        <v>4301</v>
      </c>
      <c r="I1300" s="2" t="s">
        <v>129</v>
      </c>
      <c r="J1300" s="2" t="s">
        <v>74</v>
      </c>
      <c r="K1300" s="2" t="s">
        <v>38</v>
      </c>
      <c r="L1300" s="2" t="s">
        <v>39</v>
      </c>
      <c r="M1300" s="2" t="s">
        <v>39</v>
      </c>
      <c r="N1300" s="2" t="s">
        <v>38</v>
      </c>
      <c r="O1300" s="2" t="s">
        <v>38</v>
      </c>
      <c r="P1300" s="2" t="s">
        <v>38</v>
      </c>
      <c r="Q1300" s="2" t="s">
        <v>38</v>
      </c>
      <c r="R1300" s="2" t="s">
        <v>38</v>
      </c>
      <c r="S1300" s="2" t="s">
        <v>39</v>
      </c>
      <c r="T1300" s="2" t="s">
        <v>38</v>
      </c>
      <c r="U1300" s="2" t="s">
        <v>39</v>
      </c>
      <c r="V1300" s="2" t="s">
        <v>39</v>
      </c>
      <c r="W1300" s="2" t="s">
        <v>39</v>
      </c>
      <c r="X1300" s="2" t="s">
        <v>39</v>
      </c>
      <c r="Y1300" s="2" t="s">
        <v>39</v>
      </c>
      <c r="Z1300" s="2" t="s">
        <v>39</v>
      </c>
      <c r="AA1300" s="2" t="s">
        <v>39</v>
      </c>
      <c r="AB1300" s="2" t="s">
        <v>38</v>
      </c>
      <c r="AC1300" s="2" t="s">
        <v>39</v>
      </c>
      <c r="AD1300" s="2" t="s">
        <v>39</v>
      </c>
      <c r="AE1300" s="2" t="s">
        <v>40</v>
      </c>
    </row>
    <row r="1301" spans="1:31" ht="409.5">
      <c r="A1301" s="2">
        <v>2741467</v>
      </c>
      <c r="B1301" s="2">
        <f>HYPERLINK("https://platform.v2.vetology.net/cases/2741467/screening-report/1?type=pdf&amp;v=v6&amp;scorecard=1&amp;secret_key=BX%25IJ%24%2F65ieZ%29f6", 2741467)</f>
        <v>2741467</v>
      </c>
      <c r="C1301" s="2">
        <f>HYPERLINK("https://platform.v2.vetology.net/report/v/final/"&amp;2741467, 2741467)</f>
        <v>2741467</v>
      </c>
      <c r="D1301" s="2" t="s">
        <v>4302</v>
      </c>
      <c r="E1301" s="2" t="s">
        <v>4303</v>
      </c>
      <c r="F1301" s="2" t="s">
        <v>4304</v>
      </c>
      <c r="G1301" s="2" t="s">
        <v>127</v>
      </c>
      <c r="H1301" s="2" t="s">
        <v>4305</v>
      </c>
      <c r="I1301" s="2" t="s">
        <v>257</v>
      </c>
      <c r="J1301" s="2" t="s">
        <v>74</v>
      </c>
      <c r="K1301" s="2" t="s">
        <v>38</v>
      </c>
      <c r="L1301" s="2" t="s">
        <v>38</v>
      </c>
      <c r="M1301" s="2" t="s">
        <v>38</v>
      </c>
      <c r="N1301" s="2" t="s">
        <v>38</v>
      </c>
      <c r="O1301" s="2" t="s">
        <v>38</v>
      </c>
      <c r="P1301" s="2" t="s">
        <v>38</v>
      </c>
      <c r="Q1301" s="2" t="s">
        <v>38</v>
      </c>
      <c r="R1301" s="2" t="s">
        <v>38</v>
      </c>
      <c r="S1301" s="2" t="s">
        <v>38</v>
      </c>
      <c r="T1301" s="2" t="s">
        <v>38</v>
      </c>
      <c r="U1301" s="2" t="s">
        <v>38</v>
      </c>
      <c r="V1301" s="2" t="s">
        <v>38</v>
      </c>
      <c r="W1301" s="2" t="s">
        <v>38</v>
      </c>
      <c r="X1301" s="2" t="s">
        <v>38</v>
      </c>
      <c r="Y1301" s="2" t="s">
        <v>38</v>
      </c>
      <c r="Z1301" s="2" t="s">
        <v>38</v>
      </c>
      <c r="AA1301" s="2" t="s">
        <v>38</v>
      </c>
      <c r="AB1301" s="2" t="s">
        <v>38</v>
      </c>
      <c r="AC1301" s="2" t="s">
        <v>38</v>
      </c>
      <c r="AD1301" s="2" t="s">
        <v>38</v>
      </c>
      <c r="AE1301" s="2" t="s">
        <v>40</v>
      </c>
    </row>
    <row r="1302" spans="1:31" ht="409.5">
      <c r="A1302" s="2">
        <v>2741455</v>
      </c>
      <c r="B1302" s="2">
        <f>HYPERLINK("https://platform.v2.vetology.net/cases/2741455/screening-report/1?type=pdf&amp;v=v6&amp;scorecard=1&amp;secret_key=BX%25IJ%24%2F65ieZ%29f6", 2741455)</f>
        <v>2741455</v>
      </c>
      <c r="C1302" s="2">
        <f>HYPERLINK("https://platform.v2.vetology.net/report/v/final/"&amp;2741455, 2741455)</f>
        <v>2741455</v>
      </c>
      <c r="D1302" s="2" t="s">
        <v>4306</v>
      </c>
      <c r="E1302" s="2" t="s">
        <v>4307</v>
      </c>
      <c r="F1302" s="2" t="s">
        <v>4308</v>
      </c>
      <c r="G1302" s="2" t="s">
        <v>53</v>
      </c>
      <c r="H1302" s="2" t="s">
        <v>2003</v>
      </c>
      <c r="I1302" s="2" t="s">
        <v>46</v>
      </c>
      <c r="J1302" s="2"/>
      <c r="K1302" s="2" t="s">
        <v>39</v>
      </c>
      <c r="L1302" s="2" t="s">
        <v>38</v>
      </c>
      <c r="M1302" s="2" t="s">
        <v>39</v>
      </c>
      <c r="N1302" s="2" t="s">
        <v>39</v>
      </c>
      <c r="O1302" s="2" t="s">
        <v>39</v>
      </c>
      <c r="P1302" s="2" t="s">
        <v>39</v>
      </c>
      <c r="Q1302" s="2" t="s">
        <v>39</v>
      </c>
      <c r="R1302" s="2" t="s">
        <v>38</v>
      </c>
      <c r="S1302" s="2" t="s">
        <v>39</v>
      </c>
      <c r="T1302" s="2" t="s">
        <v>39</v>
      </c>
      <c r="U1302" s="2" t="s">
        <v>39</v>
      </c>
      <c r="V1302" s="2" t="s">
        <v>39</v>
      </c>
      <c r="W1302" s="2" t="s">
        <v>38</v>
      </c>
      <c r="X1302" s="2" t="s">
        <v>39</v>
      </c>
      <c r="Y1302" s="2" t="s">
        <v>38</v>
      </c>
      <c r="Z1302" s="2" t="s">
        <v>39</v>
      </c>
      <c r="AA1302" s="2" t="s">
        <v>39</v>
      </c>
      <c r="AB1302" s="2" t="s">
        <v>39</v>
      </c>
      <c r="AC1302" s="2" t="s">
        <v>38</v>
      </c>
      <c r="AD1302" s="2" t="s">
        <v>38</v>
      </c>
      <c r="AE1302" s="2" t="s">
        <v>40</v>
      </c>
    </row>
    <row r="1303" spans="1:31" ht="409.5">
      <c r="A1303" s="2">
        <v>2741397</v>
      </c>
      <c r="B1303" s="2">
        <f>HYPERLINK("https://platform.v2.vetology.net/cases/2741397/screening-report/1?type=pdf&amp;v=v6&amp;scorecard=1&amp;secret_key=BX%25IJ%24%2F65ieZ%29f6", 2741397)</f>
        <v>2741397</v>
      </c>
      <c r="C1303" s="2">
        <f>HYPERLINK("https://platform.v2.vetology.net/report/v/final/"&amp;2741397, 2741397)</f>
        <v>2741397</v>
      </c>
      <c r="D1303" s="2" t="s">
        <v>4309</v>
      </c>
      <c r="E1303" s="2" t="s">
        <v>4310</v>
      </c>
      <c r="F1303" s="2" t="s">
        <v>4311</v>
      </c>
      <c r="G1303" s="2" t="s">
        <v>556</v>
      </c>
      <c r="H1303" s="2" t="s">
        <v>133</v>
      </c>
      <c r="I1303" s="2" t="s">
        <v>73</v>
      </c>
      <c r="J1303" s="2" t="s">
        <v>74</v>
      </c>
      <c r="K1303" s="2" t="s">
        <v>38</v>
      </c>
      <c r="L1303" s="2" t="s">
        <v>39</v>
      </c>
      <c r="M1303" s="2" t="s">
        <v>38</v>
      </c>
      <c r="N1303" s="2" t="s">
        <v>38</v>
      </c>
      <c r="O1303" s="2" t="s">
        <v>38</v>
      </c>
      <c r="P1303" s="2" t="s">
        <v>38</v>
      </c>
      <c r="Q1303" s="2" t="s">
        <v>38</v>
      </c>
      <c r="R1303" s="2" t="s">
        <v>38</v>
      </c>
      <c r="S1303" s="2" t="s">
        <v>38</v>
      </c>
      <c r="T1303" s="2" t="s">
        <v>38</v>
      </c>
      <c r="U1303" s="2" t="s">
        <v>38</v>
      </c>
      <c r="V1303" s="2" t="s">
        <v>38</v>
      </c>
      <c r="W1303" s="2" t="s">
        <v>38</v>
      </c>
      <c r="X1303" s="2" t="s">
        <v>38</v>
      </c>
      <c r="Y1303" s="2" t="s">
        <v>38</v>
      </c>
      <c r="Z1303" s="2" t="s">
        <v>38</v>
      </c>
      <c r="AA1303" s="2" t="s">
        <v>38</v>
      </c>
      <c r="AB1303" s="2" t="s">
        <v>38</v>
      </c>
      <c r="AC1303" s="2" t="s">
        <v>38</v>
      </c>
      <c r="AD1303" s="2" t="s">
        <v>39</v>
      </c>
      <c r="AE1303" s="2" t="s">
        <v>40</v>
      </c>
    </row>
    <row r="1304" spans="1:31" ht="409.5">
      <c r="A1304" s="2">
        <v>2741361</v>
      </c>
      <c r="B1304" s="2">
        <f>HYPERLINK("https://platform.v2.vetology.net/cases/2741361/screening-report/1?type=pdf&amp;v=v6&amp;scorecard=1&amp;secret_key=BX%25IJ%24%2F65ieZ%29f6", 2741361)</f>
        <v>2741361</v>
      </c>
      <c r="C1304" s="2">
        <f>HYPERLINK("https://platform.v2.vetology.net/report/v/final/"&amp;2741361, 2741361)</f>
        <v>2741361</v>
      </c>
      <c r="D1304" s="2" t="s">
        <v>4312</v>
      </c>
      <c r="E1304" s="2" t="s">
        <v>4313</v>
      </c>
      <c r="F1304" s="2" t="s">
        <v>4314</v>
      </c>
      <c r="G1304" s="2" t="s">
        <v>81</v>
      </c>
      <c r="H1304" s="2" t="s">
        <v>4315</v>
      </c>
      <c r="I1304" s="2" t="s">
        <v>36</v>
      </c>
      <c r="J1304" s="2" t="s">
        <v>37</v>
      </c>
      <c r="K1304" s="2" t="s">
        <v>38</v>
      </c>
      <c r="L1304" s="2" t="s">
        <v>38</v>
      </c>
      <c r="M1304" s="2" t="s">
        <v>39</v>
      </c>
      <c r="N1304" s="2" t="s">
        <v>38</v>
      </c>
      <c r="O1304" s="2" t="s">
        <v>38</v>
      </c>
      <c r="P1304" s="2" t="s">
        <v>39</v>
      </c>
      <c r="Q1304" s="2" t="s">
        <v>39</v>
      </c>
      <c r="R1304" s="2" t="s">
        <v>38</v>
      </c>
      <c r="S1304" s="2" t="s">
        <v>38</v>
      </c>
      <c r="T1304" s="2" t="s">
        <v>39</v>
      </c>
      <c r="U1304" s="2" t="s">
        <v>38</v>
      </c>
      <c r="V1304" s="2" t="s">
        <v>38</v>
      </c>
      <c r="W1304" s="2" t="s">
        <v>38</v>
      </c>
      <c r="X1304" s="2" t="s">
        <v>39</v>
      </c>
      <c r="Y1304" s="2" t="s">
        <v>39</v>
      </c>
      <c r="Z1304" s="2" t="s">
        <v>38</v>
      </c>
      <c r="AA1304" s="2" t="s">
        <v>38</v>
      </c>
      <c r="AB1304" s="2" t="s">
        <v>39</v>
      </c>
      <c r="AC1304" s="2" t="s">
        <v>38</v>
      </c>
      <c r="AD1304" s="2" t="s">
        <v>39</v>
      </c>
      <c r="AE1304" s="2"/>
    </row>
    <row r="1305" spans="1:31" ht="409.5">
      <c r="A1305" s="2">
        <v>2741343</v>
      </c>
      <c r="B1305" s="2">
        <f>HYPERLINK("https://platform.v2.vetology.net/cases/2741343/screening-report/1?type=pdf&amp;v=v6&amp;scorecard=1&amp;secret_key=BX%25IJ%24%2F65ieZ%29f6", 2741343)</f>
        <v>2741343</v>
      </c>
      <c r="C1305" s="2">
        <f>HYPERLINK("https://platform.v2.vetology.net/report/v/final/"&amp;2741343, 2741343)</f>
        <v>2741343</v>
      </c>
      <c r="D1305" s="2" t="s">
        <v>4316</v>
      </c>
      <c r="E1305" s="2" t="s">
        <v>4317</v>
      </c>
      <c r="F1305" s="2" t="s">
        <v>43</v>
      </c>
      <c r="G1305" s="2" t="s">
        <v>44</v>
      </c>
      <c r="H1305" s="2" t="s">
        <v>394</v>
      </c>
      <c r="I1305" s="2" t="s">
        <v>59</v>
      </c>
      <c r="J1305" s="2" t="s">
        <v>37</v>
      </c>
      <c r="K1305" s="2" t="s">
        <v>38</v>
      </c>
      <c r="L1305" s="2" t="s">
        <v>39</v>
      </c>
      <c r="M1305" s="2" t="s">
        <v>39</v>
      </c>
      <c r="N1305" s="2" t="s">
        <v>39</v>
      </c>
      <c r="O1305" s="2" t="s">
        <v>39</v>
      </c>
      <c r="P1305" s="2" t="s">
        <v>39</v>
      </c>
      <c r="Q1305" s="2" t="s">
        <v>39</v>
      </c>
      <c r="R1305" s="2" t="s">
        <v>39</v>
      </c>
      <c r="S1305" s="2" t="s">
        <v>39</v>
      </c>
      <c r="T1305" s="2" t="s">
        <v>39</v>
      </c>
      <c r="U1305" s="2" t="s">
        <v>39</v>
      </c>
      <c r="V1305" s="2" t="s">
        <v>39</v>
      </c>
      <c r="W1305" s="2" t="s">
        <v>39</v>
      </c>
      <c r="X1305" s="2" t="s">
        <v>39</v>
      </c>
      <c r="Y1305" s="2" t="s">
        <v>39</v>
      </c>
      <c r="Z1305" s="2" t="s">
        <v>39</v>
      </c>
      <c r="AA1305" s="2" t="s">
        <v>39</v>
      </c>
      <c r="AB1305" s="2" t="s">
        <v>39</v>
      </c>
      <c r="AC1305" s="2" t="s">
        <v>39</v>
      </c>
      <c r="AD1305" s="2" t="s">
        <v>39</v>
      </c>
      <c r="AE1305" s="2" t="s">
        <v>39</v>
      </c>
    </row>
    <row r="1306" spans="1:31" ht="409.5">
      <c r="A1306" s="2">
        <v>2741303</v>
      </c>
      <c r="B1306" s="2">
        <f>HYPERLINK("https://platform.v2.vetology.net/cases/2741303/screening-report/1?type=pdf&amp;v=v6&amp;scorecard=1&amp;secret_key=BX%25IJ%24%2F65ieZ%29f6", 2741303)</f>
        <v>2741303</v>
      </c>
      <c r="C1306" s="2">
        <f>HYPERLINK("https://platform.v2.vetology.net/report/v/final/"&amp;2741303, 2741303)</f>
        <v>2741303</v>
      </c>
      <c r="D1306" s="2" t="s">
        <v>4318</v>
      </c>
      <c r="E1306" s="2" t="s">
        <v>4319</v>
      </c>
      <c r="F1306" s="2" t="s">
        <v>4320</v>
      </c>
      <c r="G1306" s="2" t="s">
        <v>170</v>
      </c>
      <c r="H1306" s="2" t="s">
        <v>530</v>
      </c>
      <c r="I1306" s="2" t="s">
        <v>59</v>
      </c>
      <c r="J1306" s="2" t="s">
        <v>37</v>
      </c>
      <c r="K1306" s="2" t="s">
        <v>38</v>
      </c>
      <c r="L1306" s="2" t="s">
        <v>39</v>
      </c>
      <c r="M1306" s="2" t="s">
        <v>39</v>
      </c>
      <c r="N1306" s="2" t="s">
        <v>39</v>
      </c>
      <c r="O1306" s="2" t="s">
        <v>39</v>
      </c>
      <c r="P1306" s="2" t="s">
        <v>39</v>
      </c>
      <c r="Q1306" s="2" t="s">
        <v>39</v>
      </c>
      <c r="R1306" s="2" t="s">
        <v>39</v>
      </c>
      <c r="S1306" s="2" t="s">
        <v>39</v>
      </c>
      <c r="T1306" s="2" t="s">
        <v>38</v>
      </c>
      <c r="U1306" s="2" t="s">
        <v>38</v>
      </c>
      <c r="V1306" s="2" t="s">
        <v>38</v>
      </c>
      <c r="W1306" s="2" t="s">
        <v>39</v>
      </c>
      <c r="X1306" s="2" t="s">
        <v>39</v>
      </c>
      <c r="Y1306" s="2" t="s">
        <v>39</v>
      </c>
      <c r="Z1306" s="2" t="s">
        <v>38</v>
      </c>
      <c r="AA1306" s="2" t="s">
        <v>39</v>
      </c>
      <c r="AB1306" s="2" t="s">
        <v>39</v>
      </c>
      <c r="AC1306" s="2" t="s">
        <v>38</v>
      </c>
      <c r="AD1306" s="2" t="s">
        <v>39</v>
      </c>
      <c r="AE1306" s="2" t="s">
        <v>39</v>
      </c>
    </row>
    <row r="1307" spans="1:31" ht="409.5">
      <c r="A1307" s="2">
        <v>2741283</v>
      </c>
      <c r="B1307" s="2">
        <f>HYPERLINK("https://platform.v2.vetology.net/cases/2741283/screening-report/1?type=pdf&amp;v=v6&amp;scorecard=1&amp;secret_key=BX%25IJ%24%2F65ieZ%29f6", 2741283)</f>
        <v>2741283</v>
      </c>
      <c r="C1307" s="2">
        <f>HYPERLINK("https://platform.v2.vetology.net/report/v/final/"&amp;2741283, 2741283)</f>
        <v>2741283</v>
      </c>
      <c r="D1307" s="2" t="s">
        <v>4321</v>
      </c>
      <c r="E1307" s="2" t="s">
        <v>2520</v>
      </c>
      <c r="F1307" s="2" t="s">
        <v>4322</v>
      </c>
      <c r="G1307" s="2" t="s">
        <v>100</v>
      </c>
      <c r="H1307" s="2" t="s">
        <v>4323</v>
      </c>
      <c r="I1307" s="2" t="s">
        <v>129</v>
      </c>
      <c r="J1307" s="2" t="s">
        <v>74</v>
      </c>
      <c r="K1307" s="2" t="s">
        <v>39</v>
      </c>
      <c r="L1307" s="2" t="s">
        <v>38</v>
      </c>
      <c r="M1307" s="2" t="s">
        <v>38</v>
      </c>
      <c r="N1307" s="2" t="s">
        <v>38</v>
      </c>
      <c r="O1307" s="2" t="s">
        <v>38</v>
      </c>
      <c r="P1307" s="2" t="s">
        <v>38</v>
      </c>
      <c r="Q1307" s="2" t="s">
        <v>38</v>
      </c>
      <c r="R1307" s="2" t="s">
        <v>38</v>
      </c>
      <c r="S1307" s="2" t="s">
        <v>38</v>
      </c>
      <c r="T1307" s="2" t="s">
        <v>38</v>
      </c>
      <c r="U1307" s="2" t="s">
        <v>38</v>
      </c>
      <c r="V1307" s="2" t="s">
        <v>38</v>
      </c>
      <c r="W1307" s="2" t="s">
        <v>38</v>
      </c>
      <c r="X1307" s="2" t="s">
        <v>38</v>
      </c>
      <c r="Y1307" s="2" t="s">
        <v>38</v>
      </c>
      <c r="Z1307" s="2" t="s">
        <v>38</v>
      </c>
      <c r="AA1307" s="2" t="s">
        <v>38</v>
      </c>
      <c r="AB1307" s="2" t="s">
        <v>38</v>
      </c>
      <c r="AC1307" s="2" t="s">
        <v>38</v>
      </c>
      <c r="AD1307" s="2" t="s">
        <v>38</v>
      </c>
      <c r="AE1307" s="2" t="s">
        <v>40</v>
      </c>
    </row>
    <row r="1308" spans="1:31" ht="409.5">
      <c r="A1308" s="2">
        <v>2741273</v>
      </c>
      <c r="B1308" s="2">
        <f>HYPERLINK("https://platform.v2.vetology.net/cases/2741273/screening-report/1?type=pdf&amp;v=v6&amp;scorecard=1&amp;secret_key=BX%25IJ%24%2F65ieZ%29f6", 2741273)</f>
        <v>2741273</v>
      </c>
      <c r="C1308" s="2">
        <f>HYPERLINK("https://platform.v2.vetology.net/report/v/final/"&amp;2741273, 2741273)</f>
        <v>2741273</v>
      </c>
      <c r="D1308" s="2" t="s">
        <v>4324</v>
      </c>
      <c r="E1308" s="2" t="s">
        <v>4325</v>
      </c>
      <c r="F1308" s="2" t="s">
        <v>4326</v>
      </c>
      <c r="G1308" s="2" t="s">
        <v>170</v>
      </c>
      <c r="H1308" s="2" t="s">
        <v>2862</v>
      </c>
      <c r="I1308" s="2" t="s">
        <v>46</v>
      </c>
      <c r="J1308" s="2"/>
      <c r="K1308" s="2" t="s">
        <v>38</v>
      </c>
      <c r="L1308" s="2" t="s">
        <v>39</v>
      </c>
      <c r="M1308" s="2" t="s">
        <v>39</v>
      </c>
      <c r="N1308" s="2" t="s">
        <v>39</v>
      </c>
      <c r="O1308" s="2" t="s">
        <v>38</v>
      </c>
      <c r="P1308" s="2" t="s">
        <v>39</v>
      </c>
      <c r="Q1308" s="2" t="s">
        <v>39</v>
      </c>
      <c r="R1308" s="2" t="s">
        <v>38</v>
      </c>
      <c r="S1308" s="2" t="s">
        <v>38</v>
      </c>
      <c r="T1308" s="2" t="s">
        <v>39</v>
      </c>
      <c r="U1308" s="2" t="s">
        <v>39</v>
      </c>
      <c r="V1308" s="2" t="s">
        <v>38</v>
      </c>
      <c r="W1308" s="2" t="s">
        <v>38</v>
      </c>
      <c r="X1308" s="2" t="s">
        <v>39</v>
      </c>
      <c r="Y1308" s="2" t="s">
        <v>39</v>
      </c>
      <c r="Z1308" s="2" t="s">
        <v>39</v>
      </c>
      <c r="AA1308" s="2" t="s">
        <v>39</v>
      </c>
      <c r="AB1308" s="2" t="s">
        <v>39</v>
      </c>
      <c r="AC1308" s="2" t="s">
        <v>38</v>
      </c>
      <c r="AD1308" s="2" t="s">
        <v>38</v>
      </c>
      <c r="AE1308" s="2" t="s">
        <v>39</v>
      </c>
    </row>
    <row r="1309" spans="1:31" ht="409.5">
      <c r="A1309" s="2">
        <v>2741247</v>
      </c>
      <c r="B1309" s="2">
        <f>HYPERLINK("https://platform.v2.vetology.net/cases/2741247/screening-report/1?type=pdf&amp;v=v6&amp;scorecard=1&amp;secret_key=BX%25IJ%24%2F65ieZ%29f6", 2741247)</f>
        <v>2741247</v>
      </c>
      <c r="C1309" s="2">
        <f>HYPERLINK("https://platform.v2.vetology.net/report/v/final/"&amp;2741247, 2741247)</f>
        <v>2741247</v>
      </c>
      <c r="D1309" s="2" t="s">
        <v>4327</v>
      </c>
      <c r="E1309" s="2" t="s">
        <v>4328</v>
      </c>
      <c r="F1309" s="2" t="s">
        <v>4329</v>
      </c>
      <c r="G1309" s="2" t="s">
        <v>53</v>
      </c>
      <c r="H1309" s="2" t="s">
        <v>4330</v>
      </c>
      <c r="I1309" s="2" t="s">
        <v>73</v>
      </c>
      <c r="J1309" s="2" t="s">
        <v>74</v>
      </c>
      <c r="K1309" s="2" t="s">
        <v>38</v>
      </c>
      <c r="L1309" s="2" t="s">
        <v>38</v>
      </c>
      <c r="M1309" s="2" t="s">
        <v>39</v>
      </c>
      <c r="N1309" s="2" t="s">
        <v>38</v>
      </c>
      <c r="O1309" s="2" t="s">
        <v>38</v>
      </c>
      <c r="P1309" s="2" t="s">
        <v>38</v>
      </c>
      <c r="Q1309" s="2" t="s">
        <v>38</v>
      </c>
      <c r="R1309" s="2" t="s">
        <v>39</v>
      </c>
      <c r="S1309" s="2" t="s">
        <v>39</v>
      </c>
      <c r="T1309" s="2" t="s">
        <v>38</v>
      </c>
      <c r="U1309" s="2" t="s">
        <v>38</v>
      </c>
      <c r="V1309" s="2" t="s">
        <v>38</v>
      </c>
      <c r="W1309" s="2" t="s">
        <v>38</v>
      </c>
      <c r="X1309" s="2" t="s">
        <v>38</v>
      </c>
      <c r="Y1309" s="2" t="s">
        <v>39</v>
      </c>
      <c r="Z1309" s="2" t="s">
        <v>39</v>
      </c>
      <c r="AA1309" s="2" t="s">
        <v>38</v>
      </c>
      <c r="AB1309" s="2" t="s">
        <v>38</v>
      </c>
      <c r="AC1309" s="2" t="s">
        <v>39</v>
      </c>
      <c r="AD1309" s="2" t="s">
        <v>38</v>
      </c>
      <c r="AE1309" s="2" t="s">
        <v>39</v>
      </c>
    </row>
    <row r="1310" spans="1:31" ht="409.5">
      <c r="A1310" s="2">
        <v>2741240</v>
      </c>
      <c r="B1310" s="2">
        <f>HYPERLINK("https://platform.v2.vetology.net/cases/2741240/screening-report/1?type=pdf&amp;v=v6&amp;scorecard=1&amp;secret_key=BX%25IJ%24%2F65ieZ%29f6", 2741240)</f>
        <v>2741240</v>
      </c>
      <c r="C1310" s="2">
        <f>HYPERLINK("https://platform.v2.vetology.net/report/v/final/"&amp;2741240, 2741240)</f>
        <v>2741240</v>
      </c>
      <c r="D1310" s="2" t="s">
        <v>4331</v>
      </c>
      <c r="E1310" s="2" t="s">
        <v>4332</v>
      </c>
      <c r="F1310" s="2" t="s">
        <v>4333</v>
      </c>
      <c r="G1310" s="2" t="s">
        <v>127</v>
      </c>
      <c r="H1310" s="2" t="s">
        <v>4334</v>
      </c>
      <c r="I1310" s="2" t="s">
        <v>36</v>
      </c>
      <c r="J1310" s="2" t="s">
        <v>37</v>
      </c>
      <c r="K1310" s="2" t="s">
        <v>38</v>
      </c>
      <c r="L1310" s="2" t="s">
        <v>38</v>
      </c>
      <c r="M1310" s="2" t="s">
        <v>39</v>
      </c>
      <c r="N1310" s="2" t="s">
        <v>39</v>
      </c>
      <c r="O1310" s="2" t="s">
        <v>39</v>
      </c>
      <c r="P1310" s="2" t="s">
        <v>39</v>
      </c>
      <c r="Q1310" s="2" t="s">
        <v>39</v>
      </c>
      <c r="R1310" s="2" t="s">
        <v>38</v>
      </c>
      <c r="S1310" s="2" t="s">
        <v>38</v>
      </c>
      <c r="T1310" s="2" t="s">
        <v>38</v>
      </c>
      <c r="U1310" s="2" t="s">
        <v>38</v>
      </c>
      <c r="V1310" s="2" t="s">
        <v>38</v>
      </c>
      <c r="W1310" s="2" t="s">
        <v>38</v>
      </c>
      <c r="X1310" s="2" t="s">
        <v>39</v>
      </c>
      <c r="Y1310" s="2" t="s">
        <v>38</v>
      </c>
      <c r="Z1310" s="2" t="s">
        <v>38</v>
      </c>
      <c r="AA1310" s="2" t="s">
        <v>38</v>
      </c>
      <c r="AB1310" s="2" t="s">
        <v>39</v>
      </c>
      <c r="AC1310" s="2" t="s">
        <v>38</v>
      </c>
      <c r="AD1310" s="2" t="s">
        <v>38</v>
      </c>
      <c r="AE1310" s="2" t="s">
        <v>39</v>
      </c>
    </row>
    <row r="1311" spans="1:31" ht="409.5">
      <c r="A1311" s="2">
        <v>2741211</v>
      </c>
      <c r="B1311" s="2">
        <f>HYPERLINK("https://platform.v2.vetology.net/cases/2741211/screening-report/1?type=pdf&amp;v=v6&amp;scorecard=1&amp;secret_key=BX%25IJ%24%2F65ieZ%29f6", 2741211)</f>
        <v>2741211</v>
      </c>
      <c r="C1311" s="2">
        <f>HYPERLINK("https://platform.v2.vetology.net/report/v/final/"&amp;2741211, 2741211)</f>
        <v>2741211</v>
      </c>
      <c r="D1311" s="2" t="s">
        <v>4335</v>
      </c>
      <c r="E1311" s="2" t="s">
        <v>4336</v>
      </c>
      <c r="F1311" s="2" t="s">
        <v>4337</v>
      </c>
      <c r="G1311" s="2" t="s">
        <v>127</v>
      </c>
      <c r="H1311" s="2" t="s">
        <v>4338</v>
      </c>
      <c r="I1311" s="2" t="s">
        <v>36</v>
      </c>
      <c r="J1311" s="2" t="s">
        <v>37</v>
      </c>
      <c r="K1311" s="2" t="s">
        <v>38</v>
      </c>
      <c r="L1311" s="2" t="s">
        <v>38</v>
      </c>
      <c r="M1311" s="2" t="s">
        <v>38</v>
      </c>
      <c r="N1311" s="2" t="s">
        <v>38</v>
      </c>
      <c r="O1311" s="2" t="s">
        <v>38</v>
      </c>
      <c r="P1311" s="2" t="s">
        <v>39</v>
      </c>
      <c r="Q1311" s="2" t="s">
        <v>39</v>
      </c>
      <c r="R1311" s="2" t="s">
        <v>39</v>
      </c>
      <c r="S1311" s="2" t="s">
        <v>39</v>
      </c>
      <c r="T1311" s="2" t="s">
        <v>39</v>
      </c>
      <c r="U1311" s="2" t="s">
        <v>39</v>
      </c>
      <c r="V1311" s="2" t="s">
        <v>39</v>
      </c>
      <c r="W1311" s="2" t="s">
        <v>38</v>
      </c>
      <c r="X1311" s="2" t="s">
        <v>39</v>
      </c>
      <c r="Y1311" s="2" t="s">
        <v>39</v>
      </c>
      <c r="Z1311" s="2" t="s">
        <v>38</v>
      </c>
      <c r="AA1311" s="2" t="s">
        <v>39</v>
      </c>
      <c r="AB1311" s="2" t="s">
        <v>39</v>
      </c>
      <c r="AC1311" s="2" t="s">
        <v>38</v>
      </c>
      <c r="AD1311" s="2" t="s">
        <v>38</v>
      </c>
      <c r="AE1311" s="2" t="s">
        <v>39</v>
      </c>
    </row>
    <row r="1312" spans="1:31" ht="409.5">
      <c r="A1312" s="2">
        <v>2741193</v>
      </c>
      <c r="B1312" s="2">
        <f>HYPERLINK("https://platform.v2.vetology.net/cases/2741193/screening-report/1?type=pdf&amp;v=v6&amp;scorecard=1&amp;secret_key=BX%25IJ%24%2F65ieZ%29f6", 2741193)</f>
        <v>2741193</v>
      </c>
      <c r="C1312" s="2">
        <f>HYPERLINK("https://platform.v2.vetology.net/report/v/final/"&amp;2741193, 2741193)</f>
        <v>2741193</v>
      </c>
      <c r="D1312" s="2" t="s">
        <v>4339</v>
      </c>
      <c r="E1312" s="2" t="s">
        <v>4340</v>
      </c>
      <c r="F1312" s="2"/>
      <c r="G1312" s="2" t="s">
        <v>100</v>
      </c>
      <c r="H1312" s="2" t="s">
        <v>4341</v>
      </c>
      <c r="I1312" s="2" t="s">
        <v>46</v>
      </c>
      <c r="J1312" s="2"/>
      <c r="K1312" s="2" t="s">
        <v>38</v>
      </c>
      <c r="L1312" s="2" t="s">
        <v>39</v>
      </c>
      <c r="M1312" s="2" t="s">
        <v>39</v>
      </c>
      <c r="N1312" s="2" t="s">
        <v>39</v>
      </c>
      <c r="O1312" s="2" t="s">
        <v>39</v>
      </c>
      <c r="P1312" s="2" t="s">
        <v>38</v>
      </c>
      <c r="Q1312" s="2" t="s">
        <v>39</v>
      </c>
      <c r="R1312" s="2" t="s">
        <v>39</v>
      </c>
      <c r="S1312" s="2" t="s">
        <v>39</v>
      </c>
      <c r="T1312" s="2" t="s">
        <v>38</v>
      </c>
      <c r="U1312" s="2" t="s">
        <v>39</v>
      </c>
      <c r="V1312" s="2" t="s">
        <v>38</v>
      </c>
      <c r="W1312" s="2" t="s">
        <v>39</v>
      </c>
      <c r="X1312" s="2" t="s">
        <v>39</v>
      </c>
      <c r="Y1312" s="2" t="s">
        <v>39</v>
      </c>
      <c r="Z1312" s="2" t="s">
        <v>39</v>
      </c>
      <c r="AA1312" s="2" t="s">
        <v>39</v>
      </c>
      <c r="AB1312" s="2" t="s">
        <v>39</v>
      </c>
      <c r="AC1312" s="2" t="s">
        <v>39</v>
      </c>
      <c r="AD1312" s="2" t="s">
        <v>39</v>
      </c>
      <c r="AE1312" s="2" t="s">
        <v>39</v>
      </c>
    </row>
    <row r="1313" spans="1:31" ht="409.5">
      <c r="A1313" s="2">
        <v>2741191</v>
      </c>
      <c r="B1313" s="2">
        <f>HYPERLINK("https://platform.v2.vetology.net/cases/2741191/screening-report/1?type=pdf&amp;v=v6&amp;scorecard=1&amp;secret_key=BX%25IJ%24%2F65ieZ%29f6", 2741191)</f>
        <v>2741191</v>
      </c>
      <c r="C1313" s="2">
        <f>HYPERLINK("https://platform.v2.vetology.net/report/v/final/"&amp;2741191, 2741191)</f>
        <v>2741191</v>
      </c>
      <c r="D1313" s="2" t="s">
        <v>4342</v>
      </c>
      <c r="E1313" s="2" t="s">
        <v>4343</v>
      </c>
      <c r="F1313" s="2" t="s">
        <v>4344</v>
      </c>
      <c r="G1313" s="2" t="s">
        <v>127</v>
      </c>
      <c r="H1313" s="2" t="s">
        <v>4345</v>
      </c>
      <c r="I1313" s="2" t="s">
        <v>73</v>
      </c>
      <c r="J1313" s="2" t="s">
        <v>74</v>
      </c>
      <c r="K1313" s="2" t="s">
        <v>38</v>
      </c>
      <c r="L1313" s="2" t="s">
        <v>38</v>
      </c>
      <c r="M1313" s="2" t="s">
        <v>38</v>
      </c>
      <c r="N1313" s="2" t="s">
        <v>38</v>
      </c>
      <c r="O1313" s="2" t="s">
        <v>38</v>
      </c>
      <c r="P1313" s="2" t="s">
        <v>38</v>
      </c>
      <c r="Q1313" s="2" t="s">
        <v>38</v>
      </c>
      <c r="R1313" s="2" t="s">
        <v>39</v>
      </c>
      <c r="S1313" s="2" t="s">
        <v>38</v>
      </c>
      <c r="T1313" s="2" t="s">
        <v>38</v>
      </c>
      <c r="U1313" s="2" t="s">
        <v>38</v>
      </c>
      <c r="V1313" s="2" t="s">
        <v>38</v>
      </c>
      <c r="W1313" s="2" t="s">
        <v>38</v>
      </c>
      <c r="X1313" s="2" t="s">
        <v>38</v>
      </c>
      <c r="Y1313" s="2" t="s">
        <v>38</v>
      </c>
      <c r="Z1313" s="2" t="s">
        <v>38</v>
      </c>
      <c r="AA1313" s="2" t="s">
        <v>38</v>
      </c>
      <c r="AB1313" s="2" t="s">
        <v>38</v>
      </c>
      <c r="AC1313" s="2" t="s">
        <v>38</v>
      </c>
      <c r="AD1313" s="2" t="s">
        <v>39</v>
      </c>
      <c r="AE1313" s="2" t="s">
        <v>39</v>
      </c>
    </row>
    <row r="1314" spans="1:31" ht="409.5">
      <c r="A1314" s="2">
        <v>2741165</v>
      </c>
      <c r="B1314" s="2">
        <f>HYPERLINK("https://platform.v2.vetology.net/cases/2741165/screening-report/1?type=pdf&amp;v=v6&amp;scorecard=1&amp;secret_key=BX%25IJ%24%2F65ieZ%29f6", 2741165)</f>
        <v>2741165</v>
      </c>
      <c r="C1314" s="2">
        <f>HYPERLINK("https://platform.v2.vetology.net/report/v/final/"&amp;2741165, 2741165)</f>
        <v>2741165</v>
      </c>
      <c r="D1314" s="2" t="s">
        <v>4346</v>
      </c>
      <c r="E1314" s="2" t="s">
        <v>4347</v>
      </c>
      <c r="F1314" s="2" t="s">
        <v>229</v>
      </c>
      <c r="G1314" s="2" t="s">
        <v>170</v>
      </c>
      <c r="H1314" s="2" t="s">
        <v>537</v>
      </c>
      <c r="I1314" s="2" t="s">
        <v>59</v>
      </c>
      <c r="J1314" s="2" t="s">
        <v>37</v>
      </c>
      <c r="K1314" s="2" t="s">
        <v>38</v>
      </c>
      <c r="L1314" s="2" t="s">
        <v>39</v>
      </c>
      <c r="M1314" s="2" t="s">
        <v>39</v>
      </c>
      <c r="N1314" s="2" t="s">
        <v>39</v>
      </c>
      <c r="O1314" s="2" t="s">
        <v>39</v>
      </c>
      <c r="P1314" s="2" t="s">
        <v>39</v>
      </c>
      <c r="Q1314" s="2" t="s">
        <v>39</v>
      </c>
      <c r="R1314" s="2" t="s">
        <v>39</v>
      </c>
      <c r="S1314" s="2" t="s">
        <v>39</v>
      </c>
      <c r="T1314" s="2" t="s">
        <v>39</v>
      </c>
      <c r="U1314" s="2" t="s">
        <v>38</v>
      </c>
      <c r="V1314" s="2" t="s">
        <v>38</v>
      </c>
      <c r="W1314" s="2" t="s">
        <v>39</v>
      </c>
      <c r="X1314" s="2" t="s">
        <v>39</v>
      </c>
      <c r="Y1314" s="2" t="s">
        <v>39</v>
      </c>
      <c r="Z1314" s="2" t="s">
        <v>39</v>
      </c>
      <c r="AA1314" s="2" t="s">
        <v>39</v>
      </c>
      <c r="AB1314" s="2" t="s">
        <v>39</v>
      </c>
      <c r="AC1314" s="2" t="s">
        <v>39</v>
      </c>
      <c r="AD1314" s="2" t="s">
        <v>39</v>
      </c>
      <c r="AE1314" s="2" t="s">
        <v>39</v>
      </c>
    </row>
    <row r="1315" spans="1:31" ht="409.5">
      <c r="A1315" s="2">
        <v>2741138</v>
      </c>
      <c r="B1315" s="2">
        <f>HYPERLINK("https://platform.v2.vetology.net/cases/2741138/screening-report/1?type=pdf&amp;v=v6&amp;scorecard=1&amp;secret_key=BX%25IJ%24%2F65ieZ%29f6", 2741138)</f>
        <v>2741138</v>
      </c>
      <c r="C1315" s="2">
        <f>HYPERLINK("https://platform.v2.vetology.net/report/v/final/"&amp;2741138, 2741138)</f>
        <v>2741138</v>
      </c>
      <c r="D1315" s="2" t="s">
        <v>4348</v>
      </c>
      <c r="E1315" s="2" t="s">
        <v>4349</v>
      </c>
      <c r="F1315" s="2" t="s">
        <v>43</v>
      </c>
      <c r="G1315" s="2" t="s">
        <v>44</v>
      </c>
      <c r="H1315" s="2" t="s">
        <v>4350</v>
      </c>
      <c r="I1315" s="2" t="s">
        <v>73</v>
      </c>
      <c r="J1315" s="2" t="s">
        <v>74</v>
      </c>
      <c r="K1315" s="2" t="s">
        <v>38</v>
      </c>
      <c r="L1315" s="2" t="s">
        <v>38</v>
      </c>
      <c r="M1315" s="2" t="s">
        <v>38</v>
      </c>
      <c r="N1315" s="2" t="s">
        <v>38</v>
      </c>
      <c r="O1315" s="2" t="s">
        <v>38</v>
      </c>
      <c r="P1315" s="2" t="s">
        <v>38</v>
      </c>
      <c r="Q1315" s="2" t="s">
        <v>38</v>
      </c>
      <c r="R1315" s="2" t="s">
        <v>38</v>
      </c>
      <c r="S1315" s="2" t="s">
        <v>38</v>
      </c>
      <c r="T1315" s="2" t="s">
        <v>38</v>
      </c>
      <c r="U1315" s="2" t="s">
        <v>38</v>
      </c>
      <c r="V1315" s="2" t="s">
        <v>38</v>
      </c>
      <c r="W1315" s="2" t="s">
        <v>38</v>
      </c>
      <c r="X1315" s="2" t="s">
        <v>38</v>
      </c>
      <c r="Y1315" s="2" t="s">
        <v>38</v>
      </c>
      <c r="Z1315" s="2" t="s">
        <v>38</v>
      </c>
      <c r="AA1315" s="2" t="s">
        <v>38</v>
      </c>
      <c r="AB1315" s="2" t="s">
        <v>38</v>
      </c>
      <c r="AC1315" s="2" t="s">
        <v>38</v>
      </c>
      <c r="AD1315" s="2" t="s">
        <v>38</v>
      </c>
      <c r="AE1315" s="2" t="s">
        <v>40</v>
      </c>
    </row>
    <row r="1316" spans="1:31" ht="409.5">
      <c r="A1316" s="2">
        <v>2741064</v>
      </c>
      <c r="B1316" s="2">
        <f>HYPERLINK("https://platform.v2.vetology.net/cases/2741064/screening-report/1?type=pdf&amp;v=v6&amp;scorecard=1&amp;secret_key=BX%25IJ%24%2F65ieZ%29f6", 2741064)</f>
        <v>2741064</v>
      </c>
      <c r="C1316" s="2">
        <f>HYPERLINK("https://platform.v2.vetology.net/report/v/final/"&amp;2741064, 2741064)</f>
        <v>2741064</v>
      </c>
      <c r="D1316" s="2" t="s">
        <v>4351</v>
      </c>
      <c r="E1316" s="2" t="s">
        <v>4352</v>
      </c>
      <c r="F1316" s="2" t="s">
        <v>4353</v>
      </c>
      <c r="G1316" s="2" t="s">
        <v>170</v>
      </c>
      <c r="H1316" s="2" t="s">
        <v>419</v>
      </c>
      <c r="I1316" s="2" t="s">
        <v>36</v>
      </c>
      <c r="J1316" s="2" t="s">
        <v>37</v>
      </c>
      <c r="K1316" s="2" t="s">
        <v>39</v>
      </c>
      <c r="L1316" s="2" t="s">
        <v>39</v>
      </c>
      <c r="M1316" s="2" t="s">
        <v>38</v>
      </c>
      <c r="N1316" s="2" t="s">
        <v>39</v>
      </c>
      <c r="O1316" s="2" t="s">
        <v>38</v>
      </c>
      <c r="P1316" s="2" t="s">
        <v>39</v>
      </c>
      <c r="Q1316" s="2" t="s">
        <v>39</v>
      </c>
      <c r="R1316" s="2" t="s">
        <v>38</v>
      </c>
      <c r="S1316" s="2" t="s">
        <v>39</v>
      </c>
      <c r="T1316" s="2" t="s">
        <v>39</v>
      </c>
      <c r="U1316" s="2" t="s">
        <v>39</v>
      </c>
      <c r="V1316" s="2" t="s">
        <v>39</v>
      </c>
      <c r="W1316" s="2" t="s">
        <v>39</v>
      </c>
      <c r="X1316" s="2" t="s">
        <v>39</v>
      </c>
      <c r="Y1316" s="2" t="s">
        <v>39</v>
      </c>
      <c r="Z1316" s="2" t="s">
        <v>39</v>
      </c>
      <c r="AA1316" s="2" t="s">
        <v>39</v>
      </c>
      <c r="AB1316" s="2" t="s">
        <v>39</v>
      </c>
      <c r="AC1316" s="2" t="s">
        <v>38</v>
      </c>
      <c r="AD1316" s="2" t="s">
        <v>39</v>
      </c>
      <c r="AE1316" s="2" t="s">
        <v>40</v>
      </c>
    </row>
    <row r="1317" spans="1:31" ht="409.5">
      <c r="A1317" s="2">
        <v>2741053</v>
      </c>
      <c r="B1317" s="2">
        <f>HYPERLINK("https://platform.v2.vetology.net/cases/2741053/screening-report/1?type=pdf&amp;v=v6&amp;scorecard=1&amp;secret_key=BX%25IJ%24%2F65ieZ%29f6", 2741053)</f>
        <v>2741053</v>
      </c>
      <c r="C1317" s="2">
        <f>HYPERLINK("https://platform.v2.vetology.net/report/v/final/"&amp;2741053, 2741053)</f>
        <v>2741053</v>
      </c>
      <c r="D1317" s="2" t="s">
        <v>4354</v>
      </c>
      <c r="E1317" s="2" t="s">
        <v>4355</v>
      </c>
      <c r="F1317" s="2" t="s">
        <v>4356</v>
      </c>
      <c r="G1317" s="2" t="s">
        <v>170</v>
      </c>
      <c r="H1317" s="2" t="s">
        <v>493</v>
      </c>
      <c r="I1317" s="2" t="s">
        <v>36</v>
      </c>
      <c r="J1317" s="2" t="s">
        <v>37</v>
      </c>
      <c r="K1317" s="2" t="s">
        <v>38</v>
      </c>
      <c r="L1317" s="2" t="s">
        <v>39</v>
      </c>
      <c r="M1317" s="2" t="s">
        <v>38</v>
      </c>
      <c r="N1317" s="2" t="s">
        <v>39</v>
      </c>
      <c r="O1317" s="2" t="s">
        <v>38</v>
      </c>
      <c r="P1317" s="2" t="s">
        <v>39</v>
      </c>
      <c r="Q1317" s="2" t="s">
        <v>39</v>
      </c>
      <c r="R1317" s="2" t="s">
        <v>39</v>
      </c>
      <c r="S1317" s="2" t="s">
        <v>39</v>
      </c>
      <c r="T1317" s="2" t="s">
        <v>38</v>
      </c>
      <c r="U1317" s="2" t="s">
        <v>39</v>
      </c>
      <c r="V1317" s="2" t="s">
        <v>38</v>
      </c>
      <c r="W1317" s="2" t="s">
        <v>38</v>
      </c>
      <c r="X1317" s="2" t="s">
        <v>39</v>
      </c>
      <c r="Y1317" s="2" t="s">
        <v>39</v>
      </c>
      <c r="Z1317" s="2" t="s">
        <v>38</v>
      </c>
      <c r="AA1317" s="2" t="s">
        <v>38</v>
      </c>
      <c r="AB1317" s="2" t="s">
        <v>39</v>
      </c>
      <c r="AC1317" s="2" t="s">
        <v>38</v>
      </c>
      <c r="AD1317" s="2" t="s">
        <v>39</v>
      </c>
      <c r="AE1317" s="2" t="s">
        <v>40</v>
      </c>
    </row>
    <row r="1318" spans="1:31" ht="409.5">
      <c r="A1318" s="2">
        <v>2740936</v>
      </c>
      <c r="B1318" s="2">
        <f>HYPERLINK("https://platform.v2.vetology.net/cases/2740936/screening-report/1?type=pdf&amp;v=v6&amp;scorecard=1&amp;secret_key=BX%25IJ%24%2F65ieZ%29f6", 2740936)</f>
        <v>2740936</v>
      </c>
      <c r="C1318" s="2">
        <f>HYPERLINK("https://platform.v2.vetology.net/report/v/final/"&amp;2740936, 2740936)</f>
        <v>2740936</v>
      </c>
      <c r="D1318" s="2" t="s">
        <v>4357</v>
      </c>
      <c r="E1318" s="2" t="s">
        <v>4358</v>
      </c>
      <c r="F1318" s="2" t="s">
        <v>4359</v>
      </c>
      <c r="G1318" s="2" t="s">
        <v>111</v>
      </c>
      <c r="H1318" s="2" t="s">
        <v>4360</v>
      </c>
      <c r="I1318" s="2" t="s">
        <v>73</v>
      </c>
      <c r="J1318" s="2" t="s">
        <v>74</v>
      </c>
      <c r="K1318" s="2" t="s">
        <v>38</v>
      </c>
      <c r="L1318" s="2" t="s">
        <v>38</v>
      </c>
      <c r="M1318" s="2" t="s">
        <v>38</v>
      </c>
      <c r="N1318" s="2" t="s">
        <v>38</v>
      </c>
      <c r="O1318" s="2" t="s">
        <v>38</v>
      </c>
      <c r="P1318" s="2" t="s">
        <v>38</v>
      </c>
      <c r="Q1318" s="2" t="s">
        <v>38</v>
      </c>
      <c r="R1318" s="2" t="s">
        <v>39</v>
      </c>
      <c r="S1318" s="2" t="s">
        <v>38</v>
      </c>
      <c r="T1318" s="2" t="s">
        <v>38</v>
      </c>
      <c r="U1318" s="2" t="s">
        <v>38</v>
      </c>
      <c r="V1318" s="2" t="s">
        <v>38</v>
      </c>
      <c r="W1318" s="2" t="s">
        <v>38</v>
      </c>
      <c r="X1318" s="2" t="s">
        <v>38</v>
      </c>
      <c r="Y1318" s="2" t="s">
        <v>38</v>
      </c>
      <c r="Z1318" s="2" t="s">
        <v>38</v>
      </c>
      <c r="AA1318" s="2" t="s">
        <v>38</v>
      </c>
      <c r="AB1318" s="2" t="s">
        <v>38</v>
      </c>
      <c r="AC1318" s="2" t="s">
        <v>38</v>
      </c>
      <c r="AD1318" s="2" t="s">
        <v>38</v>
      </c>
      <c r="AE1318" s="2"/>
    </row>
    <row r="1319" spans="1:31" ht="409.5">
      <c r="A1319" s="2">
        <v>2740932</v>
      </c>
      <c r="B1319" s="2">
        <f>HYPERLINK("https://platform.v2.vetology.net/cases/2740932/screening-report/1?type=pdf&amp;v=v6&amp;scorecard=1&amp;secret_key=BX%25IJ%24%2F65ieZ%29f6", 2740932)</f>
        <v>2740932</v>
      </c>
      <c r="C1319" s="2">
        <f>HYPERLINK("https://platform.v2.vetology.net/report/v/final/"&amp;2740932, 2740932)</f>
        <v>2740932</v>
      </c>
      <c r="D1319" s="2" t="s">
        <v>4361</v>
      </c>
      <c r="E1319" s="2" t="s">
        <v>4362</v>
      </c>
      <c r="F1319" s="2" t="s">
        <v>4363</v>
      </c>
      <c r="G1319" s="2" t="s">
        <v>53</v>
      </c>
      <c r="H1319" s="2" t="s">
        <v>4364</v>
      </c>
      <c r="I1319" s="2" t="s">
        <v>36</v>
      </c>
      <c r="J1319" s="2" t="s">
        <v>37</v>
      </c>
      <c r="K1319" s="2" t="s">
        <v>38</v>
      </c>
      <c r="L1319" s="2" t="s">
        <v>39</v>
      </c>
      <c r="M1319" s="2" t="s">
        <v>39</v>
      </c>
      <c r="N1319" s="2" t="s">
        <v>38</v>
      </c>
      <c r="O1319" s="2" t="s">
        <v>38</v>
      </c>
      <c r="P1319" s="2" t="s">
        <v>39</v>
      </c>
      <c r="Q1319" s="2" t="s">
        <v>39</v>
      </c>
      <c r="R1319" s="2" t="s">
        <v>39</v>
      </c>
      <c r="S1319" s="2" t="s">
        <v>39</v>
      </c>
      <c r="T1319" s="2" t="s">
        <v>39</v>
      </c>
      <c r="U1319" s="2" t="s">
        <v>38</v>
      </c>
      <c r="V1319" s="2" t="s">
        <v>38</v>
      </c>
      <c r="W1319" s="2" t="s">
        <v>38</v>
      </c>
      <c r="X1319" s="2" t="s">
        <v>39</v>
      </c>
      <c r="Y1319" s="2" t="s">
        <v>39</v>
      </c>
      <c r="Z1319" s="2" t="s">
        <v>39</v>
      </c>
      <c r="AA1319" s="2" t="s">
        <v>38</v>
      </c>
      <c r="AB1319" s="2" t="s">
        <v>39</v>
      </c>
      <c r="AC1319" s="2" t="s">
        <v>38</v>
      </c>
      <c r="AD1319" s="2" t="s">
        <v>39</v>
      </c>
      <c r="AE1319" s="2"/>
    </row>
    <row r="1320" spans="1:31" ht="409.5">
      <c r="A1320" s="2">
        <v>2740915</v>
      </c>
      <c r="B1320" s="2">
        <f>HYPERLINK("https://platform.v2.vetology.net/cases/2740915/screening-report/1?type=pdf&amp;v=v6&amp;scorecard=1&amp;secret_key=BX%25IJ%24%2F65ieZ%29f6", 2740915)</f>
        <v>2740915</v>
      </c>
      <c r="C1320" s="2">
        <f>HYPERLINK("https://platform.v2.vetology.net/report/v/final/"&amp;2740915, 2740915)</f>
        <v>2740915</v>
      </c>
      <c r="D1320" s="2" t="s">
        <v>4365</v>
      </c>
      <c r="E1320" s="2" t="s">
        <v>4366</v>
      </c>
      <c r="F1320" s="2"/>
      <c r="G1320" s="2" t="s">
        <v>81</v>
      </c>
      <c r="H1320" s="2" t="s">
        <v>4367</v>
      </c>
      <c r="I1320" s="2" t="s">
        <v>36</v>
      </c>
      <c r="J1320" s="2" t="s">
        <v>37</v>
      </c>
      <c r="K1320" s="2" t="s">
        <v>39</v>
      </c>
      <c r="L1320" s="2" t="s">
        <v>39</v>
      </c>
      <c r="M1320" s="2" t="s">
        <v>38</v>
      </c>
      <c r="N1320" s="2" t="s">
        <v>38</v>
      </c>
      <c r="O1320" s="2" t="s">
        <v>38</v>
      </c>
      <c r="P1320" s="2" t="s">
        <v>39</v>
      </c>
      <c r="Q1320" s="2" t="s">
        <v>39</v>
      </c>
      <c r="R1320" s="2" t="s">
        <v>38</v>
      </c>
      <c r="S1320" s="2" t="s">
        <v>38</v>
      </c>
      <c r="T1320" s="2" t="s">
        <v>39</v>
      </c>
      <c r="U1320" s="2" t="s">
        <v>39</v>
      </c>
      <c r="V1320" s="2" t="s">
        <v>39</v>
      </c>
      <c r="W1320" s="2" t="s">
        <v>38</v>
      </c>
      <c r="X1320" s="2" t="s">
        <v>38</v>
      </c>
      <c r="Y1320" s="2" t="s">
        <v>38</v>
      </c>
      <c r="Z1320" s="2" t="s">
        <v>38</v>
      </c>
      <c r="AA1320" s="2" t="s">
        <v>38</v>
      </c>
      <c r="AB1320" s="2" t="s">
        <v>38</v>
      </c>
      <c r="AC1320" s="2" t="s">
        <v>38</v>
      </c>
      <c r="AD1320" s="2" t="s">
        <v>39</v>
      </c>
      <c r="AE1320" s="2"/>
    </row>
    <row r="1321" spans="1:31" ht="409.5">
      <c r="A1321" s="2">
        <v>2740911</v>
      </c>
      <c r="B1321" s="2">
        <f>HYPERLINK("https://platform.v2.vetology.net/cases/2740911/screening-report/1?type=pdf&amp;v=v6&amp;scorecard=1&amp;secret_key=BX%25IJ%24%2F65ieZ%29f6", 2740911)</f>
        <v>2740911</v>
      </c>
      <c r="C1321" s="2">
        <f>HYPERLINK("https://platform.v2.vetology.net/report/v/final/"&amp;2740911, 2740911)</f>
        <v>2740911</v>
      </c>
      <c r="D1321" s="2" t="s">
        <v>4368</v>
      </c>
      <c r="E1321" s="2" t="s">
        <v>4369</v>
      </c>
      <c r="F1321" s="2" t="s">
        <v>4370</v>
      </c>
      <c r="G1321" s="2" t="s">
        <v>111</v>
      </c>
      <c r="H1321" s="2" t="s">
        <v>4371</v>
      </c>
      <c r="I1321" s="2" t="s">
        <v>73</v>
      </c>
      <c r="J1321" s="2" t="s">
        <v>74</v>
      </c>
      <c r="K1321" s="2" t="s">
        <v>38</v>
      </c>
      <c r="L1321" s="2" t="s">
        <v>38</v>
      </c>
      <c r="M1321" s="2" t="s">
        <v>38</v>
      </c>
      <c r="N1321" s="2" t="s">
        <v>38</v>
      </c>
      <c r="O1321" s="2" t="s">
        <v>38</v>
      </c>
      <c r="P1321" s="2" t="s">
        <v>38</v>
      </c>
      <c r="Q1321" s="2" t="s">
        <v>38</v>
      </c>
      <c r="R1321" s="2" t="s">
        <v>39</v>
      </c>
      <c r="S1321" s="2" t="s">
        <v>38</v>
      </c>
      <c r="T1321" s="2" t="s">
        <v>38</v>
      </c>
      <c r="U1321" s="2" t="s">
        <v>38</v>
      </c>
      <c r="V1321" s="2" t="s">
        <v>38</v>
      </c>
      <c r="W1321" s="2" t="s">
        <v>38</v>
      </c>
      <c r="X1321" s="2" t="s">
        <v>38</v>
      </c>
      <c r="Y1321" s="2" t="s">
        <v>38</v>
      </c>
      <c r="Z1321" s="2" t="s">
        <v>38</v>
      </c>
      <c r="AA1321" s="2" t="s">
        <v>38</v>
      </c>
      <c r="AB1321" s="2" t="s">
        <v>38</v>
      </c>
      <c r="AC1321" s="2" t="s">
        <v>38</v>
      </c>
      <c r="AD1321" s="2" t="s">
        <v>38</v>
      </c>
      <c r="AE1321" s="2" t="s">
        <v>39</v>
      </c>
    </row>
    <row r="1322" spans="1:31" ht="409.5">
      <c r="A1322" s="2">
        <v>2740886</v>
      </c>
      <c r="B1322" s="2">
        <f>HYPERLINK("https://platform.v2.vetology.net/cases/2740886/screening-report/1?type=pdf&amp;v=v6&amp;scorecard=1&amp;secret_key=BX%25IJ%24%2F65ieZ%29f6", 2740886)</f>
        <v>2740886</v>
      </c>
      <c r="C1322" s="2">
        <f>HYPERLINK("https://platform.v2.vetology.net/report/v/final/"&amp;2740886, 2740886)</f>
        <v>2740886</v>
      </c>
      <c r="D1322" s="2" t="s">
        <v>4372</v>
      </c>
      <c r="E1322" s="2" t="s">
        <v>4373</v>
      </c>
      <c r="F1322" s="2" t="s">
        <v>4374</v>
      </c>
      <c r="G1322" s="2" t="s">
        <v>53</v>
      </c>
      <c r="H1322" s="2" t="s">
        <v>1099</v>
      </c>
      <c r="I1322" s="2" t="s">
        <v>36</v>
      </c>
      <c r="J1322" s="2" t="s">
        <v>37</v>
      </c>
      <c r="K1322" s="2" t="s">
        <v>39</v>
      </c>
      <c r="L1322" s="2" t="s">
        <v>38</v>
      </c>
      <c r="M1322" s="2" t="s">
        <v>38</v>
      </c>
      <c r="N1322" s="2" t="s">
        <v>38</v>
      </c>
      <c r="O1322" s="2" t="s">
        <v>38</v>
      </c>
      <c r="P1322" s="2" t="s">
        <v>39</v>
      </c>
      <c r="Q1322" s="2" t="s">
        <v>39</v>
      </c>
      <c r="R1322" s="2" t="s">
        <v>38</v>
      </c>
      <c r="S1322" s="2" t="s">
        <v>38</v>
      </c>
      <c r="T1322" s="2" t="s">
        <v>38</v>
      </c>
      <c r="U1322" s="2" t="s">
        <v>39</v>
      </c>
      <c r="V1322" s="2" t="s">
        <v>39</v>
      </c>
      <c r="W1322" s="2" t="s">
        <v>38</v>
      </c>
      <c r="X1322" s="2" t="s">
        <v>39</v>
      </c>
      <c r="Y1322" s="2" t="s">
        <v>38</v>
      </c>
      <c r="Z1322" s="2" t="s">
        <v>38</v>
      </c>
      <c r="AA1322" s="2" t="s">
        <v>38</v>
      </c>
      <c r="AB1322" s="2" t="s">
        <v>39</v>
      </c>
      <c r="AC1322" s="2" t="s">
        <v>38</v>
      </c>
      <c r="AD1322" s="2" t="s">
        <v>38</v>
      </c>
      <c r="AE1322" s="2" t="s">
        <v>40</v>
      </c>
    </row>
    <row r="1323" spans="1:31" ht="409.5">
      <c r="A1323" s="2">
        <v>2740862</v>
      </c>
      <c r="B1323" s="2">
        <f>HYPERLINK("https://platform.v2.vetology.net/cases/2740862/screening-report/1?type=pdf&amp;v=v6&amp;scorecard=1&amp;secret_key=BX%25IJ%24%2F65ieZ%29f6", 2740862)</f>
        <v>2740862</v>
      </c>
      <c r="C1323" s="2">
        <f>HYPERLINK("https://platform.v2.vetology.net/report/v/final/"&amp;2740862, 2740862)</f>
        <v>2740862</v>
      </c>
      <c r="D1323" s="2" t="s">
        <v>4375</v>
      </c>
      <c r="E1323" s="2" t="s">
        <v>4376</v>
      </c>
      <c r="F1323" s="2" t="s">
        <v>2082</v>
      </c>
      <c r="G1323" s="2" t="s">
        <v>170</v>
      </c>
      <c r="H1323" s="2" t="s">
        <v>4377</v>
      </c>
      <c r="I1323" s="2" t="s">
        <v>36</v>
      </c>
      <c r="J1323" s="2" t="s">
        <v>37</v>
      </c>
      <c r="K1323" s="2" t="s">
        <v>38</v>
      </c>
      <c r="L1323" s="2" t="s">
        <v>38</v>
      </c>
      <c r="M1323" s="2" t="s">
        <v>39</v>
      </c>
      <c r="N1323" s="2" t="s">
        <v>38</v>
      </c>
      <c r="O1323" s="2" t="s">
        <v>39</v>
      </c>
      <c r="P1323" s="2" t="s">
        <v>39</v>
      </c>
      <c r="Q1323" s="2" t="s">
        <v>39</v>
      </c>
      <c r="R1323" s="2" t="s">
        <v>38</v>
      </c>
      <c r="S1323" s="2" t="s">
        <v>38</v>
      </c>
      <c r="T1323" s="2" t="s">
        <v>39</v>
      </c>
      <c r="U1323" s="2" t="s">
        <v>38</v>
      </c>
      <c r="V1323" s="2" t="s">
        <v>38</v>
      </c>
      <c r="W1323" s="2" t="s">
        <v>38</v>
      </c>
      <c r="X1323" s="2" t="s">
        <v>39</v>
      </c>
      <c r="Y1323" s="2" t="s">
        <v>38</v>
      </c>
      <c r="Z1323" s="2" t="s">
        <v>39</v>
      </c>
      <c r="AA1323" s="2" t="s">
        <v>38</v>
      </c>
      <c r="AB1323" s="2" t="s">
        <v>39</v>
      </c>
      <c r="AC1323" s="2" t="s">
        <v>38</v>
      </c>
      <c r="AD1323" s="2" t="s">
        <v>38</v>
      </c>
      <c r="AE1323" s="2" t="s">
        <v>39</v>
      </c>
    </row>
    <row r="1324" spans="1:31" ht="409.5">
      <c r="A1324" s="2">
        <v>2740856</v>
      </c>
      <c r="B1324" s="2">
        <f>HYPERLINK("https://platform.v2.vetology.net/cases/2740856/screening-report/1?type=pdf&amp;v=v6&amp;scorecard=1&amp;secret_key=BX%25IJ%24%2F65ieZ%29f6", 2740856)</f>
        <v>2740856</v>
      </c>
      <c r="C1324" s="2">
        <f>HYPERLINK("https://platform.v2.vetology.net/report/v/final/"&amp;2740856, 2740856)</f>
        <v>2740856</v>
      </c>
      <c r="D1324" s="2" t="s">
        <v>4378</v>
      </c>
      <c r="E1324" s="2" t="s">
        <v>4379</v>
      </c>
      <c r="F1324" s="2" t="s">
        <v>3341</v>
      </c>
      <c r="G1324" s="2" t="s">
        <v>111</v>
      </c>
      <c r="H1324" s="2" t="s">
        <v>4380</v>
      </c>
      <c r="I1324" s="2" t="s">
        <v>36</v>
      </c>
      <c r="J1324" s="2" t="s">
        <v>37</v>
      </c>
      <c r="K1324" s="2" t="s">
        <v>38</v>
      </c>
      <c r="L1324" s="2" t="s">
        <v>38</v>
      </c>
      <c r="M1324" s="2" t="s">
        <v>39</v>
      </c>
      <c r="N1324" s="2" t="s">
        <v>39</v>
      </c>
      <c r="O1324" s="2" t="s">
        <v>38</v>
      </c>
      <c r="P1324" s="2" t="s">
        <v>39</v>
      </c>
      <c r="Q1324" s="2" t="s">
        <v>39</v>
      </c>
      <c r="R1324" s="2" t="s">
        <v>39</v>
      </c>
      <c r="S1324" s="2" t="s">
        <v>38</v>
      </c>
      <c r="T1324" s="2" t="s">
        <v>39</v>
      </c>
      <c r="U1324" s="2" t="s">
        <v>38</v>
      </c>
      <c r="V1324" s="2" t="s">
        <v>38</v>
      </c>
      <c r="W1324" s="2" t="s">
        <v>38</v>
      </c>
      <c r="X1324" s="2" t="s">
        <v>39</v>
      </c>
      <c r="Y1324" s="2" t="s">
        <v>39</v>
      </c>
      <c r="Z1324" s="2" t="s">
        <v>39</v>
      </c>
      <c r="AA1324" s="2" t="s">
        <v>38</v>
      </c>
      <c r="AB1324" s="2" t="s">
        <v>39</v>
      </c>
      <c r="AC1324" s="2" t="s">
        <v>38</v>
      </c>
      <c r="AD1324" s="2" t="s">
        <v>38</v>
      </c>
      <c r="AE1324" s="2" t="s">
        <v>40</v>
      </c>
    </row>
    <row r="1325" spans="1:31" ht="409.5">
      <c r="A1325" s="2">
        <v>2740803</v>
      </c>
      <c r="B1325" s="2">
        <f>HYPERLINK("https://platform.v2.vetology.net/cases/2740803/screening-report/1?type=pdf&amp;v=v6&amp;scorecard=1&amp;secret_key=BX%25IJ%24%2F65ieZ%29f6", 2740803)</f>
        <v>2740803</v>
      </c>
      <c r="C1325" s="2">
        <f>HYPERLINK("https://platform.v2.vetology.net/report/v/final/"&amp;2740803, 2740803)</f>
        <v>2740803</v>
      </c>
      <c r="D1325" s="2" t="s">
        <v>4381</v>
      </c>
      <c r="E1325" s="2" t="s">
        <v>4382</v>
      </c>
      <c r="F1325" s="2" t="s">
        <v>43</v>
      </c>
      <c r="G1325" s="2" t="s">
        <v>44</v>
      </c>
      <c r="H1325" s="2" t="s">
        <v>1681</v>
      </c>
      <c r="I1325" s="2" t="s">
        <v>59</v>
      </c>
      <c r="J1325" s="2" t="s">
        <v>37</v>
      </c>
      <c r="K1325" s="2" t="s">
        <v>38</v>
      </c>
      <c r="L1325" s="2" t="s">
        <v>39</v>
      </c>
      <c r="M1325" s="2" t="s">
        <v>39</v>
      </c>
      <c r="N1325" s="2" t="s">
        <v>39</v>
      </c>
      <c r="O1325" s="2" t="s">
        <v>39</v>
      </c>
      <c r="P1325" s="2" t="s">
        <v>39</v>
      </c>
      <c r="Q1325" s="2" t="s">
        <v>39</v>
      </c>
      <c r="R1325" s="2" t="s">
        <v>39</v>
      </c>
      <c r="S1325" s="2" t="s">
        <v>38</v>
      </c>
      <c r="T1325" s="2" t="s">
        <v>39</v>
      </c>
      <c r="U1325" s="2" t="s">
        <v>38</v>
      </c>
      <c r="V1325" s="2" t="s">
        <v>39</v>
      </c>
      <c r="W1325" s="2" t="s">
        <v>39</v>
      </c>
      <c r="X1325" s="2" t="s">
        <v>39</v>
      </c>
      <c r="Y1325" s="2" t="s">
        <v>39</v>
      </c>
      <c r="Z1325" s="2" t="s">
        <v>39</v>
      </c>
      <c r="AA1325" s="2" t="s">
        <v>39</v>
      </c>
      <c r="AB1325" s="2" t="s">
        <v>39</v>
      </c>
      <c r="AC1325" s="2" t="s">
        <v>38</v>
      </c>
      <c r="AD1325" s="2" t="s">
        <v>39</v>
      </c>
      <c r="AE1325" s="2" t="s">
        <v>39</v>
      </c>
    </row>
    <row r="1326" spans="1:31" ht="409.5">
      <c r="A1326" s="2">
        <v>2740801</v>
      </c>
      <c r="B1326" s="2">
        <f>HYPERLINK("https://platform.v2.vetology.net/cases/2740801/screening-report/1?type=pdf&amp;v=v6&amp;scorecard=1&amp;secret_key=BX%25IJ%24%2F65ieZ%29f6", 2740801)</f>
        <v>2740801</v>
      </c>
      <c r="C1326" s="2">
        <f>HYPERLINK("https://platform.v2.vetology.net/report/v/final/"&amp;2740801, 2740801)</f>
        <v>2740801</v>
      </c>
      <c r="D1326" s="2" t="s">
        <v>4383</v>
      </c>
      <c r="E1326" s="2" t="s">
        <v>4384</v>
      </c>
      <c r="F1326" s="2" t="s">
        <v>43</v>
      </c>
      <c r="G1326" s="2" t="s">
        <v>44</v>
      </c>
      <c r="H1326" s="2" t="s">
        <v>3693</v>
      </c>
      <c r="I1326" s="2" t="s">
        <v>46</v>
      </c>
      <c r="J1326" s="2"/>
      <c r="K1326" s="2" t="s">
        <v>38</v>
      </c>
      <c r="L1326" s="2" t="s">
        <v>39</v>
      </c>
      <c r="M1326" s="2" t="s">
        <v>39</v>
      </c>
      <c r="N1326" s="2" t="s">
        <v>39</v>
      </c>
      <c r="O1326" s="2" t="s">
        <v>39</v>
      </c>
      <c r="P1326" s="2" t="s">
        <v>39</v>
      </c>
      <c r="Q1326" s="2" t="s">
        <v>39</v>
      </c>
      <c r="R1326" s="2" t="s">
        <v>39</v>
      </c>
      <c r="S1326" s="2" t="s">
        <v>38</v>
      </c>
      <c r="T1326" s="2" t="s">
        <v>39</v>
      </c>
      <c r="U1326" s="2" t="s">
        <v>39</v>
      </c>
      <c r="V1326" s="2" t="s">
        <v>39</v>
      </c>
      <c r="W1326" s="2" t="s">
        <v>39</v>
      </c>
      <c r="X1326" s="2" t="s">
        <v>39</v>
      </c>
      <c r="Y1326" s="2" t="s">
        <v>39</v>
      </c>
      <c r="Z1326" s="2" t="s">
        <v>39</v>
      </c>
      <c r="AA1326" s="2" t="s">
        <v>39</v>
      </c>
      <c r="AB1326" s="2" t="s">
        <v>39</v>
      </c>
      <c r="AC1326" s="2" t="s">
        <v>39</v>
      </c>
      <c r="AD1326" s="2" t="s">
        <v>38</v>
      </c>
      <c r="AE1326" s="2" t="s">
        <v>40</v>
      </c>
    </row>
    <row r="1327" spans="1:31" ht="409.5">
      <c r="A1327" s="2">
        <v>2740773</v>
      </c>
      <c r="B1327" s="2">
        <f>HYPERLINK("https://platform.v2.vetology.net/cases/2740773/screening-report/1?type=pdf&amp;v=v6&amp;scorecard=1&amp;secret_key=BX%25IJ%24%2F65ieZ%29f6", 2740773)</f>
        <v>2740773</v>
      </c>
      <c r="C1327" s="2">
        <f>HYPERLINK("https://platform.v2.vetology.net/report/v/final/"&amp;2740773, 2740773)</f>
        <v>2740773</v>
      </c>
      <c r="D1327" s="2" t="s">
        <v>4385</v>
      </c>
      <c r="E1327" s="2" t="s">
        <v>4386</v>
      </c>
      <c r="F1327" s="2" t="s">
        <v>4387</v>
      </c>
      <c r="G1327" s="2" t="s">
        <v>170</v>
      </c>
      <c r="H1327" s="2" t="s">
        <v>69</v>
      </c>
      <c r="I1327" s="2" t="s">
        <v>46</v>
      </c>
      <c r="J1327" s="2"/>
      <c r="K1327" s="2" t="s">
        <v>39</v>
      </c>
      <c r="L1327" s="2" t="s">
        <v>39</v>
      </c>
      <c r="M1327" s="2" t="s">
        <v>39</v>
      </c>
      <c r="N1327" s="2" t="s">
        <v>39</v>
      </c>
      <c r="O1327" s="2" t="s">
        <v>39</v>
      </c>
      <c r="P1327" s="2" t="s">
        <v>39</v>
      </c>
      <c r="Q1327" s="2" t="s">
        <v>39</v>
      </c>
      <c r="R1327" s="2" t="s">
        <v>39</v>
      </c>
      <c r="S1327" s="2" t="s">
        <v>39</v>
      </c>
      <c r="T1327" s="2" t="s">
        <v>39</v>
      </c>
      <c r="U1327" s="2" t="s">
        <v>39</v>
      </c>
      <c r="V1327" s="2" t="s">
        <v>39</v>
      </c>
      <c r="W1327" s="2" t="s">
        <v>39</v>
      </c>
      <c r="X1327" s="2" t="s">
        <v>39</v>
      </c>
      <c r="Y1327" s="2" t="s">
        <v>39</v>
      </c>
      <c r="Z1327" s="2" t="s">
        <v>39</v>
      </c>
      <c r="AA1327" s="2" t="s">
        <v>39</v>
      </c>
      <c r="AB1327" s="2" t="s">
        <v>39</v>
      </c>
      <c r="AC1327" s="2" t="s">
        <v>38</v>
      </c>
      <c r="AD1327" s="2" t="s">
        <v>39</v>
      </c>
      <c r="AE1327" s="2" t="s">
        <v>39</v>
      </c>
    </row>
    <row r="1328" spans="1:31" ht="409.5">
      <c r="A1328" s="2">
        <v>2740720</v>
      </c>
      <c r="B1328" s="2">
        <f>HYPERLINK("https://platform.v2.vetology.net/cases/2740720/screening-report/1?type=pdf&amp;v=v6&amp;scorecard=1&amp;secret_key=BX%25IJ%24%2F65ieZ%29f6", 2740720)</f>
        <v>2740720</v>
      </c>
      <c r="C1328" s="2">
        <f>HYPERLINK("https://platform.v2.vetology.net/report/v/final/"&amp;2740720, 2740720)</f>
        <v>2740720</v>
      </c>
      <c r="D1328" s="2" t="s">
        <v>4388</v>
      </c>
      <c r="E1328" s="2" t="s">
        <v>4389</v>
      </c>
      <c r="F1328" s="2" t="s">
        <v>4390</v>
      </c>
      <c r="G1328" s="2" t="s">
        <v>251</v>
      </c>
      <c r="H1328" s="2" t="s">
        <v>4391</v>
      </c>
      <c r="I1328" s="2" t="s">
        <v>73</v>
      </c>
      <c r="J1328" s="2" t="s">
        <v>74</v>
      </c>
      <c r="K1328" s="2" t="s">
        <v>38</v>
      </c>
      <c r="L1328" s="2" t="s">
        <v>38</v>
      </c>
      <c r="M1328" s="2" t="s">
        <v>38</v>
      </c>
      <c r="N1328" s="2" t="s">
        <v>38</v>
      </c>
      <c r="O1328" s="2" t="s">
        <v>38</v>
      </c>
      <c r="P1328" s="2" t="s">
        <v>38</v>
      </c>
      <c r="Q1328" s="2" t="s">
        <v>38</v>
      </c>
      <c r="R1328" s="2" t="s">
        <v>38</v>
      </c>
      <c r="S1328" s="2" t="s">
        <v>38</v>
      </c>
      <c r="T1328" s="2" t="s">
        <v>38</v>
      </c>
      <c r="U1328" s="2" t="s">
        <v>38</v>
      </c>
      <c r="V1328" s="2" t="s">
        <v>38</v>
      </c>
      <c r="W1328" s="2" t="s">
        <v>38</v>
      </c>
      <c r="X1328" s="2" t="s">
        <v>38</v>
      </c>
      <c r="Y1328" s="2" t="s">
        <v>38</v>
      </c>
      <c r="Z1328" s="2" t="s">
        <v>38</v>
      </c>
      <c r="AA1328" s="2" t="s">
        <v>38</v>
      </c>
      <c r="AB1328" s="2" t="s">
        <v>38</v>
      </c>
      <c r="AC1328" s="2" t="s">
        <v>38</v>
      </c>
      <c r="AD1328" s="2" t="s">
        <v>38</v>
      </c>
      <c r="AE1328" s="2" t="s">
        <v>40</v>
      </c>
    </row>
    <row r="1329" spans="1:31" ht="409.5">
      <c r="A1329" s="2">
        <v>2740715</v>
      </c>
      <c r="B1329" s="2">
        <f>HYPERLINK("https://platform.v2.vetology.net/cases/2740715/screening-report/1?type=pdf&amp;v=v6&amp;scorecard=1&amp;secret_key=BX%25IJ%24%2F65ieZ%29f6", 2740715)</f>
        <v>2740715</v>
      </c>
      <c r="C1329" s="2">
        <f>HYPERLINK("https://platform.v2.vetology.net/report/v/final/"&amp;2740715, 2740715)</f>
        <v>2740715</v>
      </c>
      <c r="D1329" s="2" t="s">
        <v>4392</v>
      </c>
      <c r="E1329" s="2" t="s">
        <v>4393</v>
      </c>
      <c r="F1329" s="2" t="s">
        <v>4394</v>
      </c>
      <c r="G1329" s="2" t="s">
        <v>170</v>
      </c>
      <c r="H1329" s="2" t="s">
        <v>4395</v>
      </c>
      <c r="I1329" s="2" t="s">
        <v>59</v>
      </c>
      <c r="J1329" s="2" t="s">
        <v>37</v>
      </c>
      <c r="K1329" s="2" t="s">
        <v>39</v>
      </c>
      <c r="L1329" s="2" t="s">
        <v>39</v>
      </c>
      <c r="M1329" s="2" t="s">
        <v>39</v>
      </c>
      <c r="N1329" s="2" t="s">
        <v>38</v>
      </c>
      <c r="O1329" s="2" t="s">
        <v>39</v>
      </c>
      <c r="P1329" s="2" t="s">
        <v>39</v>
      </c>
      <c r="Q1329" s="2" t="s">
        <v>39</v>
      </c>
      <c r="R1329" s="2" t="s">
        <v>39</v>
      </c>
      <c r="S1329" s="2" t="s">
        <v>38</v>
      </c>
      <c r="T1329" s="2" t="s">
        <v>38</v>
      </c>
      <c r="U1329" s="2" t="s">
        <v>39</v>
      </c>
      <c r="V1329" s="2" t="s">
        <v>39</v>
      </c>
      <c r="W1329" s="2" t="s">
        <v>38</v>
      </c>
      <c r="X1329" s="2" t="s">
        <v>39</v>
      </c>
      <c r="Y1329" s="2" t="s">
        <v>39</v>
      </c>
      <c r="Z1329" s="2" t="s">
        <v>38</v>
      </c>
      <c r="AA1329" s="2" t="s">
        <v>39</v>
      </c>
      <c r="AB1329" s="2" t="s">
        <v>39</v>
      </c>
      <c r="AC1329" s="2" t="s">
        <v>39</v>
      </c>
      <c r="AD1329" s="2" t="s">
        <v>38</v>
      </c>
      <c r="AE1329" s="2" t="s">
        <v>39</v>
      </c>
    </row>
    <row r="1330" spans="1:31" ht="409.5">
      <c r="A1330" s="2">
        <v>2740693</v>
      </c>
      <c r="B1330" s="2">
        <f>HYPERLINK("https://platform.v2.vetology.net/cases/2740693/screening-report/1?type=pdf&amp;v=v6&amp;scorecard=1&amp;secret_key=BX%25IJ%24%2F65ieZ%29f6", 2740693)</f>
        <v>2740693</v>
      </c>
      <c r="C1330" s="2">
        <f>HYPERLINK("https://platform.v2.vetology.net/report/v/final/"&amp;2740693, 2740693)</f>
        <v>2740693</v>
      </c>
      <c r="D1330" s="2" t="s">
        <v>4396</v>
      </c>
      <c r="E1330" s="2" t="s">
        <v>4397</v>
      </c>
      <c r="F1330" s="2" t="s">
        <v>4398</v>
      </c>
      <c r="G1330" s="2" t="s">
        <v>170</v>
      </c>
      <c r="H1330" s="2" t="s">
        <v>4399</v>
      </c>
      <c r="I1330" s="2" t="s">
        <v>36</v>
      </c>
      <c r="J1330" s="2" t="s">
        <v>37</v>
      </c>
      <c r="K1330" s="2" t="s">
        <v>38</v>
      </c>
      <c r="L1330" s="2" t="s">
        <v>39</v>
      </c>
      <c r="M1330" s="2" t="s">
        <v>38</v>
      </c>
      <c r="N1330" s="2" t="s">
        <v>39</v>
      </c>
      <c r="O1330" s="2" t="s">
        <v>38</v>
      </c>
      <c r="P1330" s="2" t="s">
        <v>39</v>
      </c>
      <c r="Q1330" s="2" t="s">
        <v>39</v>
      </c>
      <c r="R1330" s="2" t="s">
        <v>38</v>
      </c>
      <c r="S1330" s="2" t="s">
        <v>39</v>
      </c>
      <c r="T1330" s="2" t="s">
        <v>38</v>
      </c>
      <c r="U1330" s="2" t="s">
        <v>38</v>
      </c>
      <c r="V1330" s="2" t="s">
        <v>38</v>
      </c>
      <c r="W1330" s="2" t="s">
        <v>38</v>
      </c>
      <c r="X1330" s="2" t="s">
        <v>39</v>
      </c>
      <c r="Y1330" s="2" t="s">
        <v>38</v>
      </c>
      <c r="Z1330" s="2" t="s">
        <v>38</v>
      </c>
      <c r="AA1330" s="2" t="s">
        <v>39</v>
      </c>
      <c r="AB1330" s="2" t="s">
        <v>39</v>
      </c>
      <c r="AC1330" s="2" t="s">
        <v>38</v>
      </c>
      <c r="AD1330" s="2" t="s">
        <v>38</v>
      </c>
      <c r="AE1330" s="2"/>
    </row>
    <row r="1331" spans="1:31" ht="409.5">
      <c r="A1331" s="2">
        <v>2740684</v>
      </c>
      <c r="B1331" s="2">
        <f>HYPERLINK("https://platform.v2.vetology.net/cases/2740684/screening-report/1?type=pdf&amp;v=v6&amp;scorecard=1&amp;secret_key=BX%25IJ%24%2F65ieZ%29f6", 2740684)</f>
        <v>2740684</v>
      </c>
      <c r="C1331" s="2">
        <f>HYPERLINK("https://platform.v2.vetology.net/report/v/final/"&amp;2740684, 2740684)</f>
        <v>2740684</v>
      </c>
      <c r="D1331" s="2" t="s">
        <v>4400</v>
      </c>
      <c r="E1331" s="2" t="s">
        <v>4401</v>
      </c>
      <c r="F1331" s="2" t="s">
        <v>4402</v>
      </c>
      <c r="G1331" s="2" t="s">
        <v>127</v>
      </c>
      <c r="H1331" s="2" t="s">
        <v>4403</v>
      </c>
      <c r="I1331" s="2" t="s">
        <v>36</v>
      </c>
      <c r="J1331" s="2" t="s">
        <v>37</v>
      </c>
      <c r="K1331" s="2" t="s">
        <v>38</v>
      </c>
      <c r="L1331" s="2" t="s">
        <v>38</v>
      </c>
      <c r="M1331" s="2" t="s">
        <v>38</v>
      </c>
      <c r="N1331" s="2" t="s">
        <v>38</v>
      </c>
      <c r="O1331" s="2" t="s">
        <v>38</v>
      </c>
      <c r="P1331" s="2" t="s">
        <v>39</v>
      </c>
      <c r="Q1331" s="2" t="s">
        <v>38</v>
      </c>
      <c r="R1331" s="2" t="s">
        <v>38</v>
      </c>
      <c r="S1331" s="2" t="s">
        <v>38</v>
      </c>
      <c r="T1331" s="2" t="s">
        <v>39</v>
      </c>
      <c r="U1331" s="2" t="s">
        <v>38</v>
      </c>
      <c r="V1331" s="2" t="s">
        <v>38</v>
      </c>
      <c r="W1331" s="2" t="s">
        <v>38</v>
      </c>
      <c r="X1331" s="2" t="s">
        <v>38</v>
      </c>
      <c r="Y1331" s="2" t="s">
        <v>38</v>
      </c>
      <c r="Z1331" s="2" t="s">
        <v>38</v>
      </c>
      <c r="AA1331" s="2" t="s">
        <v>38</v>
      </c>
      <c r="AB1331" s="2" t="s">
        <v>38</v>
      </c>
      <c r="AC1331" s="2" t="s">
        <v>38</v>
      </c>
      <c r="AD1331" s="2" t="s">
        <v>39</v>
      </c>
      <c r="AE1331" s="2"/>
    </row>
    <row r="1332" spans="1:31" ht="409.5">
      <c r="A1332" s="2">
        <v>2740659</v>
      </c>
      <c r="B1332" s="2">
        <f>HYPERLINK("https://platform.v2.vetology.net/cases/2740659/screening-report/1?type=pdf&amp;v=v6&amp;scorecard=1&amp;secret_key=BX%25IJ%24%2F65ieZ%29f6", 2740659)</f>
        <v>2740659</v>
      </c>
      <c r="C1332" s="2">
        <f>HYPERLINK("https://platform.v2.vetology.net/report/v/final/"&amp;2740659, 2740659)</f>
        <v>2740659</v>
      </c>
      <c r="D1332" s="2" t="s">
        <v>4404</v>
      </c>
      <c r="E1332" s="2" t="s">
        <v>4405</v>
      </c>
      <c r="F1332" s="2" t="s">
        <v>4406</v>
      </c>
      <c r="G1332" s="2" t="s">
        <v>111</v>
      </c>
      <c r="H1332" s="2" t="s">
        <v>4407</v>
      </c>
      <c r="I1332" s="2" t="s">
        <v>73</v>
      </c>
      <c r="J1332" s="2" t="s">
        <v>74</v>
      </c>
      <c r="K1332" s="2" t="s">
        <v>38</v>
      </c>
      <c r="L1332" s="2" t="s">
        <v>38</v>
      </c>
      <c r="M1332" s="2" t="s">
        <v>38</v>
      </c>
      <c r="N1332" s="2" t="s">
        <v>38</v>
      </c>
      <c r="O1332" s="2" t="s">
        <v>38</v>
      </c>
      <c r="P1332" s="2" t="s">
        <v>38</v>
      </c>
      <c r="Q1332" s="2" t="s">
        <v>38</v>
      </c>
      <c r="R1332" s="2" t="s">
        <v>38</v>
      </c>
      <c r="S1332" s="2" t="s">
        <v>38</v>
      </c>
      <c r="T1332" s="2" t="s">
        <v>38</v>
      </c>
      <c r="U1332" s="2" t="s">
        <v>38</v>
      </c>
      <c r="V1332" s="2" t="s">
        <v>38</v>
      </c>
      <c r="W1332" s="2" t="s">
        <v>38</v>
      </c>
      <c r="X1332" s="2" t="s">
        <v>38</v>
      </c>
      <c r="Y1332" s="2" t="s">
        <v>39</v>
      </c>
      <c r="Z1332" s="2" t="s">
        <v>38</v>
      </c>
      <c r="AA1332" s="2" t="s">
        <v>38</v>
      </c>
      <c r="AB1332" s="2" t="s">
        <v>38</v>
      </c>
      <c r="AC1332" s="2" t="s">
        <v>38</v>
      </c>
      <c r="AD1332" s="2" t="s">
        <v>39</v>
      </c>
      <c r="AE1332" s="2" t="s">
        <v>40</v>
      </c>
    </row>
    <row r="1333" spans="1:31" ht="409.5">
      <c r="A1333" s="2">
        <v>2740653</v>
      </c>
      <c r="B1333" s="2">
        <f>HYPERLINK("https://platform.v2.vetology.net/cases/2740653/screening-report/1?type=pdf&amp;v=v6&amp;scorecard=1&amp;secret_key=BX%25IJ%24%2F65ieZ%29f6", 2740653)</f>
        <v>2740653</v>
      </c>
      <c r="C1333" s="2">
        <f>HYPERLINK("https://platform.v2.vetology.net/report/v/final/"&amp;2740653, 2740653)</f>
        <v>2740653</v>
      </c>
      <c r="D1333" s="2" t="s">
        <v>4408</v>
      </c>
      <c r="E1333" s="2" t="s">
        <v>4409</v>
      </c>
      <c r="F1333" s="2" t="s">
        <v>4410</v>
      </c>
      <c r="G1333" s="2" t="s">
        <v>111</v>
      </c>
      <c r="H1333" s="2" t="s">
        <v>4411</v>
      </c>
      <c r="I1333" s="2" t="s">
        <v>129</v>
      </c>
      <c r="J1333" s="2" t="s">
        <v>74</v>
      </c>
      <c r="K1333" s="2" t="s">
        <v>38</v>
      </c>
      <c r="L1333" s="2" t="s">
        <v>38</v>
      </c>
      <c r="M1333" s="2" t="s">
        <v>38</v>
      </c>
      <c r="N1333" s="2" t="s">
        <v>38</v>
      </c>
      <c r="O1333" s="2" t="s">
        <v>38</v>
      </c>
      <c r="P1333" s="2" t="s">
        <v>38</v>
      </c>
      <c r="Q1333" s="2" t="s">
        <v>38</v>
      </c>
      <c r="R1333" s="2" t="s">
        <v>38</v>
      </c>
      <c r="S1333" s="2" t="s">
        <v>38</v>
      </c>
      <c r="T1333" s="2" t="s">
        <v>38</v>
      </c>
      <c r="U1333" s="2" t="s">
        <v>38</v>
      </c>
      <c r="V1333" s="2" t="s">
        <v>38</v>
      </c>
      <c r="W1333" s="2" t="s">
        <v>38</v>
      </c>
      <c r="X1333" s="2" t="s">
        <v>38</v>
      </c>
      <c r="Y1333" s="2" t="s">
        <v>39</v>
      </c>
      <c r="Z1333" s="2" t="s">
        <v>38</v>
      </c>
      <c r="AA1333" s="2" t="s">
        <v>38</v>
      </c>
      <c r="AB1333" s="2" t="s">
        <v>38</v>
      </c>
      <c r="AC1333" s="2" t="s">
        <v>38</v>
      </c>
      <c r="AD1333" s="2" t="s">
        <v>39</v>
      </c>
      <c r="AE1333" s="2" t="s">
        <v>39</v>
      </c>
    </row>
    <row r="1334" spans="1:31" ht="409.5">
      <c r="A1334" s="2">
        <v>2740649</v>
      </c>
      <c r="B1334" s="2">
        <f>HYPERLINK("https://platform.v2.vetology.net/cases/2740649/screening-report/1?type=pdf&amp;v=v6&amp;scorecard=1&amp;secret_key=BX%25IJ%24%2F65ieZ%29f6", 2740649)</f>
        <v>2740649</v>
      </c>
      <c r="C1334" s="2">
        <f>HYPERLINK("https://platform.v2.vetology.net/report/v/final/"&amp;2740649, 2740649)</f>
        <v>2740649</v>
      </c>
      <c r="D1334" s="2" t="s">
        <v>4412</v>
      </c>
      <c r="E1334" s="2" t="s">
        <v>4413</v>
      </c>
      <c r="F1334" s="2" t="s">
        <v>4414</v>
      </c>
      <c r="G1334" s="2" t="s">
        <v>170</v>
      </c>
      <c r="H1334" s="2" t="s">
        <v>1685</v>
      </c>
      <c r="I1334" s="2" t="s">
        <v>59</v>
      </c>
      <c r="J1334" s="2" t="s">
        <v>37</v>
      </c>
      <c r="K1334" s="2" t="s">
        <v>38</v>
      </c>
      <c r="L1334" s="2" t="s">
        <v>39</v>
      </c>
      <c r="M1334" s="2" t="s">
        <v>39</v>
      </c>
      <c r="N1334" s="2" t="s">
        <v>39</v>
      </c>
      <c r="O1334" s="2" t="s">
        <v>39</v>
      </c>
      <c r="P1334" s="2" t="s">
        <v>39</v>
      </c>
      <c r="Q1334" s="2" t="s">
        <v>39</v>
      </c>
      <c r="R1334" s="2" t="s">
        <v>38</v>
      </c>
      <c r="S1334" s="2" t="s">
        <v>39</v>
      </c>
      <c r="T1334" s="2" t="s">
        <v>39</v>
      </c>
      <c r="U1334" s="2" t="s">
        <v>38</v>
      </c>
      <c r="V1334" s="2" t="s">
        <v>38</v>
      </c>
      <c r="W1334" s="2" t="s">
        <v>38</v>
      </c>
      <c r="X1334" s="2" t="s">
        <v>39</v>
      </c>
      <c r="Y1334" s="2" t="s">
        <v>39</v>
      </c>
      <c r="Z1334" s="2" t="s">
        <v>39</v>
      </c>
      <c r="AA1334" s="2" t="s">
        <v>38</v>
      </c>
      <c r="AB1334" s="2" t="s">
        <v>39</v>
      </c>
      <c r="AC1334" s="2" t="s">
        <v>38</v>
      </c>
      <c r="AD1334" s="2" t="s">
        <v>38</v>
      </c>
      <c r="AE1334" s="2"/>
    </row>
    <row r="1335" spans="1:31" ht="409.5">
      <c r="A1335" s="2">
        <v>2740640</v>
      </c>
      <c r="B1335" s="2">
        <f>HYPERLINK("https://platform.v2.vetology.net/cases/2740640/screening-report/1?type=pdf&amp;v=v6&amp;scorecard=1&amp;secret_key=BX%25IJ%24%2F65ieZ%29f6", 2740640)</f>
        <v>2740640</v>
      </c>
      <c r="C1335" s="2">
        <f>HYPERLINK("https://platform.v2.vetology.net/report/v/final/"&amp;2740640, 2740640)</f>
        <v>2740640</v>
      </c>
      <c r="D1335" s="2" t="s">
        <v>4415</v>
      </c>
      <c r="E1335" s="2" t="s">
        <v>4416</v>
      </c>
      <c r="F1335" s="2" t="s">
        <v>4417</v>
      </c>
      <c r="G1335" s="2" t="s">
        <v>127</v>
      </c>
      <c r="H1335" s="2" t="s">
        <v>4418</v>
      </c>
      <c r="I1335" s="2" t="s">
        <v>129</v>
      </c>
      <c r="J1335" s="2" t="s">
        <v>74</v>
      </c>
      <c r="K1335" s="2" t="s">
        <v>39</v>
      </c>
      <c r="L1335" s="2" t="s">
        <v>38</v>
      </c>
      <c r="M1335" s="2" t="s">
        <v>38</v>
      </c>
      <c r="N1335" s="2" t="s">
        <v>38</v>
      </c>
      <c r="O1335" s="2" t="s">
        <v>38</v>
      </c>
      <c r="P1335" s="2" t="s">
        <v>38</v>
      </c>
      <c r="Q1335" s="2" t="s">
        <v>38</v>
      </c>
      <c r="R1335" s="2" t="s">
        <v>38</v>
      </c>
      <c r="S1335" s="2" t="s">
        <v>38</v>
      </c>
      <c r="T1335" s="2" t="s">
        <v>38</v>
      </c>
      <c r="U1335" s="2" t="s">
        <v>39</v>
      </c>
      <c r="V1335" s="2" t="s">
        <v>38</v>
      </c>
      <c r="W1335" s="2" t="s">
        <v>38</v>
      </c>
      <c r="X1335" s="2" t="s">
        <v>38</v>
      </c>
      <c r="Y1335" s="2" t="s">
        <v>38</v>
      </c>
      <c r="Z1335" s="2" t="s">
        <v>38</v>
      </c>
      <c r="AA1335" s="2" t="s">
        <v>38</v>
      </c>
      <c r="AB1335" s="2" t="s">
        <v>38</v>
      </c>
      <c r="AC1335" s="2" t="s">
        <v>38</v>
      </c>
      <c r="AD1335" s="2" t="s">
        <v>38</v>
      </c>
      <c r="AE1335" s="2" t="s">
        <v>39</v>
      </c>
    </row>
    <row r="1336" spans="1:31" ht="409.5">
      <c r="A1336" s="2">
        <v>2740610</v>
      </c>
      <c r="B1336" s="2">
        <f>HYPERLINK("https://platform.v2.vetology.net/cases/2740610/screening-report/1?type=pdf&amp;v=v6&amp;scorecard=1&amp;secret_key=BX%25IJ%24%2F65ieZ%29f6", 2740610)</f>
        <v>2740610</v>
      </c>
      <c r="C1336" s="2">
        <f>HYPERLINK("https://platform.v2.vetology.net/report/v/final/"&amp;2740610, 2740610)</f>
        <v>2740610</v>
      </c>
      <c r="D1336" s="2" t="s">
        <v>4419</v>
      </c>
      <c r="E1336" s="2" t="s">
        <v>4420</v>
      </c>
      <c r="F1336" s="2" t="s">
        <v>4421</v>
      </c>
      <c r="G1336" s="2" t="s">
        <v>44</v>
      </c>
      <c r="H1336" s="2" t="s">
        <v>1526</v>
      </c>
      <c r="I1336" s="2" t="s">
        <v>36</v>
      </c>
      <c r="J1336" s="2" t="s">
        <v>37</v>
      </c>
      <c r="K1336" s="2" t="s">
        <v>39</v>
      </c>
      <c r="L1336" s="2" t="s">
        <v>38</v>
      </c>
      <c r="M1336" s="2" t="s">
        <v>39</v>
      </c>
      <c r="N1336" s="2" t="s">
        <v>38</v>
      </c>
      <c r="O1336" s="2" t="s">
        <v>38</v>
      </c>
      <c r="P1336" s="2" t="s">
        <v>39</v>
      </c>
      <c r="Q1336" s="2" t="s">
        <v>39</v>
      </c>
      <c r="R1336" s="2" t="s">
        <v>38</v>
      </c>
      <c r="S1336" s="2" t="s">
        <v>38</v>
      </c>
      <c r="T1336" s="2" t="s">
        <v>38</v>
      </c>
      <c r="U1336" s="2" t="s">
        <v>39</v>
      </c>
      <c r="V1336" s="2" t="s">
        <v>39</v>
      </c>
      <c r="W1336" s="2" t="s">
        <v>38</v>
      </c>
      <c r="X1336" s="2" t="s">
        <v>39</v>
      </c>
      <c r="Y1336" s="2" t="s">
        <v>38</v>
      </c>
      <c r="Z1336" s="2" t="s">
        <v>38</v>
      </c>
      <c r="AA1336" s="2" t="s">
        <v>38</v>
      </c>
      <c r="AB1336" s="2" t="s">
        <v>39</v>
      </c>
      <c r="AC1336" s="2" t="s">
        <v>38</v>
      </c>
      <c r="AD1336" s="2" t="s">
        <v>38</v>
      </c>
      <c r="AE1336" s="2" t="s">
        <v>39</v>
      </c>
    </row>
    <row r="1337" spans="1:31" ht="409.5">
      <c r="A1337" s="2">
        <v>2740576</v>
      </c>
      <c r="B1337" s="2">
        <f>HYPERLINK("https://platform.v2.vetology.net/cases/2740576/screening-report/1?type=pdf&amp;v=v6&amp;scorecard=1&amp;secret_key=BX%25IJ%24%2F65ieZ%29f6", 2740576)</f>
        <v>2740576</v>
      </c>
      <c r="C1337" s="2">
        <f>HYPERLINK("https://platform.v2.vetology.net/report/v/final/"&amp;2740576, 2740576)</f>
        <v>2740576</v>
      </c>
      <c r="D1337" s="2" t="s">
        <v>4422</v>
      </c>
      <c r="E1337" s="2" t="s">
        <v>4423</v>
      </c>
      <c r="F1337" s="2" t="s">
        <v>4424</v>
      </c>
      <c r="G1337" s="2" t="s">
        <v>34</v>
      </c>
      <c r="H1337" s="2" t="s">
        <v>970</v>
      </c>
      <c r="I1337" s="2" t="s">
        <v>36</v>
      </c>
      <c r="J1337" s="2" t="s">
        <v>37</v>
      </c>
      <c r="K1337" s="2" t="s">
        <v>39</v>
      </c>
      <c r="L1337" s="2" t="s">
        <v>38</v>
      </c>
      <c r="M1337" s="2" t="s">
        <v>39</v>
      </c>
      <c r="N1337" s="2" t="s">
        <v>39</v>
      </c>
      <c r="O1337" s="2" t="s">
        <v>38</v>
      </c>
      <c r="P1337" s="2" t="s">
        <v>39</v>
      </c>
      <c r="Q1337" s="2" t="s">
        <v>39</v>
      </c>
      <c r="R1337" s="2" t="s">
        <v>38</v>
      </c>
      <c r="S1337" s="2" t="s">
        <v>39</v>
      </c>
      <c r="T1337" s="2" t="s">
        <v>39</v>
      </c>
      <c r="U1337" s="2" t="s">
        <v>39</v>
      </c>
      <c r="V1337" s="2" t="s">
        <v>39</v>
      </c>
      <c r="W1337" s="2" t="s">
        <v>38</v>
      </c>
      <c r="X1337" s="2" t="s">
        <v>39</v>
      </c>
      <c r="Y1337" s="2" t="s">
        <v>39</v>
      </c>
      <c r="Z1337" s="2" t="s">
        <v>38</v>
      </c>
      <c r="AA1337" s="2" t="s">
        <v>38</v>
      </c>
      <c r="AB1337" s="2" t="s">
        <v>39</v>
      </c>
      <c r="AC1337" s="2" t="s">
        <v>38</v>
      </c>
      <c r="AD1337" s="2" t="s">
        <v>38</v>
      </c>
      <c r="AE1337" s="2"/>
    </row>
    <row r="1338" spans="1:31" ht="409.5">
      <c r="A1338" s="2">
        <v>2740575</v>
      </c>
      <c r="B1338" s="2">
        <f>HYPERLINK("https://platform.v2.vetology.net/cases/2740575/screening-report/1?type=pdf&amp;v=v6&amp;scorecard=1&amp;secret_key=BX%25IJ%24%2F65ieZ%29f6", 2740575)</f>
        <v>2740575</v>
      </c>
      <c r="C1338" s="2">
        <f>HYPERLINK("https://platform.v2.vetology.net/report/v/final/"&amp;2740575, 2740575)</f>
        <v>2740575</v>
      </c>
      <c r="D1338" s="2" t="s">
        <v>4425</v>
      </c>
      <c r="E1338" s="2" t="s">
        <v>513</v>
      </c>
      <c r="F1338" s="2" t="s">
        <v>4426</v>
      </c>
      <c r="G1338" s="2" t="s">
        <v>111</v>
      </c>
      <c r="H1338" s="2" t="s">
        <v>4427</v>
      </c>
      <c r="I1338" s="2" t="s">
        <v>36</v>
      </c>
      <c r="J1338" s="2" t="s">
        <v>37</v>
      </c>
      <c r="K1338" s="2" t="s">
        <v>38</v>
      </c>
      <c r="L1338" s="2" t="s">
        <v>38</v>
      </c>
      <c r="M1338" s="2" t="s">
        <v>38</v>
      </c>
      <c r="N1338" s="2" t="s">
        <v>38</v>
      </c>
      <c r="O1338" s="2" t="s">
        <v>38</v>
      </c>
      <c r="P1338" s="2" t="s">
        <v>39</v>
      </c>
      <c r="Q1338" s="2" t="s">
        <v>39</v>
      </c>
      <c r="R1338" s="2" t="s">
        <v>38</v>
      </c>
      <c r="S1338" s="2" t="s">
        <v>38</v>
      </c>
      <c r="T1338" s="2" t="s">
        <v>39</v>
      </c>
      <c r="U1338" s="2" t="s">
        <v>39</v>
      </c>
      <c r="V1338" s="2" t="s">
        <v>38</v>
      </c>
      <c r="W1338" s="2" t="s">
        <v>38</v>
      </c>
      <c r="X1338" s="2" t="s">
        <v>39</v>
      </c>
      <c r="Y1338" s="2" t="s">
        <v>39</v>
      </c>
      <c r="Z1338" s="2" t="s">
        <v>38</v>
      </c>
      <c r="AA1338" s="2" t="s">
        <v>38</v>
      </c>
      <c r="AB1338" s="2" t="s">
        <v>39</v>
      </c>
      <c r="AC1338" s="2" t="s">
        <v>38</v>
      </c>
      <c r="AD1338" s="2" t="s">
        <v>39</v>
      </c>
      <c r="AE1338" s="2" t="s">
        <v>39</v>
      </c>
    </row>
    <row r="1339" spans="1:31" ht="409.5">
      <c r="A1339" s="2">
        <v>2740528</v>
      </c>
      <c r="B1339" s="2">
        <f>HYPERLINK("https://platform.v2.vetology.net/cases/2740528/screening-report/1?type=pdf&amp;v=v6&amp;scorecard=1&amp;secret_key=BX%25IJ%24%2F65ieZ%29f6", 2740528)</f>
        <v>2740528</v>
      </c>
      <c r="C1339" s="2">
        <f>HYPERLINK("https://platform.v2.vetology.net/report/v/final/"&amp;2740528, 2740528)</f>
        <v>2740528</v>
      </c>
      <c r="D1339" s="2" t="s">
        <v>4428</v>
      </c>
      <c r="E1339" s="2" t="s">
        <v>4429</v>
      </c>
      <c r="F1339" s="2" t="s">
        <v>43</v>
      </c>
      <c r="G1339" s="2" t="s">
        <v>44</v>
      </c>
      <c r="H1339" s="2" t="s">
        <v>4430</v>
      </c>
      <c r="I1339" s="2" t="s">
        <v>73</v>
      </c>
      <c r="J1339" s="2" t="s">
        <v>74</v>
      </c>
      <c r="K1339" s="2" t="s">
        <v>38</v>
      </c>
      <c r="L1339" s="2" t="s">
        <v>38</v>
      </c>
      <c r="M1339" s="2" t="s">
        <v>38</v>
      </c>
      <c r="N1339" s="2" t="s">
        <v>38</v>
      </c>
      <c r="O1339" s="2" t="s">
        <v>38</v>
      </c>
      <c r="P1339" s="2" t="s">
        <v>38</v>
      </c>
      <c r="Q1339" s="2" t="s">
        <v>38</v>
      </c>
      <c r="R1339" s="2" t="s">
        <v>38</v>
      </c>
      <c r="S1339" s="2" t="s">
        <v>38</v>
      </c>
      <c r="T1339" s="2" t="s">
        <v>38</v>
      </c>
      <c r="U1339" s="2" t="s">
        <v>38</v>
      </c>
      <c r="V1339" s="2" t="s">
        <v>38</v>
      </c>
      <c r="W1339" s="2" t="s">
        <v>38</v>
      </c>
      <c r="X1339" s="2" t="s">
        <v>38</v>
      </c>
      <c r="Y1339" s="2" t="s">
        <v>38</v>
      </c>
      <c r="Z1339" s="2" t="s">
        <v>38</v>
      </c>
      <c r="AA1339" s="2" t="s">
        <v>38</v>
      </c>
      <c r="AB1339" s="2" t="s">
        <v>38</v>
      </c>
      <c r="AC1339" s="2" t="s">
        <v>38</v>
      </c>
      <c r="AD1339" s="2" t="s">
        <v>38</v>
      </c>
      <c r="AE1339" s="2" t="s">
        <v>40</v>
      </c>
    </row>
    <row r="1340" spans="1:31" ht="409.5">
      <c r="A1340" s="2">
        <v>2740527</v>
      </c>
      <c r="B1340" s="2">
        <f>HYPERLINK("https://platform.v2.vetology.net/cases/2740527/screening-report/1?type=pdf&amp;v=v6&amp;scorecard=1&amp;secret_key=BX%25IJ%24%2F65ieZ%29f6", 2740527)</f>
        <v>2740527</v>
      </c>
      <c r="C1340" s="2">
        <f>HYPERLINK("https://platform.v2.vetology.net/report/v/final/"&amp;2740527, 2740527)</f>
        <v>2740527</v>
      </c>
      <c r="D1340" s="2" t="s">
        <v>4431</v>
      </c>
      <c r="E1340" s="2" t="s">
        <v>4432</v>
      </c>
      <c r="F1340" s="2" t="s">
        <v>4433</v>
      </c>
      <c r="G1340" s="2" t="s">
        <v>127</v>
      </c>
      <c r="H1340" s="2" t="s">
        <v>515</v>
      </c>
      <c r="I1340" s="2" t="s">
        <v>36</v>
      </c>
      <c r="J1340" s="2" t="s">
        <v>37</v>
      </c>
      <c r="K1340" s="2" t="s">
        <v>39</v>
      </c>
      <c r="L1340" s="2" t="s">
        <v>39</v>
      </c>
      <c r="M1340" s="2" t="s">
        <v>38</v>
      </c>
      <c r="N1340" s="2" t="s">
        <v>39</v>
      </c>
      <c r="O1340" s="2" t="s">
        <v>39</v>
      </c>
      <c r="P1340" s="2" t="s">
        <v>39</v>
      </c>
      <c r="Q1340" s="2" t="s">
        <v>39</v>
      </c>
      <c r="R1340" s="2" t="s">
        <v>39</v>
      </c>
      <c r="S1340" s="2" t="s">
        <v>39</v>
      </c>
      <c r="T1340" s="2" t="s">
        <v>39</v>
      </c>
      <c r="U1340" s="2" t="s">
        <v>39</v>
      </c>
      <c r="V1340" s="2" t="s">
        <v>39</v>
      </c>
      <c r="W1340" s="2" t="s">
        <v>39</v>
      </c>
      <c r="X1340" s="2" t="s">
        <v>39</v>
      </c>
      <c r="Y1340" s="2" t="s">
        <v>39</v>
      </c>
      <c r="Z1340" s="2" t="s">
        <v>38</v>
      </c>
      <c r="AA1340" s="2" t="s">
        <v>39</v>
      </c>
      <c r="AB1340" s="2" t="s">
        <v>39</v>
      </c>
      <c r="AC1340" s="2" t="s">
        <v>38</v>
      </c>
      <c r="AD1340" s="2" t="s">
        <v>38</v>
      </c>
      <c r="AE1340" s="2" t="s">
        <v>39</v>
      </c>
    </row>
    <row r="1341" spans="1:31" ht="409.5">
      <c r="A1341" s="2">
        <v>2740482</v>
      </c>
      <c r="B1341" s="2">
        <f>HYPERLINK("https://platform.v2.vetology.net/cases/2740482/screening-report/1?type=pdf&amp;v=v6&amp;scorecard=1&amp;secret_key=BX%25IJ%24%2F65ieZ%29f6", 2740482)</f>
        <v>2740482</v>
      </c>
      <c r="C1341" s="2">
        <f>HYPERLINK("https://platform.v2.vetology.net/report/v/final/"&amp;2740482, 2740482)</f>
        <v>2740482</v>
      </c>
      <c r="D1341" s="2" t="s">
        <v>4434</v>
      </c>
      <c r="E1341" s="2" t="s">
        <v>2755</v>
      </c>
      <c r="F1341" s="2" t="s">
        <v>2756</v>
      </c>
      <c r="G1341" s="2" t="s">
        <v>111</v>
      </c>
      <c r="H1341" s="2" t="s">
        <v>4435</v>
      </c>
      <c r="I1341" s="2" t="s">
        <v>36</v>
      </c>
      <c r="J1341" s="2" t="s">
        <v>37</v>
      </c>
      <c r="K1341" s="2" t="s">
        <v>38</v>
      </c>
      <c r="L1341" s="2" t="s">
        <v>38</v>
      </c>
      <c r="M1341" s="2" t="s">
        <v>38</v>
      </c>
      <c r="N1341" s="2" t="s">
        <v>38</v>
      </c>
      <c r="O1341" s="2" t="s">
        <v>38</v>
      </c>
      <c r="P1341" s="2" t="s">
        <v>38</v>
      </c>
      <c r="Q1341" s="2" t="s">
        <v>39</v>
      </c>
      <c r="R1341" s="2" t="s">
        <v>38</v>
      </c>
      <c r="S1341" s="2" t="s">
        <v>38</v>
      </c>
      <c r="T1341" s="2" t="s">
        <v>38</v>
      </c>
      <c r="U1341" s="2" t="s">
        <v>38</v>
      </c>
      <c r="V1341" s="2" t="s">
        <v>38</v>
      </c>
      <c r="W1341" s="2" t="s">
        <v>38</v>
      </c>
      <c r="X1341" s="2" t="s">
        <v>39</v>
      </c>
      <c r="Y1341" s="2" t="s">
        <v>38</v>
      </c>
      <c r="Z1341" s="2" t="s">
        <v>38</v>
      </c>
      <c r="AA1341" s="2" t="s">
        <v>38</v>
      </c>
      <c r="AB1341" s="2" t="s">
        <v>38</v>
      </c>
      <c r="AC1341" s="2" t="s">
        <v>38</v>
      </c>
      <c r="AD1341" s="2" t="s">
        <v>38</v>
      </c>
      <c r="AE1341" s="2" t="s">
        <v>39</v>
      </c>
    </row>
    <row r="1342" spans="1:31" ht="409.5">
      <c r="A1342" s="2">
        <v>2740466</v>
      </c>
      <c r="B1342" s="2">
        <f>HYPERLINK("https://platform.v2.vetology.net/cases/2740466/screening-report/1?type=pdf&amp;v=v6&amp;scorecard=1&amp;secret_key=BX%25IJ%24%2F65ieZ%29f6", 2740466)</f>
        <v>2740466</v>
      </c>
      <c r="C1342" s="2">
        <f>HYPERLINK("https://platform.v2.vetology.net/report/v/final/"&amp;2740466, 2740466)</f>
        <v>2740466</v>
      </c>
      <c r="D1342" s="2" t="s">
        <v>4436</v>
      </c>
      <c r="E1342" s="2" t="s">
        <v>4437</v>
      </c>
      <c r="F1342" s="2" t="s">
        <v>4438</v>
      </c>
      <c r="G1342" s="2" t="s">
        <v>170</v>
      </c>
      <c r="H1342" s="2" t="s">
        <v>2049</v>
      </c>
      <c r="I1342" s="2" t="s">
        <v>36</v>
      </c>
      <c r="J1342" s="2" t="s">
        <v>37</v>
      </c>
      <c r="K1342" s="2" t="s">
        <v>38</v>
      </c>
      <c r="L1342" s="2" t="s">
        <v>39</v>
      </c>
      <c r="M1342" s="2" t="s">
        <v>38</v>
      </c>
      <c r="N1342" s="2" t="s">
        <v>39</v>
      </c>
      <c r="O1342" s="2" t="s">
        <v>39</v>
      </c>
      <c r="P1342" s="2" t="s">
        <v>39</v>
      </c>
      <c r="Q1342" s="2" t="s">
        <v>39</v>
      </c>
      <c r="R1342" s="2" t="s">
        <v>38</v>
      </c>
      <c r="S1342" s="2" t="s">
        <v>39</v>
      </c>
      <c r="T1342" s="2" t="s">
        <v>38</v>
      </c>
      <c r="U1342" s="2" t="s">
        <v>38</v>
      </c>
      <c r="V1342" s="2" t="s">
        <v>38</v>
      </c>
      <c r="W1342" s="2" t="s">
        <v>38</v>
      </c>
      <c r="X1342" s="2" t="s">
        <v>39</v>
      </c>
      <c r="Y1342" s="2" t="s">
        <v>39</v>
      </c>
      <c r="Z1342" s="2" t="s">
        <v>38</v>
      </c>
      <c r="AA1342" s="2" t="s">
        <v>38</v>
      </c>
      <c r="AB1342" s="2" t="s">
        <v>39</v>
      </c>
      <c r="AC1342" s="2" t="s">
        <v>38</v>
      </c>
      <c r="AD1342" s="2" t="s">
        <v>38</v>
      </c>
      <c r="AE1342" s="2" t="s">
        <v>39</v>
      </c>
    </row>
    <row r="1343" spans="1:31" ht="409.5">
      <c r="A1343" s="2">
        <v>2740446</v>
      </c>
      <c r="B1343" s="2">
        <f>HYPERLINK("https://platform.v2.vetology.net/cases/2740446/screening-report/1?type=pdf&amp;v=v6&amp;scorecard=1&amp;secret_key=BX%25IJ%24%2F65ieZ%29f6", 2740446)</f>
        <v>2740446</v>
      </c>
      <c r="C1343" s="2">
        <f>HYPERLINK("https://platform.v2.vetology.net/report/v/final/"&amp;2740446, 2740446)</f>
        <v>2740446</v>
      </c>
      <c r="D1343" s="2" t="s">
        <v>4439</v>
      </c>
      <c r="E1343" s="2" t="s">
        <v>4440</v>
      </c>
      <c r="F1343" s="2" t="s">
        <v>4441</v>
      </c>
      <c r="G1343" s="2" t="s">
        <v>127</v>
      </c>
      <c r="H1343" s="2" t="s">
        <v>93</v>
      </c>
      <c r="I1343" s="2" t="s">
        <v>59</v>
      </c>
      <c r="J1343" s="2" t="s">
        <v>37</v>
      </c>
      <c r="K1343" s="2" t="s">
        <v>38</v>
      </c>
      <c r="L1343" s="2" t="s">
        <v>39</v>
      </c>
      <c r="M1343" s="2" t="s">
        <v>39</v>
      </c>
      <c r="N1343" s="2" t="s">
        <v>38</v>
      </c>
      <c r="O1343" s="2" t="s">
        <v>39</v>
      </c>
      <c r="P1343" s="2" t="s">
        <v>39</v>
      </c>
      <c r="Q1343" s="2" t="s">
        <v>39</v>
      </c>
      <c r="R1343" s="2" t="s">
        <v>39</v>
      </c>
      <c r="S1343" s="2" t="s">
        <v>39</v>
      </c>
      <c r="T1343" s="2" t="s">
        <v>39</v>
      </c>
      <c r="U1343" s="2" t="s">
        <v>39</v>
      </c>
      <c r="V1343" s="2" t="s">
        <v>39</v>
      </c>
      <c r="W1343" s="2" t="s">
        <v>39</v>
      </c>
      <c r="X1343" s="2" t="s">
        <v>39</v>
      </c>
      <c r="Y1343" s="2" t="s">
        <v>39</v>
      </c>
      <c r="Z1343" s="2" t="s">
        <v>39</v>
      </c>
      <c r="AA1343" s="2" t="s">
        <v>38</v>
      </c>
      <c r="AB1343" s="2" t="s">
        <v>39</v>
      </c>
      <c r="AC1343" s="2" t="s">
        <v>39</v>
      </c>
      <c r="AD1343" s="2" t="s">
        <v>39</v>
      </c>
      <c r="AE1343" s="2" t="s">
        <v>39</v>
      </c>
    </row>
    <row r="1344" spans="1:31" ht="409.5">
      <c r="A1344" s="2">
        <v>2740422</v>
      </c>
      <c r="B1344" s="2">
        <f>HYPERLINK("https://platform.v2.vetology.net/cases/2740422/screening-report/1?type=pdf&amp;v=v6&amp;scorecard=1&amp;secret_key=BX%25IJ%24%2F65ieZ%29f6", 2740422)</f>
        <v>2740422</v>
      </c>
      <c r="C1344" s="2">
        <f>HYPERLINK("https://platform.v2.vetology.net/report/v/final/"&amp;2740422, 2740422)</f>
        <v>2740422</v>
      </c>
      <c r="D1344" s="2" t="s">
        <v>4442</v>
      </c>
      <c r="E1344" s="2" t="s">
        <v>4443</v>
      </c>
      <c r="F1344" s="2" t="s">
        <v>4444</v>
      </c>
      <c r="G1344" s="2" t="s">
        <v>127</v>
      </c>
      <c r="H1344" s="2" t="s">
        <v>4445</v>
      </c>
      <c r="I1344" s="2" t="s">
        <v>36</v>
      </c>
      <c r="J1344" s="2" t="s">
        <v>37</v>
      </c>
      <c r="K1344" s="2" t="s">
        <v>39</v>
      </c>
      <c r="L1344" s="2" t="s">
        <v>38</v>
      </c>
      <c r="M1344" s="2" t="s">
        <v>39</v>
      </c>
      <c r="N1344" s="2" t="s">
        <v>38</v>
      </c>
      <c r="O1344" s="2" t="s">
        <v>38</v>
      </c>
      <c r="P1344" s="2" t="s">
        <v>39</v>
      </c>
      <c r="Q1344" s="2" t="s">
        <v>39</v>
      </c>
      <c r="R1344" s="2" t="s">
        <v>38</v>
      </c>
      <c r="S1344" s="2" t="s">
        <v>38</v>
      </c>
      <c r="T1344" s="2" t="s">
        <v>39</v>
      </c>
      <c r="U1344" s="2" t="s">
        <v>39</v>
      </c>
      <c r="V1344" s="2" t="s">
        <v>39</v>
      </c>
      <c r="W1344" s="2" t="s">
        <v>39</v>
      </c>
      <c r="X1344" s="2" t="s">
        <v>39</v>
      </c>
      <c r="Y1344" s="2" t="s">
        <v>39</v>
      </c>
      <c r="Z1344" s="2" t="s">
        <v>38</v>
      </c>
      <c r="AA1344" s="2" t="s">
        <v>39</v>
      </c>
      <c r="AB1344" s="2" t="s">
        <v>39</v>
      </c>
      <c r="AC1344" s="2" t="s">
        <v>38</v>
      </c>
      <c r="AD1344" s="2" t="s">
        <v>38</v>
      </c>
      <c r="AE1344" s="2" t="s">
        <v>39</v>
      </c>
    </row>
    <row r="1345" spans="1:31" ht="409.5">
      <c r="A1345" s="2">
        <v>2740420</v>
      </c>
      <c r="B1345" s="2">
        <f>HYPERLINK("https://platform.v2.vetology.net/cases/2740420/screening-report/1?type=pdf&amp;v=v6&amp;scorecard=1&amp;secret_key=BX%25IJ%24%2F65ieZ%29f6", 2740420)</f>
        <v>2740420</v>
      </c>
      <c r="C1345" s="2">
        <f>HYPERLINK("https://platform.v2.vetology.net/report/v/final/"&amp;2740420, 2740420)</f>
        <v>2740420</v>
      </c>
      <c r="D1345" s="2" t="s">
        <v>4446</v>
      </c>
      <c r="E1345" s="2" t="s">
        <v>4447</v>
      </c>
      <c r="F1345" s="2" t="s">
        <v>4448</v>
      </c>
      <c r="G1345" s="2" t="s">
        <v>111</v>
      </c>
      <c r="H1345" s="2" t="s">
        <v>4449</v>
      </c>
      <c r="I1345" s="2" t="s">
        <v>36</v>
      </c>
      <c r="J1345" s="2" t="s">
        <v>37</v>
      </c>
      <c r="K1345" s="2" t="s">
        <v>39</v>
      </c>
      <c r="L1345" s="2" t="s">
        <v>39</v>
      </c>
      <c r="M1345" s="2" t="s">
        <v>38</v>
      </c>
      <c r="N1345" s="2" t="s">
        <v>38</v>
      </c>
      <c r="O1345" s="2" t="s">
        <v>38</v>
      </c>
      <c r="P1345" s="2" t="s">
        <v>38</v>
      </c>
      <c r="Q1345" s="2" t="s">
        <v>39</v>
      </c>
      <c r="R1345" s="2" t="s">
        <v>38</v>
      </c>
      <c r="S1345" s="2" t="s">
        <v>39</v>
      </c>
      <c r="T1345" s="2" t="s">
        <v>38</v>
      </c>
      <c r="U1345" s="2" t="s">
        <v>39</v>
      </c>
      <c r="V1345" s="2" t="s">
        <v>39</v>
      </c>
      <c r="W1345" s="2" t="s">
        <v>38</v>
      </c>
      <c r="X1345" s="2" t="s">
        <v>39</v>
      </c>
      <c r="Y1345" s="2" t="s">
        <v>39</v>
      </c>
      <c r="Z1345" s="2" t="s">
        <v>38</v>
      </c>
      <c r="AA1345" s="2" t="s">
        <v>38</v>
      </c>
      <c r="AB1345" s="2" t="s">
        <v>39</v>
      </c>
      <c r="AC1345" s="2" t="s">
        <v>38</v>
      </c>
      <c r="AD1345" s="2" t="s">
        <v>39</v>
      </c>
      <c r="AE1345" s="2" t="s">
        <v>39</v>
      </c>
    </row>
    <row r="1346" spans="1:31" ht="409.5">
      <c r="A1346" s="2">
        <v>2740418</v>
      </c>
      <c r="B1346" s="2">
        <f>HYPERLINK("https://platform.v2.vetology.net/cases/2740418/screening-report/1?type=pdf&amp;v=v6&amp;scorecard=1&amp;secret_key=BX%25IJ%24%2F65ieZ%29f6", 2740418)</f>
        <v>2740418</v>
      </c>
      <c r="C1346" s="2">
        <f>HYPERLINK("https://platform.v2.vetology.net/report/v/final/"&amp;2740418, 2740418)</f>
        <v>2740418</v>
      </c>
      <c r="D1346" s="2" t="s">
        <v>4450</v>
      </c>
      <c r="E1346" s="2" t="s">
        <v>4451</v>
      </c>
      <c r="F1346" s="2" t="s">
        <v>4452</v>
      </c>
      <c r="G1346" s="2" t="s">
        <v>34</v>
      </c>
      <c r="H1346" s="2" t="s">
        <v>45</v>
      </c>
      <c r="I1346" s="2" t="s">
        <v>46</v>
      </c>
      <c r="J1346" s="2"/>
      <c r="K1346" s="2" t="s">
        <v>39</v>
      </c>
      <c r="L1346" s="2" t="s">
        <v>39</v>
      </c>
      <c r="M1346" s="2" t="s">
        <v>39</v>
      </c>
      <c r="N1346" s="2" t="s">
        <v>39</v>
      </c>
      <c r="O1346" s="2" t="s">
        <v>39</v>
      </c>
      <c r="P1346" s="2" t="s">
        <v>39</v>
      </c>
      <c r="Q1346" s="2" t="s">
        <v>39</v>
      </c>
      <c r="R1346" s="2" t="s">
        <v>38</v>
      </c>
      <c r="S1346" s="2" t="s">
        <v>39</v>
      </c>
      <c r="T1346" s="2" t="s">
        <v>39</v>
      </c>
      <c r="U1346" s="2" t="s">
        <v>39</v>
      </c>
      <c r="V1346" s="2" t="s">
        <v>39</v>
      </c>
      <c r="W1346" s="2" t="s">
        <v>39</v>
      </c>
      <c r="X1346" s="2" t="s">
        <v>39</v>
      </c>
      <c r="Y1346" s="2" t="s">
        <v>39</v>
      </c>
      <c r="Z1346" s="2" t="s">
        <v>39</v>
      </c>
      <c r="AA1346" s="2" t="s">
        <v>39</v>
      </c>
      <c r="AB1346" s="2" t="s">
        <v>39</v>
      </c>
      <c r="AC1346" s="2" t="s">
        <v>39</v>
      </c>
      <c r="AD1346" s="2" t="s">
        <v>39</v>
      </c>
      <c r="AE1346" s="2" t="s">
        <v>40</v>
      </c>
    </row>
    <row r="1347" spans="1:31" ht="409.5">
      <c r="A1347" s="2">
        <v>2740393</v>
      </c>
      <c r="B1347" s="2">
        <f>HYPERLINK("https://platform.v2.vetology.net/cases/2740393/screening-report/1?type=pdf&amp;v=v6&amp;scorecard=1&amp;secret_key=BX%25IJ%24%2F65ieZ%29f6", 2740393)</f>
        <v>2740393</v>
      </c>
      <c r="C1347" s="2">
        <f>HYPERLINK("https://platform.v2.vetology.net/report/v/final/"&amp;2740393, 2740393)</f>
        <v>2740393</v>
      </c>
      <c r="D1347" s="2" t="s">
        <v>4453</v>
      </c>
      <c r="E1347" s="2" t="s">
        <v>4454</v>
      </c>
      <c r="F1347" s="2" t="s">
        <v>43</v>
      </c>
      <c r="G1347" s="2" t="s">
        <v>507</v>
      </c>
      <c r="H1347" s="2" t="s">
        <v>69</v>
      </c>
      <c r="I1347" s="2" t="s">
        <v>46</v>
      </c>
      <c r="J1347" s="2"/>
      <c r="K1347" s="2" t="s">
        <v>39</v>
      </c>
      <c r="L1347" s="2" t="s">
        <v>39</v>
      </c>
      <c r="M1347" s="2" t="s">
        <v>39</v>
      </c>
      <c r="N1347" s="2" t="s">
        <v>39</v>
      </c>
      <c r="O1347" s="2" t="s">
        <v>39</v>
      </c>
      <c r="P1347" s="2" t="s">
        <v>39</v>
      </c>
      <c r="Q1347" s="2" t="s">
        <v>39</v>
      </c>
      <c r="R1347" s="2" t="s">
        <v>39</v>
      </c>
      <c r="S1347" s="2" t="s">
        <v>39</v>
      </c>
      <c r="T1347" s="2" t="s">
        <v>39</v>
      </c>
      <c r="U1347" s="2" t="s">
        <v>39</v>
      </c>
      <c r="V1347" s="2" t="s">
        <v>39</v>
      </c>
      <c r="W1347" s="2" t="s">
        <v>39</v>
      </c>
      <c r="X1347" s="2" t="s">
        <v>39</v>
      </c>
      <c r="Y1347" s="2" t="s">
        <v>39</v>
      </c>
      <c r="Z1347" s="2" t="s">
        <v>39</v>
      </c>
      <c r="AA1347" s="2" t="s">
        <v>39</v>
      </c>
      <c r="AB1347" s="2" t="s">
        <v>39</v>
      </c>
      <c r="AC1347" s="2" t="s">
        <v>39</v>
      </c>
      <c r="AD1347" s="2" t="s">
        <v>39</v>
      </c>
      <c r="AE1347" s="2" t="s">
        <v>39</v>
      </c>
    </row>
    <row r="1348" spans="1:31" ht="409.5">
      <c r="A1348" s="2">
        <v>2740386</v>
      </c>
      <c r="B1348" s="2">
        <f>HYPERLINK("https://platform.v2.vetology.net/cases/2740386/screening-report/1?type=pdf&amp;v=v6&amp;scorecard=1&amp;secret_key=BX%25IJ%24%2F65ieZ%29f6", 2740386)</f>
        <v>2740386</v>
      </c>
      <c r="C1348" s="2">
        <f>HYPERLINK("https://platform.v2.vetology.net/report/v/final/"&amp;2740386, 2740386)</f>
        <v>2740386</v>
      </c>
      <c r="D1348" s="2" t="s">
        <v>4455</v>
      </c>
      <c r="E1348" s="2" t="s">
        <v>4456</v>
      </c>
      <c r="F1348" s="2" t="s">
        <v>43</v>
      </c>
      <c r="G1348" s="2" t="s">
        <v>507</v>
      </c>
      <c r="H1348" s="2" t="s">
        <v>4457</v>
      </c>
      <c r="I1348" s="2" t="s">
        <v>73</v>
      </c>
      <c r="J1348" s="2" t="s">
        <v>74</v>
      </c>
      <c r="K1348" s="2" t="s">
        <v>38</v>
      </c>
      <c r="L1348" s="2" t="s">
        <v>38</v>
      </c>
      <c r="M1348" s="2" t="s">
        <v>38</v>
      </c>
      <c r="N1348" s="2" t="s">
        <v>38</v>
      </c>
      <c r="O1348" s="2" t="s">
        <v>38</v>
      </c>
      <c r="P1348" s="2" t="s">
        <v>38</v>
      </c>
      <c r="Q1348" s="2" t="s">
        <v>38</v>
      </c>
      <c r="R1348" s="2" t="s">
        <v>38</v>
      </c>
      <c r="S1348" s="2" t="s">
        <v>38</v>
      </c>
      <c r="T1348" s="2" t="s">
        <v>38</v>
      </c>
      <c r="U1348" s="2" t="s">
        <v>38</v>
      </c>
      <c r="V1348" s="2" t="s">
        <v>38</v>
      </c>
      <c r="W1348" s="2" t="s">
        <v>38</v>
      </c>
      <c r="X1348" s="2" t="s">
        <v>38</v>
      </c>
      <c r="Y1348" s="2" t="s">
        <v>38</v>
      </c>
      <c r="Z1348" s="2" t="s">
        <v>38</v>
      </c>
      <c r="AA1348" s="2" t="s">
        <v>38</v>
      </c>
      <c r="AB1348" s="2" t="s">
        <v>38</v>
      </c>
      <c r="AC1348" s="2" t="s">
        <v>38</v>
      </c>
      <c r="AD1348" s="2" t="s">
        <v>39</v>
      </c>
      <c r="AE1348" s="2" t="s">
        <v>40</v>
      </c>
    </row>
    <row r="1349" spans="1:31" ht="409.5">
      <c r="A1349" s="2">
        <v>2740351</v>
      </c>
      <c r="B1349" s="2">
        <f>HYPERLINK("https://platform.v2.vetology.net/cases/2740351/screening-report/1?type=pdf&amp;v=v6&amp;scorecard=1&amp;secret_key=BX%25IJ%24%2F65ieZ%29f6", 2740351)</f>
        <v>2740351</v>
      </c>
      <c r="C1349" s="2">
        <f>HYPERLINK("https://platform.v2.vetology.net/report/v/final/"&amp;2740351, 2740351)</f>
        <v>2740351</v>
      </c>
      <c r="D1349" s="2" t="s">
        <v>4458</v>
      </c>
      <c r="E1349" s="2" t="s">
        <v>4459</v>
      </c>
      <c r="F1349" s="2" t="s">
        <v>4460</v>
      </c>
      <c r="G1349" s="2" t="s">
        <v>34</v>
      </c>
      <c r="H1349" s="2" t="s">
        <v>4461</v>
      </c>
      <c r="I1349" s="2" t="s">
        <v>36</v>
      </c>
      <c r="J1349" s="2" t="s">
        <v>37</v>
      </c>
      <c r="K1349" s="2" t="s">
        <v>39</v>
      </c>
      <c r="L1349" s="2" t="s">
        <v>38</v>
      </c>
      <c r="M1349" s="2" t="s">
        <v>39</v>
      </c>
      <c r="N1349" s="2" t="s">
        <v>39</v>
      </c>
      <c r="O1349" s="2" t="s">
        <v>39</v>
      </c>
      <c r="P1349" s="2" t="s">
        <v>38</v>
      </c>
      <c r="Q1349" s="2" t="s">
        <v>39</v>
      </c>
      <c r="R1349" s="2" t="s">
        <v>39</v>
      </c>
      <c r="S1349" s="2" t="s">
        <v>39</v>
      </c>
      <c r="T1349" s="2" t="s">
        <v>39</v>
      </c>
      <c r="U1349" s="2" t="s">
        <v>39</v>
      </c>
      <c r="V1349" s="2" t="s">
        <v>39</v>
      </c>
      <c r="W1349" s="2" t="s">
        <v>39</v>
      </c>
      <c r="X1349" s="2" t="s">
        <v>39</v>
      </c>
      <c r="Y1349" s="2" t="s">
        <v>39</v>
      </c>
      <c r="Z1349" s="2" t="s">
        <v>39</v>
      </c>
      <c r="AA1349" s="2" t="s">
        <v>39</v>
      </c>
      <c r="AB1349" s="2" t="s">
        <v>39</v>
      </c>
      <c r="AC1349" s="2" t="s">
        <v>38</v>
      </c>
      <c r="AD1349" s="2" t="s">
        <v>39</v>
      </c>
      <c r="AE1349" s="2"/>
    </row>
    <row r="1350" spans="1:31" ht="409.5">
      <c r="A1350" s="2">
        <v>2740329</v>
      </c>
      <c r="B1350" s="2">
        <f>HYPERLINK("https://platform.v2.vetology.net/cases/2740329/screening-report/1?type=pdf&amp;v=v6&amp;scorecard=1&amp;secret_key=BX%25IJ%24%2F65ieZ%29f6", 2740329)</f>
        <v>2740329</v>
      </c>
      <c r="C1350" s="2">
        <f>HYPERLINK("https://platform.v2.vetology.net/report/v/final/"&amp;2740329, 2740329)</f>
        <v>2740329</v>
      </c>
      <c r="D1350" s="2" t="s">
        <v>4462</v>
      </c>
      <c r="E1350" s="2" t="s">
        <v>4463</v>
      </c>
      <c r="F1350" s="2" t="s">
        <v>43</v>
      </c>
      <c r="G1350" s="2" t="s">
        <v>44</v>
      </c>
      <c r="H1350" s="2" t="s">
        <v>4464</v>
      </c>
      <c r="I1350" s="2" t="s">
        <v>36</v>
      </c>
      <c r="J1350" s="2" t="s">
        <v>37</v>
      </c>
      <c r="K1350" s="2" t="s">
        <v>39</v>
      </c>
      <c r="L1350" s="2" t="s">
        <v>38</v>
      </c>
      <c r="M1350" s="2" t="s">
        <v>38</v>
      </c>
      <c r="N1350" s="2" t="s">
        <v>38</v>
      </c>
      <c r="O1350" s="2" t="s">
        <v>38</v>
      </c>
      <c r="P1350" s="2" t="s">
        <v>39</v>
      </c>
      <c r="Q1350" s="2" t="s">
        <v>39</v>
      </c>
      <c r="R1350" s="2" t="s">
        <v>39</v>
      </c>
      <c r="S1350" s="2" t="s">
        <v>39</v>
      </c>
      <c r="T1350" s="2" t="s">
        <v>38</v>
      </c>
      <c r="U1350" s="2" t="s">
        <v>38</v>
      </c>
      <c r="V1350" s="2" t="s">
        <v>38</v>
      </c>
      <c r="W1350" s="2" t="s">
        <v>38</v>
      </c>
      <c r="X1350" s="2" t="s">
        <v>39</v>
      </c>
      <c r="Y1350" s="2" t="s">
        <v>39</v>
      </c>
      <c r="Z1350" s="2" t="s">
        <v>38</v>
      </c>
      <c r="AA1350" s="2" t="s">
        <v>39</v>
      </c>
      <c r="AB1350" s="2" t="s">
        <v>39</v>
      </c>
      <c r="AC1350" s="2" t="s">
        <v>38</v>
      </c>
      <c r="AD1350" s="2" t="s">
        <v>39</v>
      </c>
      <c r="AE1350" s="2" t="s">
        <v>40</v>
      </c>
    </row>
    <row r="1351" spans="1:31" ht="409.5">
      <c r="A1351" s="2">
        <v>2740327</v>
      </c>
      <c r="B1351" s="2">
        <f>HYPERLINK("https://platform.v2.vetology.net/cases/2740327/screening-report/1?type=pdf&amp;v=v6&amp;scorecard=1&amp;secret_key=BX%25IJ%24%2F65ieZ%29f6", 2740327)</f>
        <v>2740327</v>
      </c>
      <c r="C1351" s="2">
        <f>HYPERLINK("https://platform.v2.vetology.net/report/v/final/"&amp;2740327, 2740327)</f>
        <v>2740327</v>
      </c>
      <c r="D1351" s="2" t="s">
        <v>4465</v>
      </c>
      <c r="E1351" s="2" t="s">
        <v>4466</v>
      </c>
      <c r="F1351" s="2" t="s">
        <v>4467</v>
      </c>
      <c r="G1351" s="2" t="s">
        <v>170</v>
      </c>
      <c r="H1351" s="2" t="s">
        <v>4468</v>
      </c>
      <c r="I1351" s="2" t="s">
        <v>129</v>
      </c>
      <c r="J1351" s="2" t="s">
        <v>74</v>
      </c>
      <c r="K1351" s="2" t="s">
        <v>39</v>
      </c>
      <c r="L1351" s="2" t="s">
        <v>39</v>
      </c>
      <c r="M1351" s="2" t="s">
        <v>38</v>
      </c>
      <c r="N1351" s="2" t="s">
        <v>39</v>
      </c>
      <c r="O1351" s="2" t="s">
        <v>39</v>
      </c>
      <c r="P1351" s="2" t="s">
        <v>38</v>
      </c>
      <c r="Q1351" s="2" t="s">
        <v>38</v>
      </c>
      <c r="R1351" s="2" t="s">
        <v>39</v>
      </c>
      <c r="S1351" s="2" t="s">
        <v>39</v>
      </c>
      <c r="T1351" s="2" t="s">
        <v>39</v>
      </c>
      <c r="U1351" s="2" t="s">
        <v>39</v>
      </c>
      <c r="V1351" s="2" t="s">
        <v>39</v>
      </c>
      <c r="W1351" s="2" t="s">
        <v>39</v>
      </c>
      <c r="X1351" s="2" t="s">
        <v>38</v>
      </c>
      <c r="Y1351" s="2" t="s">
        <v>39</v>
      </c>
      <c r="Z1351" s="2" t="s">
        <v>39</v>
      </c>
      <c r="AA1351" s="2" t="s">
        <v>39</v>
      </c>
      <c r="AB1351" s="2" t="s">
        <v>38</v>
      </c>
      <c r="AC1351" s="2" t="s">
        <v>39</v>
      </c>
      <c r="AD1351" s="2" t="s">
        <v>39</v>
      </c>
      <c r="AE1351" s="2"/>
    </row>
    <row r="1352" spans="1:31" ht="409.5">
      <c r="A1352" s="2">
        <v>2740242</v>
      </c>
      <c r="B1352" s="2">
        <f>HYPERLINK("https://platform.v2.vetology.net/cases/2740242/screening-report/1?type=pdf&amp;v=v6&amp;scorecard=1&amp;secret_key=BX%25IJ%24%2F65ieZ%29f6", 2740242)</f>
        <v>2740242</v>
      </c>
      <c r="C1352" s="2">
        <f>HYPERLINK("https://platform.v2.vetology.net/report/v/final/"&amp;2740242, 2740242)</f>
        <v>2740242</v>
      </c>
      <c r="D1352" s="2" t="s">
        <v>4469</v>
      </c>
      <c r="E1352" s="2" t="s">
        <v>4470</v>
      </c>
      <c r="F1352" s="2" t="s">
        <v>43</v>
      </c>
      <c r="G1352" s="2" t="s">
        <v>44</v>
      </c>
      <c r="H1352" s="2" t="s">
        <v>4471</v>
      </c>
      <c r="I1352" s="2" t="s">
        <v>257</v>
      </c>
      <c r="J1352" s="2" t="s">
        <v>74</v>
      </c>
      <c r="K1352" s="2" t="s">
        <v>38</v>
      </c>
      <c r="L1352" s="2" t="s">
        <v>38</v>
      </c>
      <c r="M1352" s="2" t="s">
        <v>38</v>
      </c>
      <c r="N1352" s="2" t="s">
        <v>38</v>
      </c>
      <c r="O1352" s="2" t="s">
        <v>38</v>
      </c>
      <c r="P1352" s="2" t="s">
        <v>38</v>
      </c>
      <c r="Q1352" s="2" t="s">
        <v>38</v>
      </c>
      <c r="R1352" s="2" t="s">
        <v>38</v>
      </c>
      <c r="S1352" s="2" t="s">
        <v>38</v>
      </c>
      <c r="T1352" s="2" t="s">
        <v>38</v>
      </c>
      <c r="U1352" s="2" t="s">
        <v>38</v>
      </c>
      <c r="V1352" s="2" t="s">
        <v>38</v>
      </c>
      <c r="W1352" s="2" t="s">
        <v>38</v>
      </c>
      <c r="X1352" s="2" t="s">
        <v>38</v>
      </c>
      <c r="Y1352" s="2" t="s">
        <v>38</v>
      </c>
      <c r="Z1352" s="2" t="s">
        <v>38</v>
      </c>
      <c r="AA1352" s="2" t="s">
        <v>38</v>
      </c>
      <c r="AB1352" s="2" t="s">
        <v>38</v>
      </c>
      <c r="AC1352" s="2" t="s">
        <v>38</v>
      </c>
      <c r="AD1352" s="2" t="s">
        <v>38</v>
      </c>
      <c r="AE1352" s="2" t="s">
        <v>40</v>
      </c>
    </row>
    <row r="1353" spans="1:31" ht="409.5">
      <c r="A1353" s="2">
        <v>2740197</v>
      </c>
      <c r="B1353" s="2">
        <f>HYPERLINK("https://platform.v2.vetology.net/cases/2740197/screening-report/1?type=pdf&amp;v=v6&amp;scorecard=1&amp;secret_key=BX%25IJ%24%2F65ieZ%29f6", 2740197)</f>
        <v>2740197</v>
      </c>
      <c r="C1353" s="2">
        <f>HYPERLINK("https://platform.v2.vetology.net/report/v/final/"&amp;2740197, 2740197)</f>
        <v>2740197</v>
      </c>
      <c r="D1353" s="2" t="s">
        <v>4472</v>
      </c>
      <c r="E1353" s="2" t="s">
        <v>4473</v>
      </c>
      <c r="F1353" s="2" t="s">
        <v>4474</v>
      </c>
      <c r="G1353" s="2" t="s">
        <v>34</v>
      </c>
      <c r="H1353" s="2" t="s">
        <v>4475</v>
      </c>
      <c r="I1353" s="2" t="s">
        <v>36</v>
      </c>
      <c r="J1353" s="2" t="s">
        <v>37</v>
      </c>
      <c r="K1353" s="2" t="s">
        <v>38</v>
      </c>
      <c r="L1353" s="2" t="s">
        <v>38</v>
      </c>
      <c r="M1353" s="2" t="s">
        <v>38</v>
      </c>
      <c r="N1353" s="2" t="s">
        <v>38</v>
      </c>
      <c r="O1353" s="2" t="s">
        <v>38</v>
      </c>
      <c r="P1353" s="2" t="s">
        <v>39</v>
      </c>
      <c r="Q1353" s="2" t="s">
        <v>39</v>
      </c>
      <c r="R1353" s="2" t="s">
        <v>38</v>
      </c>
      <c r="S1353" s="2" t="s">
        <v>38</v>
      </c>
      <c r="T1353" s="2" t="s">
        <v>39</v>
      </c>
      <c r="U1353" s="2" t="s">
        <v>38</v>
      </c>
      <c r="V1353" s="2" t="s">
        <v>38</v>
      </c>
      <c r="W1353" s="2" t="s">
        <v>38</v>
      </c>
      <c r="X1353" s="2" t="s">
        <v>39</v>
      </c>
      <c r="Y1353" s="2" t="s">
        <v>38</v>
      </c>
      <c r="Z1353" s="2" t="s">
        <v>38</v>
      </c>
      <c r="AA1353" s="2" t="s">
        <v>38</v>
      </c>
      <c r="AB1353" s="2" t="s">
        <v>39</v>
      </c>
      <c r="AC1353" s="2" t="s">
        <v>38</v>
      </c>
      <c r="AD1353" s="2" t="s">
        <v>38</v>
      </c>
      <c r="AE1353" s="2" t="s">
        <v>40</v>
      </c>
    </row>
    <row r="1354" spans="1:31" ht="409.5">
      <c r="A1354" s="2">
        <v>2740187</v>
      </c>
      <c r="B1354" s="2">
        <f>HYPERLINK("https://platform.v2.vetology.net/cases/2740187/screening-report/1?type=pdf&amp;v=v6&amp;scorecard=1&amp;secret_key=BX%25IJ%24%2F65ieZ%29f6", 2740187)</f>
        <v>2740187</v>
      </c>
      <c r="C1354" s="2">
        <f>HYPERLINK("https://platform.v2.vetology.net/report/v/final/"&amp;2740187, 2740187)</f>
        <v>2740187</v>
      </c>
      <c r="D1354" s="2" t="s">
        <v>4476</v>
      </c>
      <c r="E1354" s="2" t="s">
        <v>4477</v>
      </c>
      <c r="F1354" s="2" t="s">
        <v>4478</v>
      </c>
      <c r="G1354" s="2" t="s">
        <v>170</v>
      </c>
      <c r="H1354" s="2" t="s">
        <v>4479</v>
      </c>
      <c r="I1354" s="2" t="s">
        <v>36</v>
      </c>
      <c r="J1354" s="2" t="s">
        <v>37</v>
      </c>
      <c r="K1354" s="2" t="s">
        <v>39</v>
      </c>
      <c r="L1354" s="2" t="s">
        <v>38</v>
      </c>
      <c r="M1354" s="2" t="s">
        <v>38</v>
      </c>
      <c r="N1354" s="2" t="s">
        <v>38</v>
      </c>
      <c r="O1354" s="2" t="s">
        <v>38</v>
      </c>
      <c r="P1354" s="2" t="s">
        <v>39</v>
      </c>
      <c r="Q1354" s="2" t="s">
        <v>39</v>
      </c>
      <c r="R1354" s="2" t="s">
        <v>39</v>
      </c>
      <c r="S1354" s="2" t="s">
        <v>38</v>
      </c>
      <c r="T1354" s="2" t="s">
        <v>39</v>
      </c>
      <c r="U1354" s="2" t="s">
        <v>39</v>
      </c>
      <c r="V1354" s="2" t="s">
        <v>39</v>
      </c>
      <c r="W1354" s="2" t="s">
        <v>38</v>
      </c>
      <c r="X1354" s="2" t="s">
        <v>39</v>
      </c>
      <c r="Y1354" s="2" t="s">
        <v>39</v>
      </c>
      <c r="Z1354" s="2" t="s">
        <v>38</v>
      </c>
      <c r="AA1354" s="2" t="s">
        <v>38</v>
      </c>
      <c r="AB1354" s="2" t="s">
        <v>39</v>
      </c>
      <c r="AC1354" s="2" t="s">
        <v>38</v>
      </c>
      <c r="AD1354" s="2" t="s">
        <v>38</v>
      </c>
      <c r="AE1354" s="2"/>
    </row>
    <row r="1355" spans="1:31" ht="409.5">
      <c r="A1355" s="2">
        <v>2740159</v>
      </c>
      <c r="B1355" s="2">
        <f>HYPERLINK("https://platform.v2.vetology.net/cases/2740159/screening-report/1?type=pdf&amp;v=v6&amp;scorecard=1&amp;secret_key=BX%25IJ%24%2F65ieZ%29f6", 2740159)</f>
        <v>2740159</v>
      </c>
      <c r="C1355" s="2">
        <f>HYPERLINK("https://platform.v2.vetology.net/report/v/final/"&amp;2740159, 2740159)</f>
        <v>2740159</v>
      </c>
      <c r="D1355" s="2" t="s">
        <v>4480</v>
      </c>
      <c r="E1355" s="2" t="s">
        <v>4481</v>
      </c>
      <c r="F1355" s="2" t="s">
        <v>4482</v>
      </c>
      <c r="G1355" s="2" t="s">
        <v>111</v>
      </c>
      <c r="H1355" s="2" t="s">
        <v>69</v>
      </c>
      <c r="I1355" s="2" t="s">
        <v>46</v>
      </c>
      <c r="J1355" s="2"/>
      <c r="K1355" s="2" t="s">
        <v>39</v>
      </c>
      <c r="L1355" s="2" t="s">
        <v>39</v>
      </c>
      <c r="M1355" s="2" t="s">
        <v>39</v>
      </c>
      <c r="N1355" s="2" t="s">
        <v>39</v>
      </c>
      <c r="O1355" s="2" t="s">
        <v>39</v>
      </c>
      <c r="P1355" s="2" t="s">
        <v>39</v>
      </c>
      <c r="Q1355" s="2" t="s">
        <v>39</v>
      </c>
      <c r="R1355" s="2" t="s">
        <v>39</v>
      </c>
      <c r="S1355" s="2" t="s">
        <v>39</v>
      </c>
      <c r="T1355" s="2" t="s">
        <v>39</v>
      </c>
      <c r="U1355" s="2" t="s">
        <v>39</v>
      </c>
      <c r="V1355" s="2" t="s">
        <v>39</v>
      </c>
      <c r="W1355" s="2" t="s">
        <v>39</v>
      </c>
      <c r="X1355" s="2" t="s">
        <v>39</v>
      </c>
      <c r="Y1355" s="2" t="s">
        <v>39</v>
      </c>
      <c r="Z1355" s="2" t="s">
        <v>39</v>
      </c>
      <c r="AA1355" s="2" t="s">
        <v>39</v>
      </c>
      <c r="AB1355" s="2" t="s">
        <v>39</v>
      </c>
      <c r="AC1355" s="2" t="s">
        <v>38</v>
      </c>
      <c r="AD1355" s="2" t="s">
        <v>39</v>
      </c>
      <c r="AE1355" s="2" t="s">
        <v>39</v>
      </c>
    </row>
    <row r="1356" spans="1:31" ht="409.5">
      <c r="A1356" s="2">
        <v>2740046</v>
      </c>
      <c r="B1356" s="2">
        <f>HYPERLINK("https://platform.v2.vetology.net/cases/2740046/screening-report/1?type=pdf&amp;v=v6&amp;scorecard=1&amp;secret_key=BX%25IJ%24%2F65ieZ%29f6", 2740046)</f>
        <v>2740046</v>
      </c>
      <c r="C1356" s="2">
        <f>HYPERLINK("https://platform.v2.vetology.net/report/v/final/"&amp;2740046, 2740046)</f>
        <v>2740046</v>
      </c>
      <c r="D1356" s="2" t="s">
        <v>4483</v>
      </c>
      <c r="E1356" s="2" t="s">
        <v>4484</v>
      </c>
      <c r="F1356" s="2"/>
      <c r="G1356" s="2" t="s">
        <v>81</v>
      </c>
      <c r="H1356" s="2" t="s">
        <v>4485</v>
      </c>
      <c r="I1356" s="2" t="s">
        <v>684</v>
      </c>
      <c r="J1356" s="2" t="s">
        <v>74</v>
      </c>
      <c r="K1356" s="2" t="s">
        <v>39</v>
      </c>
      <c r="L1356" s="2" t="s">
        <v>39</v>
      </c>
      <c r="M1356" s="2" t="s">
        <v>39</v>
      </c>
      <c r="N1356" s="2" t="s">
        <v>39</v>
      </c>
      <c r="O1356" s="2" t="s">
        <v>39</v>
      </c>
      <c r="P1356" s="2" t="s">
        <v>38</v>
      </c>
      <c r="Q1356" s="2" t="s">
        <v>38</v>
      </c>
      <c r="R1356" s="2" t="s">
        <v>39</v>
      </c>
      <c r="S1356" s="2" t="s">
        <v>39</v>
      </c>
      <c r="T1356" s="2" t="s">
        <v>39</v>
      </c>
      <c r="U1356" s="2" t="s">
        <v>39</v>
      </c>
      <c r="V1356" s="2" t="s">
        <v>39</v>
      </c>
      <c r="W1356" s="2" t="s">
        <v>39</v>
      </c>
      <c r="X1356" s="2" t="s">
        <v>38</v>
      </c>
      <c r="Y1356" s="2" t="s">
        <v>39</v>
      </c>
      <c r="Z1356" s="2" t="s">
        <v>39</v>
      </c>
      <c r="AA1356" s="2" t="s">
        <v>38</v>
      </c>
      <c r="AB1356" s="2" t="s">
        <v>39</v>
      </c>
      <c r="AC1356" s="2" t="s">
        <v>39</v>
      </c>
      <c r="AD1356" s="2" t="s">
        <v>39</v>
      </c>
      <c r="AE1356" s="2" t="s">
        <v>39</v>
      </c>
    </row>
    <row r="1357" spans="1:31" ht="409.5">
      <c r="A1357" s="2">
        <v>2740007</v>
      </c>
      <c r="B1357" s="2">
        <f>HYPERLINK("https://platform.v2.vetology.net/cases/2740007/screening-report/1?type=pdf&amp;v=v6&amp;scorecard=1&amp;secret_key=BX%25IJ%24%2F65ieZ%29f6", 2740007)</f>
        <v>2740007</v>
      </c>
      <c r="C1357" s="2">
        <f>HYPERLINK("https://platform.v2.vetology.net/report/v/final/"&amp;2740007, 2740007)</f>
        <v>2740007</v>
      </c>
      <c r="D1357" s="2" t="s">
        <v>4486</v>
      </c>
      <c r="E1357" s="2" t="s">
        <v>4487</v>
      </c>
      <c r="F1357" s="2" t="s">
        <v>43</v>
      </c>
      <c r="G1357" s="2" t="s">
        <v>44</v>
      </c>
      <c r="H1357" s="2" t="s">
        <v>4488</v>
      </c>
      <c r="I1357" s="2" t="s">
        <v>36</v>
      </c>
      <c r="J1357" s="2" t="s">
        <v>37</v>
      </c>
      <c r="K1357" s="2" t="s">
        <v>38</v>
      </c>
      <c r="L1357" s="2" t="s">
        <v>38</v>
      </c>
      <c r="M1357" s="2" t="s">
        <v>38</v>
      </c>
      <c r="N1357" s="2" t="s">
        <v>38</v>
      </c>
      <c r="O1357" s="2" t="s">
        <v>38</v>
      </c>
      <c r="P1357" s="2" t="s">
        <v>39</v>
      </c>
      <c r="Q1357" s="2" t="s">
        <v>39</v>
      </c>
      <c r="R1357" s="2" t="s">
        <v>38</v>
      </c>
      <c r="S1357" s="2" t="s">
        <v>39</v>
      </c>
      <c r="T1357" s="2" t="s">
        <v>38</v>
      </c>
      <c r="U1357" s="2" t="s">
        <v>38</v>
      </c>
      <c r="V1357" s="2" t="s">
        <v>38</v>
      </c>
      <c r="W1357" s="2" t="s">
        <v>38</v>
      </c>
      <c r="X1357" s="2" t="s">
        <v>39</v>
      </c>
      <c r="Y1357" s="2" t="s">
        <v>39</v>
      </c>
      <c r="Z1357" s="2" t="s">
        <v>38</v>
      </c>
      <c r="AA1357" s="2" t="s">
        <v>39</v>
      </c>
      <c r="AB1357" s="2" t="s">
        <v>39</v>
      </c>
      <c r="AC1357" s="2" t="s">
        <v>38</v>
      </c>
      <c r="AD1357" s="2" t="s">
        <v>39</v>
      </c>
      <c r="AE1357" s="2" t="s">
        <v>39</v>
      </c>
    </row>
    <row r="1358" spans="1:31" ht="409.5">
      <c r="A1358" s="2">
        <v>2740001</v>
      </c>
      <c r="B1358" s="2">
        <f>HYPERLINK("https://platform.v2.vetology.net/cases/2740001/screening-report/1?type=pdf&amp;v=v6&amp;scorecard=1&amp;secret_key=BX%25IJ%24%2F65ieZ%29f6", 2740001)</f>
        <v>2740001</v>
      </c>
      <c r="C1358" s="2">
        <f>HYPERLINK("https://platform.v2.vetology.net/report/v/final/"&amp;2740001, 2740001)</f>
        <v>2740001</v>
      </c>
      <c r="D1358" s="2" t="s">
        <v>4489</v>
      </c>
      <c r="E1358" s="2" t="s">
        <v>4490</v>
      </c>
      <c r="F1358" s="2" t="s">
        <v>4491</v>
      </c>
      <c r="G1358" s="2" t="s">
        <v>111</v>
      </c>
      <c r="H1358" s="2" t="s">
        <v>69</v>
      </c>
      <c r="I1358" s="2" t="s">
        <v>46</v>
      </c>
      <c r="J1358" s="2"/>
      <c r="K1358" s="2" t="s">
        <v>39</v>
      </c>
      <c r="L1358" s="2" t="s">
        <v>39</v>
      </c>
      <c r="M1358" s="2" t="s">
        <v>39</v>
      </c>
      <c r="N1358" s="2" t="s">
        <v>39</v>
      </c>
      <c r="O1358" s="2" t="s">
        <v>39</v>
      </c>
      <c r="P1358" s="2" t="s">
        <v>39</v>
      </c>
      <c r="Q1358" s="2" t="s">
        <v>39</v>
      </c>
      <c r="R1358" s="2" t="s">
        <v>39</v>
      </c>
      <c r="S1358" s="2" t="s">
        <v>39</v>
      </c>
      <c r="T1358" s="2" t="s">
        <v>38</v>
      </c>
      <c r="U1358" s="2" t="s">
        <v>39</v>
      </c>
      <c r="V1358" s="2" t="s">
        <v>39</v>
      </c>
      <c r="W1358" s="2" t="s">
        <v>38</v>
      </c>
      <c r="X1358" s="2" t="s">
        <v>39</v>
      </c>
      <c r="Y1358" s="2" t="s">
        <v>39</v>
      </c>
      <c r="Z1358" s="2" t="s">
        <v>39</v>
      </c>
      <c r="AA1358" s="2" t="s">
        <v>39</v>
      </c>
      <c r="AB1358" s="2" t="s">
        <v>39</v>
      </c>
      <c r="AC1358" s="2" t="s">
        <v>38</v>
      </c>
      <c r="AD1358" s="2" t="s">
        <v>38</v>
      </c>
      <c r="AE1358" s="2" t="s">
        <v>40</v>
      </c>
    </row>
    <row r="1359" spans="1:31" ht="409.5">
      <c r="A1359" s="2">
        <v>2739994</v>
      </c>
      <c r="B1359" s="2">
        <f>HYPERLINK("https://platform.v2.vetology.net/cases/2739994/screening-report/1?type=pdf&amp;v=v6&amp;scorecard=1&amp;secret_key=BX%25IJ%24%2F65ieZ%29f6", 2739994)</f>
        <v>2739994</v>
      </c>
      <c r="C1359" s="2">
        <f>HYPERLINK("https://platform.v2.vetology.net/report/v/final/"&amp;2739994, 2739994)</f>
        <v>2739994</v>
      </c>
      <c r="D1359" s="2" t="s">
        <v>4492</v>
      </c>
      <c r="E1359" s="2" t="s">
        <v>4493</v>
      </c>
      <c r="F1359" s="2" t="s">
        <v>4494</v>
      </c>
      <c r="G1359" s="2" t="s">
        <v>507</v>
      </c>
      <c r="H1359" s="2" t="s">
        <v>4495</v>
      </c>
      <c r="I1359" s="2" t="s">
        <v>129</v>
      </c>
      <c r="J1359" s="2" t="s">
        <v>74</v>
      </c>
      <c r="K1359" s="2" t="s">
        <v>38</v>
      </c>
      <c r="L1359" s="2" t="s">
        <v>38</v>
      </c>
      <c r="M1359" s="2" t="s">
        <v>38</v>
      </c>
      <c r="N1359" s="2" t="s">
        <v>38</v>
      </c>
      <c r="O1359" s="2" t="s">
        <v>38</v>
      </c>
      <c r="P1359" s="2" t="s">
        <v>39</v>
      </c>
      <c r="Q1359" s="2" t="s">
        <v>38</v>
      </c>
      <c r="R1359" s="2" t="s">
        <v>38</v>
      </c>
      <c r="S1359" s="2" t="s">
        <v>38</v>
      </c>
      <c r="T1359" s="2" t="s">
        <v>39</v>
      </c>
      <c r="U1359" s="2" t="s">
        <v>38</v>
      </c>
      <c r="V1359" s="2" t="s">
        <v>38</v>
      </c>
      <c r="W1359" s="2" t="s">
        <v>38</v>
      </c>
      <c r="X1359" s="2" t="s">
        <v>38</v>
      </c>
      <c r="Y1359" s="2" t="s">
        <v>39</v>
      </c>
      <c r="Z1359" s="2" t="s">
        <v>38</v>
      </c>
      <c r="AA1359" s="2" t="s">
        <v>38</v>
      </c>
      <c r="AB1359" s="2" t="s">
        <v>39</v>
      </c>
      <c r="AC1359" s="2" t="s">
        <v>38</v>
      </c>
      <c r="AD1359" s="2" t="s">
        <v>39</v>
      </c>
      <c r="AE1359" s="2" t="s">
        <v>40</v>
      </c>
    </row>
    <row r="1360" spans="1:31" ht="409.5">
      <c r="A1360" s="2">
        <v>2739973</v>
      </c>
      <c r="B1360" s="2">
        <f>HYPERLINK("https://platform.v2.vetology.net/cases/2739973/screening-report/1?type=pdf&amp;v=v6&amp;scorecard=1&amp;secret_key=BX%25IJ%24%2F65ieZ%29f6", 2739973)</f>
        <v>2739973</v>
      </c>
      <c r="C1360" s="2">
        <f>HYPERLINK("https://platform.v2.vetology.net/report/v/final/"&amp;2739973, 2739973)</f>
        <v>2739973</v>
      </c>
      <c r="D1360" s="2" t="s">
        <v>4496</v>
      </c>
      <c r="E1360" s="2" t="s">
        <v>4497</v>
      </c>
      <c r="F1360" s="2" t="s">
        <v>4498</v>
      </c>
      <c r="G1360" s="2" t="s">
        <v>127</v>
      </c>
      <c r="H1360" s="2" t="s">
        <v>2862</v>
      </c>
      <c r="I1360" s="2" t="s">
        <v>46</v>
      </c>
      <c r="J1360" s="2"/>
      <c r="K1360" s="2" t="s">
        <v>38</v>
      </c>
      <c r="L1360" s="2" t="s">
        <v>39</v>
      </c>
      <c r="M1360" s="2" t="s">
        <v>39</v>
      </c>
      <c r="N1360" s="2" t="s">
        <v>39</v>
      </c>
      <c r="O1360" s="2" t="s">
        <v>39</v>
      </c>
      <c r="P1360" s="2" t="s">
        <v>39</v>
      </c>
      <c r="Q1360" s="2" t="s">
        <v>39</v>
      </c>
      <c r="R1360" s="2" t="s">
        <v>38</v>
      </c>
      <c r="S1360" s="2" t="s">
        <v>38</v>
      </c>
      <c r="T1360" s="2" t="s">
        <v>39</v>
      </c>
      <c r="U1360" s="2" t="s">
        <v>38</v>
      </c>
      <c r="V1360" s="2" t="s">
        <v>39</v>
      </c>
      <c r="W1360" s="2" t="s">
        <v>39</v>
      </c>
      <c r="X1360" s="2" t="s">
        <v>39</v>
      </c>
      <c r="Y1360" s="2" t="s">
        <v>39</v>
      </c>
      <c r="Z1360" s="2" t="s">
        <v>38</v>
      </c>
      <c r="AA1360" s="2" t="s">
        <v>38</v>
      </c>
      <c r="AB1360" s="2" t="s">
        <v>39</v>
      </c>
      <c r="AC1360" s="2" t="s">
        <v>38</v>
      </c>
      <c r="AD1360" s="2" t="s">
        <v>38</v>
      </c>
      <c r="AE1360" s="2" t="s">
        <v>39</v>
      </c>
    </row>
    <row r="1361" spans="1:31" ht="409.5">
      <c r="A1361" s="2">
        <v>2739970</v>
      </c>
      <c r="B1361" s="2">
        <f>HYPERLINK("https://platform.v2.vetology.net/cases/2739970/screening-report/1?type=pdf&amp;v=v6&amp;scorecard=1&amp;secret_key=BX%25IJ%24%2F65ieZ%29f6", 2739970)</f>
        <v>2739970</v>
      </c>
      <c r="C1361" s="2">
        <f>HYPERLINK("https://platform.v2.vetology.net/report/v/final/"&amp;2739970, 2739970)</f>
        <v>2739970</v>
      </c>
      <c r="D1361" s="2" t="s">
        <v>4499</v>
      </c>
      <c r="E1361" s="2" t="s">
        <v>4500</v>
      </c>
      <c r="F1361" s="2" t="s">
        <v>4501</v>
      </c>
      <c r="G1361" s="2" t="s">
        <v>507</v>
      </c>
      <c r="H1361" s="2" t="s">
        <v>4502</v>
      </c>
      <c r="I1361" s="2" t="s">
        <v>257</v>
      </c>
      <c r="J1361" s="2" t="s">
        <v>74</v>
      </c>
      <c r="K1361" s="2" t="s">
        <v>38</v>
      </c>
      <c r="L1361" s="2" t="s">
        <v>38</v>
      </c>
      <c r="M1361" s="2" t="s">
        <v>38</v>
      </c>
      <c r="N1361" s="2" t="s">
        <v>38</v>
      </c>
      <c r="O1361" s="2" t="s">
        <v>38</v>
      </c>
      <c r="P1361" s="2" t="s">
        <v>38</v>
      </c>
      <c r="Q1361" s="2" t="s">
        <v>38</v>
      </c>
      <c r="R1361" s="2" t="s">
        <v>38</v>
      </c>
      <c r="S1361" s="2" t="s">
        <v>38</v>
      </c>
      <c r="T1361" s="2" t="s">
        <v>38</v>
      </c>
      <c r="U1361" s="2" t="s">
        <v>38</v>
      </c>
      <c r="V1361" s="2" t="s">
        <v>38</v>
      </c>
      <c r="W1361" s="2" t="s">
        <v>38</v>
      </c>
      <c r="X1361" s="2" t="s">
        <v>38</v>
      </c>
      <c r="Y1361" s="2" t="s">
        <v>38</v>
      </c>
      <c r="Z1361" s="2" t="s">
        <v>38</v>
      </c>
      <c r="AA1361" s="2" t="s">
        <v>38</v>
      </c>
      <c r="AB1361" s="2" t="s">
        <v>38</v>
      </c>
      <c r="AC1361" s="2" t="s">
        <v>38</v>
      </c>
      <c r="AD1361" s="2" t="s">
        <v>38</v>
      </c>
      <c r="AE1361" s="2" t="s">
        <v>40</v>
      </c>
    </row>
    <row r="1362" spans="1:31" ht="409.5">
      <c r="A1362" s="2">
        <v>2739959</v>
      </c>
      <c r="B1362" s="2">
        <f>HYPERLINK("https://platform.v2.vetology.net/cases/2739959/screening-report/1?type=pdf&amp;v=v6&amp;scorecard=1&amp;secret_key=BX%25IJ%24%2F65ieZ%29f6", 2739959)</f>
        <v>2739959</v>
      </c>
      <c r="C1362" s="2">
        <f>HYPERLINK("https://platform.v2.vetology.net/report/v/final/"&amp;2739959, 2739959)</f>
        <v>2739959</v>
      </c>
      <c r="D1362" s="2" t="s">
        <v>4503</v>
      </c>
      <c r="E1362" s="2" t="s">
        <v>4504</v>
      </c>
      <c r="F1362" s="2" t="s">
        <v>43</v>
      </c>
      <c r="G1362" s="2" t="s">
        <v>507</v>
      </c>
      <c r="H1362" s="2" t="s">
        <v>394</v>
      </c>
      <c r="I1362" s="2" t="s">
        <v>59</v>
      </c>
      <c r="J1362" s="2" t="s">
        <v>37</v>
      </c>
      <c r="K1362" s="2" t="s">
        <v>38</v>
      </c>
      <c r="L1362" s="2" t="s">
        <v>39</v>
      </c>
      <c r="M1362" s="2" t="s">
        <v>39</v>
      </c>
      <c r="N1362" s="2" t="s">
        <v>39</v>
      </c>
      <c r="O1362" s="2" t="s">
        <v>39</v>
      </c>
      <c r="P1362" s="2" t="s">
        <v>39</v>
      </c>
      <c r="Q1362" s="2" t="s">
        <v>39</v>
      </c>
      <c r="R1362" s="2" t="s">
        <v>39</v>
      </c>
      <c r="S1362" s="2" t="s">
        <v>39</v>
      </c>
      <c r="T1362" s="2" t="s">
        <v>39</v>
      </c>
      <c r="U1362" s="2" t="s">
        <v>38</v>
      </c>
      <c r="V1362" s="2" t="s">
        <v>38</v>
      </c>
      <c r="W1362" s="2" t="s">
        <v>38</v>
      </c>
      <c r="X1362" s="2" t="s">
        <v>39</v>
      </c>
      <c r="Y1362" s="2" t="s">
        <v>38</v>
      </c>
      <c r="Z1362" s="2" t="s">
        <v>39</v>
      </c>
      <c r="AA1362" s="2" t="s">
        <v>39</v>
      </c>
      <c r="AB1362" s="2" t="s">
        <v>39</v>
      </c>
      <c r="AC1362" s="2" t="s">
        <v>38</v>
      </c>
      <c r="AD1362" s="2" t="s">
        <v>38</v>
      </c>
      <c r="AE1362" s="2" t="s">
        <v>39</v>
      </c>
    </row>
    <row r="1363" spans="1:31" ht="409.5">
      <c r="A1363" s="2">
        <v>2739947</v>
      </c>
      <c r="B1363" s="2">
        <f>HYPERLINK("https://platform.v2.vetology.net/cases/2739947/screening-report/1?type=pdf&amp;v=v6&amp;scorecard=1&amp;secret_key=BX%25IJ%24%2F65ieZ%29f6", 2739947)</f>
        <v>2739947</v>
      </c>
      <c r="C1363" s="2">
        <f>HYPERLINK("https://platform.v2.vetology.net/report/v/final/"&amp;2739947, 2739947)</f>
        <v>2739947</v>
      </c>
      <c r="D1363" s="2" t="s">
        <v>4505</v>
      </c>
      <c r="E1363" s="2" t="s">
        <v>4506</v>
      </c>
      <c r="F1363" s="2" t="s">
        <v>4507</v>
      </c>
      <c r="G1363" s="2" t="s">
        <v>127</v>
      </c>
      <c r="H1363" s="2" t="s">
        <v>2271</v>
      </c>
      <c r="I1363" s="2" t="s">
        <v>129</v>
      </c>
      <c r="J1363" s="2" t="s">
        <v>74</v>
      </c>
      <c r="K1363" s="2" t="s">
        <v>38</v>
      </c>
      <c r="L1363" s="2" t="s">
        <v>39</v>
      </c>
      <c r="M1363" s="2" t="s">
        <v>38</v>
      </c>
      <c r="N1363" s="2" t="s">
        <v>38</v>
      </c>
      <c r="O1363" s="2" t="s">
        <v>38</v>
      </c>
      <c r="P1363" s="2" t="s">
        <v>38</v>
      </c>
      <c r="Q1363" s="2" t="s">
        <v>38</v>
      </c>
      <c r="R1363" s="2" t="s">
        <v>39</v>
      </c>
      <c r="S1363" s="2" t="s">
        <v>38</v>
      </c>
      <c r="T1363" s="2" t="s">
        <v>38</v>
      </c>
      <c r="U1363" s="2" t="s">
        <v>38</v>
      </c>
      <c r="V1363" s="2" t="s">
        <v>38</v>
      </c>
      <c r="W1363" s="2" t="s">
        <v>38</v>
      </c>
      <c r="X1363" s="2" t="s">
        <v>38</v>
      </c>
      <c r="Y1363" s="2" t="s">
        <v>39</v>
      </c>
      <c r="Z1363" s="2" t="s">
        <v>38</v>
      </c>
      <c r="AA1363" s="2" t="s">
        <v>38</v>
      </c>
      <c r="AB1363" s="2" t="s">
        <v>38</v>
      </c>
      <c r="AC1363" s="2" t="s">
        <v>38</v>
      </c>
      <c r="AD1363" s="2" t="s">
        <v>38</v>
      </c>
      <c r="AE1363" s="2" t="s">
        <v>40</v>
      </c>
    </row>
    <row r="1364" spans="1:31" ht="409.5">
      <c r="A1364" s="2">
        <v>2739938</v>
      </c>
      <c r="B1364" s="2">
        <f>HYPERLINK("https://platform.v2.vetology.net/cases/2739938/screening-report/1?type=pdf&amp;v=v6&amp;scorecard=1&amp;secret_key=BX%25IJ%24%2F65ieZ%29f6", 2739938)</f>
        <v>2739938</v>
      </c>
      <c r="C1364" s="2">
        <f>HYPERLINK("https://platform.v2.vetology.net/report/v/final/"&amp;2739938, 2739938)</f>
        <v>2739938</v>
      </c>
      <c r="D1364" s="2" t="s">
        <v>4508</v>
      </c>
      <c r="E1364" s="2" t="s">
        <v>4509</v>
      </c>
      <c r="F1364" s="2" t="s">
        <v>4510</v>
      </c>
      <c r="G1364" s="2" t="s">
        <v>53</v>
      </c>
      <c r="H1364" s="2" t="s">
        <v>4511</v>
      </c>
      <c r="I1364" s="2" t="s">
        <v>257</v>
      </c>
      <c r="J1364" s="2" t="s">
        <v>74</v>
      </c>
      <c r="K1364" s="2" t="s">
        <v>38</v>
      </c>
      <c r="L1364" s="2" t="s">
        <v>38</v>
      </c>
      <c r="M1364" s="2" t="s">
        <v>38</v>
      </c>
      <c r="N1364" s="2" t="s">
        <v>38</v>
      </c>
      <c r="O1364" s="2" t="s">
        <v>38</v>
      </c>
      <c r="P1364" s="2" t="s">
        <v>38</v>
      </c>
      <c r="Q1364" s="2" t="s">
        <v>38</v>
      </c>
      <c r="R1364" s="2" t="s">
        <v>38</v>
      </c>
      <c r="S1364" s="2" t="s">
        <v>38</v>
      </c>
      <c r="T1364" s="2" t="s">
        <v>38</v>
      </c>
      <c r="U1364" s="2" t="s">
        <v>38</v>
      </c>
      <c r="V1364" s="2" t="s">
        <v>38</v>
      </c>
      <c r="W1364" s="2" t="s">
        <v>38</v>
      </c>
      <c r="X1364" s="2" t="s">
        <v>38</v>
      </c>
      <c r="Y1364" s="2" t="s">
        <v>38</v>
      </c>
      <c r="Z1364" s="2" t="s">
        <v>38</v>
      </c>
      <c r="AA1364" s="2" t="s">
        <v>38</v>
      </c>
      <c r="AB1364" s="2" t="s">
        <v>38</v>
      </c>
      <c r="AC1364" s="2" t="s">
        <v>38</v>
      </c>
      <c r="AD1364" s="2" t="s">
        <v>38</v>
      </c>
      <c r="AE1364" s="2" t="s">
        <v>40</v>
      </c>
    </row>
    <row r="1365" spans="1:31" ht="409.5">
      <c r="A1365" s="2">
        <v>2739932</v>
      </c>
      <c r="B1365" s="2">
        <f>HYPERLINK("https://platform.v2.vetology.net/cases/2739932/screening-report/1?type=pdf&amp;v=v6&amp;scorecard=1&amp;secret_key=BX%25IJ%24%2F65ieZ%29f6", 2739932)</f>
        <v>2739932</v>
      </c>
      <c r="C1365" s="2">
        <f>HYPERLINK("https://platform.v2.vetology.net/report/v/final/"&amp;2739932, 2739932)</f>
        <v>2739932</v>
      </c>
      <c r="D1365" s="2" t="s">
        <v>853</v>
      </c>
      <c r="E1365" s="2" t="s">
        <v>854</v>
      </c>
      <c r="F1365" s="2" t="s">
        <v>4512</v>
      </c>
      <c r="G1365" s="2" t="s">
        <v>111</v>
      </c>
      <c r="H1365" s="2" t="s">
        <v>4513</v>
      </c>
      <c r="I1365" s="2" t="s">
        <v>36</v>
      </c>
      <c r="J1365" s="2" t="s">
        <v>37</v>
      </c>
      <c r="K1365" s="2" t="s">
        <v>38</v>
      </c>
      <c r="L1365" s="2" t="s">
        <v>38</v>
      </c>
      <c r="M1365" s="2" t="s">
        <v>39</v>
      </c>
      <c r="N1365" s="2" t="s">
        <v>39</v>
      </c>
      <c r="O1365" s="2" t="s">
        <v>39</v>
      </c>
      <c r="P1365" s="2" t="s">
        <v>39</v>
      </c>
      <c r="Q1365" s="2" t="s">
        <v>39</v>
      </c>
      <c r="R1365" s="2" t="s">
        <v>39</v>
      </c>
      <c r="S1365" s="2" t="s">
        <v>39</v>
      </c>
      <c r="T1365" s="2" t="s">
        <v>39</v>
      </c>
      <c r="U1365" s="2" t="s">
        <v>38</v>
      </c>
      <c r="V1365" s="2" t="s">
        <v>38</v>
      </c>
      <c r="W1365" s="2" t="s">
        <v>38</v>
      </c>
      <c r="X1365" s="2" t="s">
        <v>39</v>
      </c>
      <c r="Y1365" s="2" t="s">
        <v>39</v>
      </c>
      <c r="Z1365" s="2" t="s">
        <v>38</v>
      </c>
      <c r="AA1365" s="2" t="s">
        <v>39</v>
      </c>
      <c r="AB1365" s="2" t="s">
        <v>39</v>
      </c>
      <c r="AC1365" s="2" t="s">
        <v>38</v>
      </c>
      <c r="AD1365" s="2" t="s">
        <v>38</v>
      </c>
      <c r="AE1365" s="2" t="s">
        <v>39</v>
      </c>
    </row>
    <row r="1366" spans="1:31" ht="409.5">
      <c r="A1366" s="2">
        <v>2739913</v>
      </c>
      <c r="B1366" s="2">
        <f>HYPERLINK("https://platform.v2.vetology.net/cases/2739913/screening-report/1?type=pdf&amp;v=v6&amp;scorecard=1&amp;secret_key=BX%25IJ%24%2F65ieZ%29f6", 2739913)</f>
        <v>2739913</v>
      </c>
      <c r="C1366" s="2">
        <f>HYPERLINK("https://platform.v2.vetology.net/report/v/final/"&amp;2739913, 2739913)</f>
        <v>2739913</v>
      </c>
      <c r="D1366" s="2" t="s">
        <v>4514</v>
      </c>
      <c r="E1366" s="2" t="s">
        <v>4515</v>
      </c>
      <c r="F1366" s="2" t="s">
        <v>761</v>
      </c>
      <c r="G1366" s="2" t="s">
        <v>34</v>
      </c>
      <c r="H1366" s="2" t="s">
        <v>4516</v>
      </c>
      <c r="I1366" s="2" t="s">
        <v>36</v>
      </c>
      <c r="J1366" s="2" t="s">
        <v>37</v>
      </c>
      <c r="K1366" s="2" t="s">
        <v>39</v>
      </c>
      <c r="L1366" s="2" t="s">
        <v>38</v>
      </c>
      <c r="M1366" s="2" t="s">
        <v>38</v>
      </c>
      <c r="N1366" s="2" t="s">
        <v>38</v>
      </c>
      <c r="O1366" s="2" t="s">
        <v>38</v>
      </c>
      <c r="P1366" s="2" t="s">
        <v>39</v>
      </c>
      <c r="Q1366" s="2" t="s">
        <v>39</v>
      </c>
      <c r="R1366" s="2" t="s">
        <v>38</v>
      </c>
      <c r="S1366" s="2" t="s">
        <v>38</v>
      </c>
      <c r="T1366" s="2" t="s">
        <v>38</v>
      </c>
      <c r="U1366" s="2" t="s">
        <v>39</v>
      </c>
      <c r="V1366" s="2" t="s">
        <v>38</v>
      </c>
      <c r="W1366" s="2" t="s">
        <v>38</v>
      </c>
      <c r="X1366" s="2" t="s">
        <v>39</v>
      </c>
      <c r="Y1366" s="2" t="s">
        <v>39</v>
      </c>
      <c r="Z1366" s="2" t="s">
        <v>38</v>
      </c>
      <c r="AA1366" s="2" t="s">
        <v>38</v>
      </c>
      <c r="AB1366" s="2" t="s">
        <v>39</v>
      </c>
      <c r="AC1366" s="2" t="s">
        <v>38</v>
      </c>
      <c r="AD1366" s="2" t="s">
        <v>38</v>
      </c>
      <c r="AE1366" s="2" t="s">
        <v>39</v>
      </c>
    </row>
    <row r="1367" spans="1:31" ht="409.5">
      <c r="A1367" s="2">
        <v>2739901</v>
      </c>
      <c r="B1367" s="2">
        <f>HYPERLINK("https://platform.v2.vetology.net/cases/2739901/screening-report/1?type=pdf&amp;v=v6&amp;scorecard=1&amp;secret_key=BX%25IJ%24%2F65ieZ%29f6", 2739901)</f>
        <v>2739901</v>
      </c>
      <c r="C1367" s="2">
        <f>HYPERLINK("https://platform.v2.vetology.net/report/v/final/"&amp;2739901, 2739901)</f>
        <v>2739901</v>
      </c>
      <c r="D1367" s="2" t="s">
        <v>4517</v>
      </c>
      <c r="E1367" s="2" t="s">
        <v>4518</v>
      </c>
      <c r="F1367" s="2" t="s">
        <v>4519</v>
      </c>
      <c r="G1367" s="2" t="s">
        <v>53</v>
      </c>
      <c r="H1367" s="2" t="s">
        <v>4520</v>
      </c>
      <c r="I1367" s="2" t="s">
        <v>129</v>
      </c>
      <c r="J1367" s="2" t="s">
        <v>74</v>
      </c>
      <c r="K1367" s="2" t="s">
        <v>38</v>
      </c>
      <c r="L1367" s="2" t="s">
        <v>39</v>
      </c>
      <c r="M1367" s="2" t="s">
        <v>39</v>
      </c>
      <c r="N1367" s="2" t="s">
        <v>38</v>
      </c>
      <c r="O1367" s="2" t="s">
        <v>38</v>
      </c>
      <c r="P1367" s="2" t="s">
        <v>38</v>
      </c>
      <c r="Q1367" s="2" t="s">
        <v>38</v>
      </c>
      <c r="R1367" s="2" t="s">
        <v>39</v>
      </c>
      <c r="S1367" s="2" t="s">
        <v>39</v>
      </c>
      <c r="T1367" s="2" t="s">
        <v>39</v>
      </c>
      <c r="U1367" s="2" t="s">
        <v>39</v>
      </c>
      <c r="V1367" s="2" t="s">
        <v>38</v>
      </c>
      <c r="W1367" s="2" t="s">
        <v>38</v>
      </c>
      <c r="X1367" s="2" t="s">
        <v>38</v>
      </c>
      <c r="Y1367" s="2" t="s">
        <v>39</v>
      </c>
      <c r="Z1367" s="2" t="s">
        <v>39</v>
      </c>
      <c r="AA1367" s="2" t="s">
        <v>39</v>
      </c>
      <c r="AB1367" s="2" t="s">
        <v>39</v>
      </c>
      <c r="AC1367" s="2" t="s">
        <v>39</v>
      </c>
      <c r="AD1367" s="2" t="s">
        <v>39</v>
      </c>
      <c r="AE1367" s="2" t="s">
        <v>39</v>
      </c>
    </row>
    <row r="1368" spans="1:31" ht="409.5">
      <c r="A1368" s="2">
        <v>2739866</v>
      </c>
      <c r="B1368" s="2">
        <f>HYPERLINK("https://platform.v2.vetology.net/cases/2739866/screening-report/1?type=pdf&amp;v=v6&amp;scorecard=1&amp;secret_key=BX%25IJ%24%2F65ieZ%29f6", 2739866)</f>
        <v>2739866</v>
      </c>
      <c r="C1368" s="2">
        <f>HYPERLINK("https://platform.v2.vetology.net/report/v/final/"&amp;2739866, 2739866)</f>
        <v>2739866</v>
      </c>
      <c r="D1368" s="2" t="s">
        <v>4521</v>
      </c>
      <c r="E1368" s="2" t="s">
        <v>4522</v>
      </c>
      <c r="F1368" s="2" t="s">
        <v>4523</v>
      </c>
      <c r="G1368" s="2" t="s">
        <v>100</v>
      </c>
      <c r="H1368" s="2" t="s">
        <v>419</v>
      </c>
      <c r="I1368" s="2" t="s">
        <v>36</v>
      </c>
      <c r="J1368" s="2" t="s">
        <v>37</v>
      </c>
      <c r="K1368" s="2" t="s">
        <v>39</v>
      </c>
      <c r="L1368" s="2" t="s">
        <v>39</v>
      </c>
      <c r="M1368" s="2" t="s">
        <v>38</v>
      </c>
      <c r="N1368" s="2" t="s">
        <v>39</v>
      </c>
      <c r="O1368" s="2" t="s">
        <v>39</v>
      </c>
      <c r="P1368" s="2" t="s">
        <v>39</v>
      </c>
      <c r="Q1368" s="2" t="s">
        <v>39</v>
      </c>
      <c r="R1368" s="2" t="s">
        <v>38</v>
      </c>
      <c r="S1368" s="2" t="s">
        <v>39</v>
      </c>
      <c r="T1368" s="2" t="s">
        <v>39</v>
      </c>
      <c r="U1368" s="2" t="s">
        <v>39</v>
      </c>
      <c r="V1368" s="2" t="s">
        <v>39</v>
      </c>
      <c r="W1368" s="2" t="s">
        <v>38</v>
      </c>
      <c r="X1368" s="2" t="s">
        <v>39</v>
      </c>
      <c r="Y1368" s="2" t="s">
        <v>39</v>
      </c>
      <c r="Z1368" s="2" t="s">
        <v>39</v>
      </c>
      <c r="AA1368" s="2" t="s">
        <v>39</v>
      </c>
      <c r="AB1368" s="2" t="s">
        <v>39</v>
      </c>
      <c r="AC1368" s="2" t="s">
        <v>38</v>
      </c>
      <c r="AD1368" s="2" t="s">
        <v>38</v>
      </c>
      <c r="AE1368" s="2" t="s">
        <v>39</v>
      </c>
    </row>
    <row r="1369" spans="1:31" ht="409.5">
      <c r="A1369" s="2">
        <v>2739856</v>
      </c>
      <c r="B1369" s="2">
        <f>HYPERLINK("https://platform.v2.vetology.net/cases/2739856/screening-report/1?type=pdf&amp;v=v6&amp;scorecard=1&amp;secret_key=BX%25IJ%24%2F65ieZ%29f6", 2739856)</f>
        <v>2739856</v>
      </c>
      <c r="C1369" s="2">
        <f>HYPERLINK("https://platform.v2.vetology.net/report/v/final/"&amp;2739856, 2739856)</f>
        <v>2739856</v>
      </c>
      <c r="D1369" s="2" t="s">
        <v>4524</v>
      </c>
      <c r="E1369" s="2" t="s">
        <v>4525</v>
      </c>
      <c r="F1369" s="2" t="s">
        <v>4526</v>
      </c>
      <c r="G1369" s="2" t="s">
        <v>34</v>
      </c>
      <c r="H1369" s="2" t="s">
        <v>4527</v>
      </c>
      <c r="I1369" s="2" t="s">
        <v>36</v>
      </c>
      <c r="J1369" s="2" t="s">
        <v>37</v>
      </c>
      <c r="K1369" s="2" t="s">
        <v>38</v>
      </c>
      <c r="L1369" s="2" t="s">
        <v>38</v>
      </c>
      <c r="M1369" s="2" t="s">
        <v>38</v>
      </c>
      <c r="N1369" s="2" t="s">
        <v>38</v>
      </c>
      <c r="O1369" s="2" t="s">
        <v>38</v>
      </c>
      <c r="P1369" s="2" t="s">
        <v>39</v>
      </c>
      <c r="Q1369" s="2" t="s">
        <v>38</v>
      </c>
      <c r="R1369" s="2" t="s">
        <v>38</v>
      </c>
      <c r="S1369" s="2" t="s">
        <v>38</v>
      </c>
      <c r="T1369" s="2" t="s">
        <v>38</v>
      </c>
      <c r="U1369" s="2" t="s">
        <v>39</v>
      </c>
      <c r="V1369" s="2" t="s">
        <v>38</v>
      </c>
      <c r="W1369" s="2" t="s">
        <v>38</v>
      </c>
      <c r="X1369" s="2" t="s">
        <v>38</v>
      </c>
      <c r="Y1369" s="2" t="s">
        <v>39</v>
      </c>
      <c r="Z1369" s="2" t="s">
        <v>38</v>
      </c>
      <c r="AA1369" s="2" t="s">
        <v>38</v>
      </c>
      <c r="AB1369" s="2" t="s">
        <v>39</v>
      </c>
      <c r="AC1369" s="2" t="s">
        <v>38</v>
      </c>
      <c r="AD1369" s="2" t="s">
        <v>38</v>
      </c>
      <c r="AE1369" s="2" t="s">
        <v>39</v>
      </c>
    </row>
    <row r="1370" spans="1:31" ht="409.5">
      <c r="A1370" s="2">
        <v>2739830</v>
      </c>
      <c r="B1370" s="2">
        <f>HYPERLINK("https://platform.v2.vetology.net/cases/2739830/screening-report/1?type=pdf&amp;v=v6&amp;scorecard=1&amp;secret_key=BX%25IJ%24%2F65ieZ%29f6", 2739830)</f>
        <v>2739830</v>
      </c>
      <c r="C1370" s="2">
        <f>HYPERLINK("https://platform.v2.vetology.net/report/v/final/"&amp;2739830, 2739830)</f>
        <v>2739830</v>
      </c>
      <c r="D1370" s="2" t="s">
        <v>4528</v>
      </c>
      <c r="E1370" s="2" t="s">
        <v>4529</v>
      </c>
      <c r="F1370" s="2" t="s">
        <v>4530</v>
      </c>
      <c r="G1370" s="2" t="s">
        <v>251</v>
      </c>
      <c r="H1370" s="2" t="s">
        <v>4531</v>
      </c>
      <c r="I1370" s="2" t="s">
        <v>129</v>
      </c>
      <c r="J1370" s="2" t="s">
        <v>74</v>
      </c>
      <c r="K1370" s="2" t="s">
        <v>39</v>
      </c>
      <c r="L1370" s="2" t="s">
        <v>39</v>
      </c>
      <c r="M1370" s="2" t="s">
        <v>38</v>
      </c>
      <c r="N1370" s="2" t="s">
        <v>38</v>
      </c>
      <c r="O1370" s="2" t="s">
        <v>38</v>
      </c>
      <c r="P1370" s="2" t="s">
        <v>38</v>
      </c>
      <c r="Q1370" s="2" t="s">
        <v>38</v>
      </c>
      <c r="R1370" s="2" t="s">
        <v>39</v>
      </c>
      <c r="S1370" s="2" t="s">
        <v>39</v>
      </c>
      <c r="T1370" s="2" t="s">
        <v>38</v>
      </c>
      <c r="U1370" s="2" t="s">
        <v>39</v>
      </c>
      <c r="V1370" s="2" t="s">
        <v>38</v>
      </c>
      <c r="W1370" s="2" t="s">
        <v>38</v>
      </c>
      <c r="X1370" s="2" t="s">
        <v>38</v>
      </c>
      <c r="Y1370" s="2" t="s">
        <v>39</v>
      </c>
      <c r="Z1370" s="2" t="s">
        <v>39</v>
      </c>
      <c r="AA1370" s="2" t="s">
        <v>38</v>
      </c>
      <c r="AB1370" s="2" t="s">
        <v>38</v>
      </c>
      <c r="AC1370" s="2" t="s">
        <v>38</v>
      </c>
      <c r="AD1370" s="2" t="s">
        <v>39</v>
      </c>
      <c r="AE1370" s="2" t="s">
        <v>40</v>
      </c>
    </row>
    <row r="1371" spans="1:31" ht="409.5">
      <c r="A1371" s="2">
        <v>2739827</v>
      </c>
      <c r="B1371" s="2">
        <f>HYPERLINK("https://platform.v2.vetology.net/cases/2739827/screening-report/1?type=pdf&amp;v=v6&amp;scorecard=1&amp;secret_key=BX%25IJ%24%2F65ieZ%29f6", 2739827)</f>
        <v>2739827</v>
      </c>
      <c r="C1371" s="2">
        <f>HYPERLINK("https://platform.v2.vetology.net/report/v/final/"&amp;2739827, 2739827)</f>
        <v>2739827</v>
      </c>
      <c r="D1371" s="2" t="s">
        <v>4532</v>
      </c>
      <c r="E1371" s="2" t="s">
        <v>4533</v>
      </c>
      <c r="F1371" s="2" t="s">
        <v>43</v>
      </c>
      <c r="G1371" s="2" t="s">
        <v>507</v>
      </c>
      <c r="H1371" s="2" t="s">
        <v>4534</v>
      </c>
      <c r="I1371" s="2" t="s">
        <v>59</v>
      </c>
      <c r="J1371" s="2" t="s">
        <v>37</v>
      </c>
      <c r="K1371" s="2" t="s">
        <v>39</v>
      </c>
      <c r="L1371" s="2" t="s">
        <v>39</v>
      </c>
      <c r="M1371" s="2" t="s">
        <v>39</v>
      </c>
      <c r="N1371" s="2" t="s">
        <v>38</v>
      </c>
      <c r="O1371" s="2" t="s">
        <v>39</v>
      </c>
      <c r="P1371" s="2" t="s">
        <v>39</v>
      </c>
      <c r="Q1371" s="2" t="s">
        <v>39</v>
      </c>
      <c r="R1371" s="2" t="s">
        <v>38</v>
      </c>
      <c r="S1371" s="2" t="s">
        <v>39</v>
      </c>
      <c r="T1371" s="2" t="s">
        <v>39</v>
      </c>
      <c r="U1371" s="2" t="s">
        <v>39</v>
      </c>
      <c r="V1371" s="2" t="s">
        <v>39</v>
      </c>
      <c r="W1371" s="2" t="s">
        <v>39</v>
      </c>
      <c r="X1371" s="2" t="s">
        <v>39</v>
      </c>
      <c r="Y1371" s="2" t="s">
        <v>39</v>
      </c>
      <c r="Z1371" s="2" t="s">
        <v>39</v>
      </c>
      <c r="AA1371" s="2" t="s">
        <v>39</v>
      </c>
      <c r="AB1371" s="2" t="s">
        <v>39</v>
      </c>
      <c r="AC1371" s="2" t="s">
        <v>38</v>
      </c>
      <c r="AD1371" s="2" t="s">
        <v>38</v>
      </c>
      <c r="AE1371" s="2"/>
    </row>
    <row r="1372" spans="1:31" ht="409.5">
      <c r="A1372" s="2">
        <v>2739752</v>
      </c>
      <c r="B1372" s="2">
        <f>HYPERLINK("https://platform.v2.vetology.net/cases/2739752/screening-report/1?type=pdf&amp;v=v6&amp;scorecard=1&amp;secret_key=BX%25IJ%24%2F65ieZ%29f6", 2739752)</f>
        <v>2739752</v>
      </c>
      <c r="C1372" s="2">
        <f>HYPERLINK("https://platform.v2.vetology.net/report/v/final/"&amp;2739752, 2739752)</f>
        <v>2739752</v>
      </c>
      <c r="D1372" s="2" t="s">
        <v>4535</v>
      </c>
      <c r="E1372" s="2" t="s">
        <v>4536</v>
      </c>
      <c r="F1372" s="2" t="s">
        <v>4537</v>
      </c>
      <c r="G1372" s="2" t="s">
        <v>111</v>
      </c>
      <c r="H1372" s="2" t="s">
        <v>4538</v>
      </c>
      <c r="I1372" s="2" t="s">
        <v>36</v>
      </c>
      <c r="J1372" s="2" t="s">
        <v>37</v>
      </c>
      <c r="K1372" s="2" t="s">
        <v>39</v>
      </c>
      <c r="L1372" s="2" t="s">
        <v>38</v>
      </c>
      <c r="M1372" s="2" t="s">
        <v>39</v>
      </c>
      <c r="N1372" s="2" t="s">
        <v>39</v>
      </c>
      <c r="O1372" s="2" t="s">
        <v>38</v>
      </c>
      <c r="P1372" s="2" t="s">
        <v>39</v>
      </c>
      <c r="Q1372" s="2" t="s">
        <v>39</v>
      </c>
      <c r="R1372" s="2" t="s">
        <v>38</v>
      </c>
      <c r="S1372" s="2" t="s">
        <v>38</v>
      </c>
      <c r="T1372" s="2" t="s">
        <v>39</v>
      </c>
      <c r="U1372" s="2" t="s">
        <v>39</v>
      </c>
      <c r="V1372" s="2" t="s">
        <v>39</v>
      </c>
      <c r="W1372" s="2" t="s">
        <v>38</v>
      </c>
      <c r="X1372" s="2" t="s">
        <v>39</v>
      </c>
      <c r="Y1372" s="2" t="s">
        <v>39</v>
      </c>
      <c r="Z1372" s="2" t="s">
        <v>38</v>
      </c>
      <c r="AA1372" s="2" t="s">
        <v>39</v>
      </c>
      <c r="AB1372" s="2" t="s">
        <v>39</v>
      </c>
      <c r="AC1372" s="2" t="s">
        <v>38</v>
      </c>
      <c r="AD1372" s="2" t="s">
        <v>39</v>
      </c>
      <c r="AE1372" s="2"/>
    </row>
    <row r="1373" spans="1:31" ht="409.5">
      <c r="A1373" s="2">
        <v>2739652</v>
      </c>
      <c r="B1373" s="2">
        <f>HYPERLINK("https://platform.v2.vetology.net/cases/2739652/screening-report/1?type=pdf&amp;v=v6&amp;scorecard=1&amp;secret_key=BX%25IJ%24%2F65ieZ%29f6", 2739652)</f>
        <v>2739652</v>
      </c>
      <c r="C1373" s="2">
        <f>HYPERLINK("https://platform.v2.vetology.net/report/v/final/"&amp;2739652, 2739652)</f>
        <v>2739652</v>
      </c>
      <c r="D1373" s="2" t="s">
        <v>4539</v>
      </c>
      <c r="E1373" s="2" t="s">
        <v>4540</v>
      </c>
      <c r="F1373" s="2" t="s">
        <v>43</v>
      </c>
      <c r="G1373" s="2" t="s">
        <v>100</v>
      </c>
      <c r="H1373" s="2" t="s">
        <v>4541</v>
      </c>
      <c r="I1373" s="2" t="s">
        <v>73</v>
      </c>
      <c r="J1373" s="2" t="s">
        <v>74</v>
      </c>
      <c r="K1373" s="2" t="s">
        <v>38</v>
      </c>
      <c r="L1373" s="2" t="s">
        <v>38</v>
      </c>
      <c r="M1373" s="2" t="s">
        <v>38</v>
      </c>
      <c r="N1373" s="2" t="s">
        <v>38</v>
      </c>
      <c r="O1373" s="2" t="s">
        <v>38</v>
      </c>
      <c r="P1373" s="2" t="s">
        <v>38</v>
      </c>
      <c r="Q1373" s="2" t="s">
        <v>38</v>
      </c>
      <c r="R1373" s="2" t="s">
        <v>38</v>
      </c>
      <c r="S1373" s="2" t="s">
        <v>38</v>
      </c>
      <c r="T1373" s="2" t="s">
        <v>38</v>
      </c>
      <c r="U1373" s="2" t="s">
        <v>38</v>
      </c>
      <c r="V1373" s="2" t="s">
        <v>38</v>
      </c>
      <c r="W1373" s="2" t="s">
        <v>38</v>
      </c>
      <c r="X1373" s="2" t="s">
        <v>38</v>
      </c>
      <c r="Y1373" s="2" t="s">
        <v>38</v>
      </c>
      <c r="Z1373" s="2" t="s">
        <v>38</v>
      </c>
      <c r="AA1373" s="2" t="s">
        <v>38</v>
      </c>
      <c r="AB1373" s="2" t="s">
        <v>38</v>
      </c>
      <c r="AC1373" s="2" t="s">
        <v>38</v>
      </c>
      <c r="AD1373" s="2" t="s">
        <v>38</v>
      </c>
      <c r="AE1373" s="2" t="s">
        <v>40</v>
      </c>
    </row>
    <row r="1374" spans="1:31" ht="409.5">
      <c r="A1374" s="2">
        <v>2739644</v>
      </c>
      <c r="B1374" s="2">
        <f>HYPERLINK("https://platform.v2.vetology.net/cases/2739644/screening-report/1?type=pdf&amp;v=v6&amp;scorecard=1&amp;secret_key=BX%25IJ%24%2F65ieZ%29f6", 2739644)</f>
        <v>2739644</v>
      </c>
      <c r="C1374" s="2">
        <f>HYPERLINK("https://platform.v2.vetology.net/report/v/final/"&amp;2739644, 2739644)</f>
        <v>2739644</v>
      </c>
      <c r="D1374" s="2" t="s">
        <v>4542</v>
      </c>
      <c r="E1374" s="2" t="s">
        <v>4543</v>
      </c>
      <c r="F1374" s="2" t="s">
        <v>43</v>
      </c>
      <c r="G1374" s="2" t="s">
        <v>100</v>
      </c>
      <c r="H1374" s="2" t="s">
        <v>4544</v>
      </c>
      <c r="I1374" s="2" t="s">
        <v>129</v>
      </c>
      <c r="J1374" s="2" t="s">
        <v>74</v>
      </c>
      <c r="K1374" s="2" t="s">
        <v>39</v>
      </c>
      <c r="L1374" s="2" t="s">
        <v>39</v>
      </c>
      <c r="M1374" s="2" t="s">
        <v>39</v>
      </c>
      <c r="N1374" s="2" t="s">
        <v>39</v>
      </c>
      <c r="O1374" s="2" t="s">
        <v>39</v>
      </c>
      <c r="P1374" s="2" t="s">
        <v>38</v>
      </c>
      <c r="Q1374" s="2" t="s">
        <v>38</v>
      </c>
      <c r="R1374" s="2" t="s">
        <v>39</v>
      </c>
      <c r="S1374" s="2" t="s">
        <v>39</v>
      </c>
      <c r="T1374" s="2" t="s">
        <v>38</v>
      </c>
      <c r="U1374" s="2" t="s">
        <v>39</v>
      </c>
      <c r="V1374" s="2" t="s">
        <v>38</v>
      </c>
      <c r="W1374" s="2" t="s">
        <v>38</v>
      </c>
      <c r="X1374" s="2" t="s">
        <v>38</v>
      </c>
      <c r="Y1374" s="2" t="s">
        <v>38</v>
      </c>
      <c r="Z1374" s="2" t="s">
        <v>39</v>
      </c>
      <c r="AA1374" s="2" t="s">
        <v>38</v>
      </c>
      <c r="AB1374" s="2" t="s">
        <v>38</v>
      </c>
      <c r="AC1374" s="2" t="s">
        <v>38</v>
      </c>
      <c r="AD1374" s="2" t="s">
        <v>39</v>
      </c>
      <c r="AE1374" s="2" t="s">
        <v>39</v>
      </c>
    </row>
    <row r="1375" spans="1:31" ht="409.5">
      <c r="A1375" s="2">
        <v>2739638</v>
      </c>
      <c r="B1375" s="2">
        <f>HYPERLINK("https://platform.v2.vetology.net/cases/2739638/screening-report/1?type=pdf&amp;v=v6&amp;scorecard=1&amp;secret_key=BX%25IJ%24%2F65ieZ%29f6", 2739638)</f>
        <v>2739638</v>
      </c>
      <c r="C1375" s="2">
        <f>HYPERLINK("https://platform.v2.vetology.net/report/v/final/"&amp;2739638, 2739638)</f>
        <v>2739638</v>
      </c>
      <c r="D1375" s="2" t="s">
        <v>4545</v>
      </c>
      <c r="E1375" s="2" t="s">
        <v>4546</v>
      </c>
      <c r="F1375" s="2" t="s">
        <v>43</v>
      </c>
      <c r="G1375" s="2" t="s">
        <v>44</v>
      </c>
      <c r="H1375" s="2" t="s">
        <v>4547</v>
      </c>
      <c r="I1375" s="2" t="s">
        <v>73</v>
      </c>
      <c r="J1375" s="2" t="s">
        <v>74</v>
      </c>
      <c r="K1375" s="2" t="s">
        <v>38</v>
      </c>
      <c r="L1375" s="2" t="s">
        <v>38</v>
      </c>
      <c r="M1375" s="2" t="s">
        <v>38</v>
      </c>
      <c r="N1375" s="2" t="s">
        <v>38</v>
      </c>
      <c r="O1375" s="2" t="s">
        <v>38</v>
      </c>
      <c r="P1375" s="2" t="s">
        <v>38</v>
      </c>
      <c r="Q1375" s="2" t="s">
        <v>38</v>
      </c>
      <c r="R1375" s="2" t="s">
        <v>38</v>
      </c>
      <c r="S1375" s="2" t="s">
        <v>38</v>
      </c>
      <c r="T1375" s="2" t="s">
        <v>38</v>
      </c>
      <c r="U1375" s="2" t="s">
        <v>38</v>
      </c>
      <c r="V1375" s="2" t="s">
        <v>38</v>
      </c>
      <c r="W1375" s="2" t="s">
        <v>38</v>
      </c>
      <c r="X1375" s="2" t="s">
        <v>38</v>
      </c>
      <c r="Y1375" s="2" t="s">
        <v>38</v>
      </c>
      <c r="Z1375" s="2" t="s">
        <v>38</v>
      </c>
      <c r="AA1375" s="2" t="s">
        <v>38</v>
      </c>
      <c r="AB1375" s="2" t="s">
        <v>38</v>
      </c>
      <c r="AC1375" s="2" t="s">
        <v>38</v>
      </c>
      <c r="AD1375" s="2" t="s">
        <v>38</v>
      </c>
      <c r="AE1375" s="2" t="s">
        <v>40</v>
      </c>
    </row>
    <row r="1376" spans="1:31" ht="409.5">
      <c r="A1376" s="2">
        <v>2739619</v>
      </c>
      <c r="B1376" s="2">
        <f>HYPERLINK("https://platform.v2.vetology.net/cases/2739619/screening-report/1?type=pdf&amp;v=v6&amp;scorecard=1&amp;secret_key=BX%25IJ%24%2F65ieZ%29f6", 2739619)</f>
        <v>2739619</v>
      </c>
      <c r="C1376" s="2">
        <f>HYPERLINK("https://platform.v2.vetology.net/report/v/final/"&amp;2739619, 2739619)</f>
        <v>2739619</v>
      </c>
      <c r="D1376" s="2" t="s">
        <v>4548</v>
      </c>
      <c r="E1376" s="2" t="s">
        <v>4549</v>
      </c>
      <c r="F1376" s="2" t="s">
        <v>43</v>
      </c>
      <c r="G1376" s="2" t="s">
        <v>507</v>
      </c>
      <c r="H1376" s="2" t="s">
        <v>4550</v>
      </c>
      <c r="I1376" s="2" t="s">
        <v>36</v>
      </c>
      <c r="J1376" s="2" t="s">
        <v>37</v>
      </c>
      <c r="K1376" s="2" t="s">
        <v>38</v>
      </c>
      <c r="L1376" s="2" t="s">
        <v>39</v>
      </c>
      <c r="M1376" s="2" t="s">
        <v>38</v>
      </c>
      <c r="N1376" s="2" t="s">
        <v>39</v>
      </c>
      <c r="O1376" s="2" t="s">
        <v>38</v>
      </c>
      <c r="P1376" s="2" t="s">
        <v>38</v>
      </c>
      <c r="Q1376" s="2" t="s">
        <v>39</v>
      </c>
      <c r="R1376" s="2" t="s">
        <v>39</v>
      </c>
      <c r="S1376" s="2" t="s">
        <v>39</v>
      </c>
      <c r="T1376" s="2" t="s">
        <v>38</v>
      </c>
      <c r="U1376" s="2" t="s">
        <v>39</v>
      </c>
      <c r="V1376" s="2" t="s">
        <v>39</v>
      </c>
      <c r="W1376" s="2" t="s">
        <v>38</v>
      </c>
      <c r="X1376" s="2" t="s">
        <v>38</v>
      </c>
      <c r="Y1376" s="2" t="s">
        <v>39</v>
      </c>
      <c r="Z1376" s="2" t="s">
        <v>38</v>
      </c>
      <c r="AA1376" s="2" t="s">
        <v>39</v>
      </c>
      <c r="AB1376" s="2" t="s">
        <v>38</v>
      </c>
      <c r="AC1376" s="2" t="s">
        <v>38</v>
      </c>
      <c r="AD1376" s="2" t="s">
        <v>39</v>
      </c>
      <c r="AE1376" s="2" t="s">
        <v>40</v>
      </c>
    </row>
    <row r="1377" spans="1:31" ht="409.5">
      <c r="A1377" s="2">
        <v>2739599</v>
      </c>
      <c r="B1377" s="2">
        <f>HYPERLINK("https://platform.v2.vetology.net/cases/2739599/screening-report/1?type=pdf&amp;v=v6&amp;scorecard=1&amp;secret_key=BX%25IJ%24%2F65ieZ%29f6", 2739599)</f>
        <v>2739599</v>
      </c>
      <c r="C1377" s="2">
        <f>HYPERLINK("https://platform.v2.vetology.net/report/v/final/"&amp;2739599, 2739599)</f>
        <v>2739599</v>
      </c>
      <c r="D1377" s="2" t="s">
        <v>4551</v>
      </c>
      <c r="E1377" s="2" t="s">
        <v>4552</v>
      </c>
      <c r="F1377" s="2" t="s">
        <v>43</v>
      </c>
      <c r="G1377" s="2" t="s">
        <v>507</v>
      </c>
      <c r="H1377" s="2" t="s">
        <v>4553</v>
      </c>
      <c r="I1377" s="2" t="s">
        <v>129</v>
      </c>
      <c r="J1377" s="2" t="s">
        <v>74</v>
      </c>
      <c r="K1377" s="2" t="s">
        <v>38</v>
      </c>
      <c r="L1377" s="2" t="s">
        <v>38</v>
      </c>
      <c r="M1377" s="2" t="s">
        <v>38</v>
      </c>
      <c r="N1377" s="2" t="s">
        <v>38</v>
      </c>
      <c r="O1377" s="2" t="s">
        <v>38</v>
      </c>
      <c r="P1377" s="2" t="s">
        <v>38</v>
      </c>
      <c r="Q1377" s="2" t="s">
        <v>38</v>
      </c>
      <c r="R1377" s="2" t="s">
        <v>39</v>
      </c>
      <c r="S1377" s="2" t="s">
        <v>39</v>
      </c>
      <c r="T1377" s="2" t="s">
        <v>38</v>
      </c>
      <c r="U1377" s="2" t="s">
        <v>39</v>
      </c>
      <c r="V1377" s="2" t="s">
        <v>38</v>
      </c>
      <c r="W1377" s="2" t="s">
        <v>39</v>
      </c>
      <c r="X1377" s="2" t="s">
        <v>38</v>
      </c>
      <c r="Y1377" s="2" t="s">
        <v>39</v>
      </c>
      <c r="Z1377" s="2" t="s">
        <v>38</v>
      </c>
      <c r="AA1377" s="2" t="s">
        <v>38</v>
      </c>
      <c r="AB1377" s="2" t="s">
        <v>38</v>
      </c>
      <c r="AC1377" s="2" t="s">
        <v>39</v>
      </c>
      <c r="AD1377" s="2" t="s">
        <v>38</v>
      </c>
      <c r="AE1377" s="2" t="s">
        <v>39</v>
      </c>
    </row>
    <row r="1378" spans="1:31" ht="409.5">
      <c r="A1378" s="2">
        <v>2739542</v>
      </c>
      <c r="B1378" s="2">
        <f>HYPERLINK("https://platform.v2.vetology.net/cases/2739542/screening-report/1?type=pdf&amp;v=v6&amp;scorecard=1&amp;secret_key=BX%25IJ%24%2F65ieZ%29f6", 2739542)</f>
        <v>2739542</v>
      </c>
      <c r="C1378" s="2">
        <f>HYPERLINK("https://platform.v2.vetology.net/report/v/final/"&amp;2739542, 2739542)</f>
        <v>2739542</v>
      </c>
      <c r="D1378" s="2" t="s">
        <v>4554</v>
      </c>
      <c r="E1378" s="2" t="s">
        <v>4555</v>
      </c>
      <c r="F1378" s="2" t="s">
        <v>43</v>
      </c>
      <c r="G1378" s="2" t="s">
        <v>100</v>
      </c>
      <c r="H1378" s="2" t="s">
        <v>4556</v>
      </c>
      <c r="I1378" s="2" t="s">
        <v>36</v>
      </c>
      <c r="J1378" s="2" t="s">
        <v>37</v>
      </c>
      <c r="K1378" s="2" t="s">
        <v>38</v>
      </c>
      <c r="L1378" s="2" t="s">
        <v>38</v>
      </c>
      <c r="M1378" s="2" t="s">
        <v>38</v>
      </c>
      <c r="N1378" s="2" t="s">
        <v>38</v>
      </c>
      <c r="O1378" s="2" t="s">
        <v>38</v>
      </c>
      <c r="P1378" s="2" t="s">
        <v>38</v>
      </c>
      <c r="Q1378" s="2" t="s">
        <v>38</v>
      </c>
      <c r="R1378" s="2" t="s">
        <v>38</v>
      </c>
      <c r="S1378" s="2" t="s">
        <v>39</v>
      </c>
      <c r="T1378" s="2" t="s">
        <v>38</v>
      </c>
      <c r="U1378" s="2" t="s">
        <v>38</v>
      </c>
      <c r="V1378" s="2" t="s">
        <v>38</v>
      </c>
      <c r="W1378" s="2" t="s">
        <v>38</v>
      </c>
      <c r="X1378" s="2" t="s">
        <v>38</v>
      </c>
      <c r="Y1378" s="2" t="s">
        <v>38</v>
      </c>
      <c r="Z1378" s="2" t="s">
        <v>38</v>
      </c>
      <c r="AA1378" s="2" t="s">
        <v>38</v>
      </c>
      <c r="AB1378" s="2" t="s">
        <v>39</v>
      </c>
      <c r="AC1378" s="2" t="s">
        <v>38</v>
      </c>
      <c r="AD1378" s="2" t="s">
        <v>38</v>
      </c>
      <c r="AE1378" s="2" t="s">
        <v>39</v>
      </c>
    </row>
    <row r="1379" spans="1:31" ht="409.5">
      <c r="A1379" s="2">
        <v>2739534</v>
      </c>
      <c r="B1379" s="2">
        <f>HYPERLINK("https://platform.v2.vetology.net/cases/2739534/screening-report/1?type=pdf&amp;v=v6&amp;scorecard=1&amp;secret_key=BX%25IJ%24%2F65ieZ%29f6", 2739534)</f>
        <v>2739534</v>
      </c>
      <c r="C1379" s="2">
        <f>HYPERLINK("https://platform.v2.vetology.net/report/v/final/"&amp;2739534, 2739534)</f>
        <v>2739534</v>
      </c>
      <c r="D1379" s="2" t="s">
        <v>4557</v>
      </c>
      <c r="E1379" s="2" t="s">
        <v>4558</v>
      </c>
      <c r="F1379" s="2" t="s">
        <v>43</v>
      </c>
      <c r="G1379" s="2" t="s">
        <v>44</v>
      </c>
      <c r="H1379" s="2" t="s">
        <v>4559</v>
      </c>
      <c r="I1379" s="2" t="s">
        <v>73</v>
      </c>
      <c r="J1379" s="2" t="s">
        <v>74</v>
      </c>
      <c r="K1379" s="2" t="s">
        <v>38</v>
      </c>
      <c r="L1379" s="2" t="s">
        <v>38</v>
      </c>
      <c r="M1379" s="2" t="s">
        <v>38</v>
      </c>
      <c r="N1379" s="2" t="s">
        <v>38</v>
      </c>
      <c r="O1379" s="2" t="s">
        <v>38</v>
      </c>
      <c r="P1379" s="2" t="s">
        <v>38</v>
      </c>
      <c r="Q1379" s="2" t="s">
        <v>38</v>
      </c>
      <c r="R1379" s="2" t="s">
        <v>38</v>
      </c>
      <c r="S1379" s="2" t="s">
        <v>38</v>
      </c>
      <c r="T1379" s="2" t="s">
        <v>38</v>
      </c>
      <c r="U1379" s="2" t="s">
        <v>39</v>
      </c>
      <c r="V1379" s="2" t="s">
        <v>38</v>
      </c>
      <c r="W1379" s="2" t="s">
        <v>38</v>
      </c>
      <c r="X1379" s="2" t="s">
        <v>38</v>
      </c>
      <c r="Y1379" s="2" t="s">
        <v>39</v>
      </c>
      <c r="Z1379" s="2" t="s">
        <v>38</v>
      </c>
      <c r="AA1379" s="2" t="s">
        <v>38</v>
      </c>
      <c r="AB1379" s="2" t="s">
        <v>38</v>
      </c>
      <c r="AC1379" s="2" t="s">
        <v>38</v>
      </c>
      <c r="AD1379" s="2" t="s">
        <v>39</v>
      </c>
      <c r="AE1379" s="2" t="s">
        <v>39</v>
      </c>
    </row>
    <row r="1380" spans="1:31" ht="409.5">
      <c r="A1380" s="2">
        <v>2739533</v>
      </c>
      <c r="B1380" s="2">
        <f>HYPERLINK("https://platform.v2.vetology.net/cases/2739533/screening-report/1?type=pdf&amp;v=v6&amp;scorecard=1&amp;secret_key=BX%25IJ%24%2F65ieZ%29f6", 2739533)</f>
        <v>2739533</v>
      </c>
      <c r="C1380" s="2">
        <f>HYPERLINK("https://platform.v2.vetology.net/report/v/final/"&amp;2739533, 2739533)</f>
        <v>2739533</v>
      </c>
      <c r="D1380" s="2" t="s">
        <v>4560</v>
      </c>
      <c r="E1380" s="2" t="s">
        <v>4561</v>
      </c>
      <c r="F1380" s="2" t="s">
        <v>4562</v>
      </c>
      <c r="G1380" s="2" t="s">
        <v>127</v>
      </c>
      <c r="H1380" s="2" t="s">
        <v>69</v>
      </c>
      <c r="I1380" s="2" t="s">
        <v>46</v>
      </c>
      <c r="J1380" s="2"/>
      <c r="K1380" s="2" t="s">
        <v>39</v>
      </c>
      <c r="L1380" s="2" t="s">
        <v>39</v>
      </c>
      <c r="M1380" s="2" t="s">
        <v>39</v>
      </c>
      <c r="N1380" s="2" t="s">
        <v>39</v>
      </c>
      <c r="O1380" s="2" t="s">
        <v>39</v>
      </c>
      <c r="P1380" s="2" t="s">
        <v>39</v>
      </c>
      <c r="Q1380" s="2" t="s">
        <v>39</v>
      </c>
      <c r="R1380" s="2" t="s">
        <v>39</v>
      </c>
      <c r="S1380" s="2" t="s">
        <v>39</v>
      </c>
      <c r="T1380" s="2" t="s">
        <v>39</v>
      </c>
      <c r="U1380" s="2" t="s">
        <v>38</v>
      </c>
      <c r="V1380" s="2" t="s">
        <v>38</v>
      </c>
      <c r="W1380" s="2" t="s">
        <v>38</v>
      </c>
      <c r="X1380" s="2" t="s">
        <v>39</v>
      </c>
      <c r="Y1380" s="2" t="s">
        <v>39</v>
      </c>
      <c r="Z1380" s="2" t="s">
        <v>39</v>
      </c>
      <c r="AA1380" s="2" t="s">
        <v>39</v>
      </c>
      <c r="AB1380" s="2" t="s">
        <v>39</v>
      </c>
      <c r="AC1380" s="2" t="s">
        <v>38</v>
      </c>
      <c r="AD1380" s="2" t="s">
        <v>38</v>
      </c>
      <c r="AE1380" s="2" t="s">
        <v>39</v>
      </c>
    </row>
    <row r="1381" spans="1:31" ht="409.5">
      <c r="A1381" s="2">
        <v>2739532</v>
      </c>
      <c r="B1381" s="2">
        <f>HYPERLINK("https://platform.v2.vetology.net/cases/2739532/screening-report/1?type=pdf&amp;v=v6&amp;scorecard=1&amp;secret_key=BX%25IJ%24%2F65ieZ%29f6", 2739532)</f>
        <v>2739532</v>
      </c>
      <c r="C1381" s="2">
        <f>HYPERLINK("https://platform.v2.vetology.net/report/v/final/"&amp;2739532, 2739532)</f>
        <v>2739532</v>
      </c>
      <c r="D1381" s="2" t="s">
        <v>4563</v>
      </c>
      <c r="E1381" s="2" t="s">
        <v>4564</v>
      </c>
      <c r="F1381" s="2" t="s">
        <v>4565</v>
      </c>
      <c r="G1381" s="2" t="s">
        <v>251</v>
      </c>
      <c r="H1381" s="2" t="s">
        <v>4566</v>
      </c>
      <c r="I1381" s="2" t="s">
        <v>36</v>
      </c>
      <c r="J1381" s="2" t="s">
        <v>37</v>
      </c>
      <c r="K1381" s="2" t="s">
        <v>38</v>
      </c>
      <c r="L1381" s="2" t="s">
        <v>38</v>
      </c>
      <c r="M1381" s="2" t="s">
        <v>38</v>
      </c>
      <c r="N1381" s="2" t="s">
        <v>38</v>
      </c>
      <c r="O1381" s="2" t="s">
        <v>38</v>
      </c>
      <c r="P1381" s="2" t="s">
        <v>38</v>
      </c>
      <c r="Q1381" s="2" t="s">
        <v>38</v>
      </c>
      <c r="R1381" s="2" t="s">
        <v>38</v>
      </c>
      <c r="S1381" s="2" t="s">
        <v>38</v>
      </c>
      <c r="T1381" s="2" t="s">
        <v>38</v>
      </c>
      <c r="U1381" s="2" t="s">
        <v>38</v>
      </c>
      <c r="V1381" s="2" t="s">
        <v>38</v>
      </c>
      <c r="W1381" s="2" t="s">
        <v>38</v>
      </c>
      <c r="X1381" s="2" t="s">
        <v>38</v>
      </c>
      <c r="Y1381" s="2" t="s">
        <v>38</v>
      </c>
      <c r="Z1381" s="2" t="s">
        <v>38</v>
      </c>
      <c r="AA1381" s="2" t="s">
        <v>38</v>
      </c>
      <c r="AB1381" s="2" t="s">
        <v>38</v>
      </c>
      <c r="AC1381" s="2" t="s">
        <v>38</v>
      </c>
      <c r="AD1381" s="2" t="s">
        <v>38</v>
      </c>
      <c r="AE1381" s="2" t="s">
        <v>40</v>
      </c>
    </row>
    <row r="1382" spans="1:31" ht="409.5">
      <c r="A1382" s="2">
        <v>2739517</v>
      </c>
      <c r="B1382" s="2">
        <f>HYPERLINK("https://platform.v2.vetology.net/cases/2739517/screening-report/1?type=pdf&amp;v=v6&amp;scorecard=1&amp;secret_key=BX%25IJ%24%2F65ieZ%29f6", 2739517)</f>
        <v>2739517</v>
      </c>
      <c r="C1382" s="2">
        <f>HYPERLINK("https://platform.v2.vetology.net/report/v/final/"&amp;2739517, 2739517)</f>
        <v>2739517</v>
      </c>
      <c r="D1382" s="2" t="s">
        <v>4567</v>
      </c>
      <c r="E1382" s="2" t="s">
        <v>4568</v>
      </c>
      <c r="F1382" s="2" t="s">
        <v>4569</v>
      </c>
      <c r="G1382" s="2" t="s">
        <v>111</v>
      </c>
      <c r="H1382" s="2" t="s">
        <v>4570</v>
      </c>
      <c r="I1382" s="2" t="s">
        <v>73</v>
      </c>
      <c r="J1382" s="2" t="s">
        <v>74</v>
      </c>
      <c r="K1382" s="2" t="s">
        <v>38</v>
      </c>
      <c r="L1382" s="2" t="s">
        <v>38</v>
      </c>
      <c r="M1382" s="2" t="s">
        <v>38</v>
      </c>
      <c r="N1382" s="2" t="s">
        <v>38</v>
      </c>
      <c r="O1382" s="2" t="s">
        <v>38</v>
      </c>
      <c r="P1382" s="2" t="s">
        <v>38</v>
      </c>
      <c r="Q1382" s="2" t="s">
        <v>38</v>
      </c>
      <c r="R1382" s="2" t="s">
        <v>39</v>
      </c>
      <c r="S1382" s="2" t="s">
        <v>39</v>
      </c>
      <c r="T1382" s="2" t="s">
        <v>39</v>
      </c>
      <c r="U1382" s="2" t="s">
        <v>38</v>
      </c>
      <c r="V1382" s="2" t="s">
        <v>38</v>
      </c>
      <c r="W1382" s="2" t="s">
        <v>38</v>
      </c>
      <c r="X1382" s="2" t="s">
        <v>38</v>
      </c>
      <c r="Y1382" s="2" t="s">
        <v>38</v>
      </c>
      <c r="Z1382" s="2" t="s">
        <v>38</v>
      </c>
      <c r="AA1382" s="2" t="s">
        <v>38</v>
      </c>
      <c r="AB1382" s="2" t="s">
        <v>38</v>
      </c>
      <c r="AC1382" s="2" t="s">
        <v>38</v>
      </c>
      <c r="AD1382" s="2" t="s">
        <v>38</v>
      </c>
      <c r="AE1382" s="2" t="s">
        <v>39</v>
      </c>
    </row>
    <row r="1383" spans="1:31" ht="409.5">
      <c r="A1383" s="2">
        <v>2739513</v>
      </c>
      <c r="B1383" s="2">
        <f>HYPERLINK("https://platform.v2.vetology.net/cases/2739513/screening-report/1?type=pdf&amp;v=v6&amp;scorecard=1&amp;secret_key=BX%25IJ%24%2F65ieZ%29f6", 2739513)</f>
        <v>2739513</v>
      </c>
      <c r="C1383" s="2">
        <f>HYPERLINK("https://platform.v2.vetology.net/report/v/final/"&amp;2739513, 2739513)</f>
        <v>2739513</v>
      </c>
      <c r="D1383" s="2" t="s">
        <v>4571</v>
      </c>
      <c r="E1383" s="2" t="s">
        <v>4572</v>
      </c>
      <c r="F1383" s="2"/>
      <c r="G1383" s="2" t="s">
        <v>81</v>
      </c>
      <c r="H1383" s="2" t="s">
        <v>4573</v>
      </c>
      <c r="I1383" s="2" t="s">
        <v>73</v>
      </c>
      <c r="J1383" s="2" t="s">
        <v>74</v>
      </c>
      <c r="K1383" s="2" t="s">
        <v>38</v>
      </c>
      <c r="L1383" s="2" t="s">
        <v>38</v>
      </c>
      <c r="M1383" s="2" t="s">
        <v>38</v>
      </c>
      <c r="N1383" s="2" t="s">
        <v>38</v>
      </c>
      <c r="O1383" s="2" t="s">
        <v>38</v>
      </c>
      <c r="P1383" s="2" t="s">
        <v>38</v>
      </c>
      <c r="Q1383" s="2" t="s">
        <v>38</v>
      </c>
      <c r="R1383" s="2" t="s">
        <v>39</v>
      </c>
      <c r="S1383" s="2" t="s">
        <v>38</v>
      </c>
      <c r="T1383" s="2" t="s">
        <v>38</v>
      </c>
      <c r="U1383" s="2" t="s">
        <v>38</v>
      </c>
      <c r="V1383" s="2" t="s">
        <v>38</v>
      </c>
      <c r="W1383" s="2" t="s">
        <v>38</v>
      </c>
      <c r="X1383" s="2" t="s">
        <v>38</v>
      </c>
      <c r="Y1383" s="2" t="s">
        <v>38</v>
      </c>
      <c r="Z1383" s="2" t="s">
        <v>38</v>
      </c>
      <c r="AA1383" s="2" t="s">
        <v>38</v>
      </c>
      <c r="AB1383" s="2" t="s">
        <v>38</v>
      </c>
      <c r="AC1383" s="2" t="s">
        <v>38</v>
      </c>
      <c r="AD1383" s="2" t="s">
        <v>38</v>
      </c>
      <c r="AE1383" s="2" t="s">
        <v>40</v>
      </c>
    </row>
    <row r="1384" spans="1:31" ht="409.5">
      <c r="A1384" s="2">
        <v>2739489</v>
      </c>
      <c r="B1384" s="2">
        <f>HYPERLINK("https://platform.v2.vetology.net/cases/2739489/screening-report/1?type=pdf&amp;v=v6&amp;scorecard=1&amp;secret_key=BX%25IJ%24%2F65ieZ%29f6", 2739489)</f>
        <v>2739489</v>
      </c>
      <c r="C1384" s="2">
        <f>HYPERLINK("https://platform.v2.vetology.net/report/v/final/"&amp;2739489, 2739489)</f>
        <v>2739489</v>
      </c>
      <c r="D1384" s="2" t="s">
        <v>4574</v>
      </c>
      <c r="E1384" s="2" t="s">
        <v>4575</v>
      </c>
      <c r="F1384" s="2" t="s">
        <v>4576</v>
      </c>
      <c r="G1384" s="2" t="s">
        <v>53</v>
      </c>
      <c r="H1384" s="2" t="s">
        <v>182</v>
      </c>
      <c r="I1384" s="2" t="s">
        <v>46</v>
      </c>
      <c r="J1384" s="2"/>
      <c r="K1384" s="2" t="s">
        <v>38</v>
      </c>
      <c r="L1384" s="2" t="s">
        <v>39</v>
      </c>
      <c r="M1384" s="2" t="s">
        <v>39</v>
      </c>
      <c r="N1384" s="2" t="s">
        <v>39</v>
      </c>
      <c r="O1384" s="2" t="s">
        <v>38</v>
      </c>
      <c r="P1384" s="2" t="s">
        <v>39</v>
      </c>
      <c r="Q1384" s="2" t="s">
        <v>39</v>
      </c>
      <c r="R1384" s="2" t="s">
        <v>38</v>
      </c>
      <c r="S1384" s="2" t="s">
        <v>39</v>
      </c>
      <c r="T1384" s="2" t="s">
        <v>39</v>
      </c>
      <c r="U1384" s="2" t="s">
        <v>38</v>
      </c>
      <c r="V1384" s="2" t="s">
        <v>39</v>
      </c>
      <c r="W1384" s="2" t="s">
        <v>39</v>
      </c>
      <c r="X1384" s="2" t="s">
        <v>39</v>
      </c>
      <c r="Y1384" s="2" t="s">
        <v>39</v>
      </c>
      <c r="Z1384" s="2" t="s">
        <v>39</v>
      </c>
      <c r="AA1384" s="2" t="s">
        <v>39</v>
      </c>
      <c r="AB1384" s="2" t="s">
        <v>39</v>
      </c>
      <c r="AC1384" s="2" t="s">
        <v>38</v>
      </c>
      <c r="AD1384" s="2" t="s">
        <v>39</v>
      </c>
      <c r="AE1384" s="2" t="s">
        <v>39</v>
      </c>
    </row>
    <row r="1385" spans="1:31" ht="409.5">
      <c r="A1385" s="2">
        <v>2739470</v>
      </c>
      <c r="B1385" s="2">
        <f>HYPERLINK("https://platform.v2.vetology.net/cases/2739470/screening-report/1?type=pdf&amp;v=v6&amp;scorecard=1&amp;secret_key=BX%25IJ%24%2F65ieZ%29f6", 2739470)</f>
        <v>2739470</v>
      </c>
      <c r="C1385" s="2">
        <f>HYPERLINK("https://platform.v2.vetology.net/report/v/final/"&amp;2739470, 2739470)</f>
        <v>2739470</v>
      </c>
      <c r="D1385" s="2" t="s">
        <v>4577</v>
      </c>
      <c r="E1385" s="2" t="s">
        <v>4578</v>
      </c>
      <c r="F1385" s="2" t="s">
        <v>4579</v>
      </c>
      <c r="G1385" s="2" t="s">
        <v>44</v>
      </c>
      <c r="H1385" s="2" t="s">
        <v>1794</v>
      </c>
      <c r="I1385" s="2" t="s">
        <v>36</v>
      </c>
      <c r="J1385" s="2" t="s">
        <v>37</v>
      </c>
      <c r="K1385" s="2" t="s">
        <v>38</v>
      </c>
      <c r="L1385" s="2" t="s">
        <v>39</v>
      </c>
      <c r="M1385" s="2" t="s">
        <v>39</v>
      </c>
      <c r="N1385" s="2" t="s">
        <v>38</v>
      </c>
      <c r="O1385" s="2" t="s">
        <v>38</v>
      </c>
      <c r="P1385" s="2" t="s">
        <v>39</v>
      </c>
      <c r="Q1385" s="2" t="s">
        <v>39</v>
      </c>
      <c r="R1385" s="2" t="s">
        <v>39</v>
      </c>
      <c r="S1385" s="2" t="s">
        <v>38</v>
      </c>
      <c r="T1385" s="2" t="s">
        <v>39</v>
      </c>
      <c r="U1385" s="2" t="s">
        <v>38</v>
      </c>
      <c r="V1385" s="2" t="s">
        <v>38</v>
      </c>
      <c r="W1385" s="2" t="s">
        <v>39</v>
      </c>
      <c r="X1385" s="2" t="s">
        <v>39</v>
      </c>
      <c r="Y1385" s="2" t="s">
        <v>39</v>
      </c>
      <c r="Z1385" s="2" t="s">
        <v>39</v>
      </c>
      <c r="AA1385" s="2" t="s">
        <v>39</v>
      </c>
      <c r="AB1385" s="2" t="s">
        <v>39</v>
      </c>
      <c r="AC1385" s="2" t="s">
        <v>38</v>
      </c>
      <c r="AD1385" s="2" t="s">
        <v>38</v>
      </c>
      <c r="AE1385" s="2" t="s">
        <v>39</v>
      </c>
    </row>
    <row r="1386" spans="1:31" ht="409.5">
      <c r="A1386" s="2">
        <v>2739392</v>
      </c>
      <c r="B1386" s="2">
        <f>HYPERLINK("https://platform.v2.vetology.net/cases/2739392/screening-report/1?type=pdf&amp;v=v6&amp;scorecard=1&amp;secret_key=BX%25IJ%24%2F65ieZ%29f6", 2739392)</f>
        <v>2739392</v>
      </c>
      <c r="C1386" s="2">
        <f>HYPERLINK("https://platform.v2.vetology.net/report/v/final/"&amp;2739392, 2739392)</f>
        <v>2739392</v>
      </c>
      <c r="D1386" s="2" t="s">
        <v>4580</v>
      </c>
      <c r="E1386" s="2" t="s">
        <v>4581</v>
      </c>
      <c r="F1386" s="2" t="s">
        <v>2226</v>
      </c>
      <c r="G1386" s="2" t="s">
        <v>100</v>
      </c>
      <c r="H1386" s="2" t="s">
        <v>69</v>
      </c>
      <c r="I1386" s="2" t="s">
        <v>46</v>
      </c>
      <c r="J1386" s="2"/>
      <c r="K1386" s="2" t="s">
        <v>39</v>
      </c>
      <c r="L1386" s="2" t="s">
        <v>39</v>
      </c>
      <c r="M1386" s="2" t="s">
        <v>39</v>
      </c>
      <c r="N1386" s="2" t="s">
        <v>39</v>
      </c>
      <c r="O1386" s="2" t="s">
        <v>39</v>
      </c>
      <c r="P1386" s="2" t="s">
        <v>39</v>
      </c>
      <c r="Q1386" s="2" t="s">
        <v>39</v>
      </c>
      <c r="R1386" s="2" t="s">
        <v>39</v>
      </c>
      <c r="S1386" s="2" t="s">
        <v>39</v>
      </c>
      <c r="T1386" s="2" t="s">
        <v>39</v>
      </c>
      <c r="U1386" s="2" t="s">
        <v>39</v>
      </c>
      <c r="V1386" s="2" t="s">
        <v>39</v>
      </c>
      <c r="W1386" s="2" t="s">
        <v>39</v>
      </c>
      <c r="X1386" s="2" t="s">
        <v>39</v>
      </c>
      <c r="Y1386" s="2" t="s">
        <v>39</v>
      </c>
      <c r="Z1386" s="2" t="s">
        <v>39</v>
      </c>
      <c r="AA1386" s="2" t="s">
        <v>39</v>
      </c>
      <c r="AB1386" s="2" t="s">
        <v>39</v>
      </c>
      <c r="AC1386" s="2" t="s">
        <v>39</v>
      </c>
      <c r="AD1386" s="2" t="s">
        <v>39</v>
      </c>
      <c r="AE1386" s="2"/>
    </row>
    <row r="1387" spans="1:31" ht="409.5">
      <c r="A1387" s="2">
        <v>2739376</v>
      </c>
      <c r="B1387" s="2">
        <f>HYPERLINK("https://platform.v2.vetology.net/cases/2739376/screening-report/1?type=pdf&amp;v=v6&amp;scorecard=1&amp;secret_key=BX%25IJ%24%2F65ieZ%29f6", 2739376)</f>
        <v>2739376</v>
      </c>
      <c r="C1387" s="2">
        <f>HYPERLINK("https://platform.v2.vetology.net/report/v/final/"&amp;2739376, 2739376)</f>
        <v>2739376</v>
      </c>
      <c r="D1387" s="2" t="s">
        <v>4582</v>
      </c>
      <c r="E1387" s="2" t="s">
        <v>4583</v>
      </c>
      <c r="F1387" s="2" t="s">
        <v>4584</v>
      </c>
      <c r="G1387" s="2" t="s">
        <v>170</v>
      </c>
      <c r="H1387" s="2" t="s">
        <v>4585</v>
      </c>
      <c r="I1387" s="2" t="s">
        <v>36</v>
      </c>
      <c r="J1387" s="2" t="s">
        <v>37</v>
      </c>
      <c r="K1387" s="2" t="s">
        <v>39</v>
      </c>
      <c r="L1387" s="2" t="s">
        <v>39</v>
      </c>
      <c r="M1387" s="2" t="s">
        <v>38</v>
      </c>
      <c r="N1387" s="2" t="s">
        <v>39</v>
      </c>
      <c r="O1387" s="2" t="s">
        <v>39</v>
      </c>
      <c r="P1387" s="2" t="s">
        <v>38</v>
      </c>
      <c r="Q1387" s="2" t="s">
        <v>39</v>
      </c>
      <c r="R1387" s="2" t="s">
        <v>39</v>
      </c>
      <c r="S1387" s="2" t="s">
        <v>38</v>
      </c>
      <c r="T1387" s="2" t="s">
        <v>39</v>
      </c>
      <c r="U1387" s="2" t="s">
        <v>39</v>
      </c>
      <c r="V1387" s="2" t="s">
        <v>39</v>
      </c>
      <c r="W1387" s="2" t="s">
        <v>38</v>
      </c>
      <c r="X1387" s="2" t="s">
        <v>39</v>
      </c>
      <c r="Y1387" s="2" t="s">
        <v>39</v>
      </c>
      <c r="Z1387" s="2" t="s">
        <v>38</v>
      </c>
      <c r="AA1387" s="2" t="s">
        <v>39</v>
      </c>
      <c r="AB1387" s="2" t="s">
        <v>39</v>
      </c>
      <c r="AC1387" s="2" t="s">
        <v>38</v>
      </c>
      <c r="AD1387" s="2" t="s">
        <v>39</v>
      </c>
      <c r="AE1387" s="2" t="s">
        <v>39</v>
      </c>
    </row>
    <row r="1388" spans="1:31" ht="409.5">
      <c r="A1388" s="2">
        <v>2739374</v>
      </c>
      <c r="B1388" s="2">
        <f>HYPERLINK("https://platform.v2.vetology.net/cases/2739374/screening-report/1?type=pdf&amp;v=v6&amp;scorecard=1&amp;secret_key=BX%25IJ%24%2F65ieZ%29f6", 2739374)</f>
        <v>2739374</v>
      </c>
      <c r="C1388" s="2">
        <f>HYPERLINK("https://platform.v2.vetology.net/report/v/final/"&amp;2739374, 2739374)</f>
        <v>2739374</v>
      </c>
      <c r="D1388" s="2" t="s">
        <v>4586</v>
      </c>
      <c r="E1388" s="2" t="s">
        <v>4587</v>
      </c>
      <c r="F1388" s="2" t="s">
        <v>4588</v>
      </c>
      <c r="G1388" s="2" t="s">
        <v>34</v>
      </c>
      <c r="H1388" s="2" t="s">
        <v>4589</v>
      </c>
      <c r="I1388" s="2" t="s">
        <v>73</v>
      </c>
      <c r="J1388" s="2" t="s">
        <v>74</v>
      </c>
      <c r="K1388" s="2" t="s">
        <v>38</v>
      </c>
      <c r="L1388" s="2" t="s">
        <v>38</v>
      </c>
      <c r="M1388" s="2" t="s">
        <v>38</v>
      </c>
      <c r="N1388" s="2" t="s">
        <v>38</v>
      </c>
      <c r="O1388" s="2" t="s">
        <v>38</v>
      </c>
      <c r="P1388" s="2" t="s">
        <v>38</v>
      </c>
      <c r="Q1388" s="2" t="s">
        <v>38</v>
      </c>
      <c r="R1388" s="2" t="s">
        <v>38</v>
      </c>
      <c r="S1388" s="2" t="s">
        <v>38</v>
      </c>
      <c r="T1388" s="2" t="s">
        <v>38</v>
      </c>
      <c r="U1388" s="2" t="s">
        <v>38</v>
      </c>
      <c r="V1388" s="2" t="s">
        <v>38</v>
      </c>
      <c r="W1388" s="2" t="s">
        <v>38</v>
      </c>
      <c r="X1388" s="2" t="s">
        <v>38</v>
      </c>
      <c r="Y1388" s="2" t="s">
        <v>39</v>
      </c>
      <c r="Z1388" s="2" t="s">
        <v>38</v>
      </c>
      <c r="AA1388" s="2" t="s">
        <v>38</v>
      </c>
      <c r="AB1388" s="2" t="s">
        <v>38</v>
      </c>
      <c r="AC1388" s="2" t="s">
        <v>38</v>
      </c>
      <c r="AD1388" s="2" t="s">
        <v>38</v>
      </c>
      <c r="AE1388" s="2" t="s">
        <v>40</v>
      </c>
    </row>
    <row r="1389" spans="1:31" ht="409.5">
      <c r="A1389" s="2">
        <v>2739347</v>
      </c>
      <c r="B1389" s="2">
        <f>HYPERLINK("https://platform.v2.vetology.net/cases/2739347/screening-report/1?type=pdf&amp;v=v6&amp;scorecard=1&amp;secret_key=BX%25IJ%24%2F65ieZ%29f6", 2739347)</f>
        <v>2739347</v>
      </c>
      <c r="C1389" s="2">
        <f>HYPERLINK("https://platform.v2.vetology.net/report/v/final/"&amp;2739347, 2739347)</f>
        <v>2739347</v>
      </c>
      <c r="D1389" s="2" t="s">
        <v>4590</v>
      </c>
      <c r="E1389" s="2" t="s">
        <v>4591</v>
      </c>
      <c r="F1389" s="2" t="s">
        <v>4592</v>
      </c>
      <c r="G1389" s="2" t="s">
        <v>53</v>
      </c>
      <c r="H1389" s="2" t="s">
        <v>4593</v>
      </c>
      <c r="I1389" s="2" t="s">
        <v>36</v>
      </c>
      <c r="J1389" s="2" t="s">
        <v>37</v>
      </c>
      <c r="K1389" s="2" t="s">
        <v>38</v>
      </c>
      <c r="L1389" s="2" t="s">
        <v>39</v>
      </c>
      <c r="M1389" s="2" t="s">
        <v>38</v>
      </c>
      <c r="N1389" s="2" t="s">
        <v>39</v>
      </c>
      <c r="O1389" s="2" t="s">
        <v>38</v>
      </c>
      <c r="P1389" s="2" t="s">
        <v>39</v>
      </c>
      <c r="Q1389" s="2" t="s">
        <v>39</v>
      </c>
      <c r="R1389" s="2" t="s">
        <v>39</v>
      </c>
      <c r="S1389" s="2" t="s">
        <v>39</v>
      </c>
      <c r="T1389" s="2" t="s">
        <v>38</v>
      </c>
      <c r="U1389" s="2" t="s">
        <v>39</v>
      </c>
      <c r="V1389" s="2" t="s">
        <v>38</v>
      </c>
      <c r="W1389" s="2" t="s">
        <v>38</v>
      </c>
      <c r="X1389" s="2" t="s">
        <v>39</v>
      </c>
      <c r="Y1389" s="2" t="s">
        <v>39</v>
      </c>
      <c r="Z1389" s="2" t="s">
        <v>38</v>
      </c>
      <c r="AA1389" s="2" t="s">
        <v>38</v>
      </c>
      <c r="AB1389" s="2" t="s">
        <v>39</v>
      </c>
      <c r="AC1389" s="2" t="s">
        <v>38</v>
      </c>
      <c r="AD1389" s="2" t="s">
        <v>39</v>
      </c>
      <c r="AE1389" s="2" t="s">
        <v>40</v>
      </c>
    </row>
    <row r="1390" spans="1:31" ht="409.5">
      <c r="A1390" s="2">
        <v>2739343</v>
      </c>
      <c r="B1390" s="2">
        <f>HYPERLINK("https://platform.v2.vetology.net/cases/2739343/screening-report/1?type=pdf&amp;v=v6&amp;scorecard=1&amp;secret_key=BX%25IJ%24%2F65ieZ%29f6", 2739343)</f>
        <v>2739343</v>
      </c>
      <c r="C1390" s="2">
        <f>HYPERLINK("https://platform.v2.vetology.net/report/v/final/"&amp;2739343, 2739343)</f>
        <v>2739343</v>
      </c>
      <c r="D1390" s="2" t="s">
        <v>4594</v>
      </c>
      <c r="E1390" s="2" t="s">
        <v>4595</v>
      </c>
      <c r="F1390" s="2" t="s">
        <v>4596</v>
      </c>
      <c r="G1390" s="2" t="s">
        <v>127</v>
      </c>
      <c r="H1390" s="2" t="s">
        <v>4597</v>
      </c>
      <c r="I1390" s="2" t="s">
        <v>129</v>
      </c>
      <c r="J1390" s="2" t="s">
        <v>74</v>
      </c>
      <c r="K1390" s="2" t="s">
        <v>39</v>
      </c>
      <c r="L1390" s="2" t="s">
        <v>38</v>
      </c>
      <c r="M1390" s="2" t="s">
        <v>38</v>
      </c>
      <c r="N1390" s="2" t="s">
        <v>38</v>
      </c>
      <c r="O1390" s="2" t="s">
        <v>38</v>
      </c>
      <c r="P1390" s="2" t="s">
        <v>39</v>
      </c>
      <c r="Q1390" s="2" t="s">
        <v>38</v>
      </c>
      <c r="R1390" s="2" t="s">
        <v>39</v>
      </c>
      <c r="S1390" s="2" t="s">
        <v>39</v>
      </c>
      <c r="T1390" s="2" t="s">
        <v>38</v>
      </c>
      <c r="U1390" s="2" t="s">
        <v>39</v>
      </c>
      <c r="V1390" s="2" t="s">
        <v>39</v>
      </c>
      <c r="W1390" s="2" t="s">
        <v>38</v>
      </c>
      <c r="X1390" s="2" t="s">
        <v>38</v>
      </c>
      <c r="Y1390" s="2" t="s">
        <v>39</v>
      </c>
      <c r="Z1390" s="2" t="s">
        <v>38</v>
      </c>
      <c r="AA1390" s="2" t="s">
        <v>39</v>
      </c>
      <c r="AB1390" s="2" t="s">
        <v>38</v>
      </c>
      <c r="AC1390" s="2" t="s">
        <v>38</v>
      </c>
      <c r="AD1390" s="2" t="s">
        <v>39</v>
      </c>
      <c r="AE1390" s="2" t="s">
        <v>39</v>
      </c>
    </row>
    <row r="1391" spans="1:31" ht="409.5">
      <c r="A1391" s="2">
        <v>2739342</v>
      </c>
      <c r="B1391" s="2">
        <f>HYPERLINK("https://platform.v2.vetology.net/cases/2739342/screening-report/1?type=pdf&amp;v=v6&amp;scorecard=1&amp;secret_key=BX%25IJ%24%2F65ieZ%29f6", 2739342)</f>
        <v>2739342</v>
      </c>
      <c r="C1391" s="2">
        <f>HYPERLINK("https://platform.v2.vetology.net/report/v/final/"&amp;2739342, 2739342)</f>
        <v>2739342</v>
      </c>
      <c r="D1391" s="2" t="s">
        <v>4598</v>
      </c>
      <c r="E1391" s="2" t="s">
        <v>4599</v>
      </c>
      <c r="F1391" s="2" t="s">
        <v>4600</v>
      </c>
      <c r="G1391" s="2" t="s">
        <v>170</v>
      </c>
      <c r="H1391" s="2" t="s">
        <v>66</v>
      </c>
      <c r="I1391" s="2" t="s">
        <v>36</v>
      </c>
      <c r="J1391" s="2" t="s">
        <v>37</v>
      </c>
      <c r="K1391" s="2" t="s">
        <v>39</v>
      </c>
      <c r="L1391" s="2" t="s">
        <v>39</v>
      </c>
      <c r="M1391" s="2" t="s">
        <v>38</v>
      </c>
      <c r="N1391" s="2" t="s">
        <v>39</v>
      </c>
      <c r="O1391" s="2" t="s">
        <v>39</v>
      </c>
      <c r="P1391" s="2" t="s">
        <v>39</v>
      </c>
      <c r="Q1391" s="2" t="s">
        <v>39</v>
      </c>
      <c r="R1391" s="2" t="s">
        <v>39</v>
      </c>
      <c r="S1391" s="2" t="s">
        <v>39</v>
      </c>
      <c r="T1391" s="2" t="s">
        <v>39</v>
      </c>
      <c r="U1391" s="2" t="s">
        <v>39</v>
      </c>
      <c r="V1391" s="2" t="s">
        <v>39</v>
      </c>
      <c r="W1391" s="2" t="s">
        <v>39</v>
      </c>
      <c r="X1391" s="2" t="s">
        <v>39</v>
      </c>
      <c r="Y1391" s="2" t="s">
        <v>39</v>
      </c>
      <c r="Z1391" s="2" t="s">
        <v>39</v>
      </c>
      <c r="AA1391" s="2" t="s">
        <v>39</v>
      </c>
      <c r="AB1391" s="2" t="s">
        <v>39</v>
      </c>
      <c r="AC1391" s="2" t="s">
        <v>38</v>
      </c>
      <c r="AD1391" s="2" t="s">
        <v>38</v>
      </c>
      <c r="AE1391" s="2" t="s">
        <v>39</v>
      </c>
    </row>
    <row r="1392" spans="1:31" ht="409.5">
      <c r="A1392" s="2">
        <v>2739340</v>
      </c>
      <c r="B1392" s="2">
        <f>HYPERLINK("https://platform.v2.vetology.net/cases/2739340/screening-report/1?type=pdf&amp;v=v6&amp;scorecard=1&amp;secret_key=BX%25IJ%24%2F65ieZ%29f6", 2739340)</f>
        <v>2739340</v>
      </c>
      <c r="C1392" s="2">
        <f>HYPERLINK("https://platform.v2.vetology.net/report/v/final/"&amp;2739340, 2739340)</f>
        <v>2739340</v>
      </c>
      <c r="D1392" s="2" t="s">
        <v>4601</v>
      </c>
      <c r="E1392" s="2" t="s">
        <v>4602</v>
      </c>
      <c r="F1392" s="2" t="s">
        <v>4603</v>
      </c>
      <c r="G1392" s="2" t="s">
        <v>111</v>
      </c>
      <c r="H1392" s="2" t="s">
        <v>4604</v>
      </c>
      <c r="I1392" s="2" t="s">
        <v>73</v>
      </c>
      <c r="J1392" s="2" t="s">
        <v>74</v>
      </c>
      <c r="K1392" s="2" t="s">
        <v>38</v>
      </c>
      <c r="L1392" s="2" t="s">
        <v>39</v>
      </c>
      <c r="M1392" s="2" t="s">
        <v>38</v>
      </c>
      <c r="N1392" s="2" t="s">
        <v>38</v>
      </c>
      <c r="O1392" s="2" t="s">
        <v>38</v>
      </c>
      <c r="P1392" s="2" t="s">
        <v>38</v>
      </c>
      <c r="Q1392" s="2" t="s">
        <v>38</v>
      </c>
      <c r="R1392" s="2" t="s">
        <v>39</v>
      </c>
      <c r="S1392" s="2" t="s">
        <v>39</v>
      </c>
      <c r="T1392" s="2" t="s">
        <v>38</v>
      </c>
      <c r="U1392" s="2" t="s">
        <v>38</v>
      </c>
      <c r="V1392" s="2" t="s">
        <v>38</v>
      </c>
      <c r="W1392" s="2" t="s">
        <v>38</v>
      </c>
      <c r="X1392" s="2" t="s">
        <v>38</v>
      </c>
      <c r="Y1392" s="2" t="s">
        <v>39</v>
      </c>
      <c r="Z1392" s="2" t="s">
        <v>38</v>
      </c>
      <c r="AA1392" s="2" t="s">
        <v>38</v>
      </c>
      <c r="AB1392" s="2" t="s">
        <v>38</v>
      </c>
      <c r="AC1392" s="2" t="s">
        <v>39</v>
      </c>
      <c r="AD1392" s="2" t="s">
        <v>39</v>
      </c>
      <c r="AE1392" s="2" t="s">
        <v>40</v>
      </c>
    </row>
    <row r="1393" spans="1:31" ht="409.5">
      <c r="A1393" s="2">
        <v>2739285</v>
      </c>
      <c r="B1393" s="2">
        <f>HYPERLINK("https://platform.v2.vetology.net/cases/2739285/screening-report/1?type=pdf&amp;v=v6&amp;scorecard=1&amp;secret_key=BX%25IJ%24%2F65ieZ%29f6", 2739285)</f>
        <v>2739285</v>
      </c>
      <c r="C1393" s="2">
        <f>HYPERLINK("https://platform.v2.vetology.net/report/v/final/"&amp;2739285, 2739285)</f>
        <v>2739285</v>
      </c>
      <c r="D1393" s="2" t="s">
        <v>4605</v>
      </c>
      <c r="E1393" s="2" t="s">
        <v>4606</v>
      </c>
      <c r="F1393" s="2"/>
      <c r="G1393" s="2" t="s">
        <v>100</v>
      </c>
      <c r="H1393" s="2" t="s">
        <v>394</v>
      </c>
      <c r="I1393" s="2" t="s">
        <v>59</v>
      </c>
      <c r="J1393" s="2" t="s">
        <v>37</v>
      </c>
      <c r="K1393" s="2" t="s">
        <v>38</v>
      </c>
      <c r="L1393" s="2" t="s">
        <v>39</v>
      </c>
      <c r="M1393" s="2" t="s">
        <v>39</v>
      </c>
      <c r="N1393" s="2" t="s">
        <v>39</v>
      </c>
      <c r="O1393" s="2" t="s">
        <v>39</v>
      </c>
      <c r="P1393" s="2" t="s">
        <v>39</v>
      </c>
      <c r="Q1393" s="2" t="s">
        <v>39</v>
      </c>
      <c r="R1393" s="2" t="s">
        <v>39</v>
      </c>
      <c r="S1393" s="2" t="s">
        <v>39</v>
      </c>
      <c r="T1393" s="2" t="s">
        <v>39</v>
      </c>
      <c r="U1393" s="2" t="s">
        <v>39</v>
      </c>
      <c r="V1393" s="2" t="s">
        <v>38</v>
      </c>
      <c r="W1393" s="2" t="s">
        <v>38</v>
      </c>
      <c r="X1393" s="2" t="s">
        <v>39</v>
      </c>
      <c r="Y1393" s="2" t="s">
        <v>39</v>
      </c>
      <c r="Z1393" s="2" t="s">
        <v>39</v>
      </c>
      <c r="AA1393" s="2" t="s">
        <v>39</v>
      </c>
      <c r="AB1393" s="2" t="s">
        <v>39</v>
      </c>
      <c r="AC1393" s="2" t="s">
        <v>38</v>
      </c>
      <c r="AD1393" s="2" t="s">
        <v>39</v>
      </c>
      <c r="AE1393" s="2" t="s">
        <v>40</v>
      </c>
    </row>
    <row r="1394" spans="1:31" ht="409.5">
      <c r="A1394" s="2">
        <v>2739283</v>
      </c>
      <c r="B1394" s="2">
        <f>HYPERLINK("https://platform.v2.vetology.net/cases/2739283/screening-report/1?type=pdf&amp;v=v6&amp;scorecard=1&amp;secret_key=BX%25IJ%24%2F65ieZ%29f6", 2739283)</f>
        <v>2739283</v>
      </c>
      <c r="C1394" s="2">
        <f>HYPERLINK("https://platform.v2.vetology.net/report/v/final/"&amp;2739283, 2739283)</f>
        <v>2739283</v>
      </c>
      <c r="D1394" s="2" t="s">
        <v>4607</v>
      </c>
      <c r="E1394" s="2" t="s">
        <v>4608</v>
      </c>
      <c r="F1394" s="2" t="s">
        <v>4609</v>
      </c>
      <c r="G1394" s="2" t="s">
        <v>111</v>
      </c>
      <c r="H1394" s="2" t="s">
        <v>4610</v>
      </c>
      <c r="I1394" s="2" t="s">
        <v>36</v>
      </c>
      <c r="J1394" s="2" t="s">
        <v>37</v>
      </c>
      <c r="K1394" s="2" t="s">
        <v>38</v>
      </c>
      <c r="L1394" s="2" t="s">
        <v>38</v>
      </c>
      <c r="M1394" s="2" t="s">
        <v>38</v>
      </c>
      <c r="N1394" s="2" t="s">
        <v>38</v>
      </c>
      <c r="O1394" s="2" t="s">
        <v>38</v>
      </c>
      <c r="P1394" s="2" t="s">
        <v>39</v>
      </c>
      <c r="Q1394" s="2" t="s">
        <v>39</v>
      </c>
      <c r="R1394" s="2" t="s">
        <v>38</v>
      </c>
      <c r="S1394" s="2" t="s">
        <v>38</v>
      </c>
      <c r="T1394" s="2" t="s">
        <v>38</v>
      </c>
      <c r="U1394" s="2" t="s">
        <v>38</v>
      </c>
      <c r="V1394" s="2" t="s">
        <v>38</v>
      </c>
      <c r="W1394" s="2" t="s">
        <v>38</v>
      </c>
      <c r="X1394" s="2" t="s">
        <v>38</v>
      </c>
      <c r="Y1394" s="2" t="s">
        <v>38</v>
      </c>
      <c r="Z1394" s="2" t="s">
        <v>38</v>
      </c>
      <c r="AA1394" s="2" t="s">
        <v>38</v>
      </c>
      <c r="AB1394" s="2" t="s">
        <v>39</v>
      </c>
      <c r="AC1394" s="2" t="s">
        <v>38</v>
      </c>
      <c r="AD1394" s="2" t="s">
        <v>38</v>
      </c>
      <c r="AE1394" s="2" t="s">
        <v>39</v>
      </c>
    </row>
    <row r="1395" spans="1:31" ht="409.5">
      <c r="A1395" s="2">
        <v>2739281</v>
      </c>
      <c r="B1395" s="2">
        <f>HYPERLINK("https://platform.v2.vetology.net/cases/2739281/screening-report/1?type=pdf&amp;v=v6&amp;scorecard=1&amp;secret_key=BX%25IJ%24%2F65ieZ%29f6", 2739281)</f>
        <v>2739281</v>
      </c>
      <c r="C1395" s="2">
        <f>HYPERLINK("https://platform.v2.vetology.net/report/v/final/"&amp;2739281, 2739281)</f>
        <v>2739281</v>
      </c>
      <c r="D1395" s="2" t="s">
        <v>4611</v>
      </c>
      <c r="E1395" s="2" t="s">
        <v>4612</v>
      </c>
      <c r="F1395" s="2" t="s">
        <v>4613</v>
      </c>
      <c r="G1395" s="2" t="s">
        <v>170</v>
      </c>
      <c r="H1395" s="2" t="s">
        <v>1351</v>
      </c>
      <c r="I1395" s="2" t="s">
        <v>59</v>
      </c>
      <c r="J1395" s="2" t="s">
        <v>37</v>
      </c>
      <c r="K1395" s="2" t="s">
        <v>38</v>
      </c>
      <c r="L1395" s="2" t="s">
        <v>39</v>
      </c>
      <c r="M1395" s="2" t="s">
        <v>39</v>
      </c>
      <c r="N1395" s="2" t="s">
        <v>39</v>
      </c>
      <c r="O1395" s="2" t="s">
        <v>39</v>
      </c>
      <c r="P1395" s="2" t="s">
        <v>39</v>
      </c>
      <c r="Q1395" s="2" t="s">
        <v>39</v>
      </c>
      <c r="R1395" s="2" t="s">
        <v>39</v>
      </c>
      <c r="S1395" s="2" t="s">
        <v>38</v>
      </c>
      <c r="T1395" s="2" t="s">
        <v>39</v>
      </c>
      <c r="U1395" s="2" t="s">
        <v>39</v>
      </c>
      <c r="V1395" s="2" t="s">
        <v>38</v>
      </c>
      <c r="W1395" s="2" t="s">
        <v>38</v>
      </c>
      <c r="X1395" s="2" t="s">
        <v>39</v>
      </c>
      <c r="Y1395" s="2" t="s">
        <v>39</v>
      </c>
      <c r="Z1395" s="2" t="s">
        <v>39</v>
      </c>
      <c r="AA1395" s="2" t="s">
        <v>38</v>
      </c>
      <c r="AB1395" s="2" t="s">
        <v>39</v>
      </c>
      <c r="AC1395" s="2" t="s">
        <v>38</v>
      </c>
      <c r="AD1395" s="2" t="s">
        <v>38</v>
      </c>
      <c r="AE1395" s="2" t="s">
        <v>39</v>
      </c>
    </row>
    <row r="1396" spans="1:31" ht="409.5">
      <c r="A1396" s="2">
        <v>2739258</v>
      </c>
      <c r="B1396" s="2">
        <f>HYPERLINK("https://platform.v2.vetology.net/cases/2739258/screening-report/1?type=pdf&amp;v=v6&amp;scorecard=1&amp;secret_key=BX%25IJ%24%2F65ieZ%29f6", 2739258)</f>
        <v>2739258</v>
      </c>
      <c r="C1396" s="2">
        <f>HYPERLINK("https://platform.v2.vetology.net/report/v/final/"&amp;2739258, 2739258)</f>
        <v>2739258</v>
      </c>
      <c r="D1396" s="2" t="s">
        <v>4614</v>
      </c>
      <c r="E1396" s="2" t="s">
        <v>4615</v>
      </c>
      <c r="F1396" s="2" t="s">
        <v>4216</v>
      </c>
      <c r="G1396" s="2" t="s">
        <v>170</v>
      </c>
      <c r="H1396" s="2" t="s">
        <v>4616</v>
      </c>
      <c r="I1396" s="2" t="s">
        <v>36</v>
      </c>
      <c r="J1396" s="2" t="s">
        <v>37</v>
      </c>
      <c r="K1396" s="2" t="s">
        <v>38</v>
      </c>
      <c r="L1396" s="2" t="s">
        <v>38</v>
      </c>
      <c r="M1396" s="2" t="s">
        <v>39</v>
      </c>
      <c r="N1396" s="2" t="s">
        <v>38</v>
      </c>
      <c r="O1396" s="2" t="s">
        <v>39</v>
      </c>
      <c r="P1396" s="2" t="s">
        <v>39</v>
      </c>
      <c r="Q1396" s="2" t="s">
        <v>39</v>
      </c>
      <c r="R1396" s="2" t="s">
        <v>38</v>
      </c>
      <c r="S1396" s="2" t="s">
        <v>38</v>
      </c>
      <c r="T1396" s="2" t="s">
        <v>38</v>
      </c>
      <c r="U1396" s="2" t="s">
        <v>38</v>
      </c>
      <c r="V1396" s="2" t="s">
        <v>38</v>
      </c>
      <c r="W1396" s="2" t="s">
        <v>38</v>
      </c>
      <c r="X1396" s="2" t="s">
        <v>39</v>
      </c>
      <c r="Y1396" s="2" t="s">
        <v>38</v>
      </c>
      <c r="Z1396" s="2" t="s">
        <v>38</v>
      </c>
      <c r="AA1396" s="2" t="s">
        <v>38</v>
      </c>
      <c r="AB1396" s="2" t="s">
        <v>39</v>
      </c>
      <c r="AC1396" s="2" t="s">
        <v>38</v>
      </c>
      <c r="AD1396" s="2" t="s">
        <v>38</v>
      </c>
      <c r="AE1396" s="2" t="s">
        <v>40</v>
      </c>
    </row>
    <row r="1397" spans="1:31" ht="409.5">
      <c r="A1397" s="2">
        <v>2739171</v>
      </c>
      <c r="B1397" s="2">
        <f>HYPERLINK("https://platform.v2.vetology.net/cases/2739171/screening-report/1?type=pdf&amp;v=v6&amp;scorecard=1&amp;secret_key=BX%25IJ%24%2F65ieZ%29f6", 2739171)</f>
        <v>2739171</v>
      </c>
      <c r="C1397" s="2">
        <f>HYPERLINK("https://platform.v2.vetology.net/report/v/final/"&amp;2739171, 2739171)</f>
        <v>2739171</v>
      </c>
      <c r="D1397" s="2" t="s">
        <v>4617</v>
      </c>
      <c r="E1397" s="2" t="s">
        <v>4618</v>
      </c>
      <c r="F1397" s="2" t="s">
        <v>4619</v>
      </c>
      <c r="G1397" s="2" t="s">
        <v>53</v>
      </c>
      <c r="H1397" s="2" t="s">
        <v>4620</v>
      </c>
      <c r="I1397" s="2" t="s">
        <v>36</v>
      </c>
      <c r="J1397" s="2" t="s">
        <v>37</v>
      </c>
      <c r="K1397" s="2" t="s">
        <v>38</v>
      </c>
      <c r="L1397" s="2" t="s">
        <v>38</v>
      </c>
      <c r="M1397" s="2" t="s">
        <v>38</v>
      </c>
      <c r="N1397" s="2" t="s">
        <v>38</v>
      </c>
      <c r="O1397" s="2" t="s">
        <v>38</v>
      </c>
      <c r="P1397" s="2" t="s">
        <v>39</v>
      </c>
      <c r="Q1397" s="2" t="s">
        <v>39</v>
      </c>
      <c r="R1397" s="2" t="s">
        <v>38</v>
      </c>
      <c r="S1397" s="2" t="s">
        <v>38</v>
      </c>
      <c r="T1397" s="2" t="s">
        <v>38</v>
      </c>
      <c r="U1397" s="2" t="s">
        <v>38</v>
      </c>
      <c r="V1397" s="2" t="s">
        <v>38</v>
      </c>
      <c r="W1397" s="2" t="s">
        <v>38</v>
      </c>
      <c r="X1397" s="2" t="s">
        <v>39</v>
      </c>
      <c r="Y1397" s="2" t="s">
        <v>38</v>
      </c>
      <c r="Z1397" s="2" t="s">
        <v>38</v>
      </c>
      <c r="AA1397" s="2" t="s">
        <v>38</v>
      </c>
      <c r="AB1397" s="2" t="s">
        <v>39</v>
      </c>
      <c r="AC1397" s="2" t="s">
        <v>38</v>
      </c>
      <c r="AD1397" s="2" t="s">
        <v>38</v>
      </c>
      <c r="AE1397" s="2" t="s">
        <v>39</v>
      </c>
    </row>
    <row r="1398" spans="1:31" ht="409.5">
      <c r="A1398" s="2">
        <v>2739163</v>
      </c>
      <c r="B1398" s="2">
        <f>HYPERLINK("https://platform.v2.vetology.net/cases/2739163/screening-report/1?type=pdf&amp;v=v6&amp;scorecard=1&amp;secret_key=BX%25IJ%24%2F65ieZ%29f6", 2739163)</f>
        <v>2739163</v>
      </c>
      <c r="C1398" s="2">
        <f>HYPERLINK("https://platform.v2.vetology.net/report/v/final/"&amp;2739163, 2739163)</f>
        <v>2739163</v>
      </c>
      <c r="D1398" s="2" t="s">
        <v>4621</v>
      </c>
      <c r="E1398" s="2" t="s">
        <v>4622</v>
      </c>
      <c r="F1398" s="2" t="s">
        <v>4623</v>
      </c>
      <c r="G1398" s="2" t="s">
        <v>111</v>
      </c>
      <c r="H1398" s="2" t="s">
        <v>4624</v>
      </c>
      <c r="I1398" s="2" t="s">
        <v>73</v>
      </c>
      <c r="J1398" s="2" t="s">
        <v>74</v>
      </c>
      <c r="K1398" s="2" t="s">
        <v>38</v>
      </c>
      <c r="L1398" s="2" t="s">
        <v>38</v>
      </c>
      <c r="M1398" s="2" t="s">
        <v>38</v>
      </c>
      <c r="N1398" s="2" t="s">
        <v>38</v>
      </c>
      <c r="O1398" s="2" t="s">
        <v>38</v>
      </c>
      <c r="P1398" s="2" t="s">
        <v>38</v>
      </c>
      <c r="Q1398" s="2" t="s">
        <v>38</v>
      </c>
      <c r="R1398" s="2" t="s">
        <v>38</v>
      </c>
      <c r="S1398" s="2" t="s">
        <v>38</v>
      </c>
      <c r="T1398" s="2" t="s">
        <v>38</v>
      </c>
      <c r="U1398" s="2" t="s">
        <v>39</v>
      </c>
      <c r="V1398" s="2" t="s">
        <v>39</v>
      </c>
      <c r="W1398" s="2" t="s">
        <v>38</v>
      </c>
      <c r="X1398" s="2" t="s">
        <v>38</v>
      </c>
      <c r="Y1398" s="2" t="s">
        <v>38</v>
      </c>
      <c r="Z1398" s="2" t="s">
        <v>38</v>
      </c>
      <c r="AA1398" s="2" t="s">
        <v>38</v>
      </c>
      <c r="AB1398" s="2" t="s">
        <v>38</v>
      </c>
      <c r="AC1398" s="2" t="s">
        <v>38</v>
      </c>
      <c r="AD1398" s="2" t="s">
        <v>39</v>
      </c>
      <c r="AE1398" s="2" t="s">
        <v>39</v>
      </c>
    </row>
    <row r="1399" spans="1:31" ht="409.5">
      <c r="A1399" s="2">
        <v>2739031</v>
      </c>
      <c r="B1399" s="2">
        <f>HYPERLINK("https://platform.v2.vetology.net/cases/2739031/screening-report/1?type=pdf&amp;v=v6&amp;scorecard=1&amp;secret_key=BX%25IJ%24%2F65ieZ%29f6", 2739031)</f>
        <v>2739031</v>
      </c>
      <c r="C1399" s="2">
        <f>HYPERLINK("https://platform.v2.vetology.net/report/v/final/"&amp;2739031, 2739031)</f>
        <v>2739031</v>
      </c>
      <c r="D1399" s="2" t="s">
        <v>4625</v>
      </c>
      <c r="E1399" s="2" t="s">
        <v>4626</v>
      </c>
      <c r="F1399" s="2" t="s">
        <v>4627</v>
      </c>
      <c r="G1399" s="2" t="s">
        <v>111</v>
      </c>
      <c r="H1399" s="2" t="s">
        <v>69</v>
      </c>
      <c r="I1399" s="2" t="s">
        <v>46</v>
      </c>
      <c r="J1399" s="2"/>
      <c r="K1399" s="2" t="s">
        <v>39</v>
      </c>
      <c r="L1399" s="2" t="s">
        <v>39</v>
      </c>
      <c r="M1399" s="2" t="s">
        <v>39</v>
      </c>
      <c r="N1399" s="2" t="s">
        <v>39</v>
      </c>
      <c r="O1399" s="2" t="s">
        <v>39</v>
      </c>
      <c r="P1399" s="2" t="s">
        <v>39</v>
      </c>
      <c r="Q1399" s="2" t="s">
        <v>39</v>
      </c>
      <c r="R1399" s="2" t="s">
        <v>39</v>
      </c>
      <c r="S1399" s="2" t="s">
        <v>39</v>
      </c>
      <c r="T1399" s="2" t="s">
        <v>39</v>
      </c>
      <c r="U1399" s="2" t="s">
        <v>39</v>
      </c>
      <c r="V1399" s="2" t="s">
        <v>39</v>
      </c>
      <c r="W1399" s="2" t="s">
        <v>39</v>
      </c>
      <c r="X1399" s="2" t="s">
        <v>39</v>
      </c>
      <c r="Y1399" s="2" t="s">
        <v>39</v>
      </c>
      <c r="Z1399" s="2" t="s">
        <v>39</v>
      </c>
      <c r="AA1399" s="2" t="s">
        <v>39</v>
      </c>
      <c r="AB1399" s="2" t="s">
        <v>39</v>
      </c>
      <c r="AC1399" s="2" t="s">
        <v>39</v>
      </c>
      <c r="AD1399" s="2" t="s">
        <v>39</v>
      </c>
      <c r="AE1399" s="2" t="s">
        <v>39</v>
      </c>
    </row>
    <row r="1400" spans="1:31" ht="409.5">
      <c r="A1400" s="2">
        <v>2739022</v>
      </c>
      <c r="B1400" s="2">
        <f>HYPERLINK("https://platform.v2.vetology.net/cases/2739022/screening-report/1?type=pdf&amp;v=v6&amp;scorecard=1&amp;secret_key=BX%25IJ%24%2F65ieZ%29f6", 2739022)</f>
        <v>2739022</v>
      </c>
      <c r="C1400" s="2">
        <f>HYPERLINK("https://platform.v2.vetology.net/report/v/final/"&amp;2739022, 2739022)</f>
        <v>2739022</v>
      </c>
      <c r="D1400" s="2" t="s">
        <v>4628</v>
      </c>
      <c r="E1400" s="2" t="s">
        <v>4629</v>
      </c>
      <c r="F1400" s="2" t="s">
        <v>4630</v>
      </c>
      <c r="G1400" s="2" t="s">
        <v>53</v>
      </c>
      <c r="H1400" s="2" t="s">
        <v>265</v>
      </c>
      <c r="I1400" s="2" t="s">
        <v>36</v>
      </c>
      <c r="J1400" s="2" t="s">
        <v>37</v>
      </c>
      <c r="K1400" s="2" t="s">
        <v>39</v>
      </c>
      <c r="L1400" s="2" t="s">
        <v>39</v>
      </c>
      <c r="M1400" s="2" t="s">
        <v>38</v>
      </c>
      <c r="N1400" s="2" t="s">
        <v>39</v>
      </c>
      <c r="O1400" s="2" t="s">
        <v>39</v>
      </c>
      <c r="P1400" s="2" t="s">
        <v>39</v>
      </c>
      <c r="Q1400" s="2" t="s">
        <v>39</v>
      </c>
      <c r="R1400" s="2" t="s">
        <v>39</v>
      </c>
      <c r="S1400" s="2" t="s">
        <v>39</v>
      </c>
      <c r="T1400" s="2" t="s">
        <v>38</v>
      </c>
      <c r="U1400" s="2" t="s">
        <v>39</v>
      </c>
      <c r="V1400" s="2" t="s">
        <v>39</v>
      </c>
      <c r="W1400" s="2" t="s">
        <v>38</v>
      </c>
      <c r="X1400" s="2" t="s">
        <v>39</v>
      </c>
      <c r="Y1400" s="2" t="s">
        <v>39</v>
      </c>
      <c r="Z1400" s="2" t="s">
        <v>39</v>
      </c>
      <c r="AA1400" s="2" t="s">
        <v>39</v>
      </c>
      <c r="AB1400" s="2" t="s">
        <v>39</v>
      </c>
      <c r="AC1400" s="2" t="s">
        <v>39</v>
      </c>
      <c r="AD1400" s="2" t="s">
        <v>38</v>
      </c>
      <c r="AE1400" s="2" t="s">
        <v>39</v>
      </c>
    </row>
    <row r="1401" spans="1:31" ht="409.5">
      <c r="A1401" s="2">
        <v>2739015</v>
      </c>
      <c r="B1401" s="2">
        <f>HYPERLINK("https://platform.v2.vetology.net/cases/2739015/screening-report/1?type=pdf&amp;v=v6&amp;scorecard=1&amp;secret_key=BX%25IJ%24%2F65ieZ%29f6", 2739015)</f>
        <v>2739015</v>
      </c>
      <c r="C1401" s="2">
        <f>HYPERLINK("https://platform.v2.vetology.net/report/v/final/"&amp;2739015, 2739015)</f>
        <v>2739015</v>
      </c>
      <c r="D1401" s="2" t="s">
        <v>4631</v>
      </c>
      <c r="E1401" s="2" t="s">
        <v>4632</v>
      </c>
      <c r="F1401" s="2" t="s">
        <v>4633</v>
      </c>
      <c r="G1401" s="2" t="s">
        <v>127</v>
      </c>
      <c r="H1401" s="2" t="s">
        <v>4634</v>
      </c>
      <c r="I1401" s="2" t="s">
        <v>73</v>
      </c>
      <c r="J1401" s="2" t="s">
        <v>74</v>
      </c>
      <c r="K1401" s="2" t="s">
        <v>38</v>
      </c>
      <c r="L1401" s="2" t="s">
        <v>39</v>
      </c>
      <c r="M1401" s="2" t="s">
        <v>38</v>
      </c>
      <c r="N1401" s="2" t="s">
        <v>38</v>
      </c>
      <c r="O1401" s="2" t="s">
        <v>38</v>
      </c>
      <c r="P1401" s="2" t="s">
        <v>38</v>
      </c>
      <c r="Q1401" s="2" t="s">
        <v>38</v>
      </c>
      <c r="R1401" s="2" t="s">
        <v>39</v>
      </c>
      <c r="S1401" s="2" t="s">
        <v>38</v>
      </c>
      <c r="T1401" s="2" t="s">
        <v>38</v>
      </c>
      <c r="U1401" s="2" t="s">
        <v>38</v>
      </c>
      <c r="V1401" s="2" t="s">
        <v>38</v>
      </c>
      <c r="W1401" s="2" t="s">
        <v>38</v>
      </c>
      <c r="X1401" s="2" t="s">
        <v>38</v>
      </c>
      <c r="Y1401" s="2" t="s">
        <v>38</v>
      </c>
      <c r="Z1401" s="2" t="s">
        <v>39</v>
      </c>
      <c r="AA1401" s="2" t="s">
        <v>38</v>
      </c>
      <c r="AB1401" s="2" t="s">
        <v>38</v>
      </c>
      <c r="AC1401" s="2" t="s">
        <v>38</v>
      </c>
      <c r="AD1401" s="2" t="s">
        <v>39</v>
      </c>
      <c r="AE1401" s="2" t="s">
        <v>40</v>
      </c>
    </row>
    <row r="1402" spans="1:31" ht="409.5">
      <c r="A1402" s="2">
        <v>2738988</v>
      </c>
      <c r="B1402" s="2">
        <f>HYPERLINK("https://platform.v2.vetology.net/cases/2738988/screening-report/1?type=pdf&amp;v=v6&amp;scorecard=1&amp;secret_key=BX%25IJ%24%2F65ieZ%29f6", 2738988)</f>
        <v>2738988</v>
      </c>
      <c r="C1402" s="2">
        <f>HYPERLINK("https://platform.v2.vetology.net/report/v/final/"&amp;2738988, 2738988)</f>
        <v>2738988</v>
      </c>
      <c r="D1402" s="2" t="s">
        <v>4635</v>
      </c>
      <c r="E1402" s="2" t="s">
        <v>4636</v>
      </c>
      <c r="F1402" s="2" t="s">
        <v>43</v>
      </c>
      <c r="G1402" s="2" t="s">
        <v>507</v>
      </c>
      <c r="H1402" s="2" t="s">
        <v>4637</v>
      </c>
      <c r="I1402" s="2" t="s">
        <v>73</v>
      </c>
      <c r="J1402" s="2" t="s">
        <v>74</v>
      </c>
      <c r="K1402" s="2" t="s">
        <v>38</v>
      </c>
      <c r="L1402" s="2" t="s">
        <v>38</v>
      </c>
      <c r="M1402" s="2" t="s">
        <v>38</v>
      </c>
      <c r="N1402" s="2" t="s">
        <v>38</v>
      </c>
      <c r="O1402" s="2" t="s">
        <v>38</v>
      </c>
      <c r="P1402" s="2" t="s">
        <v>38</v>
      </c>
      <c r="Q1402" s="2" t="s">
        <v>38</v>
      </c>
      <c r="R1402" s="2" t="s">
        <v>38</v>
      </c>
      <c r="S1402" s="2" t="s">
        <v>38</v>
      </c>
      <c r="T1402" s="2" t="s">
        <v>38</v>
      </c>
      <c r="U1402" s="2" t="s">
        <v>39</v>
      </c>
      <c r="V1402" s="2" t="s">
        <v>38</v>
      </c>
      <c r="W1402" s="2" t="s">
        <v>38</v>
      </c>
      <c r="X1402" s="2" t="s">
        <v>38</v>
      </c>
      <c r="Y1402" s="2" t="s">
        <v>39</v>
      </c>
      <c r="Z1402" s="2" t="s">
        <v>38</v>
      </c>
      <c r="AA1402" s="2" t="s">
        <v>38</v>
      </c>
      <c r="AB1402" s="2" t="s">
        <v>38</v>
      </c>
      <c r="AC1402" s="2" t="s">
        <v>38</v>
      </c>
      <c r="AD1402" s="2" t="s">
        <v>38</v>
      </c>
      <c r="AE1402" s="2" t="s">
        <v>40</v>
      </c>
    </row>
    <row r="1403" spans="1:31" ht="409.5">
      <c r="A1403" s="2">
        <v>2738987</v>
      </c>
      <c r="B1403" s="2">
        <f>HYPERLINK("https://platform.v2.vetology.net/cases/2738987/screening-report/1?type=pdf&amp;v=v6&amp;scorecard=1&amp;secret_key=BX%25IJ%24%2F65ieZ%29f6", 2738987)</f>
        <v>2738987</v>
      </c>
      <c r="C1403" s="2">
        <f>HYPERLINK("https://platform.v2.vetology.net/report/v/final/"&amp;2738987, 2738987)</f>
        <v>2738987</v>
      </c>
      <c r="D1403" s="2" t="s">
        <v>4638</v>
      </c>
      <c r="E1403" s="2" t="s">
        <v>4639</v>
      </c>
      <c r="F1403" s="2" t="s">
        <v>43</v>
      </c>
      <c r="G1403" s="2" t="s">
        <v>507</v>
      </c>
      <c r="H1403" s="2" t="s">
        <v>4640</v>
      </c>
      <c r="I1403" s="2" t="s">
        <v>73</v>
      </c>
      <c r="J1403" s="2" t="s">
        <v>74</v>
      </c>
      <c r="K1403" s="2" t="s">
        <v>38</v>
      </c>
      <c r="L1403" s="2" t="s">
        <v>38</v>
      </c>
      <c r="M1403" s="2" t="s">
        <v>38</v>
      </c>
      <c r="N1403" s="2" t="s">
        <v>38</v>
      </c>
      <c r="O1403" s="2" t="s">
        <v>38</v>
      </c>
      <c r="P1403" s="2" t="s">
        <v>38</v>
      </c>
      <c r="Q1403" s="2" t="s">
        <v>38</v>
      </c>
      <c r="R1403" s="2" t="s">
        <v>38</v>
      </c>
      <c r="S1403" s="2" t="s">
        <v>38</v>
      </c>
      <c r="T1403" s="2" t="s">
        <v>38</v>
      </c>
      <c r="U1403" s="2" t="s">
        <v>38</v>
      </c>
      <c r="V1403" s="2" t="s">
        <v>38</v>
      </c>
      <c r="W1403" s="2" t="s">
        <v>38</v>
      </c>
      <c r="X1403" s="2" t="s">
        <v>38</v>
      </c>
      <c r="Y1403" s="2" t="s">
        <v>38</v>
      </c>
      <c r="Z1403" s="2" t="s">
        <v>38</v>
      </c>
      <c r="AA1403" s="2" t="s">
        <v>38</v>
      </c>
      <c r="AB1403" s="2" t="s">
        <v>38</v>
      </c>
      <c r="AC1403" s="2" t="s">
        <v>38</v>
      </c>
      <c r="AD1403" s="2" t="s">
        <v>39</v>
      </c>
      <c r="AE1403" s="2" t="s">
        <v>40</v>
      </c>
    </row>
    <row r="1404" spans="1:31" ht="409.5">
      <c r="A1404" s="2">
        <v>2738944</v>
      </c>
      <c r="B1404" s="2">
        <f>HYPERLINK("https://platform.v2.vetology.net/cases/2738944/screening-report/1?type=pdf&amp;v=v6&amp;scorecard=1&amp;secret_key=BX%25IJ%24%2F65ieZ%29f6", 2738944)</f>
        <v>2738944</v>
      </c>
      <c r="C1404" s="2">
        <f>HYPERLINK("https://platform.v2.vetology.net/report/v/final/"&amp;2738944, 2738944)</f>
        <v>2738944</v>
      </c>
      <c r="D1404" s="2" t="s">
        <v>4641</v>
      </c>
      <c r="E1404" s="2" t="s">
        <v>4642</v>
      </c>
      <c r="F1404" s="2"/>
      <c r="G1404" s="2" t="s">
        <v>81</v>
      </c>
      <c r="H1404" s="2" t="s">
        <v>4643</v>
      </c>
      <c r="I1404" s="2" t="s">
        <v>36</v>
      </c>
      <c r="J1404" s="2" t="s">
        <v>37</v>
      </c>
      <c r="K1404" s="2" t="s">
        <v>38</v>
      </c>
      <c r="L1404" s="2" t="s">
        <v>38</v>
      </c>
      <c r="M1404" s="2" t="s">
        <v>38</v>
      </c>
      <c r="N1404" s="2" t="s">
        <v>39</v>
      </c>
      <c r="O1404" s="2" t="s">
        <v>38</v>
      </c>
      <c r="P1404" s="2" t="s">
        <v>39</v>
      </c>
      <c r="Q1404" s="2" t="s">
        <v>39</v>
      </c>
      <c r="R1404" s="2" t="s">
        <v>38</v>
      </c>
      <c r="S1404" s="2" t="s">
        <v>39</v>
      </c>
      <c r="T1404" s="2" t="s">
        <v>39</v>
      </c>
      <c r="U1404" s="2" t="s">
        <v>39</v>
      </c>
      <c r="V1404" s="2" t="s">
        <v>39</v>
      </c>
      <c r="W1404" s="2" t="s">
        <v>39</v>
      </c>
      <c r="X1404" s="2" t="s">
        <v>39</v>
      </c>
      <c r="Y1404" s="2" t="s">
        <v>39</v>
      </c>
      <c r="Z1404" s="2" t="s">
        <v>39</v>
      </c>
      <c r="AA1404" s="2" t="s">
        <v>39</v>
      </c>
      <c r="AB1404" s="2" t="s">
        <v>39</v>
      </c>
      <c r="AC1404" s="2" t="s">
        <v>39</v>
      </c>
      <c r="AD1404" s="2" t="s">
        <v>39</v>
      </c>
      <c r="AE1404" s="2" t="s">
        <v>40</v>
      </c>
    </row>
    <row r="1405" spans="1:31" ht="409.5">
      <c r="A1405" s="2">
        <v>2738920</v>
      </c>
      <c r="B1405" s="2">
        <f>HYPERLINK("https://platform.v2.vetology.net/cases/2738920/screening-report/1?type=pdf&amp;v=v6&amp;scorecard=1&amp;secret_key=BX%25IJ%24%2F65ieZ%29f6", 2738920)</f>
        <v>2738920</v>
      </c>
      <c r="C1405" s="2">
        <f>HYPERLINK("https://platform.v2.vetology.net/report/v/final/"&amp;2738920, 2738920)</f>
        <v>2738920</v>
      </c>
      <c r="D1405" s="2" t="s">
        <v>4644</v>
      </c>
      <c r="E1405" s="2" t="s">
        <v>4645</v>
      </c>
      <c r="F1405" s="2" t="s">
        <v>4646</v>
      </c>
      <c r="G1405" s="2" t="s">
        <v>34</v>
      </c>
      <c r="H1405" s="2" t="s">
        <v>4647</v>
      </c>
      <c r="I1405" s="2" t="s">
        <v>36</v>
      </c>
      <c r="J1405" s="2" t="s">
        <v>37</v>
      </c>
      <c r="K1405" s="2" t="s">
        <v>38</v>
      </c>
      <c r="L1405" s="2" t="s">
        <v>38</v>
      </c>
      <c r="M1405" s="2" t="s">
        <v>38</v>
      </c>
      <c r="N1405" s="2" t="s">
        <v>38</v>
      </c>
      <c r="O1405" s="2" t="s">
        <v>38</v>
      </c>
      <c r="P1405" s="2" t="s">
        <v>39</v>
      </c>
      <c r="Q1405" s="2" t="s">
        <v>39</v>
      </c>
      <c r="R1405" s="2" t="s">
        <v>38</v>
      </c>
      <c r="S1405" s="2" t="s">
        <v>38</v>
      </c>
      <c r="T1405" s="2" t="s">
        <v>38</v>
      </c>
      <c r="U1405" s="2" t="s">
        <v>38</v>
      </c>
      <c r="V1405" s="2" t="s">
        <v>38</v>
      </c>
      <c r="W1405" s="2" t="s">
        <v>39</v>
      </c>
      <c r="X1405" s="2" t="s">
        <v>39</v>
      </c>
      <c r="Y1405" s="2" t="s">
        <v>39</v>
      </c>
      <c r="Z1405" s="2" t="s">
        <v>38</v>
      </c>
      <c r="AA1405" s="2" t="s">
        <v>38</v>
      </c>
      <c r="AB1405" s="2" t="s">
        <v>39</v>
      </c>
      <c r="AC1405" s="2" t="s">
        <v>38</v>
      </c>
      <c r="AD1405" s="2" t="s">
        <v>38</v>
      </c>
      <c r="AE1405" s="2" t="s">
        <v>39</v>
      </c>
    </row>
    <row r="1406" spans="1:31" ht="409.5">
      <c r="A1406" s="2">
        <v>2738905</v>
      </c>
      <c r="B1406" s="2">
        <f>HYPERLINK("https://platform.v2.vetology.net/cases/2738905/screening-report/1?type=pdf&amp;v=v6&amp;scorecard=1&amp;secret_key=BX%25IJ%24%2F65ieZ%29f6", 2738905)</f>
        <v>2738905</v>
      </c>
      <c r="C1406" s="2">
        <f>HYPERLINK("https://platform.v2.vetology.net/report/v/final/"&amp;2738905, 2738905)</f>
        <v>2738905</v>
      </c>
      <c r="D1406" s="2" t="s">
        <v>4648</v>
      </c>
      <c r="E1406" s="2" t="s">
        <v>4649</v>
      </c>
      <c r="F1406" s="2" t="s">
        <v>738</v>
      </c>
      <c r="G1406" s="2" t="s">
        <v>34</v>
      </c>
      <c r="H1406" s="2" t="s">
        <v>631</v>
      </c>
      <c r="I1406" s="2" t="s">
        <v>59</v>
      </c>
      <c r="J1406" s="2" t="s">
        <v>37</v>
      </c>
      <c r="K1406" s="2" t="s">
        <v>38</v>
      </c>
      <c r="L1406" s="2" t="s">
        <v>39</v>
      </c>
      <c r="M1406" s="2" t="s">
        <v>39</v>
      </c>
      <c r="N1406" s="2" t="s">
        <v>38</v>
      </c>
      <c r="O1406" s="2" t="s">
        <v>39</v>
      </c>
      <c r="P1406" s="2" t="s">
        <v>39</v>
      </c>
      <c r="Q1406" s="2" t="s">
        <v>39</v>
      </c>
      <c r="R1406" s="2" t="s">
        <v>38</v>
      </c>
      <c r="S1406" s="2" t="s">
        <v>38</v>
      </c>
      <c r="T1406" s="2" t="s">
        <v>38</v>
      </c>
      <c r="U1406" s="2" t="s">
        <v>38</v>
      </c>
      <c r="V1406" s="2" t="s">
        <v>38</v>
      </c>
      <c r="W1406" s="2" t="s">
        <v>38</v>
      </c>
      <c r="X1406" s="2" t="s">
        <v>39</v>
      </c>
      <c r="Y1406" s="2" t="s">
        <v>39</v>
      </c>
      <c r="Z1406" s="2" t="s">
        <v>38</v>
      </c>
      <c r="AA1406" s="2" t="s">
        <v>38</v>
      </c>
      <c r="AB1406" s="2" t="s">
        <v>39</v>
      </c>
      <c r="AC1406" s="2" t="s">
        <v>38</v>
      </c>
      <c r="AD1406" s="2" t="s">
        <v>38</v>
      </c>
      <c r="AE1406" s="2" t="s">
        <v>40</v>
      </c>
    </row>
    <row r="1407" spans="1:31" ht="409.5">
      <c r="A1407" s="2">
        <v>2738862</v>
      </c>
      <c r="B1407" s="2">
        <f>HYPERLINK("https://platform.v2.vetology.net/cases/2738862/screening-report/1?type=pdf&amp;v=v6&amp;scorecard=1&amp;secret_key=BX%25IJ%24%2F65ieZ%29f6", 2738862)</f>
        <v>2738862</v>
      </c>
      <c r="C1407" s="2">
        <f>HYPERLINK("https://platform.v2.vetology.net/report/v/final/"&amp;2738862, 2738862)</f>
        <v>2738862</v>
      </c>
      <c r="D1407" s="2" t="s">
        <v>4650</v>
      </c>
      <c r="E1407" s="2" t="s">
        <v>4651</v>
      </c>
      <c r="F1407" s="2" t="s">
        <v>4652</v>
      </c>
      <c r="G1407" s="2" t="s">
        <v>170</v>
      </c>
      <c r="H1407" s="2" t="s">
        <v>4653</v>
      </c>
      <c r="I1407" s="2" t="s">
        <v>257</v>
      </c>
      <c r="J1407" s="2" t="s">
        <v>74</v>
      </c>
      <c r="K1407" s="2" t="s">
        <v>38</v>
      </c>
      <c r="L1407" s="2" t="s">
        <v>38</v>
      </c>
      <c r="M1407" s="2" t="s">
        <v>38</v>
      </c>
      <c r="N1407" s="2" t="s">
        <v>38</v>
      </c>
      <c r="O1407" s="2" t="s">
        <v>38</v>
      </c>
      <c r="P1407" s="2" t="s">
        <v>38</v>
      </c>
      <c r="Q1407" s="2" t="s">
        <v>38</v>
      </c>
      <c r="R1407" s="2" t="s">
        <v>38</v>
      </c>
      <c r="S1407" s="2" t="s">
        <v>38</v>
      </c>
      <c r="T1407" s="2" t="s">
        <v>38</v>
      </c>
      <c r="U1407" s="2" t="s">
        <v>38</v>
      </c>
      <c r="V1407" s="2" t="s">
        <v>38</v>
      </c>
      <c r="W1407" s="2" t="s">
        <v>38</v>
      </c>
      <c r="X1407" s="2" t="s">
        <v>38</v>
      </c>
      <c r="Y1407" s="2" t="s">
        <v>39</v>
      </c>
      <c r="Z1407" s="2" t="s">
        <v>38</v>
      </c>
      <c r="AA1407" s="2" t="s">
        <v>38</v>
      </c>
      <c r="AB1407" s="2" t="s">
        <v>38</v>
      </c>
      <c r="AC1407" s="2" t="s">
        <v>38</v>
      </c>
      <c r="AD1407" s="2" t="s">
        <v>38</v>
      </c>
      <c r="AE1407" s="2" t="s">
        <v>39</v>
      </c>
    </row>
    <row r="1408" spans="1:31" ht="409.5">
      <c r="A1408" s="2">
        <v>2738856</v>
      </c>
      <c r="B1408" s="2">
        <f>HYPERLINK("https://platform.v2.vetology.net/cases/2738856/screening-report/1?type=pdf&amp;v=v6&amp;scorecard=1&amp;secret_key=BX%25IJ%24%2F65ieZ%29f6", 2738856)</f>
        <v>2738856</v>
      </c>
      <c r="C1408" s="2">
        <f>HYPERLINK("https://platform.v2.vetology.net/report/v/final/"&amp;2738856, 2738856)</f>
        <v>2738856</v>
      </c>
      <c r="D1408" s="2" t="s">
        <v>4654</v>
      </c>
      <c r="E1408" s="2" t="s">
        <v>4655</v>
      </c>
      <c r="F1408" s="2" t="s">
        <v>4656</v>
      </c>
      <c r="G1408" s="2" t="s">
        <v>53</v>
      </c>
      <c r="H1408" s="2" t="s">
        <v>45</v>
      </c>
      <c r="I1408" s="2" t="s">
        <v>46</v>
      </c>
      <c r="J1408" s="2"/>
      <c r="K1408" s="2" t="s">
        <v>39</v>
      </c>
      <c r="L1408" s="2" t="s">
        <v>39</v>
      </c>
      <c r="M1408" s="2" t="s">
        <v>39</v>
      </c>
      <c r="N1408" s="2" t="s">
        <v>39</v>
      </c>
      <c r="O1408" s="2" t="s">
        <v>39</v>
      </c>
      <c r="P1408" s="2" t="s">
        <v>39</v>
      </c>
      <c r="Q1408" s="2" t="s">
        <v>39</v>
      </c>
      <c r="R1408" s="2" t="s">
        <v>38</v>
      </c>
      <c r="S1408" s="2" t="s">
        <v>39</v>
      </c>
      <c r="T1408" s="2" t="s">
        <v>39</v>
      </c>
      <c r="U1408" s="2" t="s">
        <v>39</v>
      </c>
      <c r="V1408" s="2" t="s">
        <v>39</v>
      </c>
      <c r="W1408" s="2" t="s">
        <v>38</v>
      </c>
      <c r="X1408" s="2" t="s">
        <v>39</v>
      </c>
      <c r="Y1408" s="2" t="s">
        <v>39</v>
      </c>
      <c r="Z1408" s="2" t="s">
        <v>39</v>
      </c>
      <c r="AA1408" s="2" t="s">
        <v>38</v>
      </c>
      <c r="AB1408" s="2" t="s">
        <v>39</v>
      </c>
      <c r="AC1408" s="2" t="s">
        <v>38</v>
      </c>
      <c r="AD1408" s="2" t="s">
        <v>38</v>
      </c>
      <c r="AE1408" s="2" t="s">
        <v>39</v>
      </c>
    </row>
    <row r="1409" spans="1:31" ht="409.5">
      <c r="A1409" s="2">
        <v>2738791</v>
      </c>
      <c r="B1409" s="2">
        <f>HYPERLINK("https://platform.v2.vetology.net/cases/2738791/screening-report/1?type=pdf&amp;v=v6&amp;scorecard=1&amp;secret_key=BX%25IJ%24%2F65ieZ%29f6", 2738791)</f>
        <v>2738791</v>
      </c>
      <c r="C1409" s="2">
        <f>HYPERLINK("https://platform.v2.vetology.net/report/v/final/"&amp;2738791, 2738791)</f>
        <v>2738791</v>
      </c>
      <c r="D1409" s="2" t="s">
        <v>4657</v>
      </c>
      <c r="E1409" s="2" t="s">
        <v>4658</v>
      </c>
      <c r="F1409" s="2" t="s">
        <v>4659</v>
      </c>
      <c r="G1409" s="2" t="s">
        <v>34</v>
      </c>
      <c r="H1409" s="2" t="s">
        <v>66</v>
      </c>
      <c r="I1409" s="2" t="s">
        <v>36</v>
      </c>
      <c r="J1409" s="2" t="s">
        <v>37</v>
      </c>
      <c r="K1409" s="2" t="s">
        <v>39</v>
      </c>
      <c r="L1409" s="2" t="s">
        <v>39</v>
      </c>
      <c r="M1409" s="2" t="s">
        <v>38</v>
      </c>
      <c r="N1409" s="2" t="s">
        <v>39</v>
      </c>
      <c r="O1409" s="2" t="s">
        <v>38</v>
      </c>
      <c r="P1409" s="2" t="s">
        <v>39</v>
      </c>
      <c r="Q1409" s="2" t="s">
        <v>39</v>
      </c>
      <c r="R1409" s="2" t="s">
        <v>39</v>
      </c>
      <c r="S1409" s="2" t="s">
        <v>39</v>
      </c>
      <c r="T1409" s="2" t="s">
        <v>38</v>
      </c>
      <c r="U1409" s="2" t="s">
        <v>39</v>
      </c>
      <c r="V1409" s="2" t="s">
        <v>39</v>
      </c>
      <c r="W1409" s="2" t="s">
        <v>38</v>
      </c>
      <c r="X1409" s="2" t="s">
        <v>39</v>
      </c>
      <c r="Y1409" s="2" t="s">
        <v>39</v>
      </c>
      <c r="Z1409" s="2" t="s">
        <v>38</v>
      </c>
      <c r="AA1409" s="2" t="s">
        <v>39</v>
      </c>
      <c r="AB1409" s="2" t="s">
        <v>39</v>
      </c>
      <c r="AC1409" s="2" t="s">
        <v>38</v>
      </c>
      <c r="AD1409" s="2" t="s">
        <v>38</v>
      </c>
      <c r="AE1409" s="2" t="s">
        <v>39</v>
      </c>
    </row>
    <row r="1410" spans="1:31" ht="409.5">
      <c r="A1410" s="2">
        <v>2738790</v>
      </c>
      <c r="B1410" s="2">
        <f>HYPERLINK("https://platform.v2.vetology.net/cases/2738790/screening-report/1?type=pdf&amp;v=v6&amp;scorecard=1&amp;secret_key=BX%25IJ%24%2F65ieZ%29f6", 2738790)</f>
        <v>2738790</v>
      </c>
      <c r="C1410" s="2">
        <f>HYPERLINK("https://platform.v2.vetology.net/report/v/final/"&amp;2738790, 2738790)</f>
        <v>2738790</v>
      </c>
      <c r="D1410" s="2" t="s">
        <v>4660</v>
      </c>
      <c r="E1410" s="2" t="s">
        <v>4661</v>
      </c>
      <c r="F1410" s="2" t="s">
        <v>4662</v>
      </c>
      <c r="G1410" s="2" t="s">
        <v>34</v>
      </c>
      <c r="H1410" s="2" t="s">
        <v>4663</v>
      </c>
      <c r="I1410" s="2" t="s">
        <v>73</v>
      </c>
      <c r="J1410" s="2" t="s">
        <v>74</v>
      </c>
      <c r="K1410" s="2" t="s">
        <v>38</v>
      </c>
      <c r="L1410" s="2" t="s">
        <v>38</v>
      </c>
      <c r="M1410" s="2" t="s">
        <v>38</v>
      </c>
      <c r="N1410" s="2" t="s">
        <v>38</v>
      </c>
      <c r="O1410" s="2" t="s">
        <v>38</v>
      </c>
      <c r="P1410" s="2" t="s">
        <v>38</v>
      </c>
      <c r="Q1410" s="2" t="s">
        <v>38</v>
      </c>
      <c r="R1410" s="2" t="s">
        <v>38</v>
      </c>
      <c r="S1410" s="2" t="s">
        <v>38</v>
      </c>
      <c r="T1410" s="2" t="s">
        <v>38</v>
      </c>
      <c r="U1410" s="2" t="s">
        <v>38</v>
      </c>
      <c r="V1410" s="2" t="s">
        <v>38</v>
      </c>
      <c r="W1410" s="2" t="s">
        <v>38</v>
      </c>
      <c r="X1410" s="2" t="s">
        <v>38</v>
      </c>
      <c r="Y1410" s="2" t="s">
        <v>39</v>
      </c>
      <c r="Z1410" s="2" t="s">
        <v>38</v>
      </c>
      <c r="AA1410" s="2" t="s">
        <v>38</v>
      </c>
      <c r="AB1410" s="2" t="s">
        <v>38</v>
      </c>
      <c r="AC1410" s="2" t="s">
        <v>38</v>
      </c>
      <c r="AD1410" s="2" t="s">
        <v>39</v>
      </c>
      <c r="AE1410" s="2" t="s">
        <v>40</v>
      </c>
    </row>
    <row r="1411" spans="1:31" ht="409.5">
      <c r="A1411" s="2">
        <v>2738771</v>
      </c>
      <c r="B1411" s="2">
        <f>HYPERLINK("https://platform.v2.vetology.net/cases/2738771/screening-report/1?type=pdf&amp;v=v6&amp;scorecard=1&amp;secret_key=BX%25IJ%24%2F65ieZ%29f6", 2738771)</f>
        <v>2738771</v>
      </c>
      <c r="C1411" s="2">
        <f>HYPERLINK("https://platform.v2.vetology.net/report/v/final/"&amp;2738771, 2738771)</f>
        <v>2738771</v>
      </c>
      <c r="D1411" s="2" t="s">
        <v>4664</v>
      </c>
      <c r="E1411" s="2" t="s">
        <v>4665</v>
      </c>
      <c r="F1411" s="2" t="s">
        <v>4666</v>
      </c>
      <c r="G1411" s="2" t="s">
        <v>127</v>
      </c>
      <c r="H1411" s="2" t="s">
        <v>69</v>
      </c>
      <c r="I1411" s="2" t="s">
        <v>46</v>
      </c>
      <c r="J1411" s="2"/>
      <c r="K1411" s="2" t="s">
        <v>39</v>
      </c>
      <c r="L1411" s="2" t="s">
        <v>39</v>
      </c>
      <c r="M1411" s="2" t="s">
        <v>39</v>
      </c>
      <c r="N1411" s="2" t="s">
        <v>39</v>
      </c>
      <c r="O1411" s="2" t="s">
        <v>39</v>
      </c>
      <c r="P1411" s="2" t="s">
        <v>39</v>
      </c>
      <c r="Q1411" s="2" t="s">
        <v>39</v>
      </c>
      <c r="R1411" s="2" t="s">
        <v>39</v>
      </c>
      <c r="S1411" s="2" t="s">
        <v>39</v>
      </c>
      <c r="T1411" s="2" t="s">
        <v>39</v>
      </c>
      <c r="U1411" s="2" t="s">
        <v>39</v>
      </c>
      <c r="V1411" s="2" t="s">
        <v>39</v>
      </c>
      <c r="W1411" s="2" t="s">
        <v>39</v>
      </c>
      <c r="X1411" s="2" t="s">
        <v>39</v>
      </c>
      <c r="Y1411" s="2" t="s">
        <v>39</v>
      </c>
      <c r="Z1411" s="2" t="s">
        <v>39</v>
      </c>
      <c r="AA1411" s="2" t="s">
        <v>39</v>
      </c>
      <c r="AB1411" s="2" t="s">
        <v>39</v>
      </c>
      <c r="AC1411" s="2" t="s">
        <v>38</v>
      </c>
      <c r="AD1411" s="2" t="s">
        <v>39</v>
      </c>
      <c r="AE1411" s="2" t="s">
        <v>39</v>
      </c>
    </row>
    <row r="1412" spans="1:31" ht="409.5">
      <c r="A1412" s="2">
        <v>2738756</v>
      </c>
      <c r="B1412" s="2">
        <f>HYPERLINK("https://platform.v2.vetology.net/cases/2738756/screening-report/1?type=pdf&amp;v=v6&amp;scorecard=1&amp;secret_key=BX%25IJ%24%2F65ieZ%29f6", 2738756)</f>
        <v>2738756</v>
      </c>
      <c r="C1412" s="2">
        <f>HYPERLINK("https://platform.v2.vetology.net/report/v/final/"&amp;2738756, 2738756)</f>
        <v>2738756</v>
      </c>
      <c r="D1412" s="2" t="s">
        <v>4667</v>
      </c>
      <c r="E1412" s="2" t="s">
        <v>4668</v>
      </c>
      <c r="F1412" s="2" t="s">
        <v>4669</v>
      </c>
      <c r="G1412" s="2" t="s">
        <v>170</v>
      </c>
      <c r="H1412" s="2" t="s">
        <v>449</v>
      </c>
      <c r="I1412" s="2" t="s">
        <v>36</v>
      </c>
      <c r="J1412" s="2" t="s">
        <v>37</v>
      </c>
      <c r="K1412" s="2" t="s">
        <v>39</v>
      </c>
      <c r="L1412" s="2" t="s">
        <v>38</v>
      </c>
      <c r="M1412" s="2" t="s">
        <v>39</v>
      </c>
      <c r="N1412" s="2" t="s">
        <v>38</v>
      </c>
      <c r="O1412" s="2" t="s">
        <v>38</v>
      </c>
      <c r="P1412" s="2" t="s">
        <v>39</v>
      </c>
      <c r="Q1412" s="2" t="s">
        <v>39</v>
      </c>
      <c r="R1412" s="2" t="s">
        <v>38</v>
      </c>
      <c r="S1412" s="2" t="s">
        <v>38</v>
      </c>
      <c r="T1412" s="2" t="s">
        <v>39</v>
      </c>
      <c r="U1412" s="2" t="s">
        <v>39</v>
      </c>
      <c r="V1412" s="2" t="s">
        <v>39</v>
      </c>
      <c r="W1412" s="2" t="s">
        <v>38</v>
      </c>
      <c r="X1412" s="2" t="s">
        <v>39</v>
      </c>
      <c r="Y1412" s="2" t="s">
        <v>39</v>
      </c>
      <c r="Z1412" s="2" t="s">
        <v>38</v>
      </c>
      <c r="AA1412" s="2" t="s">
        <v>38</v>
      </c>
      <c r="AB1412" s="2" t="s">
        <v>39</v>
      </c>
      <c r="AC1412" s="2" t="s">
        <v>38</v>
      </c>
      <c r="AD1412" s="2" t="s">
        <v>38</v>
      </c>
      <c r="AE1412" s="2" t="s">
        <v>39</v>
      </c>
    </row>
    <row r="1413" spans="1:31" ht="409.5">
      <c r="A1413" s="2">
        <v>2738728</v>
      </c>
      <c r="B1413" s="2">
        <f>HYPERLINK("https://platform.v2.vetology.net/cases/2738728/screening-report/1?type=pdf&amp;v=v6&amp;scorecard=1&amp;secret_key=BX%25IJ%24%2F65ieZ%29f6", 2738728)</f>
        <v>2738728</v>
      </c>
      <c r="C1413" s="2">
        <f>HYPERLINK("https://platform.v2.vetology.net/report/v/final/"&amp;2738728, 2738728)</f>
        <v>2738728</v>
      </c>
      <c r="D1413" s="2" t="s">
        <v>4670</v>
      </c>
      <c r="E1413" s="2" t="s">
        <v>4671</v>
      </c>
      <c r="F1413" s="2" t="s">
        <v>43</v>
      </c>
      <c r="G1413" s="2" t="s">
        <v>507</v>
      </c>
      <c r="H1413" s="2" t="s">
        <v>4672</v>
      </c>
      <c r="I1413" s="2" t="s">
        <v>36</v>
      </c>
      <c r="J1413" s="2" t="s">
        <v>37</v>
      </c>
      <c r="K1413" s="2" t="s">
        <v>38</v>
      </c>
      <c r="L1413" s="2" t="s">
        <v>38</v>
      </c>
      <c r="M1413" s="2" t="s">
        <v>38</v>
      </c>
      <c r="N1413" s="2" t="s">
        <v>38</v>
      </c>
      <c r="O1413" s="2" t="s">
        <v>38</v>
      </c>
      <c r="P1413" s="2" t="s">
        <v>39</v>
      </c>
      <c r="Q1413" s="2" t="s">
        <v>38</v>
      </c>
      <c r="R1413" s="2" t="s">
        <v>38</v>
      </c>
      <c r="S1413" s="2" t="s">
        <v>38</v>
      </c>
      <c r="T1413" s="2" t="s">
        <v>38</v>
      </c>
      <c r="U1413" s="2" t="s">
        <v>38</v>
      </c>
      <c r="V1413" s="2" t="s">
        <v>38</v>
      </c>
      <c r="W1413" s="2" t="s">
        <v>38</v>
      </c>
      <c r="X1413" s="2" t="s">
        <v>39</v>
      </c>
      <c r="Y1413" s="2" t="s">
        <v>39</v>
      </c>
      <c r="Z1413" s="2" t="s">
        <v>38</v>
      </c>
      <c r="AA1413" s="2" t="s">
        <v>38</v>
      </c>
      <c r="AB1413" s="2" t="s">
        <v>39</v>
      </c>
      <c r="AC1413" s="2" t="s">
        <v>38</v>
      </c>
      <c r="AD1413" s="2" t="s">
        <v>38</v>
      </c>
      <c r="AE1413" s="2" t="s">
        <v>39</v>
      </c>
    </row>
    <row r="1414" spans="1:31" ht="409.5">
      <c r="A1414" s="2">
        <v>2738727</v>
      </c>
      <c r="B1414" s="2">
        <f>HYPERLINK("https://platform.v2.vetology.net/cases/2738727/screening-report/1?type=pdf&amp;v=v6&amp;scorecard=1&amp;secret_key=BX%25IJ%24%2F65ieZ%29f6", 2738727)</f>
        <v>2738727</v>
      </c>
      <c r="C1414" s="2">
        <f>HYPERLINK("https://platform.v2.vetology.net/report/v/final/"&amp;2738727, 2738727)</f>
        <v>2738727</v>
      </c>
      <c r="D1414" s="2" t="s">
        <v>4673</v>
      </c>
      <c r="E1414" s="2" t="s">
        <v>4674</v>
      </c>
      <c r="F1414" s="2" t="s">
        <v>43</v>
      </c>
      <c r="G1414" s="2" t="s">
        <v>507</v>
      </c>
      <c r="H1414" s="2" t="s">
        <v>2424</v>
      </c>
      <c r="I1414" s="2" t="s">
        <v>36</v>
      </c>
      <c r="J1414" s="2" t="s">
        <v>37</v>
      </c>
      <c r="K1414" s="2" t="s">
        <v>39</v>
      </c>
      <c r="L1414" s="2" t="s">
        <v>39</v>
      </c>
      <c r="M1414" s="2" t="s">
        <v>38</v>
      </c>
      <c r="N1414" s="2" t="s">
        <v>38</v>
      </c>
      <c r="O1414" s="2" t="s">
        <v>38</v>
      </c>
      <c r="P1414" s="2" t="s">
        <v>39</v>
      </c>
      <c r="Q1414" s="2" t="s">
        <v>39</v>
      </c>
      <c r="R1414" s="2" t="s">
        <v>38</v>
      </c>
      <c r="S1414" s="2" t="s">
        <v>39</v>
      </c>
      <c r="T1414" s="2" t="s">
        <v>39</v>
      </c>
      <c r="U1414" s="2" t="s">
        <v>39</v>
      </c>
      <c r="V1414" s="2" t="s">
        <v>39</v>
      </c>
      <c r="W1414" s="2" t="s">
        <v>39</v>
      </c>
      <c r="X1414" s="2" t="s">
        <v>39</v>
      </c>
      <c r="Y1414" s="2" t="s">
        <v>39</v>
      </c>
      <c r="Z1414" s="2" t="s">
        <v>38</v>
      </c>
      <c r="AA1414" s="2" t="s">
        <v>39</v>
      </c>
      <c r="AB1414" s="2" t="s">
        <v>39</v>
      </c>
      <c r="AC1414" s="2" t="s">
        <v>38</v>
      </c>
      <c r="AD1414" s="2" t="s">
        <v>38</v>
      </c>
      <c r="AE1414" s="2" t="s">
        <v>39</v>
      </c>
    </row>
    <row r="1415" spans="1:31" ht="409.5">
      <c r="A1415" s="2">
        <v>2738714</v>
      </c>
      <c r="B1415" s="2">
        <f>HYPERLINK("https://platform.v2.vetology.net/cases/2738714/screening-report/1?type=pdf&amp;v=v6&amp;scorecard=1&amp;secret_key=BX%25IJ%24%2F65ieZ%29f6", 2738714)</f>
        <v>2738714</v>
      </c>
      <c r="C1415" s="2">
        <f>HYPERLINK("https://platform.v2.vetology.net/report/v/final/"&amp;2738714, 2738714)</f>
        <v>2738714</v>
      </c>
      <c r="D1415" s="2" t="s">
        <v>4675</v>
      </c>
      <c r="E1415" s="2" t="s">
        <v>4676</v>
      </c>
      <c r="F1415" s="2" t="s">
        <v>1031</v>
      </c>
      <c r="G1415" s="2" t="s">
        <v>170</v>
      </c>
      <c r="H1415" s="2" t="s">
        <v>4677</v>
      </c>
      <c r="I1415" s="2" t="s">
        <v>36</v>
      </c>
      <c r="J1415" s="2" t="s">
        <v>37</v>
      </c>
      <c r="K1415" s="2" t="s">
        <v>39</v>
      </c>
      <c r="L1415" s="2" t="s">
        <v>38</v>
      </c>
      <c r="M1415" s="2" t="s">
        <v>38</v>
      </c>
      <c r="N1415" s="2" t="s">
        <v>39</v>
      </c>
      <c r="O1415" s="2" t="s">
        <v>38</v>
      </c>
      <c r="P1415" s="2" t="s">
        <v>38</v>
      </c>
      <c r="Q1415" s="2" t="s">
        <v>39</v>
      </c>
      <c r="R1415" s="2" t="s">
        <v>39</v>
      </c>
      <c r="S1415" s="2" t="s">
        <v>39</v>
      </c>
      <c r="T1415" s="2" t="s">
        <v>38</v>
      </c>
      <c r="U1415" s="2" t="s">
        <v>39</v>
      </c>
      <c r="V1415" s="2" t="s">
        <v>39</v>
      </c>
      <c r="W1415" s="2" t="s">
        <v>38</v>
      </c>
      <c r="X1415" s="2" t="s">
        <v>38</v>
      </c>
      <c r="Y1415" s="2" t="s">
        <v>39</v>
      </c>
      <c r="Z1415" s="2" t="s">
        <v>39</v>
      </c>
      <c r="AA1415" s="2" t="s">
        <v>39</v>
      </c>
      <c r="AB1415" s="2" t="s">
        <v>39</v>
      </c>
      <c r="AC1415" s="2" t="s">
        <v>39</v>
      </c>
      <c r="AD1415" s="2" t="s">
        <v>38</v>
      </c>
      <c r="AE1415" s="2"/>
    </row>
    <row r="1416" spans="1:31" ht="409.5">
      <c r="A1416" s="2">
        <v>2738708</v>
      </c>
      <c r="B1416" s="2">
        <f>HYPERLINK("https://platform.v2.vetology.net/cases/2738708/screening-report/1?type=pdf&amp;v=v6&amp;scorecard=1&amp;secret_key=BX%25IJ%24%2F65ieZ%29f6", 2738708)</f>
        <v>2738708</v>
      </c>
      <c r="C1416" s="2">
        <f>HYPERLINK("https://platform.v2.vetology.net/report/v/final/"&amp;2738708, 2738708)</f>
        <v>2738708</v>
      </c>
      <c r="D1416" s="2" t="s">
        <v>4678</v>
      </c>
      <c r="E1416" s="2" t="s">
        <v>4679</v>
      </c>
      <c r="F1416" s="2" t="s">
        <v>4680</v>
      </c>
      <c r="G1416" s="2" t="s">
        <v>34</v>
      </c>
      <c r="H1416" s="2" t="s">
        <v>4681</v>
      </c>
      <c r="I1416" s="2" t="s">
        <v>129</v>
      </c>
      <c r="J1416" s="2" t="s">
        <v>74</v>
      </c>
      <c r="K1416" s="2" t="s">
        <v>38</v>
      </c>
      <c r="L1416" s="2" t="s">
        <v>38</v>
      </c>
      <c r="M1416" s="2" t="s">
        <v>38</v>
      </c>
      <c r="N1416" s="2" t="s">
        <v>38</v>
      </c>
      <c r="O1416" s="2" t="s">
        <v>38</v>
      </c>
      <c r="P1416" s="2" t="s">
        <v>38</v>
      </c>
      <c r="Q1416" s="2" t="s">
        <v>38</v>
      </c>
      <c r="R1416" s="2" t="s">
        <v>38</v>
      </c>
      <c r="S1416" s="2" t="s">
        <v>38</v>
      </c>
      <c r="T1416" s="2" t="s">
        <v>38</v>
      </c>
      <c r="U1416" s="2" t="s">
        <v>38</v>
      </c>
      <c r="V1416" s="2" t="s">
        <v>38</v>
      </c>
      <c r="W1416" s="2" t="s">
        <v>38</v>
      </c>
      <c r="X1416" s="2" t="s">
        <v>39</v>
      </c>
      <c r="Y1416" s="2" t="s">
        <v>39</v>
      </c>
      <c r="Z1416" s="2" t="s">
        <v>38</v>
      </c>
      <c r="AA1416" s="2" t="s">
        <v>38</v>
      </c>
      <c r="AB1416" s="2" t="s">
        <v>38</v>
      </c>
      <c r="AC1416" s="2" t="s">
        <v>38</v>
      </c>
      <c r="AD1416" s="2" t="s">
        <v>38</v>
      </c>
      <c r="AE1416" s="2" t="s">
        <v>40</v>
      </c>
    </row>
    <row r="1417" spans="1:31" ht="409.5">
      <c r="A1417" s="2">
        <v>2738665</v>
      </c>
      <c r="B1417" s="2">
        <f>HYPERLINK("https://platform.v2.vetology.net/cases/2738665/screening-report/1?type=pdf&amp;v=v6&amp;scorecard=1&amp;secret_key=BX%25IJ%24%2F65ieZ%29f6", 2738665)</f>
        <v>2738665</v>
      </c>
      <c r="C1417" s="2">
        <f>HYPERLINK("https://platform.v2.vetology.net/report/v/final/"&amp;2738665, 2738665)</f>
        <v>2738665</v>
      </c>
      <c r="D1417" s="2" t="s">
        <v>4682</v>
      </c>
      <c r="E1417" s="2" t="s">
        <v>4683</v>
      </c>
      <c r="F1417" s="2" t="s">
        <v>4684</v>
      </c>
      <c r="G1417" s="2" t="s">
        <v>34</v>
      </c>
      <c r="H1417" s="2" t="s">
        <v>4685</v>
      </c>
      <c r="I1417" s="2" t="s">
        <v>73</v>
      </c>
      <c r="J1417" s="2" t="s">
        <v>74</v>
      </c>
      <c r="K1417" s="2" t="s">
        <v>38</v>
      </c>
      <c r="L1417" s="2" t="s">
        <v>38</v>
      </c>
      <c r="M1417" s="2" t="s">
        <v>38</v>
      </c>
      <c r="N1417" s="2" t="s">
        <v>38</v>
      </c>
      <c r="O1417" s="2" t="s">
        <v>38</v>
      </c>
      <c r="P1417" s="2" t="s">
        <v>39</v>
      </c>
      <c r="Q1417" s="2" t="s">
        <v>38</v>
      </c>
      <c r="R1417" s="2" t="s">
        <v>38</v>
      </c>
      <c r="S1417" s="2" t="s">
        <v>38</v>
      </c>
      <c r="T1417" s="2" t="s">
        <v>38</v>
      </c>
      <c r="U1417" s="2" t="s">
        <v>38</v>
      </c>
      <c r="V1417" s="2" t="s">
        <v>38</v>
      </c>
      <c r="W1417" s="2" t="s">
        <v>39</v>
      </c>
      <c r="X1417" s="2" t="s">
        <v>38</v>
      </c>
      <c r="Y1417" s="2" t="s">
        <v>38</v>
      </c>
      <c r="Z1417" s="2" t="s">
        <v>39</v>
      </c>
      <c r="AA1417" s="2" t="s">
        <v>38</v>
      </c>
      <c r="AB1417" s="2" t="s">
        <v>38</v>
      </c>
      <c r="AC1417" s="2" t="s">
        <v>38</v>
      </c>
      <c r="AD1417" s="2" t="s">
        <v>38</v>
      </c>
      <c r="AE1417" s="2" t="s">
        <v>40</v>
      </c>
    </row>
    <row r="1418" spans="1:31" ht="409.5">
      <c r="A1418" s="2">
        <v>2738659</v>
      </c>
      <c r="B1418" s="2">
        <f>HYPERLINK("https://platform.v2.vetology.net/cases/2738659/screening-report/1?type=pdf&amp;v=v6&amp;scorecard=1&amp;secret_key=BX%25IJ%24%2F65ieZ%29f6", 2738659)</f>
        <v>2738659</v>
      </c>
      <c r="C1418" s="2">
        <f>HYPERLINK("https://platform.v2.vetology.net/report/v/final/"&amp;2738659, 2738659)</f>
        <v>2738659</v>
      </c>
      <c r="D1418" s="2" t="s">
        <v>4686</v>
      </c>
      <c r="E1418" s="2" t="s">
        <v>4687</v>
      </c>
      <c r="F1418" s="2" t="s">
        <v>4688</v>
      </c>
      <c r="G1418" s="2" t="s">
        <v>34</v>
      </c>
      <c r="H1418" s="2" t="s">
        <v>69</v>
      </c>
      <c r="I1418" s="2" t="s">
        <v>46</v>
      </c>
      <c r="J1418" s="2"/>
      <c r="K1418" s="2" t="s">
        <v>39</v>
      </c>
      <c r="L1418" s="2" t="s">
        <v>39</v>
      </c>
      <c r="M1418" s="2" t="s">
        <v>39</v>
      </c>
      <c r="N1418" s="2" t="s">
        <v>39</v>
      </c>
      <c r="O1418" s="2" t="s">
        <v>39</v>
      </c>
      <c r="P1418" s="2" t="s">
        <v>39</v>
      </c>
      <c r="Q1418" s="2" t="s">
        <v>39</v>
      </c>
      <c r="R1418" s="2" t="s">
        <v>39</v>
      </c>
      <c r="S1418" s="2" t="s">
        <v>39</v>
      </c>
      <c r="T1418" s="2" t="s">
        <v>39</v>
      </c>
      <c r="U1418" s="2" t="s">
        <v>39</v>
      </c>
      <c r="V1418" s="2" t="s">
        <v>38</v>
      </c>
      <c r="W1418" s="2" t="s">
        <v>39</v>
      </c>
      <c r="X1418" s="2" t="s">
        <v>39</v>
      </c>
      <c r="Y1418" s="2" t="s">
        <v>39</v>
      </c>
      <c r="Z1418" s="2" t="s">
        <v>39</v>
      </c>
      <c r="AA1418" s="2" t="s">
        <v>38</v>
      </c>
      <c r="AB1418" s="2" t="s">
        <v>39</v>
      </c>
      <c r="AC1418" s="2" t="s">
        <v>39</v>
      </c>
      <c r="AD1418" s="2" t="s">
        <v>39</v>
      </c>
      <c r="AE1418" s="2" t="s">
        <v>39</v>
      </c>
    </row>
    <row r="1419" spans="1:31" ht="409.5">
      <c r="A1419" s="2">
        <v>2738608</v>
      </c>
      <c r="B1419" s="2">
        <f>HYPERLINK("https://platform.v2.vetology.net/cases/2738608/screening-report/1?type=pdf&amp;v=v6&amp;scorecard=1&amp;secret_key=BX%25IJ%24%2F65ieZ%29f6", 2738608)</f>
        <v>2738608</v>
      </c>
      <c r="C1419" s="2">
        <f>HYPERLINK("https://platform.v2.vetology.net/report/v/final/"&amp;2738608, 2738608)</f>
        <v>2738608</v>
      </c>
      <c r="D1419" s="2" t="s">
        <v>4689</v>
      </c>
      <c r="E1419" s="2" t="s">
        <v>4690</v>
      </c>
      <c r="F1419" s="2" t="s">
        <v>43</v>
      </c>
      <c r="G1419" s="2" t="s">
        <v>507</v>
      </c>
      <c r="H1419" s="2" t="s">
        <v>273</v>
      </c>
      <c r="I1419" s="2" t="s">
        <v>46</v>
      </c>
      <c r="J1419" s="2"/>
      <c r="K1419" s="2" t="s">
        <v>39</v>
      </c>
      <c r="L1419" s="2" t="s">
        <v>39</v>
      </c>
      <c r="M1419" s="2" t="s">
        <v>39</v>
      </c>
      <c r="N1419" s="2" t="s">
        <v>39</v>
      </c>
      <c r="O1419" s="2" t="s">
        <v>39</v>
      </c>
      <c r="P1419" s="2" t="s">
        <v>39</v>
      </c>
      <c r="Q1419" s="2" t="s">
        <v>39</v>
      </c>
      <c r="R1419" s="2" t="s">
        <v>39</v>
      </c>
      <c r="S1419" s="2" t="s">
        <v>38</v>
      </c>
      <c r="T1419" s="2" t="s">
        <v>39</v>
      </c>
      <c r="U1419" s="2" t="s">
        <v>39</v>
      </c>
      <c r="V1419" s="2" t="s">
        <v>39</v>
      </c>
      <c r="W1419" s="2" t="s">
        <v>39</v>
      </c>
      <c r="X1419" s="2" t="s">
        <v>39</v>
      </c>
      <c r="Y1419" s="2" t="s">
        <v>39</v>
      </c>
      <c r="Z1419" s="2" t="s">
        <v>38</v>
      </c>
      <c r="AA1419" s="2" t="s">
        <v>39</v>
      </c>
      <c r="AB1419" s="2" t="s">
        <v>39</v>
      </c>
      <c r="AC1419" s="2" t="s">
        <v>39</v>
      </c>
      <c r="AD1419" s="2" t="s">
        <v>38</v>
      </c>
      <c r="AE1419" s="2" t="s">
        <v>39</v>
      </c>
    </row>
    <row r="1420" spans="1:31" ht="409.5">
      <c r="A1420" s="2">
        <v>2738603</v>
      </c>
      <c r="B1420" s="2">
        <f>HYPERLINK("https://platform.v2.vetology.net/cases/2738603/screening-report/1?type=pdf&amp;v=v6&amp;scorecard=1&amp;secret_key=BX%25IJ%24%2F65ieZ%29f6", 2738603)</f>
        <v>2738603</v>
      </c>
      <c r="C1420" s="2">
        <f>HYPERLINK("https://platform.v2.vetology.net/report/v/final/"&amp;2738603, 2738603)</f>
        <v>2738603</v>
      </c>
      <c r="D1420" s="2" t="s">
        <v>4691</v>
      </c>
      <c r="E1420" s="2" t="s">
        <v>4692</v>
      </c>
      <c r="F1420" s="2" t="s">
        <v>4693</v>
      </c>
      <c r="G1420" s="2" t="s">
        <v>34</v>
      </c>
      <c r="H1420" s="2" t="s">
        <v>4694</v>
      </c>
      <c r="I1420" s="2" t="s">
        <v>36</v>
      </c>
      <c r="J1420" s="2" t="s">
        <v>37</v>
      </c>
      <c r="K1420" s="2" t="s">
        <v>38</v>
      </c>
      <c r="L1420" s="2" t="s">
        <v>39</v>
      </c>
      <c r="M1420" s="2" t="s">
        <v>38</v>
      </c>
      <c r="N1420" s="2" t="s">
        <v>38</v>
      </c>
      <c r="O1420" s="2" t="s">
        <v>39</v>
      </c>
      <c r="P1420" s="2" t="s">
        <v>39</v>
      </c>
      <c r="Q1420" s="2" t="s">
        <v>39</v>
      </c>
      <c r="R1420" s="2" t="s">
        <v>39</v>
      </c>
      <c r="S1420" s="2" t="s">
        <v>39</v>
      </c>
      <c r="T1420" s="2" t="s">
        <v>39</v>
      </c>
      <c r="U1420" s="2" t="s">
        <v>38</v>
      </c>
      <c r="V1420" s="2" t="s">
        <v>38</v>
      </c>
      <c r="W1420" s="2" t="s">
        <v>38</v>
      </c>
      <c r="X1420" s="2" t="s">
        <v>38</v>
      </c>
      <c r="Y1420" s="2" t="s">
        <v>39</v>
      </c>
      <c r="Z1420" s="2" t="s">
        <v>39</v>
      </c>
      <c r="AA1420" s="2" t="s">
        <v>39</v>
      </c>
      <c r="AB1420" s="2" t="s">
        <v>38</v>
      </c>
      <c r="AC1420" s="2" t="s">
        <v>38</v>
      </c>
      <c r="AD1420" s="2" t="s">
        <v>39</v>
      </c>
      <c r="AE1420" s="2" t="s">
        <v>40</v>
      </c>
    </row>
    <row r="1421" spans="1:31" ht="409.5">
      <c r="A1421" s="2">
        <v>2738602</v>
      </c>
      <c r="B1421" s="2">
        <f>HYPERLINK("https://platform.v2.vetology.net/cases/2738602/screening-report/1?type=pdf&amp;v=v6&amp;scorecard=1&amp;secret_key=BX%25IJ%24%2F65ieZ%29f6", 2738602)</f>
        <v>2738602</v>
      </c>
      <c r="C1421" s="2">
        <f>HYPERLINK("https://platform.v2.vetology.net/report/v/final/"&amp;2738602, 2738602)</f>
        <v>2738602</v>
      </c>
      <c r="D1421" s="2" t="s">
        <v>4695</v>
      </c>
      <c r="E1421" s="2" t="s">
        <v>4696</v>
      </c>
      <c r="F1421" s="2" t="s">
        <v>4697</v>
      </c>
      <c r="G1421" s="2" t="s">
        <v>415</v>
      </c>
      <c r="H1421" s="2" t="s">
        <v>4698</v>
      </c>
      <c r="I1421" s="2" t="s">
        <v>36</v>
      </c>
      <c r="J1421" s="2" t="s">
        <v>37</v>
      </c>
      <c r="K1421" s="2" t="s">
        <v>38</v>
      </c>
      <c r="L1421" s="2" t="s">
        <v>38</v>
      </c>
      <c r="M1421" s="2" t="s">
        <v>38</v>
      </c>
      <c r="N1421" s="2" t="s">
        <v>38</v>
      </c>
      <c r="O1421" s="2" t="s">
        <v>38</v>
      </c>
      <c r="P1421" s="2" t="s">
        <v>39</v>
      </c>
      <c r="Q1421" s="2" t="s">
        <v>39</v>
      </c>
      <c r="R1421" s="2" t="s">
        <v>38</v>
      </c>
      <c r="S1421" s="2" t="s">
        <v>38</v>
      </c>
      <c r="T1421" s="2" t="s">
        <v>38</v>
      </c>
      <c r="U1421" s="2" t="s">
        <v>38</v>
      </c>
      <c r="V1421" s="2" t="s">
        <v>38</v>
      </c>
      <c r="W1421" s="2" t="s">
        <v>39</v>
      </c>
      <c r="X1421" s="2" t="s">
        <v>39</v>
      </c>
      <c r="Y1421" s="2" t="s">
        <v>39</v>
      </c>
      <c r="Z1421" s="2" t="s">
        <v>38</v>
      </c>
      <c r="AA1421" s="2" t="s">
        <v>38</v>
      </c>
      <c r="AB1421" s="2" t="s">
        <v>39</v>
      </c>
      <c r="AC1421" s="2" t="s">
        <v>38</v>
      </c>
      <c r="AD1421" s="2" t="s">
        <v>38</v>
      </c>
      <c r="AE1421" s="2" t="s">
        <v>39</v>
      </c>
    </row>
    <row r="1422" spans="1:31" ht="409.5">
      <c r="A1422" s="2">
        <v>2738575</v>
      </c>
      <c r="B1422" s="2">
        <f>HYPERLINK("https://platform.v2.vetology.net/cases/2738575/screening-report/1?type=pdf&amp;v=v6&amp;scorecard=1&amp;secret_key=BX%25IJ%24%2F65ieZ%29f6", 2738575)</f>
        <v>2738575</v>
      </c>
      <c r="C1422" s="2">
        <f>HYPERLINK("https://platform.v2.vetology.net/report/v/final/"&amp;2738575, 2738575)</f>
        <v>2738575</v>
      </c>
      <c r="D1422" s="2" t="s">
        <v>4699</v>
      </c>
      <c r="E1422" s="2" t="s">
        <v>4700</v>
      </c>
      <c r="F1422" s="2" t="s">
        <v>4701</v>
      </c>
      <c r="G1422" s="2" t="s">
        <v>34</v>
      </c>
      <c r="H1422" s="2" t="s">
        <v>4702</v>
      </c>
      <c r="I1422" s="2" t="s">
        <v>73</v>
      </c>
      <c r="J1422" s="2" t="s">
        <v>74</v>
      </c>
      <c r="K1422" s="2" t="s">
        <v>38</v>
      </c>
      <c r="L1422" s="2" t="s">
        <v>38</v>
      </c>
      <c r="M1422" s="2" t="s">
        <v>38</v>
      </c>
      <c r="N1422" s="2" t="s">
        <v>38</v>
      </c>
      <c r="O1422" s="2" t="s">
        <v>38</v>
      </c>
      <c r="P1422" s="2" t="s">
        <v>38</v>
      </c>
      <c r="Q1422" s="2" t="s">
        <v>38</v>
      </c>
      <c r="R1422" s="2" t="s">
        <v>39</v>
      </c>
      <c r="S1422" s="2" t="s">
        <v>38</v>
      </c>
      <c r="T1422" s="2" t="s">
        <v>38</v>
      </c>
      <c r="U1422" s="2" t="s">
        <v>38</v>
      </c>
      <c r="V1422" s="2" t="s">
        <v>38</v>
      </c>
      <c r="W1422" s="2" t="s">
        <v>39</v>
      </c>
      <c r="X1422" s="2" t="s">
        <v>39</v>
      </c>
      <c r="Y1422" s="2" t="s">
        <v>39</v>
      </c>
      <c r="Z1422" s="2" t="s">
        <v>38</v>
      </c>
      <c r="AA1422" s="2" t="s">
        <v>38</v>
      </c>
      <c r="AB1422" s="2" t="s">
        <v>39</v>
      </c>
      <c r="AC1422" s="2" t="s">
        <v>38</v>
      </c>
      <c r="AD1422" s="2" t="s">
        <v>39</v>
      </c>
      <c r="AE1422" s="2" t="s">
        <v>39</v>
      </c>
    </row>
    <row r="1423" spans="1:31" ht="409.5">
      <c r="A1423" s="2">
        <v>2738564</v>
      </c>
      <c r="B1423" s="2">
        <f>HYPERLINK("https://platform.v2.vetology.net/cases/2738564/screening-report/1?type=pdf&amp;v=v6&amp;scorecard=1&amp;secret_key=BX%25IJ%24%2F65ieZ%29f6", 2738564)</f>
        <v>2738564</v>
      </c>
      <c r="C1423" s="2">
        <f>HYPERLINK("https://platform.v2.vetology.net/report/v/final/"&amp;2738564, 2738564)</f>
        <v>2738564</v>
      </c>
      <c r="D1423" s="2" t="s">
        <v>4703</v>
      </c>
      <c r="E1423" s="2" t="s">
        <v>4704</v>
      </c>
      <c r="F1423" s="2" t="s">
        <v>787</v>
      </c>
      <c r="G1423" s="2" t="s">
        <v>100</v>
      </c>
      <c r="H1423" s="2" t="s">
        <v>1486</v>
      </c>
      <c r="I1423" s="2" t="s">
        <v>36</v>
      </c>
      <c r="J1423" s="2" t="s">
        <v>37</v>
      </c>
      <c r="K1423" s="2" t="s">
        <v>38</v>
      </c>
      <c r="L1423" s="2" t="s">
        <v>38</v>
      </c>
      <c r="M1423" s="2" t="s">
        <v>38</v>
      </c>
      <c r="N1423" s="2" t="s">
        <v>38</v>
      </c>
      <c r="O1423" s="2" t="s">
        <v>38</v>
      </c>
      <c r="P1423" s="2" t="s">
        <v>38</v>
      </c>
      <c r="Q1423" s="2" t="s">
        <v>39</v>
      </c>
      <c r="R1423" s="2" t="s">
        <v>39</v>
      </c>
      <c r="S1423" s="2" t="s">
        <v>38</v>
      </c>
      <c r="T1423" s="2" t="s">
        <v>39</v>
      </c>
      <c r="U1423" s="2" t="s">
        <v>38</v>
      </c>
      <c r="V1423" s="2" t="s">
        <v>38</v>
      </c>
      <c r="W1423" s="2" t="s">
        <v>39</v>
      </c>
      <c r="X1423" s="2" t="s">
        <v>39</v>
      </c>
      <c r="Y1423" s="2" t="s">
        <v>39</v>
      </c>
      <c r="Z1423" s="2" t="s">
        <v>38</v>
      </c>
      <c r="AA1423" s="2" t="s">
        <v>39</v>
      </c>
      <c r="AB1423" s="2" t="s">
        <v>39</v>
      </c>
      <c r="AC1423" s="2" t="s">
        <v>38</v>
      </c>
      <c r="AD1423" s="2" t="s">
        <v>38</v>
      </c>
      <c r="AE1423" s="2" t="s">
        <v>39</v>
      </c>
    </row>
    <row r="1424" spans="1:31" ht="409.5">
      <c r="A1424" s="2">
        <v>2738560</v>
      </c>
      <c r="B1424" s="2">
        <f>HYPERLINK("https://platform.v2.vetology.net/cases/2738560/screening-report/1?type=pdf&amp;v=v6&amp;scorecard=1&amp;secret_key=BX%25IJ%24%2F65ieZ%29f6", 2738560)</f>
        <v>2738560</v>
      </c>
      <c r="C1424" s="2">
        <f>HYPERLINK("https://platform.v2.vetology.net/report/v/final/"&amp;2738560, 2738560)</f>
        <v>2738560</v>
      </c>
      <c r="D1424" s="2" t="s">
        <v>4705</v>
      </c>
      <c r="E1424" s="2" t="s">
        <v>4706</v>
      </c>
      <c r="F1424" s="2" t="s">
        <v>43</v>
      </c>
      <c r="G1424" s="2" t="s">
        <v>44</v>
      </c>
      <c r="H1424" s="2" t="s">
        <v>4707</v>
      </c>
      <c r="I1424" s="2" t="s">
        <v>73</v>
      </c>
      <c r="J1424" s="2" t="s">
        <v>74</v>
      </c>
      <c r="K1424" s="2" t="s">
        <v>38</v>
      </c>
      <c r="L1424" s="2" t="s">
        <v>38</v>
      </c>
      <c r="M1424" s="2" t="s">
        <v>38</v>
      </c>
      <c r="N1424" s="2" t="s">
        <v>38</v>
      </c>
      <c r="O1424" s="2" t="s">
        <v>38</v>
      </c>
      <c r="P1424" s="2" t="s">
        <v>38</v>
      </c>
      <c r="Q1424" s="2" t="s">
        <v>38</v>
      </c>
      <c r="R1424" s="2" t="s">
        <v>38</v>
      </c>
      <c r="S1424" s="2" t="s">
        <v>38</v>
      </c>
      <c r="T1424" s="2" t="s">
        <v>38</v>
      </c>
      <c r="U1424" s="2" t="s">
        <v>38</v>
      </c>
      <c r="V1424" s="2" t="s">
        <v>38</v>
      </c>
      <c r="W1424" s="2" t="s">
        <v>38</v>
      </c>
      <c r="X1424" s="2" t="s">
        <v>38</v>
      </c>
      <c r="Y1424" s="2" t="s">
        <v>38</v>
      </c>
      <c r="Z1424" s="2" t="s">
        <v>38</v>
      </c>
      <c r="AA1424" s="2" t="s">
        <v>38</v>
      </c>
      <c r="AB1424" s="2" t="s">
        <v>38</v>
      </c>
      <c r="AC1424" s="2" t="s">
        <v>38</v>
      </c>
      <c r="AD1424" s="2" t="s">
        <v>38</v>
      </c>
      <c r="AE1424" s="2" t="s">
        <v>40</v>
      </c>
    </row>
    <row r="1425" spans="1:31" ht="409.5">
      <c r="A1425" s="2">
        <v>2738515</v>
      </c>
      <c r="B1425" s="2">
        <f>HYPERLINK("https://platform.v2.vetology.net/cases/2738515/screening-report/1?type=pdf&amp;v=v6&amp;scorecard=1&amp;secret_key=BX%25IJ%24%2F65ieZ%29f6", 2738515)</f>
        <v>2738515</v>
      </c>
      <c r="C1425" s="2">
        <f>HYPERLINK("https://platform.v2.vetology.net/report/v/final/"&amp;2738515, 2738515)</f>
        <v>2738515</v>
      </c>
      <c r="D1425" s="2" t="s">
        <v>4708</v>
      </c>
      <c r="E1425" s="2" t="s">
        <v>4709</v>
      </c>
      <c r="F1425" s="2" t="s">
        <v>4710</v>
      </c>
      <c r="G1425" s="2" t="s">
        <v>170</v>
      </c>
      <c r="H1425" s="2" t="s">
        <v>62</v>
      </c>
      <c r="I1425" s="2" t="s">
        <v>46</v>
      </c>
      <c r="J1425" s="2"/>
      <c r="K1425" s="2" t="s">
        <v>39</v>
      </c>
      <c r="L1425" s="2" t="s">
        <v>39</v>
      </c>
      <c r="M1425" s="2" t="s">
        <v>39</v>
      </c>
      <c r="N1425" s="2" t="s">
        <v>39</v>
      </c>
      <c r="O1425" s="2" t="s">
        <v>39</v>
      </c>
      <c r="P1425" s="2" t="s">
        <v>39</v>
      </c>
      <c r="Q1425" s="2" t="s">
        <v>39</v>
      </c>
      <c r="R1425" s="2" t="s">
        <v>38</v>
      </c>
      <c r="S1425" s="2" t="s">
        <v>38</v>
      </c>
      <c r="T1425" s="2" t="s">
        <v>38</v>
      </c>
      <c r="U1425" s="2" t="s">
        <v>39</v>
      </c>
      <c r="V1425" s="2" t="s">
        <v>39</v>
      </c>
      <c r="W1425" s="2" t="s">
        <v>39</v>
      </c>
      <c r="X1425" s="2" t="s">
        <v>39</v>
      </c>
      <c r="Y1425" s="2" t="s">
        <v>39</v>
      </c>
      <c r="Z1425" s="2" t="s">
        <v>38</v>
      </c>
      <c r="AA1425" s="2" t="s">
        <v>39</v>
      </c>
      <c r="AB1425" s="2" t="s">
        <v>39</v>
      </c>
      <c r="AC1425" s="2" t="s">
        <v>39</v>
      </c>
      <c r="AD1425" s="2" t="s">
        <v>38</v>
      </c>
      <c r="AE1425" s="2" t="s">
        <v>39</v>
      </c>
    </row>
    <row r="1426" spans="1:31" ht="409.5">
      <c r="A1426" s="2">
        <v>2738506</v>
      </c>
      <c r="B1426" s="2">
        <f>HYPERLINK("https://platform.v2.vetology.net/cases/2738506/screening-report/1?type=pdf&amp;v=v6&amp;scorecard=1&amp;secret_key=BX%25IJ%24%2F65ieZ%29f6", 2738506)</f>
        <v>2738506</v>
      </c>
      <c r="C1426" s="2">
        <f>HYPERLINK("https://platform.v2.vetology.net/report/v/final/"&amp;2738506, 2738506)</f>
        <v>2738506</v>
      </c>
      <c r="D1426" s="2" t="s">
        <v>4711</v>
      </c>
      <c r="E1426" s="2" t="s">
        <v>4712</v>
      </c>
      <c r="F1426" s="2" t="s">
        <v>4713</v>
      </c>
      <c r="G1426" s="2" t="s">
        <v>53</v>
      </c>
      <c r="H1426" s="2" t="s">
        <v>158</v>
      </c>
      <c r="I1426" s="2" t="s">
        <v>59</v>
      </c>
      <c r="J1426" s="2" t="s">
        <v>37</v>
      </c>
      <c r="K1426" s="2" t="s">
        <v>38</v>
      </c>
      <c r="L1426" s="2" t="s">
        <v>39</v>
      </c>
      <c r="M1426" s="2" t="s">
        <v>39</v>
      </c>
      <c r="N1426" s="2" t="s">
        <v>39</v>
      </c>
      <c r="O1426" s="2" t="s">
        <v>39</v>
      </c>
      <c r="P1426" s="2" t="s">
        <v>39</v>
      </c>
      <c r="Q1426" s="2" t="s">
        <v>39</v>
      </c>
      <c r="R1426" s="2" t="s">
        <v>39</v>
      </c>
      <c r="S1426" s="2" t="s">
        <v>39</v>
      </c>
      <c r="T1426" s="2" t="s">
        <v>39</v>
      </c>
      <c r="U1426" s="2" t="s">
        <v>38</v>
      </c>
      <c r="V1426" s="2" t="s">
        <v>39</v>
      </c>
      <c r="W1426" s="2" t="s">
        <v>39</v>
      </c>
      <c r="X1426" s="2" t="s">
        <v>39</v>
      </c>
      <c r="Y1426" s="2" t="s">
        <v>39</v>
      </c>
      <c r="Z1426" s="2" t="s">
        <v>39</v>
      </c>
      <c r="AA1426" s="2" t="s">
        <v>39</v>
      </c>
      <c r="AB1426" s="2" t="s">
        <v>39</v>
      </c>
      <c r="AC1426" s="2" t="s">
        <v>38</v>
      </c>
      <c r="AD1426" s="2" t="s">
        <v>38</v>
      </c>
      <c r="AE1426" s="2" t="s">
        <v>39</v>
      </c>
    </row>
    <row r="1427" spans="1:31" ht="409.5">
      <c r="A1427" s="2">
        <v>2738492</v>
      </c>
      <c r="B1427" s="2">
        <f>HYPERLINK("https://platform.v2.vetology.net/cases/2738492/screening-report/1?type=pdf&amp;v=v6&amp;scorecard=1&amp;secret_key=BX%25IJ%24%2F65ieZ%29f6", 2738492)</f>
        <v>2738492</v>
      </c>
      <c r="C1427" s="2">
        <f>HYPERLINK("https://platform.v2.vetology.net/report/v/final/"&amp;2738492, 2738492)</f>
        <v>2738492</v>
      </c>
      <c r="D1427" s="2" t="s">
        <v>4714</v>
      </c>
      <c r="E1427" s="2" t="s">
        <v>4715</v>
      </c>
      <c r="F1427" s="2" t="s">
        <v>4716</v>
      </c>
      <c r="G1427" s="2" t="s">
        <v>170</v>
      </c>
      <c r="H1427" s="2" t="s">
        <v>4717</v>
      </c>
      <c r="I1427" s="2" t="s">
        <v>59</v>
      </c>
      <c r="J1427" s="2" t="s">
        <v>37</v>
      </c>
      <c r="K1427" s="2" t="s">
        <v>39</v>
      </c>
      <c r="L1427" s="2" t="s">
        <v>39</v>
      </c>
      <c r="M1427" s="2" t="s">
        <v>39</v>
      </c>
      <c r="N1427" s="2" t="s">
        <v>38</v>
      </c>
      <c r="O1427" s="2" t="s">
        <v>38</v>
      </c>
      <c r="P1427" s="2" t="s">
        <v>39</v>
      </c>
      <c r="Q1427" s="2" t="s">
        <v>39</v>
      </c>
      <c r="R1427" s="2" t="s">
        <v>38</v>
      </c>
      <c r="S1427" s="2" t="s">
        <v>39</v>
      </c>
      <c r="T1427" s="2" t="s">
        <v>38</v>
      </c>
      <c r="U1427" s="2" t="s">
        <v>39</v>
      </c>
      <c r="V1427" s="2" t="s">
        <v>39</v>
      </c>
      <c r="W1427" s="2" t="s">
        <v>38</v>
      </c>
      <c r="X1427" s="2" t="s">
        <v>39</v>
      </c>
      <c r="Y1427" s="2" t="s">
        <v>38</v>
      </c>
      <c r="Z1427" s="2" t="s">
        <v>38</v>
      </c>
      <c r="AA1427" s="2" t="s">
        <v>39</v>
      </c>
      <c r="AB1427" s="2" t="s">
        <v>38</v>
      </c>
      <c r="AC1427" s="2" t="s">
        <v>38</v>
      </c>
      <c r="AD1427" s="2" t="s">
        <v>38</v>
      </c>
      <c r="AE1427" s="2"/>
    </row>
    <row r="1428" spans="1:31" ht="409.5">
      <c r="A1428" s="2">
        <v>2738475</v>
      </c>
      <c r="B1428" s="2">
        <f>HYPERLINK("https://platform.v2.vetology.net/cases/2738475/screening-report/1?type=pdf&amp;v=v6&amp;scorecard=1&amp;secret_key=BX%25IJ%24%2F65ieZ%29f6", 2738475)</f>
        <v>2738475</v>
      </c>
      <c r="C1428" s="2">
        <f>HYPERLINK("https://platform.v2.vetology.net/report/v/final/"&amp;2738475, 2738475)</f>
        <v>2738475</v>
      </c>
      <c r="D1428" s="2" t="s">
        <v>4718</v>
      </c>
      <c r="E1428" s="2" t="s">
        <v>4719</v>
      </c>
      <c r="F1428" s="2"/>
      <c r="G1428" s="2" t="s">
        <v>100</v>
      </c>
      <c r="H1428" s="2" t="s">
        <v>4720</v>
      </c>
      <c r="I1428" s="2" t="s">
        <v>73</v>
      </c>
      <c r="J1428" s="2" t="s">
        <v>74</v>
      </c>
      <c r="K1428" s="2" t="s">
        <v>38</v>
      </c>
      <c r="L1428" s="2" t="s">
        <v>38</v>
      </c>
      <c r="M1428" s="2" t="s">
        <v>38</v>
      </c>
      <c r="N1428" s="2" t="s">
        <v>38</v>
      </c>
      <c r="O1428" s="2" t="s">
        <v>38</v>
      </c>
      <c r="P1428" s="2" t="s">
        <v>38</v>
      </c>
      <c r="Q1428" s="2" t="s">
        <v>38</v>
      </c>
      <c r="R1428" s="2" t="s">
        <v>38</v>
      </c>
      <c r="S1428" s="2" t="s">
        <v>38</v>
      </c>
      <c r="T1428" s="2" t="s">
        <v>38</v>
      </c>
      <c r="U1428" s="2" t="s">
        <v>38</v>
      </c>
      <c r="V1428" s="2" t="s">
        <v>38</v>
      </c>
      <c r="W1428" s="2" t="s">
        <v>38</v>
      </c>
      <c r="X1428" s="2" t="s">
        <v>38</v>
      </c>
      <c r="Y1428" s="2" t="s">
        <v>38</v>
      </c>
      <c r="Z1428" s="2" t="s">
        <v>38</v>
      </c>
      <c r="AA1428" s="2" t="s">
        <v>38</v>
      </c>
      <c r="AB1428" s="2" t="s">
        <v>38</v>
      </c>
      <c r="AC1428" s="2" t="s">
        <v>38</v>
      </c>
      <c r="AD1428" s="2" t="s">
        <v>39</v>
      </c>
      <c r="AE1428" s="2" t="s">
        <v>40</v>
      </c>
    </row>
    <row r="1429" spans="1:31" ht="409.5">
      <c r="A1429" s="2">
        <v>2738471</v>
      </c>
      <c r="B1429" s="2">
        <f>HYPERLINK("https://platform.v2.vetology.net/cases/2738471/screening-report/1?type=pdf&amp;v=v6&amp;scorecard=1&amp;secret_key=BX%25IJ%24%2F65ieZ%29f6", 2738471)</f>
        <v>2738471</v>
      </c>
      <c r="C1429" s="2">
        <f>HYPERLINK("https://platform.v2.vetology.net/report/v/final/"&amp;2738471, 2738471)</f>
        <v>2738471</v>
      </c>
      <c r="D1429" s="2" t="s">
        <v>4721</v>
      </c>
      <c r="E1429" s="2" t="s">
        <v>4722</v>
      </c>
      <c r="F1429" s="2" t="s">
        <v>43</v>
      </c>
      <c r="G1429" s="2" t="s">
        <v>44</v>
      </c>
      <c r="H1429" s="2" t="s">
        <v>4593</v>
      </c>
      <c r="I1429" s="2" t="s">
        <v>36</v>
      </c>
      <c r="J1429" s="2" t="s">
        <v>37</v>
      </c>
      <c r="K1429" s="2" t="s">
        <v>38</v>
      </c>
      <c r="L1429" s="2" t="s">
        <v>39</v>
      </c>
      <c r="M1429" s="2" t="s">
        <v>38</v>
      </c>
      <c r="N1429" s="2" t="s">
        <v>39</v>
      </c>
      <c r="O1429" s="2" t="s">
        <v>38</v>
      </c>
      <c r="P1429" s="2" t="s">
        <v>39</v>
      </c>
      <c r="Q1429" s="2" t="s">
        <v>39</v>
      </c>
      <c r="R1429" s="2" t="s">
        <v>39</v>
      </c>
      <c r="S1429" s="2" t="s">
        <v>39</v>
      </c>
      <c r="T1429" s="2" t="s">
        <v>39</v>
      </c>
      <c r="U1429" s="2" t="s">
        <v>38</v>
      </c>
      <c r="V1429" s="2" t="s">
        <v>38</v>
      </c>
      <c r="W1429" s="2" t="s">
        <v>39</v>
      </c>
      <c r="X1429" s="2" t="s">
        <v>39</v>
      </c>
      <c r="Y1429" s="2" t="s">
        <v>39</v>
      </c>
      <c r="Z1429" s="2" t="s">
        <v>38</v>
      </c>
      <c r="AA1429" s="2" t="s">
        <v>39</v>
      </c>
      <c r="AB1429" s="2" t="s">
        <v>39</v>
      </c>
      <c r="AC1429" s="2" t="s">
        <v>39</v>
      </c>
      <c r="AD1429" s="2" t="s">
        <v>39</v>
      </c>
      <c r="AE1429" s="2" t="s">
        <v>39</v>
      </c>
    </row>
    <row r="1430" spans="1:31" ht="409.5">
      <c r="A1430" s="2">
        <v>2738455</v>
      </c>
      <c r="B1430" s="2">
        <f>HYPERLINK("https://platform.v2.vetology.net/cases/2738455/screening-report/1?type=pdf&amp;v=v6&amp;scorecard=1&amp;secret_key=BX%25IJ%24%2F65ieZ%29f6", 2738455)</f>
        <v>2738455</v>
      </c>
      <c r="C1430" s="2">
        <f>HYPERLINK("https://platform.v2.vetology.net/report/v/final/"&amp;2738455, 2738455)</f>
        <v>2738455</v>
      </c>
      <c r="D1430" s="2" t="s">
        <v>4723</v>
      </c>
      <c r="E1430" s="2" t="s">
        <v>4724</v>
      </c>
      <c r="F1430" s="2" t="s">
        <v>43</v>
      </c>
      <c r="G1430" s="2" t="s">
        <v>44</v>
      </c>
      <c r="H1430" s="2" t="s">
        <v>69</v>
      </c>
      <c r="I1430" s="2" t="s">
        <v>46</v>
      </c>
      <c r="J1430" s="2"/>
      <c r="K1430" s="2" t="s">
        <v>39</v>
      </c>
      <c r="L1430" s="2" t="s">
        <v>39</v>
      </c>
      <c r="M1430" s="2" t="s">
        <v>39</v>
      </c>
      <c r="N1430" s="2" t="s">
        <v>39</v>
      </c>
      <c r="O1430" s="2" t="s">
        <v>39</v>
      </c>
      <c r="P1430" s="2" t="s">
        <v>39</v>
      </c>
      <c r="Q1430" s="2" t="s">
        <v>39</v>
      </c>
      <c r="R1430" s="2" t="s">
        <v>39</v>
      </c>
      <c r="S1430" s="2" t="s">
        <v>39</v>
      </c>
      <c r="T1430" s="2" t="s">
        <v>39</v>
      </c>
      <c r="U1430" s="2" t="s">
        <v>39</v>
      </c>
      <c r="V1430" s="2" t="s">
        <v>39</v>
      </c>
      <c r="W1430" s="2" t="s">
        <v>39</v>
      </c>
      <c r="X1430" s="2" t="s">
        <v>39</v>
      </c>
      <c r="Y1430" s="2" t="s">
        <v>39</v>
      </c>
      <c r="Z1430" s="2" t="s">
        <v>39</v>
      </c>
      <c r="AA1430" s="2" t="s">
        <v>39</v>
      </c>
      <c r="AB1430" s="2" t="s">
        <v>39</v>
      </c>
      <c r="AC1430" s="2" t="s">
        <v>39</v>
      </c>
      <c r="AD1430" s="2" t="s">
        <v>39</v>
      </c>
      <c r="AE1430" s="2" t="s">
        <v>39</v>
      </c>
    </row>
    <row r="1431" spans="1:31" ht="409.5">
      <c r="A1431" s="2">
        <v>2738454</v>
      </c>
      <c r="B1431" s="2">
        <f>HYPERLINK("https://platform.v2.vetology.net/cases/2738454/screening-report/1?type=pdf&amp;v=v6&amp;scorecard=1&amp;secret_key=BX%25IJ%24%2F65ieZ%29f6", 2738454)</f>
        <v>2738454</v>
      </c>
      <c r="C1431" s="2">
        <f>HYPERLINK("https://platform.v2.vetology.net/report/v/final/"&amp;2738454, 2738454)</f>
        <v>2738454</v>
      </c>
      <c r="D1431" s="2" t="s">
        <v>4725</v>
      </c>
      <c r="E1431" s="2" t="s">
        <v>4726</v>
      </c>
      <c r="F1431" s="2" t="s">
        <v>4727</v>
      </c>
      <c r="G1431" s="2" t="s">
        <v>415</v>
      </c>
      <c r="H1431" s="2" t="s">
        <v>537</v>
      </c>
      <c r="I1431" s="2" t="s">
        <v>59</v>
      </c>
      <c r="J1431" s="2" t="s">
        <v>37</v>
      </c>
      <c r="K1431" s="2" t="s">
        <v>38</v>
      </c>
      <c r="L1431" s="2" t="s">
        <v>39</v>
      </c>
      <c r="M1431" s="2" t="s">
        <v>39</v>
      </c>
      <c r="N1431" s="2" t="s">
        <v>39</v>
      </c>
      <c r="O1431" s="2" t="s">
        <v>39</v>
      </c>
      <c r="P1431" s="2" t="s">
        <v>39</v>
      </c>
      <c r="Q1431" s="2" t="s">
        <v>39</v>
      </c>
      <c r="R1431" s="2" t="s">
        <v>39</v>
      </c>
      <c r="S1431" s="2" t="s">
        <v>39</v>
      </c>
      <c r="T1431" s="2" t="s">
        <v>39</v>
      </c>
      <c r="U1431" s="2" t="s">
        <v>38</v>
      </c>
      <c r="V1431" s="2" t="s">
        <v>38</v>
      </c>
      <c r="W1431" s="2" t="s">
        <v>39</v>
      </c>
      <c r="X1431" s="2" t="s">
        <v>39</v>
      </c>
      <c r="Y1431" s="2" t="s">
        <v>39</v>
      </c>
      <c r="Z1431" s="2" t="s">
        <v>39</v>
      </c>
      <c r="AA1431" s="2" t="s">
        <v>38</v>
      </c>
      <c r="AB1431" s="2" t="s">
        <v>39</v>
      </c>
      <c r="AC1431" s="2" t="s">
        <v>38</v>
      </c>
      <c r="AD1431" s="2" t="s">
        <v>39</v>
      </c>
      <c r="AE1431" s="2" t="s">
        <v>40</v>
      </c>
    </row>
    <row r="1432" spans="1:31" ht="409.5">
      <c r="A1432" s="2">
        <v>2738444</v>
      </c>
      <c r="B1432" s="2">
        <f>HYPERLINK("https://platform.v2.vetology.net/cases/2738444/screening-report/1?type=pdf&amp;v=v6&amp;scorecard=1&amp;secret_key=BX%25IJ%24%2F65ieZ%29f6", 2738444)</f>
        <v>2738444</v>
      </c>
      <c r="C1432" s="2">
        <f>HYPERLINK("https://platform.v2.vetology.net/report/v/final/"&amp;2738444, 2738444)</f>
        <v>2738444</v>
      </c>
      <c r="D1432" s="2" t="s">
        <v>4728</v>
      </c>
      <c r="E1432" s="2" t="s">
        <v>4729</v>
      </c>
      <c r="F1432" s="2" t="s">
        <v>4730</v>
      </c>
      <c r="G1432" s="2" t="s">
        <v>251</v>
      </c>
      <c r="H1432" s="2" t="s">
        <v>273</v>
      </c>
      <c r="I1432" s="2" t="s">
        <v>46</v>
      </c>
      <c r="J1432" s="2"/>
      <c r="K1432" s="2" t="s">
        <v>39</v>
      </c>
      <c r="L1432" s="2" t="s">
        <v>39</v>
      </c>
      <c r="M1432" s="2" t="s">
        <v>39</v>
      </c>
      <c r="N1432" s="2" t="s">
        <v>39</v>
      </c>
      <c r="O1432" s="2" t="s">
        <v>39</v>
      </c>
      <c r="P1432" s="2" t="s">
        <v>39</v>
      </c>
      <c r="Q1432" s="2" t="s">
        <v>39</v>
      </c>
      <c r="R1432" s="2" t="s">
        <v>39</v>
      </c>
      <c r="S1432" s="2" t="s">
        <v>38</v>
      </c>
      <c r="T1432" s="2" t="s">
        <v>39</v>
      </c>
      <c r="U1432" s="2" t="s">
        <v>39</v>
      </c>
      <c r="V1432" s="2" t="s">
        <v>39</v>
      </c>
      <c r="W1432" s="2" t="s">
        <v>39</v>
      </c>
      <c r="X1432" s="2" t="s">
        <v>39</v>
      </c>
      <c r="Y1432" s="2" t="s">
        <v>39</v>
      </c>
      <c r="Z1432" s="2" t="s">
        <v>38</v>
      </c>
      <c r="AA1432" s="2" t="s">
        <v>39</v>
      </c>
      <c r="AB1432" s="2" t="s">
        <v>39</v>
      </c>
      <c r="AC1432" s="2" t="s">
        <v>39</v>
      </c>
      <c r="AD1432" s="2" t="s">
        <v>38</v>
      </c>
      <c r="AE1432" s="2" t="s">
        <v>40</v>
      </c>
    </row>
    <row r="1433" spans="1:31" ht="409.5">
      <c r="A1433" s="2">
        <v>2738440</v>
      </c>
      <c r="B1433" s="2">
        <f>HYPERLINK("https://platform.v2.vetology.net/cases/2738440/screening-report/1?type=pdf&amp;v=v6&amp;scorecard=1&amp;secret_key=BX%25IJ%24%2F65ieZ%29f6", 2738440)</f>
        <v>2738440</v>
      </c>
      <c r="C1433" s="2">
        <f>HYPERLINK("https://platform.v2.vetology.net/report/v/final/"&amp;2738440, 2738440)</f>
        <v>2738440</v>
      </c>
      <c r="D1433" s="2" t="s">
        <v>4731</v>
      </c>
      <c r="E1433" s="2" t="s">
        <v>4732</v>
      </c>
      <c r="F1433" s="2" t="s">
        <v>4733</v>
      </c>
      <c r="G1433" s="2" t="s">
        <v>170</v>
      </c>
      <c r="H1433" s="2" t="s">
        <v>4734</v>
      </c>
      <c r="I1433" s="2" t="s">
        <v>36</v>
      </c>
      <c r="J1433" s="2" t="s">
        <v>37</v>
      </c>
      <c r="K1433" s="2" t="s">
        <v>39</v>
      </c>
      <c r="L1433" s="2" t="s">
        <v>39</v>
      </c>
      <c r="M1433" s="2" t="s">
        <v>38</v>
      </c>
      <c r="N1433" s="2" t="s">
        <v>38</v>
      </c>
      <c r="O1433" s="2" t="s">
        <v>38</v>
      </c>
      <c r="P1433" s="2" t="s">
        <v>39</v>
      </c>
      <c r="Q1433" s="2" t="s">
        <v>39</v>
      </c>
      <c r="R1433" s="2" t="s">
        <v>38</v>
      </c>
      <c r="S1433" s="2" t="s">
        <v>38</v>
      </c>
      <c r="T1433" s="2" t="s">
        <v>38</v>
      </c>
      <c r="U1433" s="2" t="s">
        <v>39</v>
      </c>
      <c r="V1433" s="2" t="s">
        <v>39</v>
      </c>
      <c r="W1433" s="2" t="s">
        <v>38</v>
      </c>
      <c r="X1433" s="2" t="s">
        <v>39</v>
      </c>
      <c r="Y1433" s="2" t="s">
        <v>39</v>
      </c>
      <c r="Z1433" s="2" t="s">
        <v>38</v>
      </c>
      <c r="AA1433" s="2" t="s">
        <v>38</v>
      </c>
      <c r="AB1433" s="2" t="s">
        <v>39</v>
      </c>
      <c r="AC1433" s="2" t="s">
        <v>38</v>
      </c>
      <c r="AD1433" s="2" t="s">
        <v>38</v>
      </c>
      <c r="AE1433" s="2"/>
    </row>
    <row r="1434" spans="1:31" ht="409.5">
      <c r="A1434" s="2">
        <v>2738434</v>
      </c>
      <c r="B1434" s="2">
        <f>HYPERLINK("https://platform.v2.vetology.net/cases/2738434/screening-report/1?type=pdf&amp;v=v6&amp;scorecard=1&amp;secret_key=BX%25IJ%24%2F65ieZ%29f6", 2738434)</f>
        <v>2738434</v>
      </c>
      <c r="C1434" s="2">
        <f>HYPERLINK("https://platform.v2.vetology.net/report/v/final/"&amp;2738434, 2738434)</f>
        <v>2738434</v>
      </c>
      <c r="D1434" s="2" t="s">
        <v>4735</v>
      </c>
      <c r="E1434" s="2" t="s">
        <v>4736</v>
      </c>
      <c r="F1434" s="2" t="s">
        <v>43</v>
      </c>
      <c r="G1434" s="2" t="s">
        <v>44</v>
      </c>
      <c r="H1434" s="2" t="s">
        <v>4737</v>
      </c>
      <c r="I1434" s="2" t="s">
        <v>73</v>
      </c>
      <c r="J1434" s="2" t="s">
        <v>74</v>
      </c>
      <c r="K1434" s="2" t="s">
        <v>38</v>
      </c>
      <c r="L1434" s="2" t="s">
        <v>38</v>
      </c>
      <c r="M1434" s="2" t="s">
        <v>38</v>
      </c>
      <c r="N1434" s="2" t="s">
        <v>38</v>
      </c>
      <c r="O1434" s="2" t="s">
        <v>38</v>
      </c>
      <c r="P1434" s="2" t="s">
        <v>38</v>
      </c>
      <c r="Q1434" s="2" t="s">
        <v>38</v>
      </c>
      <c r="R1434" s="2" t="s">
        <v>38</v>
      </c>
      <c r="S1434" s="2" t="s">
        <v>38</v>
      </c>
      <c r="T1434" s="2" t="s">
        <v>38</v>
      </c>
      <c r="U1434" s="2" t="s">
        <v>38</v>
      </c>
      <c r="V1434" s="2" t="s">
        <v>38</v>
      </c>
      <c r="W1434" s="2" t="s">
        <v>38</v>
      </c>
      <c r="X1434" s="2" t="s">
        <v>38</v>
      </c>
      <c r="Y1434" s="2" t="s">
        <v>38</v>
      </c>
      <c r="Z1434" s="2" t="s">
        <v>38</v>
      </c>
      <c r="AA1434" s="2" t="s">
        <v>38</v>
      </c>
      <c r="AB1434" s="2" t="s">
        <v>38</v>
      </c>
      <c r="AC1434" s="2" t="s">
        <v>38</v>
      </c>
      <c r="AD1434" s="2" t="s">
        <v>38</v>
      </c>
      <c r="AE1434" s="2" t="s">
        <v>40</v>
      </c>
    </row>
    <row r="1435" spans="1:31" ht="409.5">
      <c r="A1435" s="2">
        <v>2738430</v>
      </c>
      <c r="B1435" s="2">
        <f>HYPERLINK("https://platform.v2.vetology.net/cases/2738430/screening-report/1?type=pdf&amp;v=v6&amp;scorecard=1&amp;secret_key=BX%25IJ%24%2F65ieZ%29f6", 2738430)</f>
        <v>2738430</v>
      </c>
      <c r="C1435" s="2">
        <f>HYPERLINK("https://platform.v2.vetology.net/report/v/final/"&amp;2738430, 2738430)</f>
        <v>2738430</v>
      </c>
      <c r="D1435" s="2" t="s">
        <v>4738</v>
      </c>
      <c r="E1435" s="2" t="s">
        <v>4739</v>
      </c>
      <c r="F1435" s="2" t="s">
        <v>43</v>
      </c>
      <c r="G1435" s="2" t="s">
        <v>44</v>
      </c>
      <c r="H1435" s="2" t="s">
        <v>1056</v>
      </c>
      <c r="I1435" s="2" t="s">
        <v>59</v>
      </c>
      <c r="J1435" s="2" t="s">
        <v>37</v>
      </c>
      <c r="K1435" s="2" t="s">
        <v>39</v>
      </c>
      <c r="L1435" s="2" t="s">
        <v>39</v>
      </c>
      <c r="M1435" s="2" t="s">
        <v>39</v>
      </c>
      <c r="N1435" s="2" t="s">
        <v>38</v>
      </c>
      <c r="O1435" s="2" t="s">
        <v>39</v>
      </c>
      <c r="P1435" s="2" t="s">
        <v>39</v>
      </c>
      <c r="Q1435" s="2" t="s">
        <v>39</v>
      </c>
      <c r="R1435" s="2" t="s">
        <v>39</v>
      </c>
      <c r="S1435" s="2" t="s">
        <v>39</v>
      </c>
      <c r="T1435" s="2" t="s">
        <v>39</v>
      </c>
      <c r="U1435" s="2" t="s">
        <v>39</v>
      </c>
      <c r="V1435" s="2" t="s">
        <v>39</v>
      </c>
      <c r="W1435" s="2" t="s">
        <v>39</v>
      </c>
      <c r="X1435" s="2" t="s">
        <v>39</v>
      </c>
      <c r="Y1435" s="2" t="s">
        <v>39</v>
      </c>
      <c r="Z1435" s="2" t="s">
        <v>39</v>
      </c>
      <c r="AA1435" s="2" t="s">
        <v>38</v>
      </c>
      <c r="AB1435" s="2" t="s">
        <v>39</v>
      </c>
      <c r="AC1435" s="2" t="s">
        <v>38</v>
      </c>
      <c r="AD1435" s="2" t="s">
        <v>39</v>
      </c>
      <c r="AE1435" s="2" t="s">
        <v>39</v>
      </c>
    </row>
    <row r="1436" spans="1:31" ht="409.5">
      <c r="A1436" s="2">
        <v>2738426</v>
      </c>
      <c r="B1436" s="2">
        <f>HYPERLINK("https://platform.v2.vetology.net/cases/2738426/screening-report/1?type=pdf&amp;v=v6&amp;scorecard=1&amp;secret_key=BX%25IJ%24%2F65ieZ%29f6", 2738426)</f>
        <v>2738426</v>
      </c>
      <c r="C1436" s="2">
        <f>HYPERLINK("https://platform.v2.vetology.net/report/v/final/"&amp;2738426, 2738426)</f>
        <v>2738426</v>
      </c>
      <c r="D1436" s="2" t="s">
        <v>4740</v>
      </c>
      <c r="E1436" s="2" t="s">
        <v>4741</v>
      </c>
      <c r="F1436" s="2" t="s">
        <v>4742</v>
      </c>
      <c r="G1436" s="2" t="s">
        <v>44</v>
      </c>
      <c r="H1436" s="2" t="s">
        <v>69</v>
      </c>
      <c r="I1436" s="2" t="s">
        <v>46</v>
      </c>
      <c r="J1436" s="2"/>
      <c r="K1436" s="2" t="s">
        <v>39</v>
      </c>
      <c r="L1436" s="2" t="s">
        <v>39</v>
      </c>
      <c r="M1436" s="2" t="s">
        <v>39</v>
      </c>
      <c r="N1436" s="2" t="s">
        <v>39</v>
      </c>
      <c r="O1436" s="2" t="s">
        <v>39</v>
      </c>
      <c r="P1436" s="2" t="s">
        <v>39</v>
      </c>
      <c r="Q1436" s="2" t="s">
        <v>39</v>
      </c>
      <c r="R1436" s="2" t="s">
        <v>39</v>
      </c>
      <c r="S1436" s="2" t="s">
        <v>39</v>
      </c>
      <c r="T1436" s="2" t="s">
        <v>39</v>
      </c>
      <c r="U1436" s="2" t="s">
        <v>39</v>
      </c>
      <c r="V1436" s="2" t="s">
        <v>39</v>
      </c>
      <c r="W1436" s="2" t="s">
        <v>39</v>
      </c>
      <c r="X1436" s="2" t="s">
        <v>39</v>
      </c>
      <c r="Y1436" s="2" t="s">
        <v>39</v>
      </c>
      <c r="Z1436" s="2" t="s">
        <v>39</v>
      </c>
      <c r="AA1436" s="2" t="s">
        <v>39</v>
      </c>
      <c r="AB1436" s="2" t="s">
        <v>39</v>
      </c>
      <c r="AC1436" s="2" t="s">
        <v>38</v>
      </c>
      <c r="AD1436" s="2" t="s">
        <v>39</v>
      </c>
      <c r="AE1436" s="2" t="s">
        <v>39</v>
      </c>
    </row>
    <row r="1437" spans="1:31" ht="409.5">
      <c r="A1437" s="2">
        <v>2738420</v>
      </c>
      <c r="B1437" s="2">
        <f>HYPERLINK("https://platform.v2.vetology.net/cases/2738420/screening-report/1?type=pdf&amp;v=v6&amp;scorecard=1&amp;secret_key=BX%25IJ%24%2F65ieZ%29f6", 2738420)</f>
        <v>2738420</v>
      </c>
      <c r="C1437" s="2">
        <f>HYPERLINK("https://platform.v2.vetology.net/report/v/final/"&amp;2738420, 2738420)</f>
        <v>2738420</v>
      </c>
      <c r="D1437" s="2" t="s">
        <v>853</v>
      </c>
      <c r="E1437" s="2" t="s">
        <v>4743</v>
      </c>
      <c r="F1437" s="2" t="s">
        <v>4744</v>
      </c>
      <c r="G1437" s="2" t="s">
        <v>111</v>
      </c>
      <c r="H1437" s="2" t="s">
        <v>394</v>
      </c>
      <c r="I1437" s="2" t="s">
        <v>59</v>
      </c>
      <c r="J1437" s="2" t="s">
        <v>37</v>
      </c>
      <c r="K1437" s="2" t="s">
        <v>38</v>
      </c>
      <c r="L1437" s="2" t="s">
        <v>39</v>
      </c>
      <c r="M1437" s="2" t="s">
        <v>39</v>
      </c>
      <c r="N1437" s="2" t="s">
        <v>39</v>
      </c>
      <c r="O1437" s="2" t="s">
        <v>39</v>
      </c>
      <c r="P1437" s="2" t="s">
        <v>39</v>
      </c>
      <c r="Q1437" s="2" t="s">
        <v>39</v>
      </c>
      <c r="R1437" s="2" t="s">
        <v>39</v>
      </c>
      <c r="S1437" s="2" t="s">
        <v>39</v>
      </c>
      <c r="T1437" s="2" t="s">
        <v>39</v>
      </c>
      <c r="U1437" s="2" t="s">
        <v>39</v>
      </c>
      <c r="V1437" s="2" t="s">
        <v>38</v>
      </c>
      <c r="W1437" s="2" t="s">
        <v>39</v>
      </c>
      <c r="X1437" s="2" t="s">
        <v>39</v>
      </c>
      <c r="Y1437" s="2" t="s">
        <v>39</v>
      </c>
      <c r="Z1437" s="2" t="s">
        <v>39</v>
      </c>
      <c r="AA1437" s="2" t="s">
        <v>39</v>
      </c>
      <c r="AB1437" s="2" t="s">
        <v>39</v>
      </c>
      <c r="AC1437" s="2" t="s">
        <v>39</v>
      </c>
      <c r="AD1437" s="2" t="s">
        <v>39</v>
      </c>
      <c r="AE1437" s="2" t="s">
        <v>39</v>
      </c>
    </row>
    <row r="1438" spans="1:31" ht="409.5">
      <c r="A1438" s="2">
        <v>2738416</v>
      </c>
      <c r="B1438" s="2">
        <f>HYPERLINK("https://platform.v2.vetology.net/cases/2738416/screening-report/1?type=pdf&amp;v=v6&amp;scorecard=1&amp;secret_key=BX%25IJ%24%2F65ieZ%29f6", 2738416)</f>
        <v>2738416</v>
      </c>
      <c r="C1438" s="2">
        <f>HYPERLINK("https://platform.v2.vetology.net/report/v/final/"&amp;2738416, 2738416)</f>
        <v>2738416</v>
      </c>
      <c r="D1438" s="2" t="s">
        <v>4745</v>
      </c>
      <c r="E1438" s="2" t="s">
        <v>359</v>
      </c>
      <c r="F1438" s="2"/>
      <c r="G1438" s="2" t="s">
        <v>100</v>
      </c>
      <c r="H1438" s="2" t="s">
        <v>2281</v>
      </c>
      <c r="I1438" s="2" t="s">
        <v>59</v>
      </c>
      <c r="J1438" s="2" t="s">
        <v>37</v>
      </c>
      <c r="K1438" s="2" t="s">
        <v>38</v>
      </c>
      <c r="L1438" s="2" t="s">
        <v>38</v>
      </c>
      <c r="M1438" s="2" t="s">
        <v>39</v>
      </c>
      <c r="N1438" s="2" t="s">
        <v>39</v>
      </c>
      <c r="O1438" s="2" t="s">
        <v>39</v>
      </c>
      <c r="P1438" s="2" t="s">
        <v>39</v>
      </c>
      <c r="Q1438" s="2" t="s">
        <v>39</v>
      </c>
      <c r="R1438" s="2" t="s">
        <v>39</v>
      </c>
      <c r="S1438" s="2" t="s">
        <v>39</v>
      </c>
      <c r="T1438" s="2" t="s">
        <v>39</v>
      </c>
      <c r="U1438" s="2" t="s">
        <v>38</v>
      </c>
      <c r="V1438" s="2" t="s">
        <v>38</v>
      </c>
      <c r="W1438" s="2" t="s">
        <v>38</v>
      </c>
      <c r="X1438" s="2" t="s">
        <v>39</v>
      </c>
      <c r="Y1438" s="2" t="s">
        <v>39</v>
      </c>
      <c r="Z1438" s="2" t="s">
        <v>38</v>
      </c>
      <c r="AA1438" s="2" t="s">
        <v>39</v>
      </c>
      <c r="AB1438" s="2" t="s">
        <v>39</v>
      </c>
      <c r="AC1438" s="2" t="s">
        <v>38</v>
      </c>
      <c r="AD1438" s="2" t="s">
        <v>38</v>
      </c>
      <c r="AE1438" s="2" t="s">
        <v>40</v>
      </c>
    </row>
    <row r="1439" spans="1:31" ht="409.5">
      <c r="A1439" s="2">
        <v>2738408</v>
      </c>
      <c r="B1439" s="2">
        <f>HYPERLINK("https://platform.v2.vetology.net/cases/2738408/screening-report/1?type=pdf&amp;v=v6&amp;scorecard=1&amp;secret_key=BX%25IJ%24%2F65ieZ%29f6", 2738408)</f>
        <v>2738408</v>
      </c>
      <c r="C1439" s="2">
        <f>HYPERLINK("https://platform.v2.vetology.net/report/v/final/"&amp;2738408, 2738408)</f>
        <v>2738408</v>
      </c>
      <c r="D1439" s="2" t="s">
        <v>4746</v>
      </c>
      <c r="E1439" s="2" t="s">
        <v>4747</v>
      </c>
      <c r="F1439" s="2" t="s">
        <v>4748</v>
      </c>
      <c r="G1439" s="2" t="s">
        <v>251</v>
      </c>
      <c r="H1439" s="2" t="s">
        <v>4749</v>
      </c>
      <c r="I1439" s="2" t="s">
        <v>36</v>
      </c>
      <c r="J1439" s="2" t="s">
        <v>37</v>
      </c>
      <c r="K1439" s="2" t="s">
        <v>39</v>
      </c>
      <c r="L1439" s="2" t="s">
        <v>38</v>
      </c>
      <c r="M1439" s="2" t="s">
        <v>38</v>
      </c>
      <c r="N1439" s="2" t="s">
        <v>39</v>
      </c>
      <c r="O1439" s="2" t="s">
        <v>38</v>
      </c>
      <c r="P1439" s="2" t="s">
        <v>39</v>
      </c>
      <c r="Q1439" s="2" t="s">
        <v>39</v>
      </c>
      <c r="R1439" s="2" t="s">
        <v>39</v>
      </c>
      <c r="S1439" s="2" t="s">
        <v>39</v>
      </c>
      <c r="T1439" s="2" t="s">
        <v>39</v>
      </c>
      <c r="U1439" s="2" t="s">
        <v>39</v>
      </c>
      <c r="V1439" s="2" t="s">
        <v>39</v>
      </c>
      <c r="W1439" s="2" t="s">
        <v>39</v>
      </c>
      <c r="X1439" s="2" t="s">
        <v>39</v>
      </c>
      <c r="Y1439" s="2" t="s">
        <v>39</v>
      </c>
      <c r="Z1439" s="2" t="s">
        <v>38</v>
      </c>
      <c r="AA1439" s="2" t="s">
        <v>39</v>
      </c>
      <c r="AB1439" s="2" t="s">
        <v>39</v>
      </c>
      <c r="AC1439" s="2" t="s">
        <v>38</v>
      </c>
      <c r="AD1439" s="2" t="s">
        <v>38</v>
      </c>
      <c r="AE1439" s="2" t="s">
        <v>39</v>
      </c>
    </row>
    <row r="1440" spans="1:31" ht="409.5">
      <c r="A1440" s="2">
        <v>2738386</v>
      </c>
      <c r="B1440" s="2">
        <f>HYPERLINK("https://platform.v2.vetology.net/cases/2738386/screening-report/1?type=pdf&amp;v=v6&amp;scorecard=1&amp;secret_key=BX%25IJ%24%2F65ieZ%29f6", 2738386)</f>
        <v>2738386</v>
      </c>
      <c r="C1440" s="2">
        <f>HYPERLINK("https://platform.v2.vetology.net/report/v/final/"&amp;2738386, 2738386)</f>
        <v>2738386</v>
      </c>
      <c r="D1440" s="2" t="s">
        <v>4750</v>
      </c>
      <c r="E1440" s="2" t="s">
        <v>4751</v>
      </c>
      <c r="F1440" s="2" t="s">
        <v>4752</v>
      </c>
      <c r="G1440" s="2" t="s">
        <v>111</v>
      </c>
      <c r="H1440" s="2" t="s">
        <v>4753</v>
      </c>
      <c r="I1440" s="2" t="s">
        <v>36</v>
      </c>
      <c r="J1440" s="2" t="s">
        <v>37</v>
      </c>
      <c r="K1440" s="2" t="s">
        <v>39</v>
      </c>
      <c r="L1440" s="2" t="s">
        <v>38</v>
      </c>
      <c r="M1440" s="2" t="s">
        <v>38</v>
      </c>
      <c r="N1440" s="2" t="s">
        <v>38</v>
      </c>
      <c r="O1440" s="2" t="s">
        <v>38</v>
      </c>
      <c r="P1440" s="2" t="s">
        <v>38</v>
      </c>
      <c r="Q1440" s="2" t="s">
        <v>39</v>
      </c>
      <c r="R1440" s="2" t="s">
        <v>38</v>
      </c>
      <c r="S1440" s="2" t="s">
        <v>39</v>
      </c>
      <c r="T1440" s="2" t="s">
        <v>39</v>
      </c>
      <c r="U1440" s="2" t="s">
        <v>38</v>
      </c>
      <c r="V1440" s="2" t="s">
        <v>38</v>
      </c>
      <c r="W1440" s="2" t="s">
        <v>38</v>
      </c>
      <c r="X1440" s="2" t="s">
        <v>39</v>
      </c>
      <c r="Y1440" s="2" t="s">
        <v>39</v>
      </c>
      <c r="Z1440" s="2" t="s">
        <v>38</v>
      </c>
      <c r="AA1440" s="2" t="s">
        <v>38</v>
      </c>
      <c r="AB1440" s="2" t="s">
        <v>39</v>
      </c>
      <c r="AC1440" s="2" t="s">
        <v>38</v>
      </c>
      <c r="AD1440" s="2" t="s">
        <v>38</v>
      </c>
      <c r="AE1440" s="2" t="s">
        <v>39</v>
      </c>
    </row>
    <row r="1441" spans="1:31" ht="409.5">
      <c r="A1441" s="2">
        <v>2738380</v>
      </c>
      <c r="B1441" s="2">
        <f>HYPERLINK("https://platform.v2.vetology.net/cases/2738380/screening-report/1?type=pdf&amp;v=v6&amp;scorecard=1&amp;secret_key=BX%25IJ%24%2F65ieZ%29f6", 2738380)</f>
        <v>2738380</v>
      </c>
      <c r="C1441" s="2">
        <f>HYPERLINK("https://platform.v2.vetology.net/report/v/final/"&amp;2738380, 2738380)</f>
        <v>2738380</v>
      </c>
      <c r="D1441" s="2" t="s">
        <v>4754</v>
      </c>
      <c r="E1441" s="2" t="s">
        <v>4755</v>
      </c>
      <c r="F1441" s="2" t="s">
        <v>43</v>
      </c>
      <c r="G1441" s="2" t="s">
        <v>44</v>
      </c>
      <c r="H1441" s="2" t="s">
        <v>2936</v>
      </c>
      <c r="I1441" s="2" t="s">
        <v>36</v>
      </c>
      <c r="J1441" s="2" t="s">
        <v>37</v>
      </c>
      <c r="K1441" s="2" t="s">
        <v>39</v>
      </c>
      <c r="L1441" s="2" t="s">
        <v>38</v>
      </c>
      <c r="M1441" s="2" t="s">
        <v>39</v>
      </c>
      <c r="N1441" s="2" t="s">
        <v>39</v>
      </c>
      <c r="O1441" s="2" t="s">
        <v>39</v>
      </c>
      <c r="P1441" s="2" t="s">
        <v>39</v>
      </c>
      <c r="Q1441" s="2" t="s">
        <v>39</v>
      </c>
      <c r="R1441" s="2" t="s">
        <v>38</v>
      </c>
      <c r="S1441" s="2" t="s">
        <v>38</v>
      </c>
      <c r="T1441" s="2" t="s">
        <v>39</v>
      </c>
      <c r="U1441" s="2" t="s">
        <v>39</v>
      </c>
      <c r="V1441" s="2" t="s">
        <v>39</v>
      </c>
      <c r="W1441" s="2" t="s">
        <v>39</v>
      </c>
      <c r="X1441" s="2" t="s">
        <v>39</v>
      </c>
      <c r="Y1441" s="2" t="s">
        <v>39</v>
      </c>
      <c r="Z1441" s="2" t="s">
        <v>38</v>
      </c>
      <c r="AA1441" s="2" t="s">
        <v>39</v>
      </c>
      <c r="AB1441" s="2" t="s">
        <v>39</v>
      </c>
      <c r="AC1441" s="2" t="s">
        <v>39</v>
      </c>
      <c r="AD1441" s="2" t="s">
        <v>39</v>
      </c>
      <c r="AE1441" s="2"/>
    </row>
    <row r="1442" spans="1:31" ht="409.5">
      <c r="A1442" s="2">
        <v>2738358</v>
      </c>
      <c r="B1442" s="2">
        <f>HYPERLINK("https://platform.v2.vetology.net/cases/2738358/screening-report/1?type=pdf&amp;v=v6&amp;scorecard=1&amp;secret_key=BX%25IJ%24%2F65ieZ%29f6", 2738358)</f>
        <v>2738358</v>
      </c>
      <c r="C1442" s="2">
        <f>HYPERLINK("https://platform.v2.vetology.net/report/v/final/"&amp;2738358, 2738358)</f>
        <v>2738358</v>
      </c>
      <c r="D1442" s="2" t="s">
        <v>4756</v>
      </c>
      <c r="E1442" s="2" t="s">
        <v>4757</v>
      </c>
      <c r="F1442" s="2" t="s">
        <v>4758</v>
      </c>
      <c r="G1442" s="2" t="s">
        <v>170</v>
      </c>
      <c r="H1442" s="2" t="s">
        <v>4759</v>
      </c>
      <c r="I1442" s="2" t="s">
        <v>36</v>
      </c>
      <c r="J1442" s="2" t="s">
        <v>37</v>
      </c>
      <c r="K1442" s="2" t="s">
        <v>38</v>
      </c>
      <c r="L1442" s="2" t="s">
        <v>38</v>
      </c>
      <c r="M1442" s="2" t="s">
        <v>38</v>
      </c>
      <c r="N1442" s="2" t="s">
        <v>38</v>
      </c>
      <c r="O1442" s="2" t="s">
        <v>38</v>
      </c>
      <c r="P1442" s="2" t="s">
        <v>38</v>
      </c>
      <c r="Q1442" s="2" t="s">
        <v>39</v>
      </c>
      <c r="R1442" s="2" t="s">
        <v>38</v>
      </c>
      <c r="S1442" s="2" t="s">
        <v>38</v>
      </c>
      <c r="T1442" s="2" t="s">
        <v>38</v>
      </c>
      <c r="U1442" s="2" t="s">
        <v>38</v>
      </c>
      <c r="V1442" s="2" t="s">
        <v>38</v>
      </c>
      <c r="W1442" s="2" t="s">
        <v>38</v>
      </c>
      <c r="X1442" s="2" t="s">
        <v>39</v>
      </c>
      <c r="Y1442" s="2" t="s">
        <v>39</v>
      </c>
      <c r="Z1442" s="2" t="s">
        <v>38</v>
      </c>
      <c r="AA1442" s="2" t="s">
        <v>38</v>
      </c>
      <c r="AB1442" s="2" t="s">
        <v>39</v>
      </c>
      <c r="AC1442" s="2" t="s">
        <v>38</v>
      </c>
      <c r="AD1442" s="2" t="s">
        <v>38</v>
      </c>
      <c r="AE1442" s="2" t="s">
        <v>39</v>
      </c>
    </row>
    <row r="1443" spans="1:31" ht="409.5">
      <c r="A1443" s="2">
        <v>2738346</v>
      </c>
      <c r="B1443" s="2">
        <f>HYPERLINK("https://platform.v2.vetology.net/cases/2738346/screening-report/1?type=pdf&amp;v=v6&amp;scorecard=1&amp;secret_key=BX%25IJ%24%2F65ieZ%29f6", 2738346)</f>
        <v>2738346</v>
      </c>
      <c r="C1443" s="2">
        <f>HYPERLINK("https://platform.v2.vetology.net/report/v/final/"&amp;2738346, 2738346)</f>
        <v>2738346</v>
      </c>
      <c r="D1443" s="2" t="s">
        <v>4760</v>
      </c>
      <c r="E1443" s="2" t="s">
        <v>4761</v>
      </c>
      <c r="F1443" s="2" t="s">
        <v>4762</v>
      </c>
      <c r="G1443" s="2" t="s">
        <v>251</v>
      </c>
      <c r="H1443" s="2" t="s">
        <v>69</v>
      </c>
      <c r="I1443" s="2" t="s">
        <v>46</v>
      </c>
      <c r="J1443" s="2"/>
      <c r="K1443" s="2" t="s">
        <v>39</v>
      </c>
      <c r="L1443" s="2" t="s">
        <v>39</v>
      </c>
      <c r="M1443" s="2" t="s">
        <v>39</v>
      </c>
      <c r="N1443" s="2" t="s">
        <v>39</v>
      </c>
      <c r="O1443" s="2" t="s">
        <v>39</v>
      </c>
      <c r="P1443" s="2" t="s">
        <v>39</v>
      </c>
      <c r="Q1443" s="2" t="s">
        <v>39</v>
      </c>
      <c r="R1443" s="2" t="s">
        <v>39</v>
      </c>
      <c r="S1443" s="2" t="s">
        <v>39</v>
      </c>
      <c r="T1443" s="2" t="s">
        <v>39</v>
      </c>
      <c r="U1443" s="2" t="s">
        <v>39</v>
      </c>
      <c r="V1443" s="2" t="s">
        <v>39</v>
      </c>
      <c r="W1443" s="2" t="s">
        <v>39</v>
      </c>
      <c r="X1443" s="2" t="s">
        <v>39</v>
      </c>
      <c r="Y1443" s="2" t="s">
        <v>39</v>
      </c>
      <c r="Z1443" s="2" t="s">
        <v>39</v>
      </c>
      <c r="AA1443" s="2" t="s">
        <v>39</v>
      </c>
      <c r="AB1443" s="2" t="s">
        <v>39</v>
      </c>
      <c r="AC1443" s="2" t="s">
        <v>39</v>
      </c>
      <c r="AD1443" s="2" t="s">
        <v>38</v>
      </c>
      <c r="AE1443" s="2" t="s">
        <v>39</v>
      </c>
    </row>
    <row r="1444" spans="1:31" ht="409.5">
      <c r="A1444" s="2">
        <v>2738261</v>
      </c>
      <c r="B1444" s="2">
        <f>HYPERLINK("https://platform.v2.vetology.net/cases/2738261/screening-report/1?type=pdf&amp;v=v6&amp;scorecard=1&amp;secret_key=BX%25IJ%24%2F65ieZ%29f6", 2738261)</f>
        <v>2738261</v>
      </c>
      <c r="C1444" s="2">
        <f>HYPERLINK("https://platform.v2.vetology.net/report/v/final/"&amp;2738261, 2738261)</f>
        <v>2738261</v>
      </c>
      <c r="D1444" s="2" t="s">
        <v>4763</v>
      </c>
      <c r="E1444" s="2" t="s">
        <v>4764</v>
      </c>
      <c r="F1444" s="2" t="s">
        <v>43</v>
      </c>
      <c r="G1444" s="2" t="s">
        <v>44</v>
      </c>
      <c r="H1444" s="2" t="s">
        <v>4534</v>
      </c>
      <c r="I1444" s="2" t="s">
        <v>59</v>
      </c>
      <c r="J1444" s="2" t="s">
        <v>37</v>
      </c>
      <c r="K1444" s="2" t="s">
        <v>39</v>
      </c>
      <c r="L1444" s="2" t="s">
        <v>39</v>
      </c>
      <c r="M1444" s="2" t="s">
        <v>39</v>
      </c>
      <c r="N1444" s="2" t="s">
        <v>38</v>
      </c>
      <c r="O1444" s="2" t="s">
        <v>39</v>
      </c>
      <c r="P1444" s="2" t="s">
        <v>39</v>
      </c>
      <c r="Q1444" s="2" t="s">
        <v>39</v>
      </c>
      <c r="R1444" s="2" t="s">
        <v>38</v>
      </c>
      <c r="S1444" s="2" t="s">
        <v>39</v>
      </c>
      <c r="T1444" s="2" t="s">
        <v>39</v>
      </c>
      <c r="U1444" s="2" t="s">
        <v>39</v>
      </c>
      <c r="V1444" s="2" t="s">
        <v>39</v>
      </c>
      <c r="W1444" s="2" t="s">
        <v>39</v>
      </c>
      <c r="X1444" s="2" t="s">
        <v>39</v>
      </c>
      <c r="Y1444" s="2" t="s">
        <v>39</v>
      </c>
      <c r="Z1444" s="2" t="s">
        <v>39</v>
      </c>
      <c r="AA1444" s="2" t="s">
        <v>39</v>
      </c>
      <c r="AB1444" s="2" t="s">
        <v>39</v>
      </c>
      <c r="AC1444" s="2" t="s">
        <v>38</v>
      </c>
      <c r="AD1444" s="2" t="s">
        <v>39</v>
      </c>
      <c r="AE1444" s="2" t="s">
        <v>40</v>
      </c>
    </row>
    <row r="1445" spans="1:31" ht="409.5">
      <c r="A1445" s="2">
        <v>2738259</v>
      </c>
      <c r="B1445" s="2">
        <f>HYPERLINK("https://platform.v2.vetology.net/cases/2738259/screening-report/1?type=pdf&amp;v=v6&amp;scorecard=1&amp;secret_key=BX%25IJ%24%2F65ieZ%29f6", 2738259)</f>
        <v>2738259</v>
      </c>
      <c r="C1445" s="2">
        <f>HYPERLINK("https://platform.v2.vetology.net/report/v/final/"&amp;2738259, 2738259)</f>
        <v>2738259</v>
      </c>
      <c r="D1445" s="2" t="s">
        <v>4765</v>
      </c>
      <c r="E1445" s="2" t="s">
        <v>4766</v>
      </c>
      <c r="F1445" s="2" t="s">
        <v>4767</v>
      </c>
      <c r="G1445" s="2" t="s">
        <v>53</v>
      </c>
      <c r="H1445" s="2" t="s">
        <v>4768</v>
      </c>
      <c r="I1445" s="2" t="s">
        <v>73</v>
      </c>
      <c r="J1445" s="2" t="s">
        <v>74</v>
      </c>
      <c r="K1445" s="2" t="s">
        <v>38</v>
      </c>
      <c r="L1445" s="2" t="s">
        <v>38</v>
      </c>
      <c r="M1445" s="2" t="s">
        <v>38</v>
      </c>
      <c r="N1445" s="2" t="s">
        <v>38</v>
      </c>
      <c r="O1445" s="2" t="s">
        <v>38</v>
      </c>
      <c r="P1445" s="2" t="s">
        <v>38</v>
      </c>
      <c r="Q1445" s="2" t="s">
        <v>38</v>
      </c>
      <c r="R1445" s="2" t="s">
        <v>38</v>
      </c>
      <c r="S1445" s="2" t="s">
        <v>38</v>
      </c>
      <c r="T1445" s="2" t="s">
        <v>38</v>
      </c>
      <c r="U1445" s="2" t="s">
        <v>38</v>
      </c>
      <c r="V1445" s="2" t="s">
        <v>38</v>
      </c>
      <c r="W1445" s="2" t="s">
        <v>38</v>
      </c>
      <c r="X1445" s="2" t="s">
        <v>38</v>
      </c>
      <c r="Y1445" s="2" t="s">
        <v>39</v>
      </c>
      <c r="Z1445" s="2" t="s">
        <v>38</v>
      </c>
      <c r="AA1445" s="2" t="s">
        <v>38</v>
      </c>
      <c r="AB1445" s="2" t="s">
        <v>38</v>
      </c>
      <c r="AC1445" s="2" t="s">
        <v>38</v>
      </c>
      <c r="AD1445" s="2" t="s">
        <v>38</v>
      </c>
      <c r="AE1445" s="2"/>
    </row>
    <row r="1446" spans="1:31" ht="409.5">
      <c r="A1446" s="2">
        <v>2738245</v>
      </c>
      <c r="B1446" s="2">
        <f>HYPERLINK("https://platform.v2.vetology.net/cases/2738245/screening-report/1?type=pdf&amp;v=v6&amp;scorecard=1&amp;secret_key=BX%25IJ%24%2F65ieZ%29f6", 2738245)</f>
        <v>2738245</v>
      </c>
      <c r="C1446" s="2">
        <f>HYPERLINK("https://platform.v2.vetology.net/report/v/final/"&amp;2738245, 2738245)</f>
        <v>2738245</v>
      </c>
      <c r="D1446" s="2" t="s">
        <v>4769</v>
      </c>
      <c r="E1446" s="2" t="s">
        <v>1928</v>
      </c>
      <c r="F1446" s="2" t="s">
        <v>1929</v>
      </c>
      <c r="G1446" s="2" t="s">
        <v>111</v>
      </c>
      <c r="H1446" s="2" t="s">
        <v>419</v>
      </c>
      <c r="I1446" s="2" t="s">
        <v>36</v>
      </c>
      <c r="J1446" s="2" t="s">
        <v>37</v>
      </c>
      <c r="K1446" s="2" t="s">
        <v>39</v>
      </c>
      <c r="L1446" s="2" t="s">
        <v>39</v>
      </c>
      <c r="M1446" s="2" t="s">
        <v>38</v>
      </c>
      <c r="N1446" s="2" t="s">
        <v>39</v>
      </c>
      <c r="O1446" s="2" t="s">
        <v>38</v>
      </c>
      <c r="P1446" s="2" t="s">
        <v>39</v>
      </c>
      <c r="Q1446" s="2" t="s">
        <v>39</v>
      </c>
      <c r="R1446" s="2" t="s">
        <v>38</v>
      </c>
      <c r="S1446" s="2" t="s">
        <v>39</v>
      </c>
      <c r="T1446" s="2" t="s">
        <v>38</v>
      </c>
      <c r="U1446" s="2" t="s">
        <v>39</v>
      </c>
      <c r="V1446" s="2" t="s">
        <v>39</v>
      </c>
      <c r="W1446" s="2" t="s">
        <v>39</v>
      </c>
      <c r="X1446" s="2" t="s">
        <v>39</v>
      </c>
      <c r="Y1446" s="2" t="s">
        <v>39</v>
      </c>
      <c r="Z1446" s="2" t="s">
        <v>38</v>
      </c>
      <c r="AA1446" s="2" t="s">
        <v>38</v>
      </c>
      <c r="AB1446" s="2" t="s">
        <v>39</v>
      </c>
      <c r="AC1446" s="2" t="s">
        <v>38</v>
      </c>
      <c r="AD1446" s="2" t="s">
        <v>39</v>
      </c>
      <c r="AE1446" s="2" t="s">
        <v>40</v>
      </c>
    </row>
    <row r="1447" spans="1:31" ht="409.5">
      <c r="A1447" s="2">
        <v>2738183</v>
      </c>
      <c r="B1447" s="2">
        <f>HYPERLINK("https://platform.v2.vetology.net/cases/2738183/screening-report/1?type=pdf&amp;v=v6&amp;scorecard=1&amp;secret_key=BX%25IJ%24%2F65ieZ%29f6", 2738183)</f>
        <v>2738183</v>
      </c>
      <c r="C1447" s="2">
        <f>HYPERLINK("https://platform.v2.vetology.net/report/v/final/"&amp;2738183, 2738183)</f>
        <v>2738183</v>
      </c>
      <c r="D1447" s="2" t="s">
        <v>4770</v>
      </c>
      <c r="E1447" s="2" t="s">
        <v>4771</v>
      </c>
      <c r="F1447" s="2" t="s">
        <v>3605</v>
      </c>
      <c r="G1447" s="2" t="s">
        <v>170</v>
      </c>
      <c r="H1447" s="2" t="s">
        <v>4772</v>
      </c>
      <c r="I1447" s="2" t="s">
        <v>36</v>
      </c>
      <c r="J1447" s="2" t="s">
        <v>37</v>
      </c>
      <c r="K1447" s="2" t="s">
        <v>38</v>
      </c>
      <c r="L1447" s="2" t="s">
        <v>38</v>
      </c>
      <c r="M1447" s="2" t="s">
        <v>39</v>
      </c>
      <c r="N1447" s="2" t="s">
        <v>38</v>
      </c>
      <c r="O1447" s="2" t="s">
        <v>39</v>
      </c>
      <c r="P1447" s="2" t="s">
        <v>38</v>
      </c>
      <c r="Q1447" s="2" t="s">
        <v>39</v>
      </c>
      <c r="R1447" s="2" t="s">
        <v>39</v>
      </c>
      <c r="S1447" s="2" t="s">
        <v>39</v>
      </c>
      <c r="T1447" s="2" t="s">
        <v>38</v>
      </c>
      <c r="U1447" s="2" t="s">
        <v>38</v>
      </c>
      <c r="V1447" s="2" t="s">
        <v>38</v>
      </c>
      <c r="W1447" s="2" t="s">
        <v>38</v>
      </c>
      <c r="X1447" s="2" t="s">
        <v>39</v>
      </c>
      <c r="Y1447" s="2" t="s">
        <v>39</v>
      </c>
      <c r="Z1447" s="2" t="s">
        <v>38</v>
      </c>
      <c r="AA1447" s="2" t="s">
        <v>39</v>
      </c>
      <c r="AB1447" s="2" t="s">
        <v>39</v>
      </c>
      <c r="AC1447" s="2" t="s">
        <v>39</v>
      </c>
      <c r="AD1447" s="2" t="s">
        <v>38</v>
      </c>
      <c r="AE1447" s="2" t="s">
        <v>39</v>
      </c>
    </row>
    <row r="1448" spans="1:31" ht="409.5">
      <c r="A1448" s="2">
        <v>2738182</v>
      </c>
      <c r="B1448" s="2">
        <f>HYPERLINK("https://platform.v2.vetology.net/cases/2738182/screening-report/1?type=pdf&amp;v=v6&amp;scorecard=1&amp;secret_key=BX%25IJ%24%2F65ieZ%29f6", 2738182)</f>
        <v>2738182</v>
      </c>
      <c r="C1448" s="2">
        <f>HYPERLINK("https://platform.v2.vetology.net/report/v/final/"&amp;2738182, 2738182)</f>
        <v>2738182</v>
      </c>
      <c r="D1448" s="2" t="s">
        <v>4773</v>
      </c>
      <c r="E1448" s="2" t="s">
        <v>4774</v>
      </c>
      <c r="F1448" s="2" t="s">
        <v>4775</v>
      </c>
      <c r="G1448" s="2" t="s">
        <v>34</v>
      </c>
      <c r="H1448" s="2" t="s">
        <v>4776</v>
      </c>
      <c r="I1448" s="2" t="s">
        <v>36</v>
      </c>
      <c r="J1448" s="2" t="s">
        <v>37</v>
      </c>
      <c r="K1448" s="2" t="s">
        <v>39</v>
      </c>
      <c r="L1448" s="2" t="s">
        <v>38</v>
      </c>
      <c r="M1448" s="2" t="s">
        <v>38</v>
      </c>
      <c r="N1448" s="2" t="s">
        <v>38</v>
      </c>
      <c r="O1448" s="2" t="s">
        <v>38</v>
      </c>
      <c r="P1448" s="2" t="s">
        <v>38</v>
      </c>
      <c r="Q1448" s="2" t="s">
        <v>38</v>
      </c>
      <c r="R1448" s="2" t="s">
        <v>38</v>
      </c>
      <c r="S1448" s="2" t="s">
        <v>38</v>
      </c>
      <c r="T1448" s="2" t="s">
        <v>38</v>
      </c>
      <c r="U1448" s="2" t="s">
        <v>39</v>
      </c>
      <c r="V1448" s="2" t="s">
        <v>39</v>
      </c>
      <c r="W1448" s="2" t="s">
        <v>38</v>
      </c>
      <c r="X1448" s="2" t="s">
        <v>39</v>
      </c>
      <c r="Y1448" s="2" t="s">
        <v>39</v>
      </c>
      <c r="Z1448" s="2" t="s">
        <v>38</v>
      </c>
      <c r="AA1448" s="2" t="s">
        <v>38</v>
      </c>
      <c r="AB1448" s="2" t="s">
        <v>38</v>
      </c>
      <c r="AC1448" s="2" t="s">
        <v>38</v>
      </c>
      <c r="AD1448" s="2" t="s">
        <v>38</v>
      </c>
      <c r="AE1448" s="2" t="s">
        <v>40</v>
      </c>
    </row>
    <row r="1449" spans="1:31" ht="409.5">
      <c r="A1449" s="2">
        <v>2738156</v>
      </c>
      <c r="B1449" s="2">
        <f>HYPERLINK("https://platform.v2.vetology.net/cases/2738156/screening-report/1?type=pdf&amp;v=v6&amp;scorecard=1&amp;secret_key=BX%25IJ%24%2F65ieZ%29f6", 2738156)</f>
        <v>2738156</v>
      </c>
      <c r="C1449" s="2">
        <f>HYPERLINK("https://platform.v2.vetology.net/report/v/final/"&amp;2738156, 2738156)</f>
        <v>2738156</v>
      </c>
      <c r="D1449" s="2" t="s">
        <v>4777</v>
      </c>
      <c r="E1449" s="2" t="s">
        <v>4778</v>
      </c>
      <c r="F1449" s="2" t="s">
        <v>4779</v>
      </c>
      <c r="G1449" s="2" t="s">
        <v>111</v>
      </c>
      <c r="H1449" s="2" t="s">
        <v>69</v>
      </c>
      <c r="I1449" s="2" t="s">
        <v>46</v>
      </c>
      <c r="J1449" s="2"/>
      <c r="K1449" s="2" t="s">
        <v>39</v>
      </c>
      <c r="L1449" s="2" t="s">
        <v>39</v>
      </c>
      <c r="M1449" s="2" t="s">
        <v>39</v>
      </c>
      <c r="N1449" s="2" t="s">
        <v>39</v>
      </c>
      <c r="O1449" s="2" t="s">
        <v>39</v>
      </c>
      <c r="P1449" s="2" t="s">
        <v>39</v>
      </c>
      <c r="Q1449" s="2" t="s">
        <v>39</v>
      </c>
      <c r="R1449" s="2" t="s">
        <v>39</v>
      </c>
      <c r="S1449" s="2" t="s">
        <v>39</v>
      </c>
      <c r="T1449" s="2" t="s">
        <v>39</v>
      </c>
      <c r="U1449" s="2" t="s">
        <v>39</v>
      </c>
      <c r="V1449" s="2" t="s">
        <v>39</v>
      </c>
      <c r="W1449" s="2" t="s">
        <v>39</v>
      </c>
      <c r="X1449" s="2" t="s">
        <v>39</v>
      </c>
      <c r="Y1449" s="2" t="s">
        <v>39</v>
      </c>
      <c r="Z1449" s="2" t="s">
        <v>39</v>
      </c>
      <c r="AA1449" s="2" t="s">
        <v>39</v>
      </c>
      <c r="AB1449" s="2" t="s">
        <v>39</v>
      </c>
      <c r="AC1449" s="2" t="s">
        <v>39</v>
      </c>
      <c r="AD1449" s="2" t="s">
        <v>39</v>
      </c>
      <c r="AE1449" s="2" t="s">
        <v>39</v>
      </c>
    </row>
    <row r="1450" spans="1:31" ht="409.5">
      <c r="A1450" s="2">
        <v>2738059</v>
      </c>
      <c r="B1450" s="2">
        <f>HYPERLINK("https://platform.v2.vetology.net/cases/2738059/screening-report/1?type=pdf&amp;v=v6&amp;scorecard=1&amp;secret_key=BX%25IJ%24%2F65ieZ%29f6", 2738059)</f>
        <v>2738059</v>
      </c>
      <c r="C1450" s="2">
        <f>HYPERLINK("https://platform.v2.vetology.net/report/v/final/"&amp;2738059, 2738059)</f>
        <v>2738059</v>
      </c>
      <c r="D1450" s="2" t="s">
        <v>4780</v>
      </c>
      <c r="E1450" s="2" t="s">
        <v>4781</v>
      </c>
      <c r="F1450" s="2" t="s">
        <v>4782</v>
      </c>
      <c r="G1450" s="2" t="s">
        <v>170</v>
      </c>
      <c r="H1450" s="2" t="s">
        <v>4783</v>
      </c>
      <c r="I1450" s="2" t="s">
        <v>36</v>
      </c>
      <c r="J1450" s="2" t="s">
        <v>37</v>
      </c>
      <c r="K1450" s="2" t="s">
        <v>38</v>
      </c>
      <c r="L1450" s="2" t="s">
        <v>39</v>
      </c>
      <c r="M1450" s="2" t="s">
        <v>38</v>
      </c>
      <c r="N1450" s="2" t="s">
        <v>38</v>
      </c>
      <c r="O1450" s="2" t="s">
        <v>38</v>
      </c>
      <c r="P1450" s="2" t="s">
        <v>38</v>
      </c>
      <c r="Q1450" s="2" t="s">
        <v>39</v>
      </c>
      <c r="R1450" s="2" t="s">
        <v>39</v>
      </c>
      <c r="S1450" s="2" t="s">
        <v>38</v>
      </c>
      <c r="T1450" s="2" t="s">
        <v>38</v>
      </c>
      <c r="U1450" s="2" t="s">
        <v>39</v>
      </c>
      <c r="V1450" s="2" t="s">
        <v>38</v>
      </c>
      <c r="W1450" s="2" t="s">
        <v>38</v>
      </c>
      <c r="X1450" s="2" t="s">
        <v>38</v>
      </c>
      <c r="Y1450" s="2" t="s">
        <v>39</v>
      </c>
      <c r="Z1450" s="2" t="s">
        <v>38</v>
      </c>
      <c r="AA1450" s="2" t="s">
        <v>38</v>
      </c>
      <c r="AB1450" s="2" t="s">
        <v>38</v>
      </c>
      <c r="AC1450" s="2" t="s">
        <v>38</v>
      </c>
      <c r="AD1450" s="2" t="s">
        <v>38</v>
      </c>
      <c r="AE1450" s="2" t="s">
        <v>40</v>
      </c>
    </row>
    <row r="1451" spans="1:31" ht="409.5">
      <c r="A1451" s="2">
        <v>2737907</v>
      </c>
      <c r="B1451" s="2">
        <f>HYPERLINK("https://platform.v2.vetology.net/cases/2737907/screening-report/1?type=pdf&amp;v=v6&amp;scorecard=1&amp;secret_key=BX%25IJ%24%2F65ieZ%29f6", 2737907)</f>
        <v>2737907</v>
      </c>
      <c r="C1451" s="2">
        <f>HYPERLINK("https://platform.v2.vetology.net/report/v/final/"&amp;2737907, 2737907)</f>
        <v>2737907</v>
      </c>
      <c r="D1451" s="2" t="s">
        <v>4784</v>
      </c>
      <c r="E1451" s="2" t="s">
        <v>4785</v>
      </c>
      <c r="F1451" s="2" t="s">
        <v>4786</v>
      </c>
      <c r="G1451" s="2" t="s">
        <v>34</v>
      </c>
      <c r="H1451" s="2" t="s">
        <v>69</v>
      </c>
      <c r="I1451" s="2" t="s">
        <v>46</v>
      </c>
      <c r="J1451" s="2"/>
      <c r="K1451" s="2" t="s">
        <v>39</v>
      </c>
      <c r="L1451" s="2" t="s">
        <v>39</v>
      </c>
      <c r="M1451" s="2" t="s">
        <v>39</v>
      </c>
      <c r="N1451" s="2" t="s">
        <v>39</v>
      </c>
      <c r="O1451" s="2" t="s">
        <v>39</v>
      </c>
      <c r="P1451" s="2" t="s">
        <v>39</v>
      </c>
      <c r="Q1451" s="2" t="s">
        <v>39</v>
      </c>
      <c r="R1451" s="2" t="s">
        <v>39</v>
      </c>
      <c r="S1451" s="2" t="s">
        <v>39</v>
      </c>
      <c r="T1451" s="2" t="s">
        <v>39</v>
      </c>
      <c r="U1451" s="2" t="s">
        <v>39</v>
      </c>
      <c r="V1451" s="2" t="s">
        <v>39</v>
      </c>
      <c r="W1451" s="2" t="s">
        <v>39</v>
      </c>
      <c r="X1451" s="2" t="s">
        <v>39</v>
      </c>
      <c r="Y1451" s="2" t="s">
        <v>39</v>
      </c>
      <c r="Z1451" s="2" t="s">
        <v>39</v>
      </c>
      <c r="AA1451" s="2" t="s">
        <v>39</v>
      </c>
      <c r="AB1451" s="2" t="s">
        <v>39</v>
      </c>
      <c r="AC1451" s="2" t="s">
        <v>38</v>
      </c>
      <c r="AD1451" s="2" t="s">
        <v>39</v>
      </c>
      <c r="AE1451" s="2" t="s">
        <v>39</v>
      </c>
    </row>
    <row r="1452" spans="1:31" ht="409.5">
      <c r="A1452" s="2">
        <v>2737863</v>
      </c>
      <c r="B1452" s="2">
        <f>HYPERLINK("https://platform.v2.vetology.net/cases/2737863/screening-report/1?type=pdf&amp;v=v6&amp;scorecard=1&amp;secret_key=BX%25IJ%24%2F65ieZ%29f6", 2737863)</f>
        <v>2737863</v>
      </c>
      <c r="C1452" s="2">
        <f>HYPERLINK("https://platform.v2.vetology.net/report/v/final/"&amp;2737863, 2737863)</f>
        <v>2737863</v>
      </c>
      <c r="D1452" s="2" t="s">
        <v>4787</v>
      </c>
      <c r="E1452" s="2" t="s">
        <v>4788</v>
      </c>
      <c r="F1452" s="2" t="s">
        <v>4789</v>
      </c>
      <c r="G1452" s="2" t="s">
        <v>34</v>
      </c>
      <c r="H1452" s="2" t="s">
        <v>4790</v>
      </c>
      <c r="I1452" s="2" t="s">
        <v>129</v>
      </c>
      <c r="J1452" s="2" t="s">
        <v>74</v>
      </c>
      <c r="K1452" s="2" t="s">
        <v>38</v>
      </c>
      <c r="L1452" s="2" t="s">
        <v>38</v>
      </c>
      <c r="M1452" s="2" t="s">
        <v>39</v>
      </c>
      <c r="N1452" s="2" t="s">
        <v>38</v>
      </c>
      <c r="O1452" s="2" t="s">
        <v>38</v>
      </c>
      <c r="P1452" s="2" t="s">
        <v>39</v>
      </c>
      <c r="Q1452" s="2" t="s">
        <v>38</v>
      </c>
      <c r="R1452" s="2" t="s">
        <v>38</v>
      </c>
      <c r="S1452" s="2" t="s">
        <v>39</v>
      </c>
      <c r="T1452" s="2" t="s">
        <v>39</v>
      </c>
      <c r="U1452" s="2" t="s">
        <v>38</v>
      </c>
      <c r="V1452" s="2" t="s">
        <v>38</v>
      </c>
      <c r="W1452" s="2" t="s">
        <v>39</v>
      </c>
      <c r="X1452" s="2" t="s">
        <v>39</v>
      </c>
      <c r="Y1452" s="2" t="s">
        <v>39</v>
      </c>
      <c r="Z1452" s="2" t="s">
        <v>38</v>
      </c>
      <c r="AA1452" s="2" t="s">
        <v>38</v>
      </c>
      <c r="AB1452" s="2" t="s">
        <v>39</v>
      </c>
      <c r="AC1452" s="2" t="s">
        <v>39</v>
      </c>
      <c r="AD1452" s="2" t="s">
        <v>38</v>
      </c>
      <c r="AE1452" s="2" t="s">
        <v>39</v>
      </c>
    </row>
    <row r="1453" spans="1:31" ht="409.5">
      <c r="A1453" s="2">
        <v>2737726</v>
      </c>
      <c r="B1453" s="2">
        <f>HYPERLINK("https://platform.v2.vetology.net/cases/2737726/screening-report/1?type=pdf&amp;v=v6&amp;scorecard=1&amp;secret_key=BX%25IJ%24%2F65ieZ%29f6", 2737726)</f>
        <v>2737726</v>
      </c>
      <c r="C1453" s="2">
        <f>HYPERLINK("https://platform.v2.vetology.net/report/v/final/"&amp;2737726, 2737726)</f>
        <v>2737726</v>
      </c>
      <c r="D1453" s="2" t="s">
        <v>4791</v>
      </c>
      <c r="E1453" s="2" t="s">
        <v>4792</v>
      </c>
      <c r="F1453" s="2"/>
      <c r="G1453" s="2" t="s">
        <v>81</v>
      </c>
      <c r="H1453" s="2" t="s">
        <v>158</v>
      </c>
      <c r="I1453" s="2" t="s">
        <v>59</v>
      </c>
      <c r="J1453" s="2" t="s">
        <v>37</v>
      </c>
      <c r="K1453" s="2" t="s">
        <v>38</v>
      </c>
      <c r="L1453" s="2" t="s">
        <v>39</v>
      </c>
      <c r="M1453" s="2" t="s">
        <v>39</v>
      </c>
      <c r="N1453" s="2" t="s">
        <v>39</v>
      </c>
      <c r="O1453" s="2" t="s">
        <v>39</v>
      </c>
      <c r="P1453" s="2" t="s">
        <v>39</v>
      </c>
      <c r="Q1453" s="2" t="s">
        <v>39</v>
      </c>
      <c r="R1453" s="2" t="s">
        <v>39</v>
      </c>
      <c r="S1453" s="2" t="s">
        <v>39</v>
      </c>
      <c r="T1453" s="2" t="s">
        <v>39</v>
      </c>
      <c r="U1453" s="2" t="s">
        <v>39</v>
      </c>
      <c r="V1453" s="2" t="s">
        <v>38</v>
      </c>
      <c r="W1453" s="2" t="s">
        <v>39</v>
      </c>
      <c r="X1453" s="2" t="s">
        <v>39</v>
      </c>
      <c r="Y1453" s="2" t="s">
        <v>39</v>
      </c>
      <c r="Z1453" s="2" t="s">
        <v>39</v>
      </c>
      <c r="AA1453" s="2" t="s">
        <v>39</v>
      </c>
      <c r="AB1453" s="2" t="s">
        <v>39</v>
      </c>
      <c r="AC1453" s="2" t="s">
        <v>39</v>
      </c>
      <c r="AD1453" s="2" t="s">
        <v>39</v>
      </c>
      <c r="AE1453" s="2" t="s">
        <v>40</v>
      </c>
    </row>
    <row r="1454" spans="1:31" ht="409.5">
      <c r="A1454" s="2">
        <v>2737719</v>
      </c>
      <c r="B1454" s="2">
        <f>HYPERLINK("https://platform.v2.vetology.net/cases/2737719/screening-report/1?type=pdf&amp;v=v6&amp;scorecard=1&amp;secret_key=BX%25IJ%24%2F65ieZ%29f6", 2737719)</f>
        <v>2737719</v>
      </c>
      <c r="C1454" s="2">
        <f>HYPERLINK("https://platform.v2.vetology.net/report/v/final/"&amp;2737719, 2737719)</f>
        <v>2737719</v>
      </c>
      <c r="D1454" s="2" t="s">
        <v>4793</v>
      </c>
      <c r="E1454" s="2" t="s">
        <v>4794</v>
      </c>
      <c r="F1454" s="2" t="s">
        <v>4795</v>
      </c>
      <c r="G1454" s="2" t="s">
        <v>34</v>
      </c>
      <c r="H1454" s="2" t="s">
        <v>4796</v>
      </c>
      <c r="I1454" s="2" t="s">
        <v>36</v>
      </c>
      <c r="J1454" s="2" t="s">
        <v>37</v>
      </c>
      <c r="K1454" s="2" t="s">
        <v>38</v>
      </c>
      <c r="L1454" s="2" t="s">
        <v>39</v>
      </c>
      <c r="M1454" s="2" t="s">
        <v>38</v>
      </c>
      <c r="N1454" s="2" t="s">
        <v>38</v>
      </c>
      <c r="O1454" s="2" t="s">
        <v>38</v>
      </c>
      <c r="P1454" s="2" t="s">
        <v>39</v>
      </c>
      <c r="Q1454" s="2" t="s">
        <v>39</v>
      </c>
      <c r="R1454" s="2" t="s">
        <v>39</v>
      </c>
      <c r="S1454" s="2" t="s">
        <v>39</v>
      </c>
      <c r="T1454" s="2" t="s">
        <v>38</v>
      </c>
      <c r="U1454" s="2" t="s">
        <v>38</v>
      </c>
      <c r="V1454" s="2" t="s">
        <v>38</v>
      </c>
      <c r="W1454" s="2" t="s">
        <v>38</v>
      </c>
      <c r="X1454" s="2" t="s">
        <v>39</v>
      </c>
      <c r="Y1454" s="2" t="s">
        <v>39</v>
      </c>
      <c r="Z1454" s="2" t="s">
        <v>38</v>
      </c>
      <c r="AA1454" s="2" t="s">
        <v>38</v>
      </c>
      <c r="AB1454" s="2" t="s">
        <v>39</v>
      </c>
      <c r="AC1454" s="2" t="s">
        <v>38</v>
      </c>
      <c r="AD1454" s="2" t="s">
        <v>39</v>
      </c>
      <c r="AE1454" s="2" t="s">
        <v>39</v>
      </c>
    </row>
    <row r="1455" spans="1:31" ht="409.5">
      <c r="A1455" s="2">
        <v>2737712</v>
      </c>
      <c r="B1455" s="2">
        <f>HYPERLINK("https://platform.v2.vetology.net/cases/2737712/screening-report/1?type=pdf&amp;v=v6&amp;scorecard=1&amp;secret_key=BX%25IJ%24%2F65ieZ%29f6", 2737712)</f>
        <v>2737712</v>
      </c>
      <c r="C1455" s="2">
        <f>HYPERLINK("https://platform.v2.vetology.net/report/v/final/"&amp;2737712, 2737712)</f>
        <v>2737712</v>
      </c>
      <c r="D1455" s="2" t="s">
        <v>4797</v>
      </c>
      <c r="E1455" s="2" t="s">
        <v>4798</v>
      </c>
      <c r="F1455" s="2" t="s">
        <v>4799</v>
      </c>
      <c r="G1455" s="2" t="s">
        <v>170</v>
      </c>
      <c r="H1455" s="2" t="s">
        <v>4800</v>
      </c>
      <c r="I1455" s="2" t="s">
        <v>73</v>
      </c>
      <c r="J1455" s="2" t="s">
        <v>74</v>
      </c>
      <c r="K1455" s="2" t="s">
        <v>38</v>
      </c>
      <c r="L1455" s="2" t="s">
        <v>39</v>
      </c>
      <c r="M1455" s="2" t="s">
        <v>39</v>
      </c>
      <c r="N1455" s="2" t="s">
        <v>39</v>
      </c>
      <c r="O1455" s="2" t="s">
        <v>39</v>
      </c>
      <c r="P1455" s="2" t="s">
        <v>38</v>
      </c>
      <c r="Q1455" s="2" t="s">
        <v>38</v>
      </c>
      <c r="R1455" s="2" t="s">
        <v>38</v>
      </c>
      <c r="S1455" s="2" t="s">
        <v>38</v>
      </c>
      <c r="T1455" s="2" t="s">
        <v>38</v>
      </c>
      <c r="U1455" s="2" t="s">
        <v>38</v>
      </c>
      <c r="V1455" s="2" t="s">
        <v>38</v>
      </c>
      <c r="W1455" s="2" t="s">
        <v>38</v>
      </c>
      <c r="X1455" s="2" t="s">
        <v>38</v>
      </c>
      <c r="Y1455" s="2" t="s">
        <v>39</v>
      </c>
      <c r="Z1455" s="2" t="s">
        <v>38</v>
      </c>
      <c r="AA1455" s="2" t="s">
        <v>39</v>
      </c>
      <c r="AB1455" s="2" t="s">
        <v>38</v>
      </c>
      <c r="AC1455" s="2" t="s">
        <v>39</v>
      </c>
      <c r="AD1455" s="2" t="s">
        <v>38</v>
      </c>
      <c r="AE1455" s="2" t="s">
        <v>39</v>
      </c>
    </row>
    <row r="1456" spans="1:31" ht="409.5">
      <c r="A1456" s="2">
        <v>2737691</v>
      </c>
      <c r="B1456" s="2">
        <f>HYPERLINK("https://platform.v2.vetology.net/cases/2737691/screening-report/1?type=pdf&amp;v=v6&amp;scorecard=1&amp;secret_key=BX%25IJ%24%2F65ieZ%29f6", 2737691)</f>
        <v>2737691</v>
      </c>
      <c r="C1456" s="2">
        <f>HYPERLINK("https://platform.v2.vetology.net/report/v/final/"&amp;2737691, 2737691)</f>
        <v>2737691</v>
      </c>
      <c r="D1456" s="2" t="s">
        <v>4801</v>
      </c>
      <c r="E1456" s="2" t="s">
        <v>4802</v>
      </c>
      <c r="F1456" s="2" t="s">
        <v>4803</v>
      </c>
      <c r="G1456" s="2" t="s">
        <v>111</v>
      </c>
      <c r="H1456" s="2" t="s">
        <v>1985</v>
      </c>
      <c r="I1456" s="2" t="s">
        <v>36</v>
      </c>
      <c r="J1456" s="2" t="s">
        <v>37</v>
      </c>
      <c r="K1456" s="2" t="s">
        <v>39</v>
      </c>
      <c r="L1456" s="2" t="s">
        <v>38</v>
      </c>
      <c r="M1456" s="2" t="s">
        <v>38</v>
      </c>
      <c r="N1456" s="2" t="s">
        <v>38</v>
      </c>
      <c r="O1456" s="2" t="s">
        <v>38</v>
      </c>
      <c r="P1456" s="2" t="s">
        <v>39</v>
      </c>
      <c r="Q1456" s="2" t="s">
        <v>39</v>
      </c>
      <c r="R1456" s="2" t="s">
        <v>39</v>
      </c>
      <c r="S1456" s="2" t="s">
        <v>39</v>
      </c>
      <c r="T1456" s="2" t="s">
        <v>39</v>
      </c>
      <c r="U1456" s="2" t="s">
        <v>39</v>
      </c>
      <c r="V1456" s="2" t="s">
        <v>39</v>
      </c>
      <c r="W1456" s="2" t="s">
        <v>38</v>
      </c>
      <c r="X1456" s="2" t="s">
        <v>39</v>
      </c>
      <c r="Y1456" s="2" t="s">
        <v>39</v>
      </c>
      <c r="Z1456" s="2" t="s">
        <v>38</v>
      </c>
      <c r="AA1456" s="2" t="s">
        <v>38</v>
      </c>
      <c r="AB1456" s="2" t="s">
        <v>39</v>
      </c>
      <c r="AC1456" s="2" t="s">
        <v>38</v>
      </c>
      <c r="AD1456" s="2" t="s">
        <v>39</v>
      </c>
      <c r="AE1456" s="2" t="s">
        <v>40</v>
      </c>
    </row>
    <row r="1457" spans="1:31" ht="409.5">
      <c r="A1457" s="2">
        <v>2737676</v>
      </c>
      <c r="B1457" s="2">
        <f>HYPERLINK("https://platform.v2.vetology.net/cases/2737676/screening-report/1?type=pdf&amp;v=v6&amp;scorecard=1&amp;secret_key=BX%25IJ%24%2F65ieZ%29f6", 2737676)</f>
        <v>2737676</v>
      </c>
      <c r="C1457" s="2">
        <f>HYPERLINK("https://platform.v2.vetology.net/report/v/final/"&amp;2737676, 2737676)</f>
        <v>2737676</v>
      </c>
      <c r="D1457" s="2" t="s">
        <v>4804</v>
      </c>
      <c r="E1457" s="2" t="s">
        <v>4805</v>
      </c>
      <c r="F1457" s="2" t="s">
        <v>4806</v>
      </c>
      <c r="G1457" s="2" t="s">
        <v>53</v>
      </c>
      <c r="H1457" s="2" t="s">
        <v>4807</v>
      </c>
      <c r="I1457" s="2" t="s">
        <v>36</v>
      </c>
      <c r="J1457" s="2" t="s">
        <v>37</v>
      </c>
      <c r="K1457" s="2" t="s">
        <v>38</v>
      </c>
      <c r="L1457" s="2" t="s">
        <v>39</v>
      </c>
      <c r="M1457" s="2" t="s">
        <v>39</v>
      </c>
      <c r="N1457" s="2" t="s">
        <v>39</v>
      </c>
      <c r="O1457" s="2" t="s">
        <v>38</v>
      </c>
      <c r="P1457" s="2" t="s">
        <v>39</v>
      </c>
      <c r="Q1457" s="2" t="s">
        <v>39</v>
      </c>
      <c r="R1457" s="2" t="s">
        <v>38</v>
      </c>
      <c r="S1457" s="2" t="s">
        <v>39</v>
      </c>
      <c r="T1457" s="2" t="s">
        <v>39</v>
      </c>
      <c r="U1457" s="2" t="s">
        <v>38</v>
      </c>
      <c r="V1457" s="2" t="s">
        <v>39</v>
      </c>
      <c r="W1457" s="2" t="s">
        <v>38</v>
      </c>
      <c r="X1457" s="2" t="s">
        <v>39</v>
      </c>
      <c r="Y1457" s="2" t="s">
        <v>38</v>
      </c>
      <c r="Z1457" s="2" t="s">
        <v>38</v>
      </c>
      <c r="AA1457" s="2" t="s">
        <v>38</v>
      </c>
      <c r="AB1457" s="2" t="s">
        <v>39</v>
      </c>
      <c r="AC1457" s="2" t="s">
        <v>38</v>
      </c>
      <c r="AD1457" s="2" t="s">
        <v>38</v>
      </c>
      <c r="AE1457" s="2" t="s">
        <v>40</v>
      </c>
    </row>
    <row r="1458" spans="1:31" ht="409.5">
      <c r="A1458" s="2">
        <v>2737655</v>
      </c>
      <c r="B1458" s="2">
        <f>HYPERLINK("https://platform.v2.vetology.net/cases/2737655/screening-report/1?type=pdf&amp;v=v6&amp;scorecard=1&amp;secret_key=BX%25IJ%24%2F65ieZ%29f6", 2737655)</f>
        <v>2737655</v>
      </c>
      <c r="C1458" s="2">
        <f>HYPERLINK("https://platform.v2.vetology.net/report/v/final/"&amp;2737655, 2737655)</f>
        <v>2737655</v>
      </c>
      <c r="D1458" s="2" t="s">
        <v>4808</v>
      </c>
      <c r="E1458" s="2" t="s">
        <v>4809</v>
      </c>
      <c r="F1458" s="2" t="s">
        <v>4810</v>
      </c>
      <c r="G1458" s="2" t="s">
        <v>170</v>
      </c>
      <c r="H1458" s="2" t="s">
        <v>4811</v>
      </c>
      <c r="I1458" s="2" t="s">
        <v>73</v>
      </c>
      <c r="J1458" s="2" t="s">
        <v>74</v>
      </c>
      <c r="K1458" s="2" t="s">
        <v>38</v>
      </c>
      <c r="L1458" s="2" t="s">
        <v>38</v>
      </c>
      <c r="M1458" s="2" t="s">
        <v>38</v>
      </c>
      <c r="N1458" s="2" t="s">
        <v>38</v>
      </c>
      <c r="O1458" s="2" t="s">
        <v>38</v>
      </c>
      <c r="P1458" s="2" t="s">
        <v>38</v>
      </c>
      <c r="Q1458" s="2" t="s">
        <v>38</v>
      </c>
      <c r="R1458" s="2" t="s">
        <v>38</v>
      </c>
      <c r="S1458" s="2" t="s">
        <v>38</v>
      </c>
      <c r="T1458" s="2" t="s">
        <v>38</v>
      </c>
      <c r="U1458" s="2" t="s">
        <v>38</v>
      </c>
      <c r="V1458" s="2" t="s">
        <v>38</v>
      </c>
      <c r="W1458" s="2" t="s">
        <v>38</v>
      </c>
      <c r="X1458" s="2" t="s">
        <v>38</v>
      </c>
      <c r="Y1458" s="2" t="s">
        <v>38</v>
      </c>
      <c r="Z1458" s="2" t="s">
        <v>38</v>
      </c>
      <c r="AA1458" s="2" t="s">
        <v>38</v>
      </c>
      <c r="AB1458" s="2" t="s">
        <v>38</v>
      </c>
      <c r="AC1458" s="2" t="s">
        <v>38</v>
      </c>
      <c r="AD1458" s="2" t="s">
        <v>38</v>
      </c>
      <c r="AE1458" s="2" t="s">
        <v>40</v>
      </c>
    </row>
    <row r="1459" spans="1:31" ht="409.5">
      <c r="A1459" s="2">
        <v>2737642</v>
      </c>
      <c r="B1459" s="2">
        <f>HYPERLINK("https://platform.v2.vetology.net/cases/2737642/screening-report/1?type=pdf&amp;v=v6&amp;scorecard=1&amp;secret_key=BX%25IJ%24%2F65ieZ%29f6", 2737642)</f>
        <v>2737642</v>
      </c>
      <c r="C1459" s="2">
        <f>HYPERLINK("https://platform.v2.vetology.net/report/v/final/"&amp;2737642, 2737642)</f>
        <v>2737642</v>
      </c>
      <c r="D1459" s="2" t="s">
        <v>4812</v>
      </c>
      <c r="E1459" s="2" t="s">
        <v>4813</v>
      </c>
      <c r="F1459" s="2" t="s">
        <v>4814</v>
      </c>
      <c r="G1459" s="2" t="s">
        <v>111</v>
      </c>
      <c r="H1459" s="2" t="s">
        <v>3035</v>
      </c>
      <c r="I1459" s="2" t="s">
        <v>36</v>
      </c>
      <c r="J1459" s="2" t="s">
        <v>37</v>
      </c>
      <c r="K1459" s="2" t="s">
        <v>39</v>
      </c>
      <c r="L1459" s="2" t="s">
        <v>39</v>
      </c>
      <c r="M1459" s="2" t="s">
        <v>38</v>
      </c>
      <c r="N1459" s="2" t="s">
        <v>39</v>
      </c>
      <c r="O1459" s="2" t="s">
        <v>39</v>
      </c>
      <c r="P1459" s="2" t="s">
        <v>39</v>
      </c>
      <c r="Q1459" s="2" t="s">
        <v>39</v>
      </c>
      <c r="R1459" s="2" t="s">
        <v>38</v>
      </c>
      <c r="S1459" s="2" t="s">
        <v>39</v>
      </c>
      <c r="T1459" s="2" t="s">
        <v>39</v>
      </c>
      <c r="U1459" s="2" t="s">
        <v>39</v>
      </c>
      <c r="V1459" s="2" t="s">
        <v>39</v>
      </c>
      <c r="W1459" s="2" t="s">
        <v>39</v>
      </c>
      <c r="X1459" s="2" t="s">
        <v>39</v>
      </c>
      <c r="Y1459" s="2" t="s">
        <v>39</v>
      </c>
      <c r="Z1459" s="2" t="s">
        <v>38</v>
      </c>
      <c r="AA1459" s="2" t="s">
        <v>39</v>
      </c>
      <c r="AB1459" s="2" t="s">
        <v>39</v>
      </c>
      <c r="AC1459" s="2" t="s">
        <v>38</v>
      </c>
      <c r="AD1459" s="2" t="s">
        <v>38</v>
      </c>
      <c r="AE1459" s="2" t="s">
        <v>39</v>
      </c>
    </row>
    <row r="1460" spans="1:31" ht="409.5">
      <c r="A1460" s="2">
        <v>2737627</v>
      </c>
      <c r="B1460" s="2">
        <f>HYPERLINK("https://platform.v2.vetology.net/cases/2737627/screening-report/1?type=pdf&amp;v=v6&amp;scorecard=1&amp;secret_key=BX%25IJ%24%2F65ieZ%29f6", 2737627)</f>
        <v>2737627</v>
      </c>
      <c r="C1460" s="2">
        <f>HYPERLINK("https://platform.v2.vetology.net/report/v/final/"&amp;2737627, 2737627)</f>
        <v>2737627</v>
      </c>
      <c r="D1460" s="2" t="s">
        <v>4815</v>
      </c>
      <c r="E1460" s="2" t="s">
        <v>4816</v>
      </c>
      <c r="F1460" s="2" t="s">
        <v>43</v>
      </c>
      <c r="G1460" s="2" t="s">
        <v>44</v>
      </c>
      <c r="H1460" s="2" t="s">
        <v>69</v>
      </c>
      <c r="I1460" s="2" t="s">
        <v>46</v>
      </c>
      <c r="J1460" s="2"/>
      <c r="K1460" s="2" t="s">
        <v>39</v>
      </c>
      <c r="L1460" s="2" t="s">
        <v>39</v>
      </c>
      <c r="M1460" s="2" t="s">
        <v>39</v>
      </c>
      <c r="N1460" s="2" t="s">
        <v>39</v>
      </c>
      <c r="O1460" s="2" t="s">
        <v>39</v>
      </c>
      <c r="P1460" s="2" t="s">
        <v>39</v>
      </c>
      <c r="Q1460" s="2" t="s">
        <v>39</v>
      </c>
      <c r="R1460" s="2" t="s">
        <v>39</v>
      </c>
      <c r="S1460" s="2" t="s">
        <v>39</v>
      </c>
      <c r="T1460" s="2" t="s">
        <v>39</v>
      </c>
      <c r="U1460" s="2" t="s">
        <v>39</v>
      </c>
      <c r="V1460" s="2" t="s">
        <v>38</v>
      </c>
      <c r="W1460" s="2" t="s">
        <v>39</v>
      </c>
      <c r="X1460" s="2" t="s">
        <v>39</v>
      </c>
      <c r="Y1460" s="2" t="s">
        <v>39</v>
      </c>
      <c r="Z1460" s="2" t="s">
        <v>39</v>
      </c>
      <c r="AA1460" s="2" t="s">
        <v>39</v>
      </c>
      <c r="AB1460" s="2" t="s">
        <v>39</v>
      </c>
      <c r="AC1460" s="2" t="s">
        <v>38</v>
      </c>
      <c r="AD1460" s="2" t="s">
        <v>38</v>
      </c>
      <c r="AE1460" s="2" t="s">
        <v>39</v>
      </c>
    </row>
    <row r="1461" spans="1:31" ht="409.5">
      <c r="A1461" s="2">
        <v>2737622</v>
      </c>
      <c r="B1461" s="2">
        <f>HYPERLINK("https://platform.v2.vetology.net/cases/2737622/screening-report/1?type=pdf&amp;v=v6&amp;scorecard=1&amp;secret_key=BX%25IJ%24%2F65ieZ%29f6", 2737622)</f>
        <v>2737622</v>
      </c>
      <c r="C1461" s="2">
        <f>HYPERLINK("https://platform.v2.vetology.net/report/v/final/"&amp;2737622, 2737622)</f>
        <v>2737622</v>
      </c>
      <c r="D1461" s="2" t="s">
        <v>4817</v>
      </c>
      <c r="E1461" s="2" t="s">
        <v>4818</v>
      </c>
      <c r="F1461" s="2" t="s">
        <v>4819</v>
      </c>
      <c r="G1461" s="2" t="s">
        <v>44</v>
      </c>
      <c r="H1461" s="2" t="s">
        <v>398</v>
      </c>
      <c r="I1461" s="2" t="s">
        <v>46</v>
      </c>
      <c r="J1461" s="2"/>
      <c r="K1461" s="2" t="s">
        <v>38</v>
      </c>
      <c r="L1461" s="2" t="s">
        <v>39</v>
      </c>
      <c r="M1461" s="2" t="s">
        <v>39</v>
      </c>
      <c r="N1461" s="2" t="s">
        <v>39</v>
      </c>
      <c r="O1461" s="2" t="s">
        <v>39</v>
      </c>
      <c r="P1461" s="2" t="s">
        <v>39</v>
      </c>
      <c r="Q1461" s="2" t="s">
        <v>39</v>
      </c>
      <c r="R1461" s="2" t="s">
        <v>39</v>
      </c>
      <c r="S1461" s="2" t="s">
        <v>39</v>
      </c>
      <c r="T1461" s="2" t="s">
        <v>39</v>
      </c>
      <c r="U1461" s="2" t="s">
        <v>39</v>
      </c>
      <c r="V1461" s="2" t="s">
        <v>38</v>
      </c>
      <c r="W1461" s="2" t="s">
        <v>39</v>
      </c>
      <c r="X1461" s="2" t="s">
        <v>39</v>
      </c>
      <c r="Y1461" s="2" t="s">
        <v>39</v>
      </c>
      <c r="Z1461" s="2" t="s">
        <v>39</v>
      </c>
      <c r="AA1461" s="2" t="s">
        <v>39</v>
      </c>
      <c r="AB1461" s="2" t="s">
        <v>39</v>
      </c>
      <c r="AC1461" s="2" t="s">
        <v>39</v>
      </c>
      <c r="AD1461" s="2" t="s">
        <v>39</v>
      </c>
      <c r="AE1461" s="2" t="s">
        <v>39</v>
      </c>
    </row>
    <row r="1462" spans="1:31" ht="409.5">
      <c r="A1462" s="2">
        <v>2737620</v>
      </c>
      <c r="B1462" s="2">
        <f>HYPERLINK("https://platform.v2.vetology.net/cases/2737620/screening-report/1?type=pdf&amp;v=v6&amp;scorecard=1&amp;secret_key=BX%25IJ%24%2F65ieZ%29f6", 2737620)</f>
        <v>2737620</v>
      </c>
      <c r="C1462" s="2">
        <f>HYPERLINK("https://platform.v2.vetology.net/report/v/final/"&amp;2737620, 2737620)</f>
        <v>2737620</v>
      </c>
      <c r="D1462" s="2" t="s">
        <v>4820</v>
      </c>
      <c r="E1462" s="2" t="s">
        <v>4821</v>
      </c>
      <c r="F1462" s="2" t="s">
        <v>4822</v>
      </c>
      <c r="G1462" s="2" t="s">
        <v>111</v>
      </c>
      <c r="H1462" s="2" t="s">
        <v>394</v>
      </c>
      <c r="I1462" s="2" t="s">
        <v>59</v>
      </c>
      <c r="J1462" s="2" t="s">
        <v>37</v>
      </c>
      <c r="K1462" s="2" t="s">
        <v>38</v>
      </c>
      <c r="L1462" s="2" t="s">
        <v>39</v>
      </c>
      <c r="M1462" s="2" t="s">
        <v>39</v>
      </c>
      <c r="N1462" s="2" t="s">
        <v>39</v>
      </c>
      <c r="O1462" s="2" t="s">
        <v>39</v>
      </c>
      <c r="P1462" s="2" t="s">
        <v>39</v>
      </c>
      <c r="Q1462" s="2" t="s">
        <v>39</v>
      </c>
      <c r="R1462" s="2" t="s">
        <v>39</v>
      </c>
      <c r="S1462" s="2" t="s">
        <v>39</v>
      </c>
      <c r="T1462" s="2" t="s">
        <v>39</v>
      </c>
      <c r="U1462" s="2" t="s">
        <v>38</v>
      </c>
      <c r="V1462" s="2" t="s">
        <v>38</v>
      </c>
      <c r="W1462" s="2" t="s">
        <v>38</v>
      </c>
      <c r="X1462" s="2" t="s">
        <v>39</v>
      </c>
      <c r="Y1462" s="2" t="s">
        <v>39</v>
      </c>
      <c r="Z1462" s="2" t="s">
        <v>38</v>
      </c>
      <c r="AA1462" s="2" t="s">
        <v>39</v>
      </c>
      <c r="AB1462" s="2" t="s">
        <v>39</v>
      </c>
      <c r="AC1462" s="2" t="s">
        <v>39</v>
      </c>
      <c r="AD1462" s="2" t="s">
        <v>39</v>
      </c>
      <c r="AE1462" s="2" t="s">
        <v>39</v>
      </c>
    </row>
    <row r="1463" spans="1:31" ht="409.5">
      <c r="A1463" s="2">
        <v>2737607</v>
      </c>
      <c r="B1463" s="2">
        <f>HYPERLINK("https://platform.v2.vetology.net/cases/2737607/screening-report/1?type=pdf&amp;v=v6&amp;scorecard=1&amp;secret_key=BX%25IJ%24%2F65ieZ%29f6", 2737607)</f>
        <v>2737607</v>
      </c>
      <c r="C1463" s="2">
        <f>HYPERLINK("https://platform.v2.vetology.net/report/v/final/"&amp;2737607, 2737607)</f>
        <v>2737607</v>
      </c>
      <c r="D1463" s="2" t="s">
        <v>4823</v>
      </c>
      <c r="E1463" s="2" t="s">
        <v>4824</v>
      </c>
      <c r="F1463" s="2" t="s">
        <v>43</v>
      </c>
      <c r="G1463" s="2" t="s">
        <v>100</v>
      </c>
      <c r="H1463" s="2" t="s">
        <v>4825</v>
      </c>
      <c r="I1463" s="2" t="s">
        <v>73</v>
      </c>
      <c r="J1463" s="2" t="s">
        <v>74</v>
      </c>
      <c r="K1463" s="2" t="s">
        <v>38</v>
      </c>
      <c r="L1463" s="2" t="s">
        <v>38</v>
      </c>
      <c r="M1463" s="2" t="s">
        <v>38</v>
      </c>
      <c r="N1463" s="2" t="s">
        <v>38</v>
      </c>
      <c r="O1463" s="2" t="s">
        <v>38</v>
      </c>
      <c r="P1463" s="2" t="s">
        <v>38</v>
      </c>
      <c r="Q1463" s="2" t="s">
        <v>38</v>
      </c>
      <c r="R1463" s="2" t="s">
        <v>38</v>
      </c>
      <c r="S1463" s="2" t="s">
        <v>38</v>
      </c>
      <c r="T1463" s="2" t="s">
        <v>38</v>
      </c>
      <c r="U1463" s="2" t="s">
        <v>38</v>
      </c>
      <c r="V1463" s="2" t="s">
        <v>38</v>
      </c>
      <c r="W1463" s="2" t="s">
        <v>38</v>
      </c>
      <c r="X1463" s="2" t="s">
        <v>38</v>
      </c>
      <c r="Y1463" s="2" t="s">
        <v>39</v>
      </c>
      <c r="Z1463" s="2" t="s">
        <v>38</v>
      </c>
      <c r="AA1463" s="2" t="s">
        <v>38</v>
      </c>
      <c r="AB1463" s="2" t="s">
        <v>38</v>
      </c>
      <c r="AC1463" s="2" t="s">
        <v>38</v>
      </c>
      <c r="AD1463" s="2" t="s">
        <v>39</v>
      </c>
      <c r="AE1463" s="2" t="s">
        <v>40</v>
      </c>
    </row>
    <row r="1464" spans="1:31" ht="409.5">
      <c r="A1464" s="2">
        <v>2737596</v>
      </c>
      <c r="B1464" s="2">
        <f>HYPERLINK("https://platform.v2.vetology.net/cases/2737596/screening-report/1?type=pdf&amp;v=v6&amp;scorecard=1&amp;secret_key=BX%25IJ%24%2F65ieZ%29f6", 2737596)</f>
        <v>2737596</v>
      </c>
      <c r="C1464" s="2">
        <f>HYPERLINK("https://platform.v2.vetology.net/report/v/final/"&amp;2737596, 2737596)</f>
        <v>2737596</v>
      </c>
      <c r="D1464" s="2" t="s">
        <v>4826</v>
      </c>
      <c r="E1464" s="2" t="s">
        <v>4827</v>
      </c>
      <c r="F1464" s="2" t="s">
        <v>43</v>
      </c>
      <c r="G1464" s="2" t="s">
        <v>507</v>
      </c>
      <c r="H1464" s="2" t="s">
        <v>411</v>
      </c>
      <c r="I1464" s="2" t="s">
        <v>73</v>
      </c>
      <c r="J1464" s="2" t="s">
        <v>74</v>
      </c>
      <c r="K1464" s="2" t="s">
        <v>38</v>
      </c>
      <c r="L1464" s="2" t="s">
        <v>38</v>
      </c>
      <c r="M1464" s="2" t="s">
        <v>38</v>
      </c>
      <c r="N1464" s="2" t="s">
        <v>38</v>
      </c>
      <c r="O1464" s="2" t="s">
        <v>38</v>
      </c>
      <c r="P1464" s="2" t="s">
        <v>38</v>
      </c>
      <c r="Q1464" s="2" t="s">
        <v>38</v>
      </c>
      <c r="R1464" s="2" t="s">
        <v>39</v>
      </c>
      <c r="S1464" s="2" t="s">
        <v>38</v>
      </c>
      <c r="T1464" s="2" t="s">
        <v>38</v>
      </c>
      <c r="U1464" s="2" t="s">
        <v>38</v>
      </c>
      <c r="V1464" s="2" t="s">
        <v>38</v>
      </c>
      <c r="W1464" s="2" t="s">
        <v>38</v>
      </c>
      <c r="X1464" s="2" t="s">
        <v>38</v>
      </c>
      <c r="Y1464" s="2" t="s">
        <v>38</v>
      </c>
      <c r="Z1464" s="2" t="s">
        <v>38</v>
      </c>
      <c r="AA1464" s="2" t="s">
        <v>38</v>
      </c>
      <c r="AB1464" s="2" t="s">
        <v>38</v>
      </c>
      <c r="AC1464" s="2" t="s">
        <v>38</v>
      </c>
      <c r="AD1464" s="2" t="s">
        <v>38</v>
      </c>
      <c r="AE1464" s="2" t="s">
        <v>40</v>
      </c>
    </row>
    <row r="1465" spans="1:31" ht="409.5">
      <c r="A1465" s="2">
        <v>2737587</v>
      </c>
      <c r="B1465" s="2">
        <f>HYPERLINK("https://platform.v2.vetology.net/cases/2737587/screening-report/1?type=pdf&amp;v=v6&amp;scorecard=1&amp;secret_key=BX%25IJ%24%2F65ieZ%29f6", 2737587)</f>
        <v>2737587</v>
      </c>
      <c r="C1465" s="2">
        <f>HYPERLINK("https://platform.v2.vetology.net/report/v/final/"&amp;2737587, 2737587)</f>
        <v>2737587</v>
      </c>
      <c r="D1465" s="2" t="s">
        <v>4828</v>
      </c>
      <c r="E1465" s="2" t="s">
        <v>4829</v>
      </c>
      <c r="F1465" s="2" t="s">
        <v>43</v>
      </c>
      <c r="G1465" s="2" t="s">
        <v>44</v>
      </c>
      <c r="H1465" s="2" t="s">
        <v>970</v>
      </c>
      <c r="I1465" s="2" t="s">
        <v>36</v>
      </c>
      <c r="J1465" s="2" t="s">
        <v>37</v>
      </c>
      <c r="K1465" s="2" t="s">
        <v>39</v>
      </c>
      <c r="L1465" s="2" t="s">
        <v>38</v>
      </c>
      <c r="M1465" s="2" t="s">
        <v>39</v>
      </c>
      <c r="N1465" s="2" t="s">
        <v>39</v>
      </c>
      <c r="O1465" s="2" t="s">
        <v>39</v>
      </c>
      <c r="P1465" s="2" t="s">
        <v>39</v>
      </c>
      <c r="Q1465" s="2" t="s">
        <v>39</v>
      </c>
      <c r="R1465" s="2" t="s">
        <v>38</v>
      </c>
      <c r="S1465" s="2" t="s">
        <v>39</v>
      </c>
      <c r="T1465" s="2" t="s">
        <v>39</v>
      </c>
      <c r="U1465" s="2" t="s">
        <v>39</v>
      </c>
      <c r="V1465" s="2" t="s">
        <v>39</v>
      </c>
      <c r="W1465" s="2" t="s">
        <v>38</v>
      </c>
      <c r="X1465" s="2" t="s">
        <v>39</v>
      </c>
      <c r="Y1465" s="2" t="s">
        <v>38</v>
      </c>
      <c r="Z1465" s="2" t="s">
        <v>38</v>
      </c>
      <c r="AA1465" s="2" t="s">
        <v>38</v>
      </c>
      <c r="AB1465" s="2" t="s">
        <v>39</v>
      </c>
      <c r="AC1465" s="2" t="s">
        <v>38</v>
      </c>
      <c r="AD1465" s="2" t="s">
        <v>39</v>
      </c>
      <c r="AE1465" s="2" t="s">
        <v>39</v>
      </c>
    </row>
    <row r="1466" spans="1:31" ht="409.5">
      <c r="A1466" s="2">
        <v>2737554</v>
      </c>
      <c r="B1466" s="2">
        <f>HYPERLINK("https://platform.v2.vetology.net/cases/2737554/screening-report/1?type=pdf&amp;v=v6&amp;scorecard=1&amp;secret_key=BX%25IJ%24%2F65ieZ%29f6", 2737554)</f>
        <v>2737554</v>
      </c>
      <c r="C1466" s="2">
        <f>HYPERLINK("https://platform.v2.vetology.net/report/v/final/"&amp;2737554, 2737554)</f>
        <v>2737554</v>
      </c>
      <c r="D1466" s="2" t="s">
        <v>4830</v>
      </c>
      <c r="E1466" s="2" t="s">
        <v>4831</v>
      </c>
      <c r="F1466" s="2" t="s">
        <v>4832</v>
      </c>
      <c r="G1466" s="2" t="s">
        <v>81</v>
      </c>
      <c r="H1466" s="2" t="s">
        <v>4833</v>
      </c>
      <c r="I1466" s="2" t="s">
        <v>36</v>
      </c>
      <c r="J1466" s="2" t="s">
        <v>37</v>
      </c>
      <c r="K1466" s="2" t="s">
        <v>38</v>
      </c>
      <c r="L1466" s="2" t="s">
        <v>39</v>
      </c>
      <c r="M1466" s="2" t="s">
        <v>38</v>
      </c>
      <c r="N1466" s="2" t="s">
        <v>39</v>
      </c>
      <c r="O1466" s="2" t="s">
        <v>38</v>
      </c>
      <c r="P1466" s="2" t="s">
        <v>39</v>
      </c>
      <c r="Q1466" s="2" t="s">
        <v>39</v>
      </c>
      <c r="R1466" s="2" t="s">
        <v>38</v>
      </c>
      <c r="S1466" s="2" t="s">
        <v>38</v>
      </c>
      <c r="T1466" s="2" t="s">
        <v>38</v>
      </c>
      <c r="U1466" s="2" t="s">
        <v>39</v>
      </c>
      <c r="V1466" s="2" t="s">
        <v>38</v>
      </c>
      <c r="W1466" s="2" t="s">
        <v>38</v>
      </c>
      <c r="X1466" s="2" t="s">
        <v>39</v>
      </c>
      <c r="Y1466" s="2" t="s">
        <v>39</v>
      </c>
      <c r="Z1466" s="2" t="s">
        <v>38</v>
      </c>
      <c r="AA1466" s="2" t="s">
        <v>38</v>
      </c>
      <c r="AB1466" s="2" t="s">
        <v>39</v>
      </c>
      <c r="AC1466" s="2" t="s">
        <v>38</v>
      </c>
      <c r="AD1466" s="2" t="s">
        <v>38</v>
      </c>
      <c r="AE1466" s="2" t="s">
        <v>39</v>
      </c>
    </row>
    <row r="1467" spans="1:31" ht="409.5">
      <c r="A1467" s="2">
        <v>2737549</v>
      </c>
      <c r="B1467" s="2">
        <f>HYPERLINK("https://platform.v2.vetology.net/cases/2737549/screening-report/1?type=pdf&amp;v=v6&amp;scorecard=1&amp;secret_key=BX%25IJ%24%2F65ieZ%29f6", 2737549)</f>
        <v>2737549</v>
      </c>
      <c r="C1467" s="2">
        <f>HYPERLINK("https://platform.v2.vetology.net/report/v/final/"&amp;2737549, 2737549)</f>
        <v>2737549</v>
      </c>
      <c r="D1467" s="2" t="s">
        <v>4834</v>
      </c>
      <c r="E1467" s="2" t="s">
        <v>4835</v>
      </c>
      <c r="F1467" s="2" t="s">
        <v>4836</v>
      </c>
      <c r="G1467" s="2" t="s">
        <v>111</v>
      </c>
      <c r="H1467" s="2" t="s">
        <v>394</v>
      </c>
      <c r="I1467" s="2" t="s">
        <v>59</v>
      </c>
      <c r="J1467" s="2" t="s">
        <v>37</v>
      </c>
      <c r="K1467" s="2" t="s">
        <v>38</v>
      </c>
      <c r="L1467" s="2" t="s">
        <v>39</v>
      </c>
      <c r="M1467" s="2" t="s">
        <v>39</v>
      </c>
      <c r="N1467" s="2" t="s">
        <v>39</v>
      </c>
      <c r="O1467" s="2" t="s">
        <v>39</v>
      </c>
      <c r="P1467" s="2" t="s">
        <v>39</v>
      </c>
      <c r="Q1467" s="2" t="s">
        <v>39</v>
      </c>
      <c r="R1467" s="2" t="s">
        <v>39</v>
      </c>
      <c r="S1467" s="2" t="s">
        <v>39</v>
      </c>
      <c r="T1467" s="2" t="s">
        <v>39</v>
      </c>
      <c r="U1467" s="2" t="s">
        <v>39</v>
      </c>
      <c r="V1467" s="2" t="s">
        <v>39</v>
      </c>
      <c r="W1467" s="2" t="s">
        <v>39</v>
      </c>
      <c r="X1467" s="2" t="s">
        <v>39</v>
      </c>
      <c r="Y1467" s="2" t="s">
        <v>39</v>
      </c>
      <c r="Z1467" s="2" t="s">
        <v>39</v>
      </c>
      <c r="AA1467" s="2" t="s">
        <v>39</v>
      </c>
      <c r="AB1467" s="2" t="s">
        <v>39</v>
      </c>
      <c r="AC1467" s="2" t="s">
        <v>39</v>
      </c>
      <c r="AD1467" s="2" t="s">
        <v>39</v>
      </c>
      <c r="AE1467" s="2" t="s">
        <v>39</v>
      </c>
    </row>
    <row r="1468" spans="1:31" ht="409.5">
      <c r="A1468" s="2">
        <v>2737507</v>
      </c>
      <c r="B1468" s="2">
        <f>HYPERLINK("https://platform.v2.vetology.net/cases/2737507/screening-report/1?type=pdf&amp;v=v6&amp;scorecard=1&amp;secret_key=BX%25IJ%24%2F65ieZ%29f6", 2737507)</f>
        <v>2737507</v>
      </c>
      <c r="C1468" s="2">
        <f>HYPERLINK("https://platform.v2.vetology.net/report/v/final/"&amp;2737507, 2737507)</f>
        <v>2737507</v>
      </c>
      <c r="D1468" s="2" t="s">
        <v>4837</v>
      </c>
      <c r="E1468" s="2" t="s">
        <v>4838</v>
      </c>
      <c r="F1468" s="2" t="s">
        <v>4839</v>
      </c>
      <c r="G1468" s="2" t="s">
        <v>53</v>
      </c>
      <c r="H1468" s="2" t="s">
        <v>4840</v>
      </c>
      <c r="I1468" s="2" t="s">
        <v>36</v>
      </c>
      <c r="J1468" s="2" t="s">
        <v>37</v>
      </c>
      <c r="K1468" s="2" t="s">
        <v>38</v>
      </c>
      <c r="L1468" s="2" t="s">
        <v>38</v>
      </c>
      <c r="M1468" s="2" t="s">
        <v>38</v>
      </c>
      <c r="N1468" s="2" t="s">
        <v>38</v>
      </c>
      <c r="O1468" s="2" t="s">
        <v>38</v>
      </c>
      <c r="P1468" s="2" t="s">
        <v>39</v>
      </c>
      <c r="Q1468" s="2" t="s">
        <v>39</v>
      </c>
      <c r="R1468" s="2" t="s">
        <v>38</v>
      </c>
      <c r="S1468" s="2" t="s">
        <v>39</v>
      </c>
      <c r="T1468" s="2" t="s">
        <v>39</v>
      </c>
      <c r="U1468" s="2" t="s">
        <v>38</v>
      </c>
      <c r="V1468" s="2" t="s">
        <v>38</v>
      </c>
      <c r="W1468" s="2" t="s">
        <v>38</v>
      </c>
      <c r="X1468" s="2" t="s">
        <v>39</v>
      </c>
      <c r="Y1468" s="2" t="s">
        <v>39</v>
      </c>
      <c r="Z1468" s="2" t="s">
        <v>38</v>
      </c>
      <c r="AA1468" s="2" t="s">
        <v>39</v>
      </c>
      <c r="AB1468" s="2" t="s">
        <v>39</v>
      </c>
      <c r="AC1468" s="2" t="s">
        <v>38</v>
      </c>
      <c r="AD1468" s="2" t="s">
        <v>39</v>
      </c>
      <c r="AE1468" s="2" t="s">
        <v>40</v>
      </c>
    </row>
    <row r="1469" spans="1:31" ht="409.5">
      <c r="A1469" s="2">
        <v>2737492</v>
      </c>
      <c r="B1469" s="2">
        <f>HYPERLINK("https://platform.v2.vetology.net/cases/2737492/screening-report/1?type=pdf&amp;v=v6&amp;scorecard=1&amp;secret_key=BX%25IJ%24%2F65ieZ%29f6", 2737492)</f>
        <v>2737492</v>
      </c>
      <c r="C1469" s="2">
        <f>HYPERLINK("https://platform.v2.vetology.net/report/v/final/"&amp;2737492, 2737492)</f>
        <v>2737492</v>
      </c>
      <c r="D1469" s="2" t="s">
        <v>4841</v>
      </c>
      <c r="E1469" s="2" t="s">
        <v>4842</v>
      </c>
      <c r="F1469" s="2" t="s">
        <v>4843</v>
      </c>
      <c r="G1469" s="2" t="s">
        <v>34</v>
      </c>
      <c r="H1469" s="2" t="s">
        <v>4844</v>
      </c>
      <c r="I1469" s="2" t="s">
        <v>36</v>
      </c>
      <c r="J1469" s="2" t="s">
        <v>37</v>
      </c>
      <c r="K1469" s="2" t="s">
        <v>38</v>
      </c>
      <c r="L1469" s="2" t="s">
        <v>38</v>
      </c>
      <c r="M1469" s="2" t="s">
        <v>38</v>
      </c>
      <c r="N1469" s="2" t="s">
        <v>38</v>
      </c>
      <c r="O1469" s="2" t="s">
        <v>38</v>
      </c>
      <c r="P1469" s="2" t="s">
        <v>39</v>
      </c>
      <c r="Q1469" s="2" t="s">
        <v>39</v>
      </c>
      <c r="R1469" s="2" t="s">
        <v>38</v>
      </c>
      <c r="S1469" s="2" t="s">
        <v>38</v>
      </c>
      <c r="T1469" s="2" t="s">
        <v>38</v>
      </c>
      <c r="U1469" s="2" t="s">
        <v>39</v>
      </c>
      <c r="V1469" s="2" t="s">
        <v>39</v>
      </c>
      <c r="W1469" s="2" t="s">
        <v>39</v>
      </c>
      <c r="X1469" s="2" t="s">
        <v>39</v>
      </c>
      <c r="Y1469" s="2" t="s">
        <v>39</v>
      </c>
      <c r="Z1469" s="2" t="s">
        <v>38</v>
      </c>
      <c r="AA1469" s="2" t="s">
        <v>38</v>
      </c>
      <c r="AB1469" s="2" t="s">
        <v>39</v>
      </c>
      <c r="AC1469" s="2" t="s">
        <v>38</v>
      </c>
      <c r="AD1469" s="2" t="s">
        <v>38</v>
      </c>
      <c r="AE1469" s="2" t="s">
        <v>39</v>
      </c>
    </row>
    <row r="1470" spans="1:31" ht="409.5">
      <c r="A1470" s="2">
        <v>2737484</v>
      </c>
      <c r="B1470" s="2">
        <f>HYPERLINK("https://platform.v2.vetology.net/cases/2737484/screening-report/1?type=pdf&amp;v=v6&amp;scorecard=1&amp;secret_key=BX%25IJ%24%2F65ieZ%29f6", 2737484)</f>
        <v>2737484</v>
      </c>
      <c r="C1470" s="2">
        <f>HYPERLINK("https://platform.v2.vetology.net/report/v/final/"&amp;2737484, 2737484)</f>
        <v>2737484</v>
      </c>
      <c r="D1470" s="2" t="s">
        <v>4845</v>
      </c>
      <c r="E1470" s="2" t="s">
        <v>4846</v>
      </c>
      <c r="F1470" s="2" t="s">
        <v>2270</v>
      </c>
      <c r="G1470" s="2" t="s">
        <v>170</v>
      </c>
      <c r="H1470" s="2" t="s">
        <v>201</v>
      </c>
      <c r="I1470" s="2" t="s">
        <v>36</v>
      </c>
      <c r="J1470" s="2" t="s">
        <v>37</v>
      </c>
      <c r="K1470" s="2" t="s">
        <v>39</v>
      </c>
      <c r="L1470" s="2" t="s">
        <v>39</v>
      </c>
      <c r="M1470" s="2" t="s">
        <v>38</v>
      </c>
      <c r="N1470" s="2" t="s">
        <v>38</v>
      </c>
      <c r="O1470" s="2" t="s">
        <v>38</v>
      </c>
      <c r="P1470" s="2" t="s">
        <v>39</v>
      </c>
      <c r="Q1470" s="2" t="s">
        <v>39</v>
      </c>
      <c r="R1470" s="2" t="s">
        <v>39</v>
      </c>
      <c r="S1470" s="2" t="s">
        <v>39</v>
      </c>
      <c r="T1470" s="2" t="s">
        <v>38</v>
      </c>
      <c r="U1470" s="2" t="s">
        <v>39</v>
      </c>
      <c r="V1470" s="2" t="s">
        <v>39</v>
      </c>
      <c r="W1470" s="2" t="s">
        <v>39</v>
      </c>
      <c r="X1470" s="2" t="s">
        <v>39</v>
      </c>
      <c r="Y1470" s="2" t="s">
        <v>39</v>
      </c>
      <c r="Z1470" s="2" t="s">
        <v>38</v>
      </c>
      <c r="AA1470" s="2" t="s">
        <v>39</v>
      </c>
      <c r="AB1470" s="2" t="s">
        <v>39</v>
      </c>
      <c r="AC1470" s="2" t="s">
        <v>39</v>
      </c>
      <c r="AD1470" s="2" t="s">
        <v>38</v>
      </c>
      <c r="AE1470" s="2" t="s">
        <v>39</v>
      </c>
    </row>
    <row r="1471" spans="1:31" ht="409.5">
      <c r="A1471" s="2">
        <v>2737450</v>
      </c>
      <c r="B1471" s="2">
        <f>HYPERLINK("https://platform.v2.vetology.net/cases/2737450/screening-report/1?type=pdf&amp;v=v6&amp;scorecard=1&amp;secret_key=BX%25IJ%24%2F65ieZ%29f6", 2737450)</f>
        <v>2737450</v>
      </c>
      <c r="C1471" s="2">
        <f>HYPERLINK("https://platform.v2.vetology.net/report/v/final/"&amp;2737450, 2737450)</f>
        <v>2737450</v>
      </c>
      <c r="D1471" s="2" t="s">
        <v>4847</v>
      </c>
      <c r="E1471" s="2" t="s">
        <v>4848</v>
      </c>
      <c r="F1471" s="2" t="s">
        <v>4849</v>
      </c>
      <c r="G1471" s="2" t="s">
        <v>170</v>
      </c>
      <c r="H1471" s="2" t="s">
        <v>4850</v>
      </c>
      <c r="I1471" s="2" t="s">
        <v>73</v>
      </c>
      <c r="J1471" s="2" t="s">
        <v>74</v>
      </c>
      <c r="K1471" s="2" t="s">
        <v>38</v>
      </c>
      <c r="L1471" s="2" t="s">
        <v>38</v>
      </c>
      <c r="M1471" s="2" t="s">
        <v>38</v>
      </c>
      <c r="N1471" s="2" t="s">
        <v>38</v>
      </c>
      <c r="O1471" s="2" t="s">
        <v>38</v>
      </c>
      <c r="P1471" s="2" t="s">
        <v>38</v>
      </c>
      <c r="Q1471" s="2" t="s">
        <v>38</v>
      </c>
      <c r="R1471" s="2" t="s">
        <v>38</v>
      </c>
      <c r="S1471" s="2" t="s">
        <v>38</v>
      </c>
      <c r="T1471" s="2" t="s">
        <v>38</v>
      </c>
      <c r="U1471" s="2" t="s">
        <v>38</v>
      </c>
      <c r="V1471" s="2" t="s">
        <v>38</v>
      </c>
      <c r="W1471" s="2" t="s">
        <v>38</v>
      </c>
      <c r="X1471" s="2" t="s">
        <v>38</v>
      </c>
      <c r="Y1471" s="2" t="s">
        <v>38</v>
      </c>
      <c r="Z1471" s="2" t="s">
        <v>38</v>
      </c>
      <c r="AA1471" s="2" t="s">
        <v>38</v>
      </c>
      <c r="AB1471" s="2" t="s">
        <v>38</v>
      </c>
      <c r="AC1471" s="2" t="s">
        <v>38</v>
      </c>
      <c r="AD1471" s="2" t="s">
        <v>38</v>
      </c>
      <c r="AE1471" s="2" t="s">
        <v>39</v>
      </c>
    </row>
    <row r="1472" spans="1:31" ht="409.5">
      <c r="A1472" s="2">
        <v>2737444</v>
      </c>
      <c r="B1472" s="2">
        <f>HYPERLINK("https://platform.v2.vetology.net/cases/2737444/screening-report/1?type=pdf&amp;v=v6&amp;scorecard=1&amp;secret_key=BX%25IJ%24%2F65ieZ%29f6", 2737444)</f>
        <v>2737444</v>
      </c>
      <c r="C1472" s="2">
        <f>HYPERLINK("https://platform.v2.vetology.net/report/v/final/"&amp;2737444, 2737444)</f>
        <v>2737444</v>
      </c>
      <c r="D1472" s="2" t="s">
        <v>4851</v>
      </c>
      <c r="E1472" s="2" t="s">
        <v>4852</v>
      </c>
      <c r="F1472" s="2" t="s">
        <v>4853</v>
      </c>
      <c r="G1472" s="2" t="s">
        <v>44</v>
      </c>
      <c r="H1472" s="2" t="s">
        <v>4854</v>
      </c>
      <c r="I1472" s="2" t="s">
        <v>36</v>
      </c>
      <c r="J1472" s="2" t="s">
        <v>37</v>
      </c>
      <c r="K1472" s="2" t="s">
        <v>39</v>
      </c>
      <c r="L1472" s="2" t="s">
        <v>39</v>
      </c>
      <c r="M1472" s="2" t="s">
        <v>38</v>
      </c>
      <c r="N1472" s="2" t="s">
        <v>39</v>
      </c>
      <c r="O1472" s="2" t="s">
        <v>39</v>
      </c>
      <c r="P1472" s="2" t="s">
        <v>39</v>
      </c>
      <c r="Q1472" s="2" t="s">
        <v>39</v>
      </c>
      <c r="R1472" s="2" t="s">
        <v>39</v>
      </c>
      <c r="S1472" s="2" t="s">
        <v>39</v>
      </c>
      <c r="T1472" s="2" t="s">
        <v>38</v>
      </c>
      <c r="U1472" s="2" t="s">
        <v>39</v>
      </c>
      <c r="V1472" s="2" t="s">
        <v>39</v>
      </c>
      <c r="W1472" s="2" t="s">
        <v>39</v>
      </c>
      <c r="X1472" s="2" t="s">
        <v>39</v>
      </c>
      <c r="Y1472" s="2" t="s">
        <v>39</v>
      </c>
      <c r="Z1472" s="2" t="s">
        <v>38</v>
      </c>
      <c r="AA1472" s="2" t="s">
        <v>39</v>
      </c>
      <c r="AB1472" s="2" t="s">
        <v>39</v>
      </c>
      <c r="AC1472" s="2" t="s">
        <v>38</v>
      </c>
      <c r="AD1472" s="2" t="s">
        <v>38</v>
      </c>
      <c r="AE1472" s="2" t="s">
        <v>40</v>
      </c>
    </row>
    <row r="1473" spans="1:31" ht="409.5">
      <c r="A1473" s="2">
        <v>2737424</v>
      </c>
      <c r="B1473" s="2">
        <f>HYPERLINK("https://platform.v2.vetology.net/cases/2737424/screening-report/1?type=pdf&amp;v=v6&amp;scorecard=1&amp;secret_key=BX%25IJ%24%2F65ieZ%29f6", 2737424)</f>
        <v>2737424</v>
      </c>
      <c r="C1473" s="2">
        <f>HYPERLINK("https://platform.v2.vetology.net/report/v/final/"&amp;2737424, 2737424)</f>
        <v>2737424</v>
      </c>
      <c r="D1473" s="2" t="s">
        <v>4855</v>
      </c>
      <c r="E1473" s="2" t="s">
        <v>4856</v>
      </c>
      <c r="F1473" s="2" t="s">
        <v>43</v>
      </c>
      <c r="G1473" s="2" t="s">
        <v>507</v>
      </c>
      <c r="H1473" s="2" t="s">
        <v>4857</v>
      </c>
      <c r="I1473" s="2" t="s">
        <v>73</v>
      </c>
      <c r="J1473" s="2" t="s">
        <v>74</v>
      </c>
      <c r="K1473" s="2" t="s">
        <v>38</v>
      </c>
      <c r="L1473" s="2" t="s">
        <v>38</v>
      </c>
      <c r="M1473" s="2" t="s">
        <v>38</v>
      </c>
      <c r="N1473" s="2" t="s">
        <v>38</v>
      </c>
      <c r="O1473" s="2" t="s">
        <v>38</v>
      </c>
      <c r="P1473" s="2" t="s">
        <v>38</v>
      </c>
      <c r="Q1473" s="2" t="s">
        <v>38</v>
      </c>
      <c r="R1473" s="2" t="s">
        <v>38</v>
      </c>
      <c r="S1473" s="2" t="s">
        <v>38</v>
      </c>
      <c r="T1473" s="2" t="s">
        <v>38</v>
      </c>
      <c r="U1473" s="2" t="s">
        <v>38</v>
      </c>
      <c r="V1473" s="2" t="s">
        <v>38</v>
      </c>
      <c r="W1473" s="2" t="s">
        <v>38</v>
      </c>
      <c r="X1473" s="2" t="s">
        <v>38</v>
      </c>
      <c r="Y1473" s="2" t="s">
        <v>38</v>
      </c>
      <c r="Z1473" s="2" t="s">
        <v>38</v>
      </c>
      <c r="AA1473" s="2" t="s">
        <v>38</v>
      </c>
      <c r="AB1473" s="2" t="s">
        <v>38</v>
      </c>
      <c r="AC1473" s="2" t="s">
        <v>38</v>
      </c>
      <c r="AD1473" s="2" t="s">
        <v>38</v>
      </c>
      <c r="AE1473" s="2" t="s">
        <v>40</v>
      </c>
    </row>
    <row r="1474" spans="1:31" ht="409.5">
      <c r="A1474" s="2">
        <v>2737412</v>
      </c>
      <c r="B1474" s="2">
        <f>HYPERLINK("https://platform.v2.vetology.net/cases/2737412/screening-report/1?type=pdf&amp;v=v6&amp;scorecard=1&amp;secret_key=BX%25IJ%24%2F65ieZ%29f6", 2737412)</f>
        <v>2737412</v>
      </c>
      <c r="C1474" s="2">
        <f>HYPERLINK("https://platform.v2.vetology.net/report/v/final/"&amp;2737412, 2737412)</f>
        <v>2737412</v>
      </c>
      <c r="D1474" s="2" t="s">
        <v>4858</v>
      </c>
      <c r="E1474" s="2" t="s">
        <v>4859</v>
      </c>
      <c r="F1474" s="2" t="s">
        <v>4860</v>
      </c>
      <c r="G1474" s="2" t="s">
        <v>44</v>
      </c>
      <c r="H1474" s="2" t="s">
        <v>515</v>
      </c>
      <c r="I1474" s="2" t="s">
        <v>36</v>
      </c>
      <c r="J1474" s="2" t="s">
        <v>37</v>
      </c>
      <c r="K1474" s="2" t="s">
        <v>39</v>
      </c>
      <c r="L1474" s="2" t="s">
        <v>39</v>
      </c>
      <c r="M1474" s="2" t="s">
        <v>38</v>
      </c>
      <c r="N1474" s="2" t="s">
        <v>39</v>
      </c>
      <c r="O1474" s="2" t="s">
        <v>38</v>
      </c>
      <c r="P1474" s="2" t="s">
        <v>39</v>
      </c>
      <c r="Q1474" s="2" t="s">
        <v>39</v>
      </c>
      <c r="R1474" s="2" t="s">
        <v>39</v>
      </c>
      <c r="S1474" s="2" t="s">
        <v>39</v>
      </c>
      <c r="T1474" s="2" t="s">
        <v>38</v>
      </c>
      <c r="U1474" s="2" t="s">
        <v>39</v>
      </c>
      <c r="V1474" s="2" t="s">
        <v>39</v>
      </c>
      <c r="W1474" s="2" t="s">
        <v>38</v>
      </c>
      <c r="X1474" s="2" t="s">
        <v>39</v>
      </c>
      <c r="Y1474" s="2" t="s">
        <v>39</v>
      </c>
      <c r="Z1474" s="2" t="s">
        <v>38</v>
      </c>
      <c r="AA1474" s="2" t="s">
        <v>39</v>
      </c>
      <c r="AB1474" s="2" t="s">
        <v>39</v>
      </c>
      <c r="AC1474" s="2" t="s">
        <v>38</v>
      </c>
      <c r="AD1474" s="2" t="s">
        <v>39</v>
      </c>
      <c r="AE1474" s="2" t="s">
        <v>40</v>
      </c>
    </row>
    <row r="1475" spans="1:31" ht="409.5">
      <c r="A1475" s="2">
        <v>2737407</v>
      </c>
      <c r="B1475" s="2">
        <f>HYPERLINK("https://platform.v2.vetology.net/cases/2737407/screening-report/1?type=pdf&amp;v=v6&amp;scorecard=1&amp;secret_key=BX%25IJ%24%2F65ieZ%29f6", 2737407)</f>
        <v>2737407</v>
      </c>
      <c r="C1475" s="2">
        <f>HYPERLINK("https://platform.v2.vetology.net/report/v/final/"&amp;2737407, 2737407)</f>
        <v>2737407</v>
      </c>
      <c r="D1475" s="2" t="s">
        <v>4861</v>
      </c>
      <c r="E1475" s="2" t="s">
        <v>4862</v>
      </c>
      <c r="F1475" s="2" t="s">
        <v>4863</v>
      </c>
      <c r="G1475" s="2" t="s">
        <v>170</v>
      </c>
      <c r="H1475" s="2" t="s">
        <v>4864</v>
      </c>
      <c r="I1475" s="2" t="s">
        <v>129</v>
      </c>
      <c r="J1475" s="2" t="s">
        <v>74</v>
      </c>
      <c r="K1475" s="2" t="s">
        <v>39</v>
      </c>
      <c r="L1475" s="2" t="s">
        <v>39</v>
      </c>
      <c r="M1475" s="2" t="s">
        <v>38</v>
      </c>
      <c r="N1475" s="2" t="s">
        <v>38</v>
      </c>
      <c r="O1475" s="2" t="s">
        <v>38</v>
      </c>
      <c r="P1475" s="2" t="s">
        <v>38</v>
      </c>
      <c r="Q1475" s="2" t="s">
        <v>38</v>
      </c>
      <c r="R1475" s="2" t="s">
        <v>39</v>
      </c>
      <c r="S1475" s="2" t="s">
        <v>39</v>
      </c>
      <c r="T1475" s="2" t="s">
        <v>38</v>
      </c>
      <c r="U1475" s="2" t="s">
        <v>39</v>
      </c>
      <c r="V1475" s="2" t="s">
        <v>39</v>
      </c>
      <c r="W1475" s="2" t="s">
        <v>38</v>
      </c>
      <c r="X1475" s="2" t="s">
        <v>38</v>
      </c>
      <c r="Y1475" s="2" t="s">
        <v>39</v>
      </c>
      <c r="Z1475" s="2" t="s">
        <v>38</v>
      </c>
      <c r="AA1475" s="2" t="s">
        <v>39</v>
      </c>
      <c r="AB1475" s="2" t="s">
        <v>39</v>
      </c>
      <c r="AC1475" s="2" t="s">
        <v>38</v>
      </c>
      <c r="AD1475" s="2" t="s">
        <v>38</v>
      </c>
      <c r="AE1475" s="2" t="s">
        <v>40</v>
      </c>
    </row>
    <row r="1476" spans="1:31" ht="409.5">
      <c r="A1476" s="2">
        <v>2737369</v>
      </c>
      <c r="B1476" s="2">
        <f>HYPERLINK("https://platform.v2.vetology.net/cases/2737369/screening-report/1?type=pdf&amp;v=v6&amp;scorecard=1&amp;secret_key=BX%25IJ%24%2F65ieZ%29f6", 2737369)</f>
        <v>2737369</v>
      </c>
      <c r="C1476" s="2">
        <f>HYPERLINK("https://platform.v2.vetology.net/report/v/final/"&amp;2737369, 2737369)</f>
        <v>2737369</v>
      </c>
      <c r="D1476" s="2" t="s">
        <v>4865</v>
      </c>
      <c r="E1476" s="2" t="s">
        <v>4866</v>
      </c>
      <c r="F1476" s="2" t="s">
        <v>4867</v>
      </c>
      <c r="G1476" s="2" t="s">
        <v>170</v>
      </c>
      <c r="H1476" s="2" t="s">
        <v>69</v>
      </c>
      <c r="I1476" s="2" t="s">
        <v>46</v>
      </c>
      <c r="J1476" s="2"/>
      <c r="K1476" s="2" t="s">
        <v>39</v>
      </c>
      <c r="L1476" s="2" t="s">
        <v>39</v>
      </c>
      <c r="M1476" s="2" t="s">
        <v>39</v>
      </c>
      <c r="N1476" s="2" t="s">
        <v>39</v>
      </c>
      <c r="O1476" s="2" t="s">
        <v>39</v>
      </c>
      <c r="P1476" s="2" t="s">
        <v>39</v>
      </c>
      <c r="Q1476" s="2" t="s">
        <v>39</v>
      </c>
      <c r="R1476" s="2" t="s">
        <v>39</v>
      </c>
      <c r="S1476" s="2" t="s">
        <v>39</v>
      </c>
      <c r="T1476" s="2" t="s">
        <v>39</v>
      </c>
      <c r="U1476" s="2" t="s">
        <v>39</v>
      </c>
      <c r="V1476" s="2" t="s">
        <v>39</v>
      </c>
      <c r="W1476" s="2" t="s">
        <v>39</v>
      </c>
      <c r="X1476" s="2" t="s">
        <v>39</v>
      </c>
      <c r="Y1476" s="2" t="s">
        <v>39</v>
      </c>
      <c r="Z1476" s="2" t="s">
        <v>39</v>
      </c>
      <c r="AA1476" s="2" t="s">
        <v>39</v>
      </c>
      <c r="AB1476" s="2" t="s">
        <v>39</v>
      </c>
      <c r="AC1476" s="2" t="s">
        <v>39</v>
      </c>
      <c r="AD1476" s="2" t="s">
        <v>39</v>
      </c>
      <c r="AE1476" s="2" t="s">
        <v>39</v>
      </c>
    </row>
    <row r="1477" spans="1:31" ht="409.5">
      <c r="A1477" s="2">
        <v>2737361</v>
      </c>
      <c r="B1477" s="2">
        <f>HYPERLINK("https://platform.v2.vetology.net/cases/2737361/screening-report/1?type=pdf&amp;v=v6&amp;scorecard=1&amp;secret_key=BX%25IJ%24%2F65ieZ%29f6", 2737361)</f>
        <v>2737361</v>
      </c>
      <c r="C1477" s="2">
        <f>HYPERLINK("https://platform.v2.vetology.net/report/v/final/"&amp;2737361, 2737361)</f>
        <v>2737361</v>
      </c>
      <c r="D1477" s="2" t="s">
        <v>4868</v>
      </c>
      <c r="E1477" s="2" t="s">
        <v>4869</v>
      </c>
      <c r="F1477" s="2" t="s">
        <v>4870</v>
      </c>
      <c r="G1477" s="2" t="s">
        <v>507</v>
      </c>
      <c r="H1477" s="2" t="s">
        <v>4871</v>
      </c>
      <c r="I1477" s="2" t="s">
        <v>257</v>
      </c>
      <c r="J1477" s="2" t="s">
        <v>74</v>
      </c>
      <c r="K1477" s="2" t="s">
        <v>38</v>
      </c>
      <c r="L1477" s="2" t="s">
        <v>38</v>
      </c>
      <c r="M1477" s="2" t="s">
        <v>38</v>
      </c>
      <c r="N1477" s="2" t="s">
        <v>38</v>
      </c>
      <c r="O1477" s="2" t="s">
        <v>38</v>
      </c>
      <c r="P1477" s="2" t="s">
        <v>39</v>
      </c>
      <c r="Q1477" s="2" t="s">
        <v>38</v>
      </c>
      <c r="R1477" s="2" t="s">
        <v>38</v>
      </c>
      <c r="S1477" s="2" t="s">
        <v>38</v>
      </c>
      <c r="T1477" s="2" t="s">
        <v>38</v>
      </c>
      <c r="U1477" s="2" t="s">
        <v>38</v>
      </c>
      <c r="V1477" s="2" t="s">
        <v>38</v>
      </c>
      <c r="W1477" s="2" t="s">
        <v>38</v>
      </c>
      <c r="X1477" s="2" t="s">
        <v>38</v>
      </c>
      <c r="Y1477" s="2" t="s">
        <v>39</v>
      </c>
      <c r="Z1477" s="2" t="s">
        <v>38</v>
      </c>
      <c r="AA1477" s="2" t="s">
        <v>38</v>
      </c>
      <c r="AB1477" s="2" t="s">
        <v>38</v>
      </c>
      <c r="AC1477" s="2" t="s">
        <v>38</v>
      </c>
      <c r="AD1477" s="2" t="s">
        <v>39</v>
      </c>
      <c r="AE1477" s="2" t="s">
        <v>40</v>
      </c>
    </row>
    <row r="1478" spans="1:31" ht="409.5">
      <c r="A1478" s="2">
        <v>2737359</v>
      </c>
      <c r="B1478" s="2">
        <f>HYPERLINK("https://platform.v2.vetology.net/cases/2737359/screening-report/1?type=pdf&amp;v=v6&amp;scorecard=1&amp;secret_key=BX%25IJ%24%2F65ieZ%29f6", 2737359)</f>
        <v>2737359</v>
      </c>
      <c r="C1478" s="2">
        <f>HYPERLINK("https://platform.v2.vetology.net/report/v/final/"&amp;2737359, 2737359)</f>
        <v>2737359</v>
      </c>
      <c r="D1478" s="2" t="s">
        <v>4872</v>
      </c>
      <c r="E1478" s="2" t="s">
        <v>4873</v>
      </c>
      <c r="F1478" s="2" t="s">
        <v>4874</v>
      </c>
      <c r="G1478" s="2" t="s">
        <v>170</v>
      </c>
      <c r="H1478" s="2" t="s">
        <v>1681</v>
      </c>
      <c r="I1478" s="2" t="s">
        <v>59</v>
      </c>
      <c r="J1478" s="2" t="s">
        <v>37</v>
      </c>
      <c r="K1478" s="2" t="s">
        <v>38</v>
      </c>
      <c r="L1478" s="2" t="s">
        <v>39</v>
      </c>
      <c r="M1478" s="2" t="s">
        <v>39</v>
      </c>
      <c r="N1478" s="2" t="s">
        <v>39</v>
      </c>
      <c r="O1478" s="2" t="s">
        <v>39</v>
      </c>
      <c r="P1478" s="2" t="s">
        <v>39</v>
      </c>
      <c r="Q1478" s="2" t="s">
        <v>39</v>
      </c>
      <c r="R1478" s="2" t="s">
        <v>39</v>
      </c>
      <c r="S1478" s="2" t="s">
        <v>38</v>
      </c>
      <c r="T1478" s="2" t="s">
        <v>38</v>
      </c>
      <c r="U1478" s="2" t="s">
        <v>39</v>
      </c>
      <c r="V1478" s="2" t="s">
        <v>38</v>
      </c>
      <c r="W1478" s="2" t="s">
        <v>39</v>
      </c>
      <c r="X1478" s="2" t="s">
        <v>39</v>
      </c>
      <c r="Y1478" s="2" t="s">
        <v>39</v>
      </c>
      <c r="Z1478" s="2" t="s">
        <v>38</v>
      </c>
      <c r="AA1478" s="2" t="s">
        <v>39</v>
      </c>
      <c r="AB1478" s="2" t="s">
        <v>39</v>
      </c>
      <c r="AC1478" s="2" t="s">
        <v>39</v>
      </c>
      <c r="AD1478" s="2" t="s">
        <v>38</v>
      </c>
      <c r="AE1478" s="2" t="s">
        <v>39</v>
      </c>
    </row>
    <row r="1479" spans="1:31" ht="409.5">
      <c r="A1479" s="2">
        <v>2737236</v>
      </c>
      <c r="B1479" s="2">
        <f>HYPERLINK("https://platform.v2.vetology.net/cases/2737236/screening-report/1?type=pdf&amp;v=v6&amp;scorecard=1&amp;secret_key=BX%25IJ%24%2F65ieZ%29f6", 2737236)</f>
        <v>2737236</v>
      </c>
      <c r="C1479" s="2">
        <f>HYPERLINK("https://platform.v2.vetology.net/report/v/final/"&amp;2737236, 2737236)</f>
        <v>2737236</v>
      </c>
      <c r="D1479" s="2" t="s">
        <v>4875</v>
      </c>
      <c r="E1479" s="2" t="s">
        <v>4876</v>
      </c>
      <c r="F1479" s="2" t="s">
        <v>43</v>
      </c>
      <c r="G1479" s="2" t="s">
        <v>507</v>
      </c>
      <c r="H1479" s="2" t="s">
        <v>947</v>
      </c>
      <c r="I1479" s="2" t="s">
        <v>59</v>
      </c>
      <c r="J1479" s="2" t="s">
        <v>37</v>
      </c>
      <c r="K1479" s="2" t="s">
        <v>38</v>
      </c>
      <c r="L1479" s="2" t="s">
        <v>39</v>
      </c>
      <c r="M1479" s="2" t="s">
        <v>39</v>
      </c>
      <c r="N1479" s="2" t="s">
        <v>39</v>
      </c>
      <c r="O1479" s="2" t="s">
        <v>39</v>
      </c>
      <c r="P1479" s="2" t="s">
        <v>39</v>
      </c>
      <c r="Q1479" s="2" t="s">
        <v>39</v>
      </c>
      <c r="R1479" s="2" t="s">
        <v>38</v>
      </c>
      <c r="S1479" s="2" t="s">
        <v>38</v>
      </c>
      <c r="T1479" s="2" t="s">
        <v>38</v>
      </c>
      <c r="U1479" s="2" t="s">
        <v>38</v>
      </c>
      <c r="V1479" s="2" t="s">
        <v>38</v>
      </c>
      <c r="W1479" s="2" t="s">
        <v>38</v>
      </c>
      <c r="X1479" s="2" t="s">
        <v>39</v>
      </c>
      <c r="Y1479" s="2" t="s">
        <v>39</v>
      </c>
      <c r="Z1479" s="2" t="s">
        <v>38</v>
      </c>
      <c r="AA1479" s="2" t="s">
        <v>39</v>
      </c>
      <c r="AB1479" s="2" t="s">
        <v>39</v>
      </c>
      <c r="AC1479" s="2" t="s">
        <v>39</v>
      </c>
      <c r="AD1479" s="2" t="s">
        <v>38</v>
      </c>
      <c r="AE1479" s="2" t="s">
        <v>39</v>
      </c>
    </row>
    <row r="1480" spans="1:31" ht="409.5">
      <c r="A1480" s="2">
        <v>2737235</v>
      </c>
      <c r="B1480" s="2">
        <f>HYPERLINK("https://platform.v2.vetology.net/cases/2737235/screening-report/1?type=pdf&amp;v=v6&amp;scorecard=1&amp;secret_key=BX%25IJ%24%2F65ieZ%29f6", 2737235)</f>
        <v>2737235</v>
      </c>
      <c r="C1480" s="2">
        <f>HYPERLINK("https://platform.v2.vetology.net/report/v/final/"&amp;2737235, 2737235)</f>
        <v>2737235</v>
      </c>
      <c r="D1480" s="2" t="s">
        <v>4877</v>
      </c>
      <c r="E1480" s="2" t="s">
        <v>4878</v>
      </c>
      <c r="F1480" s="2" t="s">
        <v>4879</v>
      </c>
      <c r="G1480" s="2" t="s">
        <v>53</v>
      </c>
      <c r="H1480" s="2" t="s">
        <v>4880</v>
      </c>
      <c r="I1480" s="2" t="s">
        <v>36</v>
      </c>
      <c r="J1480" s="2" t="s">
        <v>37</v>
      </c>
      <c r="K1480" s="2" t="s">
        <v>38</v>
      </c>
      <c r="L1480" s="2" t="s">
        <v>38</v>
      </c>
      <c r="M1480" s="2" t="s">
        <v>38</v>
      </c>
      <c r="N1480" s="2" t="s">
        <v>38</v>
      </c>
      <c r="O1480" s="2" t="s">
        <v>38</v>
      </c>
      <c r="P1480" s="2" t="s">
        <v>38</v>
      </c>
      <c r="Q1480" s="2" t="s">
        <v>39</v>
      </c>
      <c r="R1480" s="2" t="s">
        <v>38</v>
      </c>
      <c r="S1480" s="2" t="s">
        <v>38</v>
      </c>
      <c r="T1480" s="2" t="s">
        <v>38</v>
      </c>
      <c r="U1480" s="2" t="s">
        <v>38</v>
      </c>
      <c r="V1480" s="2" t="s">
        <v>38</v>
      </c>
      <c r="W1480" s="2" t="s">
        <v>38</v>
      </c>
      <c r="X1480" s="2" t="s">
        <v>39</v>
      </c>
      <c r="Y1480" s="2" t="s">
        <v>39</v>
      </c>
      <c r="Z1480" s="2" t="s">
        <v>38</v>
      </c>
      <c r="AA1480" s="2" t="s">
        <v>38</v>
      </c>
      <c r="AB1480" s="2" t="s">
        <v>39</v>
      </c>
      <c r="AC1480" s="2" t="s">
        <v>38</v>
      </c>
      <c r="AD1480" s="2" t="s">
        <v>39</v>
      </c>
      <c r="AE1480" s="2" t="s">
        <v>40</v>
      </c>
    </row>
    <row r="1481" spans="1:31" ht="409.5">
      <c r="A1481" s="2">
        <v>2737234</v>
      </c>
      <c r="B1481" s="2">
        <f>HYPERLINK("https://platform.v2.vetology.net/cases/2737234/screening-report/1?type=pdf&amp;v=v6&amp;scorecard=1&amp;secret_key=BX%25IJ%24%2F65ieZ%29f6", 2737234)</f>
        <v>2737234</v>
      </c>
      <c r="C1481" s="2">
        <f>HYPERLINK("https://platform.v2.vetology.net/report/v/final/"&amp;2737234, 2737234)</f>
        <v>2737234</v>
      </c>
      <c r="D1481" s="2" t="s">
        <v>4881</v>
      </c>
      <c r="E1481" s="2" t="s">
        <v>4882</v>
      </c>
      <c r="F1481" s="2" t="s">
        <v>43</v>
      </c>
      <c r="G1481" s="2" t="s">
        <v>100</v>
      </c>
      <c r="H1481" s="2" t="s">
        <v>4883</v>
      </c>
      <c r="I1481" s="2" t="s">
        <v>257</v>
      </c>
      <c r="J1481" s="2" t="s">
        <v>74</v>
      </c>
      <c r="K1481" s="2" t="s">
        <v>38</v>
      </c>
      <c r="L1481" s="2" t="s">
        <v>38</v>
      </c>
      <c r="M1481" s="2" t="s">
        <v>38</v>
      </c>
      <c r="N1481" s="2" t="s">
        <v>38</v>
      </c>
      <c r="O1481" s="2" t="s">
        <v>38</v>
      </c>
      <c r="P1481" s="2" t="s">
        <v>38</v>
      </c>
      <c r="Q1481" s="2" t="s">
        <v>38</v>
      </c>
      <c r="R1481" s="2" t="s">
        <v>38</v>
      </c>
      <c r="S1481" s="2" t="s">
        <v>38</v>
      </c>
      <c r="T1481" s="2" t="s">
        <v>38</v>
      </c>
      <c r="U1481" s="2" t="s">
        <v>39</v>
      </c>
      <c r="V1481" s="2" t="s">
        <v>38</v>
      </c>
      <c r="W1481" s="2" t="s">
        <v>38</v>
      </c>
      <c r="X1481" s="2" t="s">
        <v>38</v>
      </c>
      <c r="Y1481" s="2" t="s">
        <v>38</v>
      </c>
      <c r="Z1481" s="2" t="s">
        <v>38</v>
      </c>
      <c r="AA1481" s="2" t="s">
        <v>38</v>
      </c>
      <c r="AB1481" s="2" t="s">
        <v>38</v>
      </c>
      <c r="AC1481" s="2" t="s">
        <v>38</v>
      </c>
      <c r="AD1481" s="2" t="s">
        <v>39</v>
      </c>
      <c r="AE1481" s="2" t="s">
        <v>39</v>
      </c>
    </row>
    <row r="1482" spans="1:31" ht="409.5">
      <c r="A1482" s="2">
        <v>2737228</v>
      </c>
      <c r="B1482" s="2">
        <f>HYPERLINK("https://platform.v2.vetology.net/cases/2737228/screening-report/1?type=pdf&amp;v=v6&amp;scorecard=1&amp;secret_key=BX%25IJ%24%2F65ieZ%29f6", 2737228)</f>
        <v>2737228</v>
      </c>
      <c r="C1482" s="2">
        <f>HYPERLINK("https://platform.v2.vetology.net/report/v/final/"&amp;2737228, 2737228)</f>
        <v>2737228</v>
      </c>
      <c r="D1482" s="2" t="s">
        <v>4884</v>
      </c>
      <c r="E1482" s="2" t="s">
        <v>4885</v>
      </c>
      <c r="F1482" s="2" t="s">
        <v>4886</v>
      </c>
      <c r="G1482" s="2" t="s">
        <v>251</v>
      </c>
      <c r="H1482" s="2" t="s">
        <v>69</v>
      </c>
      <c r="I1482" s="2" t="s">
        <v>46</v>
      </c>
      <c r="J1482" s="2"/>
      <c r="K1482" s="2" t="s">
        <v>39</v>
      </c>
      <c r="L1482" s="2" t="s">
        <v>39</v>
      </c>
      <c r="M1482" s="2" t="s">
        <v>39</v>
      </c>
      <c r="N1482" s="2" t="s">
        <v>39</v>
      </c>
      <c r="O1482" s="2" t="s">
        <v>39</v>
      </c>
      <c r="P1482" s="2" t="s">
        <v>39</v>
      </c>
      <c r="Q1482" s="2" t="s">
        <v>39</v>
      </c>
      <c r="R1482" s="2" t="s">
        <v>39</v>
      </c>
      <c r="S1482" s="2" t="s">
        <v>39</v>
      </c>
      <c r="T1482" s="2" t="s">
        <v>39</v>
      </c>
      <c r="U1482" s="2" t="s">
        <v>39</v>
      </c>
      <c r="V1482" s="2" t="s">
        <v>39</v>
      </c>
      <c r="W1482" s="2" t="s">
        <v>39</v>
      </c>
      <c r="X1482" s="2" t="s">
        <v>39</v>
      </c>
      <c r="Y1482" s="2" t="s">
        <v>39</v>
      </c>
      <c r="Z1482" s="2" t="s">
        <v>38</v>
      </c>
      <c r="AA1482" s="2" t="s">
        <v>39</v>
      </c>
      <c r="AB1482" s="2" t="s">
        <v>39</v>
      </c>
      <c r="AC1482" s="2" t="s">
        <v>38</v>
      </c>
      <c r="AD1482" s="2" t="s">
        <v>39</v>
      </c>
      <c r="AE1482" s="2" t="s">
        <v>40</v>
      </c>
    </row>
    <row r="1483" spans="1:31" ht="409.5">
      <c r="A1483" s="2">
        <v>2737227</v>
      </c>
      <c r="B1483" s="2">
        <f>HYPERLINK("https://platform.v2.vetology.net/cases/2737227/screening-report/1?type=pdf&amp;v=v6&amp;scorecard=1&amp;secret_key=BX%25IJ%24%2F65ieZ%29f6", 2737227)</f>
        <v>2737227</v>
      </c>
      <c r="C1483" s="2">
        <f>HYPERLINK("https://platform.v2.vetology.net/report/v/final/"&amp;2737227, 2737227)</f>
        <v>2737227</v>
      </c>
      <c r="D1483" s="2" t="s">
        <v>4887</v>
      </c>
      <c r="E1483" s="2" t="s">
        <v>4888</v>
      </c>
      <c r="F1483" s="2" t="s">
        <v>43</v>
      </c>
      <c r="G1483" s="2" t="s">
        <v>507</v>
      </c>
      <c r="H1483" s="2" t="s">
        <v>4889</v>
      </c>
      <c r="I1483" s="2" t="s">
        <v>36</v>
      </c>
      <c r="J1483" s="2" t="s">
        <v>37</v>
      </c>
      <c r="K1483" s="2" t="s">
        <v>39</v>
      </c>
      <c r="L1483" s="2" t="s">
        <v>38</v>
      </c>
      <c r="M1483" s="2" t="s">
        <v>38</v>
      </c>
      <c r="N1483" s="2" t="s">
        <v>38</v>
      </c>
      <c r="O1483" s="2" t="s">
        <v>38</v>
      </c>
      <c r="P1483" s="2" t="s">
        <v>39</v>
      </c>
      <c r="Q1483" s="2" t="s">
        <v>39</v>
      </c>
      <c r="R1483" s="2" t="s">
        <v>38</v>
      </c>
      <c r="S1483" s="2" t="s">
        <v>38</v>
      </c>
      <c r="T1483" s="2" t="s">
        <v>39</v>
      </c>
      <c r="U1483" s="2" t="s">
        <v>38</v>
      </c>
      <c r="V1483" s="2" t="s">
        <v>39</v>
      </c>
      <c r="W1483" s="2" t="s">
        <v>38</v>
      </c>
      <c r="X1483" s="2" t="s">
        <v>38</v>
      </c>
      <c r="Y1483" s="2" t="s">
        <v>39</v>
      </c>
      <c r="Z1483" s="2" t="s">
        <v>38</v>
      </c>
      <c r="AA1483" s="2" t="s">
        <v>38</v>
      </c>
      <c r="AB1483" s="2" t="s">
        <v>38</v>
      </c>
      <c r="AC1483" s="2" t="s">
        <v>38</v>
      </c>
      <c r="AD1483" s="2" t="s">
        <v>38</v>
      </c>
      <c r="AE1483" s="2"/>
    </row>
    <row r="1484" spans="1:31" ht="409.5">
      <c r="A1484" s="2">
        <v>2737208</v>
      </c>
      <c r="B1484" s="2">
        <f>HYPERLINK("https://platform.v2.vetology.net/cases/2737208/screening-report/1?type=pdf&amp;v=v6&amp;scorecard=1&amp;secret_key=BX%25IJ%24%2F65ieZ%29f6", 2737208)</f>
        <v>2737208</v>
      </c>
      <c r="C1484" s="2">
        <f>HYPERLINK("https://platform.v2.vetology.net/report/v/final/"&amp;2737208, 2737208)</f>
        <v>2737208</v>
      </c>
      <c r="D1484" s="2" t="s">
        <v>4890</v>
      </c>
      <c r="E1484" s="2" t="s">
        <v>4891</v>
      </c>
      <c r="F1484" s="2"/>
      <c r="G1484" s="2" t="s">
        <v>81</v>
      </c>
      <c r="H1484" s="2" t="s">
        <v>4892</v>
      </c>
      <c r="I1484" s="2" t="s">
        <v>36</v>
      </c>
      <c r="J1484" s="2" t="s">
        <v>37</v>
      </c>
      <c r="K1484" s="2" t="s">
        <v>38</v>
      </c>
      <c r="L1484" s="2" t="s">
        <v>38</v>
      </c>
      <c r="M1484" s="2" t="s">
        <v>39</v>
      </c>
      <c r="N1484" s="2" t="s">
        <v>38</v>
      </c>
      <c r="O1484" s="2" t="s">
        <v>39</v>
      </c>
      <c r="P1484" s="2" t="s">
        <v>39</v>
      </c>
      <c r="Q1484" s="2" t="s">
        <v>39</v>
      </c>
      <c r="R1484" s="2" t="s">
        <v>39</v>
      </c>
      <c r="S1484" s="2" t="s">
        <v>38</v>
      </c>
      <c r="T1484" s="2" t="s">
        <v>39</v>
      </c>
      <c r="U1484" s="2" t="s">
        <v>38</v>
      </c>
      <c r="V1484" s="2" t="s">
        <v>38</v>
      </c>
      <c r="W1484" s="2" t="s">
        <v>38</v>
      </c>
      <c r="X1484" s="2" t="s">
        <v>39</v>
      </c>
      <c r="Y1484" s="2" t="s">
        <v>39</v>
      </c>
      <c r="Z1484" s="2" t="s">
        <v>38</v>
      </c>
      <c r="AA1484" s="2" t="s">
        <v>38</v>
      </c>
      <c r="AB1484" s="2" t="s">
        <v>39</v>
      </c>
      <c r="AC1484" s="2" t="s">
        <v>39</v>
      </c>
      <c r="AD1484" s="2" t="s">
        <v>39</v>
      </c>
      <c r="AE1484" s="2" t="s">
        <v>40</v>
      </c>
    </row>
    <row r="1485" spans="1:31" ht="409.5">
      <c r="A1485" s="2">
        <v>2737181</v>
      </c>
      <c r="B1485" s="2">
        <f>HYPERLINK("https://platform.v2.vetology.net/cases/2737181/screening-report/1?type=pdf&amp;v=v6&amp;scorecard=1&amp;secret_key=BX%25IJ%24%2F65ieZ%29f6", 2737181)</f>
        <v>2737181</v>
      </c>
      <c r="C1485" s="2">
        <f>HYPERLINK("https://platform.v2.vetology.net/report/v/final/"&amp;2737181, 2737181)</f>
        <v>2737181</v>
      </c>
      <c r="D1485" s="2" t="s">
        <v>4893</v>
      </c>
      <c r="E1485" s="2" t="s">
        <v>4894</v>
      </c>
      <c r="F1485" s="2" t="s">
        <v>4895</v>
      </c>
      <c r="G1485" s="2" t="s">
        <v>53</v>
      </c>
      <c r="H1485" s="2" t="s">
        <v>2479</v>
      </c>
      <c r="I1485" s="2" t="s">
        <v>36</v>
      </c>
      <c r="J1485" s="2" t="s">
        <v>37</v>
      </c>
      <c r="K1485" s="2" t="s">
        <v>38</v>
      </c>
      <c r="L1485" s="2" t="s">
        <v>39</v>
      </c>
      <c r="M1485" s="2" t="s">
        <v>38</v>
      </c>
      <c r="N1485" s="2" t="s">
        <v>38</v>
      </c>
      <c r="O1485" s="2" t="s">
        <v>38</v>
      </c>
      <c r="P1485" s="2" t="s">
        <v>39</v>
      </c>
      <c r="Q1485" s="2" t="s">
        <v>39</v>
      </c>
      <c r="R1485" s="2" t="s">
        <v>38</v>
      </c>
      <c r="S1485" s="2" t="s">
        <v>38</v>
      </c>
      <c r="T1485" s="2" t="s">
        <v>39</v>
      </c>
      <c r="U1485" s="2" t="s">
        <v>38</v>
      </c>
      <c r="V1485" s="2" t="s">
        <v>38</v>
      </c>
      <c r="W1485" s="2" t="s">
        <v>38</v>
      </c>
      <c r="X1485" s="2" t="s">
        <v>38</v>
      </c>
      <c r="Y1485" s="2" t="s">
        <v>39</v>
      </c>
      <c r="Z1485" s="2" t="s">
        <v>38</v>
      </c>
      <c r="AA1485" s="2" t="s">
        <v>38</v>
      </c>
      <c r="AB1485" s="2" t="s">
        <v>39</v>
      </c>
      <c r="AC1485" s="2" t="s">
        <v>38</v>
      </c>
      <c r="AD1485" s="2" t="s">
        <v>39</v>
      </c>
      <c r="AE1485" s="2" t="s">
        <v>40</v>
      </c>
    </row>
    <row r="1486" spans="1:31" ht="409.5">
      <c r="A1486" s="2">
        <v>2737180</v>
      </c>
      <c r="B1486" s="2">
        <f>HYPERLINK("https://platform.v2.vetology.net/cases/2737180/screening-report/1?type=pdf&amp;v=v6&amp;scorecard=1&amp;secret_key=BX%25IJ%24%2F65ieZ%29f6", 2737180)</f>
        <v>2737180</v>
      </c>
      <c r="C1486" s="2">
        <f>HYPERLINK("https://platform.v2.vetology.net/report/v/final/"&amp;2737180, 2737180)</f>
        <v>2737180</v>
      </c>
      <c r="D1486" s="2" t="s">
        <v>4896</v>
      </c>
      <c r="E1486" s="2" t="s">
        <v>4897</v>
      </c>
      <c r="F1486" s="2" t="s">
        <v>4898</v>
      </c>
      <c r="G1486" s="2" t="s">
        <v>53</v>
      </c>
      <c r="H1486" s="2" t="s">
        <v>4899</v>
      </c>
      <c r="I1486" s="2" t="s">
        <v>36</v>
      </c>
      <c r="J1486" s="2" t="s">
        <v>37</v>
      </c>
      <c r="K1486" s="2" t="s">
        <v>38</v>
      </c>
      <c r="L1486" s="2" t="s">
        <v>38</v>
      </c>
      <c r="M1486" s="2" t="s">
        <v>39</v>
      </c>
      <c r="N1486" s="2" t="s">
        <v>38</v>
      </c>
      <c r="O1486" s="2" t="s">
        <v>38</v>
      </c>
      <c r="P1486" s="2" t="s">
        <v>39</v>
      </c>
      <c r="Q1486" s="2" t="s">
        <v>39</v>
      </c>
      <c r="R1486" s="2" t="s">
        <v>38</v>
      </c>
      <c r="S1486" s="2" t="s">
        <v>38</v>
      </c>
      <c r="T1486" s="2" t="s">
        <v>39</v>
      </c>
      <c r="U1486" s="2" t="s">
        <v>38</v>
      </c>
      <c r="V1486" s="2" t="s">
        <v>38</v>
      </c>
      <c r="W1486" s="2" t="s">
        <v>38</v>
      </c>
      <c r="X1486" s="2" t="s">
        <v>39</v>
      </c>
      <c r="Y1486" s="2" t="s">
        <v>38</v>
      </c>
      <c r="Z1486" s="2" t="s">
        <v>38</v>
      </c>
      <c r="AA1486" s="2" t="s">
        <v>38</v>
      </c>
      <c r="AB1486" s="2" t="s">
        <v>39</v>
      </c>
      <c r="AC1486" s="2" t="s">
        <v>38</v>
      </c>
      <c r="AD1486" s="2" t="s">
        <v>38</v>
      </c>
      <c r="AE1486" s="2"/>
    </row>
    <row r="1487" spans="1:31" ht="409.5">
      <c r="A1487" s="2">
        <v>2737175</v>
      </c>
      <c r="B1487" s="2">
        <f>HYPERLINK("https://platform.v2.vetology.net/cases/2737175/screening-report/1?type=pdf&amp;v=v6&amp;scorecard=1&amp;secret_key=BX%25IJ%24%2F65ieZ%29f6", 2737175)</f>
        <v>2737175</v>
      </c>
      <c r="C1487" s="2">
        <f>HYPERLINK("https://platform.v2.vetology.net/report/v/final/"&amp;2737175, 2737175)</f>
        <v>2737175</v>
      </c>
      <c r="D1487" s="2" t="s">
        <v>4900</v>
      </c>
      <c r="E1487" s="2" t="s">
        <v>4901</v>
      </c>
      <c r="F1487" s="2" t="s">
        <v>4902</v>
      </c>
      <c r="G1487" s="2" t="s">
        <v>170</v>
      </c>
      <c r="H1487" s="2" t="s">
        <v>4903</v>
      </c>
      <c r="I1487" s="2" t="s">
        <v>129</v>
      </c>
      <c r="J1487" s="2" t="s">
        <v>74</v>
      </c>
      <c r="K1487" s="2" t="s">
        <v>39</v>
      </c>
      <c r="L1487" s="2" t="s">
        <v>38</v>
      </c>
      <c r="M1487" s="2" t="s">
        <v>38</v>
      </c>
      <c r="N1487" s="2" t="s">
        <v>38</v>
      </c>
      <c r="O1487" s="2" t="s">
        <v>38</v>
      </c>
      <c r="P1487" s="2" t="s">
        <v>38</v>
      </c>
      <c r="Q1487" s="2" t="s">
        <v>38</v>
      </c>
      <c r="R1487" s="2" t="s">
        <v>38</v>
      </c>
      <c r="S1487" s="2" t="s">
        <v>38</v>
      </c>
      <c r="T1487" s="2" t="s">
        <v>38</v>
      </c>
      <c r="U1487" s="2" t="s">
        <v>39</v>
      </c>
      <c r="V1487" s="2" t="s">
        <v>39</v>
      </c>
      <c r="W1487" s="2" t="s">
        <v>38</v>
      </c>
      <c r="X1487" s="2" t="s">
        <v>38</v>
      </c>
      <c r="Y1487" s="2" t="s">
        <v>38</v>
      </c>
      <c r="Z1487" s="2" t="s">
        <v>38</v>
      </c>
      <c r="AA1487" s="2" t="s">
        <v>38</v>
      </c>
      <c r="AB1487" s="2" t="s">
        <v>38</v>
      </c>
      <c r="AC1487" s="2" t="s">
        <v>38</v>
      </c>
      <c r="AD1487" s="2" t="s">
        <v>38</v>
      </c>
      <c r="AE1487" s="2"/>
    </row>
    <row r="1488" spans="1:31" ht="409.5">
      <c r="A1488" s="2">
        <v>2737165</v>
      </c>
      <c r="B1488" s="2">
        <f>HYPERLINK("https://platform.v2.vetology.net/cases/2737165/screening-report/1?type=pdf&amp;v=v6&amp;scorecard=1&amp;secret_key=BX%25IJ%24%2F65ieZ%29f6", 2737165)</f>
        <v>2737165</v>
      </c>
      <c r="C1488" s="2">
        <f>HYPERLINK("https://platform.v2.vetology.net/report/v/final/"&amp;2737165, 2737165)</f>
        <v>2737165</v>
      </c>
      <c r="D1488" s="2" t="s">
        <v>4904</v>
      </c>
      <c r="E1488" s="2" t="s">
        <v>4905</v>
      </c>
      <c r="F1488" s="2" t="s">
        <v>4906</v>
      </c>
      <c r="G1488" s="2" t="s">
        <v>53</v>
      </c>
      <c r="H1488" s="2" t="s">
        <v>4907</v>
      </c>
      <c r="I1488" s="2" t="s">
        <v>73</v>
      </c>
      <c r="J1488" s="2" t="s">
        <v>74</v>
      </c>
      <c r="K1488" s="2" t="s">
        <v>38</v>
      </c>
      <c r="L1488" s="2" t="s">
        <v>38</v>
      </c>
      <c r="M1488" s="2" t="s">
        <v>38</v>
      </c>
      <c r="N1488" s="2" t="s">
        <v>38</v>
      </c>
      <c r="O1488" s="2" t="s">
        <v>38</v>
      </c>
      <c r="P1488" s="2" t="s">
        <v>38</v>
      </c>
      <c r="Q1488" s="2" t="s">
        <v>38</v>
      </c>
      <c r="R1488" s="2" t="s">
        <v>39</v>
      </c>
      <c r="S1488" s="2" t="s">
        <v>38</v>
      </c>
      <c r="T1488" s="2" t="s">
        <v>38</v>
      </c>
      <c r="U1488" s="2" t="s">
        <v>38</v>
      </c>
      <c r="V1488" s="2" t="s">
        <v>38</v>
      </c>
      <c r="W1488" s="2" t="s">
        <v>38</v>
      </c>
      <c r="X1488" s="2" t="s">
        <v>39</v>
      </c>
      <c r="Y1488" s="2" t="s">
        <v>38</v>
      </c>
      <c r="Z1488" s="2" t="s">
        <v>38</v>
      </c>
      <c r="AA1488" s="2" t="s">
        <v>38</v>
      </c>
      <c r="AB1488" s="2" t="s">
        <v>38</v>
      </c>
      <c r="AC1488" s="2" t="s">
        <v>38</v>
      </c>
      <c r="AD1488" s="2" t="s">
        <v>38</v>
      </c>
      <c r="AE1488" s="2" t="s">
        <v>40</v>
      </c>
    </row>
    <row r="1489" spans="1:31" ht="409.5">
      <c r="A1489" s="2">
        <v>2737137</v>
      </c>
      <c r="B1489" s="2">
        <f>HYPERLINK("https://platform.v2.vetology.net/cases/2737137/screening-report/1?type=pdf&amp;v=v6&amp;scorecard=1&amp;secret_key=BX%25IJ%24%2F65ieZ%29f6", 2737137)</f>
        <v>2737137</v>
      </c>
      <c r="C1489" s="2">
        <f>HYPERLINK("https://platform.v2.vetology.net/report/v/final/"&amp;2737137, 2737137)</f>
        <v>2737137</v>
      </c>
      <c r="D1489" s="2" t="s">
        <v>4908</v>
      </c>
      <c r="E1489" s="2" t="s">
        <v>4909</v>
      </c>
      <c r="F1489" s="2" t="s">
        <v>4910</v>
      </c>
      <c r="G1489" s="2" t="s">
        <v>53</v>
      </c>
      <c r="H1489" s="2" t="s">
        <v>4911</v>
      </c>
      <c r="I1489" s="2" t="s">
        <v>73</v>
      </c>
      <c r="J1489" s="2" t="s">
        <v>74</v>
      </c>
      <c r="K1489" s="2" t="s">
        <v>38</v>
      </c>
      <c r="L1489" s="2" t="s">
        <v>39</v>
      </c>
      <c r="M1489" s="2" t="s">
        <v>38</v>
      </c>
      <c r="N1489" s="2" t="s">
        <v>38</v>
      </c>
      <c r="O1489" s="2" t="s">
        <v>38</v>
      </c>
      <c r="P1489" s="2" t="s">
        <v>38</v>
      </c>
      <c r="Q1489" s="2" t="s">
        <v>38</v>
      </c>
      <c r="R1489" s="2" t="s">
        <v>38</v>
      </c>
      <c r="S1489" s="2" t="s">
        <v>38</v>
      </c>
      <c r="T1489" s="2" t="s">
        <v>38</v>
      </c>
      <c r="U1489" s="2" t="s">
        <v>38</v>
      </c>
      <c r="V1489" s="2" t="s">
        <v>38</v>
      </c>
      <c r="W1489" s="2" t="s">
        <v>38</v>
      </c>
      <c r="X1489" s="2" t="s">
        <v>38</v>
      </c>
      <c r="Y1489" s="2" t="s">
        <v>38</v>
      </c>
      <c r="Z1489" s="2" t="s">
        <v>38</v>
      </c>
      <c r="AA1489" s="2" t="s">
        <v>38</v>
      </c>
      <c r="AB1489" s="2" t="s">
        <v>38</v>
      </c>
      <c r="AC1489" s="2" t="s">
        <v>38</v>
      </c>
      <c r="AD1489" s="2" t="s">
        <v>38</v>
      </c>
      <c r="AE1489" s="2" t="s">
        <v>40</v>
      </c>
    </row>
    <row r="1490" spans="1:31" ht="409.5">
      <c r="A1490" s="2">
        <v>2737129</v>
      </c>
      <c r="B1490" s="2">
        <f>HYPERLINK("https://platform.v2.vetology.net/cases/2737129/screening-report/1?type=pdf&amp;v=v6&amp;scorecard=1&amp;secret_key=BX%25IJ%24%2F65ieZ%29f6", 2737129)</f>
        <v>2737129</v>
      </c>
      <c r="C1490" s="2">
        <f>HYPERLINK("https://platform.v2.vetology.net/report/v/final/"&amp;2737129, 2737129)</f>
        <v>2737129</v>
      </c>
      <c r="D1490" s="2" t="s">
        <v>4912</v>
      </c>
      <c r="E1490" s="2" t="s">
        <v>4913</v>
      </c>
      <c r="F1490" s="2" t="s">
        <v>4914</v>
      </c>
      <c r="G1490" s="2" t="s">
        <v>53</v>
      </c>
      <c r="H1490" s="2" t="s">
        <v>4915</v>
      </c>
      <c r="I1490" s="2" t="s">
        <v>129</v>
      </c>
      <c r="J1490" s="2" t="s">
        <v>74</v>
      </c>
      <c r="K1490" s="2" t="s">
        <v>39</v>
      </c>
      <c r="L1490" s="2" t="s">
        <v>39</v>
      </c>
      <c r="M1490" s="2" t="s">
        <v>38</v>
      </c>
      <c r="N1490" s="2" t="s">
        <v>38</v>
      </c>
      <c r="O1490" s="2" t="s">
        <v>38</v>
      </c>
      <c r="P1490" s="2" t="s">
        <v>39</v>
      </c>
      <c r="Q1490" s="2" t="s">
        <v>38</v>
      </c>
      <c r="R1490" s="2" t="s">
        <v>38</v>
      </c>
      <c r="S1490" s="2" t="s">
        <v>39</v>
      </c>
      <c r="T1490" s="2" t="s">
        <v>38</v>
      </c>
      <c r="U1490" s="2" t="s">
        <v>39</v>
      </c>
      <c r="V1490" s="2" t="s">
        <v>39</v>
      </c>
      <c r="W1490" s="2" t="s">
        <v>38</v>
      </c>
      <c r="X1490" s="2" t="s">
        <v>38</v>
      </c>
      <c r="Y1490" s="2" t="s">
        <v>39</v>
      </c>
      <c r="Z1490" s="2" t="s">
        <v>38</v>
      </c>
      <c r="AA1490" s="2" t="s">
        <v>38</v>
      </c>
      <c r="AB1490" s="2" t="s">
        <v>39</v>
      </c>
      <c r="AC1490" s="2" t="s">
        <v>38</v>
      </c>
      <c r="AD1490" s="2" t="s">
        <v>39</v>
      </c>
      <c r="AE1490" s="2" t="s">
        <v>39</v>
      </c>
    </row>
    <row r="1491" spans="1:31" ht="409.5">
      <c r="A1491" s="2">
        <v>2737070</v>
      </c>
      <c r="B1491" s="2">
        <f>HYPERLINK("https://platform.v2.vetology.net/cases/2737070/screening-report/1?type=pdf&amp;v=v6&amp;scorecard=1&amp;secret_key=BX%25IJ%24%2F65ieZ%29f6", 2737070)</f>
        <v>2737070</v>
      </c>
      <c r="C1491" s="2">
        <f>HYPERLINK("https://platform.v2.vetology.net/report/v/final/"&amp;2737070, 2737070)</f>
        <v>2737070</v>
      </c>
      <c r="D1491" s="2" t="s">
        <v>4916</v>
      </c>
      <c r="E1491" s="2" t="s">
        <v>4917</v>
      </c>
      <c r="F1491" s="2" t="s">
        <v>4918</v>
      </c>
      <c r="G1491" s="2" t="s">
        <v>53</v>
      </c>
      <c r="H1491" s="2" t="s">
        <v>3465</v>
      </c>
      <c r="I1491" s="2" t="s">
        <v>59</v>
      </c>
      <c r="J1491" s="2" t="s">
        <v>37</v>
      </c>
      <c r="K1491" s="2" t="s">
        <v>39</v>
      </c>
      <c r="L1491" s="2" t="s">
        <v>39</v>
      </c>
      <c r="M1491" s="2" t="s">
        <v>39</v>
      </c>
      <c r="N1491" s="2" t="s">
        <v>38</v>
      </c>
      <c r="O1491" s="2" t="s">
        <v>38</v>
      </c>
      <c r="P1491" s="2" t="s">
        <v>39</v>
      </c>
      <c r="Q1491" s="2" t="s">
        <v>39</v>
      </c>
      <c r="R1491" s="2" t="s">
        <v>38</v>
      </c>
      <c r="S1491" s="2" t="s">
        <v>38</v>
      </c>
      <c r="T1491" s="2" t="s">
        <v>38</v>
      </c>
      <c r="U1491" s="2" t="s">
        <v>39</v>
      </c>
      <c r="V1491" s="2" t="s">
        <v>38</v>
      </c>
      <c r="W1491" s="2" t="s">
        <v>38</v>
      </c>
      <c r="X1491" s="2" t="s">
        <v>39</v>
      </c>
      <c r="Y1491" s="2" t="s">
        <v>39</v>
      </c>
      <c r="Z1491" s="2" t="s">
        <v>38</v>
      </c>
      <c r="AA1491" s="2" t="s">
        <v>39</v>
      </c>
      <c r="AB1491" s="2" t="s">
        <v>39</v>
      </c>
      <c r="AC1491" s="2" t="s">
        <v>38</v>
      </c>
      <c r="AD1491" s="2" t="s">
        <v>38</v>
      </c>
      <c r="AE1491" s="2" t="s">
        <v>39</v>
      </c>
    </row>
    <row r="1492" spans="1:31" ht="409.5">
      <c r="A1492" s="2">
        <v>2737061</v>
      </c>
      <c r="B1492" s="2">
        <f>HYPERLINK("https://platform.v2.vetology.net/cases/2737061/screening-report/1?type=pdf&amp;v=v6&amp;scorecard=1&amp;secret_key=BX%25IJ%24%2F65ieZ%29f6", 2737061)</f>
        <v>2737061</v>
      </c>
      <c r="C1492" s="2">
        <f>HYPERLINK("https://platform.v2.vetology.net/report/v/final/"&amp;2737061, 2737061)</f>
        <v>2737061</v>
      </c>
      <c r="D1492" s="2" t="s">
        <v>4919</v>
      </c>
      <c r="E1492" s="2" t="s">
        <v>4920</v>
      </c>
      <c r="F1492" s="2" t="s">
        <v>4921</v>
      </c>
      <c r="G1492" s="2" t="s">
        <v>53</v>
      </c>
      <c r="H1492" s="2" t="s">
        <v>4922</v>
      </c>
      <c r="I1492" s="2" t="s">
        <v>129</v>
      </c>
      <c r="J1492" s="2" t="s">
        <v>74</v>
      </c>
      <c r="K1492" s="2" t="s">
        <v>39</v>
      </c>
      <c r="L1492" s="2" t="s">
        <v>39</v>
      </c>
      <c r="M1492" s="2" t="s">
        <v>38</v>
      </c>
      <c r="N1492" s="2" t="s">
        <v>39</v>
      </c>
      <c r="O1492" s="2" t="s">
        <v>38</v>
      </c>
      <c r="P1492" s="2" t="s">
        <v>38</v>
      </c>
      <c r="Q1492" s="2" t="s">
        <v>38</v>
      </c>
      <c r="R1492" s="2" t="s">
        <v>39</v>
      </c>
      <c r="S1492" s="2" t="s">
        <v>38</v>
      </c>
      <c r="T1492" s="2" t="s">
        <v>38</v>
      </c>
      <c r="U1492" s="2" t="s">
        <v>39</v>
      </c>
      <c r="V1492" s="2" t="s">
        <v>39</v>
      </c>
      <c r="W1492" s="2" t="s">
        <v>38</v>
      </c>
      <c r="X1492" s="2" t="s">
        <v>39</v>
      </c>
      <c r="Y1492" s="2" t="s">
        <v>39</v>
      </c>
      <c r="Z1492" s="2" t="s">
        <v>38</v>
      </c>
      <c r="AA1492" s="2" t="s">
        <v>38</v>
      </c>
      <c r="AB1492" s="2" t="s">
        <v>39</v>
      </c>
      <c r="AC1492" s="2" t="s">
        <v>39</v>
      </c>
      <c r="AD1492" s="2" t="s">
        <v>38</v>
      </c>
      <c r="AE1492" s="2" t="s">
        <v>40</v>
      </c>
    </row>
    <row r="1493" spans="1:31" ht="409.5">
      <c r="A1493" s="2">
        <v>2737056</v>
      </c>
      <c r="B1493" s="2">
        <f>HYPERLINK("https://platform.v2.vetology.net/cases/2737056/screening-report/1?type=pdf&amp;v=v6&amp;scorecard=1&amp;secret_key=BX%25IJ%24%2F65ieZ%29f6", 2737056)</f>
        <v>2737056</v>
      </c>
      <c r="C1493" s="2">
        <f>HYPERLINK("https://platform.v2.vetology.net/report/v/final/"&amp;2737056, 2737056)</f>
        <v>2737056</v>
      </c>
      <c r="D1493" s="2" t="s">
        <v>4923</v>
      </c>
      <c r="E1493" s="2" t="s">
        <v>4924</v>
      </c>
      <c r="F1493" s="2" t="s">
        <v>4925</v>
      </c>
      <c r="G1493" s="2" t="s">
        <v>556</v>
      </c>
      <c r="H1493" s="2" t="s">
        <v>69</v>
      </c>
      <c r="I1493" s="2" t="s">
        <v>46</v>
      </c>
      <c r="J1493" s="2"/>
      <c r="K1493" s="2" t="s">
        <v>39</v>
      </c>
      <c r="L1493" s="2" t="s">
        <v>39</v>
      </c>
      <c r="M1493" s="2" t="s">
        <v>39</v>
      </c>
      <c r="N1493" s="2" t="s">
        <v>39</v>
      </c>
      <c r="O1493" s="2" t="s">
        <v>39</v>
      </c>
      <c r="P1493" s="2" t="s">
        <v>39</v>
      </c>
      <c r="Q1493" s="2" t="s">
        <v>39</v>
      </c>
      <c r="R1493" s="2" t="s">
        <v>39</v>
      </c>
      <c r="S1493" s="2" t="s">
        <v>39</v>
      </c>
      <c r="T1493" s="2" t="s">
        <v>39</v>
      </c>
      <c r="U1493" s="2" t="s">
        <v>39</v>
      </c>
      <c r="V1493" s="2" t="s">
        <v>39</v>
      </c>
      <c r="W1493" s="2" t="s">
        <v>39</v>
      </c>
      <c r="X1493" s="2" t="s">
        <v>39</v>
      </c>
      <c r="Y1493" s="2" t="s">
        <v>39</v>
      </c>
      <c r="Z1493" s="2" t="s">
        <v>39</v>
      </c>
      <c r="AA1493" s="2" t="s">
        <v>39</v>
      </c>
      <c r="AB1493" s="2" t="s">
        <v>39</v>
      </c>
      <c r="AC1493" s="2" t="s">
        <v>39</v>
      </c>
      <c r="AD1493" s="2" t="s">
        <v>38</v>
      </c>
      <c r="AE1493" s="2" t="s">
        <v>39</v>
      </c>
    </row>
    <row r="1494" spans="1:31" ht="409.5">
      <c r="A1494" s="2">
        <v>2737047</v>
      </c>
      <c r="B1494" s="2">
        <f>HYPERLINK("https://platform.v2.vetology.net/cases/2737047/screening-report/1?type=pdf&amp;v=v6&amp;scorecard=1&amp;secret_key=BX%25IJ%24%2F65ieZ%29f6", 2737047)</f>
        <v>2737047</v>
      </c>
      <c r="C1494" s="2">
        <f>HYPERLINK("https://platform.v2.vetology.net/report/v/final/"&amp;2737047, 2737047)</f>
        <v>2737047</v>
      </c>
      <c r="D1494" s="2" t="s">
        <v>4926</v>
      </c>
      <c r="E1494" s="2" t="s">
        <v>4927</v>
      </c>
      <c r="F1494" s="2" t="s">
        <v>4928</v>
      </c>
      <c r="G1494" s="2" t="s">
        <v>53</v>
      </c>
      <c r="H1494" s="2" t="s">
        <v>4929</v>
      </c>
      <c r="I1494" s="2" t="s">
        <v>73</v>
      </c>
      <c r="J1494" s="2" t="s">
        <v>74</v>
      </c>
      <c r="K1494" s="2" t="s">
        <v>38</v>
      </c>
      <c r="L1494" s="2" t="s">
        <v>38</v>
      </c>
      <c r="M1494" s="2" t="s">
        <v>38</v>
      </c>
      <c r="N1494" s="2" t="s">
        <v>38</v>
      </c>
      <c r="O1494" s="2" t="s">
        <v>38</v>
      </c>
      <c r="P1494" s="2" t="s">
        <v>38</v>
      </c>
      <c r="Q1494" s="2" t="s">
        <v>38</v>
      </c>
      <c r="R1494" s="2" t="s">
        <v>38</v>
      </c>
      <c r="S1494" s="2" t="s">
        <v>38</v>
      </c>
      <c r="T1494" s="2" t="s">
        <v>38</v>
      </c>
      <c r="U1494" s="2" t="s">
        <v>38</v>
      </c>
      <c r="V1494" s="2" t="s">
        <v>38</v>
      </c>
      <c r="W1494" s="2" t="s">
        <v>38</v>
      </c>
      <c r="X1494" s="2" t="s">
        <v>38</v>
      </c>
      <c r="Y1494" s="2" t="s">
        <v>39</v>
      </c>
      <c r="Z1494" s="2" t="s">
        <v>38</v>
      </c>
      <c r="AA1494" s="2" t="s">
        <v>38</v>
      </c>
      <c r="AB1494" s="2" t="s">
        <v>38</v>
      </c>
      <c r="AC1494" s="2" t="s">
        <v>38</v>
      </c>
      <c r="AD1494" s="2" t="s">
        <v>38</v>
      </c>
      <c r="AE1494" s="2" t="s">
        <v>39</v>
      </c>
    </row>
    <row r="1495" spans="1:31" ht="409.5">
      <c r="A1495" s="2">
        <v>2737035</v>
      </c>
      <c r="B1495" s="2">
        <f>HYPERLINK("https://platform.v2.vetology.net/cases/2737035/screening-report/1?type=pdf&amp;v=v6&amp;scorecard=1&amp;secret_key=BX%25IJ%24%2F65ieZ%29f6", 2737035)</f>
        <v>2737035</v>
      </c>
      <c r="C1495" s="2">
        <f>HYPERLINK("https://platform.v2.vetology.net/report/v/final/"&amp;2737035, 2737035)</f>
        <v>2737035</v>
      </c>
      <c r="D1495" s="2" t="s">
        <v>4930</v>
      </c>
      <c r="E1495" s="2" t="s">
        <v>4931</v>
      </c>
      <c r="F1495" s="2" t="s">
        <v>43</v>
      </c>
      <c r="G1495" s="2" t="s">
        <v>44</v>
      </c>
      <c r="H1495" s="2" t="s">
        <v>4932</v>
      </c>
      <c r="I1495" s="2" t="s">
        <v>36</v>
      </c>
      <c r="J1495" s="2" t="s">
        <v>37</v>
      </c>
      <c r="K1495" s="2" t="s">
        <v>39</v>
      </c>
      <c r="L1495" s="2" t="s">
        <v>38</v>
      </c>
      <c r="M1495" s="2" t="s">
        <v>38</v>
      </c>
      <c r="N1495" s="2" t="s">
        <v>39</v>
      </c>
      <c r="O1495" s="2" t="s">
        <v>38</v>
      </c>
      <c r="P1495" s="2" t="s">
        <v>39</v>
      </c>
      <c r="Q1495" s="2" t="s">
        <v>39</v>
      </c>
      <c r="R1495" s="2" t="s">
        <v>38</v>
      </c>
      <c r="S1495" s="2" t="s">
        <v>38</v>
      </c>
      <c r="T1495" s="2" t="s">
        <v>39</v>
      </c>
      <c r="U1495" s="2" t="s">
        <v>39</v>
      </c>
      <c r="V1495" s="2" t="s">
        <v>39</v>
      </c>
      <c r="W1495" s="2" t="s">
        <v>38</v>
      </c>
      <c r="X1495" s="2" t="s">
        <v>39</v>
      </c>
      <c r="Y1495" s="2" t="s">
        <v>39</v>
      </c>
      <c r="Z1495" s="2" t="s">
        <v>38</v>
      </c>
      <c r="AA1495" s="2" t="s">
        <v>39</v>
      </c>
      <c r="AB1495" s="2" t="s">
        <v>39</v>
      </c>
      <c r="AC1495" s="2" t="s">
        <v>38</v>
      </c>
      <c r="AD1495" s="2" t="s">
        <v>38</v>
      </c>
      <c r="AE1495" s="2" t="s">
        <v>39</v>
      </c>
    </row>
    <row r="1496" spans="1:31" ht="409.5">
      <c r="A1496" s="2">
        <v>2737006</v>
      </c>
      <c r="B1496" s="2">
        <f>HYPERLINK("https://platform.v2.vetology.net/cases/2737006/screening-report/1?type=pdf&amp;v=v6&amp;scorecard=1&amp;secret_key=BX%25IJ%24%2F65ieZ%29f6", 2737006)</f>
        <v>2737006</v>
      </c>
      <c r="C1496" s="2">
        <f>HYPERLINK("https://platform.v2.vetology.net/report/v/final/"&amp;2737006, 2737006)</f>
        <v>2737006</v>
      </c>
      <c r="D1496" s="2" t="s">
        <v>4933</v>
      </c>
      <c r="E1496" s="2" t="s">
        <v>4934</v>
      </c>
      <c r="F1496" s="2" t="s">
        <v>43</v>
      </c>
      <c r="G1496" s="2" t="s">
        <v>100</v>
      </c>
      <c r="H1496" s="2" t="s">
        <v>4935</v>
      </c>
      <c r="I1496" s="2" t="s">
        <v>36</v>
      </c>
      <c r="J1496" s="2" t="s">
        <v>37</v>
      </c>
      <c r="K1496" s="2" t="s">
        <v>39</v>
      </c>
      <c r="L1496" s="2" t="s">
        <v>38</v>
      </c>
      <c r="M1496" s="2" t="s">
        <v>38</v>
      </c>
      <c r="N1496" s="2" t="s">
        <v>38</v>
      </c>
      <c r="O1496" s="2" t="s">
        <v>38</v>
      </c>
      <c r="P1496" s="2" t="s">
        <v>39</v>
      </c>
      <c r="Q1496" s="2" t="s">
        <v>39</v>
      </c>
      <c r="R1496" s="2" t="s">
        <v>38</v>
      </c>
      <c r="S1496" s="2" t="s">
        <v>38</v>
      </c>
      <c r="T1496" s="2" t="s">
        <v>38</v>
      </c>
      <c r="U1496" s="2" t="s">
        <v>38</v>
      </c>
      <c r="V1496" s="2" t="s">
        <v>38</v>
      </c>
      <c r="W1496" s="2" t="s">
        <v>38</v>
      </c>
      <c r="X1496" s="2" t="s">
        <v>39</v>
      </c>
      <c r="Y1496" s="2" t="s">
        <v>39</v>
      </c>
      <c r="Z1496" s="2" t="s">
        <v>38</v>
      </c>
      <c r="AA1496" s="2" t="s">
        <v>39</v>
      </c>
      <c r="AB1496" s="2" t="s">
        <v>38</v>
      </c>
      <c r="AC1496" s="2" t="s">
        <v>38</v>
      </c>
      <c r="AD1496" s="2" t="s">
        <v>38</v>
      </c>
      <c r="AE1496" s="2" t="s">
        <v>39</v>
      </c>
    </row>
    <row r="1497" spans="1:31" ht="409.5">
      <c r="A1497" s="2">
        <v>2737000</v>
      </c>
      <c r="B1497" s="2">
        <f>HYPERLINK("https://platform.v2.vetology.net/cases/2737000/screening-report/1?type=pdf&amp;v=v6&amp;scorecard=1&amp;secret_key=BX%25IJ%24%2F65ieZ%29f6", 2737000)</f>
        <v>2737000</v>
      </c>
      <c r="C1497" s="2">
        <f>HYPERLINK("https://platform.v2.vetology.net/report/v/final/"&amp;2737000, 2737000)</f>
        <v>2737000</v>
      </c>
      <c r="D1497" s="2" t="s">
        <v>4936</v>
      </c>
      <c r="E1497" s="2" t="s">
        <v>4937</v>
      </c>
      <c r="F1497" s="2" t="s">
        <v>43</v>
      </c>
      <c r="G1497" s="2" t="s">
        <v>100</v>
      </c>
      <c r="H1497" s="2" t="s">
        <v>4938</v>
      </c>
      <c r="I1497" s="2" t="s">
        <v>36</v>
      </c>
      <c r="J1497" s="2" t="s">
        <v>37</v>
      </c>
      <c r="K1497" s="2" t="s">
        <v>39</v>
      </c>
      <c r="L1497" s="2" t="s">
        <v>38</v>
      </c>
      <c r="M1497" s="2" t="s">
        <v>38</v>
      </c>
      <c r="N1497" s="2" t="s">
        <v>38</v>
      </c>
      <c r="O1497" s="2" t="s">
        <v>38</v>
      </c>
      <c r="P1497" s="2" t="s">
        <v>39</v>
      </c>
      <c r="Q1497" s="2" t="s">
        <v>39</v>
      </c>
      <c r="R1497" s="2" t="s">
        <v>38</v>
      </c>
      <c r="S1497" s="2" t="s">
        <v>38</v>
      </c>
      <c r="T1497" s="2" t="s">
        <v>38</v>
      </c>
      <c r="U1497" s="2" t="s">
        <v>39</v>
      </c>
      <c r="V1497" s="2" t="s">
        <v>38</v>
      </c>
      <c r="W1497" s="2" t="s">
        <v>38</v>
      </c>
      <c r="X1497" s="2" t="s">
        <v>39</v>
      </c>
      <c r="Y1497" s="2" t="s">
        <v>39</v>
      </c>
      <c r="Z1497" s="2" t="s">
        <v>38</v>
      </c>
      <c r="AA1497" s="2" t="s">
        <v>38</v>
      </c>
      <c r="AB1497" s="2" t="s">
        <v>39</v>
      </c>
      <c r="AC1497" s="2" t="s">
        <v>38</v>
      </c>
      <c r="AD1497" s="2" t="s">
        <v>38</v>
      </c>
      <c r="AE1497" s="2" t="s">
        <v>39</v>
      </c>
    </row>
    <row r="1498" spans="1:31" ht="409.5">
      <c r="A1498" s="2">
        <v>2736980</v>
      </c>
      <c r="B1498" s="2">
        <f>HYPERLINK("https://platform.v2.vetology.net/cases/2736980/screening-report/1?type=pdf&amp;v=v6&amp;scorecard=1&amp;secret_key=BX%25IJ%24%2F65ieZ%29f6", 2736980)</f>
        <v>2736980</v>
      </c>
      <c r="C1498" s="2">
        <f>HYPERLINK("https://platform.v2.vetology.net/report/v/final/"&amp;2736980, 2736980)</f>
        <v>2736980</v>
      </c>
      <c r="D1498" s="2" t="s">
        <v>4939</v>
      </c>
      <c r="E1498" s="2" t="s">
        <v>4940</v>
      </c>
      <c r="F1498" s="2" t="s">
        <v>4941</v>
      </c>
      <c r="G1498" s="2" t="s">
        <v>53</v>
      </c>
      <c r="H1498" s="2" t="s">
        <v>2415</v>
      </c>
      <c r="I1498" s="2" t="s">
        <v>257</v>
      </c>
      <c r="J1498" s="2" t="s">
        <v>74</v>
      </c>
      <c r="K1498" s="2" t="s">
        <v>38</v>
      </c>
      <c r="L1498" s="2" t="s">
        <v>38</v>
      </c>
      <c r="M1498" s="2" t="s">
        <v>38</v>
      </c>
      <c r="N1498" s="2" t="s">
        <v>38</v>
      </c>
      <c r="O1498" s="2" t="s">
        <v>38</v>
      </c>
      <c r="P1498" s="2" t="s">
        <v>38</v>
      </c>
      <c r="Q1498" s="2" t="s">
        <v>38</v>
      </c>
      <c r="R1498" s="2" t="s">
        <v>38</v>
      </c>
      <c r="S1498" s="2" t="s">
        <v>38</v>
      </c>
      <c r="T1498" s="2" t="s">
        <v>38</v>
      </c>
      <c r="U1498" s="2" t="s">
        <v>38</v>
      </c>
      <c r="V1498" s="2" t="s">
        <v>38</v>
      </c>
      <c r="W1498" s="2" t="s">
        <v>38</v>
      </c>
      <c r="X1498" s="2" t="s">
        <v>38</v>
      </c>
      <c r="Y1498" s="2" t="s">
        <v>38</v>
      </c>
      <c r="Z1498" s="2" t="s">
        <v>38</v>
      </c>
      <c r="AA1498" s="2" t="s">
        <v>38</v>
      </c>
      <c r="AB1498" s="2" t="s">
        <v>38</v>
      </c>
      <c r="AC1498" s="2" t="s">
        <v>38</v>
      </c>
      <c r="AD1498" s="2" t="s">
        <v>38</v>
      </c>
      <c r="AE1498" s="2" t="s">
        <v>39</v>
      </c>
    </row>
    <row r="1499" spans="1:31" ht="409.5">
      <c r="A1499" s="2">
        <v>2736965</v>
      </c>
      <c r="B1499" s="2">
        <f>HYPERLINK("https://platform.v2.vetology.net/cases/2736965/screening-report/1?type=pdf&amp;v=v6&amp;scorecard=1&amp;secret_key=BX%25IJ%24%2F65ieZ%29f6", 2736965)</f>
        <v>2736965</v>
      </c>
      <c r="C1499" s="2">
        <f>HYPERLINK("https://platform.v2.vetology.net/report/v/final/"&amp;2736965, 2736965)</f>
        <v>2736965</v>
      </c>
      <c r="D1499" s="2" t="s">
        <v>4942</v>
      </c>
      <c r="E1499" s="2" t="s">
        <v>4943</v>
      </c>
      <c r="F1499" s="2" t="s">
        <v>4944</v>
      </c>
      <c r="G1499" s="2" t="s">
        <v>170</v>
      </c>
      <c r="H1499" s="2" t="s">
        <v>69</v>
      </c>
      <c r="I1499" s="2" t="s">
        <v>46</v>
      </c>
      <c r="J1499" s="2"/>
      <c r="K1499" s="2" t="s">
        <v>39</v>
      </c>
      <c r="L1499" s="2" t="s">
        <v>39</v>
      </c>
      <c r="M1499" s="2" t="s">
        <v>39</v>
      </c>
      <c r="N1499" s="2" t="s">
        <v>39</v>
      </c>
      <c r="O1499" s="2" t="s">
        <v>39</v>
      </c>
      <c r="P1499" s="2" t="s">
        <v>39</v>
      </c>
      <c r="Q1499" s="2" t="s">
        <v>39</v>
      </c>
      <c r="R1499" s="2" t="s">
        <v>39</v>
      </c>
      <c r="S1499" s="2" t="s">
        <v>39</v>
      </c>
      <c r="T1499" s="2" t="s">
        <v>39</v>
      </c>
      <c r="U1499" s="2" t="s">
        <v>39</v>
      </c>
      <c r="V1499" s="2" t="s">
        <v>39</v>
      </c>
      <c r="W1499" s="2" t="s">
        <v>39</v>
      </c>
      <c r="X1499" s="2" t="s">
        <v>39</v>
      </c>
      <c r="Y1499" s="2" t="s">
        <v>39</v>
      </c>
      <c r="Z1499" s="2" t="s">
        <v>39</v>
      </c>
      <c r="AA1499" s="2" t="s">
        <v>39</v>
      </c>
      <c r="AB1499" s="2" t="s">
        <v>39</v>
      </c>
      <c r="AC1499" s="2" t="s">
        <v>39</v>
      </c>
      <c r="AD1499" s="2" t="s">
        <v>39</v>
      </c>
      <c r="AE1499" s="2" t="s">
        <v>40</v>
      </c>
    </row>
    <row r="1500" spans="1:31" ht="409.5">
      <c r="A1500" s="2">
        <v>2736922</v>
      </c>
      <c r="B1500" s="2">
        <f>HYPERLINK("https://platform.v2.vetology.net/cases/2736922/screening-report/1?type=pdf&amp;v=v6&amp;scorecard=1&amp;secret_key=BX%25IJ%24%2F65ieZ%29f6", 2736922)</f>
        <v>2736922</v>
      </c>
      <c r="C1500" s="2">
        <f>HYPERLINK("https://platform.v2.vetology.net/report/v/final/"&amp;2736922, 2736922)</f>
        <v>2736922</v>
      </c>
      <c r="D1500" s="2" t="s">
        <v>4945</v>
      </c>
      <c r="E1500" s="2" t="s">
        <v>4946</v>
      </c>
      <c r="F1500" s="2" t="s">
        <v>4947</v>
      </c>
      <c r="G1500" s="2" t="s">
        <v>53</v>
      </c>
      <c r="H1500" s="2" t="s">
        <v>4948</v>
      </c>
      <c r="I1500" s="2" t="s">
        <v>257</v>
      </c>
      <c r="J1500" s="2" t="s">
        <v>74</v>
      </c>
      <c r="K1500" s="2" t="s">
        <v>38</v>
      </c>
      <c r="L1500" s="2" t="s">
        <v>38</v>
      </c>
      <c r="M1500" s="2" t="s">
        <v>38</v>
      </c>
      <c r="N1500" s="2" t="s">
        <v>38</v>
      </c>
      <c r="O1500" s="2" t="s">
        <v>38</v>
      </c>
      <c r="P1500" s="2" t="s">
        <v>38</v>
      </c>
      <c r="Q1500" s="2" t="s">
        <v>38</v>
      </c>
      <c r="R1500" s="2" t="s">
        <v>38</v>
      </c>
      <c r="S1500" s="2" t="s">
        <v>38</v>
      </c>
      <c r="T1500" s="2" t="s">
        <v>38</v>
      </c>
      <c r="U1500" s="2" t="s">
        <v>38</v>
      </c>
      <c r="V1500" s="2" t="s">
        <v>38</v>
      </c>
      <c r="W1500" s="2" t="s">
        <v>38</v>
      </c>
      <c r="X1500" s="2" t="s">
        <v>38</v>
      </c>
      <c r="Y1500" s="2" t="s">
        <v>38</v>
      </c>
      <c r="Z1500" s="2" t="s">
        <v>38</v>
      </c>
      <c r="AA1500" s="2" t="s">
        <v>38</v>
      </c>
      <c r="AB1500" s="2" t="s">
        <v>38</v>
      </c>
      <c r="AC1500" s="2" t="s">
        <v>38</v>
      </c>
      <c r="AD1500" s="2" t="s">
        <v>38</v>
      </c>
      <c r="AE1500" s="2" t="s">
        <v>39</v>
      </c>
    </row>
    <row r="1501" spans="1:31" ht="409.5">
      <c r="A1501" s="2">
        <v>2736918</v>
      </c>
      <c r="B1501" s="2">
        <f>HYPERLINK("https://platform.v2.vetology.net/cases/2736918/screening-report/1?type=pdf&amp;v=v6&amp;scorecard=1&amp;secret_key=BX%25IJ%24%2F65ieZ%29f6", 2736918)</f>
        <v>2736918</v>
      </c>
      <c r="C1501" s="2">
        <f>HYPERLINK("https://platform.v2.vetology.net/report/v/final/"&amp;2736918, 2736918)</f>
        <v>2736918</v>
      </c>
      <c r="D1501" s="2" t="s">
        <v>4047</v>
      </c>
      <c r="E1501" s="2" t="s">
        <v>4048</v>
      </c>
      <c r="F1501" s="2" t="s">
        <v>356</v>
      </c>
      <c r="G1501" s="2" t="s">
        <v>100</v>
      </c>
      <c r="H1501" s="2" t="s">
        <v>4949</v>
      </c>
      <c r="I1501" s="2" t="s">
        <v>129</v>
      </c>
      <c r="J1501" s="2" t="s">
        <v>74</v>
      </c>
      <c r="K1501" s="2" t="s">
        <v>38</v>
      </c>
      <c r="L1501" s="2" t="s">
        <v>39</v>
      </c>
      <c r="M1501" s="2" t="s">
        <v>38</v>
      </c>
      <c r="N1501" s="2" t="s">
        <v>39</v>
      </c>
      <c r="O1501" s="2" t="s">
        <v>38</v>
      </c>
      <c r="P1501" s="2" t="s">
        <v>39</v>
      </c>
      <c r="Q1501" s="2" t="s">
        <v>38</v>
      </c>
      <c r="R1501" s="2" t="s">
        <v>38</v>
      </c>
      <c r="S1501" s="2" t="s">
        <v>38</v>
      </c>
      <c r="T1501" s="2" t="s">
        <v>38</v>
      </c>
      <c r="U1501" s="2" t="s">
        <v>39</v>
      </c>
      <c r="V1501" s="2" t="s">
        <v>38</v>
      </c>
      <c r="W1501" s="2" t="s">
        <v>39</v>
      </c>
      <c r="X1501" s="2" t="s">
        <v>38</v>
      </c>
      <c r="Y1501" s="2" t="s">
        <v>39</v>
      </c>
      <c r="Z1501" s="2" t="s">
        <v>38</v>
      </c>
      <c r="AA1501" s="2" t="s">
        <v>39</v>
      </c>
      <c r="AB1501" s="2" t="s">
        <v>38</v>
      </c>
      <c r="AC1501" s="2" t="s">
        <v>39</v>
      </c>
      <c r="AD1501" s="2" t="s">
        <v>39</v>
      </c>
      <c r="AE1501" s="2" t="s">
        <v>39</v>
      </c>
    </row>
    <row r="1502" spans="1:31" ht="409.5">
      <c r="A1502" s="2">
        <v>2736913</v>
      </c>
      <c r="B1502" s="2">
        <f>HYPERLINK("https://platform.v2.vetology.net/cases/2736913/screening-report/1?type=pdf&amp;v=v6&amp;scorecard=1&amp;secret_key=BX%25IJ%24%2F65ieZ%29f6", 2736913)</f>
        <v>2736913</v>
      </c>
      <c r="C1502" s="2">
        <f>HYPERLINK("https://platform.v2.vetology.net/report/v/final/"&amp;2736913, 2736913)</f>
        <v>2736913</v>
      </c>
      <c r="D1502" s="2" t="s">
        <v>4950</v>
      </c>
      <c r="E1502" s="2" t="s">
        <v>4951</v>
      </c>
      <c r="F1502" s="2" t="s">
        <v>4952</v>
      </c>
      <c r="G1502" s="2" t="s">
        <v>170</v>
      </c>
      <c r="H1502" s="2" t="s">
        <v>4953</v>
      </c>
      <c r="I1502" s="2" t="s">
        <v>129</v>
      </c>
      <c r="J1502" s="2" t="s">
        <v>74</v>
      </c>
      <c r="K1502" s="2" t="s">
        <v>39</v>
      </c>
      <c r="L1502" s="2" t="s">
        <v>38</v>
      </c>
      <c r="M1502" s="2" t="s">
        <v>38</v>
      </c>
      <c r="N1502" s="2" t="s">
        <v>38</v>
      </c>
      <c r="O1502" s="2" t="s">
        <v>38</v>
      </c>
      <c r="P1502" s="2" t="s">
        <v>39</v>
      </c>
      <c r="Q1502" s="2" t="s">
        <v>38</v>
      </c>
      <c r="R1502" s="2" t="s">
        <v>38</v>
      </c>
      <c r="S1502" s="2" t="s">
        <v>38</v>
      </c>
      <c r="T1502" s="2" t="s">
        <v>38</v>
      </c>
      <c r="U1502" s="2" t="s">
        <v>39</v>
      </c>
      <c r="V1502" s="2" t="s">
        <v>38</v>
      </c>
      <c r="W1502" s="2" t="s">
        <v>38</v>
      </c>
      <c r="X1502" s="2" t="s">
        <v>39</v>
      </c>
      <c r="Y1502" s="2" t="s">
        <v>39</v>
      </c>
      <c r="Z1502" s="2" t="s">
        <v>38</v>
      </c>
      <c r="AA1502" s="2" t="s">
        <v>39</v>
      </c>
      <c r="AB1502" s="2" t="s">
        <v>38</v>
      </c>
      <c r="AC1502" s="2" t="s">
        <v>39</v>
      </c>
      <c r="AD1502" s="2" t="s">
        <v>38</v>
      </c>
      <c r="AE1502" s="2"/>
    </row>
    <row r="1503" spans="1:31" ht="409.5">
      <c r="A1503" s="2">
        <v>2736771</v>
      </c>
      <c r="B1503" s="2">
        <f>HYPERLINK("https://platform.v2.vetology.net/cases/2736771/screening-report/1?type=pdf&amp;v=v6&amp;scorecard=1&amp;secret_key=BX%25IJ%24%2F65ieZ%29f6", 2736771)</f>
        <v>2736771</v>
      </c>
      <c r="C1503" s="2">
        <f>HYPERLINK("https://platform.v2.vetology.net/report/v/final/"&amp;2736771, 2736771)</f>
        <v>2736771</v>
      </c>
      <c r="D1503" s="2" t="s">
        <v>4954</v>
      </c>
      <c r="E1503" s="2" t="s">
        <v>4955</v>
      </c>
      <c r="F1503" s="2" t="s">
        <v>4956</v>
      </c>
      <c r="G1503" s="2" t="s">
        <v>53</v>
      </c>
      <c r="H1503" s="2" t="s">
        <v>419</v>
      </c>
      <c r="I1503" s="2" t="s">
        <v>36</v>
      </c>
      <c r="J1503" s="2" t="s">
        <v>37</v>
      </c>
      <c r="K1503" s="2" t="s">
        <v>39</v>
      </c>
      <c r="L1503" s="2" t="s">
        <v>39</v>
      </c>
      <c r="M1503" s="2" t="s">
        <v>38</v>
      </c>
      <c r="N1503" s="2" t="s">
        <v>39</v>
      </c>
      <c r="O1503" s="2" t="s">
        <v>38</v>
      </c>
      <c r="P1503" s="2" t="s">
        <v>39</v>
      </c>
      <c r="Q1503" s="2" t="s">
        <v>39</v>
      </c>
      <c r="R1503" s="2" t="s">
        <v>38</v>
      </c>
      <c r="S1503" s="2" t="s">
        <v>39</v>
      </c>
      <c r="T1503" s="2" t="s">
        <v>39</v>
      </c>
      <c r="U1503" s="2" t="s">
        <v>39</v>
      </c>
      <c r="V1503" s="2" t="s">
        <v>38</v>
      </c>
      <c r="W1503" s="2" t="s">
        <v>39</v>
      </c>
      <c r="X1503" s="2" t="s">
        <v>39</v>
      </c>
      <c r="Y1503" s="2" t="s">
        <v>39</v>
      </c>
      <c r="Z1503" s="2" t="s">
        <v>38</v>
      </c>
      <c r="AA1503" s="2" t="s">
        <v>39</v>
      </c>
      <c r="AB1503" s="2" t="s">
        <v>39</v>
      </c>
      <c r="AC1503" s="2" t="s">
        <v>38</v>
      </c>
      <c r="AD1503" s="2" t="s">
        <v>38</v>
      </c>
      <c r="AE1503" s="2" t="s">
        <v>39</v>
      </c>
    </row>
    <row r="1504" spans="1:31" ht="409.5">
      <c r="A1504" s="2">
        <v>2736761</v>
      </c>
      <c r="B1504" s="2">
        <f>HYPERLINK("https://platform.v2.vetology.net/cases/2736761/screening-report/1?type=pdf&amp;v=v6&amp;scorecard=1&amp;secret_key=BX%25IJ%24%2F65ieZ%29f6", 2736761)</f>
        <v>2736761</v>
      </c>
      <c r="C1504" s="2">
        <f>HYPERLINK("https://platform.v2.vetology.net/report/v/final/"&amp;2736761, 2736761)</f>
        <v>2736761</v>
      </c>
      <c r="D1504" s="2" t="s">
        <v>4957</v>
      </c>
      <c r="E1504" s="2" t="s">
        <v>4958</v>
      </c>
      <c r="F1504" s="2" t="s">
        <v>4959</v>
      </c>
      <c r="G1504" s="2" t="s">
        <v>53</v>
      </c>
      <c r="H1504" s="2" t="s">
        <v>4960</v>
      </c>
      <c r="I1504" s="2" t="s">
        <v>73</v>
      </c>
      <c r="J1504" s="2" t="s">
        <v>74</v>
      </c>
      <c r="K1504" s="2" t="s">
        <v>38</v>
      </c>
      <c r="L1504" s="2" t="s">
        <v>39</v>
      </c>
      <c r="M1504" s="2" t="s">
        <v>38</v>
      </c>
      <c r="N1504" s="2" t="s">
        <v>38</v>
      </c>
      <c r="O1504" s="2" t="s">
        <v>38</v>
      </c>
      <c r="P1504" s="2" t="s">
        <v>38</v>
      </c>
      <c r="Q1504" s="2" t="s">
        <v>38</v>
      </c>
      <c r="R1504" s="2" t="s">
        <v>39</v>
      </c>
      <c r="S1504" s="2" t="s">
        <v>38</v>
      </c>
      <c r="T1504" s="2" t="s">
        <v>38</v>
      </c>
      <c r="U1504" s="2" t="s">
        <v>38</v>
      </c>
      <c r="V1504" s="2" t="s">
        <v>38</v>
      </c>
      <c r="W1504" s="2" t="s">
        <v>38</v>
      </c>
      <c r="X1504" s="2" t="s">
        <v>38</v>
      </c>
      <c r="Y1504" s="2" t="s">
        <v>39</v>
      </c>
      <c r="Z1504" s="2" t="s">
        <v>38</v>
      </c>
      <c r="AA1504" s="2" t="s">
        <v>38</v>
      </c>
      <c r="AB1504" s="2" t="s">
        <v>38</v>
      </c>
      <c r="AC1504" s="2" t="s">
        <v>38</v>
      </c>
      <c r="AD1504" s="2" t="s">
        <v>38</v>
      </c>
      <c r="AE1504" s="2" t="s">
        <v>40</v>
      </c>
    </row>
    <row r="1505" spans="1:31" ht="409.5">
      <c r="A1505" s="2">
        <v>2736754</v>
      </c>
      <c r="B1505" s="2">
        <f>HYPERLINK("https://platform.v2.vetology.net/cases/2736754/screening-report/1?type=pdf&amp;v=v6&amp;scorecard=1&amp;secret_key=BX%25IJ%24%2F65ieZ%29f6", 2736754)</f>
        <v>2736754</v>
      </c>
      <c r="C1505" s="2">
        <f>HYPERLINK("https://platform.v2.vetology.net/report/v/final/"&amp;2736754, 2736754)</f>
        <v>2736754</v>
      </c>
      <c r="D1505" s="2" t="s">
        <v>4961</v>
      </c>
      <c r="E1505" s="2" t="s">
        <v>4962</v>
      </c>
      <c r="F1505" s="2" t="s">
        <v>43</v>
      </c>
      <c r="G1505" s="2" t="s">
        <v>44</v>
      </c>
      <c r="H1505" s="2" t="s">
        <v>45</v>
      </c>
      <c r="I1505" s="2" t="s">
        <v>46</v>
      </c>
      <c r="J1505" s="2"/>
      <c r="K1505" s="2" t="s">
        <v>39</v>
      </c>
      <c r="L1505" s="2" t="s">
        <v>39</v>
      </c>
      <c r="M1505" s="2" t="s">
        <v>39</v>
      </c>
      <c r="N1505" s="2" t="s">
        <v>39</v>
      </c>
      <c r="O1505" s="2" t="s">
        <v>38</v>
      </c>
      <c r="P1505" s="2" t="s">
        <v>39</v>
      </c>
      <c r="Q1505" s="2" t="s">
        <v>39</v>
      </c>
      <c r="R1505" s="2" t="s">
        <v>38</v>
      </c>
      <c r="S1505" s="2" t="s">
        <v>39</v>
      </c>
      <c r="T1505" s="2" t="s">
        <v>39</v>
      </c>
      <c r="U1505" s="2" t="s">
        <v>39</v>
      </c>
      <c r="V1505" s="2" t="s">
        <v>39</v>
      </c>
      <c r="W1505" s="2" t="s">
        <v>38</v>
      </c>
      <c r="X1505" s="2" t="s">
        <v>39</v>
      </c>
      <c r="Y1505" s="2" t="s">
        <v>39</v>
      </c>
      <c r="Z1505" s="2" t="s">
        <v>38</v>
      </c>
      <c r="AA1505" s="2" t="s">
        <v>39</v>
      </c>
      <c r="AB1505" s="2" t="s">
        <v>39</v>
      </c>
      <c r="AC1505" s="2" t="s">
        <v>38</v>
      </c>
      <c r="AD1505" s="2" t="s">
        <v>39</v>
      </c>
      <c r="AE1505" s="2" t="s">
        <v>39</v>
      </c>
    </row>
    <row r="1506" spans="1:31" ht="409.5">
      <c r="A1506" s="2">
        <v>2736716</v>
      </c>
      <c r="B1506" s="2">
        <f>HYPERLINK("https://platform.v2.vetology.net/cases/2736716/screening-report/1?type=pdf&amp;v=v6&amp;scorecard=1&amp;secret_key=BX%25IJ%24%2F65ieZ%29f6", 2736716)</f>
        <v>2736716</v>
      </c>
      <c r="C1506" s="2">
        <f>HYPERLINK("https://platform.v2.vetology.net/report/v/final/"&amp;2736716, 2736716)</f>
        <v>2736716</v>
      </c>
      <c r="D1506" s="2" t="s">
        <v>4963</v>
      </c>
      <c r="E1506" s="2" t="s">
        <v>4964</v>
      </c>
      <c r="F1506" s="2" t="s">
        <v>4965</v>
      </c>
      <c r="G1506" s="2" t="s">
        <v>100</v>
      </c>
      <c r="H1506" s="2" t="s">
        <v>69</v>
      </c>
      <c r="I1506" s="2" t="s">
        <v>46</v>
      </c>
      <c r="J1506" s="2"/>
      <c r="K1506" s="2" t="s">
        <v>39</v>
      </c>
      <c r="L1506" s="2" t="s">
        <v>39</v>
      </c>
      <c r="M1506" s="2" t="s">
        <v>39</v>
      </c>
      <c r="N1506" s="2" t="s">
        <v>39</v>
      </c>
      <c r="O1506" s="2" t="s">
        <v>38</v>
      </c>
      <c r="P1506" s="2" t="s">
        <v>39</v>
      </c>
      <c r="Q1506" s="2" t="s">
        <v>39</v>
      </c>
      <c r="R1506" s="2" t="s">
        <v>39</v>
      </c>
      <c r="S1506" s="2" t="s">
        <v>39</v>
      </c>
      <c r="T1506" s="2" t="s">
        <v>38</v>
      </c>
      <c r="U1506" s="2" t="s">
        <v>39</v>
      </c>
      <c r="V1506" s="2" t="s">
        <v>39</v>
      </c>
      <c r="W1506" s="2" t="s">
        <v>39</v>
      </c>
      <c r="X1506" s="2" t="s">
        <v>39</v>
      </c>
      <c r="Y1506" s="2" t="s">
        <v>39</v>
      </c>
      <c r="Z1506" s="2" t="s">
        <v>38</v>
      </c>
      <c r="AA1506" s="2" t="s">
        <v>39</v>
      </c>
      <c r="AB1506" s="2" t="s">
        <v>39</v>
      </c>
      <c r="AC1506" s="2" t="s">
        <v>39</v>
      </c>
      <c r="AD1506" s="2" t="s">
        <v>38</v>
      </c>
      <c r="AE1506" s="2" t="s">
        <v>39</v>
      </c>
    </row>
    <row r="1507" spans="1:31" ht="409.5">
      <c r="A1507" s="2">
        <v>2736696</v>
      </c>
      <c r="B1507" s="2">
        <f>HYPERLINK("https://platform.v2.vetology.net/cases/2736696/screening-report/1?type=pdf&amp;v=v6&amp;scorecard=1&amp;secret_key=BX%25IJ%24%2F65ieZ%29f6", 2736696)</f>
        <v>2736696</v>
      </c>
      <c r="C1507" s="2">
        <f>HYPERLINK("https://platform.v2.vetology.net/report/v/final/"&amp;2736696, 2736696)</f>
        <v>2736696</v>
      </c>
      <c r="D1507" s="2" t="s">
        <v>4966</v>
      </c>
      <c r="E1507" s="2" t="s">
        <v>4967</v>
      </c>
      <c r="F1507" s="2" t="s">
        <v>4968</v>
      </c>
      <c r="G1507" s="2" t="s">
        <v>53</v>
      </c>
      <c r="H1507" s="2" t="s">
        <v>4969</v>
      </c>
      <c r="I1507" s="2" t="s">
        <v>73</v>
      </c>
      <c r="J1507" s="2" t="s">
        <v>74</v>
      </c>
      <c r="K1507" s="2" t="s">
        <v>38</v>
      </c>
      <c r="L1507" s="2" t="s">
        <v>38</v>
      </c>
      <c r="M1507" s="2" t="s">
        <v>38</v>
      </c>
      <c r="N1507" s="2" t="s">
        <v>38</v>
      </c>
      <c r="O1507" s="2" t="s">
        <v>38</v>
      </c>
      <c r="P1507" s="2" t="s">
        <v>38</v>
      </c>
      <c r="Q1507" s="2" t="s">
        <v>38</v>
      </c>
      <c r="R1507" s="2" t="s">
        <v>38</v>
      </c>
      <c r="S1507" s="2" t="s">
        <v>38</v>
      </c>
      <c r="T1507" s="2" t="s">
        <v>38</v>
      </c>
      <c r="U1507" s="2" t="s">
        <v>38</v>
      </c>
      <c r="V1507" s="2" t="s">
        <v>38</v>
      </c>
      <c r="W1507" s="2" t="s">
        <v>38</v>
      </c>
      <c r="X1507" s="2" t="s">
        <v>38</v>
      </c>
      <c r="Y1507" s="2" t="s">
        <v>39</v>
      </c>
      <c r="Z1507" s="2" t="s">
        <v>38</v>
      </c>
      <c r="AA1507" s="2" t="s">
        <v>38</v>
      </c>
      <c r="AB1507" s="2" t="s">
        <v>38</v>
      </c>
      <c r="AC1507" s="2" t="s">
        <v>38</v>
      </c>
      <c r="AD1507" s="2" t="s">
        <v>38</v>
      </c>
      <c r="AE1507" s="2" t="s">
        <v>40</v>
      </c>
    </row>
    <row r="1508" spans="1:31" ht="409.5">
      <c r="A1508" s="2">
        <v>2736676</v>
      </c>
      <c r="B1508" s="2">
        <f>HYPERLINK("https://platform.v2.vetology.net/cases/2736676/screening-report/1?type=pdf&amp;v=v6&amp;scorecard=1&amp;secret_key=BX%25IJ%24%2F65ieZ%29f6", 2736676)</f>
        <v>2736676</v>
      </c>
      <c r="C1508" s="2">
        <f>HYPERLINK("https://platform.v2.vetology.net/report/v/final/"&amp;2736676, 2736676)</f>
        <v>2736676</v>
      </c>
      <c r="D1508" s="2" t="s">
        <v>4970</v>
      </c>
      <c r="E1508" s="2" t="s">
        <v>4971</v>
      </c>
      <c r="F1508" s="2" t="s">
        <v>4972</v>
      </c>
      <c r="G1508" s="2" t="s">
        <v>53</v>
      </c>
      <c r="H1508" s="2" t="s">
        <v>530</v>
      </c>
      <c r="I1508" s="2" t="s">
        <v>59</v>
      </c>
      <c r="J1508" s="2" t="s">
        <v>37</v>
      </c>
      <c r="K1508" s="2" t="s">
        <v>38</v>
      </c>
      <c r="L1508" s="2" t="s">
        <v>39</v>
      </c>
      <c r="M1508" s="2" t="s">
        <v>39</v>
      </c>
      <c r="N1508" s="2" t="s">
        <v>39</v>
      </c>
      <c r="O1508" s="2" t="s">
        <v>39</v>
      </c>
      <c r="P1508" s="2" t="s">
        <v>39</v>
      </c>
      <c r="Q1508" s="2" t="s">
        <v>39</v>
      </c>
      <c r="R1508" s="2" t="s">
        <v>39</v>
      </c>
      <c r="S1508" s="2" t="s">
        <v>39</v>
      </c>
      <c r="T1508" s="2" t="s">
        <v>39</v>
      </c>
      <c r="U1508" s="2" t="s">
        <v>38</v>
      </c>
      <c r="V1508" s="2" t="s">
        <v>38</v>
      </c>
      <c r="W1508" s="2" t="s">
        <v>39</v>
      </c>
      <c r="X1508" s="2" t="s">
        <v>39</v>
      </c>
      <c r="Y1508" s="2" t="s">
        <v>39</v>
      </c>
      <c r="Z1508" s="2" t="s">
        <v>39</v>
      </c>
      <c r="AA1508" s="2" t="s">
        <v>39</v>
      </c>
      <c r="AB1508" s="2" t="s">
        <v>39</v>
      </c>
      <c r="AC1508" s="2" t="s">
        <v>38</v>
      </c>
      <c r="AD1508" s="2" t="s">
        <v>38</v>
      </c>
      <c r="AE1508" s="2"/>
    </row>
    <row r="1509" spans="1:31" ht="409.5">
      <c r="A1509" s="2">
        <v>2736669</v>
      </c>
      <c r="B1509" s="2">
        <f>HYPERLINK("https://platform.v2.vetology.net/cases/2736669/screening-report/1?type=pdf&amp;v=v6&amp;scorecard=1&amp;secret_key=BX%25IJ%24%2F65ieZ%29f6", 2736669)</f>
        <v>2736669</v>
      </c>
      <c r="C1509" s="2">
        <f>HYPERLINK("https://platform.v2.vetology.net/report/v/final/"&amp;2736669, 2736669)</f>
        <v>2736669</v>
      </c>
      <c r="D1509" s="2" t="s">
        <v>4973</v>
      </c>
      <c r="E1509" s="2" t="s">
        <v>4974</v>
      </c>
      <c r="F1509" s="2" t="s">
        <v>4975</v>
      </c>
      <c r="G1509" s="2" t="s">
        <v>53</v>
      </c>
      <c r="H1509" s="2" t="s">
        <v>4976</v>
      </c>
      <c r="I1509" s="2" t="s">
        <v>257</v>
      </c>
      <c r="J1509" s="2" t="s">
        <v>74</v>
      </c>
      <c r="K1509" s="2" t="s">
        <v>38</v>
      </c>
      <c r="L1509" s="2" t="s">
        <v>38</v>
      </c>
      <c r="M1509" s="2" t="s">
        <v>38</v>
      </c>
      <c r="N1509" s="2" t="s">
        <v>38</v>
      </c>
      <c r="O1509" s="2" t="s">
        <v>38</v>
      </c>
      <c r="P1509" s="2" t="s">
        <v>38</v>
      </c>
      <c r="Q1509" s="2" t="s">
        <v>38</v>
      </c>
      <c r="R1509" s="2" t="s">
        <v>38</v>
      </c>
      <c r="S1509" s="2" t="s">
        <v>38</v>
      </c>
      <c r="T1509" s="2" t="s">
        <v>39</v>
      </c>
      <c r="U1509" s="2" t="s">
        <v>38</v>
      </c>
      <c r="V1509" s="2" t="s">
        <v>38</v>
      </c>
      <c r="W1509" s="2" t="s">
        <v>39</v>
      </c>
      <c r="X1509" s="2" t="s">
        <v>38</v>
      </c>
      <c r="Y1509" s="2" t="s">
        <v>39</v>
      </c>
      <c r="Z1509" s="2" t="s">
        <v>38</v>
      </c>
      <c r="AA1509" s="2" t="s">
        <v>38</v>
      </c>
      <c r="AB1509" s="2" t="s">
        <v>38</v>
      </c>
      <c r="AC1509" s="2" t="s">
        <v>38</v>
      </c>
      <c r="AD1509" s="2" t="s">
        <v>38</v>
      </c>
      <c r="AE1509" s="2" t="s">
        <v>39</v>
      </c>
    </row>
    <row r="1510" spans="1:31" ht="409.5">
      <c r="A1510" s="2">
        <v>2736657</v>
      </c>
      <c r="B1510" s="2">
        <f>HYPERLINK("https://platform.v2.vetology.net/cases/2736657/screening-report/1?type=pdf&amp;v=v6&amp;scorecard=1&amp;secret_key=BX%25IJ%24%2F65ieZ%29f6", 2736657)</f>
        <v>2736657</v>
      </c>
      <c r="C1510" s="2">
        <f>HYPERLINK("https://platform.v2.vetology.net/report/v/final/"&amp;2736657, 2736657)</f>
        <v>2736657</v>
      </c>
      <c r="D1510" s="2" t="s">
        <v>4977</v>
      </c>
      <c r="E1510" s="2" t="s">
        <v>4978</v>
      </c>
      <c r="F1510" s="2" t="s">
        <v>4979</v>
      </c>
      <c r="G1510" s="2" t="s">
        <v>53</v>
      </c>
      <c r="H1510" s="2" t="s">
        <v>4980</v>
      </c>
      <c r="I1510" s="2" t="s">
        <v>36</v>
      </c>
      <c r="J1510" s="2" t="s">
        <v>37</v>
      </c>
      <c r="K1510" s="2" t="s">
        <v>38</v>
      </c>
      <c r="L1510" s="2" t="s">
        <v>38</v>
      </c>
      <c r="M1510" s="2" t="s">
        <v>39</v>
      </c>
      <c r="N1510" s="2" t="s">
        <v>38</v>
      </c>
      <c r="O1510" s="2" t="s">
        <v>38</v>
      </c>
      <c r="P1510" s="2" t="s">
        <v>39</v>
      </c>
      <c r="Q1510" s="2" t="s">
        <v>39</v>
      </c>
      <c r="R1510" s="2" t="s">
        <v>38</v>
      </c>
      <c r="S1510" s="2" t="s">
        <v>38</v>
      </c>
      <c r="T1510" s="2" t="s">
        <v>39</v>
      </c>
      <c r="U1510" s="2" t="s">
        <v>38</v>
      </c>
      <c r="V1510" s="2" t="s">
        <v>38</v>
      </c>
      <c r="W1510" s="2" t="s">
        <v>38</v>
      </c>
      <c r="X1510" s="2" t="s">
        <v>39</v>
      </c>
      <c r="Y1510" s="2" t="s">
        <v>39</v>
      </c>
      <c r="Z1510" s="2" t="s">
        <v>39</v>
      </c>
      <c r="AA1510" s="2" t="s">
        <v>39</v>
      </c>
      <c r="AB1510" s="2" t="s">
        <v>39</v>
      </c>
      <c r="AC1510" s="2" t="s">
        <v>38</v>
      </c>
      <c r="AD1510" s="2" t="s">
        <v>38</v>
      </c>
      <c r="AE1510" s="2"/>
    </row>
    <row r="1511" spans="1:31" ht="409.5">
      <c r="A1511" s="2">
        <v>2736653</v>
      </c>
      <c r="B1511" s="2">
        <f>HYPERLINK("https://platform.v2.vetology.net/cases/2736653/screening-report/1?type=pdf&amp;v=v6&amp;scorecard=1&amp;secret_key=BX%25IJ%24%2F65ieZ%29f6", 2736653)</f>
        <v>2736653</v>
      </c>
      <c r="C1511" s="2">
        <f>HYPERLINK("https://platform.v2.vetology.net/report/v/final/"&amp;2736653, 2736653)</f>
        <v>2736653</v>
      </c>
      <c r="D1511" s="2" t="s">
        <v>4981</v>
      </c>
      <c r="E1511" s="2" t="s">
        <v>4982</v>
      </c>
      <c r="F1511" s="2" t="s">
        <v>4983</v>
      </c>
      <c r="G1511" s="2" t="s">
        <v>53</v>
      </c>
      <c r="H1511" s="2" t="s">
        <v>4984</v>
      </c>
      <c r="I1511" s="2" t="s">
        <v>36</v>
      </c>
      <c r="J1511" s="2" t="s">
        <v>37</v>
      </c>
      <c r="K1511" s="2" t="s">
        <v>38</v>
      </c>
      <c r="L1511" s="2" t="s">
        <v>38</v>
      </c>
      <c r="M1511" s="2" t="s">
        <v>38</v>
      </c>
      <c r="N1511" s="2" t="s">
        <v>39</v>
      </c>
      <c r="O1511" s="2" t="s">
        <v>38</v>
      </c>
      <c r="P1511" s="2" t="s">
        <v>39</v>
      </c>
      <c r="Q1511" s="2" t="s">
        <v>39</v>
      </c>
      <c r="R1511" s="2" t="s">
        <v>38</v>
      </c>
      <c r="S1511" s="2" t="s">
        <v>39</v>
      </c>
      <c r="T1511" s="2" t="s">
        <v>39</v>
      </c>
      <c r="U1511" s="2" t="s">
        <v>39</v>
      </c>
      <c r="V1511" s="2" t="s">
        <v>38</v>
      </c>
      <c r="W1511" s="2" t="s">
        <v>39</v>
      </c>
      <c r="X1511" s="2" t="s">
        <v>39</v>
      </c>
      <c r="Y1511" s="2" t="s">
        <v>39</v>
      </c>
      <c r="Z1511" s="2" t="s">
        <v>38</v>
      </c>
      <c r="AA1511" s="2" t="s">
        <v>39</v>
      </c>
      <c r="AB1511" s="2" t="s">
        <v>39</v>
      </c>
      <c r="AC1511" s="2" t="s">
        <v>38</v>
      </c>
      <c r="AD1511" s="2" t="s">
        <v>39</v>
      </c>
      <c r="AE1511" s="2" t="s">
        <v>39</v>
      </c>
    </row>
    <row r="1512" spans="1:31" ht="409.5">
      <c r="A1512" s="2">
        <v>2736643</v>
      </c>
      <c r="B1512" s="2">
        <f>HYPERLINK("https://platform.v2.vetology.net/cases/2736643/screening-report/1?type=pdf&amp;v=v6&amp;scorecard=1&amp;secret_key=BX%25IJ%24%2F65ieZ%29f6", 2736643)</f>
        <v>2736643</v>
      </c>
      <c r="C1512" s="2">
        <f>HYPERLINK("https://platform.v2.vetology.net/report/v/final/"&amp;2736643, 2736643)</f>
        <v>2736643</v>
      </c>
      <c r="D1512" s="2" t="s">
        <v>4985</v>
      </c>
      <c r="E1512" s="2" t="s">
        <v>4986</v>
      </c>
      <c r="F1512" s="2" t="s">
        <v>43</v>
      </c>
      <c r="G1512" s="2" t="s">
        <v>44</v>
      </c>
      <c r="H1512" s="2" t="s">
        <v>1267</v>
      </c>
      <c r="I1512" s="2" t="s">
        <v>36</v>
      </c>
      <c r="J1512" s="2" t="s">
        <v>37</v>
      </c>
      <c r="K1512" s="2" t="s">
        <v>39</v>
      </c>
      <c r="L1512" s="2" t="s">
        <v>38</v>
      </c>
      <c r="M1512" s="2" t="s">
        <v>39</v>
      </c>
      <c r="N1512" s="2" t="s">
        <v>39</v>
      </c>
      <c r="O1512" s="2" t="s">
        <v>38</v>
      </c>
      <c r="P1512" s="2" t="s">
        <v>39</v>
      </c>
      <c r="Q1512" s="2" t="s">
        <v>39</v>
      </c>
      <c r="R1512" s="2" t="s">
        <v>39</v>
      </c>
      <c r="S1512" s="2" t="s">
        <v>39</v>
      </c>
      <c r="T1512" s="2" t="s">
        <v>38</v>
      </c>
      <c r="U1512" s="2" t="s">
        <v>39</v>
      </c>
      <c r="V1512" s="2" t="s">
        <v>39</v>
      </c>
      <c r="W1512" s="2" t="s">
        <v>38</v>
      </c>
      <c r="X1512" s="2" t="s">
        <v>39</v>
      </c>
      <c r="Y1512" s="2" t="s">
        <v>39</v>
      </c>
      <c r="Z1512" s="2" t="s">
        <v>39</v>
      </c>
      <c r="AA1512" s="2" t="s">
        <v>39</v>
      </c>
      <c r="AB1512" s="2" t="s">
        <v>39</v>
      </c>
      <c r="AC1512" s="2" t="s">
        <v>38</v>
      </c>
      <c r="AD1512" s="2" t="s">
        <v>38</v>
      </c>
      <c r="AE1512" s="2" t="s">
        <v>39</v>
      </c>
    </row>
    <row r="1513" spans="1:31" ht="409.5">
      <c r="A1513" s="2">
        <v>2736640</v>
      </c>
      <c r="B1513" s="2">
        <f>HYPERLINK("https://platform.v2.vetology.net/cases/2736640/screening-report/1?type=pdf&amp;v=v6&amp;scorecard=1&amp;secret_key=BX%25IJ%24%2F65ieZ%29f6", 2736640)</f>
        <v>2736640</v>
      </c>
      <c r="C1513" s="2">
        <f>HYPERLINK("https://platform.v2.vetology.net/report/v/final/"&amp;2736640, 2736640)</f>
        <v>2736640</v>
      </c>
      <c r="D1513" s="2" t="s">
        <v>4987</v>
      </c>
      <c r="E1513" s="2" t="s">
        <v>4988</v>
      </c>
      <c r="F1513" s="2" t="s">
        <v>4989</v>
      </c>
      <c r="G1513" s="2" t="s">
        <v>53</v>
      </c>
      <c r="H1513" s="2" t="s">
        <v>4990</v>
      </c>
      <c r="I1513" s="2" t="s">
        <v>36</v>
      </c>
      <c r="J1513" s="2" t="s">
        <v>37</v>
      </c>
      <c r="K1513" s="2" t="s">
        <v>39</v>
      </c>
      <c r="L1513" s="2" t="s">
        <v>38</v>
      </c>
      <c r="M1513" s="2" t="s">
        <v>38</v>
      </c>
      <c r="N1513" s="2" t="s">
        <v>38</v>
      </c>
      <c r="O1513" s="2" t="s">
        <v>38</v>
      </c>
      <c r="P1513" s="2" t="s">
        <v>39</v>
      </c>
      <c r="Q1513" s="2" t="s">
        <v>39</v>
      </c>
      <c r="R1513" s="2" t="s">
        <v>38</v>
      </c>
      <c r="S1513" s="2" t="s">
        <v>38</v>
      </c>
      <c r="T1513" s="2" t="s">
        <v>39</v>
      </c>
      <c r="U1513" s="2" t="s">
        <v>39</v>
      </c>
      <c r="V1513" s="2" t="s">
        <v>39</v>
      </c>
      <c r="W1513" s="2" t="s">
        <v>39</v>
      </c>
      <c r="X1513" s="2" t="s">
        <v>39</v>
      </c>
      <c r="Y1513" s="2" t="s">
        <v>38</v>
      </c>
      <c r="Z1513" s="2" t="s">
        <v>38</v>
      </c>
      <c r="AA1513" s="2" t="s">
        <v>38</v>
      </c>
      <c r="AB1513" s="2" t="s">
        <v>39</v>
      </c>
      <c r="AC1513" s="2" t="s">
        <v>38</v>
      </c>
      <c r="AD1513" s="2" t="s">
        <v>38</v>
      </c>
      <c r="AE1513" s="2" t="s">
        <v>40</v>
      </c>
    </row>
    <row r="1514" spans="1:31" ht="409.5">
      <c r="A1514" s="2">
        <v>2736617</v>
      </c>
      <c r="B1514" s="2">
        <f>HYPERLINK("https://platform.v2.vetology.net/cases/2736617/screening-report/1?type=pdf&amp;v=v6&amp;scorecard=1&amp;secret_key=BX%25IJ%24%2F65ieZ%29f6", 2736617)</f>
        <v>2736617</v>
      </c>
      <c r="C1514" s="2">
        <f>HYPERLINK("https://platform.v2.vetology.net/report/v/final/"&amp;2736617, 2736617)</f>
        <v>2736617</v>
      </c>
      <c r="D1514" s="2" t="s">
        <v>4991</v>
      </c>
      <c r="E1514" s="2" t="s">
        <v>4992</v>
      </c>
      <c r="F1514" s="2"/>
      <c r="G1514" s="2" t="s">
        <v>100</v>
      </c>
      <c r="H1514" s="2" t="s">
        <v>530</v>
      </c>
      <c r="I1514" s="2" t="s">
        <v>59</v>
      </c>
      <c r="J1514" s="2" t="s">
        <v>37</v>
      </c>
      <c r="K1514" s="2" t="s">
        <v>38</v>
      </c>
      <c r="L1514" s="2" t="s">
        <v>39</v>
      </c>
      <c r="M1514" s="2" t="s">
        <v>39</v>
      </c>
      <c r="N1514" s="2" t="s">
        <v>39</v>
      </c>
      <c r="O1514" s="2" t="s">
        <v>39</v>
      </c>
      <c r="P1514" s="2" t="s">
        <v>39</v>
      </c>
      <c r="Q1514" s="2" t="s">
        <v>39</v>
      </c>
      <c r="R1514" s="2" t="s">
        <v>39</v>
      </c>
      <c r="S1514" s="2" t="s">
        <v>39</v>
      </c>
      <c r="T1514" s="2" t="s">
        <v>39</v>
      </c>
      <c r="U1514" s="2" t="s">
        <v>38</v>
      </c>
      <c r="V1514" s="2" t="s">
        <v>38</v>
      </c>
      <c r="W1514" s="2" t="s">
        <v>39</v>
      </c>
      <c r="X1514" s="2" t="s">
        <v>39</v>
      </c>
      <c r="Y1514" s="2" t="s">
        <v>39</v>
      </c>
      <c r="Z1514" s="2" t="s">
        <v>39</v>
      </c>
      <c r="AA1514" s="2" t="s">
        <v>39</v>
      </c>
      <c r="AB1514" s="2" t="s">
        <v>39</v>
      </c>
      <c r="AC1514" s="2" t="s">
        <v>39</v>
      </c>
      <c r="AD1514" s="2" t="s">
        <v>38</v>
      </c>
      <c r="AE1514" s="2" t="s">
        <v>39</v>
      </c>
    </row>
    <row r="1515" spans="1:31" ht="409.5">
      <c r="A1515" s="2">
        <v>2736614</v>
      </c>
      <c r="B1515" s="2">
        <f>HYPERLINK("https://platform.v2.vetology.net/cases/2736614/screening-report/1?type=pdf&amp;v=v6&amp;scorecard=1&amp;secret_key=BX%25IJ%24%2F65ieZ%29f6", 2736614)</f>
        <v>2736614</v>
      </c>
      <c r="C1515" s="2">
        <f>HYPERLINK("https://platform.v2.vetology.net/report/v/final/"&amp;2736614, 2736614)</f>
        <v>2736614</v>
      </c>
      <c r="D1515" s="2" t="s">
        <v>4993</v>
      </c>
      <c r="E1515" s="2" t="s">
        <v>4994</v>
      </c>
      <c r="F1515" s="2" t="s">
        <v>4995</v>
      </c>
      <c r="G1515" s="2" t="s">
        <v>53</v>
      </c>
      <c r="H1515" s="2" t="s">
        <v>4996</v>
      </c>
      <c r="I1515" s="2" t="s">
        <v>257</v>
      </c>
      <c r="J1515" s="2" t="s">
        <v>74</v>
      </c>
      <c r="K1515" s="2" t="s">
        <v>38</v>
      </c>
      <c r="L1515" s="2" t="s">
        <v>38</v>
      </c>
      <c r="M1515" s="2" t="s">
        <v>38</v>
      </c>
      <c r="N1515" s="2" t="s">
        <v>38</v>
      </c>
      <c r="O1515" s="2" t="s">
        <v>38</v>
      </c>
      <c r="P1515" s="2" t="s">
        <v>38</v>
      </c>
      <c r="Q1515" s="2" t="s">
        <v>38</v>
      </c>
      <c r="R1515" s="2" t="s">
        <v>38</v>
      </c>
      <c r="S1515" s="2" t="s">
        <v>38</v>
      </c>
      <c r="T1515" s="2" t="s">
        <v>38</v>
      </c>
      <c r="U1515" s="2" t="s">
        <v>38</v>
      </c>
      <c r="V1515" s="2" t="s">
        <v>38</v>
      </c>
      <c r="W1515" s="2" t="s">
        <v>38</v>
      </c>
      <c r="X1515" s="2" t="s">
        <v>38</v>
      </c>
      <c r="Y1515" s="2" t="s">
        <v>38</v>
      </c>
      <c r="Z1515" s="2" t="s">
        <v>38</v>
      </c>
      <c r="AA1515" s="2" t="s">
        <v>38</v>
      </c>
      <c r="AB1515" s="2" t="s">
        <v>38</v>
      </c>
      <c r="AC1515" s="2" t="s">
        <v>38</v>
      </c>
      <c r="AD1515" s="2" t="s">
        <v>38</v>
      </c>
      <c r="AE1515" s="2" t="s">
        <v>40</v>
      </c>
    </row>
    <row r="1516" spans="1:31" ht="409.5">
      <c r="A1516" s="2">
        <v>2736609</v>
      </c>
      <c r="B1516" s="2">
        <f>HYPERLINK("https://platform.v2.vetology.net/cases/2736609/screening-report/1?type=pdf&amp;v=v6&amp;scorecard=1&amp;secret_key=BX%25IJ%24%2F65ieZ%29f6", 2736609)</f>
        <v>2736609</v>
      </c>
      <c r="C1516" s="2">
        <f>HYPERLINK("https://platform.v2.vetology.net/report/v/final/"&amp;2736609, 2736609)</f>
        <v>2736609</v>
      </c>
      <c r="D1516" s="2" t="s">
        <v>4997</v>
      </c>
      <c r="E1516" s="2" t="s">
        <v>4998</v>
      </c>
      <c r="F1516" s="2"/>
      <c r="G1516" s="2" t="s">
        <v>81</v>
      </c>
      <c r="H1516" s="2" t="s">
        <v>4999</v>
      </c>
      <c r="I1516" s="2" t="s">
        <v>36</v>
      </c>
      <c r="J1516" s="2" t="s">
        <v>37</v>
      </c>
      <c r="K1516" s="2" t="s">
        <v>38</v>
      </c>
      <c r="L1516" s="2" t="s">
        <v>38</v>
      </c>
      <c r="M1516" s="2" t="s">
        <v>39</v>
      </c>
      <c r="N1516" s="2" t="s">
        <v>39</v>
      </c>
      <c r="O1516" s="2" t="s">
        <v>39</v>
      </c>
      <c r="P1516" s="2" t="s">
        <v>39</v>
      </c>
      <c r="Q1516" s="2" t="s">
        <v>39</v>
      </c>
      <c r="R1516" s="2" t="s">
        <v>39</v>
      </c>
      <c r="S1516" s="2" t="s">
        <v>38</v>
      </c>
      <c r="T1516" s="2" t="s">
        <v>38</v>
      </c>
      <c r="U1516" s="2" t="s">
        <v>38</v>
      </c>
      <c r="V1516" s="2" t="s">
        <v>38</v>
      </c>
      <c r="W1516" s="2" t="s">
        <v>39</v>
      </c>
      <c r="X1516" s="2" t="s">
        <v>39</v>
      </c>
      <c r="Y1516" s="2" t="s">
        <v>39</v>
      </c>
      <c r="Z1516" s="2" t="s">
        <v>39</v>
      </c>
      <c r="AA1516" s="2" t="s">
        <v>39</v>
      </c>
      <c r="AB1516" s="2" t="s">
        <v>39</v>
      </c>
      <c r="AC1516" s="2" t="s">
        <v>39</v>
      </c>
      <c r="AD1516" s="2" t="s">
        <v>38</v>
      </c>
      <c r="AE1516" s="2"/>
    </row>
    <row r="1517" spans="1:31" ht="409.5">
      <c r="A1517" s="2">
        <v>2736579</v>
      </c>
      <c r="B1517" s="2">
        <f>HYPERLINK("https://platform.v2.vetology.net/cases/2736579/screening-report/1?type=pdf&amp;v=v6&amp;scorecard=1&amp;secret_key=BX%25IJ%24%2F65ieZ%29f6", 2736579)</f>
        <v>2736579</v>
      </c>
      <c r="C1517" s="2">
        <f>HYPERLINK("https://platform.v2.vetology.net/report/v/final/"&amp;2736579, 2736579)</f>
        <v>2736579</v>
      </c>
      <c r="D1517" s="2" t="s">
        <v>5000</v>
      </c>
      <c r="E1517" s="2" t="s">
        <v>5001</v>
      </c>
      <c r="F1517" s="2" t="s">
        <v>43</v>
      </c>
      <c r="G1517" s="2" t="s">
        <v>100</v>
      </c>
      <c r="H1517" s="2" t="s">
        <v>1175</v>
      </c>
      <c r="I1517" s="2" t="s">
        <v>36</v>
      </c>
      <c r="J1517" s="2" t="s">
        <v>37</v>
      </c>
      <c r="K1517" s="2" t="s">
        <v>39</v>
      </c>
      <c r="L1517" s="2" t="s">
        <v>39</v>
      </c>
      <c r="M1517" s="2" t="s">
        <v>38</v>
      </c>
      <c r="N1517" s="2" t="s">
        <v>39</v>
      </c>
      <c r="O1517" s="2" t="s">
        <v>38</v>
      </c>
      <c r="P1517" s="2" t="s">
        <v>39</v>
      </c>
      <c r="Q1517" s="2" t="s">
        <v>39</v>
      </c>
      <c r="R1517" s="2" t="s">
        <v>38</v>
      </c>
      <c r="S1517" s="2" t="s">
        <v>39</v>
      </c>
      <c r="T1517" s="2" t="s">
        <v>38</v>
      </c>
      <c r="U1517" s="2" t="s">
        <v>39</v>
      </c>
      <c r="V1517" s="2" t="s">
        <v>38</v>
      </c>
      <c r="W1517" s="2" t="s">
        <v>39</v>
      </c>
      <c r="X1517" s="2" t="s">
        <v>39</v>
      </c>
      <c r="Y1517" s="2" t="s">
        <v>39</v>
      </c>
      <c r="Z1517" s="2" t="s">
        <v>39</v>
      </c>
      <c r="AA1517" s="2" t="s">
        <v>39</v>
      </c>
      <c r="AB1517" s="2" t="s">
        <v>39</v>
      </c>
      <c r="AC1517" s="2" t="s">
        <v>38</v>
      </c>
      <c r="AD1517" s="2" t="s">
        <v>38</v>
      </c>
      <c r="AE1517" s="2" t="s">
        <v>39</v>
      </c>
    </row>
    <row r="1518" spans="1:31" ht="409.5">
      <c r="A1518" s="2">
        <v>2736570</v>
      </c>
      <c r="B1518" s="2">
        <f>HYPERLINK("https://platform.v2.vetology.net/cases/2736570/screening-report/1?type=pdf&amp;v=v6&amp;scorecard=1&amp;secret_key=BX%25IJ%24%2F65ieZ%29f6", 2736570)</f>
        <v>2736570</v>
      </c>
      <c r="C1518" s="2">
        <f>HYPERLINK("https://platform.v2.vetology.net/report/v/final/"&amp;2736570, 2736570)</f>
        <v>2736570</v>
      </c>
      <c r="D1518" s="2" t="s">
        <v>5002</v>
      </c>
      <c r="E1518" s="2" t="s">
        <v>5003</v>
      </c>
      <c r="F1518" s="2"/>
      <c r="G1518" s="2" t="s">
        <v>81</v>
      </c>
      <c r="H1518" s="2" t="s">
        <v>5004</v>
      </c>
      <c r="I1518" s="2" t="s">
        <v>73</v>
      </c>
      <c r="J1518" s="2" t="s">
        <v>74</v>
      </c>
      <c r="K1518" s="2" t="s">
        <v>38</v>
      </c>
      <c r="L1518" s="2" t="s">
        <v>38</v>
      </c>
      <c r="M1518" s="2" t="s">
        <v>38</v>
      </c>
      <c r="N1518" s="2" t="s">
        <v>38</v>
      </c>
      <c r="O1518" s="2" t="s">
        <v>38</v>
      </c>
      <c r="P1518" s="2" t="s">
        <v>38</v>
      </c>
      <c r="Q1518" s="2" t="s">
        <v>38</v>
      </c>
      <c r="R1518" s="2" t="s">
        <v>38</v>
      </c>
      <c r="S1518" s="2" t="s">
        <v>38</v>
      </c>
      <c r="T1518" s="2" t="s">
        <v>38</v>
      </c>
      <c r="U1518" s="2" t="s">
        <v>38</v>
      </c>
      <c r="V1518" s="2" t="s">
        <v>38</v>
      </c>
      <c r="W1518" s="2" t="s">
        <v>39</v>
      </c>
      <c r="X1518" s="2" t="s">
        <v>38</v>
      </c>
      <c r="Y1518" s="2" t="s">
        <v>39</v>
      </c>
      <c r="Z1518" s="2" t="s">
        <v>38</v>
      </c>
      <c r="AA1518" s="2" t="s">
        <v>38</v>
      </c>
      <c r="AB1518" s="2" t="s">
        <v>38</v>
      </c>
      <c r="AC1518" s="2" t="s">
        <v>38</v>
      </c>
      <c r="AD1518" s="2" t="s">
        <v>38</v>
      </c>
      <c r="AE1518" s="2" t="s">
        <v>40</v>
      </c>
    </row>
    <row r="1519" spans="1:31" ht="409.5">
      <c r="A1519" s="2">
        <v>2736537</v>
      </c>
      <c r="B1519" s="2">
        <f>HYPERLINK("https://platform.v2.vetology.net/cases/2736537/screening-report/1?type=pdf&amp;v=v6&amp;scorecard=1&amp;secret_key=BX%25IJ%24%2F65ieZ%29f6", 2736537)</f>
        <v>2736537</v>
      </c>
      <c r="C1519" s="2">
        <f>HYPERLINK("https://platform.v2.vetology.net/report/v/final/"&amp;2736537, 2736537)</f>
        <v>2736537</v>
      </c>
      <c r="D1519" s="2" t="s">
        <v>5005</v>
      </c>
      <c r="E1519" s="2" t="s">
        <v>5006</v>
      </c>
      <c r="F1519" s="2" t="s">
        <v>5007</v>
      </c>
      <c r="G1519" s="2" t="s">
        <v>53</v>
      </c>
      <c r="H1519" s="2" t="s">
        <v>69</v>
      </c>
      <c r="I1519" s="2" t="s">
        <v>46</v>
      </c>
      <c r="J1519" s="2"/>
      <c r="K1519" s="2" t="s">
        <v>39</v>
      </c>
      <c r="L1519" s="2" t="s">
        <v>39</v>
      </c>
      <c r="M1519" s="2" t="s">
        <v>39</v>
      </c>
      <c r="N1519" s="2" t="s">
        <v>39</v>
      </c>
      <c r="O1519" s="2" t="s">
        <v>39</v>
      </c>
      <c r="P1519" s="2" t="s">
        <v>39</v>
      </c>
      <c r="Q1519" s="2" t="s">
        <v>39</v>
      </c>
      <c r="R1519" s="2" t="s">
        <v>39</v>
      </c>
      <c r="S1519" s="2" t="s">
        <v>39</v>
      </c>
      <c r="T1519" s="2" t="s">
        <v>38</v>
      </c>
      <c r="U1519" s="2" t="s">
        <v>39</v>
      </c>
      <c r="V1519" s="2" t="s">
        <v>39</v>
      </c>
      <c r="W1519" s="2" t="s">
        <v>39</v>
      </c>
      <c r="X1519" s="2" t="s">
        <v>39</v>
      </c>
      <c r="Y1519" s="2" t="s">
        <v>39</v>
      </c>
      <c r="Z1519" s="2" t="s">
        <v>39</v>
      </c>
      <c r="AA1519" s="2" t="s">
        <v>39</v>
      </c>
      <c r="AB1519" s="2" t="s">
        <v>39</v>
      </c>
      <c r="AC1519" s="2" t="s">
        <v>39</v>
      </c>
      <c r="AD1519" s="2" t="s">
        <v>39</v>
      </c>
      <c r="AE1519" s="2" t="s">
        <v>39</v>
      </c>
    </row>
    <row r="1520" spans="1:31" ht="409.5">
      <c r="A1520" s="2">
        <v>2736513</v>
      </c>
      <c r="B1520" s="2">
        <f>HYPERLINK("https://platform.v2.vetology.net/cases/2736513/screening-report/1?type=pdf&amp;v=v6&amp;scorecard=1&amp;secret_key=BX%25IJ%24%2F65ieZ%29f6", 2736513)</f>
        <v>2736513</v>
      </c>
      <c r="C1520" s="2">
        <f>HYPERLINK("https://platform.v2.vetology.net/report/v/final/"&amp;2736513, 2736513)</f>
        <v>2736513</v>
      </c>
      <c r="D1520" s="2" t="s">
        <v>5008</v>
      </c>
      <c r="E1520" s="2" t="s">
        <v>99</v>
      </c>
      <c r="F1520" s="2"/>
      <c r="G1520" s="2" t="s">
        <v>100</v>
      </c>
      <c r="H1520" s="2" t="s">
        <v>530</v>
      </c>
      <c r="I1520" s="2" t="s">
        <v>59</v>
      </c>
      <c r="J1520" s="2" t="s">
        <v>37</v>
      </c>
      <c r="K1520" s="2" t="s">
        <v>38</v>
      </c>
      <c r="L1520" s="2" t="s">
        <v>39</v>
      </c>
      <c r="M1520" s="2" t="s">
        <v>39</v>
      </c>
      <c r="N1520" s="2" t="s">
        <v>39</v>
      </c>
      <c r="O1520" s="2" t="s">
        <v>39</v>
      </c>
      <c r="P1520" s="2" t="s">
        <v>39</v>
      </c>
      <c r="Q1520" s="2" t="s">
        <v>39</v>
      </c>
      <c r="R1520" s="2" t="s">
        <v>39</v>
      </c>
      <c r="S1520" s="2" t="s">
        <v>39</v>
      </c>
      <c r="T1520" s="2" t="s">
        <v>39</v>
      </c>
      <c r="U1520" s="2" t="s">
        <v>38</v>
      </c>
      <c r="V1520" s="2" t="s">
        <v>38</v>
      </c>
      <c r="W1520" s="2" t="s">
        <v>39</v>
      </c>
      <c r="X1520" s="2" t="s">
        <v>39</v>
      </c>
      <c r="Y1520" s="2" t="s">
        <v>39</v>
      </c>
      <c r="Z1520" s="2" t="s">
        <v>39</v>
      </c>
      <c r="AA1520" s="2" t="s">
        <v>39</v>
      </c>
      <c r="AB1520" s="2" t="s">
        <v>39</v>
      </c>
      <c r="AC1520" s="2" t="s">
        <v>39</v>
      </c>
      <c r="AD1520" s="2" t="s">
        <v>39</v>
      </c>
      <c r="AE1520" s="2" t="s">
        <v>40</v>
      </c>
    </row>
    <row r="1521" spans="1:31" ht="409.5">
      <c r="A1521" s="2">
        <v>2736510</v>
      </c>
      <c r="B1521" s="2">
        <f>HYPERLINK("https://platform.v2.vetology.net/cases/2736510/screening-report/1?type=pdf&amp;v=v6&amp;scorecard=1&amp;secret_key=BX%25IJ%24%2F65ieZ%29f6", 2736510)</f>
        <v>2736510</v>
      </c>
      <c r="C1521" s="2">
        <f>HYPERLINK("https://platform.v2.vetology.net/report/v/final/"&amp;2736510, 2736510)</f>
        <v>2736510</v>
      </c>
      <c r="D1521" s="2" t="s">
        <v>5009</v>
      </c>
      <c r="E1521" s="2" t="s">
        <v>5010</v>
      </c>
      <c r="F1521" s="2" t="s">
        <v>5011</v>
      </c>
      <c r="G1521" s="2" t="s">
        <v>251</v>
      </c>
      <c r="H1521" s="2" t="s">
        <v>5012</v>
      </c>
      <c r="I1521" s="2" t="s">
        <v>73</v>
      </c>
      <c r="J1521" s="2" t="s">
        <v>74</v>
      </c>
      <c r="K1521" s="2" t="s">
        <v>38</v>
      </c>
      <c r="L1521" s="2" t="s">
        <v>39</v>
      </c>
      <c r="M1521" s="2" t="s">
        <v>38</v>
      </c>
      <c r="N1521" s="2" t="s">
        <v>39</v>
      </c>
      <c r="O1521" s="2" t="s">
        <v>38</v>
      </c>
      <c r="P1521" s="2" t="s">
        <v>39</v>
      </c>
      <c r="Q1521" s="2" t="s">
        <v>38</v>
      </c>
      <c r="R1521" s="2" t="s">
        <v>38</v>
      </c>
      <c r="S1521" s="2" t="s">
        <v>38</v>
      </c>
      <c r="T1521" s="2" t="s">
        <v>38</v>
      </c>
      <c r="U1521" s="2" t="s">
        <v>38</v>
      </c>
      <c r="V1521" s="2" t="s">
        <v>38</v>
      </c>
      <c r="W1521" s="2" t="s">
        <v>38</v>
      </c>
      <c r="X1521" s="2" t="s">
        <v>38</v>
      </c>
      <c r="Y1521" s="2" t="s">
        <v>39</v>
      </c>
      <c r="Z1521" s="2" t="s">
        <v>38</v>
      </c>
      <c r="AA1521" s="2" t="s">
        <v>38</v>
      </c>
      <c r="AB1521" s="2" t="s">
        <v>38</v>
      </c>
      <c r="AC1521" s="2" t="s">
        <v>38</v>
      </c>
      <c r="AD1521" s="2" t="s">
        <v>38</v>
      </c>
      <c r="AE1521" s="2" t="s">
        <v>40</v>
      </c>
    </row>
    <row r="1522" spans="1:31" ht="409.5">
      <c r="A1522" s="2">
        <v>2736495</v>
      </c>
      <c r="B1522" s="2">
        <f>HYPERLINK("https://platform.v2.vetology.net/cases/2736495/screening-report/1?type=pdf&amp;v=v6&amp;scorecard=1&amp;secret_key=BX%25IJ%24%2F65ieZ%29f6", 2736495)</f>
        <v>2736495</v>
      </c>
      <c r="C1522" s="2">
        <f>HYPERLINK("https://platform.v2.vetology.net/report/v/final/"&amp;2736495, 2736495)</f>
        <v>2736495</v>
      </c>
      <c r="D1522" s="2" t="s">
        <v>5013</v>
      </c>
      <c r="E1522" s="2" t="s">
        <v>5014</v>
      </c>
      <c r="F1522" s="2" t="s">
        <v>787</v>
      </c>
      <c r="G1522" s="2" t="s">
        <v>100</v>
      </c>
      <c r="H1522" s="2" t="s">
        <v>5015</v>
      </c>
      <c r="I1522" s="2" t="s">
        <v>36</v>
      </c>
      <c r="J1522" s="2" t="s">
        <v>37</v>
      </c>
      <c r="K1522" s="2" t="s">
        <v>39</v>
      </c>
      <c r="L1522" s="2" t="s">
        <v>39</v>
      </c>
      <c r="M1522" s="2" t="s">
        <v>39</v>
      </c>
      <c r="N1522" s="2" t="s">
        <v>39</v>
      </c>
      <c r="O1522" s="2" t="s">
        <v>38</v>
      </c>
      <c r="P1522" s="2" t="s">
        <v>38</v>
      </c>
      <c r="Q1522" s="2" t="s">
        <v>39</v>
      </c>
      <c r="R1522" s="2" t="s">
        <v>38</v>
      </c>
      <c r="S1522" s="2" t="s">
        <v>38</v>
      </c>
      <c r="T1522" s="2" t="s">
        <v>39</v>
      </c>
      <c r="U1522" s="2" t="s">
        <v>39</v>
      </c>
      <c r="V1522" s="2" t="s">
        <v>39</v>
      </c>
      <c r="W1522" s="2" t="s">
        <v>38</v>
      </c>
      <c r="X1522" s="2" t="s">
        <v>39</v>
      </c>
      <c r="Y1522" s="2" t="s">
        <v>38</v>
      </c>
      <c r="Z1522" s="2" t="s">
        <v>38</v>
      </c>
      <c r="AA1522" s="2" t="s">
        <v>38</v>
      </c>
      <c r="AB1522" s="2" t="s">
        <v>39</v>
      </c>
      <c r="AC1522" s="2" t="s">
        <v>38</v>
      </c>
      <c r="AD1522" s="2" t="s">
        <v>38</v>
      </c>
      <c r="AE1522" s="2" t="s">
        <v>39</v>
      </c>
    </row>
    <row r="1523" spans="1:31" ht="409.5">
      <c r="A1523" s="2">
        <v>2736469</v>
      </c>
      <c r="B1523" s="2">
        <f>HYPERLINK("https://platform.v2.vetology.net/cases/2736469/screening-report/1?type=pdf&amp;v=v6&amp;scorecard=1&amp;secret_key=BX%25IJ%24%2F65ieZ%29f6", 2736469)</f>
        <v>2736469</v>
      </c>
      <c r="C1523" s="2">
        <f>HYPERLINK("https://platform.v2.vetology.net/report/v/final/"&amp;2736469, 2736469)</f>
        <v>2736469</v>
      </c>
      <c r="D1523" s="2" t="s">
        <v>302</v>
      </c>
      <c r="E1523" s="2" t="s">
        <v>99</v>
      </c>
      <c r="F1523" s="2"/>
      <c r="G1523" s="2" t="s">
        <v>100</v>
      </c>
      <c r="H1523" s="2" t="s">
        <v>797</v>
      </c>
      <c r="I1523" s="2" t="s">
        <v>59</v>
      </c>
      <c r="J1523" s="2" t="s">
        <v>37</v>
      </c>
      <c r="K1523" s="2" t="s">
        <v>38</v>
      </c>
      <c r="L1523" s="2" t="s">
        <v>39</v>
      </c>
      <c r="M1523" s="2" t="s">
        <v>39</v>
      </c>
      <c r="N1523" s="2" t="s">
        <v>39</v>
      </c>
      <c r="O1523" s="2" t="s">
        <v>39</v>
      </c>
      <c r="P1523" s="2" t="s">
        <v>39</v>
      </c>
      <c r="Q1523" s="2" t="s">
        <v>39</v>
      </c>
      <c r="R1523" s="2" t="s">
        <v>38</v>
      </c>
      <c r="S1523" s="2" t="s">
        <v>39</v>
      </c>
      <c r="T1523" s="2" t="s">
        <v>39</v>
      </c>
      <c r="U1523" s="2" t="s">
        <v>38</v>
      </c>
      <c r="V1523" s="2" t="s">
        <v>38</v>
      </c>
      <c r="W1523" s="2" t="s">
        <v>38</v>
      </c>
      <c r="X1523" s="2" t="s">
        <v>39</v>
      </c>
      <c r="Y1523" s="2" t="s">
        <v>39</v>
      </c>
      <c r="Z1523" s="2" t="s">
        <v>39</v>
      </c>
      <c r="AA1523" s="2" t="s">
        <v>39</v>
      </c>
      <c r="AB1523" s="2" t="s">
        <v>39</v>
      </c>
      <c r="AC1523" s="2" t="s">
        <v>39</v>
      </c>
      <c r="AD1523" s="2" t="s">
        <v>39</v>
      </c>
      <c r="AE1523" s="2" t="s">
        <v>39</v>
      </c>
    </row>
    <row r="1524" spans="1:31" ht="409.5">
      <c r="A1524" s="2">
        <v>2736455</v>
      </c>
      <c r="B1524" s="2">
        <f>HYPERLINK("https://platform.v2.vetology.net/cases/2736455/screening-report/1?type=pdf&amp;v=v6&amp;scorecard=1&amp;secret_key=BX%25IJ%24%2F65ieZ%29f6", 2736455)</f>
        <v>2736455</v>
      </c>
      <c r="C1524" s="2">
        <f>HYPERLINK("https://platform.v2.vetology.net/report/v/final/"&amp;2736455, 2736455)</f>
        <v>2736455</v>
      </c>
      <c r="D1524" s="2" t="s">
        <v>5016</v>
      </c>
      <c r="E1524" s="2" t="s">
        <v>5017</v>
      </c>
      <c r="F1524" s="2" t="s">
        <v>5018</v>
      </c>
      <c r="G1524" s="2" t="s">
        <v>53</v>
      </c>
      <c r="H1524" s="2" t="s">
        <v>5019</v>
      </c>
      <c r="I1524" s="2" t="s">
        <v>36</v>
      </c>
      <c r="J1524" s="2" t="s">
        <v>37</v>
      </c>
      <c r="K1524" s="2" t="s">
        <v>39</v>
      </c>
      <c r="L1524" s="2" t="s">
        <v>39</v>
      </c>
      <c r="M1524" s="2" t="s">
        <v>38</v>
      </c>
      <c r="N1524" s="2" t="s">
        <v>39</v>
      </c>
      <c r="O1524" s="2" t="s">
        <v>38</v>
      </c>
      <c r="P1524" s="2" t="s">
        <v>39</v>
      </c>
      <c r="Q1524" s="2" t="s">
        <v>39</v>
      </c>
      <c r="R1524" s="2" t="s">
        <v>38</v>
      </c>
      <c r="S1524" s="2" t="s">
        <v>38</v>
      </c>
      <c r="T1524" s="2" t="s">
        <v>38</v>
      </c>
      <c r="U1524" s="2" t="s">
        <v>39</v>
      </c>
      <c r="V1524" s="2" t="s">
        <v>39</v>
      </c>
      <c r="W1524" s="2" t="s">
        <v>38</v>
      </c>
      <c r="X1524" s="2" t="s">
        <v>39</v>
      </c>
      <c r="Y1524" s="2" t="s">
        <v>39</v>
      </c>
      <c r="Z1524" s="2" t="s">
        <v>38</v>
      </c>
      <c r="AA1524" s="2" t="s">
        <v>38</v>
      </c>
      <c r="AB1524" s="2" t="s">
        <v>39</v>
      </c>
      <c r="AC1524" s="2" t="s">
        <v>38</v>
      </c>
      <c r="AD1524" s="2" t="s">
        <v>38</v>
      </c>
      <c r="AE1524" s="2" t="s">
        <v>39</v>
      </c>
    </row>
    <row r="1525" spans="1:31" ht="409.5">
      <c r="A1525" s="2">
        <v>2736438</v>
      </c>
      <c r="B1525" s="2">
        <f>HYPERLINK("https://platform.v2.vetology.net/cases/2736438/screening-report/1?type=pdf&amp;v=v6&amp;scorecard=1&amp;secret_key=BX%25IJ%24%2F65ieZ%29f6", 2736438)</f>
        <v>2736438</v>
      </c>
      <c r="C1525" s="2">
        <f>HYPERLINK("https://platform.v2.vetology.net/report/v/final/"&amp;2736438, 2736438)</f>
        <v>2736438</v>
      </c>
      <c r="D1525" s="2" t="s">
        <v>5020</v>
      </c>
      <c r="E1525" s="2" t="s">
        <v>5021</v>
      </c>
      <c r="F1525" s="2" t="s">
        <v>5022</v>
      </c>
      <c r="G1525" s="2" t="s">
        <v>170</v>
      </c>
      <c r="H1525" s="2" t="s">
        <v>5023</v>
      </c>
      <c r="I1525" s="2" t="s">
        <v>36</v>
      </c>
      <c r="J1525" s="2" t="s">
        <v>37</v>
      </c>
      <c r="K1525" s="2" t="s">
        <v>38</v>
      </c>
      <c r="L1525" s="2" t="s">
        <v>38</v>
      </c>
      <c r="M1525" s="2" t="s">
        <v>38</v>
      </c>
      <c r="N1525" s="2" t="s">
        <v>38</v>
      </c>
      <c r="O1525" s="2" t="s">
        <v>38</v>
      </c>
      <c r="P1525" s="2" t="s">
        <v>38</v>
      </c>
      <c r="Q1525" s="2" t="s">
        <v>39</v>
      </c>
      <c r="R1525" s="2" t="s">
        <v>39</v>
      </c>
      <c r="S1525" s="2" t="s">
        <v>39</v>
      </c>
      <c r="T1525" s="2" t="s">
        <v>38</v>
      </c>
      <c r="U1525" s="2" t="s">
        <v>39</v>
      </c>
      <c r="V1525" s="2" t="s">
        <v>38</v>
      </c>
      <c r="W1525" s="2" t="s">
        <v>38</v>
      </c>
      <c r="X1525" s="2" t="s">
        <v>38</v>
      </c>
      <c r="Y1525" s="2" t="s">
        <v>39</v>
      </c>
      <c r="Z1525" s="2" t="s">
        <v>39</v>
      </c>
      <c r="AA1525" s="2" t="s">
        <v>39</v>
      </c>
      <c r="AB1525" s="2" t="s">
        <v>39</v>
      </c>
      <c r="AC1525" s="2" t="s">
        <v>39</v>
      </c>
      <c r="AD1525" s="2" t="s">
        <v>39</v>
      </c>
      <c r="AE1525" s="2" t="s">
        <v>39</v>
      </c>
    </row>
    <row r="1526" spans="1:31" ht="409.5">
      <c r="A1526" s="2">
        <v>2736401</v>
      </c>
      <c r="B1526" s="2">
        <f>HYPERLINK("https://platform.v2.vetology.net/cases/2736401/screening-report/1?type=pdf&amp;v=v6&amp;scorecard=1&amp;secret_key=BX%25IJ%24%2F65ieZ%29f6", 2736401)</f>
        <v>2736401</v>
      </c>
      <c r="C1526" s="2">
        <f>HYPERLINK("https://platform.v2.vetology.net/report/v/final/"&amp;2736401, 2736401)</f>
        <v>2736401</v>
      </c>
      <c r="D1526" s="2" t="s">
        <v>5024</v>
      </c>
      <c r="E1526" s="2" t="s">
        <v>5025</v>
      </c>
      <c r="F1526" s="2" t="s">
        <v>5026</v>
      </c>
      <c r="G1526" s="2" t="s">
        <v>53</v>
      </c>
      <c r="H1526" s="2" t="s">
        <v>5027</v>
      </c>
      <c r="I1526" s="2" t="s">
        <v>36</v>
      </c>
      <c r="J1526" s="2" t="s">
        <v>37</v>
      </c>
      <c r="K1526" s="2" t="s">
        <v>38</v>
      </c>
      <c r="L1526" s="2" t="s">
        <v>38</v>
      </c>
      <c r="M1526" s="2" t="s">
        <v>38</v>
      </c>
      <c r="N1526" s="2" t="s">
        <v>38</v>
      </c>
      <c r="O1526" s="2" t="s">
        <v>38</v>
      </c>
      <c r="P1526" s="2" t="s">
        <v>39</v>
      </c>
      <c r="Q1526" s="2" t="s">
        <v>39</v>
      </c>
      <c r="R1526" s="2" t="s">
        <v>39</v>
      </c>
      <c r="S1526" s="2" t="s">
        <v>38</v>
      </c>
      <c r="T1526" s="2" t="s">
        <v>39</v>
      </c>
      <c r="U1526" s="2" t="s">
        <v>38</v>
      </c>
      <c r="V1526" s="2" t="s">
        <v>39</v>
      </c>
      <c r="W1526" s="2" t="s">
        <v>38</v>
      </c>
      <c r="X1526" s="2" t="s">
        <v>39</v>
      </c>
      <c r="Y1526" s="2" t="s">
        <v>39</v>
      </c>
      <c r="Z1526" s="2" t="s">
        <v>38</v>
      </c>
      <c r="AA1526" s="2" t="s">
        <v>38</v>
      </c>
      <c r="AB1526" s="2" t="s">
        <v>39</v>
      </c>
      <c r="AC1526" s="2" t="s">
        <v>38</v>
      </c>
      <c r="AD1526" s="2" t="s">
        <v>38</v>
      </c>
      <c r="AE1526" s="2" t="s">
        <v>40</v>
      </c>
    </row>
    <row r="1527" spans="1:31" ht="409.5">
      <c r="A1527" s="2">
        <v>2736399</v>
      </c>
      <c r="B1527" s="2">
        <f>HYPERLINK("https://platform.v2.vetology.net/cases/2736399/screening-report/1?type=pdf&amp;v=v6&amp;scorecard=1&amp;secret_key=BX%25IJ%24%2F65ieZ%29f6", 2736399)</f>
        <v>2736399</v>
      </c>
      <c r="C1527" s="2">
        <f>HYPERLINK("https://platform.v2.vetology.net/report/v/final/"&amp;2736399, 2736399)</f>
        <v>2736399</v>
      </c>
      <c r="D1527" s="2" t="s">
        <v>5028</v>
      </c>
      <c r="E1527" s="2" t="s">
        <v>5029</v>
      </c>
      <c r="F1527" s="2" t="s">
        <v>5030</v>
      </c>
      <c r="G1527" s="2" t="s">
        <v>170</v>
      </c>
      <c r="H1527" s="2" t="s">
        <v>5031</v>
      </c>
      <c r="I1527" s="2" t="s">
        <v>73</v>
      </c>
      <c r="J1527" s="2" t="s">
        <v>74</v>
      </c>
      <c r="K1527" s="2" t="s">
        <v>38</v>
      </c>
      <c r="L1527" s="2" t="s">
        <v>38</v>
      </c>
      <c r="M1527" s="2" t="s">
        <v>38</v>
      </c>
      <c r="N1527" s="2" t="s">
        <v>38</v>
      </c>
      <c r="O1527" s="2" t="s">
        <v>38</v>
      </c>
      <c r="P1527" s="2" t="s">
        <v>38</v>
      </c>
      <c r="Q1527" s="2" t="s">
        <v>38</v>
      </c>
      <c r="R1527" s="2" t="s">
        <v>38</v>
      </c>
      <c r="S1527" s="2" t="s">
        <v>38</v>
      </c>
      <c r="T1527" s="2" t="s">
        <v>38</v>
      </c>
      <c r="U1527" s="2" t="s">
        <v>38</v>
      </c>
      <c r="V1527" s="2" t="s">
        <v>38</v>
      </c>
      <c r="W1527" s="2" t="s">
        <v>38</v>
      </c>
      <c r="X1527" s="2" t="s">
        <v>38</v>
      </c>
      <c r="Y1527" s="2" t="s">
        <v>38</v>
      </c>
      <c r="Z1527" s="2" t="s">
        <v>38</v>
      </c>
      <c r="AA1527" s="2" t="s">
        <v>39</v>
      </c>
      <c r="AB1527" s="2" t="s">
        <v>38</v>
      </c>
      <c r="AC1527" s="2" t="s">
        <v>38</v>
      </c>
      <c r="AD1527" s="2" t="s">
        <v>38</v>
      </c>
      <c r="AE1527" s="2"/>
    </row>
    <row r="1528" spans="1:31" ht="409.5">
      <c r="A1528" s="2">
        <v>2736363</v>
      </c>
      <c r="B1528" s="2">
        <f>HYPERLINK("https://platform.v2.vetology.net/cases/2736363/screening-report/1?type=pdf&amp;v=v6&amp;scorecard=1&amp;secret_key=BX%25IJ%24%2F65ieZ%29f6", 2736363)</f>
        <v>2736363</v>
      </c>
      <c r="C1528" s="2">
        <f>HYPERLINK("https://platform.v2.vetology.net/report/v/final/"&amp;2736363, 2736363)</f>
        <v>2736363</v>
      </c>
      <c r="D1528" s="2" t="s">
        <v>5032</v>
      </c>
      <c r="E1528" s="2" t="s">
        <v>5033</v>
      </c>
      <c r="F1528" s="2" t="s">
        <v>5034</v>
      </c>
      <c r="G1528" s="2" t="s">
        <v>170</v>
      </c>
      <c r="H1528" s="2" t="s">
        <v>69</v>
      </c>
      <c r="I1528" s="2" t="s">
        <v>46</v>
      </c>
      <c r="J1528" s="2"/>
      <c r="K1528" s="2" t="s">
        <v>39</v>
      </c>
      <c r="L1528" s="2" t="s">
        <v>39</v>
      </c>
      <c r="M1528" s="2" t="s">
        <v>39</v>
      </c>
      <c r="N1528" s="2" t="s">
        <v>39</v>
      </c>
      <c r="O1528" s="2" t="s">
        <v>39</v>
      </c>
      <c r="P1528" s="2" t="s">
        <v>39</v>
      </c>
      <c r="Q1528" s="2" t="s">
        <v>39</v>
      </c>
      <c r="R1528" s="2" t="s">
        <v>39</v>
      </c>
      <c r="S1528" s="2" t="s">
        <v>39</v>
      </c>
      <c r="T1528" s="2" t="s">
        <v>39</v>
      </c>
      <c r="U1528" s="2" t="s">
        <v>39</v>
      </c>
      <c r="V1528" s="2" t="s">
        <v>39</v>
      </c>
      <c r="W1528" s="2" t="s">
        <v>39</v>
      </c>
      <c r="X1528" s="2" t="s">
        <v>39</v>
      </c>
      <c r="Y1528" s="2" t="s">
        <v>39</v>
      </c>
      <c r="Z1528" s="2" t="s">
        <v>39</v>
      </c>
      <c r="AA1528" s="2" t="s">
        <v>39</v>
      </c>
      <c r="AB1528" s="2" t="s">
        <v>39</v>
      </c>
      <c r="AC1528" s="2" t="s">
        <v>39</v>
      </c>
      <c r="AD1528" s="2" t="s">
        <v>39</v>
      </c>
      <c r="AE1528" s="2" t="s">
        <v>39</v>
      </c>
    </row>
    <row r="1529" spans="1:31" ht="409.5">
      <c r="A1529" s="2">
        <v>2736347</v>
      </c>
      <c r="B1529" s="2">
        <f>HYPERLINK("https://platform.v2.vetology.net/cases/2736347/screening-report/1?type=pdf&amp;v=v6&amp;scorecard=1&amp;secret_key=BX%25IJ%24%2F65ieZ%29f6", 2736347)</f>
        <v>2736347</v>
      </c>
      <c r="C1529" s="2">
        <f>HYPERLINK("https://platform.v2.vetology.net/report/v/final/"&amp;2736347, 2736347)</f>
        <v>2736347</v>
      </c>
      <c r="D1529" s="2" t="s">
        <v>5035</v>
      </c>
      <c r="E1529" s="2" t="s">
        <v>5036</v>
      </c>
      <c r="F1529" s="2"/>
      <c r="G1529" s="2" t="s">
        <v>100</v>
      </c>
      <c r="H1529" s="2" t="s">
        <v>69</v>
      </c>
      <c r="I1529" s="2" t="s">
        <v>46</v>
      </c>
      <c r="J1529" s="2"/>
      <c r="K1529" s="2" t="s">
        <v>39</v>
      </c>
      <c r="L1529" s="2" t="s">
        <v>39</v>
      </c>
      <c r="M1529" s="2" t="s">
        <v>39</v>
      </c>
      <c r="N1529" s="2" t="s">
        <v>39</v>
      </c>
      <c r="O1529" s="2" t="s">
        <v>39</v>
      </c>
      <c r="P1529" s="2" t="s">
        <v>39</v>
      </c>
      <c r="Q1529" s="2" t="s">
        <v>39</v>
      </c>
      <c r="R1529" s="2" t="s">
        <v>39</v>
      </c>
      <c r="S1529" s="2" t="s">
        <v>39</v>
      </c>
      <c r="T1529" s="2" t="s">
        <v>38</v>
      </c>
      <c r="U1529" s="2" t="s">
        <v>39</v>
      </c>
      <c r="V1529" s="2" t="s">
        <v>39</v>
      </c>
      <c r="W1529" s="2" t="s">
        <v>39</v>
      </c>
      <c r="X1529" s="2" t="s">
        <v>39</v>
      </c>
      <c r="Y1529" s="2" t="s">
        <v>39</v>
      </c>
      <c r="Z1529" s="2" t="s">
        <v>39</v>
      </c>
      <c r="AA1529" s="2" t="s">
        <v>39</v>
      </c>
      <c r="AB1529" s="2" t="s">
        <v>39</v>
      </c>
      <c r="AC1529" s="2" t="s">
        <v>39</v>
      </c>
      <c r="AD1529" s="2" t="s">
        <v>38</v>
      </c>
      <c r="AE1529" s="2" t="s">
        <v>39</v>
      </c>
    </row>
    <row r="1530" spans="1:31" ht="409.5">
      <c r="A1530" s="2">
        <v>2736343</v>
      </c>
      <c r="B1530" s="2">
        <f>HYPERLINK("https://platform.v2.vetology.net/cases/2736343/screening-report/1?type=pdf&amp;v=v6&amp;scorecard=1&amp;secret_key=BX%25IJ%24%2F65ieZ%29f6", 2736343)</f>
        <v>2736343</v>
      </c>
      <c r="C1530" s="2">
        <f>HYPERLINK("https://platform.v2.vetology.net/report/v/final/"&amp;2736343, 2736343)</f>
        <v>2736343</v>
      </c>
      <c r="D1530" s="2" t="s">
        <v>5037</v>
      </c>
      <c r="E1530" s="2" t="s">
        <v>5038</v>
      </c>
      <c r="F1530" s="2" t="s">
        <v>5039</v>
      </c>
      <c r="G1530" s="2" t="s">
        <v>170</v>
      </c>
      <c r="H1530" s="2" t="s">
        <v>72</v>
      </c>
      <c r="I1530" s="2" t="s">
        <v>73</v>
      </c>
      <c r="J1530" s="2" t="s">
        <v>74</v>
      </c>
      <c r="K1530" s="2" t="s">
        <v>38</v>
      </c>
      <c r="L1530" s="2" t="s">
        <v>38</v>
      </c>
      <c r="M1530" s="2" t="s">
        <v>38</v>
      </c>
      <c r="N1530" s="2" t="s">
        <v>38</v>
      </c>
      <c r="O1530" s="2" t="s">
        <v>38</v>
      </c>
      <c r="P1530" s="2" t="s">
        <v>38</v>
      </c>
      <c r="Q1530" s="2" t="s">
        <v>38</v>
      </c>
      <c r="R1530" s="2" t="s">
        <v>38</v>
      </c>
      <c r="S1530" s="2" t="s">
        <v>38</v>
      </c>
      <c r="T1530" s="2" t="s">
        <v>38</v>
      </c>
      <c r="U1530" s="2" t="s">
        <v>38</v>
      </c>
      <c r="V1530" s="2" t="s">
        <v>38</v>
      </c>
      <c r="W1530" s="2" t="s">
        <v>38</v>
      </c>
      <c r="X1530" s="2" t="s">
        <v>38</v>
      </c>
      <c r="Y1530" s="2" t="s">
        <v>39</v>
      </c>
      <c r="Z1530" s="2" t="s">
        <v>38</v>
      </c>
      <c r="AA1530" s="2" t="s">
        <v>38</v>
      </c>
      <c r="AB1530" s="2" t="s">
        <v>38</v>
      </c>
      <c r="AC1530" s="2" t="s">
        <v>38</v>
      </c>
      <c r="AD1530" s="2" t="s">
        <v>38</v>
      </c>
      <c r="AE1530" s="2" t="s">
        <v>40</v>
      </c>
    </row>
    <row r="1531" spans="1:31" ht="409.5">
      <c r="A1531" s="2">
        <v>2736322</v>
      </c>
      <c r="B1531" s="2">
        <f>HYPERLINK("https://platform.v2.vetology.net/cases/2736322/screening-report/1?type=pdf&amp;v=v6&amp;scorecard=1&amp;secret_key=BX%25IJ%24%2F65ieZ%29f6", 2736322)</f>
        <v>2736322</v>
      </c>
      <c r="C1531" s="2">
        <f>HYPERLINK("https://platform.v2.vetology.net/report/v/final/"&amp;2736322, 2736322)</f>
        <v>2736322</v>
      </c>
      <c r="D1531" s="2" t="s">
        <v>5040</v>
      </c>
      <c r="E1531" s="2" t="s">
        <v>5041</v>
      </c>
      <c r="F1531" s="2" t="s">
        <v>5042</v>
      </c>
      <c r="G1531" s="2" t="s">
        <v>170</v>
      </c>
      <c r="H1531" s="2" t="s">
        <v>5043</v>
      </c>
      <c r="I1531" s="2" t="s">
        <v>73</v>
      </c>
      <c r="J1531" s="2" t="s">
        <v>74</v>
      </c>
      <c r="K1531" s="2" t="s">
        <v>38</v>
      </c>
      <c r="L1531" s="2" t="s">
        <v>39</v>
      </c>
      <c r="M1531" s="2" t="s">
        <v>38</v>
      </c>
      <c r="N1531" s="2" t="s">
        <v>38</v>
      </c>
      <c r="O1531" s="2" t="s">
        <v>38</v>
      </c>
      <c r="P1531" s="2" t="s">
        <v>38</v>
      </c>
      <c r="Q1531" s="2" t="s">
        <v>38</v>
      </c>
      <c r="R1531" s="2" t="s">
        <v>39</v>
      </c>
      <c r="S1531" s="2" t="s">
        <v>39</v>
      </c>
      <c r="T1531" s="2" t="s">
        <v>38</v>
      </c>
      <c r="U1531" s="2" t="s">
        <v>38</v>
      </c>
      <c r="V1531" s="2" t="s">
        <v>38</v>
      </c>
      <c r="W1531" s="2" t="s">
        <v>38</v>
      </c>
      <c r="X1531" s="2" t="s">
        <v>38</v>
      </c>
      <c r="Y1531" s="2" t="s">
        <v>39</v>
      </c>
      <c r="Z1531" s="2" t="s">
        <v>39</v>
      </c>
      <c r="AA1531" s="2" t="s">
        <v>39</v>
      </c>
      <c r="AB1531" s="2" t="s">
        <v>38</v>
      </c>
      <c r="AC1531" s="2" t="s">
        <v>38</v>
      </c>
      <c r="AD1531" s="2" t="s">
        <v>38</v>
      </c>
      <c r="AE1531" s="2" t="s">
        <v>40</v>
      </c>
    </row>
    <row r="1532" spans="1:31" ht="409.5">
      <c r="A1532" s="2">
        <v>2736313</v>
      </c>
      <c r="B1532" s="2">
        <f>HYPERLINK("https://platform.v2.vetology.net/cases/2736313/screening-report/1?type=pdf&amp;v=v6&amp;scorecard=1&amp;secret_key=BX%25IJ%24%2F65ieZ%29f6", 2736313)</f>
        <v>2736313</v>
      </c>
      <c r="C1532" s="2">
        <f>HYPERLINK("https://platform.v2.vetology.net/report/v/final/"&amp;2736313, 2736313)</f>
        <v>2736313</v>
      </c>
      <c r="D1532" s="2" t="s">
        <v>5044</v>
      </c>
      <c r="E1532" s="2" t="s">
        <v>5045</v>
      </c>
      <c r="F1532" s="2" t="s">
        <v>5046</v>
      </c>
      <c r="G1532" s="2" t="s">
        <v>170</v>
      </c>
      <c r="H1532" s="2" t="s">
        <v>537</v>
      </c>
      <c r="I1532" s="2" t="s">
        <v>59</v>
      </c>
      <c r="J1532" s="2" t="s">
        <v>37</v>
      </c>
      <c r="K1532" s="2" t="s">
        <v>38</v>
      </c>
      <c r="L1532" s="2" t="s">
        <v>39</v>
      </c>
      <c r="M1532" s="2" t="s">
        <v>39</v>
      </c>
      <c r="N1532" s="2" t="s">
        <v>39</v>
      </c>
      <c r="O1532" s="2" t="s">
        <v>38</v>
      </c>
      <c r="P1532" s="2" t="s">
        <v>39</v>
      </c>
      <c r="Q1532" s="2" t="s">
        <v>39</v>
      </c>
      <c r="R1532" s="2" t="s">
        <v>39</v>
      </c>
      <c r="S1532" s="2" t="s">
        <v>39</v>
      </c>
      <c r="T1532" s="2" t="s">
        <v>38</v>
      </c>
      <c r="U1532" s="2" t="s">
        <v>38</v>
      </c>
      <c r="V1532" s="2" t="s">
        <v>38</v>
      </c>
      <c r="W1532" s="2" t="s">
        <v>39</v>
      </c>
      <c r="X1532" s="2" t="s">
        <v>39</v>
      </c>
      <c r="Y1532" s="2" t="s">
        <v>39</v>
      </c>
      <c r="Z1532" s="2" t="s">
        <v>39</v>
      </c>
      <c r="AA1532" s="2" t="s">
        <v>39</v>
      </c>
      <c r="AB1532" s="2" t="s">
        <v>39</v>
      </c>
      <c r="AC1532" s="2" t="s">
        <v>39</v>
      </c>
      <c r="AD1532" s="2" t="s">
        <v>39</v>
      </c>
      <c r="AE1532" s="2" t="s">
        <v>40</v>
      </c>
    </row>
    <row r="1533" spans="1:31" ht="409.5">
      <c r="A1533" s="2">
        <v>2736309</v>
      </c>
      <c r="B1533" s="2">
        <f>HYPERLINK("https://platform.v2.vetology.net/cases/2736309/screening-report/1?type=pdf&amp;v=v6&amp;scorecard=1&amp;secret_key=BX%25IJ%24%2F65ieZ%29f6", 2736309)</f>
        <v>2736309</v>
      </c>
      <c r="C1533" s="2">
        <f>HYPERLINK("https://platform.v2.vetology.net/report/v/final/"&amp;2736309, 2736309)</f>
        <v>2736309</v>
      </c>
      <c r="D1533" s="2" t="s">
        <v>5047</v>
      </c>
      <c r="E1533" s="2" t="s">
        <v>5048</v>
      </c>
      <c r="F1533" s="2" t="s">
        <v>5049</v>
      </c>
      <c r="G1533" s="2" t="s">
        <v>53</v>
      </c>
      <c r="H1533" s="2" t="s">
        <v>69</v>
      </c>
      <c r="I1533" s="2" t="s">
        <v>46</v>
      </c>
      <c r="J1533" s="2"/>
      <c r="K1533" s="2" t="s">
        <v>39</v>
      </c>
      <c r="L1533" s="2" t="s">
        <v>39</v>
      </c>
      <c r="M1533" s="2" t="s">
        <v>39</v>
      </c>
      <c r="N1533" s="2" t="s">
        <v>39</v>
      </c>
      <c r="O1533" s="2" t="s">
        <v>39</v>
      </c>
      <c r="P1533" s="2" t="s">
        <v>39</v>
      </c>
      <c r="Q1533" s="2" t="s">
        <v>39</v>
      </c>
      <c r="R1533" s="2" t="s">
        <v>39</v>
      </c>
      <c r="S1533" s="2" t="s">
        <v>39</v>
      </c>
      <c r="T1533" s="2" t="s">
        <v>39</v>
      </c>
      <c r="U1533" s="2" t="s">
        <v>39</v>
      </c>
      <c r="V1533" s="2" t="s">
        <v>39</v>
      </c>
      <c r="W1533" s="2" t="s">
        <v>39</v>
      </c>
      <c r="X1533" s="2" t="s">
        <v>39</v>
      </c>
      <c r="Y1533" s="2" t="s">
        <v>39</v>
      </c>
      <c r="Z1533" s="2" t="s">
        <v>39</v>
      </c>
      <c r="AA1533" s="2" t="s">
        <v>39</v>
      </c>
      <c r="AB1533" s="2" t="s">
        <v>39</v>
      </c>
      <c r="AC1533" s="2" t="s">
        <v>38</v>
      </c>
      <c r="AD1533" s="2" t="s">
        <v>39</v>
      </c>
      <c r="AE1533" s="2" t="s">
        <v>39</v>
      </c>
    </row>
    <row r="1534" spans="1:31" ht="409.5">
      <c r="A1534" s="2">
        <v>2736262</v>
      </c>
      <c r="B1534" s="2">
        <f>HYPERLINK("https://platform.v2.vetology.net/cases/2736262/screening-report/1?type=pdf&amp;v=v6&amp;scorecard=1&amp;secret_key=BX%25IJ%24%2F65ieZ%29f6", 2736262)</f>
        <v>2736262</v>
      </c>
      <c r="C1534" s="2">
        <f>HYPERLINK("https://platform.v2.vetology.net/report/v/final/"&amp;2736262, 2736262)</f>
        <v>2736262</v>
      </c>
      <c r="D1534" s="2" t="s">
        <v>5050</v>
      </c>
      <c r="E1534" s="2" t="s">
        <v>5051</v>
      </c>
      <c r="F1534" s="2" t="s">
        <v>2226</v>
      </c>
      <c r="G1534" s="2" t="s">
        <v>100</v>
      </c>
      <c r="H1534" s="2" t="s">
        <v>5052</v>
      </c>
      <c r="I1534" s="2" t="s">
        <v>36</v>
      </c>
      <c r="J1534" s="2" t="s">
        <v>37</v>
      </c>
      <c r="K1534" s="2" t="s">
        <v>38</v>
      </c>
      <c r="L1534" s="2" t="s">
        <v>38</v>
      </c>
      <c r="M1534" s="2" t="s">
        <v>39</v>
      </c>
      <c r="N1534" s="2" t="s">
        <v>39</v>
      </c>
      <c r="O1534" s="2" t="s">
        <v>39</v>
      </c>
      <c r="P1534" s="2" t="s">
        <v>39</v>
      </c>
      <c r="Q1534" s="2" t="s">
        <v>39</v>
      </c>
      <c r="R1534" s="2" t="s">
        <v>39</v>
      </c>
      <c r="S1534" s="2" t="s">
        <v>38</v>
      </c>
      <c r="T1534" s="2" t="s">
        <v>39</v>
      </c>
      <c r="U1534" s="2" t="s">
        <v>39</v>
      </c>
      <c r="V1534" s="2" t="s">
        <v>39</v>
      </c>
      <c r="W1534" s="2" t="s">
        <v>38</v>
      </c>
      <c r="X1534" s="2" t="s">
        <v>39</v>
      </c>
      <c r="Y1534" s="2" t="s">
        <v>39</v>
      </c>
      <c r="Z1534" s="2" t="s">
        <v>38</v>
      </c>
      <c r="AA1534" s="2" t="s">
        <v>38</v>
      </c>
      <c r="AB1534" s="2" t="s">
        <v>39</v>
      </c>
      <c r="AC1534" s="2" t="s">
        <v>38</v>
      </c>
      <c r="AD1534" s="2" t="s">
        <v>38</v>
      </c>
      <c r="AE1534" s="2" t="s">
        <v>40</v>
      </c>
    </row>
    <row r="1535" spans="1:31" ht="409.5">
      <c r="A1535" s="2">
        <v>2736180</v>
      </c>
      <c r="B1535" s="2">
        <f>HYPERLINK("https://platform.v2.vetology.net/cases/2736180/screening-report/1?type=pdf&amp;v=v6&amp;scorecard=1&amp;secret_key=BX%25IJ%24%2F65ieZ%29f6", 2736180)</f>
        <v>2736180</v>
      </c>
      <c r="C1535" s="2">
        <f>HYPERLINK("https://platform.v2.vetology.net/report/v/final/"&amp;2736180, 2736180)</f>
        <v>2736180</v>
      </c>
      <c r="D1535" s="2" t="s">
        <v>5053</v>
      </c>
      <c r="E1535" s="2" t="s">
        <v>5054</v>
      </c>
      <c r="F1535" s="2" t="s">
        <v>5055</v>
      </c>
      <c r="G1535" s="2" t="s">
        <v>53</v>
      </c>
      <c r="H1535" s="2" t="s">
        <v>273</v>
      </c>
      <c r="I1535" s="2" t="s">
        <v>46</v>
      </c>
      <c r="J1535" s="2"/>
      <c r="K1535" s="2" t="s">
        <v>39</v>
      </c>
      <c r="L1535" s="2" t="s">
        <v>39</v>
      </c>
      <c r="M1535" s="2" t="s">
        <v>39</v>
      </c>
      <c r="N1535" s="2" t="s">
        <v>39</v>
      </c>
      <c r="O1535" s="2" t="s">
        <v>39</v>
      </c>
      <c r="P1535" s="2" t="s">
        <v>39</v>
      </c>
      <c r="Q1535" s="2" t="s">
        <v>39</v>
      </c>
      <c r="R1535" s="2" t="s">
        <v>39</v>
      </c>
      <c r="S1535" s="2" t="s">
        <v>38</v>
      </c>
      <c r="T1535" s="2" t="s">
        <v>39</v>
      </c>
      <c r="U1535" s="2" t="s">
        <v>39</v>
      </c>
      <c r="V1535" s="2" t="s">
        <v>39</v>
      </c>
      <c r="W1535" s="2" t="s">
        <v>38</v>
      </c>
      <c r="X1535" s="2" t="s">
        <v>39</v>
      </c>
      <c r="Y1535" s="2" t="s">
        <v>39</v>
      </c>
      <c r="Z1535" s="2" t="s">
        <v>39</v>
      </c>
      <c r="AA1535" s="2" t="s">
        <v>39</v>
      </c>
      <c r="AB1535" s="2" t="s">
        <v>39</v>
      </c>
      <c r="AC1535" s="2" t="s">
        <v>38</v>
      </c>
      <c r="AD1535" s="2" t="s">
        <v>38</v>
      </c>
      <c r="AE1535" s="2" t="s">
        <v>39</v>
      </c>
    </row>
    <row r="1536" spans="1:31" ht="409.5">
      <c r="A1536" s="2">
        <v>2736147</v>
      </c>
      <c r="B1536" s="2">
        <f>HYPERLINK("https://platform.v2.vetology.net/cases/2736147/screening-report/1?type=pdf&amp;v=v6&amp;scorecard=1&amp;secret_key=BX%25IJ%24%2F65ieZ%29f6", 2736147)</f>
        <v>2736147</v>
      </c>
      <c r="C1536" s="2">
        <f>HYPERLINK("https://platform.v2.vetology.net/report/v/final/"&amp;2736147, 2736147)</f>
        <v>2736147</v>
      </c>
      <c r="D1536" s="2" t="s">
        <v>5056</v>
      </c>
      <c r="E1536" s="2" t="s">
        <v>5057</v>
      </c>
      <c r="F1536" s="2" t="s">
        <v>43</v>
      </c>
      <c r="G1536" s="2" t="s">
        <v>100</v>
      </c>
      <c r="H1536" s="2" t="s">
        <v>5058</v>
      </c>
      <c r="I1536" s="2" t="s">
        <v>73</v>
      </c>
      <c r="J1536" s="2" t="s">
        <v>74</v>
      </c>
      <c r="K1536" s="2" t="s">
        <v>38</v>
      </c>
      <c r="L1536" s="2" t="s">
        <v>38</v>
      </c>
      <c r="M1536" s="2" t="s">
        <v>38</v>
      </c>
      <c r="N1536" s="2" t="s">
        <v>38</v>
      </c>
      <c r="O1536" s="2" t="s">
        <v>38</v>
      </c>
      <c r="P1536" s="2" t="s">
        <v>38</v>
      </c>
      <c r="Q1536" s="2" t="s">
        <v>38</v>
      </c>
      <c r="R1536" s="2" t="s">
        <v>38</v>
      </c>
      <c r="S1536" s="2" t="s">
        <v>38</v>
      </c>
      <c r="T1536" s="2" t="s">
        <v>38</v>
      </c>
      <c r="U1536" s="2" t="s">
        <v>38</v>
      </c>
      <c r="V1536" s="2" t="s">
        <v>38</v>
      </c>
      <c r="W1536" s="2" t="s">
        <v>38</v>
      </c>
      <c r="X1536" s="2" t="s">
        <v>38</v>
      </c>
      <c r="Y1536" s="2" t="s">
        <v>38</v>
      </c>
      <c r="Z1536" s="2" t="s">
        <v>38</v>
      </c>
      <c r="AA1536" s="2" t="s">
        <v>38</v>
      </c>
      <c r="AB1536" s="2" t="s">
        <v>38</v>
      </c>
      <c r="AC1536" s="2" t="s">
        <v>38</v>
      </c>
      <c r="AD1536" s="2" t="s">
        <v>39</v>
      </c>
      <c r="AE1536" s="2" t="s">
        <v>40</v>
      </c>
    </row>
    <row r="1537" spans="1:31" ht="409.5">
      <c r="A1537" s="2">
        <v>2736139</v>
      </c>
      <c r="B1537" s="2">
        <f>HYPERLINK("https://platform.v2.vetology.net/cases/2736139/screening-report/1?type=pdf&amp;v=v6&amp;scorecard=1&amp;secret_key=BX%25IJ%24%2F65ieZ%29f6", 2736139)</f>
        <v>2736139</v>
      </c>
      <c r="C1537" s="2">
        <f>HYPERLINK("https://platform.v2.vetology.net/report/v/final/"&amp;2736139, 2736139)</f>
        <v>2736139</v>
      </c>
      <c r="D1537" s="2" t="s">
        <v>5059</v>
      </c>
      <c r="E1537" s="2" t="s">
        <v>5060</v>
      </c>
      <c r="F1537" s="2" t="s">
        <v>5061</v>
      </c>
      <c r="G1537" s="2" t="s">
        <v>556</v>
      </c>
      <c r="H1537" s="2" t="s">
        <v>2003</v>
      </c>
      <c r="I1537" s="2" t="s">
        <v>46</v>
      </c>
      <c r="J1537" s="2"/>
      <c r="K1537" s="2" t="s">
        <v>39</v>
      </c>
      <c r="L1537" s="2" t="s">
        <v>38</v>
      </c>
      <c r="M1537" s="2" t="s">
        <v>39</v>
      </c>
      <c r="N1537" s="2" t="s">
        <v>39</v>
      </c>
      <c r="O1537" s="2" t="s">
        <v>38</v>
      </c>
      <c r="P1537" s="2" t="s">
        <v>39</v>
      </c>
      <c r="Q1537" s="2" t="s">
        <v>39</v>
      </c>
      <c r="R1537" s="2" t="s">
        <v>38</v>
      </c>
      <c r="S1537" s="2" t="s">
        <v>39</v>
      </c>
      <c r="T1537" s="2" t="s">
        <v>39</v>
      </c>
      <c r="U1537" s="2" t="s">
        <v>39</v>
      </c>
      <c r="V1537" s="2" t="s">
        <v>39</v>
      </c>
      <c r="W1537" s="2" t="s">
        <v>38</v>
      </c>
      <c r="X1537" s="2" t="s">
        <v>39</v>
      </c>
      <c r="Y1537" s="2" t="s">
        <v>39</v>
      </c>
      <c r="Z1537" s="2" t="s">
        <v>39</v>
      </c>
      <c r="AA1537" s="2" t="s">
        <v>39</v>
      </c>
      <c r="AB1537" s="2" t="s">
        <v>39</v>
      </c>
      <c r="AC1537" s="2" t="s">
        <v>38</v>
      </c>
      <c r="AD1537" s="2" t="s">
        <v>38</v>
      </c>
      <c r="AE1537" s="2" t="s">
        <v>39</v>
      </c>
    </row>
    <row r="1538" spans="1:31" ht="409.5">
      <c r="A1538" s="2">
        <v>2736117</v>
      </c>
      <c r="B1538" s="2">
        <f>HYPERLINK("https://platform.v2.vetology.net/cases/2736117/screening-report/1?type=pdf&amp;v=v6&amp;scorecard=1&amp;secret_key=BX%25IJ%24%2F65ieZ%29f6", 2736117)</f>
        <v>2736117</v>
      </c>
      <c r="C1538" s="2">
        <f>HYPERLINK("https://platform.v2.vetology.net/report/v/final/"&amp;2736117, 2736117)</f>
        <v>2736117</v>
      </c>
      <c r="D1538" s="2" t="s">
        <v>5062</v>
      </c>
      <c r="E1538" s="2" t="s">
        <v>5063</v>
      </c>
      <c r="F1538" s="2" t="s">
        <v>43</v>
      </c>
      <c r="G1538" s="2" t="s">
        <v>44</v>
      </c>
      <c r="H1538" s="2" t="s">
        <v>45</v>
      </c>
      <c r="I1538" s="2" t="s">
        <v>46</v>
      </c>
      <c r="J1538" s="2"/>
      <c r="K1538" s="2" t="s">
        <v>39</v>
      </c>
      <c r="L1538" s="2" t="s">
        <v>39</v>
      </c>
      <c r="M1538" s="2" t="s">
        <v>39</v>
      </c>
      <c r="N1538" s="2" t="s">
        <v>39</v>
      </c>
      <c r="O1538" s="2" t="s">
        <v>38</v>
      </c>
      <c r="P1538" s="2" t="s">
        <v>39</v>
      </c>
      <c r="Q1538" s="2" t="s">
        <v>39</v>
      </c>
      <c r="R1538" s="2" t="s">
        <v>38</v>
      </c>
      <c r="S1538" s="2" t="s">
        <v>39</v>
      </c>
      <c r="T1538" s="2" t="s">
        <v>39</v>
      </c>
      <c r="U1538" s="2" t="s">
        <v>39</v>
      </c>
      <c r="V1538" s="2" t="s">
        <v>39</v>
      </c>
      <c r="W1538" s="2" t="s">
        <v>39</v>
      </c>
      <c r="X1538" s="2" t="s">
        <v>39</v>
      </c>
      <c r="Y1538" s="2" t="s">
        <v>39</v>
      </c>
      <c r="Z1538" s="2" t="s">
        <v>38</v>
      </c>
      <c r="AA1538" s="2" t="s">
        <v>39</v>
      </c>
      <c r="AB1538" s="2" t="s">
        <v>39</v>
      </c>
      <c r="AC1538" s="2" t="s">
        <v>38</v>
      </c>
      <c r="AD1538" s="2" t="s">
        <v>39</v>
      </c>
      <c r="AE1538" s="2" t="s">
        <v>39</v>
      </c>
    </row>
    <row r="1539" spans="1:31" ht="409.5">
      <c r="A1539" s="2">
        <v>2736106</v>
      </c>
      <c r="B1539" s="2">
        <f>HYPERLINK("https://platform.v2.vetology.net/cases/2736106/screening-report/1?type=pdf&amp;v=v6&amp;scorecard=1&amp;secret_key=BX%25IJ%24%2F65ieZ%29f6", 2736106)</f>
        <v>2736106</v>
      </c>
      <c r="C1539" s="2">
        <f>HYPERLINK("https://platform.v2.vetology.net/report/v/final/"&amp;2736106, 2736106)</f>
        <v>2736106</v>
      </c>
      <c r="D1539" s="2" t="s">
        <v>5064</v>
      </c>
      <c r="E1539" s="2" t="s">
        <v>5065</v>
      </c>
      <c r="F1539" s="2" t="s">
        <v>43</v>
      </c>
      <c r="G1539" s="2" t="s">
        <v>44</v>
      </c>
      <c r="H1539" s="2" t="s">
        <v>5066</v>
      </c>
      <c r="I1539" s="2" t="s">
        <v>129</v>
      </c>
      <c r="J1539" s="2" t="s">
        <v>74</v>
      </c>
      <c r="K1539" s="2" t="s">
        <v>39</v>
      </c>
      <c r="L1539" s="2" t="s">
        <v>38</v>
      </c>
      <c r="M1539" s="2" t="s">
        <v>39</v>
      </c>
      <c r="N1539" s="2" t="s">
        <v>38</v>
      </c>
      <c r="O1539" s="2" t="s">
        <v>38</v>
      </c>
      <c r="P1539" s="2" t="s">
        <v>39</v>
      </c>
      <c r="Q1539" s="2" t="s">
        <v>38</v>
      </c>
      <c r="R1539" s="2" t="s">
        <v>38</v>
      </c>
      <c r="S1539" s="2" t="s">
        <v>38</v>
      </c>
      <c r="T1539" s="2" t="s">
        <v>39</v>
      </c>
      <c r="U1539" s="2" t="s">
        <v>39</v>
      </c>
      <c r="V1539" s="2" t="s">
        <v>39</v>
      </c>
      <c r="W1539" s="2" t="s">
        <v>38</v>
      </c>
      <c r="X1539" s="2" t="s">
        <v>38</v>
      </c>
      <c r="Y1539" s="2" t="s">
        <v>39</v>
      </c>
      <c r="Z1539" s="2" t="s">
        <v>38</v>
      </c>
      <c r="AA1539" s="2" t="s">
        <v>38</v>
      </c>
      <c r="AB1539" s="2" t="s">
        <v>38</v>
      </c>
      <c r="AC1539" s="2" t="s">
        <v>38</v>
      </c>
      <c r="AD1539" s="2" t="s">
        <v>39</v>
      </c>
      <c r="AE1539" s="2"/>
    </row>
    <row r="1540" spans="1:31" ht="409.5">
      <c r="A1540" s="2">
        <v>2736104</v>
      </c>
      <c r="B1540" s="2">
        <f>HYPERLINK("https://platform.v2.vetology.net/cases/2736104/screening-report/1?type=pdf&amp;v=v6&amp;scorecard=1&amp;secret_key=BX%25IJ%24%2F65ieZ%29f6", 2736104)</f>
        <v>2736104</v>
      </c>
      <c r="C1540" s="2">
        <f>HYPERLINK("https://platform.v2.vetology.net/report/v/final/"&amp;2736104, 2736104)</f>
        <v>2736104</v>
      </c>
      <c r="D1540" s="2" t="s">
        <v>5067</v>
      </c>
      <c r="E1540" s="2" t="s">
        <v>5068</v>
      </c>
      <c r="F1540" s="2" t="s">
        <v>5069</v>
      </c>
      <c r="G1540" s="2" t="s">
        <v>34</v>
      </c>
      <c r="H1540" s="2" t="s">
        <v>5070</v>
      </c>
      <c r="I1540" s="2" t="s">
        <v>36</v>
      </c>
      <c r="J1540" s="2" t="s">
        <v>37</v>
      </c>
      <c r="K1540" s="2" t="s">
        <v>38</v>
      </c>
      <c r="L1540" s="2" t="s">
        <v>38</v>
      </c>
      <c r="M1540" s="2" t="s">
        <v>39</v>
      </c>
      <c r="N1540" s="2" t="s">
        <v>38</v>
      </c>
      <c r="O1540" s="2" t="s">
        <v>38</v>
      </c>
      <c r="P1540" s="2" t="s">
        <v>39</v>
      </c>
      <c r="Q1540" s="2" t="s">
        <v>39</v>
      </c>
      <c r="R1540" s="2" t="s">
        <v>38</v>
      </c>
      <c r="S1540" s="2" t="s">
        <v>38</v>
      </c>
      <c r="T1540" s="2" t="s">
        <v>39</v>
      </c>
      <c r="U1540" s="2" t="s">
        <v>38</v>
      </c>
      <c r="V1540" s="2" t="s">
        <v>38</v>
      </c>
      <c r="W1540" s="2" t="s">
        <v>38</v>
      </c>
      <c r="X1540" s="2" t="s">
        <v>39</v>
      </c>
      <c r="Y1540" s="2" t="s">
        <v>38</v>
      </c>
      <c r="Z1540" s="2" t="s">
        <v>38</v>
      </c>
      <c r="AA1540" s="2" t="s">
        <v>38</v>
      </c>
      <c r="AB1540" s="2" t="s">
        <v>39</v>
      </c>
      <c r="AC1540" s="2" t="s">
        <v>38</v>
      </c>
      <c r="AD1540" s="2" t="s">
        <v>38</v>
      </c>
      <c r="AE1540" s="2"/>
    </row>
    <row r="1541" spans="1:31" ht="409.5">
      <c r="A1541" s="2">
        <v>2736084</v>
      </c>
      <c r="B1541" s="2">
        <f>HYPERLINK("https://platform.v2.vetology.net/cases/2736084/screening-report/1?type=pdf&amp;v=v6&amp;scorecard=1&amp;secret_key=BX%25IJ%24%2F65ieZ%29f6", 2736084)</f>
        <v>2736084</v>
      </c>
      <c r="C1541" s="2">
        <f>HYPERLINK("https://platform.v2.vetology.net/report/v/final/"&amp;2736084, 2736084)</f>
        <v>2736084</v>
      </c>
      <c r="D1541" s="2" t="s">
        <v>5071</v>
      </c>
      <c r="E1541" s="2" t="s">
        <v>5072</v>
      </c>
      <c r="F1541" s="2" t="s">
        <v>43</v>
      </c>
      <c r="G1541" s="2" t="s">
        <v>44</v>
      </c>
      <c r="H1541" s="2" t="s">
        <v>5073</v>
      </c>
      <c r="I1541" s="2" t="s">
        <v>129</v>
      </c>
      <c r="J1541" s="2" t="s">
        <v>74</v>
      </c>
      <c r="K1541" s="2" t="s">
        <v>38</v>
      </c>
      <c r="L1541" s="2" t="s">
        <v>38</v>
      </c>
      <c r="M1541" s="2" t="s">
        <v>39</v>
      </c>
      <c r="N1541" s="2" t="s">
        <v>38</v>
      </c>
      <c r="O1541" s="2" t="s">
        <v>39</v>
      </c>
      <c r="P1541" s="2" t="s">
        <v>39</v>
      </c>
      <c r="Q1541" s="2" t="s">
        <v>38</v>
      </c>
      <c r="R1541" s="2" t="s">
        <v>39</v>
      </c>
      <c r="S1541" s="2" t="s">
        <v>39</v>
      </c>
      <c r="T1541" s="2" t="s">
        <v>38</v>
      </c>
      <c r="U1541" s="2" t="s">
        <v>38</v>
      </c>
      <c r="V1541" s="2" t="s">
        <v>38</v>
      </c>
      <c r="W1541" s="2" t="s">
        <v>39</v>
      </c>
      <c r="X1541" s="2" t="s">
        <v>39</v>
      </c>
      <c r="Y1541" s="2" t="s">
        <v>39</v>
      </c>
      <c r="Z1541" s="2" t="s">
        <v>39</v>
      </c>
      <c r="AA1541" s="2" t="s">
        <v>39</v>
      </c>
      <c r="AB1541" s="2" t="s">
        <v>39</v>
      </c>
      <c r="AC1541" s="2" t="s">
        <v>39</v>
      </c>
      <c r="AD1541" s="2" t="s">
        <v>38</v>
      </c>
      <c r="AE1541" s="2" t="s">
        <v>39</v>
      </c>
    </row>
    <row r="1542" spans="1:31" ht="409.5">
      <c r="A1542" s="2">
        <v>2736082</v>
      </c>
      <c r="B1542" s="2">
        <f>HYPERLINK("https://platform.v2.vetology.net/cases/2736082/screening-report/1?type=pdf&amp;v=v6&amp;scorecard=1&amp;secret_key=BX%25IJ%24%2F65ieZ%29f6", 2736082)</f>
        <v>2736082</v>
      </c>
      <c r="C1542" s="2">
        <f>HYPERLINK("https://platform.v2.vetology.net/report/v/final/"&amp;2736082, 2736082)</f>
        <v>2736082</v>
      </c>
      <c r="D1542" s="2" t="s">
        <v>5074</v>
      </c>
      <c r="E1542" s="2" t="s">
        <v>5075</v>
      </c>
      <c r="F1542" s="2" t="s">
        <v>43</v>
      </c>
      <c r="G1542" s="2" t="s">
        <v>44</v>
      </c>
      <c r="H1542" s="2" t="s">
        <v>2386</v>
      </c>
      <c r="I1542" s="2" t="s">
        <v>59</v>
      </c>
      <c r="J1542" s="2" t="s">
        <v>37</v>
      </c>
      <c r="K1542" s="2" t="s">
        <v>38</v>
      </c>
      <c r="L1542" s="2" t="s">
        <v>39</v>
      </c>
      <c r="M1542" s="2" t="s">
        <v>39</v>
      </c>
      <c r="N1542" s="2" t="s">
        <v>39</v>
      </c>
      <c r="O1542" s="2" t="s">
        <v>39</v>
      </c>
      <c r="P1542" s="2" t="s">
        <v>39</v>
      </c>
      <c r="Q1542" s="2" t="s">
        <v>39</v>
      </c>
      <c r="R1542" s="2" t="s">
        <v>38</v>
      </c>
      <c r="S1542" s="2" t="s">
        <v>38</v>
      </c>
      <c r="T1542" s="2" t="s">
        <v>39</v>
      </c>
      <c r="U1542" s="2" t="s">
        <v>39</v>
      </c>
      <c r="V1542" s="2" t="s">
        <v>39</v>
      </c>
      <c r="W1542" s="2" t="s">
        <v>39</v>
      </c>
      <c r="X1542" s="2" t="s">
        <v>39</v>
      </c>
      <c r="Y1542" s="2" t="s">
        <v>39</v>
      </c>
      <c r="Z1542" s="2" t="s">
        <v>38</v>
      </c>
      <c r="AA1542" s="2" t="s">
        <v>39</v>
      </c>
      <c r="AB1542" s="2" t="s">
        <v>39</v>
      </c>
      <c r="AC1542" s="2" t="s">
        <v>38</v>
      </c>
      <c r="AD1542" s="2" t="s">
        <v>38</v>
      </c>
      <c r="AE1542" s="2" t="s">
        <v>39</v>
      </c>
    </row>
    <row r="1543" spans="1:31" ht="409.5">
      <c r="A1543" s="2">
        <v>2736069</v>
      </c>
      <c r="B1543" s="2">
        <f>HYPERLINK("https://platform.v2.vetology.net/cases/2736069/screening-report/1?type=pdf&amp;v=v6&amp;scorecard=1&amp;secret_key=BX%25IJ%24%2F65ieZ%29f6", 2736069)</f>
        <v>2736069</v>
      </c>
      <c r="C1543" s="2">
        <f>HYPERLINK("https://platform.v2.vetology.net/report/v/final/"&amp;2736069, 2736069)</f>
        <v>2736069</v>
      </c>
      <c r="D1543" s="2" t="s">
        <v>5076</v>
      </c>
      <c r="E1543" s="2" t="s">
        <v>5077</v>
      </c>
      <c r="F1543" s="2" t="s">
        <v>43</v>
      </c>
      <c r="G1543" s="2" t="s">
        <v>44</v>
      </c>
      <c r="H1543" s="2" t="s">
        <v>5078</v>
      </c>
      <c r="I1543" s="2" t="s">
        <v>36</v>
      </c>
      <c r="J1543" s="2" t="s">
        <v>37</v>
      </c>
      <c r="K1543" s="2" t="s">
        <v>38</v>
      </c>
      <c r="L1543" s="2" t="s">
        <v>38</v>
      </c>
      <c r="M1543" s="2" t="s">
        <v>38</v>
      </c>
      <c r="N1543" s="2" t="s">
        <v>38</v>
      </c>
      <c r="O1543" s="2" t="s">
        <v>38</v>
      </c>
      <c r="P1543" s="2" t="s">
        <v>38</v>
      </c>
      <c r="Q1543" s="2" t="s">
        <v>39</v>
      </c>
      <c r="R1543" s="2" t="s">
        <v>38</v>
      </c>
      <c r="S1543" s="2" t="s">
        <v>38</v>
      </c>
      <c r="T1543" s="2" t="s">
        <v>38</v>
      </c>
      <c r="U1543" s="2" t="s">
        <v>39</v>
      </c>
      <c r="V1543" s="2" t="s">
        <v>38</v>
      </c>
      <c r="W1543" s="2" t="s">
        <v>38</v>
      </c>
      <c r="X1543" s="2" t="s">
        <v>39</v>
      </c>
      <c r="Y1543" s="2" t="s">
        <v>39</v>
      </c>
      <c r="Z1543" s="2" t="s">
        <v>38</v>
      </c>
      <c r="AA1543" s="2" t="s">
        <v>38</v>
      </c>
      <c r="AB1543" s="2" t="s">
        <v>39</v>
      </c>
      <c r="AC1543" s="2" t="s">
        <v>38</v>
      </c>
      <c r="AD1543" s="2" t="s">
        <v>38</v>
      </c>
      <c r="AE1543" s="2" t="s">
        <v>40</v>
      </c>
    </row>
    <row r="1544" spans="1:31" ht="409.5">
      <c r="A1544" s="2">
        <v>2736068</v>
      </c>
      <c r="B1544" s="2">
        <f>HYPERLINK("https://platform.v2.vetology.net/cases/2736068/screening-report/1?type=pdf&amp;v=v6&amp;scorecard=1&amp;secret_key=BX%25IJ%24%2F65ieZ%29f6", 2736068)</f>
        <v>2736068</v>
      </c>
      <c r="C1544" s="2">
        <f>HYPERLINK("https://platform.v2.vetology.net/report/v/final/"&amp;2736068, 2736068)</f>
        <v>2736068</v>
      </c>
      <c r="D1544" s="2" t="s">
        <v>5079</v>
      </c>
      <c r="E1544" s="2" t="s">
        <v>5080</v>
      </c>
      <c r="F1544" s="2" t="s">
        <v>43</v>
      </c>
      <c r="G1544" s="2" t="s">
        <v>44</v>
      </c>
      <c r="H1544" s="2" t="s">
        <v>5081</v>
      </c>
      <c r="I1544" s="2" t="s">
        <v>129</v>
      </c>
      <c r="J1544" s="2" t="s">
        <v>74</v>
      </c>
      <c r="K1544" s="2" t="s">
        <v>38</v>
      </c>
      <c r="L1544" s="2" t="s">
        <v>38</v>
      </c>
      <c r="M1544" s="2" t="s">
        <v>38</v>
      </c>
      <c r="N1544" s="2" t="s">
        <v>38</v>
      </c>
      <c r="O1544" s="2" t="s">
        <v>38</v>
      </c>
      <c r="P1544" s="2" t="s">
        <v>39</v>
      </c>
      <c r="Q1544" s="2" t="s">
        <v>38</v>
      </c>
      <c r="R1544" s="2" t="s">
        <v>38</v>
      </c>
      <c r="S1544" s="2" t="s">
        <v>38</v>
      </c>
      <c r="T1544" s="2" t="s">
        <v>38</v>
      </c>
      <c r="U1544" s="2" t="s">
        <v>38</v>
      </c>
      <c r="V1544" s="2" t="s">
        <v>38</v>
      </c>
      <c r="W1544" s="2" t="s">
        <v>38</v>
      </c>
      <c r="X1544" s="2" t="s">
        <v>38</v>
      </c>
      <c r="Y1544" s="2" t="s">
        <v>38</v>
      </c>
      <c r="Z1544" s="2" t="s">
        <v>38</v>
      </c>
      <c r="AA1544" s="2" t="s">
        <v>38</v>
      </c>
      <c r="AB1544" s="2" t="s">
        <v>38</v>
      </c>
      <c r="AC1544" s="2" t="s">
        <v>38</v>
      </c>
      <c r="AD1544" s="2" t="s">
        <v>38</v>
      </c>
      <c r="AE1544" s="2" t="s">
        <v>40</v>
      </c>
    </row>
    <row r="1545" spans="1:31" ht="409.5">
      <c r="A1545" s="2">
        <v>2736050</v>
      </c>
      <c r="B1545" s="2">
        <f>HYPERLINK("https://platform.v2.vetology.net/cases/2736050/screening-report/1?type=pdf&amp;v=v6&amp;scorecard=1&amp;secret_key=BX%25IJ%24%2F65ieZ%29f6", 2736050)</f>
        <v>2736050</v>
      </c>
      <c r="C1545" s="2">
        <f>HYPERLINK("https://platform.v2.vetology.net/report/v/final/"&amp;2736050, 2736050)</f>
        <v>2736050</v>
      </c>
      <c r="D1545" s="2" t="s">
        <v>5082</v>
      </c>
      <c r="E1545" s="2" t="s">
        <v>5083</v>
      </c>
      <c r="F1545" s="2" t="s">
        <v>43</v>
      </c>
      <c r="G1545" s="2" t="s">
        <v>44</v>
      </c>
      <c r="H1545" s="2" t="s">
        <v>5084</v>
      </c>
      <c r="I1545" s="2" t="s">
        <v>36</v>
      </c>
      <c r="J1545" s="2" t="s">
        <v>37</v>
      </c>
      <c r="K1545" s="2" t="s">
        <v>38</v>
      </c>
      <c r="L1545" s="2" t="s">
        <v>38</v>
      </c>
      <c r="M1545" s="2" t="s">
        <v>38</v>
      </c>
      <c r="N1545" s="2" t="s">
        <v>38</v>
      </c>
      <c r="O1545" s="2" t="s">
        <v>38</v>
      </c>
      <c r="P1545" s="2" t="s">
        <v>39</v>
      </c>
      <c r="Q1545" s="2" t="s">
        <v>39</v>
      </c>
      <c r="R1545" s="2" t="s">
        <v>39</v>
      </c>
      <c r="S1545" s="2" t="s">
        <v>38</v>
      </c>
      <c r="T1545" s="2" t="s">
        <v>39</v>
      </c>
      <c r="U1545" s="2" t="s">
        <v>38</v>
      </c>
      <c r="V1545" s="2" t="s">
        <v>38</v>
      </c>
      <c r="W1545" s="2" t="s">
        <v>39</v>
      </c>
      <c r="X1545" s="2" t="s">
        <v>39</v>
      </c>
      <c r="Y1545" s="2" t="s">
        <v>39</v>
      </c>
      <c r="Z1545" s="2" t="s">
        <v>38</v>
      </c>
      <c r="AA1545" s="2" t="s">
        <v>38</v>
      </c>
      <c r="AB1545" s="2" t="s">
        <v>39</v>
      </c>
      <c r="AC1545" s="2" t="s">
        <v>39</v>
      </c>
      <c r="AD1545" s="2" t="s">
        <v>39</v>
      </c>
      <c r="AE1545" s="2" t="s">
        <v>39</v>
      </c>
    </row>
    <row r="1546" spans="1:31" ht="409.5">
      <c r="A1546" s="2">
        <v>2736041</v>
      </c>
      <c r="B1546" s="2">
        <f>HYPERLINK("https://platform.v2.vetology.net/cases/2736041/screening-report/1?type=pdf&amp;v=v6&amp;scorecard=1&amp;secret_key=BX%25IJ%24%2F65ieZ%29f6", 2736041)</f>
        <v>2736041</v>
      </c>
      <c r="C1546" s="2">
        <f>HYPERLINK("https://platform.v2.vetology.net/report/v/final/"&amp;2736041, 2736041)</f>
        <v>2736041</v>
      </c>
      <c r="D1546" s="2" t="s">
        <v>5085</v>
      </c>
      <c r="E1546" s="2" t="s">
        <v>5086</v>
      </c>
      <c r="F1546" s="2" t="s">
        <v>5087</v>
      </c>
      <c r="G1546" s="2" t="s">
        <v>44</v>
      </c>
      <c r="H1546" s="2" t="s">
        <v>5088</v>
      </c>
      <c r="I1546" s="2" t="s">
        <v>36</v>
      </c>
      <c r="J1546" s="2" t="s">
        <v>37</v>
      </c>
      <c r="K1546" s="2" t="s">
        <v>38</v>
      </c>
      <c r="L1546" s="2" t="s">
        <v>38</v>
      </c>
      <c r="M1546" s="2" t="s">
        <v>39</v>
      </c>
      <c r="N1546" s="2" t="s">
        <v>38</v>
      </c>
      <c r="O1546" s="2" t="s">
        <v>38</v>
      </c>
      <c r="P1546" s="2" t="s">
        <v>39</v>
      </c>
      <c r="Q1546" s="2" t="s">
        <v>38</v>
      </c>
      <c r="R1546" s="2" t="s">
        <v>38</v>
      </c>
      <c r="S1546" s="2" t="s">
        <v>38</v>
      </c>
      <c r="T1546" s="2" t="s">
        <v>38</v>
      </c>
      <c r="U1546" s="2" t="s">
        <v>38</v>
      </c>
      <c r="V1546" s="2" t="s">
        <v>38</v>
      </c>
      <c r="W1546" s="2" t="s">
        <v>39</v>
      </c>
      <c r="X1546" s="2" t="s">
        <v>39</v>
      </c>
      <c r="Y1546" s="2" t="s">
        <v>39</v>
      </c>
      <c r="Z1546" s="2" t="s">
        <v>38</v>
      </c>
      <c r="AA1546" s="2" t="s">
        <v>38</v>
      </c>
      <c r="AB1546" s="2" t="s">
        <v>39</v>
      </c>
      <c r="AC1546" s="2" t="s">
        <v>38</v>
      </c>
      <c r="AD1546" s="2" t="s">
        <v>38</v>
      </c>
      <c r="AE1546" s="2" t="s">
        <v>39</v>
      </c>
    </row>
    <row r="1547" spans="1:31" ht="409.5">
      <c r="A1547" s="2">
        <v>2736024</v>
      </c>
      <c r="B1547" s="2">
        <f>HYPERLINK("https://platform.v2.vetology.net/cases/2736024/screening-report/1?type=pdf&amp;v=v6&amp;scorecard=1&amp;secret_key=BX%25IJ%24%2F65ieZ%29f6", 2736024)</f>
        <v>2736024</v>
      </c>
      <c r="C1547" s="2">
        <f>HYPERLINK("https://platform.v2.vetology.net/report/v/final/"&amp;2736024, 2736024)</f>
        <v>2736024</v>
      </c>
      <c r="D1547" s="2" t="s">
        <v>5089</v>
      </c>
      <c r="E1547" s="2" t="s">
        <v>5090</v>
      </c>
      <c r="F1547" s="2" t="s">
        <v>43</v>
      </c>
      <c r="G1547" s="2" t="s">
        <v>44</v>
      </c>
      <c r="H1547" s="2" t="s">
        <v>5091</v>
      </c>
      <c r="I1547" s="2" t="s">
        <v>129</v>
      </c>
      <c r="J1547" s="2" t="s">
        <v>74</v>
      </c>
      <c r="K1547" s="2" t="s">
        <v>39</v>
      </c>
      <c r="L1547" s="2" t="s">
        <v>38</v>
      </c>
      <c r="M1547" s="2" t="s">
        <v>39</v>
      </c>
      <c r="N1547" s="2" t="s">
        <v>38</v>
      </c>
      <c r="O1547" s="2" t="s">
        <v>38</v>
      </c>
      <c r="P1547" s="2" t="s">
        <v>38</v>
      </c>
      <c r="Q1547" s="2" t="s">
        <v>38</v>
      </c>
      <c r="R1547" s="2" t="s">
        <v>38</v>
      </c>
      <c r="S1547" s="2" t="s">
        <v>38</v>
      </c>
      <c r="T1547" s="2" t="s">
        <v>38</v>
      </c>
      <c r="U1547" s="2" t="s">
        <v>39</v>
      </c>
      <c r="V1547" s="2" t="s">
        <v>39</v>
      </c>
      <c r="W1547" s="2" t="s">
        <v>38</v>
      </c>
      <c r="X1547" s="2" t="s">
        <v>38</v>
      </c>
      <c r="Y1547" s="2" t="s">
        <v>39</v>
      </c>
      <c r="Z1547" s="2" t="s">
        <v>38</v>
      </c>
      <c r="AA1547" s="2" t="s">
        <v>38</v>
      </c>
      <c r="AB1547" s="2" t="s">
        <v>38</v>
      </c>
      <c r="AC1547" s="2" t="s">
        <v>38</v>
      </c>
      <c r="AD1547" s="2" t="s">
        <v>38</v>
      </c>
      <c r="AE1547" s="2" t="s">
        <v>39</v>
      </c>
    </row>
    <row r="1548" spans="1:31" ht="409.5">
      <c r="A1548" s="2">
        <v>2736019</v>
      </c>
      <c r="B1548" s="2">
        <f>HYPERLINK("https://platform.v2.vetology.net/cases/2736019/screening-report/1?type=pdf&amp;v=v6&amp;scorecard=1&amp;secret_key=BX%25IJ%24%2F65ieZ%29f6", 2736019)</f>
        <v>2736019</v>
      </c>
      <c r="C1548" s="2">
        <f>HYPERLINK("https://platform.v2.vetology.net/report/v/final/"&amp;2736019, 2736019)</f>
        <v>2736019</v>
      </c>
      <c r="D1548" s="2" t="s">
        <v>5092</v>
      </c>
      <c r="E1548" s="2" t="s">
        <v>5093</v>
      </c>
      <c r="F1548" s="2" t="s">
        <v>5094</v>
      </c>
      <c r="G1548" s="2" t="s">
        <v>170</v>
      </c>
      <c r="H1548" s="2" t="s">
        <v>5095</v>
      </c>
      <c r="I1548" s="2" t="s">
        <v>73</v>
      </c>
      <c r="J1548" s="2" t="s">
        <v>74</v>
      </c>
      <c r="K1548" s="2" t="s">
        <v>38</v>
      </c>
      <c r="L1548" s="2" t="s">
        <v>38</v>
      </c>
      <c r="M1548" s="2" t="s">
        <v>38</v>
      </c>
      <c r="N1548" s="2" t="s">
        <v>38</v>
      </c>
      <c r="O1548" s="2" t="s">
        <v>38</v>
      </c>
      <c r="P1548" s="2" t="s">
        <v>38</v>
      </c>
      <c r="Q1548" s="2" t="s">
        <v>38</v>
      </c>
      <c r="R1548" s="2" t="s">
        <v>38</v>
      </c>
      <c r="S1548" s="2" t="s">
        <v>38</v>
      </c>
      <c r="T1548" s="2" t="s">
        <v>38</v>
      </c>
      <c r="U1548" s="2" t="s">
        <v>38</v>
      </c>
      <c r="V1548" s="2" t="s">
        <v>38</v>
      </c>
      <c r="W1548" s="2" t="s">
        <v>38</v>
      </c>
      <c r="X1548" s="2" t="s">
        <v>38</v>
      </c>
      <c r="Y1548" s="2" t="s">
        <v>38</v>
      </c>
      <c r="Z1548" s="2" t="s">
        <v>38</v>
      </c>
      <c r="AA1548" s="2" t="s">
        <v>38</v>
      </c>
      <c r="AB1548" s="2" t="s">
        <v>38</v>
      </c>
      <c r="AC1548" s="2" t="s">
        <v>38</v>
      </c>
      <c r="AD1548" s="2" t="s">
        <v>38</v>
      </c>
      <c r="AE1548" s="2" t="s">
        <v>40</v>
      </c>
    </row>
    <row r="1549" spans="1:31" ht="409.5">
      <c r="A1549" s="2">
        <v>2736013</v>
      </c>
      <c r="B1549" s="2">
        <f>HYPERLINK("https://platform.v2.vetology.net/cases/2736013/screening-report/1?type=pdf&amp;v=v6&amp;scorecard=1&amp;secret_key=BX%25IJ%24%2F65ieZ%29f6", 2736013)</f>
        <v>2736013</v>
      </c>
      <c r="C1549" s="2">
        <f>HYPERLINK("https://platform.v2.vetology.net/report/v/final/"&amp;2736013, 2736013)</f>
        <v>2736013</v>
      </c>
      <c r="D1549" s="2" t="s">
        <v>5096</v>
      </c>
      <c r="E1549" s="2" t="s">
        <v>5097</v>
      </c>
      <c r="F1549" s="2" t="s">
        <v>5098</v>
      </c>
      <c r="G1549" s="2" t="s">
        <v>34</v>
      </c>
      <c r="H1549" s="2" t="s">
        <v>45</v>
      </c>
      <c r="I1549" s="2" t="s">
        <v>46</v>
      </c>
      <c r="J1549" s="2"/>
      <c r="K1549" s="2" t="s">
        <v>39</v>
      </c>
      <c r="L1549" s="2" t="s">
        <v>39</v>
      </c>
      <c r="M1549" s="2" t="s">
        <v>39</v>
      </c>
      <c r="N1549" s="2" t="s">
        <v>39</v>
      </c>
      <c r="O1549" s="2" t="s">
        <v>38</v>
      </c>
      <c r="P1549" s="2" t="s">
        <v>39</v>
      </c>
      <c r="Q1549" s="2" t="s">
        <v>39</v>
      </c>
      <c r="R1549" s="2" t="s">
        <v>38</v>
      </c>
      <c r="S1549" s="2" t="s">
        <v>39</v>
      </c>
      <c r="T1549" s="2" t="s">
        <v>39</v>
      </c>
      <c r="U1549" s="2" t="s">
        <v>39</v>
      </c>
      <c r="V1549" s="2" t="s">
        <v>39</v>
      </c>
      <c r="W1549" s="2" t="s">
        <v>38</v>
      </c>
      <c r="X1549" s="2" t="s">
        <v>39</v>
      </c>
      <c r="Y1549" s="2" t="s">
        <v>39</v>
      </c>
      <c r="Z1549" s="2" t="s">
        <v>39</v>
      </c>
      <c r="AA1549" s="2" t="s">
        <v>39</v>
      </c>
      <c r="AB1549" s="2" t="s">
        <v>39</v>
      </c>
      <c r="AC1549" s="2" t="s">
        <v>38</v>
      </c>
      <c r="AD1549" s="2" t="s">
        <v>39</v>
      </c>
      <c r="AE1549" s="2" t="s">
        <v>39</v>
      </c>
    </row>
    <row r="1550" spans="1:31" ht="409.5">
      <c r="A1550" s="2">
        <v>2735970</v>
      </c>
      <c r="B1550" s="2">
        <f>HYPERLINK("https://platform.v2.vetology.net/cases/2735970/screening-report/1?type=pdf&amp;v=v6&amp;scorecard=1&amp;secret_key=BX%25IJ%24%2F65ieZ%29f6", 2735970)</f>
        <v>2735970</v>
      </c>
      <c r="C1550" s="2">
        <f>HYPERLINK("https://platform.v2.vetology.net/report/v/final/"&amp;2735970, 2735970)</f>
        <v>2735970</v>
      </c>
      <c r="D1550" s="2" t="s">
        <v>5099</v>
      </c>
      <c r="E1550" s="2" t="s">
        <v>5100</v>
      </c>
      <c r="F1550" s="2" t="s">
        <v>610</v>
      </c>
      <c r="G1550" s="2" t="s">
        <v>251</v>
      </c>
      <c r="H1550" s="2" t="s">
        <v>5101</v>
      </c>
      <c r="I1550" s="2" t="s">
        <v>36</v>
      </c>
      <c r="J1550" s="2" t="s">
        <v>37</v>
      </c>
      <c r="K1550" s="2" t="s">
        <v>39</v>
      </c>
      <c r="L1550" s="2" t="s">
        <v>38</v>
      </c>
      <c r="M1550" s="2" t="s">
        <v>39</v>
      </c>
      <c r="N1550" s="2" t="s">
        <v>39</v>
      </c>
      <c r="O1550" s="2" t="s">
        <v>39</v>
      </c>
      <c r="P1550" s="2" t="s">
        <v>39</v>
      </c>
      <c r="Q1550" s="2" t="s">
        <v>39</v>
      </c>
      <c r="R1550" s="2" t="s">
        <v>38</v>
      </c>
      <c r="S1550" s="2" t="s">
        <v>38</v>
      </c>
      <c r="T1550" s="2" t="s">
        <v>39</v>
      </c>
      <c r="U1550" s="2" t="s">
        <v>39</v>
      </c>
      <c r="V1550" s="2" t="s">
        <v>39</v>
      </c>
      <c r="W1550" s="2" t="s">
        <v>38</v>
      </c>
      <c r="X1550" s="2" t="s">
        <v>39</v>
      </c>
      <c r="Y1550" s="2" t="s">
        <v>39</v>
      </c>
      <c r="Z1550" s="2" t="s">
        <v>38</v>
      </c>
      <c r="AA1550" s="2" t="s">
        <v>38</v>
      </c>
      <c r="AB1550" s="2" t="s">
        <v>39</v>
      </c>
      <c r="AC1550" s="2" t="s">
        <v>38</v>
      </c>
      <c r="AD1550" s="2" t="s">
        <v>39</v>
      </c>
      <c r="AE1550" s="2" t="s">
        <v>40</v>
      </c>
    </row>
    <row r="1551" spans="1:31" ht="409.5">
      <c r="A1551" s="2">
        <v>2735945</v>
      </c>
      <c r="B1551" s="2">
        <f>HYPERLINK("https://platform.v2.vetology.net/cases/2735945/screening-report/1?type=pdf&amp;v=v6&amp;scorecard=1&amp;secret_key=BX%25IJ%24%2F65ieZ%29f6", 2735945)</f>
        <v>2735945</v>
      </c>
      <c r="C1551" s="2">
        <f>HYPERLINK("https://platform.v2.vetology.net/report/v/final/"&amp;2735945, 2735945)</f>
        <v>2735945</v>
      </c>
      <c r="D1551" s="2" t="s">
        <v>5102</v>
      </c>
      <c r="E1551" s="2" t="s">
        <v>5103</v>
      </c>
      <c r="F1551" s="2" t="s">
        <v>43</v>
      </c>
      <c r="G1551" s="2" t="s">
        <v>44</v>
      </c>
      <c r="H1551" s="2" t="s">
        <v>5104</v>
      </c>
      <c r="I1551" s="2" t="s">
        <v>36</v>
      </c>
      <c r="J1551" s="2" t="s">
        <v>37</v>
      </c>
      <c r="K1551" s="2" t="s">
        <v>39</v>
      </c>
      <c r="L1551" s="2" t="s">
        <v>39</v>
      </c>
      <c r="M1551" s="2" t="s">
        <v>38</v>
      </c>
      <c r="N1551" s="2" t="s">
        <v>39</v>
      </c>
      <c r="O1551" s="2" t="s">
        <v>38</v>
      </c>
      <c r="P1551" s="2" t="s">
        <v>38</v>
      </c>
      <c r="Q1551" s="2" t="s">
        <v>38</v>
      </c>
      <c r="R1551" s="2" t="s">
        <v>39</v>
      </c>
      <c r="S1551" s="2" t="s">
        <v>39</v>
      </c>
      <c r="T1551" s="2" t="s">
        <v>38</v>
      </c>
      <c r="U1551" s="2" t="s">
        <v>39</v>
      </c>
      <c r="V1551" s="2" t="s">
        <v>39</v>
      </c>
      <c r="W1551" s="2" t="s">
        <v>39</v>
      </c>
      <c r="X1551" s="2" t="s">
        <v>39</v>
      </c>
      <c r="Y1551" s="2" t="s">
        <v>39</v>
      </c>
      <c r="Z1551" s="2" t="s">
        <v>38</v>
      </c>
      <c r="AA1551" s="2" t="s">
        <v>39</v>
      </c>
      <c r="AB1551" s="2" t="s">
        <v>39</v>
      </c>
      <c r="AC1551" s="2" t="s">
        <v>39</v>
      </c>
      <c r="AD1551" s="2" t="s">
        <v>39</v>
      </c>
      <c r="AE1551" s="2" t="s">
        <v>40</v>
      </c>
    </row>
    <row r="1552" spans="1:31" ht="409.5">
      <c r="A1552" s="2">
        <v>2735916</v>
      </c>
      <c r="B1552" s="2">
        <f>HYPERLINK("https://platform.v2.vetology.net/cases/2735916/screening-report/1?type=pdf&amp;v=v6&amp;scorecard=1&amp;secret_key=BX%25IJ%24%2F65ieZ%29f6", 2735916)</f>
        <v>2735916</v>
      </c>
      <c r="C1552" s="2">
        <f>HYPERLINK("https://platform.v2.vetology.net/report/v/final/"&amp;2735916, 2735916)</f>
        <v>2735916</v>
      </c>
      <c r="D1552" s="2" t="s">
        <v>5105</v>
      </c>
      <c r="E1552" s="2" t="s">
        <v>5106</v>
      </c>
      <c r="F1552" s="2" t="s">
        <v>5107</v>
      </c>
      <c r="G1552" s="2" t="s">
        <v>251</v>
      </c>
      <c r="H1552" s="2" t="s">
        <v>1168</v>
      </c>
      <c r="I1552" s="2" t="s">
        <v>36</v>
      </c>
      <c r="J1552" s="2" t="s">
        <v>37</v>
      </c>
      <c r="K1552" s="2" t="s">
        <v>38</v>
      </c>
      <c r="L1552" s="2" t="s">
        <v>38</v>
      </c>
      <c r="M1552" s="2" t="s">
        <v>38</v>
      </c>
      <c r="N1552" s="2" t="s">
        <v>38</v>
      </c>
      <c r="O1552" s="2" t="s">
        <v>38</v>
      </c>
      <c r="P1552" s="2" t="s">
        <v>39</v>
      </c>
      <c r="Q1552" s="2" t="s">
        <v>39</v>
      </c>
      <c r="R1552" s="2" t="s">
        <v>38</v>
      </c>
      <c r="S1552" s="2" t="s">
        <v>38</v>
      </c>
      <c r="T1552" s="2" t="s">
        <v>38</v>
      </c>
      <c r="U1552" s="2" t="s">
        <v>38</v>
      </c>
      <c r="V1552" s="2" t="s">
        <v>38</v>
      </c>
      <c r="W1552" s="2" t="s">
        <v>38</v>
      </c>
      <c r="X1552" s="2" t="s">
        <v>39</v>
      </c>
      <c r="Y1552" s="2" t="s">
        <v>38</v>
      </c>
      <c r="Z1552" s="2" t="s">
        <v>38</v>
      </c>
      <c r="AA1552" s="2" t="s">
        <v>38</v>
      </c>
      <c r="AB1552" s="2" t="s">
        <v>39</v>
      </c>
      <c r="AC1552" s="2" t="s">
        <v>38</v>
      </c>
      <c r="AD1552" s="2" t="s">
        <v>38</v>
      </c>
      <c r="AE1552" s="2" t="s">
        <v>40</v>
      </c>
    </row>
    <row r="1553" spans="1:31" ht="409.5">
      <c r="A1553" s="2">
        <v>2735908</v>
      </c>
      <c r="B1553" s="2">
        <f>HYPERLINK("https://platform.v2.vetology.net/cases/2735908/screening-report/1?type=pdf&amp;v=v6&amp;scorecard=1&amp;secret_key=BX%25IJ%24%2F65ieZ%29f6", 2735908)</f>
        <v>2735908</v>
      </c>
      <c r="C1553" s="2">
        <f>HYPERLINK("https://platform.v2.vetology.net/report/v/final/"&amp;2735908, 2735908)</f>
        <v>2735908</v>
      </c>
      <c r="D1553" s="2" t="s">
        <v>5108</v>
      </c>
      <c r="E1553" s="2" t="s">
        <v>5109</v>
      </c>
      <c r="F1553" s="2" t="s">
        <v>5110</v>
      </c>
      <c r="G1553" s="2" t="s">
        <v>53</v>
      </c>
      <c r="H1553" s="2" t="s">
        <v>69</v>
      </c>
      <c r="I1553" s="2" t="s">
        <v>46</v>
      </c>
      <c r="J1553" s="2"/>
      <c r="K1553" s="2" t="s">
        <v>39</v>
      </c>
      <c r="L1553" s="2" t="s">
        <v>39</v>
      </c>
      <c r="M1553" s="2" t="s">
        <v>39</v>
      </c>
      <c r="N1553" s="2" t="s">
        <v>39</v>
      </c>
      <c r="O1553" s="2" t="s">
        <v>39</v>
      </c>
      <c r="P1553" s="2" t="s">
        <v>39</v>
      </c>
      <c r="Q1553" s="2" t="s">
        <v>39</v>
      </c>
      <c r="R1553" s="2" t="s">
        <v>39</v>
      </c>
      <c r="S1553" s="2" t="s">
        <v>39</v>
      </c>
      <c r="T1553" s="2" t="s">
        <v>39</v>
      </c>
      <c r="U1553" s="2" t="s">
        <v>39</v>
      </c>
      <c r="V1553" s="2" t="s">
        <v>39</v>
      </c>
      <c r="W1553" s="2" t="s">
        <v>38</v>
      </c>
      <c r="X1553" s="2" t="s">
        <v>39</v>
      </c>
      <c r="Y1553" s="2" t="s">
        <v>39</v>
      </c>
      <c r="Z1553" s="2" t="s">
        <v>39</v>
      </c>
      <c r="AA1553" s="2" t="s">
        <v>39</v>
      </c>
      <c r="AB1553" s="2" t="s">
        <v>39</v>
      </c>
      <c r="AC1553" s="2" t="s">
        <v>39</v>
      </c>
      <c r="AD1553" s="2" t="s">
        <v>38</v>
      </c>
      <c r="AE1553" s="2" t="s">
        <v>39</v>
      </c>
    </row>
    <row r="1554" spans="1:31" ht="409.5">
      <c r="A1554" s="2">
        <v>2735884</v>
      </c>
      <c r="B1554" s="2">
        <f>HYPERLINK("https://platform.v2.vetology.net/cases/2735884/screening-report/1?type=pdf&amp;v=v6&amp;scorecard=1&amp;secret_key=BX%25IJ%24%2F65ieZ%29f6", 2735884)</f>
        <v>2735884</v>
      </c>
      <c r="C1554" s="2">
        <f>HYPERLINK("https://platform.v2.vetology.net/report/v/final/"&amp;2735884, 2735884)</f>
        <v>2735884</v>
      </c>
      <c r="D1554" s="2" t="s">
        <v>5111</v>
      </c>
      <c r="E1554" s="2" t="s">
        <v>5112</v>
      </c>
      <c r="F1554" s="2" t="s">
        <v>5113</v>
      </c>
      <c r="G1554" s="2" t="s">
        <v>127</v>
      </c>
      <c r="H1554" s="2" t="s">
        <v>5114</v>
      </c>
      <c r="I1554" s="2" t="s">
        <v>129</v>
      </c>
      <c r="J1554" s="2" t="s">
        <v>74</v>
      </c>
      <c r="K1554" s="2" t="s">
        <v>39</v>
      </c>
      <c r="L1554" s="2" t="s">
        <v>38</v>
      </c>
      <c r="M1554" s="2" t="s">
        <v>38</v>
      </c>
      <c r="N1554" s="2" t="s">
        <v>38</v>
      </c>
      <c r="O1554" s="2" t="s">
        <v>38</v>
      </c>
      <c r="P1554" s="2" t="s">
        <v>38</v>
      </c>
      <c r="Q1554" s="2" t="s">
        <v>38</v>
      </c>
      <c r="R1554" s="2" t="s">
        <v>38</v>
      </c>
      <c r="S1554" s="2" t="s">
        <v>38</v>
      </c>
      <c r="T1554" s="2" t="s">
        <v>38</v>
      </c>
      <c r="U1554" s="2" t="s">
        <v>39</v>
      </c>
      <c r="V1554" s="2" t="s">
        <v>39</v>
      </c>
      <c r="W1554" s="2" t="s">
        <v>38</v>
      </c>
      <c r="X1554" s="2" t="s">
        <v>38</v>
      </c>
      <c r="Y1554" s="2" t="s">
        <v>38</v>
      </c>
      <c r="Z1554" s="2" t="s">
        <v>38</v>
      </c>
      <c r="AA1554" s="2" t="s">
        <v>38</v>
      </c>
      <c r="AB1554" s="2" t="s">
        <v>38</v>
      </c>
      <c r="AC1554" s="2" t="s">
        <v>38</v>
      </c>
      <c r="AD1554" s="2" t="s">
        <v>38</v>
      </c>
      <c r="AE1554" s="2" t="s">
        <v>40</v>
      </c>
    </row>
    <row r="1555" spans="1:31" ht="409.5">
      <c r="A1555" s="2">
        <v>2735878</v>
      </c>
      <c r="B1555" s="2">
        <f>HYPERLINK("https://platform.v2.vetology.net/cases/2735878/screening-report/1?type=pdf&amp;v=v6&amp;scorecard=1&amp;secret_key=BX%25IJ%24%2F65ieZ%29f6", 2735878)</f>
        <v>2735878</v>
      </c>
      <c r="C1555" s="2">
        <f>HYPERLINK("https://platform.v2.vetology.net/report/v/final/"&amp;2735878, 2735878)</f>
        <v>2735878</v>
      </c>
      <c r="D1555" s="2" t="s">
        <v>5115</v>
      </c>
      <c r="E1555" s="2" t="s">
        <v>5116</v>
      </c>
      <c r="F1555" s="2" t="s">
        <v>5117</v>
      </c>
      <c r="G1555" s="2" t="s">
        <v>34</v>
      </c>
      <c r="H1555" s="2" t="s">
        <v>5118</v>
      </c>
      <c r="I1555" s="2" t="s">
        <v>36</v>
      </c>
      <c r="J1555" s="2" t="s">
        <v>37</v>
      </c>
      <c r="K1555" s="2" t="s">
        <v>39</v>
      </c>
      <c r="L1555" s="2" t="s">
        <v>38</v>
      </c>
      <c r="M1555" s="2" t="s">
        <v>39</v>
      </c>
      <c r="N1555" s="2" t="s">
        <v>38</v>
      </c>
      <c r="O1555" s="2" t="s">
        <v>39</v>
      </c>
      <c r="P1555" s="2" t="s">
        <v>39</v>
      </c>
      <c r="Q1555" s="2" t="s">
        <v>39</v>
      </c>
      <c r="R1555" s="2" t="s">
        <v>38</v>
      </c>
      <c r="S1555" s="2" t="s">
        <v>39</v>
      </c>
      <c r="T1555" s="2" t="s">
        <v>39</v>
      </c>
      <c r="U1555" s="2" t="s">
        <v>39</v>
      </c>
      <c r="V1555" s="2" t="s">
        <v>39</v>
      </c>
      <c r="W1555" s="2" t="s">
        <v>38</v>
      </c>
      <c r="X1555" s="2" t="s">
        <v>39</v>
      </c>
      <c r="Y1555" s="2" t="s">
        <v>39</v>
      </c>
      <c r="Z1555" s="2" t="s">
        <v>39</v>
      </c>
      <c r="AA1555" s="2" t="s">
        <v>38</v>
      </c>
      <c r="AB1555" s="2" t="s">
        <v>39</v>
      </c>
      <c r="AC1555" s="2" t="s">
        <v>38</v>
      </c>
      <c r="AD1555" s="2" t="s">
        <v>38</v>
      </c>
      <c r="AE1555" s="2"/>
    </row>
    <row r="1556" spans="1:31" ht="409.5">
      <c r="A1556" s="2">
        <v>2735876</v>
      </c>
      <c r="B1556" s="2">
        <f>HYPERLINK("https://platform.v2.vetology.net/cases/2735876/screening-report/1?type=pdf&amp;v=v6&amp;scorecard=1&amp;secret_key=BX%25IJ%24%2F65ieZ%29f6", 2735876)</f>
        <v>2735876</v>
      </c>
      <c r="C1556" s="2">
        <f>HYPERLINK("https://platform.v2.vetology.net/report/v/final/"&amp;2735876, 2735876)</f>
        <v>2735876</v>
      </c>
      <c r="D1556" s="2" t="s">
        <v>5119</v>
      </c>
      <c r="E1556" s="2" t="s">
        <v>5120</v>
      </c>
      <c r="F1556" s="2" t="s">
        <v>5121</v>
      </c>
      <c r="G1556" s="2" t="s">
        <v>145</v>
      </c>
      <c r="H1556" s="2" t="s">
        <v>5122</v>
      </c>
      <c r="I1556" s="2" t="s">
        <v>36</v>
      </c>
      <c r="J1556" s="2" t="s">
        <v>37</v>
      </c>
      <c r="K1556" s="2" t="s">
        <v>38</v>
      </c>
      <c r="L1556" s="2" t="s">
        <v>38</v>
      </c>
      <c r="M1556" s="2" t="s">
        <v>38</v>
      </c>
      <c r="N1556" s="2" t="s">
        <v>38</v>
      </c>
      <c r="O1556" s="2" t="s">
        <v>38</v>
      </c>
      <c r="P1556" s="2" t="s">
        <v>39</v>
      </c>
      <c r="Q1556" s="2" t="s">
        <v>39</v>
      </c>
      <c r="R1556" s="2" t="s">
        <v>39</v>
      </c>
      <c r="S1556" s="2" t="s">
        <v>39</v>
      </c>
      <c r="T1556" s="2" t="s">
        <v>38</v>
      </c>
      <c r="U1556" s="2" t="s">
        <v>39</v>
      </c>
      <c r="V1556" s="2" t="s">
        <v>39</v>
      </c>
      <c r="W1556" s="2" t="s">
        <v>38</v>
      </c>
      <c r="X1556" s="2" t="s">
        <v>39</v>
      </c>
      <c r="Y1556" s="2" t="s">
        <v>39</v>
      </c>
      <c r="Z1556" s="2" t="s">
        <v>38</v>
      </c>
      <c r="AA1556" s="2" t="s">
        <v>38</v>
      </c>
      <c r="AB1556" s="2" t="s">
        <v>39</v>
      </c>
      <c r="AC1556" s="2" t="s">
        <v>38</v>
      </c>
      <c r="AD1556" s="2" t="s">
        <v>39</v>
      </c>
      <c r="AE1556" s="2" t="s">
        <v>39</v>
      </c>
    </row>
    <row r="1557" spans="1:31" ht="409.5">
      <c r="A1557" s="2">
        <v>2735867</v>
      </c>
      <c r="B1557" s="2">
        <f>HYPERLINK("https://platform.v2.vetology.net/cases/2735867/screening-report/1?type=pdf&amp;v=v6&amp;scorecard=1&amp;secret_key=BX%25IJ%24%2F65ieZ%29f6", 2735867)</f>
        <v>2735867</v>
      </c>
      <c r="C1557" s="2">
        <f>HYPERLINK("https://platform.v2.vetology.net/report/v/final/"&amp;2735867, 2735867)</f>
        <v>2735867</v>
      </c>
      <c r="D1557" s="2" t="s">
        <v>5123</v>
      </c>
      <c r="E1557" s="2" t="s">
        <v>5124</v>
      </c>
      <c r="F1557" s="2" t="s">
        <v>43</v>
      </c>
      <c r="G1557" s="2" t="s">
        <v>44</v>
      </c>
      <c r="H1557" s="2" t="s">
        <v>561</v>
      </c>
      <c r="I1557" s="2" t="s">
        <v>36</v>
      </c>
      <c r="J1557" s="2" t="s">
        <v>37</v>
      </c>
      <c r="K1557" s="2" t="s">
        <v>39</v>
      </c>
      <c r="L1557" s="2" t="s">
        <v>38</v>
      </c>
      <c r="M1557" s="2" t="s">
        <v>38</v>
      </c>
      <c r="N1557" s="2" t="s">
        <v>38</v>
      </c>
      <c r="O1557" s="2" t="s">
        <v>38</v>
      </c>
      <c r="P1557" s="2" t="s">
        <v>39</v>
      </c>
      <c r="Q1557" s="2" t="s">
        <v>39</v>
      </c>
      <c r="R1557" s="2" t="s">
        <v>38</v>
      </c>
      <c r="S1557" s="2" t="s">
        <v>38</v>
      </c>
      <c r="T1557" s="2" t="s">
        <v>39</v>
      </c>
      <c r="U1557" s="2" t="s">
        <v>39</v>
      </c>
      <c r="V1557" s="2" t="s">
        <v>39</v>
      </c>
      <c r="W1557" s="2" t="s">
        <v>38</v>
      </c>
      <c r="X1557" s="2" t="s">
        <v>39</v>
      </c>
      <c r="Y1557" s="2" t="s">
        <v>39</v>
      </c>
      <c r="Z1557" s="2" t="s">
        <v>38</v>
      </c>
      <c r="AA1557" s="2" t="s">
        <v>39</v>
      </c>
      <c r="AB1557" s="2" t="s">
        <v>39</v>
      </c>
      <c r="AC1557" s="2" t="s">
        <v>38</v>
      </c>
      <c r="AD1557" s="2" t="s">
        <v>39</v>
      </c>
      <c r="AE1557" s="2" t="s">
        <v>40</v>
      </c>
    </row>
    <row r="1558" spans="1:31" ht="409.5">
      <c r="A1558" s="2">
        <v>2735831</v>
      </c>
      <c r="B1558" s="2">
        <f>HYPERLINK("https://platform.v2.vetology.net/cases/2735831/screening-report/1?type=pdf&amp;v=v6&amp;scorecard=1&amp;secret_key=BX%25IJ%24%2F65ieZ%29f6", 2735831)</f>
        <v>2735831</v>
      </c>
      <c r="C1558" s="2">
        <f>HYPERLINK("https://platform.v2.vetology.net/report/v/final/"&amp;2735831, 2735831)</f>
        <v>2735831</v>
      </c>
      <c r="D1558" s="2" t="s">
        <v>5125</v>
      </c>
      <c r="E1558" s="2" t="s">
        <v>5126</v>
      </c>
      <c r="F1558" s="2" t="s">
        <v>1225</v>
      </c>
      <c r="G1558" s="2" t="s">
        <v>44</v>
      </c>
      <c r="H1558" s="2" t="s">
        <v>394</v>
      </c>
      <c r="I1558" s="2" t="s">
        <v>59</v>
      </c>
      <c r="J1558" s="2" t="s">
        <v>37</v>
      </c>
      <c r="K1558" s="2" t="s">
        <v>38</v>
      </c>
      <c r="L1558" s="2" t="s">
        <v>39</v>
      </c>
      <c r="M1558" s="2" t="s">
        <v>39</v>
      </c>
      <c r="N1558" s="2" t="s">
        <v>39</v>
      </c>
      <c r="O1558" s="2" t="s">
        <v>39</v>
      </c>
      <c r="P1558" s="2" t="s">
        <v>39</v>
      </c>
      <c r="Q1558" s="2" t="s">
        <v>39</v>
      </c>
      <c r="R1558" s="2" t="s">
        <v>39</v>
      </c>
      <c r="S1558" s="2" t="s">
        <v>39</v>
      </c>
      <c r="T1558" s="2" t="s">
        <v>39</v>
      </c>
      <c r="U1558" s="2" t="s">
        <v>38</v>
      </c>
      <c r="V1558" s="2" t="s">
        <v>38</v>
      </c>
      <c r="W1558" s="2" t="s">
        <v>39</v>
      </c>
      <c r="X1558" s="2" t="s">
        <v>39</v>
      </c>
      <c r="Y1558" s="2" t="s">
        <v>39</v>
      </c>
      <c r="Z1558" s="2" t="s">
        <v>39</v>
      </c>
      <c r="AA1558" s="2" t="s">
        <v>39</v>
      </c>
      <c r="AB1558" s="2" t="s">
        <v>39</v>
      </c>
      <c r="AC1558" s="2" t="s">
        <v>38</v>
      </c>
      <c r="AD1558" s="2" t="s">
        <v>39</v>
      </c>
      <c r="AE1558" s="2"/>
    </row>
    <row r="1559" spans="1:31" ht="409.5">
      <c r="A1559" s="2">
        <v>2735830</v>
      </c>
      <c r="B1559" s="2">
        <f>HYPERLINK("https://platform.v2.vetology.net/cases/2735830/screening-report/1?type=pdf&amp;v=v6&amp;scorecard=1&amp;secret_key=BX%25IJ%24%2F65ieZ%29f6", 2735830)</f>
        <v>2735830</v>
      </c>
      <c r="C1559" s="2">
        <f>HYPERLINK("https://platform.v2.vetology.net/report/v/final/"&amp;2735830, 2735830)</f>
        <v>2735830</v>
      </c>
      <c r="D1559" s="2" t="s">
        <v>5127</v>
      </c>
      <c r="E1559" s="2" t="s">
        <v>5128</v>
      </c>
      <c r="F1559" s="2" t="s">
        <v>5129</v>
      </c>
      <c r="G1559" s="2" t="s">
        <v>53</v>
      </c>
      <c r="H1559" s="2" t="s">
        <v>5130</v>
      </c>
      <c r="I1559" s="2" t="s">
        <v>73</v>
      </c>
      <c r="J1559" s="2" t="s">
        <v>74</v>
      </c>
      <c r="K1559" s="2" t="s">
        <v>38</v>
      </c>
      <c r="L1559" s="2" t="s">
        <v>38</v>
      </c>
      <c r="M1559" s="2" t="s">
        <v>38</v>
      </c>
      <c r="N1559" s="2" t="s">
        <v>38</v>
      </c>
      <c r="O1559" s="2" t="s">
        <v>38</v>
      </c>
      <c r="P1559" s="2" t="s">
        <v>38</v>
      </c>
      <c r="Q1559" s="2" t="s">
        <v>38</v>
      </c>
      <c r="R1559" s="2" t="s">
        <v>38</v>
      </c>
      <c r="S1559" s="2" t="s">
        <v>38</v>
      </c>
      <c r="T1559" s="2" t="s">
        <v>38</v>
      </c>
      <c r="U1559" s="2" t="s">
        <v>38</v>
      </c>
      <c r="V1559" s="2" t="s">
        <v>38</v>
      </c>
      <c r="W1559" s="2" t="s">
        <v>38</v>
      </c>
      <c r="X1559" s="2" t="s">
        <v>38</v>
      </c>
      <c r="Y1559" s="2" t="s">
        <v>38</v>
      </c>
      <c r="Z1559" s="2" t="s">
        <v>38</v>
      </c>
      <c r="AA1559" s="2" t="s">
        <v>38</v>
      </c>
      <c r="AB1559" s="2" t="s">
        <v>38</v>
      </c>
      <c r="AC1559" s="2" t="s">
        <v>38</v>
      </c>
      <c r="AD1559" s="2" t="s">
        <v>38</v>
      </c>
      <c r="AE1559" s="2" t="s">
        <v>40</v>
      </c>
    </row>
    <row r="1560" spans="1:31" ht="409.5">
      <c r="A1560" s="2">
        <v>2735825</v>
      </c>
      <c r="B1560" s="2">
        <f>HYPERLINK("https://platform.v2.vetology.net/cases/2735825/screening-report/1?type=pdf&amp;v=v6&amp;scorecard=1&amp;secret_key=BX%25IJ%24%2F65ieZ%29f6", 2735825)</f>
        <v>2735825</v>
      </c>
      <c r="C1560" s="2">
        <f>HYPERLINK("https://platform.v2.vetology.net/report/v/final/"&amp;2735825, 2735825)</f>
        <v>2735825</v>
      </c>
      <c r="D1560" s="2" t="s">
        <v>5131</v>
      </c>
      <c r="E1560" s="2" t="s">
        <v>5132</v>
      </c>
      <c r="F1560" s="2" t="s">
        <v>5133</v>
      </c>
      <c r="G1560" s="2" t="s">
        <v>127</v>
      </c>
      <c r="H1560" s="2" t="s">
        <v>5134</v>
      </c>
      <c r="I1560" s="2" t="s">
        <v>36</v>
      </c>
      <c r="J1560" s="2" t="s">
        <v>37</v>
      </c>
      <c r="K1560" s="2" t="s">
        <v>38</v>
      </c>
      <c r="L1560" s="2" t="s">
        <v>39</v>
      </c>
      <c r="M1560" s="2" t="s">
        <v>39</v>
      </c>
      <c r="N1560" s="2" t="s">
        <v>39</v>
      </c>
      <c r="O1560" s="2" t="s">
        <v>38</v>
      </c>
      <c r="P1560" s="2" t="s">
        <v>38</v>
      </c>
      <c r="Q1560" s="2" t="s">
        <v>38</v>
      </c>
      <c r="R1560" s="2" t="s">
        <v>39</v>
      </c>
      <c r="S1560" s="2" t="s">
        <v>39</v>
      </c>
      <c r="T1560" s="2" t="s">
        <v>38</v>
      </c>
      <c r="U1560" s="2" t="s">
        <v>39</v>
      </c>
      <c r="V1560" s="2" t="s">
        <v>39</v>
      </c>
      <c r="W1560" s="2" t="s">
        <v>38</v>
      </c>
      <c r="X1560" s="2" t="s">
        <v>39</v>
      </c>
      <c r="Y1560" s="2" t="s">
        <v>39</v>
      </c>
      <c r="Z1560" s="2" t="s">
        <v>38</v>
      </c>
      <c r="AA1560" s="2" t="s">
        <v>38</v>
      </c>
      <c r="AB1560" s="2" t="s">
        <v>39</v>
      </c>
      <c r="AC1560" s="2" t="s">
        <v>38</v>
      </c>
      <c r="AD1560" s="2" t="s">
        <v>38</v>
      </c>
      <c r="AE1560" s="2" t="s">
        <v>40</v>
      </c>
    </row>
    <row r="1561" spans="1:31" ht="409.5">
      <c r="A1561" s="2">
        <v>2735787</v>
      </c>
      <c r="B1561" s="2">
        <f>HYPERLINK("https://platform.v2.vetology.net/cases/2735787/screening-report/1?type=pdf&amp;v=v6&amp;scorecard=1&amp;secret_key=BX%25IJ%24%2F65ieZ%29f6", 2735787)</f>
        <v>2735787</v>
      </c>
      <c r="C1561" s="2">
        <f>HYPERLINK("https://platform.v2.vetology.net/report/v/final/"&amp;2735787, 2735787)</f>
        <v>2735787</v>
      </c>
      <c r="D1561" s="2" t="s">
        <v>5135</v>
      </c>
      <c r="E1561" s="2" t="s">
        <v>5136</v>
      </c>
      <c r="F1561" s="2" t="s">
        <v>5137</v>
      </c>
      <c r="G1561" s="2" t="s">
        <v>170</v>
      </c>
      <c r="H1561" s="2" t="s">
        <v>5138</v>
      </c>
      <c r="I1561" s="2" t="s">
        <v>129</v>
      </c>
      <c r="J1561" s="2" t="s">
        <v>74</v>
      </c>
      <c r="K1561" s="2" t="s">
        <v>38</v>
      </c>
      <c r="L1561" s="2" t="s">
        <v>38</v>
      </c>
      <c r="M1561" s="2" t="s">
        <v>38</v>
      </c>
      <c r="N1561" s="2" t="s">
        <v>38</v>
      </c>
      <c r="O1561" s="2" t="s">
        <v>38</v>
      </c>
      <c r="P1561" s="2" t="s">
        <v>38</v>
      </c>
      <c r="Q1561" s="2" t="s">
        <v>38</v>
      </c>
      <c r="R1561" s="2" t="s">
        <v>38</v>
      </c>
      <c r="S1561" s="2" t="s">
        <v>38</v>
      </c>
      <c r="T1561" s="2" t="s">
        <v>38</v>
      </c>
      <c r="U1561" s="2" t="s">
        <v>39</v>
      </c>
      <c r="V1561" s="2" t="s">
        <v>39</v>
      </c>
      <c r="W1561" s="2" t="s">
        <v>39</v>
      </c>
      <c r="X1561" s="2" t="s">
        <v>38</v>
      </c>
      <c r="Y1561" s="2" t="s">
        <v>38</v>
      </c>
      <c r="Z1561" s="2" t="s">
        <v>38</v>
      </c>
      <c r="AA1561" s="2" t="s">
        <v>38</v>
      </c>
      <c r="AB1561" s="2" t="s">
        <v>39</v>
      </c>
      <c r="AC1561" s="2" t="s">
        <v>38</v>
      </c>
      <c r="AD1561" s="2" t="s">
        <v>38</v>
      </c>
      <c r="AE1561" s="2" t="s">
        <v>39</v>
      </c>
    </row>
    <row r="1562" spans="1:31" ht="409.5">
      <c r="A1562" s="2">
        <v>2735740</v>
      </c>
      <c r="B1562" s="2">
        <f>HYPERLINK("https://platform.v2.vetology.net/cases/2735740/screening-report/1?type=pdf&amp;v=v6&amp;scorecard=1&amp;secret_key=BX%25IJ%24%2F65ieZ%29f6", 2735740)</f>
        <v>2735740</v>
      </c>
      <c r="C1562" s="2">
        <f>HYPERLINK("https://platform.v2.vetology.net/report/v/final/"&amp;2735740, 2735740)</f>
        <v>2735740</v>
      </c>
      <c r="D1562" s="2" t="s">
        <v>5139</v>
      </c>
      <c r="E1562" s="2" t="s">
        <v>5140</v>
      </c>
      <c r="F1562" s="2" t="s">
        <v>276</v>
      </c>
      <c r="G1562" s="2" t="s">
        <v>170</v>
      </c>
      <c r="H1562" s="2" t="s">
        <v>5141</v>
      </c>
      <c r="I1562" s="2" t="s">
        <v>36</v>
      </c>
      <c r="J1562" s="2" t="s">
        <v>37</v>
      </c>
      <c r="K1562" s="2" t="s">
        <v>39</v>
      </c>
      <c r="L1562" s="2" t="s">
        <v>38</v>
      </c>
      <c r="M1562" s="2" t="s">
        <v>39</v>
      </c>
      <c r="N1562" s="2" t="s">
        <v>39</v>
      </c>
      <c r="O1562" s="2" t="s">
        <v>38</v>
      </c>
      <c r="P1562" s="2" t="s">
        <v>39</v>
      </c>
      <c r="Q1562" s="2" t="s">
        <v>39</v>
      </c>
      <c r="R1562" s="2" t="s">
        <v>39</v>
      </c>
      <c r="S1562" s="2" t="s">
        <v>38</v>
      </c>
      <c r="T1562" s="2" t="s">
        <v>39</v>
      </c>
      <c r="U1562" s="2" t="s">
        <v>39</v>
      </c>
      <c r="V1562" s="2" t="s">
        <v>39</v>
      </c>
      <c r="W1562" s="2" t="s">
        <v>38</v>
      </c>
      <c r="X1562" s="2" t="s">
        <v>39</v>
      </c>
      <c r="Y1562" s="2" t="s">
        <v>39</v>
      </c>
      <c r="Z1562" s="2" t="s">
        <v>39</v>
      </c>
      <c r="AA1562" s="2" t="s">
        <v>38</v>
      </c>
      <c r="AB1562" s="2" t="s">
        <v>39</v>
      </c>
      <c r="AC1562" s="2" t="s">
        <v>38</v>
      </c>
      <c r="AD1562" s="2" t="s">
        <v>39</v>
      </c>
      <c r="AE1562" s="2" t="s">
        <v>40</v>
      </c>
    </row>
    <row r="1563" spans="1:31" ht="409.5">
      <c r="A1563" s="2">
        <v>2735720</v>
      </c>
      <c r="B1563" s="2">
        <f>HYPERLINK("https://platform.v2.vetology.net/cases/2735720/screening-report/1?type=pdf&amp;v=v6&amp;scorecard=1&amp;secret_key=BX%25IJ%24%2F65ieZ%29f6", 2735720)</f>
        <v>2735720</v>
      </c>
      <c r="C1563" s="2">
        <f>HYPERLINK("https://platform.v2.vetology.net/report/v/final/"&amp;2735720, 2735720)</f>
        <v>2735720</v>
      </c>
      <c r="D1563" s="2" t="s">
        <v>5142</v>
      </c>
      <c r="E1563" s="2" t="s">
        <v>5143</v>
      </c>
      <c r="F1563" s="2" t="s">
        <v>5144</v>
      </c>
      <c r="G1563" s="2" t="s">
        <v>53</v>
      </c>
      <c r="H1563" s="2" t="s">
        <v>5145</v>
      </c>
      <c r="I1563" s="2" t="s">
        <v>257</v>
      </c>
      <c r="J1563" s="2" t="s">
        <v>74</v>
      </c>
      <c r="K1563" s="2" t="s">
        <v>38</v>
      </c>
      <c r="L1563" s="2" t="s">
        <v>38</v>
      </c>
      <c r="M1563" s="2" t="s">
        <v>38</v>
      </c>
      <c r="N1563" s="2" t="s">
        <v>38</v>
      </c>
      <c r="O1563" s="2" t="s">
        <v>38</v>
      </c>
      <c r="P1563" s="2" t="s">
        <v>38</v>
      </c>
      <c r="Q1563" s="2" t="s">
        <v>38</v>
      </c>
      <c r="R1563" s="2" t="s">
        <v>38</v>
      </c>
      <c r="S1563" s="2" t="s">
        <v>38</v>
      </c>
      <c r="T1563" s="2" t="s">
        <v>38</v>
      </c>
      <c r="U1563" s="2" t="s">
        <v>38</v>
      </c>
      <c r="V1563" s="2" t="s">
        <v>38</v>
      </c>
      <c r="W1563" s="2" t="s">
        <v>38</v>
      </c>
      <c r="X1563" s="2" t="s">
        <v>39</v>
      </c>
      <c r="Y1563" s="2" t="s">
        <v>38</v>
      </c>
      <c r="Z1563" s="2" t="s">
        <v>38</v>
      </c>
      <c r="AA1563" s="2" t="s">
        <v>38</v>
      </c>
      <c r="AB1563" s="2" t="s">
        <v>38</v>
      </c>
      <c r="AC1563" s="2" t="s">
        <v>38</v>
      </c>
      <c r="AD1563" s="2" t="s">
        <v>38</v>
      </c>
      <c r="AE1563" s="2" t="s">
        <v>39</v>
      </c>
    </row>
    <row r="1564" spans="1:31" ht="409.5">
      <c r="A1564" s="2">
        <v>2735711</v>
      </c>
      <c r="B1564" s="2">
        <f>HYPERLINK("https://platform.v2.vetology.net/cases/2735711/screening-report/1?type=pdf&amp;v=v6&amp;scorecard=1&amp;secret_key=BX%25IJ%24%2F65ieZ%29f6", 2735711)</f>
        <v>2735711</v>
      </c>
      <c r="C1564" s="2">
        <f>HYPERLINK("https://platform.v2.vetology.net/report/v/final/"&amp;2735711, 2735711)</f>
        <v>2735711</v>
      </c>
      <c r="D1564" s="2" t="s">
        <v>5146</v>
      </c>
      <c r="E1564" s="2" t="s">
        <v>5147</v>
      </c>
      <c r="F1564" s="2"/>
      <c r="G1564" s="2" t="s">
        <v>81</v>
      </c>
      <c r="H1564" s="2" t="s">
        <v>5148</v>
      </c>
      <c r="I1564" s="2" t="s">
        <v>129</v>
      </c>
      <c r="J1564" s="2" t="s">
        <v>74</v>
      </c>
      <c r="K1564" s="2" t="s">
        <v>38</v>
      </c>
      <c r="L1564" s="2" t="s">
        <v>38</v>
      </c>
      <c r="M1564" s="2" t="s">
        <v>38</v>
      </c>
      <c r="N1564" s="2" t="s">
        <v>38</v>
      </c>
      <c r="O1564" s="2" t="s">
        <v>38</v>
      </c>
      <c r="P1564" s="2" t="s">
        <v>38</v>
      </c>
      <c r="Q1564" s="2" t="s">
        <v>38</v>
      </c>
      <c r="R1564" s="2" t="s">
        <v>38</v>
      </c>
      <c r="S1564" s="2" t="s">
        <v>38</v>
      </c>
      <c r="T1564" s="2" t="s">
        <v>38</v>
      </c>
      <c r="U1564" s="2" t="s">
        <v>38</v>
      </c>
      <c r="V1564" s="2" t="s">
        <v>38</v>
      </c>
      <c r="W1564" s="2" t="s">
        <v>38</v>
      </c>
      <c r="X1564" s="2" t="s">
        <v>38</v>
      </c>
      <c r="Y1564" s="2" t="s">
        <v>38</v>
      </c>
      <c r="Z1564" s="2" t="s">
        <v>38</v>
      </c>
      <c r="AA1564" s="2" t="s">
        <v>38</v>
      </c>
      <c r="AB1564" s="2" t="s">
        <v>38</v>
      </c>
      <c r="AC1564" s="2" t="s">
        <v>38</v>
      </c>
      <c r="AD1564" s="2" t="s">
        <v>38</v>
      </c>
      <c r="AE1564" s="2" t="s">
        <v>40</v>
      </c>
    </row>
    <row r="1565" spans="1:31" ht="409.5">
      <c r="A1565" s="2">
        <v>2735648</v>
      </c>
      <c r="B1565" s="2">
        <f>HYPERLINK("https://platform.v2.vetology.net/cases/2735648/screening-report/1?type=pdf&amp;v=v6&amp;scorecard=1&amp;secret_key=BX%25IJ%24%2F65ieZ%29f6", 2735648)</f>
        <v>2735648</v>
      </c>
      <c r="C1565" s="2">
        <f>HYPERLINK("https://platform.v2.vetology.net/report/v/final/"&amp;2735648, 2735648)</f>
        <v>2735648</v>
      </c>
      <c r="D1565" s="2" t="s">
        <v>5149</v>
      </c>
      <c r="E1565" s="2" t="s">
        <v>5150</v>
      </c>
      <c r="F1565" s="2" t="s">
        <v>5151</v>
      </c>
      <c r="G1565" s="2" t="s">
        <v>127</v>
      </c>
      <c r="H1565" s="2" t="s">
        <v>5152</v>
      </c>
      <c r="I1565" s="2" t="s">
        <v>59</v>
      </c>
      <c r="J1565" s="2" t="s">
        <v>37</v>
      </c>
      <c r="K1565" s="2" t="s">
        <v>38</v>
      </c>
      <c r="L1565" s="2" t="s">
        <v>39</v>
      </c>
      <c r="M1565" s="2" t="s">
        <v>39</v>
      </c>
      <c r="N1565" s="2" t="s">
        <v>39</v>
      </c>
      <c r="O1565" s="2" t="s">
        <v>39</v>
      </c>
      <c r="P1565" s="2" t="s">
        <v>38</v>
      </c>
      <c r="Q1565" s="2" t="s">
        <v>39</v>
      </c>
      <c r="R1565" s="2" t="s">
        <v>39</v>
      </c>
      <c r="S1565" s="2" t="s">
        <v>39</v>
      </c>
      <c r="T1565" s="2" t="s">
        <v>38</v>
      </c>
      <c r="U1565" s="2" t="s">
        <v>38</v>
      </c>
      <c r="V1565" s="2" t="s">
        <v>38</v>
      </c>
      <c r="W1565" s="2" t="s">
        <v>38</v>
      </c>
      <c r="X1565" s="2" t="s">
        <v>39</v>
      </c>
      <c r="Y1565" s="2" t="s">
        <v>39</v>
      </c>
      <c r="Z1565" s="2" t="s">
        <v>39</v>
      </c>
      <c r="AA1565" s="2" t="s">
        <v>38</v>
      </c>
      <c r="AB1565" s="2" t="s">
        <v>39</v>
      </c>
      <c r="AC1565" s="2" t="s">
        <v>39</v>
      </c>
      <c r="AD1565" s="2" t="s">
        <v>39</v>
      </c>
      <c r="AE1565" s="2" t="s">
        <v>40</v>
      </c>
    </row>
    <row r="1566" spans="1:31" ht="409.5">
      <c r="A1566" s="2">
        <v>2735635</v>
      </c>
      <c r="B1566" s="2">
        <f>HYPERLINK("https://platform.v2.vetology.net/cases/2735635/screening-report/1?type=pdf&amp;v=v6&amp;scorecard=1&amp;secret_key=BX%25IJ%24%2F65ieZ%29f6", 2735635)</f>
        <v>2735635</v>
      </c>
      <c r="C1566" s="2">
        <f>HYPERLINK("https://platform.v2.vetology.net/report/v/final/"&amp;2735635, 2735635)</f>
        <v>2735635</v>
      </c>
      <c r="D1566" s="2" t="s">
        <v>5153</v>
      </c>
      <c r="E1566" s="2" t="s">
        <v>5154</v>
      </c>
      <c r="F1566" s="2" t="s">
        <v>5155</v>
      </c>
      <c r="G1566" s="2" t="s">
        <v>127</v>
      </c>
      <c r="H1566" s="2" t="s">
        <v>5156</v>
      </c>
      <c r="I1566" s="2" t="s">
        <v>36</v>
      </c>
      <c r="J1566" s="2" t="s">
        <v>37</v>
      </c>
      <c r="K1566" s="2" t="s">
        <v>39</v>
      </c>
      <c r="L1566" s="2" t="s">
        <v>38</v>
      </c>
      <c r="M1566" s="2" t="s">
        <v>38</v>
      </c>
      <c r="N1566" s="2" t="s">
        <v>38</v>
      </c>
      <c r="O1566" s="2" t="s">
        <v>38</v>
      </c>
      <c r="P1566" s="2" t="s">
        <v>39</v>
      </c>
      <c r="Q1566" s="2" t="s">
        <v>39</v>
      </c>
      <c r="R1566" s="2" t="s">
        <v>39</v>
      </c>
      <c r="S1566" s="2" t="s">
        <v>38</v>
      </c>
      <c r="T1566" s="2" t="s">
        <v>39</v>
      </c>
      <c r="U1566" s="2" t="s">
        <v>39</v>
      </c>
      <c r="V1566" s="2" t="s">
        <v>38</v>
      </c>
      <c r="W1566" s="2" t="s">
        <v>38</v>
      </c>
      <c r="X1566" s="2" t="s">
        <v>39</v>
      </c>
      <c r="Y1566" s="2" t="s">
        <v>39</v>
      </c>
      <c r="Z1566" s="2" t="s">
        <v>38</v>
      </c>
      <c r="AA1566" s="2" t="s">
        <v>38</v>
      </c>
      <c r="AB1566" s="2" t="s">
        <v>38</v>
      </c>
      <c r="AC1566" s="2" t="s">
        <v>38</v>
      </c>
      <c r="AD1566" s="2" t="s">
        <v>39</v>
      </c>
      <c r="AE1566" s="2" t="s">
        <v>39</v>
      </c>
    </row>
    <row r="1567" spans="1:31" ht="409.5">
      <c r="A1567" s="2">
        <v>2735634</v>
      </c>
      <c r="B1567" s="2">
        <f>HYPERLINK("https://platform.v2.vetology.net/cases/2735634/screening-report/1?type=pdf&amp;v=v6&amp;scorecard=1&amp;secret_key=BX%25IJ%24%2F65ieZ%29f6", 2735634)</f>
        <v>2735634</v>
      </c>
      <c r="C1567" s="2">
        <f>HYPERLINK("https://platform.v2.vetology.net/report/v/final/"&amp;2735634, 2735634)</f>
        <v>2735634</v>
      </c>
      <c r="D1567" s="2" t="s">
        <v>5157</v>
      </c>
      <c r="E1567" s="2" t="s">
        <v>5158</v>
      </c>
      <c r="F1567" s="2" t="s">
        <v>5159</v>
      </c>
      <c r="G1567" s="2" t="s">
        <v>53</v>
      </c>
      <c r="H1567" s="2" t="s">
        <v>5160</v>
      </c>
      <c r="I1567" s="2" t="s">
        <v>129</v>
      </c>
      <c r="J1567" s="2" t="s">
        <v>74</v>
      </c>
      <c r="K1567" s="2" t="s">
        <v>38</v>
      </c>
      <c r="L1567" s="2" t="s">
        <v>39</v>
      </c>
      <c r="M1567" s="2" t="s">
        <v>38</v>
      </c>
      <c r="N1567" s="2" t="s">
        <v>38</v>
      </c>
      <c r="O1567" s="2" t="s">
        <v>38</v>
      </c>
      <c r="P1567" s="2" t="s">
        <v>39</v>
      </c>
      <c r="Q1567" s="2" t="s">
        <v>38</v>
      </c>
      <c r="R1567" s="2" t="s">
        <v>39</v>
      </c>
      <c r="S1567" s="2" t="s">
        <v>39</v>
      </c>
      <c r="T1567" s="2" t="s">
        <v>38</v>
      </c>
      <c r="U1567" s="2" t="s">
        <v>39</v>
      </c>
      <c r="V1567" s="2" t="s">
        <v>39</v>
      </c>
      <c r="W1567" s="2" t="s">
        <v>38</v>
      </c>
      <c r="X1567" s="2" t="s">
        <v>38</v>
      </c>
      <c r="Y1567" s="2" t="s">
        <v>39</v>
      </c>
      <c r="Z1567" s="2" t="s">
        <v>38</v>
      </c>
      <c r="AA1567" s="2" t="s">
        <v>38</v>
      </c>
      <c r="AB1567" s="2" t="s">
        <v>38</v>
      </c>
      <c r="AC1567" s="2" t="s">
        <v>38</v>
      </c>
      <c r="AD1567" s="2" t="s">
        <v>39</v>
      </c>
      <c r="AE1567" s="2" t="s">
        <v>39</v>
      </c>
    </row>
    <row r="1568" spans="1:31" ht="409.5">
      <c r="A1568" s="2">
        <v>2735609</v>
      </c>
      <c r="B1568" s="2">
        <f>HYPERLINK("https://platform.v2.vetology.net/cases/2735609/screening-report/1?type=pdf&amp;v=v6&amp;scorecard=1&amp;secret_key=BX%25IJ%24%2F65ieZ%29f6", 2735609)</f>
        <v>2735609</v>
      </c>
      <c r="C1568" s="2">
        <f>HYPERLINK("https://platform.v2.vetology.net/report/v/final/"&amp;2735609, 2735609)</f>
        <v>2735609</v>
      </c>
      <c r="D1568" s="2" t="s">
        <v>5161</v>
      </c>
      <c r="E1568" s="2" t="s">
        <v>5162</v>
      </c>
      <c r="F1568" s="2" t="s">
        <v>43</v>
      </c>
      <c r="G1568" s="2" t="s">
        <v>100</v>
      </c>
      <c r="H1568" s="2" t="s">
        <v>5163</v>
      </c>
      <c r="I1568" s="2" t="s">
        <v>36</v>
      </c>
      <c r="J1568" s="2" t="s">
        <v>37</v>
      </c>
      <c r="K1568" s="2" t="s">
        <v>38</v>
      </c>
      <c r="L1568" s="2" t="s">
        <v>38</v>
      </c>
      <c r="M1568" s="2" t="s">
        <v>39</v>
      </c>
      <c r="N1568" s="2" t="s">
        <v>38</v>
      </c>
      <c r="O1568" s="2" t="s">
        <v>38</v>
      </c>
      <c r="P1568" s="2" t="s">
        <v>39</v>
      </c>
      <c r="Q1568" s="2" t="s">
        <v>39</v>
      </c>
      <c r="R1568" s="2" t="s">
        <v>38</v>
      </c>
      <c r="S1568" s="2" t="s">
        <v>39</v>
      </c>
      <c r="T1568" s="2" t="s">
        <v>39</v>
      </c>
      <c r="U1568" s="2" t="s">
        <v>38</v>
      </c>
      <c r="V1568" s="2" t="s">
        <v>38</v>
      </c>
      <c r="W1568" s="2" t="s">
        <v>38</v>
      </c>
      <c r="X1568" s="2" t="s">
        <v>39</v>
      </c>
      <c r="Y1568" s="2" t="s">
        <v>39</v>
      </c>
      <c r="Z1568" s="2" t="s">
        <v>38</v>
      </c>
      <c r="AA1568" s="2" t="s">
        <v>39</v>
      </c>
      <c r="AB1568" s="2" t="s">
        <v>39</v>
      </c>
      <c r="AC1568" s="2" t="s">
        <v>38</v>
      </c>
      <c r="AD1568" s="2" t="s">
        <v>38</v>
      </c>
      <c r="AE1568" s="2" t="s">
        <v>40</v>
      </c>
    </row>
    <row r="1569" spans="1:31" ht="409.5">
      <c r="A1569" s="2">
        <v>2735607</v>
      </c>
      <c r="B1569" s="2">
        <f>HYPERLINK("https://platform.v2.vetology.net/cases/2735607/screening-report/1?type=pdf&amp;v=v6&amp;scorecard=1&amp;secret_key=BX%25IJ%24%2F65ieZ%29f6", 2735607)</f>
        <v>2735607</v>
      </c>
      <c r="C1569" s="2">
        <f>HYPERLINK("https://platform.v2.vetology.net/report/v/final/"&amp;2735607, 2735607)</f>
        <v>2735607</v>
      </c>
      <c r="D1569" s="2" t="s">
        <v>5164</v>
      </c>
      <c r="E1569" s="2" t="s">
        <v>5165</v>
      </c>
      <c r="F1569" s="2" t="s">
        <v>5166</v>
      </c>
      <c r="G1569" s="2" t="s">
        <v>53</v>
      </c>
      <c r="H1569" s="2" t="s">
        <v>5167</v>
      </c>
      <c r="I1569" s="2" t="s">
        <v>36</v>
      </c>
      <c r="J1569" s="2" t="s">
        <v>37</v>
      </c>
      <c r="K1569" s="2" t="s">
        <v>38</v>
      </c>
      <c r="L1569" s="2" t="s">
        <v>38</v>
      </c>
      <c r="M1569" s="2" t="s">
        <v>38</v>
      </c>
      <c r="N1569" s="2" t="s">
        <v>39</v>
      </c>
      <c r="O1569" s="2" t="s">
        <v>38</v>
      </c>
      <c r="P1569" s="2" t="s">
        <v>39</v>
      </c>
      <c r="Q1569" s="2" t="s">
        <v>39</v>
      </c>
      <c r="R1569" s="2" t="s">
        <v>38</v>
      </c>
      <c r="S1569" s="2" t="s">
        <v>38</v>
      </c>
      <c r="T1569" s="2" t="s">
        <v>39</v>
      </c>
      <c r="U1569" s="2" t="s">
        <v>38</v>
      </c>
      <c r="V1569" s="2" t="s">
        <v>38</v>
      </c>
      <c r="W1569" s="2" t="s">
        <v>39</v>
      </c>
      <c r="X1569" s="2" t="s">
        <v>39</v>
      </c>
      <c r="Y1569" s="2" t="s">
        <v>39</v>
      </c>
      <c r="Z1569" s="2" t="s">
        <v>38</v>
      </c>
      <c r="AA1569" s="2" t="s">
        <v>38</v>
      </c>
      <c r="AB1569" s="2" t="s">
        <v>39</v>
      </c>
      <c r="AC1569" s="2" t="s">
        <v>38</v>
      </c>
      <c r="AD1569" s="2" t="s">
        <v>38</v>
      </c>
      <c r="AE1569" s="2"/>
    </row>
    <row r="1570" spans="1:31" ht="409.5">
      <c r="A1570" s="2">
        <v>2735597</v>
      </c>
      <c r="B1570" s="2">
        <f>HYPERLINK("https://platform.v2.vetology.net/cases/2735597/screening-report/1?type=pdf&amp;v=v6&amp;scorecard=1&amp;secret_key=BX%25IJ%24%2F65ieZ%29f6", 2735597)</f>
        <v>2735597</v>
      </c>
      <c r="C1570" s="2">
        <f>HYPERLINK("https://platform.v2.vetology.net/report/v/final/"&amp;2735597, 2735597)</f>
        <v>2735597</v>
      </c>
      <c r="D1570" s="2" t="s">
        <v>5168</v>
      </c>
      <c r="E1570" s="2" t="s">
        <v>5169</v>
      </c>
      <c r="F1570" s="2" t="s">
        <v>5170</v>
      </c>
      <c r="G1570" s="2" t="s">
        <v>53</v>
      </c>
      <c r="H1570" s="2" t="s">
        <v>5171</v>
      </c>
      <c r="I1570" s="2" t="s">
        <v>36</v>
      </c>
      <c r="J1570" s="2" t="s">
        <v>37</v>
      </c>
      <c r="K1570" s="2" t="s">
        <v>39</v>
      </c>
      <c r="L1570" s="2" t="s">
        <v>38</v>
      </c>
      <c r="M1570" s="2" t="s">
        <v>38</v>
      </c>
      <c r="N1570" s="2" t="s">
        <v>38</v>
      </c>
      <c r="O1570" s="2" t="s">
        <v>38</v>
      </c>
      <c r="P1570" s="2" t="s">
        <v>38</v>
      </c>
      <c r="Q1570" s="2" t="s">
        <v>39</v>
      </c>
      <c r="R1570" s="2" t="s">
        <v>39</v>
      </c>
      <c r="S1570" s="2" t="s">
        <v>39</v>
      </c>
      <c r="T1570" s="2" t="s">
        <v>38</v>
      </c>
      <c r="U1570" s="2" t="s">
        <v>39</v>
      </c>
      <c r="V1570" s="2" t="s">
        <v>38</v>
      </c>
      <c r="W1570" s="2" t="s">
        <v>38</v>
      </c>
      <c r="X1570" s="2" t="s">
        <v>39</v>
      </c>
      <c r="Y1570" s="2" t="s">
        <v>38</v>
      </c>
      <c r="Z1570" s="2" t="s">
        <v>38</v>
      </c>
      <c r="AA1570" s="2" t="s">
        <v>38</v>
      </c>
      <c r="AB1570" s="2" t="s">
        <v>39</v>
      </c>
      <c r="AC1570" s="2" t="s">
        <v>38</v>
      </c>
      <c r="AD1570" s="2" t="s">
        <v>38</v>
      </c>
      <c r="AE1570" s="2" t="s">
        <v>40</v>
      </c>
    </row>
    <row r="1571" spans="1:31" ht="409.5">
      <c r="A1571" s="2">
        <v>2735575</v>
      </c>
      <c r="B1571" s="2">
        <f>HYPERLINK("https://platform.v2.vetology.net/cases/2735575/screening-report/1?type=pdf&amp;v=v6&amp;scorecard=1&amp;secret_key=BX%25IJ%24%2F65ieZ%29f6", 2735575)</f>
        <v>2735575</v>
      </c>
      <c r="C1571" s="2">
        <f>HYPERLINK("https://platform.v2.vetology.net/report/v/final/"&amp;2735575, 2735575)</f>
        <v>2735575</v>
      </c>
      <c r="D1571" s="2" t="s">
        <v>5172</v>
      </c>
      <c r="E1571" s="2" t="s">
        <v>5173</v>
      </c>
      <c r="F1571" s="2" t="s">
        <v>5174</v>
      </c>
      <c r="G1571" s="2" t="s">
        <v>34</v>
      </c>
      <c r="H1571" s="2" t="s">
        <v>5175</v>
      </c>
      <c r="I1571" s="2" t="s">
        <v>129</v>
      </c>
      <c r="J1571" s="2" t="s">
        <v>74</v>
      </c>
      <c r="K1571" s="2" t="s">
        <v>39</v>
      </c>
      <c r="L1571" s="2" t="s">
        <v>39</v>
      </c>
      <c r="M1571" s="2" t="s">
        <v>39</v>
      </c>
      <c r="N1571" s="2" t="s">
        <v>39</v>
      </c>
      <c r="O1571" s="2" t="s">
        <v>39</v>
      </c>
      <c r="P1571" s="2" t="s">
        <v>38</v>
      </c>
      <c r="Q1571" s="2" t="s">
        <v>38</v>
      </c>
      <c r="R1571" s="2" t="s">
        <v>39</v>
      </c>
      <c r="S1571" s="2" t="s">
        <v>38</v>
      </c>
      <c r="T1571" s="2" t="s">
        <v>38</v>
      </c>
      <c r="U1571" s="2" t="s">
        <v>39</v>
      </c>
      <c r="V1571" s="2" t="s">
        <v>39</v>
      </c>
      <c r="W1571" s="2" t="s">
        <v>39</v>
      </c>
      <c r="X1571" s="2" t="s">
        <v>39</v>
      </c>
      <c r="Y1571" s="2" t="s">
        <v>39</v>
      </c>
      <c r="Z1571" s="2" t="s">
        <v>38</v>
      </c>
      <c r="AA1571" s="2" t="s">
        <v>39</v>
      </c>
      <c r="AB1571" s="2" t="s">
        <v>39</v>
      </c>
      <c r="AC1571" s="2" t="s">
        <v>39</v>
      </c>
      <c r="AD1571" s="2" t="s">
        <v>38</v>
      </c>
      <c r="AE1571" s="2" t="s">
        <v>39</v>
      </c>
    </row>
    <row r="1572" spans="1:31" ht="409.5">
      <c r="A1572" s="2">
        <v>2735567</v>
      </c>
      <c r="B1572" s="2">
        <f>HYPERLINK("https://platform.v2.vetology.net/cases/2735567/screening-report/1?type=pdf&amp;v=v6&amp;scorecard=1&amp;secret_key=BX%25IJ%24%2F65ieZ%29f6", 2735567)</f>
        <v>2735567</v>
      </c>
      <c r="C1572" s="2">
        <f>HYPERLINK("https://platform.v2.vetology.net/report/v/final/"&amp;2735567, 2735567)</f>
        <v>2735567</v>
      </c>
      <c r="D1572" s="2" t="s">
        <v>5176</v>
      </c>
      <c r="E1572" s="2" t="s">
        <v>5177</v>
      </c>
      <c r="F1572" s="2" t="s">
        <v>43</v>
      </c>
      <c r="G1572" s="2" t="s">
        <v>44</v>
      </c>
      <c r="H1572" s="2" t="s">
        <v>5178</v>
      </c>
      <c r="I1572" s="2" t="s">
        <v>36</v>
      </c>
      <c r="J1572" s="2" t="s">
        <v>37</v>
      </c>
      <c r="K1572" s="2" t="s">
        <v>38</v>
      </c>
      <c r="L1572" s="2" t="s">
        <v>38</v>
      </c>
      <c r="M1572" s="2" t="s">
        <v>38</v>
      </c>
      <c r="N1572" s="2" t="s">
        <v>38</v>
      </c>
      <c r="O1572" s="2" t="s">
        <v>38</v>
      </c>
      <c r="P1572" s="2" t="s">
        <v>38</v>
      </c>
      <c r="Q1572" s="2" t="s">
        <v>39</v>
      </c>
      <c r="R1572" s="2" t="s">
        <v>38</v>
      </c>
      <c r="S1572" s="2" t="s">
        <v>38</v>
      </c>
      <c r="T1572" s="2" t="s">
        <v>38</v>
      </c>
      <c r="U1572" s="2" t="s">
        <v>38</v>
      </c>
      <c r="V1572" s="2" t="s">
        <v>38</v>
      </c>
      <c r="W1572" s="2" t="s">
        <v>38</v>
      </c>
      <c r="X1572" s="2" t="s">
        <v>38</v>
      </c>
      <c r="Y1572" s="2" t="s">
        <v>38</v>
      </c>
      <c r="Z1572" s="2" t="s">
        <v>38</v>
      </c>
      <c r="AA1572" s="2" t="s">
        <v>38</v>
      </c>
      <c r="AB1572" s="2" t="s">
        <v>38</v>
      </c>
      <c r="AC1572" s="2" t="s">
        <v>38</v>
      </c>
      <c r="AD1572" s="2" t="s">
        <v>38</v>
      </c>
      <c r="AE1572" s="2" t="s">
        <v>40</v>
      </c>
    </row>
    <row r="1573" spans="1:31" ht="409.5">
      <c r="A1573" s="2">
        <v>2735559</v>
      </c>
      <c r="B1573" s="2">
        <f>HYPERLINK("https://platform.v2.vetology.net/cases/2735559/screening-report/1?type=pdf&amp;v=v6&amp;scorecard=1&amp;secret_key=BX%25IJ%24%2F65ieZ%29f6", 2735559)</f>
        <v>2735559</v>
      </c>
      <c r="C1573" s="2">
        <f>HYPERLINK("https://platform.v2.vetology.net/report/v/final/"&amp;2735559, 2735559)</f>
        <v>2735559</v>
      </c>
      <c r="D1573" s="2" t="s">
        <v>5179</v>
      </c>
      <c r="E1573" s="2" t="s">
        <v>5180</v>
      </c>
      <c r="F1573" s="2" t="s">
        <v>5181</v>
      </c>
      <c r="G1573" s="2" t="s">
        <v>53</v>
      </c>
      <c r="H1573" s="2" t="s">
        <v>5182</v>
      </c>
      <c r="I1573" s="2" t="s">
        <v>36</v>
      </c>
      <c r="J1573" s="2" t="s">
        <v>37</v>
      </c>
      <c r="K1573" s="2" t="s">
        <v>39</v>
      </c>
      <c r="L1573" s="2" t="s">
        <v>38</v>
      </c>
      <c r="M1573" s="2" t="s">
        <v>38</v>
      </c>
      <c r="N1573" s="2" t="s">
        <v>38</v>
      </c>
      <c r="O1573" s="2" t="s">
        <v>38</v>
      </c>
      <c r="P1573" s="2" t="s">
        <v>39</v>
      </c>
      <c r="Q1573" s="2" t="s">
        <v>39</v>
      </c>
      <c r="R1573" s="2" t="s">
        <v>38</v>
      </c>
      <c r="S1573" s="2" t="s">
        <v>38</v>
      </c>
      <c r="T1573" s="2" t="s">
        <v>38</v>
      </c>
      <c r="U1573" s="2" t="s">
        <v>38</v>
      </c>
      <c r="V1573" s="2" t="s">
        <v>38</v>
      </c>
      <c r="W1573" s="2" t="s">
        <v>38</v>
      </c>
      <c r="X1573" s="2" t="s">
        <v>39</v>
      </c>
      <c r="Y1573" s="2" t="s">
        <v>38</v>
      </c>
      <c r="Z1573" s="2" t="s">
        <v>38</v>
      </c>
      <c r="AA1573" s="2" t="s">
        <v>38</v>
      </c>
      <c r="AB1573" s="2" t="s">
        <v>39</v>
      </c>
      <c r="AC1573" s="2" t="s">
        <v>38</v>
      </c>
      <c r="AD1573" s="2" t="s">
        <v>38</v>
      </c>
      <c r="AE1573" s="2" t="s">
        <v>39</v>
      </c>
    </row>
    <row r="1574" spans="1:31" ht="409.5">
      <c r="A1574" s="2">
        <v>2735547</v>
      </c>
      <c r="B1574" s="2">
        <f>HYPERLINK("https://platform.v2.vetology.net/cases/2735547/screening-report/1?type=pdf&amp;v=v6&amp;scorecard=1&amp;secret_key=BX%25IJ%24%2F65ieZ%29f6", 2735547)</f>
        <v>2735547</v>
      </c>
      <c r="C1574" s="2">
        <f>HYPERLINK("https://platform.v2.vetology.net/report/v/final/"&amp;2735547, 2735547)</f>
        <v>2735547</v>
      </c>
      <c r="D1574" s="2" t="s">
        <v>5183</v>
      </c>
      <c r="E1574" s="2" t="s">
        <v>5184</v>
      </c>
      <c r="F1574" s="2" t="s">
        <v>5185</v>
      </c>
      <c r="G1574" s="2" t="s">
        <v>251</v>
      </c>
      <c r="H1574" s="2" t="s">
        <v>69</v>
      </c>
      <c r="I1574" s="2" t="s">
        <v>46</v>
      </c>
      <c r="J1574" s="2"/>
      <c r="K1574" s="2" t="s">
        <v>39</v>
      </c>
      <c r="L1574" s="2" t="s">
        <v>39</v>
      </c>
      <c r="M1574" s="2" t="s">
        <v>39</v>
      </c>
      <c r="N1574" s="2" t="s">
        <v>39</v>
      </c>
      <c r="O1574" s="2" t="s">
        <v>39</v>
      </c>
      <c r="P1574" s="2" t="s">
        <v>39</v>
      </c>
      <c r="Q1574" s="2" t="s">
        <v>39</v>
      </c>
      <c r="R1574" s="2" t="s">
        <v>39</v>
      </c>
      <c r="S1574" s="2" t="s">
        <v>39</v>
      </c>
      <c r="T1574" s="2" t="s">
        <v>39</v>
      </c>
      <c r="U1574" s="2" t="s">
        <v>39</v>
      </c>
      <c r="V1574" s="2" t="s">
        <v>39</v>
      </c>
      <c r="W1574" s="2" t="s">
        <v>39</v>
      </c>
      <c r="X1574" s="2" t="s">
        <v>39</v>
      </c>
      <c r="Y1574" s="2" t="s">
        <v>39</v>
      </c>
      <c r="Z1574" s="2" t="s">
        <v>39</v>
      </c>
      <c r="AA1574" s="2" t="s">
        <v>39</v>
      </c>
      <c r="AB1574" s="2" t="s">
        <v>39</v>
      </c>
      <c r="AC1574" s="2" t="s">
        <v>39</v>
      </c>
      <c r="AD1574" s="2" t="s">
        <v>39</v>
      </c>
      <c r="AE1574" s="2" t="s">
        <v>39</v>
      </c>
    </row>
    <row r="1575" spans="1:31" ht="409.5">
      <c r="A1575" s="2">
        <v>2735541</v>
      </c>
      <c r="B1575" s="2">
        <f>HYPERLINK("https://platform.v2.vetology.net/cases/2735541/screening-report/1?type=pdf&amp;v=v6&amp;scorecard=1&amp;secret_key=BX%25IJ%24%2F65ieZ%29f6", 2735541)</f>
        <v>2735541</v>
      </c>
      <c r="C1575" s="2">
        <f>HYPERLINK("https://platform.v2.vetology.net/report/v/final/"&amp;2735541, 2735541)</f>
        <v>2735541</v>
      </c>
      <c r="D1575" s="2" t="s">
        <v>5186</v>
      </c>
      <c r="E1575" s="2" t="s">
        <v>5187</v>
      </c>
      <c r="F1575" s="2" t="s">
        <v>43</v>
      </c>
      <c r="G1575" s="2" t="s">
        <v>44</v>
      </c>
      <c r="H1575" s="2" t="s">
        <v>158</v>
      </c>
      <c r="I1575" s="2" t="s">
        <v>59</v>
      </c>
      <c r="J1575" s="2" t="s">
        <v>37</v>
      </c>
      <c r="K1575" s="2" t="s">
        <v>38</v>
      </c>
      <c r="L1575" s="2" t="s">
        <v>39</v>
      </c>
      <c r="M1575" s="2" t="s">
        <v>39</v>
      </c>
      <c r="N1575" s="2" t="s">
        <v>39</v>
      </c>
      <c r="O1575" s="2" t="s">
        <v>38</v>
      </c>
      <c r="P1575" s="2" t="s">
        <v>39</v>
      </c>
      <c r="Q1575" s="2" t="s">
        <v>39</v>
      </c>
      <c r="R1575" s="2" t="s">
        <v>39</v>
      </c>
      <c r="S1575" s="2" t="s">
        <v>39</v>
      </c>
      <c r="T1575" s="2" t="s">
        <v>39</v>
      </c>
      <c r="U1575" s="2" t="s">
        <v>39</v>
      </c>
      <c r="V1575" s="2" t="s">
        <v>38</v>
      </c>
      <c r="W1575" s="2" t="s">
        <v>38</v>
      </c>
      <c r="X1575" s="2" t="s">
        <v>39</v>
      </c>
      <c r="Y1575" s="2" t="s">
        <v>39</v>
      </c>
      <c r="Z1575" s="2" t="s">
        <v>38</v>
      </c>
      <c r="AA1575" s="2" t="s">
        <v>39</v>
      </c>
      <c r="AB1575" s="2" t="s">
        <v>39</v>
      </c>
      <c r="AC1575" s="2" t="s">
        <v>38</v>
      </c>
      <c r="AD1575" s="2" t="s">
        <v>39</v>
      </c>
      <c r="AE1575" s="2" t="s">
        <v>39</v>
      </c>
    </row>
    <row r="1576" spans="1:31" ht="409.5">
      <c r="A1576" s="2">
        <v>2735532</v>
      </c>
      <c r="B1576" s="2">
        <f>HYPERLINK("https://platform.v2.vetology.net/cases/2735532/screening-report/1?type=pdf&amp;v=v6&amp;scorecard=1&amp;secret_key=BX%25IJ%24%2F65ieZ%29f6", 2735532)</f>
        <v>2735532</v>
      </c>
      <c r="C1576" s="2">
        <f>HYPERLINK("https://platform.v2.vetology.net/report/v/final/"&amp;2735532, 2735532)</f>
        <v>2735532</v>
      </c>
      <c r="D1576" s="2" t="s">
        <v>5188</v>
      </c>
      <c r="E1576" s="2" t="s">
        <v>5189</v>
      </c>
      <c r="F1576" s="2" t="s">
        <v>5190</v>
      </c>
      <c r="G1576" s="2" t="s">
        <v>127</v>
      </c>
      <c r="H1576" s="2" t="s">
        <v>66</v>
      </c>
      <c r="I1576" s="2" t="s">
        <v>36</v>
      </c>
      <c r="J1576" s="2" t="s">
        <v>37</v>
      </c>
      <c r="K1576" s="2" t="s">
        <v>39</v>
      </c>
      <c r="L1576" s="2" t="s">
        <v>39</v>
      </c>
      <c r="M1576" s="2" t="s">
        <v>38</v>
      </c>
      <c r="N1576" s="2" t="s">
        <v>39</v>
      </c>
      <c r="O1576" s="2" t="s">
        <v>39</v>
      </c>
      <c r="P1576" s="2" t="s">
        <v>39</v>
      </c>
      <c r="Q1576" s="2" t="s">
        <v>39</v>
      </c>
      <c r="R1576" s="2" t="s">
        <v>39</v>
      </c>
      <c r="S1576" s="2" t="s">
        <v>39</v>
      </c>
      <c r="T1576" s="2" t="s">
        <v>39</v>
      </c>
      <c r="U1576" s="2" t="s">
        <v>39</v>
      </c>
      <c r="V1576" s="2" t="s">
        <v>38</v>
      </c>
      <c r="W1576" s="2" t="s">
        <v>39</v>
      </c>
      <c r="X1576" s="2" t="s">
        <v>39</v>
      </c>
      <c r="Y1576" s="2" t="s">
        <v>39</v>
      </c>
      <c r="Z1576" s="2" t="s">
        <v>39</v>
      </c>
      <c r="AA1576" s="2" t="s">
        <v>39</v>
      </c>
      <c r="AB1576" s="2" t="s">
        <v>39</v>
      </c>
      <c r="AC1576" s="2" t="s">
        <v>38</v>
      </c>
      <c r="AD1576" s="2" t="s">
        <v>39</v>
      </c>
      <c r="AE1576" s="2" t="s">
        <v>40</v>
      </c>
    </row>
    <row r="1577" spans="1:31" ht="409.5">
      <c r="A1577" s="2">
        <v>2735481</v>
      </c>
      <c r="B1577" s="2">
        <f>HYPERLINK("https://platform.v2.vetology.net/cases/2735481/screening-report/1?type=pdf&amp;v=v6&amp;scorecard=1&amp;secret_key=BX%25IJ%24%2F65ieZ%29f6", 2735481)</f>
        <v>2735481</v>
      </c>
      <c r="C1577" s="2">
        <f>HYPERLINK("https://platform.v2.vetology.net/report/v/final/"&amp;2735481, 2735481)</f>
        <v>2735481</v>
      </c>
      <c r="D1577" s="2" t="s">
        <v>5191</v>
      </c>
      <c r="E1577" s="2" t="s">
        <v>5192</v>
      </c>
      <c r="F1577" s="2" t="s">
        <v>5193</v>
      </c>
      <c r="G1577" s="2" t="s">
        <v>53</v>
      </c>
      <c r="H1577" s="2" t="s">
        <v>222</v>
      </c>
      <c r="I1577" s="2" t="s">
        <v>36</v>
      </c>
      <c r="J1577" s="2" t="s">
        <v>37</v>
      </c>
      <c r="K1577" s="2" t="s">
        <v>39</v>
      </c>
      <c r="L1577" s="2" t="s">
        <v>39</v>
      </c>
      <c r="M1577" s="2" t="s">
        <v>38</v>
      </c>
      <c r="N1577" s="2" t="s">
        <v>38</v>
      </c>
      <c r="O1577" s="2" t="s">
        <v>38</v>
      </c>
      <c r="P1577" s="2" t="s">
        <v>39</v>
      </c>
      <c r="Q1577" s="2" t="s">
        <v>39</v>
      </c>
      <c r="R1577" s="2" t="s">
        <v>38</v>
      </c>
      <c r="S1577" s="2" t="s">
        <v>38</v>
      </c>
      <c r="T1577" s="2" t="s">
        <v>39</v>
      </c>
      <c r="U1577" s="2" t="s">
        <v>39</v>
      </c>
      <c r="V1577" s="2" t="s">
        <v>38</v>
      </c>
      <c r="W1577" s="2" t="s">
        <v>39</v>
      </c>
      <c r="X1577" s="2" t="s">
        <v>39</v>
      </c>
      <c r="Y1577" s="2" t="s">
        <v>39</v>
      </c>
      <c r="Z1577" s="2" t="s">
        <v>38</v>
      </c>
      <c r="AA1577" s="2" t="s">
        <v>38</v>
      </c>
      <c r="AB1577" s="2" t="s">
        <v>39</v>
      </c>
      <c r="AC1577" s="2" t="s">
        <v>38</v>
      </c>
      <c r="AD1577" s="2" t="s">
        <v>39</v>
      </c>
      <c r="AE1577" s="2" t="s">
        <v>40</v>
      </c>
    </row>
    <row r="1578" spans="1:31" ht="409.5">
      <c r="A1578" s="2">
        <v>2735362</v>
      </c>
      <c r="B1578" s="2">
        <f>HYPERLINK("https://platform.v2.vetology.net/cases/2735362/screening-report/1?type=pdf&amp;v=v6&amp;scorecard=1&amp;secret_key=BX%25IJ%24%2F65ieZ%29f6", 2735362)</f>
        <v>2735362</v>
      </c>
      <c r="C1578" s="2">
        <f>HYPERLINK("https://platform.v2.vetology.net/report/v/final/"&amp;2735362, 2735362)</f>
        <v>2735362</v>
      </c>
      <c r="D1578" s="2" t="s">
        <v>5194</v>
      </c>
      <c r="E1578" s="2" t="s">
        <v>5195</v>
      </c>
      <c r="F1578" s="2" t="s">
        <v>43</v>
      </c>
      <c r="G1578" s="2" t="s">
        <v>44</v>
      </c>
      <c r="H1578" s="2" t="s">
        <v>5196</v>
      </c>
      <c r="I1578" s="2" t="s">
        <v>36</v>
      </c>
      <c r="J1578" s="2" t="s">
        <v>37</v>
      </c>
      <c r="K1578" s="2" t="s">
        <v>38</v>
      </c>
      <c r="L1578" s="2" t="s">
        <v>38</v>
      </c>
      <c r="M1578" s="2" t="s">
        <v>39</v>
      </c>
      <c r="N1578" s="2" t="s">
        <v>39</v>
      </c>
      <c r="O1578" s="2" t="s">
        <v>38</v>
      </c>
      <c r="P1578" s="2" t="s">
        <v>39</v>
      </c>
      <c r="Q1578" s="2" t="s">
        <v>39</v>
      </c>
      <c r="R1578" s="2" t="s">
        <v>38</v>
      </c>
      <c r="S1578" s="2" t="s">
        <v>39</v>
      </c>
      <c r="T1578" s="2" t="s">
        <v>39</v>
      </c>
      <c r="U1578" s="2" t="s">
        <v>38</v>
      </c>
      <c r="V1578" s="2" t="s">
        <v>38</v>
      </c>
      <c r="W1578" s="2" t="s">
        <v>39</v>
      </c>
      <c r="X1578" s="2" t="s">
        <v>39</v>
      </c>
      <c r="Y1578" s="2" t="s">
        <v>39</v>
      </c>
      <c r="Z1578" s="2" t="s">
        <v>39</v>
      </c>
      <c r="AA1578" s="2" t="s">
        <v>38</v>
      </c>
      <c r="AB1578" s="2" t="s">
        <v>39</v>
      </c>
      <c r="AC1578" s="2" t="s">
        <v>38</v>
      </c>
      <c r="AD1578" s="2" t="s">
        <v>38</v>
      </c>
      <c r="AE1578" s="2" t="s">
        <v>39</v>
      </c>
    </row>
    <row r="1579" spans="1:31" ht="409.5">
      <c r="A1579" s="2">
        <v>2735353</v>
      </c>
      <c r="B1579" s="2">
        <f>HYPERLINK("https://platform.v2.vetology.net/cases/2735353/screening-report/1?type=pdf&amp;v=v6&amp;scorecard=1&amp;secret_key=BX%25IJ%24%2F65ieZ%29f6", 2735353)</f>
        <v>2735353</v>
      </c>
      <c r="C1579" s="2">
        <f>HYPERLINK("https://platform.v2.vetology.net/report/v/final/"&amp;2735353, 2735353)</f>
        <v>2735353</v>
      </c>
      <c r="D1579" s="2" t="s">
        <v>5197</v>
      </c>
      <c r="E1579" s="2" t="s">
        <v>5198</v>
      </c>
      <c r="F1579" s="2" t="s">
        <v>5199</v>
      </c>
      <c r="G1579" s="2" t="s">
        <v>34</v>
      </c>
      <c r="H1579" s="2" t="s">
        <v>5200</v>
      </c>
      <c r="I1579" s="2" t="s">
        <v>684</v>
      </c>
      <c r="J1579" s="2" t="s">
        <v>74</v>
      </c>
      <c r="K1579" s="2" t="s">
        <v>39</v>
      </c>
      <c r="L1579" s="2" t="s">
        <v>39</v>
      </c>
      <c r="M1579" s="2" t="s">
        <v>39</v>
      </c>
      <c r="N1579" s="2" t="s">
        <v>38</v>
      </c>
      <c r="O1579" s="2" t="s">
        <v>38</v>
      </c>
      <c r="P1579" s="2" t="s">
        <v>39</v>
      </c>
      <c r="Q1579" s="2" t="s">
        <v>38</v>
      </c>
      <c r="R1579" s="2" t="s">
        <v>38</v>
      </c>
      <c r="S1579" s="2" t="s">
        <v>39</v>
      </c>
      <c r="T1579" s="2" t="s">
        <v>38</v>
      </c>
      <c r="U1579" s="2" t="s">
        <v>39</v>
      </c>
      <c r="V1579" s="2" t="s">
        <v>38</v>
      </c>
      <c r="W1579" s="2" t="s">
        <v>38</v>
      </c>
      <c r="X1579" s="2" t="s">
        <v>38</v>
      </c>
      <c r="Y1579" s="2" t="s">
        <v>39</v>
      </c>
      <c r="Z1579" s="2" t="s">
        <v>38</v>
      </c>
      <c r="AA1579" s="2" t="s">
        <v>39</v>
      </c>
      <c r="AB1579" s="2" t="s">
        <v>38</v>
      </c>
      <c r="AC1579" s="2" t="s">
        <v>38</v>
      </c>
      <c r="AD1579" s="2" t="s">
        <v>38</v>
      </c>
      <c r="AE1579" s="2" t="s">
        <v>39</v>
      </c>
    </row>
    <row r="1580" spans="1:31" ht="409.5">
      <c r="A1580" s="2">
        <v>2735326</v>
      </c>
      <c r="B1580" s="2">
        <f>HYPERLINK("https://platform.v2.vetology.net/cases/2735326/screening-report/1?type=pdf&amp;v=v6&amp;scorecard=1&amp;secret_key=BX%25IJ%24%2F65ieZ%29f6", 2735326)</f>
        <v>2735326</v>
      </c>
      <c r="C1580" s="2">
        <f>HYPERLINK("https://platform.v2.vetology.net/report/v/final/"&amp;2735326, 2735326)</f>
        <v>2735326</v>
      </c>
      <c r="D1580" s="2" t="s">
        <v>5201</v>
      </c>
      <c r="E1580" s="2" t="s">
        <v>5202</v>
      </c>
      <c r="F1580" s="2" t="s">
        <v>5087</v>
      </c>
      <c r="G1580" s="2" t="s">
        <v>44</v>
      </c>
      <c r="H1580" s="2" t="s">
        <v>3751</v>
      </c>
      <c r="I1580" s="2" t="s">
        <v>36</v>
      </c>
      <c r="J1580" s="2" t="s">
        <v>37</v>
      </c>
      <c r="K1580" s="2" t="s">
        <v>38</v>
      </c>
      <c r="L1580" s="2" t="s">
        <v>39</v>
      </c>
      <c r="M1580" s="2" t="s">
        <v>38</v>
      </c>
      <c r="N1580" s="2" t="s">
        <v>38</v>
      </c>
      <c r="O1580" s="2" t="s">
        <v>38</v>
      </c>
      <c r="P1580" s="2" t="s">
        <v>39</v>
      </c>
      <c r="Q1580" s="2" t="s">
        <v>39</v>
      </c>
      <c r="R1580" s="2" t="s">
        <v>38</v>
      </c>
      <c r="S1580" s="2" t="s">
        <v>38</v>
      </c>
      <c r="T1580" s="2" t="s">
        <v>38</v>
      </c>
      <c r="U1580" s="2" t="s">
        <v>38</v>
      </c>
      <c r="V1580" s="2" t="s">
        <v>38</v>
      </c>
      <c r="W1580" s="2" t="s">
        <v>38</v>
      </c>
      <c r="X1580" s="2" t="s">
        <v>39</v>
      </c>
      <c r="Y1580" s="2" t="s">
        <v>39</v>
      </c>
      <c r="Z1580" s="2" t="s">
        <v>38</v>
      </c>
      <c r="AA1580" s="2" t="s">
        <v>38</v>
      </c>
      <c r="AB1580" s="2" t="s">
        <v>39</v>
      </c>
      <c r="AC1580" s="2" t="s">
        <v>38</v>
      </c>
      <c r="AD1580" s="2" t="s">
        <v>38</v>
      </c>
      <c r="AE1580" s="2" t="s">
        <v>39</v>
      </c>
    </row>
    <row r="1581" spans="1:31" ht="409.5">
      <c r="A1581" s="2">
        <v>2735316</v>
      </c>
      <c r="B1581" s="2">
        <f>HYPERLINK("https://platform.v2.vetology.net/cases/2735316/screening-report/1?type=pdf&amp;v=v6&amp;scorecard=1&amp;secret_key=BX%25IJ%24%2F65ieZ%29f6", 2735316)</f>
        <v>2735316</v>
      </c>
      <c r="C1581" s="2">
        <f>HYPERLINK("https://platform.v2.vetology.net/report/v/final/"&amp;2735316, 2735316)</f>
        <v>2735316</v>
      </c>
      <c r="D1581" s="2" t="s">
        <v>5203</v>
      </c>
      <c r="E1581" s="2" t="s">
        <v>5204</v>
      </c>
      <c r="F1581" s="2" t="s">
        <v>5205</v>
      </c>
      <c r="G1581" s="2" t="s">
        <v>44</v>
      </c>
      <c r="H1581" s="2" t="s">
        <v>5206</v>
      </c>
      <c r="I1581" s="2" t="s">
        <v>257</v>
      </c>
      <c r="J1581" s="2" t="s">
        <v>74</v>
      </c>
      <c r="K1581" s="2" t="s">
        <v>38</v>
      </c>
      <c r="L1581" s="2" t="s">
        <v>38</v>
      </c>
      <c r="M1581" s="2" t="s">
        <v>38</v>
      </c>
      <c r="N1581" s="2" t="s">
        <v>38</v>
      </c>
      <c r="O1581" s="2" t="s">
        <v>38</v>
      </c>
      <c r="P1581" s="2" t="s">
        <v>38</v>
      </c>
      <c r="Q1581" s="2" t="s">
        <v>38</v>
      </c>
      <c r="R1581" s="2" t="s">
        <v>38</v>
      </c>
      <c r="S1581" s="2" t="s">
        <v>38</v>
      </c>
      <c r="T1581" s="2" t="s">
        <v>38</v>
      </c>
      <c r="U1581" s="2" t="s">
        <v>38</v>
      </c>
      <c r="V1581" s="2" t="s">
        <v>38</v>
      </c>
      <c r="W1581" s="2" t="s">
        <v>38</v>
      </c>
      <c r="X1581" s="2" t="s">
        <v>38</v>
      </c>
      <c r="Y1581" s="2" t="s">
        <v>38</v>
      </c>
      <c r="Z1581" s="2" t="s">
        <v>38</v>
      </c>
      <c r="AA1581" s="2" t="s">
        <v>38</v>
      </c>
      <c r="AB1581" s="2" t="s">
        <v>38</v>
      </c>
      <c r="AC1581" s="2" t="s">
        <v>38</v>
      </c>
      <c r="AD1581" s="2" t="s">
        <v>38</v>
      </c>
      <c r="AE1581" s="2" t="s">
        <v>40</v>
      </c>
    </row>
    <row r="1582" spans="1:31" ht="409.5">
      <c r="A1582" s="2">
        <v>2735304</v>
      </c>
      <c r="B1582" s="2">
        <f>HYPERLINK("https://platform.v2.vetology.net/cases/2735304/screening-report/1?type=pdf&amp;v=v6&amp;scorecard=1&amp;secret_key=BX%25IJ%24%2F65ieZ%29f6", 2735304)</f>
        <v>2735304</v>
      </c>
      <c r="C1582" s="2">
        <f>HYPERLINK("https://platform.v2.vetology.net/report/v/final/"&amp;2735304, 2735304)</f>
        <v>2735304</v>
      </c>
      <c r="D1582" s="2" t="s">
        <v>5207</v>
      </c>
      <c r="E1582" s="2" t="s">
        <v>5208</v>
      </c>
      <c r="F1582" s="2" t="s">
        <v>43</v>
      </c>
      <c r="G1582" s="2" t="s">
        <v>44</v>
      </c>
      <c r="H1582" s="2" t="s">
        <v>66</v>
      </c>
      <c r="I1582" s="2" t="s">
        <v>36</v>
      </c>
      <c r="J1582" s="2" t="s">
        <v>37</v>
      </c>
      <c r="K1582" s="2" t="s">
        <v>39</v>
      </c>
      <c r="L1582" s="2" t="s">
        <v>39</v>
      </c>
      <c r="M1582" s="2" t="s">
        <v>38</v>
      </c>
      <c r="N1582" s="2" t="s">
        <v>39</v>
      </c>
      <c r="O1582" s="2" t="s">
        <v>38</v>
      </c>
      <c r="P1582" s="2" t="s">
        <v>39</v>
      </c>
      <c r="Q1582" s="2" t="s">
        <v>39</v>
      </c>
      <c r="R1582" s="2" t="s">
        <v>39</v>
      </c>
      <c r="S1582" s="2" t="s">
        <v>39</v>
      </c>
      <c r="T1582" s="2" t="s">
        <v>38</v>
      </c>
      <c r="U1582" s="2" t="s">
        <v>39</v>
      </c>
      <c r="V1582" s="2" t="s">
        <v>39</v>
      </c>
      <c r="W1582" s="2" t="s">
        <v>38</v>
      </c>
      <c r="X1582" s="2" t="s">
        <v>39</v>
      </c>
      <c r="Y1582" s="2" t="s">
        <v>39</v>
      </c>
      <c r="Z1582" s="2" t="s">
        <v>38</v>
      </c>
      <c r="AA1582" s="2" t="s">
        <v>39</v>
      </c>
      <c r="AB1582" s="2" t="s">
        <v>39</v>
      </c>
      <c r="AC1582" s="2" t="s">
        <v>38</v>
      </c>
      <c r="AD1582" s="2" t="s">
        <v>39</v>
      </c>
      <c r="AE1582" s="2" t="s">
        <v>40</v>
      </c>
    </row>
    <row r="1583" spans="1:31" ht="409.5">
      <c r="A1583" s="2">
        <v>2735296</v>
      </c>
      <c r="B1583" s="2">
        <f>HYPERLINK("https://platform.v2.vetology.net/cases/2735296/screening-report/1?type=pdf&amp;v=v6&amp;scorecard=1&amp;secret_key=BX%25IJ%24%2F65ieZ%29f6", 2735296)</f>
        <v>2735296</v>
      </c>
      <c r="C1583" s="2">
        <f>HYPERLINK("https://platform.v2.vetology.net/report/v/final/"&amp;2735296, 2735296)</f>
        <v>2735296</v>
      </c>
      <c r="D1583" s="2" t="s">
        <v>5209</v>
      </c>
      <c r="E1583" s="2" t="s">
        <v>5210</v>
      </c>
      <c r="F1583" s="2" t="s">
        <v>43</v>
      </c>
      <c r="G1583" s="2" t="s">
        <v>44</v>
      </c>
      <c r="H1583" s="2" t="s">
        <v>5211</v>
      </c>
      <c r="I1583" s="2" t="s">
        <v>36</v>
      </c>
      <c r="J1583" s="2" t="s">
        <v>37</v>
      </c>
      <c r="K1583" s="2" t="s">
        <v>38</v>
      </c>
      <c r="L1583" s="2" t="s">
        <v>39</v>
      </c>
      <c r="M1583" s="2" t="s">
        <v>38</v>
      </c>
      <c r="N1583" s="2" t="s">
        <v>39</v>
      </c>
      <c r="O1583" s="2" t="s">
        <v>38</v>
      </c>
      <c r="P1583" s="2" t="s">
        <v>39</v>
      </c>
      <c r="Q1583" s="2" t="s">
        <v>39</v>
      </c>
      <c r="R1583" s="2" t="s">
        <v>38</v>
      </c>
      <c r="S1583" s="2" t="s">
        <v>39</v>
      </c>
      <c r="T1583" s="2" t="s">
        <v>39</v>
      </c>
      <c r="U1583" s="2" t="s">
        <v>39</v>
      </c>
      <c r="V1583" s="2" t="s">
        <v>38</v>
      </c>
      <c r="W1583" s="2" t="s">
        <v>39</v>
      </c>
      <c r="X1583" s="2" t="s">
        <v>39</v>
      </c>
      <c r="Y1583" s="2" t="s">
        <v>39</v>
      </c>
      <c r="Z1583" s="2" t="s">
        <v>38</v>
      </c>
      <c r="AA1583" s="2" t="s">
        <v>39</v>
      </c>
      <c r="AB1583" s="2" t="s">
        <v>39</v>
      </c>
      <c r="AC1583" s="2" t="s">
        <v>38</v>
      </c>
      <c r="AD1583" s="2" t="s">
        <v>39</v>
      </c>
      <c r="AE1583" s="2" t="s">
        <v>39</v>
      </c>
    </row>
    <row r="1584" spans="1:31" ht="409.5">
      <c r="A1584" s="2">
        <v>2735283</v>
      </c>
      <c r="B1584" s="2">
        <f>HYPERLINK("https://platform.v2.vetology.net/cases/2735283/screening-report/1?type=pdf&amp;v=v6&amp;scorecard=1&amp;secret_key=BX%25IJ%24%2F65ieZ%29f6", 2735283)</f>
        <v>2735283</v>
      </c>
      <c r="C1584" s="2">
        <f>HYPERLINK("https://platform.v2.vetology.net/report/v/final/"&amp;2735283, 2735283)</f>
        <v>2735283</v>
      </c>
      <c r="D1584" s="2" t="s">
        <v>5212</v>
      </c>
      <c r="E1584" s="2" t="s">
        <v>5213</v>
      </c>
      <c r="F1584" s="2"/>
      <c r="G1584" s="2" t="s">
        <v>81</v>
      </c>
      <c r="H1584" s="2" t="s">
        <v>5214</v>
      </c>
      <c r="I1584" s="2" t="s">
        <v>36</v>
      </c>
      <c r="J1584" s="2" t="s">
        <v>37</v>
      </c>
      <c r="K1584" s="2" t="s">
        <v>38</v>
      </c>
      <c r="L1584" s="2" t="s">
        <v>38</v>
      </c>
      <c r="M1584" s="2" t="s">
        <v>38</v>
      </c>
      <c r="N1584" s="2" t="s">
        <v>38</v>
      </c>
      <c r="O1584" s="2" t="s">
        <v>38</v>
      </c>
      <c r="P1584" s="2" t="s">
        <v>39</v>
      </c>
      <c r="Q1584" s="2" t="s">
        <v>39</v>
      </c>
      <c r="R1584" s="2" t="s">
        <v>38</v>
      </c>
      <c r="S1584" s="2" t="s">
        <v>38</v>
      </c>
      <c r="T1584" s="2" t="s">
        <v>38</v>
      </c>
      <c r="U1584" s="2" t="s">
        <v>38</v>
      </c>
      <c r="V1584" s="2" t="s">
        <v>38</v>
      </c>
      <c r="W1584" s="2" t="s">
        <v>38</v>
      </c>
      <c r="X1584" s="2" t="s">
        <v>39</v>
      </c>
      <c r="Y1584" s="2" t="s">
        <v>38</v>
      </c>
      <c r="Z1584" s="2" t="s">
        <v>38</v>
      </c>
      <c r="AA1584" s="2" t="s">
        <v>38</v>
      </c>
      <c r="AB1584" s="2" t="s">
        <v>39</v>
      </c>
      <c r="AC1584" s="2" t="s">
        <v>38</v>
      </c>
      <c r="AD1584" s="2" t="s">
        <v>38</v>
      </c>
      <c r="AE1584" s="2" t="s">
        <v>40</v>
      </c>
    </row>
    <row r="1585" spans="1:31" ht="409.5">
      <c r="A1585" s="2">
        <v>2735278</v>
      </c>
      <c r="B1585" s="2">
        <f>HYPERLINK("https://platform.v2.vetology.net/cases/2735278/screening-report/1?type=pdf&amp;v=v6&amp;scorecard=1&amp;secret_key=BX%25IJ%24%2F65ieZ%29f6", 2735278)</f>
        <v>2735278</v>
      </c>
      <c r="C1585" s="2">
        <f>HYPERLINK("https://platform.v2.vetology.net/report/v/final/"&amp;2735278, 2735278)</f>
        <v>2735278</v>
      </c>
      <c r="D1585" s="2" t="s">
        <v>5215</v>
      </c>
      <c r="E1585" s="2" t="s">
        <v>5216</v>
      </c>
      <c r="F1585" s="2"/>
      <c r="G1585" s="2" t="s">
        <v>81</v>
      </c>
      <c r="H1585" s="2" t="s">
        <v>3035</v>
      </c>
      <c r="I1585" s="2" t="s">
        <v>36</v>
      </c>
      <c r="J1585" s="2" t="s">
        <v>37</v>
      </c>
      <c r="K1585" s="2" t="s">
        <v>39</v>
      </c>
      <c r="L1585" s="2" t="s">
        <v>39</v>
      </c>
      <c r="M1585" s="2" t="s">
        <v>38</v>
      </c>
      <c r="N1585" s="2" t="s">
        <v>39</v>
      </c>
      <c r="O1585" s="2" t="s">
        <v>38</v>
      </c>
      <c r="P1585" s="2" t="s">
        <v>39</v>
      </c>
      <c r="Q1585" s="2" t="s">
        <v>39</v>
      </c>
      <c r="R1585" s="2" t="s">
        <v>38</v>
      </c>
      <c r="S1585" s="2" t="s">
        <v>39</v>
      </c>
      <c r="T1585" s="2" t="s">
        <v>39</v>
      </c>
      <c r="U1585" s="2" t="s">
        <v>39</v>
      </c>
      <c r="V1585" s="2" t="s">
        <v>38</v>
      </c>
      <c r="W1585" s="2" t="s">
        <v>38</v>
      </c>
      <c r="X1585" s="2" t="s">
        <v>39</v>
      </c>
      <c r="Y1585" s="2" t="s">
        <v>39</v>
      </c>
      <c r="Z1585" s="2" t="s">
        <v>39</v>
      </c>
      <c r="AA1585" s="2" t="s">
        <v>38</v>
      </c>
      <c r="AB1585" s="2" t="s">
        <v>39</v>
      </c>
      <c r="AC1585" s="2" t="s">
        <v>38</v>
      </c>
      <c r="AD1585" s="2" t="s">
        <v>39</v>
      </c>
      <c r="AE1585" s="2" t="s">
        <v>40</v>
      </c>
    </row>
    <row r="1586" spans="1:31" ht="409.5">
      <c r="A1586" s="2">
        <v>2735275</v>
      </c>
      <c r="B1586" s="2">
        <f>HYPERLINK("https://platform.v2.vetology.net/cases/2735275/screening-report/1?type=pdf&amp;v=v6&amp;scorecard=1&amp;secret_key=BX%25IJ%24%2F65ieZ%29f6", 2735275)</f>
        <v>2735275</v>
      </c>
      <c r="C1586" s="2">
        <f>HYPERLINK("https://platform.v2.vetology.net/report/v/final/"&amp;2735275, 2735275)</f>
        <v>2735275</v>
      </c>
      <c r="D1586" s="2" t="s">
        <v>5217</v>
      </c>
      <c r="E1586" s="2" t="s">
        <v>5218</v>
      </c>
      <c r="F1586" s="2"/>
      <c r="G1586" s="2" t="s">
        <v>81</v>
      </c>
      <c r="H1586" s="2" t="s">
        <v>5219</v>
      </c>
      <c r="I1586" s="2" t="s">
        <v>684</v>
      </c>
      <c r="J1586" s="2" t="s">
        <v>74</v>
      </c>
      <c r="K1586" s="2" t="s">
        <v>38</v>
      </c>
      <c r="L1586" s="2" t="s">
        <v>39</v>
      </c>
      <c r="M1586" s="2" t="s">
        <v>39</v>
      </c>
      <c r="N1586" s="2" t="s">
        <v>38</v>
      </c>
      <c r="O1586" s="2" t="s">
        <v>39</v>
      </c>
      <c r="P1586" s="2" t="s">
        <v>38</v>
      </c>
      <c r="Q1586" s="2" t="s">
        <v>38</v>
      </c>
      <c r="R1586" s="2" t="s">
        <v>38</v>
      </c>
      <c r="S1586" s="2" t="s">
        <v>39</v>
      </c>
      <c r="T1586" s="2" t="s">
        <v>38</v>
      </c>
      <c r="U1586" s="2" t="s">
        <v>38</v>
      </c>
      <c r="V1586" s="2" t="s">
        <v>38</v>
      </c>
      <c r="W1586" s="2" t="s">
        <v>38</v>
      </c>
      <c r="X1586" s="2" t="s">
        <v>38</v>
      </c>
      <c r="Y1586" s="2" t="s">
        <v>39</v>
      </c>
      <c r="Z1586" s="2" t="s">
        <v>38</v>
      </c>
      <c r="AA1586" s="2" t="s">
        <v>39</v>
      </c>
      <c r="AB1586" s="2" t="s">
        <v>38</v>
      </c>
      <c r="AC1586" s="2" t="s">
        <v>39</v>
      </c>
      <c r="AD1586" s="2" t="s">
        <v>39</v>
      </c>
      <c r="AE1586" s="2" t="s">
        <v>39</v>
      </c>
    </row>
    <row r="1587" spans="1:31" ht="409.5">
      <c r="A1587" s="2">
        <v>2735272</v>
      </c>
      <c r="B1587" s="2">
        <f>HYPERLINK("https://platform.v2.vetology.net/cases/2735272/screening-report/1?type=pdf&amp;v=v6&amp;scorecard=1&amp;secret_key=BX%25IJ%24%2F65ieZ%29f6", 2735272)</f>
        <v>2735272</v>
      </c>
      <c r="C1587" s="2">
        <f>HYPERLINK("https://platform.v2.vetology.net/report/v/final/"&amp;2735272, 2735272)</f>
        <v>2735272</v>
      </c>
      <c r="D1587" s="2" t="s">
        <v>5220</v>
      </c>
      <c r="E1587" s="2" t="s">
        <v>5221</v>
      </c>
      <c r="F1587" s="2"/>
      <c r="G1587" s="2" t="s">
        <v>81</v>
      </c>
      <c r="H1587" s="2" t="s">
        <v>45</v>
      </c>
      <c r="I1587" s="2" t="s">
        <v>46</v>
      </c>
      <c r="J1587" s="2"/>
      <c r="K1587" s="2" t="s">
        <v>39</v>
      </c>
      <c r="L1587" s="2" t="s">
        <v>39</v>
      </c>
      <c r="M1587" s="2" t="s">
        <v>39</v>
      </c>
      <c r="N1587" s="2" t="s">
        <v>39</v>
      </c>
      <c r="O1587" s="2" t="s">
        <v>39</v>
      </c>
      <c r="P1587" s="2" t="s">
        <v>39</v>
      </c>
      <c r="Q1587" s="2" t="s">
        <v>39</v>
      </c>
      <c r="R1587" s="2" t="s">
        <v>38</v>
      </c>
      <c r="S1587" s="2" t="s">
        <v>39</v>
      </c>
      <c r="T1587" s="2" t="s">
        <v>38</v>
      </c>
      <c r="U1587" s="2" t="s">
        <v>39</v>
      </c>
      <c r="V1587" s="2" t="s">
        <v>39</v>
      </c>
      <c r="W1587" s="2" t="s">
        <v>38</v>
      </c>
      <c r="X1587" s="2" t="s">
        <v>39</v>
      </c>
      <c r="Y1587" s="2" t="s">
        <v>39</v>
      </c>
      <c r="Z1587" s="2" t="s">
        <v>38</v>
      </c>
      <c r="AA1587" s="2" t="s">
        <v>38</v>
      </c>
      <c r="AB1587" s="2" t="s">
        <v>39</v>
      </c>
      <c r="AC1587" s="2" t="s">
        <v>38</v>
      </c>
      <c r="AD1587" s="2" t="s">
        <v>39</v>
      </c>
      <c r="AE1587" s="2" t="s">
        <v>40</v>
      </c>
    </row>
    <row r="1588" spans="1:31" ht="409.5">
      <c r="A1588" s="2">
        <v>2735268</v>
      </c>
      <c r="B1588" s="2">
        <f>HYPERLINK("https://platform.v2.vetology.net/cases/2735268/screening-report/1?type=pdf&amp;v=v6&amp;scorecard=1&amp;secret_key=BX%25IJ%24%2F65ieZ%29f6", 2735268)</f>
        <v>2735268</v>
      </c>
      <c r="C1588" s="2">
        <f>HYPERLINK("https://platform.v2.vetology.net/report/v/final/"&amp;2735268, 2735268)</f>
        <v>2735268</v>
      </c>
      <c r="D1588" s="2" t="s">
        <v>5222</v>
      </c>
      <c r="E1588" s="2" t="s">
        <v>5223</v>
      </c>
      <c r="F1588" s="2" t="s">
        <v>43</v>
      </c>
      <c r="G1588" s="2" t="s">
        <v>44</v>
      </c>
      <c r="H1588" s="2" t="s">
        <v>5224</v>
      </c>
      <c r="I1588" s="2" t="s">
        <v>73</v>
      </c>
      <c r="J1588" s="2" t="s">
        <v>74</v>
      </c>
      <c r="K1588" s="2" t="s">
        <v>38</v>
      </c>
      <c r="L1588" s="2" t="s">
        <v>38</v>
      </c>
      <c r="M1588" s="2" t="s">
        <v>38</v>
      </c>
      <c r="N1588" s="2" t="s">
        <v>38</v>
      </c>
      <c r="O1588" s="2" t="s">
        <v>38</v>
      </c>
      <c r="P1588" s="2" t="s">
        <v>38</v>
      </c>
      <c r="Q1588" s="2" t="s">
        <v>38</v>
      </c>
      <c r="R1588" s="2" t="s">
        <v>39</v>
      </c>
      <c r="S1588" s="2" t="s">
        <v>38</v>
      </c>
      <c r="T1588" s="2" t="s">
        <v>38</v>
      </c>
      <c r="U1588" s="2" t="s">
        <v>39</v>
      </c>
      <c r="V1588" s="2" t="s">
        <v>38</v>
      </c>
      <c r="W1588" s="2" t="s">
        <v>38</v>
      </c>
      <c r="X1588" s="2" t="s">
        <v>39</v>
      </c>
      <c r="Y1588" s="2" t="s">
        <v>39</v>
      </c>
      <c r="Z1588" s="2" t="s">
        <v>38</v>
      </c>
      <c r="AA1588" s="2" t="s">
        <v>38</v>
      </c>
      <c r="AB1588" s="2" t="s">
        <v>39</v>
      </c>
      <c r="AC1588" s="2" t="s">
        <v>38</v>
      </c>
      <c r="AD1588" s="2" t="s">
        <v>39</v>
      </c>
      <c r="AE1588" s="2" t="s">
        <v>39</v>
      </c>
    </row>
    <row r="1589" spans="1:31" ht="409.5">
      <c r="A1589" s="2">
        <v>2735264</v>
      </c>
      <c r="B1589" s="2">
        <f>HYPERLINK("https://platform.v2.vetology.net/cases/2735264/screening-report/1?type=pdf&amp;v=v6&amp;scorecard=1&amp;secret_key=BX%25IJ%24%2F65ieZ%29f6", 2735264)</f>
        <v>2735264</v>
      </c>
      <c r="C1589" s="2">
        <f>HYPERLINK("https://platform.v2.vetology.net/report/v/final/"&amp;2735264, 2735264)</f>
        <v>2735264</v>
      </c>
      <c r="D1589" s="2" t="s">
        <v>5225</v>
      </c>
      <c r="E1589" s="2" t="s">
        <v>5226</v>
      </c>
      <c r="F1589" s="2" t="s">
        <v>43</v>
      </c>
      <c r="G1589" s="2" t="s">
        <v>44</v>
      </c>
      <c r="H1589" s="2" t="s">
        <v>5227</v>
      </c>
      <c r="I1589" s="2" t="s">
        <v>73</v>
      </c>
      <c r="J1589" s="2" t="s">
        <v>74</v>
      </c>
      <c r="K1589" s="2" t="s">
        <v>38</v>
      </c>
      <c r="L1589" s="2" t="s">
        <v>38</v>
      </c>
      <c r="M1589" s="2" t="s">
        <v>39</v>
      </c>
      <c r="N1589" s="2" t="s">
        <v>38</v>
      </c>
      <c r="O1589" s="2" t="s">
        <v>38</v>
      </c>
      <c r="P1589" s="2" t="s">
        <v>39</v>
      </c>
      <c r="Q1589" s="2" t="s">
        <v>38</v>
      </c>
      <c r="R1589" s="2" t="s">
        <v>38</v>
      </c>
      <c r="S1589" s="2" t="s">
        <v>38</v>
      </c>
      <c r="T1589" s="2" t="s">
        <v>38</v>
      </c>
      <c r="U1589" s="2" t="s">
        <v>38</v>
      </c>
      <c r="V1589" s="2" t="s">
        <v>38</v>
      </c>
      <c r="W1589" s="2" t="s">
        <v>39</v>
      </c>
      <c r="X1589" s="2" t="s">
        <v>38</v>
      </c>
      <c r="Y1589" s="2" t="s">
        <v>39</v>
      </c>
      <c r="Z1589" s="2" t="s">
        <v>38</v>
      </c>
      <c r="AA1589" s="2" t="s">
        <v>38</v>
      </c>
      <c r="AB1589" s="2" t="s">
        <v>39</v>
      </c>
      <c r="AC1589" s="2" t="s">
        <v>39</v>
      </c>
      <c r="AD1589" s="2" t="s">
        <v>38</v>
      </c>
      <c r="AE1589" s="2" t="s">
        <v>39</v>
      </c>
    </row>
    <row r="1590" spans="1:31" ht="409.5">
      <c r="A1590" s="2">
        <v>2735263</v>
      </c>
      <c r="B1590" s="2">
        <f>HYPERLINK("https://platform.v2.vetology.net/cases/2735263/screening-report/1?type=pdf&amp;v=v6&amp;scorecard=1&amp;secret_key=BX%25IJ%24%2F65ieZ%29f6", 2735263)</f>
        <v>2735263</v>
      </c>
      <c r="C1590" s="2">
        <f>HYPERLINK("https://platform.v2.vetology.net/report/v/final/"&amp;2735263, 2735263)</f>
        <v>2735263</v>
      </c>
      <c r="D1590" s="2" t="s">
        <v>5228</v>
      </c>
      <c r="E1590" s="2" t="s">
        <v>5229</v>
      </c>
      <c r="F1590" s="2" t="s">
        <v>5230</v>
      </c>
      <c r="G1590" s="2" t="s">
        <v>34</v>
      </c>
      <c r="H1590" s="2" t="s">
        <v>45</v>
      </c>
      <c r="I1590" s="2" t="s">
        <v>46</v>
      </c>
      <c r="J1590" s="2"/>
      <c r="K1590" s="2" t="s">
        <v>39</v>
      </c>
      <c r="L1590" s="2" t="s">
        <v>39</v>
      </c>
      <c r="M1590" s="2" t="s">
        <v>39</v>
      </c>
      <c r="N1590" s="2" t="s">
        <v>39</v>
      </c>
      <c r="O1590" s="2" t="s">
        <v>39</v>
      </c>
      <c r="P1590" s="2" t="s">
        <v>39</v>
      </c>
      <c r="Q1590" s="2" t="s">
        <v>39</v>
      </c>
      <c r="R1590" s="2" t="s">
        <v>38</v>
      </c>
      <c r="S1590" s="2" t="s">
        <v>39</v>
      </c>
      <c r="T1590" s="2" t="s">
        <v>39</v>
      </c>
      <c r="U1590" s="2" t="s">
        <v>39</v>
      </c>
      <c r="V1590" s="2" t="s">
        <v>38</v>
      </c>
      <c r="W1590" s="2" t="s">
        <v>38</v>
      </c>
      <c r="X1590" s="2" t="s">
        <v>39</v>
      </c>
      <c r="Y1590" s="2" t="s">
        <v>39</v>
      </c>
      <c r="Z1590" s="2" t="s">
        <v>39</v>
      </c>
      <c r="AA1590" s="2" t="s">
        <v>39</v>
      </c>
      <c r="AB1590" s="2" t="s">
        <v>39</v>
      </c>
      <c r="AC1590" s="2" t="s">
        <v>38</v>
      </c>
      <c r="AD1590" s="2" t="s">
        <v>38</v>
      </c>
      <c r="AE1590" s="2" t="s">
        <v>40</v>
      </c>
    </row>
    <row r="1591" spans="1:31" ht="409.5">
      <c r="A1591" s="2">
        <v>2735257</v>
      </c>
      <c r="B1591" s="2">
        <f>HYPERLINK("https://platform.v2.vetology.net/cases/2735257/screening-report/1?type=pdf&amp;v=v6&amp;scorecard=1&amp;secret_key=BX%25IJ%24%2F65ieZ%29f6", 2735257)</f>
        <v>2735257</v>
      </c>
      <c r="C1591" s="2">
        <f>HYPERLINK("https://platform.v2.vetology.net/report/v/final/"&amp;2735257, 2735257)</f>
        <v>2735257</v>
      </c>
      <c r="D1591" s="2" t="s">
        <v>5231</v>
      </c>
      <c r="E1591" s="2" t="s">
        <v>5232</v>
      </c>
      <c r="F1591" s="2" t="s">
        <v>43</v>
      </c>
      <c r="G1591" s="2" t="s">
        <v>100</v>
      </c>
      <c r="H1591" s="2" t="s">
        <v>5233</v>
      </c>
      <c r="I1591" s="2" t="s">
        <v>129</v>
      </c>
      <c r="J1591" s="2" t="s">
        <v>74</v>
      </c>
      <c r="K1591" s="2" t="s">
        <v>38</v>
      </c>
      <c r="L1591" s="2" t="s">
        <v>38</v>
      </c>
      <c r="M1591" s="2" t="s">
        <v>38</v>
      </c>
      <c r="N1591" s="2" t="s">
        <v>38</v>
      </c>
      <c r="O1591" s="2" t="s">
        <v>38</v>
      </c>
      <c r="P1591" s="2" t="s">
        <v>38</v>
      </c>
      <c r="Q1591" s="2" t="s">
        <v>38</v>
      </c>
      <c r="R1591" s="2" t="s">
        <v>38</v>
      </c>
      <c r="S1591" s="2" t="s">
        <v>38</v>
      </c>
      <c r="T1591" s="2" t="s">
        <v>38</v>
      </c>
      <c r="U1591" s="2" t="s">
        <v>38</v>
      </c>
      <c r="V1591" s="2" t="s">
        <v>38</v>
      </c>
      <c r="W1591" s="2" t="s">
        <v>38</v>
      </c>
      <c r="X1591" s="2" t="s">
        <v>38</v>
      </c>
      <c r="Y1591" s="2" t="s">
        <v>38</v>
      </c>
      <c r="Z1591" s="2" t="s">
        <v>38</v>
      </c>
      <c r="AA1591" s="2" t="s">
        <v>38</v>
      </c>
      <c r="AB1591" s="2" t="s">
        <v>38</v>
      </c>
      <c r="AC1591" s="2" t="s">
        <v>38</v>
      </c>
      <c r="AD1591" s="2" t="s">
        <v>38</v>
      </c>
      <c r="AE1591" s="2"/>
    </row>
    <row r="1592" spans="1:31" ht="409.5">
      <c r="A1592" s="2">
        <v>2735223</v>
      </c>
      <c r="B1592" s="2">
        <f>HYPERLINK("https://platform.v2.vetology.net/cases/2735223/screening-report/1?type=pdf&amp;v=v6&amp;scorecard=1&amp;secret_key=BX%25IJ%24%2F65ieZ%29f6", 2735223)</f>
        <v>2735223</v>
      </c>
      <c r="C1592" s="2">
        <f>HYPERLINK("https://platform.v2.vetology.net/report/v/final/"&amp;2735223, 2735223)</f>
        <v>2735223</v>
      </c>
      <c r="D1592" s="2" t="s">
        <v>5234</v>
      </c>
      <c r="E1592" s="2" t="s">
        <v>5235</v>
      </c>
      <c r="F1592" s="2"/>
      <c r="G1592" s="2" t="s">
        <v>100</v>
      </c>
      <c r="H1592" s="2" t="s">
        <v>526</v>
      </c>
      <c r="I1592" s="2" t="s">
        <v>46</v>
      </c>
      <c r="J1592" s="2"/>
      <c r="K1592" s="2" t="s">
        <v>39</v>
      </c>
      <c r="L1592" s="2" t="s">
        <v>38</v>
      </c>
      <c r="M1592" s="2" t="s">
        <v>39</v>
      </c>
      <c r="N1592" s="2" t="s">
        <v>39</v>
      </c>
      <c r="O1592" s="2" t="s">
        <v>39</v>
      </c>
      <c r="P1592" s="2" t="s">
        <v>39</v>
      </c>
      <c r="Q1592" s="2" t="s">
        <v>39</v>
      </c>
      <c r="R1592" s="2" t="s">
        <v>39</v>
      </c>
      <c r="S1592" s="2" t="s">
        <v>38</v>
      </c>
      <c r="T1592" s="2" t="s">
        <v>39</v>
      </c>
      <c r="U1592" s="2" t="s">
        <v>39</v>
      </c>
      <c r="V1592" s="2" t="s">
        <v>39</v>
      </c>
      <c r="W1592" s="2" t="s">
        <v>39</v>
      </c>
      <c r="X1592" s="2" t="s">
        <v>39</v>
      </c>
      <c r="Y1592" s="2" t="s">
        <v>39</v>
      </c>
      <c r="Z1592" s="2" t="s">
        <v>39</v>
      </c>
      <c r="AA1592" s="2" t="s">
        <v>39</v>
      </c>
      <c r="AB1592" s="2" t="s">
        <v>39</v>
      </c>
      <c r="AC1592" s="2" t="s">
        <v>38</v>
      </c>
      <c r="AD1592" s="2" t="s">
        <v>38</v>
      </c>
      <c r="AE1592" s="2" t="s">
        <v>39</v>
      </c>
    </row>
    <row r="1593" spans="1:31" ht="409.5">
      <c r="A1593" s="2">
        <v>2735214</v>
      </c>
      <c r="B1593" s="2">
        <f>HYPERLINK("https://platform.v2.vetology.net/cases/2735214/screening-report/1?type=pdf&amp;v=v6&amp;scorecard=1&amp;secret_key=BX%25IJ%24%2F65ieZ%29f6", 2735214)</f>
        <v>2735214</v>
      </c>
      <c r="C1593" s="2">
        <f>HYPERLINK("https://platform.v2.vetology.net/report/v/final/"&amp;2735214, 2735214)</f>
        <v>2735214</v>
      </c>
      <c r="D1593" s="2" t="s">
        <v>5236</v>
      </c>
      <c r="E1593" s="2" t="s">
        <v>5237</v>
      </c>
      <c r="F1593" s="2" t="s">
        <v>43</v>
      </c>
      <c r="G1593" s="2" t="s">
        <v>44</v>
      </c>
      <c r="H1593" s="2" t="s">
        <v>5238</v>
      </c>
      <c r="I1593" s="2" t="s">
        <v>129</v>
      </c>
      <c r="J1593" s="2" t="s">
        <v>74</v>
      </c>
      <c r="K1593" s="2" t="s">
        <v>38</v>
      </c>
      <c r="L1593" s="2" t="s">
        <v>38</v>
      </c>
      <c r="M1593" s="2" t="s">
        <v>38</v>
      </c>
      <c r="N1593" s="2" t="s">
        <v>38</v>
      </c>
      <c r="O1593" s="2" t="s">
        <v>38</v>
      </c>
      <c r="P1593" s="2" t="s">
        <v>38</v>
      </c>
      <c r="Q1593" s="2" t="s">
        <v>38</v>
      </c>
      <c r="R1593" s="2" t="s">
        <v>38</v>
      </c>
      <c r="S1593" s="2" t="s">
        <v>38</v>
      </c>
      <c r="T1593" s="2" t="s">
        <v>39</v>
      </c>
      <c r="U1593" s="2" t="s">
        <v>38</v>
      </c>
      <c r="V1593" s="2" t="s">
        <v>38</v>
      </c>
      <c r="W1593" s="2" t="s">
        <v>38</v>
      </c>
      <c r="X1593" s="2" t="s">
        <v>38</v>
      </c>
      <c r="Y1593" s="2" t="s">
        <v>39</v>
      </c>
      <c r="Z1593" s="2" t="s">
        <v>38</v>
      </c>
      <c r="AA1593" s="2" t="s">
        <v>38</v>
      </c>
      <c r="AB1593" s="2" t="s">
        <v>38</v>
      </c>
      <c r="AC1593" s="2" t="s">
        <v>38</v>
      </c>
      <c r="AD1593" s="2" t="s">
        <v>38</v>
      </c>
      <c r="AE1593" s="2" t="s">
        <v>39</v>
      </c>
    </row>
    <row r="1594" spans="1:31" ht="409.5">
      <c r="A1594" s="2">
        <v>2735190</v>
      </c>
      <c r="B1594" s="2">
        <f>HYPERLINK("https://platform.v2.vetology.net/cases/2735190/screening-report/1?type=pdf&amp;v=v6&amp;scorecard=1&amp;secret_key=BX%25IJ%24%2F65ieZ%29f6", 2735190)</f>
        <v>2735190</v>
      </c>
      <c r="C1594" s="2">
        <f>HYPERLINK("https://platform.v2.vetology.net/report/v/final/"&amp;2735190, 2735190)</f>
        <v>2735190</v>
      </c>
      <c r="D1594" s="2" t="s">
        <v>5239</v>
      </c>
      <c r="E1594" s="2" t="s">
        <v>5240</v>
      </c>
      <c r="F1594" s="2"/>
      <c r="G1594" s="2" t="s">
        <v>100</v>
      </c>
      <c r="H1594" s="2" t="s">
        <v>5241</v>
      </c>
      <c r="I1594" s="2" t="s">
        <v>36</v>
      </c>
      <c r="J1594" s="2" t="s">
        <v>37</v>
      </c>
      <c r="K1594" s="2" t="s">
        <v>39</v>
      </c>
      <c r="L1594" s="2" t="s">
        <v>38</v>
      </c>
      <c r="M1594" s="2" t="s">
        <v>39</v>
      </c>
      <c r="N1594" s="2" t="s">
        <v>39</v>
      </c>
      <c r="O1594" s="2" t="s">
        <v>39</v>
      </c>
      <c r="P1594" s="2" t="s">
        <v>39</v>
      </c>
      <c r="Q1594" s="2" t="s">
        <v>39</v>
      </c>
      <c r="R1594" s="2" t="s">
        <v>38</v>
      </c>
      <c r="S1594" s="2" t="s">
        <v>38</v>
      </c>
      <c r="T1594" s="2" t="s">
        <v>39</v>
      </c>
      <c r="U1594" s="2" t="s">
        <v>39</v>
      </c>
      <c r="V1594" s="2" t="s">
        <v>39</v>
      </c>
      <c r="W1594" s="2" t="s">
        <v>38</v>
      </c>
      <c r="X1594" s="2" t="s">
        <v>39</v>
      </c>
      <c r="Y1594" s="2" t="s">
        <v>38</v>
      </c>
      <c r="Z1594" s="2" t="s">
        <v>38</v>
      </c>
      <c r="AA1594" s="2" t="s">
        <v>38</v>
      </c>
      <c r="AB1594" s="2" t="s">
        <v>39</v>
      </c>
      <c r="AC1594" s="2" t="s">
        <v>38</v>
      </c>
      <c r="AD1594" s="2" t="s">
        <v>38</v>
      </c>
      <c r="AE1594" s="2" t="s">
        <v>40</v>
      </c>
    </row>
    <row r="1595" spans="1:31" ht="409.5">
      <c r="A1595" s="2">
        <v>2735147</v>
      </c>
      <c r="B1595" s="2">
        <f>HYPERLINK("https://platform.v2.vetology.net/cases/2735147/screening-report/1?type=pdf&amp;v=v6&amp;scorecard=1&amp;secret_key=BX%25IJ%24%2F65ieZ%29f6", 2735147)</f>
        <v>2735147</v>
      </c>
      <c r="C1595" s="2">
        <f>HYPERLINK("https://platform.v2.vetology.net/report/v/final/"&amp;2735147, 2735147)</f>
        <v>2735147</v>
      </c>
      <c r="D1595" s="2" t="s">
        <v>5242</v>
      </c>
      <c r="E1595" s="2" t="s">
        <v>5243</v>
      </c>
      <c r="F1595" s="2" t="s">
        <v>43</v>
      </c>
      <c r="G1595" s="2" t="s">
        <v>100</v>
      </c>
      <c r="H1595" s="2" t="s">
        <v>5244</v>
      </c>
      <c r="I1595" s="2" t="s">
        <v>36</v>
      </c>
      <c r="J1595" s="2" t="s">
        <v>37</v>
      </c>
      <c r="K1595" s="2" t="s">
        <v>38</v>
      </c>
      <c r="L1595" s="2" t="s">
        <v>38</v>
      </c>
      <c r="M1595" s="2" t="s">
        <v>39</v>
      </c>
      <c r="N1595" s="2" t="s">
        <v>38</v>
      </c>
      <c r="O1595" s="2" t="s">
        <v>38</v>
      </c>
      <c r="P1595" s="2" t="s">
        <v>38</v>
      </c>
      <c r="Q1595" s="2" t="s">
        <v>39</v>
      </c>
      <c r="R1595" s="2" t="s">
        <v>39</v>
      </c>
      <c r="S1595" s="2" t="s">
        <v>39</v>
      </c>
      <c r="T1595" s="2" t="s">
        <v>38</v>
      </c>
      <c r="U1595" s="2" t="s">
        <v>38</v>
      </c>
      <c r="V1595" s="2" t="s">
        <v>38</v>
      </c>
      <c r="W1595" s="2" t="s">
        <v>38</v>
      </c>
      <c r="X1595" s="2" t="s">
        <v>39</v>
      </c>
      <c r="Y1595" s="2" t="s">
        <v>39</v>
      </c>
      <c r="Z1595" s="2" t="s">
        <v>38</v>
      </c>
      <c r="AA1595" s="2" t="s">
        <v>39</v>
      </c>
      <c r="AB1595" s="2" t="s">
        <v>39</v>
      </c>
      <c r="AC1595" s="2" t="s">
        <v>38</v>
      </c>
      <c r="AD1595" s="2" t="s">
        <v>38</v>
      </c>
      <c r="AE1595" s="2" t="s">
        <v>39</v>
      </c>
    </row>
    <row r="1596" spans="1:31" ht="409.5">
      <c r="A1596" s="2">
        <v>2735132</v>
      </c>
      <c r="B1596" s="2">
        <f>HYPERLINK("https://platform.v2.vetology.net/cases/2735132/screening-report/1?type=pdf&amp;v=v6&amp;scorecard=1&amp;secret_key=BX%25IJ%24%2F65ieZ%29f6", 2735132)</f>
        <v>2735132</v>
      </c>
      <c r="C1596" s="2">
        <f>HYPERLINK("https://platform.v2.vetology.net/report/v/final/"&amp;2735132, 2735132)</f>
        <v>2735132</v>
      </c>
      <c r="D1596" s="2" t="s">
        <v>5245</v>
      </c>
      <c r="E1596" s="2" t="s">
        <v>5246</v>
      </c>
      <c r="F1596" s="2" t="s">
        <v>43</v>
      </c>
      <c r="G1596" s="2" t="s">
        <v>44</v>
      </c>
      <c r="H1596" s="2" t="s">
        <v>5247</v>
      </c>
      <c r="I1596" s="2" t="s">
        <v>257</v>
      </c>
      <c r="J1596" s="2" t="s">
        <v>74</v>
      </c>
      <c r="K1596" s="2" t="s">
        <v>38</v>
      </c>
      <c r="L1596" s="2" t="s">
        <v>38</v>
      </c>
      <c r="M1596" s="2" t="s">
        <v>38</v>
      </c>
      <c r="N1596" s="2" t="s">
        <v>38</v>
      </c>
      <c r="O1596" s="2" t="s">
        <v>38</v>
      </c>
      <c r="P1596" s="2" t="s">
        <v>38</v>
      </c>
      <c r="Q1596" s="2" t="s">
        <v>38</v>
      </c>
      <c r="R1596" s="2" t="s">
        <v>38</v>
      </c>
      <c r="S1596" s="2" t="s">
        <v>38</v>
      </c>
      <c r="T1596" s="2" t="s">
        <v>38</v>
      </c>
      <c r="U1596" s="2" t="s">
        <v>38</v>
      </c>
      <c r="V1596" s="2" t="s">
        <v>38</v>
      </c>
      <c r="W1596" s="2" t="s">
        <v>38</v>
      </c>
      <c r="X1596" s="2" t="s">
        <v>38</v>
      </c>
      <c r="Y1596" s="2" t="s">
        <v>38</v>
      </c>
      <c r="Z1596" s="2" t="s">
        <v>38</v>
      </c>
      <c r="AA1596" s="2" t="s">
        <v>38</v>
      </c>
      <c r="AB1596" s="2" t="s">
        <v>38</v>
      </c>
      <c r="AC1596" s="2" t="s">
        <v>38</v>
      </c>
      <c r="AD1596" s="2" t="s">
        <v>38</v>
      </c>
      <c r="AE1596" s="2" t="s">
        <v>39</v>
      </c>
    </row>
    <row r="1597" spans="1:31" ht="409.5">
      <c r="A1597" s="2">
        <v>2735106</v>
      </c>
      <c r="B1597" s="2">
        <f>HYPERLINK("https://platform.v2.vetology.net/cases/2735106/screening-report/1?type=pdf&amp;v=v6&amp;scorecard=1&amp;secret_key=BX%25IJ%24%2F65ieZ%29f6", 2735106)</f>
        <v>2735106</v>
      </c>
      <c r="C1597" s="2">
        <f>HYPERLINK("https://platform.v2.vetology.net/report/v/final/"&amp;2735106, 2735106)</f>
        <v>2735106</v>
      </c>
      <c r="D1597" s="2" t="s">
        <v>5248</v>
      </c>
      <c r="E1597" s="2" t="s">
        <v>5249</v>
      </c>
      <c r="F1597" s="2" t="s">
        <v>5250</v>
      </c>
      <c r="G1597" s="2" t="s">
        <v>127</v>
      </c>
      <c r="H1597" s="2" t="s">
        <v>5251</v>
      </c>
      <c r="I1597" s="2" t="s">
        <v>36</v>
      </c>
      <c r="J1597" s="2" t="s">
        <v>37</v>
      </c>
      <c r="K1597" s="2" t="s">
        <v>38</v>
      </c>
      <c r="L1597" s="2" t="s">
        <v>38</v>
      </c>
      <c r="M1597" s="2" t="s">
        <v>38</v>
      </c>
      <c r="N1597" s="2" t="s">
        <v>38</v>
      </c>
      <c r="O1597" s="2" t="s">
        <v>38</v>
      </c>
      <c r="P1597" s="2" t="s">
        <v>38</v>
      </c>
      <c r="Q1597" s="2" t="s">
        <v>39</v>
      </c>
      <c r="R1597" s="2" t="s">
        <v>39</v>
      </c>
      <c r="S1597" s="2" t="s">
        <v>38</v>
      </c>
      <c r="T1597" s="2" t="s">
        <v>39</v>
      </c>
      <c r="U1597" s="2" t="s">
        <v>38</v>
      </c>
      <c r="V1597" s="2" t="s">
        <v>38</v>
      </c>
      <c r="W1597" s="2" t="s">
        <v>38</v>
      </c>
      <c r="X1597" s="2" t="s">
        <v>39</v>
      </c>
      <c r="Y1597" s="2" t="s">
        <v>39</v>
      </c>
      <c r="Z1597" s="2" t="s">
        <v>38</v>
      </c>
      <c r="AA1597" s="2" t="s">
        <v>39</v>
      </c>
      <c r="AB1597" s="2" t="s">
        <v>39</v>
      </c>
      <c r="AC1597" s="2" t="s">
        <v>38</v>
      </c>
      <c r="AD1597" s="2" t="s">
        <v>38</v>
      </c>
      <c r="AE1597" s="2" t="s">
        <v>40</v>
      </c>
    </row>
    <row r="1598" spans="1:31" ht="409.5">
      <c r="A1598" s="2">
        <v>2735102</v>
      </c>
      <c r="B1598" s="2">
        <f>HYPERLINK("https://platform.v2.vetology.net/cases/2735102/screening-report/1?type=pdf&amp;v=v6&amp;scorecard=1&amp;secret_key=BX%25IJ%24%2F65ieZ%29f6", 2735102)</f>
        <v>2735102</v>
      </c>
      <c r="C1598" s="2">
        <f>HYPERLINK("https://platform.v2.vetology.net/report/v/final/"&amp;2735102, 2735102)</f>
        <v>2735102</v>
      </c>
      <c r="D1598" s="2" t="s">
        <v>5252</v>
      </c>
      <c r="E1598" s="2" t="s">
        <v>5253</v>
      </c>
      <c r="F1598" s="2" t="s">
        <v>5254</v>
      </c>
      <c r="G1598" s="2" t="s">
        <v>170</v>
      </c>
      <c r="H1598" s="2" t="s">
        <v>5255</v>
      </c>
      <c r="I1598" s="2" t="s">
        <v>36</v>
      </c>
      <c r="J1598" s="2" t="s">
        <v>37</v>
      </c>
      <c r="K1598" s="2" t="s">
        <v>38</v>
      </c>
      <c r="L1598" s="2" t="s">
        <v>38</v>
      </c>
      <c r="M1598" s="2" t="s">
        <v>39</v>
      </c>
      <c r="N1598" s="2" t="s">
        <v>39</v>
      </c>
      <c r="O1598" s="2" t="s">
        <v>39</v>
      </c>
      <c r="P1598" s="2" t="s">
        <v>39</v>
      </c>
      <c r="Q1598" s="2" t="s">
        <v>39</v>
      </c>
      <c r="R1598" s="2" t="s">
        <v>38</v>
      </c>
      <c r="S1598" s="2" t="s">
        <v>39</v>
      </c>
      <c r="T1598" s="2" t="s">
        <v>39</v>
      </c>
      <c r="U1598" s="2" t="s">
        <v>39</v>
      </c>
      <c r="V1598" s="2" t="s">
        <v>38</v>
      </c>
      <c r="W1598" s="2" t="s">
        <v>39</v>
      </c>
      <c r="X1598" s="2" t="s">
        <v>39</v>
      </c>
      <c r="Y1598" s="2" t="s">
        <v>39</v>
      </c>
      <c r="Z1598" s="2" t="s">
        <v>38</v>
      </c>
      <c r="AA1598" s="2" t="s">
        <v>38</v>
      </c>
      <c r="AB1598" s="2" t="s">
        <v>39</v>
      </c>
      <c r="AC1598" s="2" t="s">
        <v>38</v>
      </c>
      <c r="AD1598" s="2" t="s">
        <v>38</v>
      </c>
      <c r="AE1598" s="2" t="s">
        <v>39</v>
      </c>
    </row>
    <row r="1599" spans="1:31" ht="409.5">
      <c r="A1599" s="2">
        <v>2735029</v>
      </c>
      <c r="B1599" s="2">
        <f>HYPERLINK("https://platform.v2.vetology.net/cases/2735029/screening-report/1?type=pdf&amp;v=v6&amp;scorecard=1&amp;secret_key=BX%25IJ%24%2F65ieZ%29f6", 2735029)</f>
        <v>2735029</v>
      </c>
      <c r="C1599" s="2">
        <f>HYPERLINK("https://platform.v2.vetology.net/report/v/final/"&amp;2735029, 2735029)</f>
        <v>2735029</v>
      </c>
      <c r="D1599" s="2" t="s">
        <v>5256</v>
      </c>
      <c r="E1599" s="2" t="s">
        <v>5257</v>
      </c>
      <c r="F1599" s="2" t="s">
        <v>229</v>
      </c>
      <c r="G1599" s="2" t="s">
        <v>170</v>
      </c>
      <c r="H1599" s="2" t="s">
        <v>69</v>
      </c>
      <c r="I1599" s="2" t="s">
        <v>46</v>
      </c>
      <c r="J1599" s="2"/>
      <c r="K1599" s="2" t="s">
        <v>39</v>
      </c>
      <c r="L1599" s="2" t="s">
        <v>39</v>
      </c>
      <c r="M1599" s="2" t="s">
        <v>39</v>
      </c>
      <c r="N1599" s="2" t="s">
        <v>39</v>
      </c>
      <c r="O1599" s="2" t="s">
        <v>39</v>
      </c>
      <c r="P1599" s="2" t="s">
        <v>39</v>
      </c>
      <c r="Q1599" s="2" t="s">
        <v>39</v>
      </c>
      <c r="R1599" s="2" t="s">
        <v>39</v>
      </c>
      <c r="S1599" s="2" t="s">
        <v>39</v>
      </c>
      <c r="T1599" s="2" t="s">
        <v>39</v>
      </c>
      <c r="U1599" s="2" t="s">
        <v>39</v>
      </c>
      <c r="V1599" s="2" t="s">
        <v>38</v>
      </c>
      <c r="W1599" s="2" t="s">
        <v>39</v>
      </c>
      <c r="X1599" s="2" t="s">
        <v>39</v>
      </c>
      <c r="Y1599" s="2" t="s">
        <v>39</v>
      </c>
      <c r="Z1599" s="2" t="s">
        <v>39</v>
      </c>
      <c r="AA1599" s="2" t="s">
        <v>39</v>
      </c>
      <c r="AB1599" s="2" t="s">
        <v>39</v>
      </c>
      <c r="AC1599" s="2" t="s">
        <v>39</v>
      </c>
      <c r="AD1599" s="2" t="s">
        <v>39</v>
      </c>
      <c r="AE1599" s="2" t="s">
        <v>40</v>
      </c>
    </row>
    <row r="1600" spans="1:31" ht="409.5">
      <c r="A1600" s="2">
        <v>2734969</v>
      </c>
      <c r="B1600" s="2">
        <f>HYPERLINK("https://platform.v2.vetology.net/cases/2734969/screening-report/1?type=pdf&amp;v=v6&amp;scorecard=1&amp;secret_key=BX%25IJ%24%2F65ieZ%29f6", 2734969)</f>
        <v>2734969</v>
      </c>
      <c r="C1600" s="2">
        <f>HYPERLINK("https://platform.v2.vetology.net/report/v/final/"&amp;2734969, 2734969)</f>
        <v>2734969</v>
      </c>
      <c r="D1600" s="2" t="s">
        <v>5258</v>
      </c>
      <c r="E1600" s="2" t="s">
        <v>5259</v>
      </c>
      <c r="F1600" s="2" t="s">
        <v>5260</v>
      </c>
      <c r="G1600" s="2" t="s">
        <v>127</v>
      </c>
      <c r="H1600" s="2" t="s">
        <v>2647</v>
      </c>
      <c r="I1600" s="2" t="s">
        <v>36</v>
      </c>
      <c r="J1600" s="2" t="s">
        <v>37</v>
      </c>
      <c r="K1600" s="2" t="s">
        <v>38</v>
      </c>
      <c r="L1600" s="2" t="s">
        <v>39</v>
      </c>
      <c r="M1600" s="2" t="s">
        <v>38</v>
      </c>
      <c r="N1600" s="2" t="s">
        <v>38</v>
      </c>
      <c r="O1600" s="2" t="s">
        <v>38</v>
      </c>
      <c r="P1600" s="2" t="s">
        <v>39</v>
      </c>
      <c r="Q1600" s="2" t="s">
        <v>39</v>
      </c>
      <c r="R1600" s="2" t="s">
        <v>38</v>
      </c>
      <c r="S1600" s="2" t="s">
        <v>39</v>
      </c>
      <c r="T1600" s="2" t="s">
        <v>38</v>
      </c>
      <c r="U1600" s="2" t="s">
        <v>38</v>
      </c>
      <c r="V1600" s="2" t="s">
        <v>38</v>
      </c>
      <c r="W1600" s="2" t="s">
        <v>38</v>
      </c>
      <c r="X1600" s="2" t="s">
        <v>39</v>
      </c>
      <c r="Y1600" s="2" t="s">
        <v>39</v>
      </c>
      <c r="Z1600" s="2" t="s">
        <v>38</v>
      </c>
      <c r="AA1600" s="2" t="s">
        <v>38</v>
      </c>
      <c r="AB1600" s="2" t="s">
        <v>39</v>
      </c>
      <c r="AC1600" s="2" t="s">
        <v>38</v>
      </c>
      <c r="AD1600" s="2" t="s">
        <v>39</v>
      </c>
      <c r="AE1600" s="2" t="s">
        <v>39</v>
      </c>
    </row>
    <row r="1601" spans="1:31" ht="409.5">
      <c r="A1601" s="2">
        <v>2734949</v>
      </c>
      <c r="B1601" s="2">
        <f>HYPERLINK("https://platform.v2.vetology.net/cases/2734949/screening-report/1?type=pdf&amp;v=v6&amp;scorecard=1&amp;secret_key=BX%25IJ%24%2F65ieZ%29f6", 2734949)</f>
        <v>2734949</v>
      </c>
      <c r="C1601" s="2">
        <f>HYPERLINK("https://platform.v2.vetology.net/report/v/final/"&amp;2734949, 2734949)</f>
        <v>2734949</v>
      </c>
      <c r="D1601" s="2" t="s">
        <v>5261</v>
      </c>
      <c r="E1601" s="2" t="s">
        <v>5262</v>
      </c>
      <c r="F1601" s="2" t="s">
        <v>43</v>
      </c>
      <c r="G1601" s="2" t="s">
        <v>100</v>
      </c>
      <c r="H1601" s="2" t="s">
        <v>5263</v>
      </c>
      <c r="I1601" s="2" t="s">
        <v>73</v>
      </c>
      <c r="J1601" s="2" t="s">
        <v>74</v>
      </c>
      <c r="K1601" s="2" t="s">
        <v>38</v>
      </c>
      <c r="L1601" s="2" t="s">
        <v>39</v>
      </c>
      <c r="M1601" s="2" t="s">
        <v>39</v>
      </c>
      <c r="N1601" s="2" t="s">
        <v>39</v>
      </c>
      <c r="O1601" s="2" t="s">
        <v>38</v>
      </c>
      <c r="P1601" s="2" t="s">
        <v>38</v>
      </c>
      <c r="Q1601" s="2" t="s">
        <v>38</v>
      </c>
      <c r="R1601" s="2" t="s">
        <v>38</v>
      </c>
      <c r="S1601" s="2" t="s">
        <v>39</v>
      </c>
      <c r="T1601" s="2" t="s">
        <v>38</v>
      </c>
      <c r="U1601" s="2" t="s">
        <v>38</v>
      </c>
      <c r="V1601" s="2" t="s">
        <v>38</v>
      </c>
      <c r="W1601" s="2" t="s">
        <v>39</v>
      </c>
      <c r="X1601" s="2" t="s">
        <v>38</v>
      </c>
      <c r="Y1601" s="2" t="s">
        <v>39</v>
      </c>
      <c r="Z1601" s="2" t="s">
        <v>38</v>
      </c>
      <c r="AA1601" s="2" t="s">
        <v>38</v>
      </c>
      <c r="AB1601" s="2" t="s">
        <v>39</v>
      </c>
      <c r="AC1601" s="2" t="s">
        <v>38</v>
      </c>
      <c r="AD1601" s="2" t="s">
        <v>39</v>
      </c>
      <c r="AE1601" s="2" t="s">
        <v>40</v>
      </c>
    </row>
    <row r="1602" spans="1:31" ht="409.5">
      <c r="A1602" s="2">
        <v>2734948</v>
      </c>
      <c r="B1602" s="2">
        <f>HYPERLINK("https://platform.v2.vetology.net/cases/2734948/screening-report/1?type=pdf&amp;v=v6&amp;scorecard=1&amp;secret_key=BX%25IJ%24%2F65ieZ%29f6", 2734948)</f>
        <v>2734948</v>
      </c>
      <c r="C1602" s="2">
        <f>HYPERLINK("https://platform.v2.vetology.net/report/v/final/"&amp;2734948, 2734948)</f>
        <v>2734948</v>
      </c>
      <c r="D1602" s="2" t="s">
        <v>5264</v>
      </c>
      <c r="E1602" s="2" t="s">
        <v>5265</v>
      </c>
      <c r="F1602" s="2" t="s">
        <v>5266</v>
      </c>
      <c r="G1602" s="2" t="s">
        <v>44</v>
      </c>
      <c r="H1602" s="2" t="s">
        <v>5267</v>
      </c>
      <c r="I1602" s="2" t="s">
        <v>129</v>
      </c>
      <c r="J1602" s="2" t="s">
        <v>74</v>
      </c>
      <c r="K1602" s="2" t="s">
        <v>39</v>
      </c>
      <c r="L1602" s="2" t="s">
        <v>39</v>
      </c>
      <c r="M1602" s="2" t="s">
        <v>38</v>
      </c>
      <c r="N1602" s="2" t="s">
        <v>39</v>
      </c>
      <c r="O1602" s="2" t="s">
        <v>39</v>
      </c>
      <c r="P1602" s="2" t="s">
        <v>38</v>
      </c>
      <c r="Q1602" s="2" t="s">
        <v>38</v>
      </c>
      <c r="R1602" s="2" t="s">
        <v>39</v>
      </c>
      <c r="S1602" s="2" t="s">
        <v>39</v>
      </c>
      <c r="T1602" s="2" t="s">
        <v>38</v>
      </c>
      <c r="U1602" s="2" t="s">
        <v>39</v>
      </c>
      <c r="V1602" s="2" t="s">
        <v>39</v>
      </c>
      <c r="W1602" s="2" t="s">
        <v>39</v>
      </c>
      <c r="X1602" s="2" t="s">
        <v>39</v>
      </c>
      <c r="Y1602" s="2" t="s">
        <v>39</v>
      </c>
      <c r="Z1602" s="2" t="s">
        <v>38</v>
      </c>
      <c r="AA1602" s="2" t="s">
        <v>39</v>
      </c>
      <c r="AB1602" s="2" t="s">
        <v>39</v>
      </c>
      <c r="AC1602" s="2" t="s">
        <v>38</v>
      </c>
      <c r="AD1602" s="2" t="s">
        <v>39</v>
      </c>
      <c r="AE1602" s="2"/>
    </row>
    <row r="1603" spans="1:31" ht="409.5">
      <c r="A1603" s="2">
        <v>2734944</v>
      </c>
      <c r="B1603" s="2">
        <f>HYPERLINK("https://platform.v2.vetology.net/cases/2734944/screening-report/1?type=pdf&amp;v=v6&amp;scorecard=1&amp;secret_key=BX%25IJ%24%2F65ieZ%29f6", 2734944)</f>
        <v>2734944</v>
      </c>
      <c r="C1603" s="2">
        <f>HYPERLINK("https://platform.v2.vetology.net/report/v/final/"&amp;2734944, 2734944)</f>
        <v>2734944</v>
      </c>
      <c r="D1603" s="2" t="s">
        <v>5268</v>
      </c>
      <c r="E1603" s="2" t="s">
        <v>5269</v>
      </c>
      <c r="F1603" s="2" t="s">
        <v>43</v>
      </c>
      <c r="G1603" s="2" t="s">
        <v>44</v>
      </c>
      <c r="H1603" s="2" t="s">
        <v>808</v>
      </c>
      <c r="I1603" s="2" t="s">
        <v>73</v>
      </c>
      <c r="J1603" s="2" t="s">
        <v>74</v>
      </c>
      <c r="K1603" s="2" t="s">
        <v>38</v>
      </c>
      <c r="L1603" s="2" t="s">
        <v>39</v>
      </c>
      <c r="M1603" s="2" t="s">
        <v>38</v>
      </c>
      <c r="N1603" s="2" t="s">
        <v>38</v>
      </c>
      <c r="O1603" s="2" t="s">
        <v>38</v>
      </c>
      <c r="P1603" s="2" t="s">
        <v>38</v>
      </c>
      <c r="Q1603" s="2" t="s">
        <v>38</v>
      </c>
      <c r="R1603" s="2" t="s">
        <v>38</v>
      </c>
      <c r="S1603" s="2" t="s">
        <v>38</v>
      </c>
      <c r="T1603" s="2" t="s">
        <v>38</v>
      </c>
      <c r="U1603" s="2" t="s">
        <v>38</v>
      </c>
      <c r="V1603" s="2" t="s">
        <v>38</v>
      </c>
      <c r="W1603" s="2" t="s">
        <v>38</v>
      </c>
      <c r="X1603" s="2" t="s">
        <v>38</v>
      </c>
      <c r="Y1603" s="2" t="s">
        <v>39</v>
      </c>
      <c r="Z1603" s="2" t="s">
        <v>38</v>
      </c>
      <c r="AA1603" s="2" t="s">
        <v>38</v>
      </c>
      <c r="AB1603" s="2" t="s">
        <v>38</v>
      </c>
      <c r="AC1603" s="2" t="s">
        <v>38</v>
      </c>
      <c r="AD1603" s="2" t="s">
        <v>38</v>
      </c>
      <c r="AE1603" s="2" t="s">
        <v>40</v>
      </c>
    </row>
    <row r="1604" spans="1:31" ht="409.5">
      <c r="A1604" s="2">
        <v>2734904</v>
      </c>
      <c r="B1604" s="2">
        <f>HYPERLINK("https://platform.v2.vetology.net/cases/2734904/screening-report/1?type=pdf&amp;v=v6&amp;scorecard=1&amp;secret_key=BX%25IJ%24%2F65ieZ%29f6", 2734904)</f>
        <v>2734904</v>
      </c>
      <c r="C1604" s="2">
        <f>HYPERLINK("https://platform.v2.vetology.net/report/v/final/"&amp;2734904, 2734904)</f>
        <v>2734904</v>
      </c>
      <c r="D1604" s="2" t="s">
        <v>5270</v>
      </c>
      <c r="E1604" s="2" t="s">
        <v>5271</v>
      </c>
      <c r="F1604" s="2" t="s">
        <v>43</v>
      </c>
      <c r="G1604" s="2" t="s">
        <v>44</v>
      </c>
      <c r="H1604" s="2" t="s">
        <v>5272</v>
      </c>
      <c r="I1604" s="2" t="s">
        <v>129</v>
      </c>
      <c r="J1604" s="2" t="s">
        <v>74</v>
      </c>
      <c r="K1604" s="2" t="s">
        <v>38</v>
      </c>
      <c r="L1604" s="2" t="s">
        <v>39</v>
      </c>
      <c r="M1604" s="2" t="s">
        <v>38</v>
      </c>
      <c r="N1604" s="2" t="s">
        <v>38</v>
      </c>
      <c r="O1604" s="2" t="s">
        <v>38</v>
      </c>
      <c r="P1604" s="2" t="s">
        <v>38</v>
      </c>
      <c r="Q1604" s="2" t="s">
        <v>38</v>
      </c>
      <c r="R1604" s="2" t="s">
        <v>38</v>
      </c>
      <c r="S1604" s="2" t="s">
        <v>38</v>
      </c>
      <c r="T1604" s="2" t="s">
        <v>38</v>
      </c>
      <c r="U1604" s="2" t="s">
        <v>39</v>
      </c>
      <c r="V1604" s="2" t="s">
        <v>38</v>
      </c>
      <c r="W1604" s="2" t="s">
        <v>38</v>
      </c>
      <c r="X1604" s="2" t="s">
        <v>38</v>
      </c>
      <c r="Y1604" s="2" t="s">
        <v>38</v>
      </c>
      <c r="Z1604" s="2" t="s">
        <v>38</v>
      </c>
      <c r="AA1604" s="2" t="s">
        <v>38</v>
      </c>
      <c r="AB1604" s="2" t="s">
        <v>38</v>
      </c>
      <c r="AC1604" s="2" t="s">
        <v>38</v>
      </c>
      <c r="AD1604" s="2" t="s">
        <v>39</v>
      </c>
      <c r="AE1604" s="2" t="s">
        <v>40</v>
      </c>
    </row>
    <row r="1605" spans="1:31" ht="409.5">
      <c r="A1605" s="2">
        <v>2734885</v>
      </c>
      <c r="B1605" s="2">
        <f>HYPERLINK("https://platform.v2.vetology.net/cases/2734885/screening-report/1?type=pdf&amp;v=v6&amp;scorecard=1&amp;secret_key=BX%25IJ%24%2F65ieZ%29f6", 2734885)</f>
        <v>2734885</v>
      </c>
      <c r="C1605" s="2">
        <f>HYPERLINK("https://platform.v2.vetology.net/report/v/final/"&amp;2734885, 2734885)</f>
        <v>2734885</v>
      </c>
      <c r="D1605" s="2" t="s">
        <v>5273</v>
      </c>
      <c r="E1605" s="2" t="s">
        <v>5274</v>
      </c>
      <c r="F1605" s="2" t="s">
        <v>5275</v>
      </c>
      <c r="G1605" s="2" t="s">
        <v>111</v>
      </c>
      <c r="H1605" s="2" t="s">
        <v>5276</v>
      </c>
      <c r="I1605" s="2" t="s">
        <v>73</v>
      </c>
      <c r="J1605" s="2" t="s">
        <v>74</v>
      </c>
      <c r="K1605" s="2" t="s">
        <v>38</v>
      </c>
      <c r="L1605" s="2" t="s">
        <v>38</v>
      </c>
      <c r="M1605" s="2" t="s">
        <v>38</v>
      </c>
      <c r="N1605" s="2" t="s">
        <v>38</v>
      </c>
      <c r="O1605" s="2" t="s">
        <v>38</v>
      </c>
      <c r="P1605" s="2" t="s">
        <v>38</v>
      </c>
      <c r="Q1605" s="2" t="s">
        <v>38</v>
      </c>
      <c r="R1605" s="2" t="s">
        <v>38</v>
      </c>
      <c r="S1605" s="2" t="s">
        <v>38</v>
      </c>
      <c r="T1605" s="2" t="s">
        <v>38</v>
      </c>
      <c r="U1605" s="2" t="s">
        <v>38</v>
      </c>
      <c r="V1605" s="2" t="s">
        <v>38</v>
      </c>
      <c r="W1605" s="2" t="s">
        <v>38</v>
      </c>
      <c r="X1605" s="2" t="s">
        <v>38</v>
      </c>
      <c r="Y1605" s="2" t="s">
        <v>38</v>
      </c>
      <c r="Z1605" s="2" t="s">
        <v>38</v>
      </c>
      <c r="AA1605" s="2" t="s">
        <v>38</v>
      </c>
      <c r="AB1605" s="2" t="s">
        <v>39</v>
      </c>
      <c r="AC1605" s="2" t="s">
        <v>38</v>
      </c>
      <c r="AD1605" s="2" t="s">
        <v>38</v>
      </c>
      <c r="AE1605" s="2" t="s">
        <v>40</v>
      </c>
    </row>
    <row r="1606" spans="1:31" ht="409.5">
      <c r="A1606" s="2">
        <v>2734880</v>
      </c>
      <c r="B1606" s="2">
        <f>HYPERLINK("https://platform.v2.vetology.net/cases/2734880/screening-report/1?type=pdf&amp;v=v6&amp;scorecard=1&amp;secret_key=BX%25IJ%24%2F65ieZ%29f6", 2734880)</f>
        <v>2734880</v>
      </c>
      <c r="C1606" s="2">
        <f>HYPERLINK("https://platform.v2.vetology.net/report/v/final/"&amp;2734880, 2734880)</f>
        <v>2734880</v>
      </c>
      <c r="D1606" s="2" t="s">
        <v>5277</v>
      </c>
      <c r="E1606" s="2" t="s">
        <v>5278</v>
      </c>
      <c r="F1606" s="2"/>
      <c r="G1606" s="2" t="s">
        <v>81</v>
      </c>
      <c r="H1606" s="2" t="s">
        <v>5279</v>
      </c>
      <c r="I1606" s="2" t="s">
        <v>257</v>
      </c>
      <c r="J1606" s="2" t="s">
        <v>74</v>
      </c>
      <c r="K1606" s="2" t="s">
        <v>38</v>
      </c>
      <c r="L1606" s="2" t="s">
        <v>38</v>
      </c>
      <c r="M1606" s="2" t="s">
        <v>38</v>
      </c>
      <c r="N1606" s="2" t="s">
        <v>38</v>
      </c>
      <c r="O1606" s="2" t="s">
        <v>38</v>
      </c>
      <c r="P1606" s="2" t="s">
        <v>38</v>
      </c>
      <c r="Q1606" s="2" t="s">
        <v>38</v>
      </c>
      <c r="R1606" s="2" t="s">
        <v>38</v>
      </c>
      <c r="S1606" s="2" t="s">
        <v>38</v>
      </c>
      <c r="T1606" s="2" t="s">
        <v>38</v>
      </c>
      <c r="U1606" s="2" t="s">
        <v>38</v>
      </c>
      <c r="V1606" s="2" t="s">
        <v>38</v>
      </c>
      <c r="W1606" s="2" t="s">
        <v>38</v>
      </c>
      <c r="X1606" s="2" t="s">
        <v>38</v>
      </c>
      <c r="Y1606" s="2" t="s">
        <v>38</v>
      </c>
      <c r="Z1606" s="2" t="s">
        <v>38</v>
      </c>
      <c r="AA1606" s="2" t="s">
        <v>38</v>
      </c>
      <c r="AB1606" s="2" t="s">
        <v>38</v>
      </c>
      <c r="AC1606" s="2" t="s">
        <v>38</v>
      </c>
      <c r="AD1606" s="2" t="s">
        <v>38</v>
      </c>
      <c r="AE1606" s="2" t="s">
        <v>39</v>
      </c>
    </row>
    <row r="1607" spans="1:31" ht="409.5">
      <c r="A1607" s="2">
        <v>2734865</v>
      </c>
      <c r="B1607" s="2">
        <f>HYPERLINK("https://platform.v2.vetology.net/cases/2734865/screening-report/1?type=pdf&amp;v=v6&amp;scorecard=1&amp;secret_key=BX%25IJ%24%2F65ieZ%29f6", 2734865)</f>
        <v>2734865</v>
      </c>
      <c r="C1607" s="2">
        <f>HYPERLINK("https://platform.v2.vetology.net/report/v/final/"&amp;2734865, 2734865)</f>
        <v>2734865</v>
      </c>
      <c r="D1607" s="2" t="s">
        <v>302</v>
      </c>
      <c r="E1607" s="2" t="s">
        <v>99</v>
      </c>
      <c r="F1607" s="2"/>
      <c r="G1607" s="2" t="s">
        <v>100</v>
      </c>
      <c r="H1607" s="2" t="s">
        <v>5280</v>
      </c>
      <c r="I1607" s="2" t="s">
        <v>36</v>
      </c>
      <c r="J1607" s="2" t="s">
        <v>37</v>
      </c>
      <c r="K1607" s="2" t="s">
        <v>38</v>
      </c>
      <c r="L1607" s="2" t="s">
        <v>38</v>
      </c>
      <c r="M1607" s="2" t="s">
        <v>38</v>
      </c>
      <c r="N1607" s="2" t="s">
        <v>39</v>
      </c>
      <c r="O1607" s="2" t="s">
        <v>38</v>
      </c>
      <c r="P1607" s="2" t="s">
        <v>39</v>
      </c>
      <c r="Q1607" s="2" t="s">
        <v>39</v>
      </c>
      <c r="R1607" s="2" t="s">
        <v>39</v>
      </c>
      <c r="S1607" s="2" t="s">
        <v>38</v>
      </c>
      <c r="T1607" s="2" t="s">
        <v>39</v>
      </c>
      <c r="U1607" s="2" t="s">
        <v>38</v>
      </c>
      <c r="V1607" s="2" t="s">
        <v>38</v>
      </c>
      <c r="W1607" s="2" t="s">
        <v>39</v>
      </c>
      <c r="X1607" s="2" t="s">
        <v>39</v>
      </c>
      <c r="Y1607" s="2" t="s">
        <v>39</v>
      </c>
      <c r="Z1607" s="2" t="s">
        <v>38</v>
      </c>
      <c r="AA1607" s="2" t="s">
        <v>38</v>
      </c>
      <c r="AB1607" s="2" t="s">
        <v>39</v>
      </c>
      <c r="AC1607" s="2" t="s">
        <v>38</v>
      </c>
      <c r="AD1607" s="2" t="s">
        <v>38</v>
      </c>
      <c r="AE1607" s="2" t="s">
        <v>40</v>
      </c>
    </row>
    <row r="1608" spans="1:31" ht="409.5">
      <c r="A1608" s="2">
        <v>2734863</v>
      </c>
      <c r="B1608" s="2">
        <f>HYPERLINK("https://platform.v2.vetology.net/cases/2734863/screening-report/1?type=pdf&amp;v=v6&amp;scorecard=1&amp;secret_key=BX%25IJ%24%2F65ieZ%29f6", 2734863)</f>
        <v>2734863</v>
      </c>
      <c r="C1608" s="2">
        <f>HYPERLINK("https://platform.v2.vetology.net/report/v/final/"&amp;2734863, 2734863)</f>
        <v>2734863</v>
      </c>
      <c r="D1608" s="2" t="s">
        <v>5281</v>
      </c>
      <c r="E1608" s="2" t="s">
        <v>5282</v>
      </c>
      <c r="F1608" s="2" t="s">
        <v>43</v>
      </c>
      <c r="G1608" s="2" t="s">
        <v>44</v>
      </c>
      <c r="H1608" s="2" t="s">
        <v>888</v>
      </c>
      <c r="I1608" s="2" t="s">
        <v>36</v>
      </c>
      <c r="J1608" s="2" t="s">
        <v>37</v>
      </c>
      <c r="K1608" s="2" t="s">
        <v>39</v>
      </c>
      <c r="L1608" s="2" t="s">
        <v>39</v>
      </c>
      <c r="M1608" s="2" t="s">
        <v>38</v>
      </c>
      <c r="N1608" s="2" t="s">
        <v>38</v>
      </c>
      <c r="O1608" s="2" t="s">
        <v>38</v>
      </c>
      <c r="P1608" s="2" t="s">
        <v>39</v>
      </c>
      <c r="Q1608" s="2" t="s">
        <v>39</v>
      </c>
      <c r="R1608" s="2" t="s">
        <v>38</v>
      </c>
      <c r="S1608" s="2" t="s">
        <v>39</v>
      </c>
      <c r="T1608" s="2" t="s">
        <v>38</v>
      </c>
      <c r="U1608" s="2" t="s">
        <v>39</v>
      </c>
      <c r="V1608" s="2" t="s">
        <v>38</v>
      </c>
      <c r="W1608" s="2" t="s">
        <v>38</v>
      </c>
      <c r="X1608" s="2" t="s">
        <v>39</v>
      </c>
      <c r="Y1608" s="2" t="s">
        <v>39</v>
      </c>
      <c r="Z1608" s="2" t="s">
        <v>38</v>
      </c>
      <c r="AA1608" s="2" t="s">
        <v>39</v>
      </c>
      <c r="AB1608" s="2" t="s">
        <v>39</v>
      </c>
      <c r="AC1608" s="2" t="s">
        <v>38</v>
      </c>
      <c r="AD1608" s="2" t="s">
        <v>39</v>
      </c>
      <c r="AE1608" s="2" t="s">
        <v>39</v>
      </c>
    </row>
    <row r="1609" spans="1:31" ht="409.5">
      <c r="A1609" s="2">
        <v>2734862</v>
      </c>
      <c r="B1609" s="2">
        <f>HYPERLINK("https://platform.v2.vetology.net/cases/2734862/screening-report/1?type=pdf&amp;v=v6&amp;scorecard=1&amp;secret_key=BX%25IJ%24%2F65ieZ%29f6", 2734862)</f>
        <v>2734862</v>
      </c>
      <c r="C1609" s="2">
        <f>HYPERLINK("https://platform.v2.vetology.net/report/v/final/"&amp;2734862, 2734862)</f>
        <v>2734862</v>
      </c>
      <c r="D1609" s="2" t="s">
        <v>5283</v>
      </c>
      <c r="E1609" s="2" t="s">
        <v>5284</v>
      </c>
      <c r="F1609" s="2"/>
      <c r="G1609" s="2" t="s">
        <v>81</v>
      </c>
      <c r="H1609" s="2" t="s">
        <v>5285</v>
      </c>
      <c r="I1609" s="2" t="s">
        <v>129</v>
      </c>
      <c r="J1609" s="2" t="s">
        <v>74</v>
      </c>
      <c r="K1609" s="2" t="s">
        <v>38</v>
      </c>
      <c r="L1609" s="2" t="s">
        <v>38</v>
      </c>
      <c r="M1609" s="2" t="s">
        <v>38</v>
      </c>
      <c r="N1609" s="2" t="s">
        <v>38</v>
      </c>
      <c r="O1609" s="2" t="s">
        <v>38</v>
      </c>
      <c r="P1609" s="2" t="s">
        <v>38</v>
      </c>
      <c r="Q1609" s="2" t="s">
        <v>38</v>
      </c>
      <c r="R1609" s="2" t="s">
        <v>38</v>
      </c>
      <c r="S1609" s="2" t="s">
        <v>38</v>
      </c>
      <c r="T1609" s="2" t="s">
        <v>38</v>
      </c>
      <c r="U1609" s="2" t="s">
        <v>38</v>
      </c>
      <c r="V1609" s="2" t="s">
        <v>38</v>
      </c>
      <c r="W1609" s="2" t="s">
        <v>38</v>
      </c>
      <c r="X1609" s="2" t="s">
        <v>38</v>
      </c>
      <c r="Y1609" s="2" t="s">
        <v>39</v>
      </c>
      <c r="Z1609" s="2" t="s">
        <v>38</v>
      </c>
      <c r="AA1609" s="2" t="s">
        <v>38</v>
      </c>
      <c r="AB1609" s="2" t="s">
        <v>38</v>
      </c>
      <c r="AC1609" s="2" t="s">
        <v>38</v>
      </c>
      <c r="AD1609" s="2" t="s">
        <v>38</v>
      </c>
      <c r="AE1609" s="2" t="s">
        <v>39</v>
      </c>
    </row>
    <row r="1610" spans="1:31" ht="409.5">
      <c r="A1610" s="2">
        <v>2734853</v>
      </c>
      <c r="B1610" s="2">
        <f>HYPERLINK("https://platform.v2.vetology.net/cases/2734853/screening-report/1?type=pdf&amp;v=v6&amp;scorecard=1&amp;secret_key=BX%25IJ%24%2F65ieZ%29f6", 2734853)</f>
        <v>2734853</v>
      </c>
      <c r="C1610" s="2">
        <f>HYPERLINK("https://platform.v2.vetology.net/report/v/final/"&amp;2734853, 2734853)</f>
        <v>2734853</v>
      </c>
      <c r="D1610" s="2" t="s">
        <v>1090</v>
      </c>
      <c r="E1610" s="2" t="s">
        <v>1091</v>
      </c>
      <c r="F1610" s="2" t="s">
        <v>787</v>
      </c>
      <c r="G1610" s="2" t="s">
        <v>100</v>
      </c>
      <c r="H1610" s="2" t="s">
        <v>3697</v>
      </c>
      <c r="I1610" s="2" t="s">
        <v>36</v>
      </c>
      <c r="J1610" s="2" t="s">
        <v>37</v>
      </c>
      <c r="K1610" s="2" t="s">
        <v>38</v>
      </c>
      <c r="L1610" s="2" t="s">
        <v>39</v>
      </c>
      <c r="M1610" s="2" t="s">
        <v>38</v>
      </c>
      <c r="N1610" s="2" t="s">
        <v>39</v>
      </c>
      <c r="O1610" s="2" t="s">
        <v>39</v>
      </c>
      <c r="P1610" s="2" t="s">
        <v>39</v>
      </c>
      <c r="Q1610" s="2" t="s">
        <v>39</v>
      </c>
      <c r="R1610" s="2" t="s">
        <v>39</v>
      </c>
      <c r="S1610" s="2" t="s">
        <v>39</v>
      </c>
      <c r="T1610" s="2" t="s">
        <v>39</v>
      </c>
      <c r="U1610" s="2" t="s">
        <v>39</v>
      </c>
      <c r="V1610" s="2" t="s">
        <v>39</v>
      </c>
      <c r="W1610" s="2" t="s">
        <v>39</v>
      </c>
      <c r="X1610" s="2" t="s">
        <v>39</v>
      </c>
      <c r="Y1610" s="2" t="s">
        <v>39</v>
      </c>
      <c r="Z1610" s="2" t="s">
        <v>39</v>
      </c>
      <c r="AA1610" s="2" t="s">
        <v>39</v>
      </c>
      <c r="AB1610" s="2" t="s">
        <v>39</v>
      </c>
      <c r="AC1610" s="2" t="s">
        <v>38</v>
      </c>
      <c r="AD1610" s="2" t="s">
        <v>39</v>
      </c>
      <c r="AE1610" s="2" t="s">
        <v>40</v>
      </c>
    </row>
    <row r="1611" spans="1:31" ht="409.5">
      <c r="A1611" s="2">
        <v>2734843</v>
      </c>
      <c r="B1611" s="2">
        <f>HYPERLINK("https://platform.v2.vetology.net/cases/2734843/screening-report/1?type=pdf&amp;v=v6&amp;scorecard=1&amp;secret_key=BX%25IJ%24%2F65ieZ%29f6", 2734843)</f>
        <v>2734843</v>
      </c>
      <c r="C1611" s="2">
        <f>HYPERLINK("https://platform.v2.vetology.net/report/v/final/"&amp;2734843, 2734843)</f>
        <v>2734843</v>
      </c>
      <c r="D1611" s="2" t="s">
        <v>5286</v>
      </c>
      <c r="E1611" s="2" t="s">
        <v>5287</v>
      </c>
      <c r="F1611" s="2" t="s">
        <v>5288</v>
      </c>
      <c r="G1611" s="2" t="s">
        <v>170</v>
      </c>
      <c r="H1611" s="2" t="s">
        <v>1956</v>
      </c>
      <c r="I1611" s="2" t="s">
        <v>36</v>
      </c>
      <c r="J1611" s="2" t="s">
        <v>37</v>
      </c>
      <c r="K1611" s="2" t="s">
        <v>38</v>
      </c>
      <c r="L1611" s="2" t="s">
        <v>39</v>
      </c>
      <c r="M1611" s="2" t="s">
        <v>39</v>
      </c>
      <c r="N1611" s="2" t="s">
        <v>38</v>
      </c>
      <c r="O1611" s="2" t="s">
        <v>39</v>
      </c>
      <c r="P1611" s="2" t="s">
        <v>38</v>
      </c>
      <c r="Q1611" s="2" t="s">
        <v>39</v>
      </c>
      <c r="R1611" s="2" t="s">
        <v>39</v>
      </c>
      <c r="S1611" s="2" t="s">
        <v>39</v>
      </c>
      <c r="T1611" s="2" t="s">
        <v>38</v>
      </c>
      <c r="U1611" s="2" t="s">
        <v>39</v>
      </c>
      <c r="V1611" s="2" t="s">
        <v>39</v>
      </c>
      <c r="W1611" s="2" t="s">
        <v>39</v>
      </c>
      <c r="X1611" s="2" t="s">
        <v>39</v>
      </c>
      <c r="Y1611" s="2" t="s">
        <v>39</v>
      </c>
      <c r="Z1611" s="2" t="s">
        <v>39</v>
      </c>
      <c r="AA1611" s="2" t="s">
        <v>39</v>
      </c>
      <c r="AB1611" s="2" t="s">
        <v>39</v>
      </c>
      <c r="AC1611" s="2" t="s">
        <v>39</v>
      </c>
      <c r="AD1611" s="2" t="s">
        <v>38</v>
      </c>
      <c r="AE1611" s="2" t="s">
        <v>39</v>
      </c>
    </row>
    <row r="1612" spans="1:31" ht="409.5">
      <c r="A1612" s="2">
        <v>2734828</v>
      </c>
      <c r="B1612" s="2">
        <f>HYPERLINK("https://platform.v2.vetology.net/cases/2734828/screening-report/1?type=pdf&amp;v=v6&amp;scorecard=1&amp;secret_key=BX%25IJ%24%2F65ieZ%29f6", 2734828)</f>
        <v>2734828</v>
      </c>
      <c r="C1612" s="2">
        <f>HYPERLINK("https://platform.v2.vetology.net/report/v/final/"&amp;2734828, 2734828)</f>
        <v>2734828</v>
      </c>
      <c r="D1612" s="2" t="s">
        <v>5289</v>
      </c>
      <c r="E1612" s="2" t="s">
        <v>5290</v>
      </c>
      <c r="F1612" s="2" t="s">
        <v>5291</v>
      </c>
      <c r="G1612" s="2" t="s">
        <v>170</v>
      </c>
      <c r="H1612" s="2" t="s">
        <v>2323</v>
      </c>
      <c r="I1612" s="2" t="s">
        <v>59</v>
      </c>
      <c r="J1612" s="2" t="s">
        <v>37</v>
      </c>
      <c r="K1612" s="2" t="s">
        <v>38</v>
      </c>
      <c r="L1612" s="2" t="s">
        <v>39</v>
      </c>
      <c r="M1612" s="2" t="s">
        <v>39</v>
      </c>
      <c r="N1612" s="2" t="s">
        <v>39</v>
      </c>
      <c r="O1612" s="2" t="s">
        <v>39</v>
      </c>
      <c r="P1612" s="2" t="s">
        <v>39</v>
      </c>
      <c r="Q1612" s="2" t="s">
        <v>39</v>
      </c>
      <c r="R1612" s="2" t="s">
        <v>38</v>
      </c>
      <c r="S1612" s="2" t="s">
        <v>38</v>
      </c>
      <c r="T1612" s="2" t="s">
        <v>39</v>
      </c>
      <c r="U1612" s="2" t="s">
        <v>38</v>
      </c>
      <c r="V1612" s="2" t="s">
        <v>38</v>
      </c>
      <c r="W1612" s="2" t="s">
        <v>39</v>
      </c>
      <c r="X1612" s="2" t="s">
        <v>39</v>
      </c>
      <c r="Y1612" s="2" t="s">
        <v>39</v>
      </c>
      <c r="Z1612" s="2" t="s">
        <v>39</v>
      </c>
      <c r="AA1612" s="2" t="s">
        <v>39</v>
      </c>
      <c r="AB1612" s="2" t="s">
        <v>39</v>
      </c>
      <c r="AC1612" s="2" t="s">
        <v>38</v>
      </c>
      <c r="AD1612" s="2" t="s">
        <v>38</v>
      </c>
      <c r="AE1612" s="2" t="s">
        <v>39</v>
      </c>
    </row>
    <row r="1613" spans="1:31" ht="409.5">
      <c r="A1613" s="2">
        <v>2734826</v>
      </c>
      <c r="B1613" s="2">
        <f>HYPERLINK("https://platform.v2.vetology.net/cases/2734826/screening-report/1?type=pdf&amp;v=v6&amp;scorecard=1&amp;secret_key=BX%25IJ%24%2F65ieZ%29f6", 2734826)</f>
        <v>2734826</v>
      </c>
      <c r="C1613" s="2">
        <f>HYPERLINK("https://platform.v2.vetology.net/report/v/final/"&amp;2734826, 2734826)</f>
        <v>2734826</v>
      </c>
      <c r="D1613" s="2" t="s">
        <v>5292</v>
      </c>
      <c r="E1613" s="2" t="s">
        <v>5293</v>
      </c>
      <c r="F1613" s="2" t="s">
        <v>5294</v>
      </c>
      <c r="G1613" s="2" t="s">
        <v>100</v>
      </c>
      <c r="H1613" s="2" t="s">
        <v>5295</v>
      </c>
      <c r="I1613" s="2" t="s">
        <v>36</v>
      </c>
      <c r="J1613" s="2" t="s">
        <v>37</v>
      </c>
      <c r="K1613" s="2" t="s">
        <v>38</v>
      </c>
      <c r="L1613" s="2" t="s">
        <v>38</v>
      </c>
      <c r="M1613" s="2" t="s">
        <v>38</v>
      </c>
      <c r="N1613" s="2" t="s">
        <v>38</v>
      </c>
      <c r="O1613" s="2" t="s">
        <v>38</v>
      </c>
      <c r="P1613" s="2" t="s">
        <v>39</v>
      </c>
      <c r="Q1613" s="2" t="s">
        <v>39</v>
      </c>
      <c r="R1613" s="2" t="s">
        <v>39</v>
      </c>
      <c r="S1613" s="2" t="s">
        <v>38</v>
      </c>
      <c r="T1613" s="2" t="s">
        <v>39</v>
      </c>
      <c r="U1613" s="2" t="s">
        <v>38</v>
      </c>
      <c r="V1613" s="2" t="s">
        <v>38</v>
      </c>
      <c r="W1613" s="2" t="s">
        <v>38</v>
      </c>
      <c r="X1613" s="2" t="s">
        <v>39</v>
      </c>
      <c r="Y1613" s="2" t="s">
        <v>38</v>
      </c>
      <c r="Z1613" s="2" t="s">
        <v>38</v>
      </c>
      <c r="AA1613" s="2" t="s">
        <v>39</v>
      </c>
      <c r="AB1613" s="2" t="s">
        <v>39</v>
      </c>
      <c r="AC1613" s="2" t="s">
        <v>38</v>
      </c>
      <c r="AD1613" s="2" t="s">
        <v>38</v>
      </c>
      <c r="AE1613" s="2" t="s">
        <v>40</v>
      </c>
    </row>
    <row r="1614" spans="1:31" ht="409.5">
      <c r="A1614" s="2">
        <v>2734822</v>
      </c>
      <c r="B1614" s="2">
        <f>HYPERLINK("https://platform.v2.vetology.net/cases/2734822/screening-report/1?type=pdf&amp;v=v6&amp;scorecard=1&amp;secret_key=BX%25IJ%24%2F65ieZ%29f6", 2734822)</f>
        <v>2734822</v>
      </c>
      <c r="C1614" s="2">
        <f>HYPERLINK("https://platform.v2.vetology.net/report/v/final/"&amp;2734822, 2734822)</f>
        <v>2734822</v>
      </c>
      <c r="D1614" s="2" t="s">
        <v>5296</v>
      </c>
      <c r="E1614" s="2" t="s">
        <v>5297</v>
      </c>
      <c r="F1614" s="2" t="s">
        <v>5298</v>
      </c>
      <c r="G1614" s="2" t="s">
        <v>127</v>
      </c>
      <c r="H1614" s="2" t="s">
        <v>69</v>
      </c>
      <c r="I1614" s="2" t="s">
        <v>46</v>
      </c>
      <c r="J1614" s="2"/>
      <c r="K1614" s="2" t="s">
        <v>39</v>
      </c>
      <c r="L1614" s="2" t="s">
        <v>39</v>
      </c>
      <c r="M1614" s="2" t="s">
        <v>39</v>
      </c>
      <c r="N1614" s="2" t="s">
        <v>39</v>
      </c>
      <c r="O1614" s="2" t="s">
        <v>38</v>
      </c>
      <c r="P1614" s="2" t="s">
        <v>39</v>
      </c>
      <c r="Q1614" s="2" t="s">
        <v>39</v>
      </c>
      <c r="R1614" s="2" t="s">
        <v>39</v>
      </c>
      <c r="S1614" s="2" t="s">
        <v>39</v>
      </c>
      <c r="T1614" s="2" t="s">
        <v>39</v>
      </c>
      <c r="U1614" s="2" t="s">
        <v>39</v>
      </c>
      <c r="V1614" s="2" t="s">
        <v>39</v>
      </c>
      <c r="W1614" s="2" t="s">
        <v>38</v>
      </c>
      <c r="X1614" s="2" t="s">
        <v>39</v>
      </c>
      <c r="Y1614" s="2" t="s">
        <v>39</v>
      </c>
      <c r="Z1614" s="2" t="s">
        <v>38</v>
      </c>
      <c r="AA1614" s="2" t="s">
        <v>39</v>
      </c>
      <c r="AB1614" s="2" t="s">
        <v>39</v>
      </c>
      <c r="AC1614" s="2" t="s">
        <v>38</v>
      </c>
      <c r="AD1614" s="2" t="s">
        <v>38</v>
      </c>
      <c r="AE1614" s="2" t="s">
        <v>39</v>
      </c>
    </row>
    <row r="1615" spans="1:31" ht="409.5">
      <c r="A1615" s="2">
        <v>2734819</v>
      </c>
      <c r="B1615" s="2">
        <f>HYPERLINK("https://platform.v2.vetology.net/cases/2734819/screening-report/1?type=pdf&amp;v=v6&amp;scorecard=1&amp;secret_key=BX%25IJ%24%2F65ieZ%29f6", 2734819)</f>
        <v>2734819</v>
      </c>
      <c r="C1615" s="2">
        <f>HYPERLINK("https://platform.v2.vetology.net/report/v/final/"&amp;2734819, 2734819)</f>
        <v>2734819</v>
      </c>
      <c r="D1615" s="2" t="s">
        <v>5299</v>
      </c>
      <c r="E1615" s="2" t="s">
        <v>5300</v>
      </c>
      <c r="F1615" s="2"/>
      <c r="G1615" s="2" t="s">
        <v>81</v>
      </c>
      <c r="H1615" s="2" t="s">
        <v>5301</v>
      </c>
      <c r="I1615" s="2" t="s">
        <v>129</v>
      </c>
      <c r="J1615" s="2" t="s">
        <v>74</v>
      </c>
      <c r="K1615" s="2" t="s">
        <v>38</v>
      </c>
      <c r="L1615" s="2" t="s">
        <v>38</v>
      </c>
      <c r="M1615" s="2" t="s">
        <v>38</v>
      </c>
      <c r="N1615" s="2" t="s">
        <v>38</v>
      </c>
      <c r="O1615" s="2" t="s">
        <v>38</v>
      </c>
      <c r="P1615" s="2" t="s">
        <v>38</v>
      </c>
      <c r="Q1615" s="2" t="s">
        <v>38</v>
      </c>
      <c r="R1615" s="2" t="s">
        <v>38</v>
      </c>
      <c r="S1615" s="2" t="s">
        <v>38</v>
      </c>
      <c r="T1615" s="2" t="s">
        <v>38</v>
      </c>
      <c r="U1615" s="2" t="s">
        <v>38</v>
      </c>
      <c r="V1615" s="2" t="s">
        <v>39</v>
      </c>
      <c r="W1615" s="2" t="s">
        <v>38</v>
      </c>
      <c r="X1615" s="2" t="s">
        <v>38</v>
      </c>
      <c r="Y1615" s="2" t="s">
        <v>38</v>
      </c>
      <c r="Z1615" s="2" t="s">
        <v>38</v>
      </c>
      <c r="AA1615" s="2" t="s">
        <v>38</v>
      </c>
      <c r="AB1615" s="2" t="s">
        <v>38</v>
      </c>
      <c r="AC1615" s="2" t="s">
        <v>38</v>
      </c>
      <c r="AD1615" s="2" t="s">
        <v>38</v>
      </c>
      <c r="AE1615" s="2" t="s">
        <v>40</v>
      </c>
    </row>
    <row r="1616" spans="1:31" ht="409.5">
      <c r="A1616" s="2">
        <v>2734802</v>
      </c>
      <c r="B1616" s="2">
        <f>HYPERLINK("https://platform.v2.vetology.net/cases/2734802/screening-report/1?type=pdf&amp;v=v6&amp;scorecard=1&amp;secret_key=BX%25IJ%24%2F65ieZ%29f6", 2734802)</f>
        <v>2734802</v>
      </c>
      <c r="C1616" s="2">
        <f>HYPERLINK("https://platform.v2.vetology.net/report/v/final/"&amp;2734802, 2734802)</f>
        <v>2734802</v>
      </c>
      <c r="D1616" s="2" t="s">
        <v>5302</v>
      </c>
      <c r="E1616" s="2" t="s">
        <v>5303</v>
      </c>
      <c r="F1616" s="2" t="s">
        <v>5304</v>
      </c>
      <c r="G1616" s="2" t="s">
        <v>170</v>
      </c>
      <c r="H1616" s="2" t="s">
        <v>530</v>
      </c>
      <c r="I1616" s="2" t="s">
        <v>59</v>
      </c>
      <c r="J1616" s="2" t="s">
        <v>37</v>
      </c>
      <c r="K1616" s="2" t="s">
        <v>38</v>
      </c>
      <c r="L1616" s="2" t="s">
        <v>39</v>
      </c>
      <c r="M1616" s="2" t="s">
        <v>39</v>
      </c>
      <c r="N1616" s="2" t="s">
        <v>39</v>
      </c>
      <c r="O1616" s="2" t="s">
        <v>39</v>
      </c>
      <c r="P1616" s="2" t="s">
        <v>39</v>
      </c>
      <c r="Q1616" s="2" t="s">
        <v>39</v>
      </c>
      <c r="R1616" s="2" t="s">
        <v>39</v>
      </c>
      <c r="S1616" s="2" t="s">
        <v>39</v>
      </c>
      <c r="T1616" s="2" t="s">
        <v>39</v>
      </c>
      <c r="U1616" s="2" t="s">
        <v>39</v>
      </c>
      <c r="V1616" s="2" t="s">
        <v>38</v>
      </c>
      <c r="W1616" s="2" t="s">
        <v>38</v>
      </c>
      <c r="X1616" s="2" t="s">
        <v>39</v>
      </c>
      <c r="Y1616" s="2" t="s">
        <v>38</v>
      </c>
      <c r="Z1616" s="2" t="s">
        <v>38</v>
      </c>
      <c r="AA1616" s="2" t="s">
        <v>39</v>
      </c>
      <c r="AB1616" s="2" t="s">
        <v>39</v>
      </c>
      <c r="AC1616" s="2" t="s">
        <v>38</v>
      </c>
      <c r="AD1616" s="2" t="s">
        <v>38</v>
      </c>
      <c r="AE1616" s="2" t="s">
        <v>39</v>
      </c>
    </row>
    <row r="1617" spans="1:31" ht="409.5">
      <c r="A1617" s="2">
        <v>2734795</v>
      </c>
      <c r="B1617" s="2">
        <f>HYPERLINK("https://platform.v2.vetology.net/cases/2734795/screening-report/1?type=pdf&amp;v=v6&amp;scorecard=1&amp;secret_key=BX%25IJ%24%2F65ieZ%29f6", 2734795)</f>
        <v>2734795</v>
      </c>
      <c r="C1617" s="2">
        <f>HYPERLINK("https://platform.v2.vetology.net/report/v/final/"&amp;2734795, 2734795)</f>
        <v>2734795</v>
      </c>
      <c r="D1617" s="2" t="s">
        <v>5305</v>
      </c>
      <c r="E1617" s="2" t="s">
        <v>5306</v>
      </c>
      <c r="F1617" s="2" t="s">
        <v>43</v>
      </c>
      <c r="G1617" s="2" t="s">
        <v>44</v>
      </c>
      <c r="H1617" s="2" t="s">
        <v>5307</v>
      </c>
      <c r="I1617" s="2" t="s">
        <v>36</v>
      </c>
      <c r="J1617" s="2" t="s">
        <v>37</v>
      </c>
      <c r="K1617" s="2" t="s">
        <v>39</v>
      </c>
      <c r="L1617" s="2" t="s">
        <v>38</v>
      </c>
      <c r="M1617" s="2" t="s">
        <v>38</v>
      </c>
      <c r="N1617" s="2" t="s">
        <v>38</v>
      </c>
      <c r="O1617" s="2" t="s">
        <v>39</v>
      </c>
      <c r="P1617" s="2" t="s">
        <v>38</v>
      </c>
      <c r="Q1617" s="2" t="s">
        <v>39</v>
      </c>
      <c r="R1617" s="2" t="s">
        <v>39</v>
      </c>
      <c r="S1617" s="2" t="s">
        <v>38</v>
      </c>
      <c r="T1617" s="2" t="s">
        <v>38</v>
      </c>
      <c r="U1617" s="2" t="s">
        <v>39</v>
      </c>
      <c r="V1617" s="2" t="s">
        <v>38</v>
      </c>
      <c r="W1617" s="2" t="s">
        <v>38</v>
      </c>
      <c r="X1617" s="2" t="s">
        <v>39</v>
      </c>
      <c r="Y1617" s="2" t="s">
        <v>38</v>
      </c>
      <c r="Z1617" s="2" t="s">
        <v>38</v>
      </c>
      <c r="AA1617" s="2" t="s">
        <v>38</v>
      </c>
      <c r="AB1617" s="2" t="s">
        <v>39</v>
      </c>
      <c r="AC1617" s="2" t="s">
        <v>38</v>
      </c>
      <c r="AD1617" s="2" t="s">
        <v>39</v>
      </c>
      <c r="AE1617" s="2" t="s">
        <v>39</v>
      </c>
    </row>
    <row r="1618" spans="1:31" ht="409.5">
      <c r="A1618" s="2">
        <v>2734759</v>
      </c>
      <c r="B1618" s="2">
        <f>HYPERLINK("https://platform.v2.vetology.net/cases/2734759/screening-report/1?type=pdf&amp;v=v6&amp;scorecard=1&amp;secret_key=BX%25IJ%24%2F65ieZ%29f6", 2734759)</f>
        <v>2734759</v>
      </c>
      <c r="C1618" s="2">
        <f>HYPERLINK("https://platform.v2.vetology.net/report/v/final/"&amp;2734759, 2734759)</f>
        <v>2734759</v>
      </c>
      <c r="D1618" s="2" t="s">
        <v>302</v>
      </c>
      <c r="E1618" s="2" t="s">
        <v>99</v>
      </c>
      <c r="F1618" s="2"/>
      <c r="G1618" s="2" t="s">
        <v>100</v>
      </c>
      <c r="H1618" s="2" t="s">
        <v>5308</v>
      </c>
      <c r="I1618" s="2" t="s">
        <v>36</v>
      </c>
      <c r="J1618" s="2" t="s">
        <v>37</v>
      </c>
      <c r="K1618" s="2" t="s">
        <v>38</v>
      </c>
      <c r="L1618" s="2" t="s">
        <v>39</v>
      </c>
      <c r="M1618" s="2" t="s">
        <v>39</v>
      </c>
      <c r="N1618" s="2" t="s">
        <v>39</v>
      </c>
      <c r="O1618" s="2" t="s">
        <v>39</v>
      </c>
      <c r="P1618" s="2" t="s">
        <v>39</v>
      </c>
      <c r="Q1618" s="2" t="s">
        <v>39</v>
      </c>
      <c r="R1618" s="2" t="s">
        <v>39</v>
      </c>
      <c r="S1618" s="2" t="s">
        <v>39</v>
      </c>
      <c r="T1618" s="2" t="s">
        <v>39</v>
      </c>
      <c r="U1618" s="2" t="s">
        <v>38</v>
      </c>
      <c r="V1618" s="2" t="s">
        <v>38</v>
      </c>
      <c r="W1618" s="2" t="s">
        <v>39</v>
      </c>
      <c r="X1618" s="2" t="s">
        <v>39</v>
      </c>
      <c r="Y1618" s="2" t="s">
        <v>39</v>
      </c>
      <c r="Z1618" s="2" t="s">
        <v>39</v>
      </c>
      <c r="AA1618" s="2" t="s">
        <v>39</v>
      </c>
      <c r="AB1618" s="2" t="s">
        <v>39</v>
      </c>
      <c r="AC1618" s="2" t="s">
        <v>39</v>
      </c>
      <c r="AD1618" s="2" t="s">
        <v>39</v>
      </c>
      <c r="AE1618" s="2" t="s">
        <v>39</v>
      </c>
    </row>
    <row r="1619" spans="1:31" ht="409.5">
      <c r="A1619" s="2">
        <v>2734750</v>
      </c>
      <c r="B1619" s="2">
        <f>HYPERLINK("https://platform.v2.vetology.net/cases/2734750/screening-report/1?type=pdf&amp;v=v6&amp;scorecard=1&amp;secret_key=BX%25IJ%24%2F65ieZ%29f6", 2734750)</f>
        <v>2734750</v>
      </c>
      <c r="C1619" s="2">
        <f>HYPERLINK("https://platform.v2.vetology.net/report/v/final/"&amp;2734750, 2734750)</f>
        <v>2734750</v>
      </c>
      <c r="D1619" s="2" t="s">
        <v>5309</v>
      </c>
      <c r="E1619" s="2" t="s">
        <v>5310</v>
      </c>
      <c r="F1619" s="2" t="s">
        <v>5311</v>
      </c>
      <c r="G1619" s="2" t="s">
        <v>127</v>
      </c>
      <c r="H1619" s="2" t="s">
        <v>69</v>
      </c>
      <c r="I1619" s="2" t="s">
        <v>46</v>
      </c>
      <c r="J1619" s="2"/>
      <c r="K1619" s="2" t="s">
        <v>39</v>
      </c>
      <c r="L1619" s="2" t="s">
        <v>39</v>
      </c>
      <c r="M1619" s="2" t="s">
        <v>39</v>
      </c>
      <c r="N1619" s="2" t="s">
        <v>39</v>
      </c>
      <c r="O1619" s="2" t="s">
        <v>38</v>
      </c>
      <c r="P1619" s="2" t="s">
        <v>39</v>
      </c>
      <c r="Q1619" s="2" t="s">
        <v>39</v>
      </c>
      <c r="R1619" s="2" t="s">
        <v>39</v>
      </c>
      <c r="S1619" s="2" t="s">
        <v>39</v>
      </c>
      <c r="T1619" s="2" t="s">
        <v>39</v>
      </c>
      <c r="U1619" s="2" t="s">
        <v>39</v>
      </c>
      <c r="V1619" s="2" t="s">
        <v>39</v>
      </c>
      <c r="W1619" s="2" t="s">
        <v>38</v>
      </c>
      <c r="X1619" s="2" t="s">
        <v>39</v>
      </c>
      <c r="Y1619" s="2" t="s">
        <v>39</v>
      </c>
      <c r="Z1619" s="2" t="s">
        <v>39</v>
      </c>
      <c r="AA1619" s="2" t="s">
        <v>39</v>
      </c>
      <c r="AB1619" s="2" t="s">
        <v>38</v>
      </c>
      <c r="AC1619" s="2" t="s">
        <v>39</v>
      </c>
      <c r="AD1619" s="2" t="s">
        <v>39</v>
      </c>
      <c r="AE1619" s="2"/>
    </row>
    <row r="1620" spans="1:31" ht="409.5">
      <c r="A1620" s="2">
        <v>2734697</v>
      </c>
      <c r="B1620" s="2">
        <f>HYPERLINK("https://platform.v2.vetology.net/cases/2734697/screening-report/1?type=pdf&amp;v=v6&amp;scorecard=1&amp;secret_key=BX%25IJ%24%2F65ieZ%29f6", 2734697)</f>
        <v>2734697</v>
      </c>
      <c r="C1620" s="2">
        <f>HYPERLINK("https://platform.v2.vetology.net/report/v/final/"&amp;2734697, 2734697)</f>
        <v>2734697</v>
      </c>
      <c r="D1620" s="2" t="s">
        <v>5312</v>
      </c>
      <c r="E1620" s="2" t="s">
        <v>5313</v>
      </c>
      <c r="F1620" s="2" t="s">
        <v>5314</v>
      </c>
      <c r="G1620" s="2" t="s">
        <v>53</v>
      </c>
      <c r="H1620" s="2" t="s">
        <v>5315</v>
      </c>
      <c r="I1620" s="2" t="s">
        <v>129</v>
      </c>
      <c r="J1620" s="2" t="s">
        <v>74</v>
      </c>
      <c r="K1620" s="2" t="s">
        <v>39</v>
      </c>
      <c r="L1620" s="2" t="s">
        <v>38</v>
      </c>
      <c r="M1620" s="2" t="s">
        <v>38</v>
      </c>
      <c r="N1620" s="2" t="s">
        <v>38</v>
      </c>
      <c r="O1620" s="2" t="s">
        <v>38</v>
      </c>
      <c r="P1620" s="2" t="s">
        <v>39</v>
      </c>
      <c r="Q1620" s="2" t="s">
        <v>38</v>
      </c>
      <c r="R1620" s="2" t="s">
        <v>38</v>
      </c>
      <c r="S1620" s="2" t="s">
        <v>38</v>
      </c>
      <c r="T1620" s="2" t="s">
        <v>39</v>
      </c>
      <c r="U1620" s="2" t="s">
        <v>39</v>
      </c>
      <c r="V1620" s="2" t="s">
        <v>39</v>
      </c>
      <c r="W1620" s="2" t="s">
        <v>38</v>
      </c>
      <c r="X1620" s="2" t="s">
        <v>38</v>
      </c>
      <c r="Y1620" s="2" t="s">
        <v>39</v>
      </c>
      <c r="Z1620" s="2" t="s">
        <v>39</v>
      </c>
      <c r="AA1620" s="2" t="s">
        <v>38</v>
      </c>
      <c r="AB1620" s="2" t="s">
        <v>38</v>
      </c>
      <c r="AC1620" s="2" t="s">
        <v>38</v>
      </c>
      <c r="AD1620" s="2" t="s">
        <v>39</v>
      </c>
      <c r="AE1620" s="2" t="s">
        <v>40</v>
      </c>
    </row>
    <row r="1621" spans="1:31" ht="409.5">
      <c r="A1621" s="2">
        <v>2734686</v>
      </c>
      <c r="B1621" s="2">
        <f>HYPERLINK("https://platform.v2.vetology.net/cases/2734686/screening-report/1?type=pdf&amp;v=v6&amp;scorecard=1&amp;secret_key=BX%25IJ%24%2F65ieZ%29f6", 2734686)</f>
        <v>2734686</v>
      </c>
      <c r="C1621" s="2">
        <f>HYPERLINK("https://platform.v2.vetology.net/report/v/final/"&amp;2734686, 2734686)</f>
        <v>2734686</v>
      </c>
      <c r="D1621" s="2" t="s">
        <v>5316</v>
      </c>
      <c r="E1621" s="2" t="s">
        <v>5317</v>
      </c>
      <c r="F1621" s="2" t="s">
        <v>5318</v>
      </c>
      <c r="G1621" s="2" t="s">
        <v>170</v>
      </c>
      <c r="H1621" s="2" t="s">
        <v>5319</v>
      </c>
      <c r="I1621" s="2" t="s">
        <v>257</v>
      </c>
      <c r="J1621" s="2" t="s">
        <v>74</v>
      </c>
      <c r="K1621" s="2" t="s">
        <v>38</v>
      </c>
      <c r="L1621" s="2" t="s">
        <v>38</v>
      </c>
      <c r="M1621" s="2" t="s">
        <v>38</v>
      </c>
      <c r="N1621" s="2" t="s">
        <v>38</v>
      </c>
      <c r="O1621" s="2" t="s">
        <v>38</v>
      </c>
      <c r="P1621" s="2" t="s">
        <v>38</v>
      </c>
      <c r="Q1621" s="2" t="s">
        <v>38</v>
      </c>
      <c r="R1621" s="2" t="s">
        <v>38</v>
      </c>
      <c r="S1621" s="2" t="s">
        <v>38</v>
      </c>
      <c r="T1621" s="2" t="s">
        <v>38</v>
      </c>
      <c r="U1621" s="2" t="s">
        <v>38</v>
      </c>
      <c r="V1621" s="2" t="s">
        <v>38</v>
      </c>
      <c r="W1621" s="2" t="s">
        <v>38</v>
      </c>
      <c r="X1621" s="2" t="s">
        <v>38</v>
      </c>
      <c r="Y1621" s="2" t="s">
        <v>38</v>
      </c>
      <c r="Z1621" s="2" t="s">
        <v>38</v>
      </c>
      <c r="AA1621" s="2" t="s">
        <v>38</v>
      </c>
      <c r="AB1621" s="2" t="s">
        <v>39</v>
      </c>
      <c r="AC1621" s="2" t="s">
        <v>38</v>
      </c>
      <c r="AD1621" s="2" t="s">
        <v>38</v>
      </c>
      <c r="AE1621" s="2" t="s">
        <v>40</v>
      </c>
    </row>
    <row r="1622" spans="1:31" ht="409.5">
      <c r="A1622" s="2">
        <v>2734657</v>
      </c>
      <c r="B1622" s="2">
        <f>HYPERLINK("https://platform.v2.vetology.net/cases/2734657/screening-report/1?type=pdf&amp;v=v6&amp;scorecard=1&amp;secret_key=BX%25IJ%24%2F65ieZ%29f6", 2734657)</f>
        <v>2734657</v>
      </c>
      <c r="C1622" s="2">
        <f>HYPERLINK("https://platform.v2.vetology.net/report/v/final/"&amp;2734657, 2734657)</f>
        <v>2734657</v>
      </c>
      <c r="D1622" s="2" t="s">
        <v>5320</v>
      </c>
      <c r="E1622" s="2" t="s">
        <v>5321</v>
      </c>
      <c r="F1622" s="2" t="s">
        <v>43</v>
      </c>
      <c r="G1622" s="2" t="s">
        <v>44</v>
      </c>
      <c r="H1622" s="2" t="s">
        <v>265</v>
      </c>
      <c r="I1622" s="2" t="s">
        <v>36</v>
      </c>
      <c r="J1622" s="2" t="s">
        <v>37</v>
      </c>
      <c r="K1622" s="2" t="s">
        <v>39</v>
      </c>
      <c r="L1622" s="2" t="s">
        <v>39</v>
      </c>
      <c r="M1622" s="2" t="s">
        <v>38</v>
      </c>
      <c r="N1622" s="2" t="s">
        <v>39</v>
      </c>
      <c r="O1622" s="2" t="s">
        <v>39</v>
      </c>
      <c r="P1622" s="2" t="s">
        <v>39</v>
      </c>
      <c r="Q1622" s="2" t="s">
        <v>38</v>
      </c>
      <c r="R1622" s="2" t="s">
        <v>39</v>
      </c>
      <c r="S1622" s="2" t="s">
        <v>39</v>
      </c>
      <c r="T1622" s="2" t="s">
        <v>38</v>
      </c>
      <c r="U1622" s="2" t="s">
        <v>39</v>
      </c>
      <c r="V1622" s="2" t="s">
        <v>39</v>
      </c>
      <c r="W1622" s="2" t="s">
        <v>39</v>
      </c>
      <c r="X1622" s="2" t="s">
        <v>39</v>
      </c>
      <c r="Y1622" s="2" t="s">
        <v>39</v>
      </c>
      <c r="Z1622" s="2" t="s">
        <v>39</v>
      </c>
      <c r="AA1622" s="2" t="s">
        <v>39</v>
      </c>
      <c r="AB1622" s="2" t="s">
        <v>39</v>
      </c>
      <c r="AC1622" s="2" t="s">
        <v>39</v>
      </c>
      <c r="AD1622" s="2" t="s">
        <v>39</v>
      </c>
      <c r="AE1622" s="2" t="s">
        <v>39</v>
      </c>
    </row>
    <row r="1623" spans="1:31" ht="409.5">
      <c r="A1623" s="2">
        <v>2734647</v>
      </c>
      <c r="B1623" s="2">
        <f>HYPERLINK("https://platform.v2.vetology.net/cases/2734647/screening-report/1?type=pdf&amp;v=v6&amp;scorecard=1&amp;secret_key=BX%25IJ%24%2F65ieZ%29f6", 2734647)</f>
        <v>2734647</v>
      </c>
      <c r="C1623" s="2">
        <f>HYPERLINK("https://platform.v2.vetology.net/report/v/final/"&amp;2734647, 2734647)</f>
        <v>2734647</v>
      </c>
      <c r="D1623" s="2" t="s">
        <v>5322</v>
      </c>
      <c r="E1623" s="2" t="s">
        <v>5323</v>
      </c>
      <c r="F1623" s="2" t="s">
        <v>5324</v>
      </c>
      <c r="G1623" s="2" t="s">
        <v>53</v>
      </c>
      <c r="H1623" s="2" t="s">
        <v>5325</v>
      </c>
      <c r="I1623" s="2" t="s">
        <v>73</v>
      </c>
      <c r="J1623" s="2" t="s">
        <v>74</v>
      </c>
      <c r="K1623" s="2" t="s">
        <v>38</v>
      </c>
      <c r="L1623" s="2" t="s">
        <v>38</v>
      </c>
      <c r="M1623" s="2" t="s">
        <v>38</v>
      </c>
      <c r="N1623" s="2" t="s">
        <v>38</v>
      </c>
      <c r="O1623" s="2" t="s">
        <v>38</v>
      </c>
      <c r="P1623" s="2" t="s">
        <v>38</v>
      </c>
      <c r="Q1623" s="2" t="s">
        <v>38</v>
      </c>
      <c r="R1623" s="2" t="s">
        <v>38</v>
      </c>
      <c r="S1623" s="2" t="s">
        <v>38</v>
      </c>
      <c r="T1623" s="2" t="s">
        <v>38</v>
      </c>
      <c r="U1623" s="2" t="s">
        <v>38</v>
      </c>
      <c r="V1623" s="2" t="s">
        <v>38</v>
      </c>
      <c r="W1623" s="2" t="s">
        <v>38</v>
      </c>
      <c r="X1623" s="2" t="s">
        <v>38</v>
      </c>
      <c r="Y1623" s="2" t="s">
        <v>39</v>
      </c>
      <c r="Z1623" s="2" t="s">
        <v>38</v>
      </c>
      <c r="AA1623" s="2" t="s">
        <v>39</v>
      </c>
      <c r="AB1623" s="2" t="s">
        <v>38</v>
      </c>
      <c r="AC1623" s="2" t="s">
        <v>38</v>
      </c>
      <c r="AD1623" s="2" t="s">
        <v>38</v>
      </c>
      <c r="AE1623" s="2" t="s">
        <v>40</v>
      </c>
    </row>
    <row r="1624" spans="1:31" ht="409.5">
      <c r="A1624" s="2">
        <v>2734643</v>
      </c>
      <c r="B1624" s="2">
        <f>HYPERLINK("https://platform.v2.vetology.net/cases/2734643/screening-report/1?type=pdf&amp;v=v6&amp;scorecard=1&amp;secret_key=BX%25IJ%24%2F65ieZ%29f6", 2734643)</f>
        <v>2734643</v>
      </c>
      <c r="C1624" s="2">
        <f>HYPERLINK("https://platform.v2.vetology.net/report/v/final/"&amp;2734643, 2734643)</f>
        <v>2734643</v>
      </c>
      <c r="D1624" s="2" t="s">
        <v>5326</v>
      </c>
      <c r="E1624" s="2" t="s">
        <v>118</v>
      </c>
      <c r="F1624" s="2" t="s">
        <v>5327</v>
      </c>
      <c r="G1624" s="2" t="s">
        <v>111</v>
      </c>
      <c r="H1624" s="2" t="s">
        <v>797</v>
      </c>
      <c r="I1624" s="2" t="s">
        <v>59</v>
      </c>
      <c r="J1624" s="2" t="s">
        <v>37</v>
      </c>
      <c r="K1624" s="2" t="s">
        <v>38</v>
      </c>
      <c r="L1624" s="2" t="s">
        <v>39</v>
      </c>
      <c r="M1624" s="2" t="s">
        <v>39</v>
      </c>
      <c r="N1624" s="2" t="s">
        <v>39</v>
      </c>
      <c r="O1624" s="2" t="s">
        <v>39</v>
      </c>
      <c r="P1624" s="2" t="s">
        <v>39</v>
      </c>
      <c r="Q1624" s="2" t="s">
        <v>39</v>
      </c>
      <c r="R1624" s="2" t="s">
        <v>38</v>
      </c>
      <c r="S1624" s="2" t="s">
        <v>39</v>
      </c>
      <c r="T1624" s="2" t="s">
        <v>39</v>
      </c>
      <c r="U1624" s="2" t="s">
        <v>39</v>
      </c>
      <c r="V1624" s="2" t="s">
        <v>39</v>
      </c>
      <c r="W1624" s="2" t="s">
        <v>39</v>
      </c>
      <c r="X1624" s="2" t="s">
        <v>39</v>
      </c>
      <c r="Y1624" s="2" t="s">
        <v>39</v>
      </c>
      <c r="Z1624" s="2" t="s">
        <v>39</v>
      </c>
      <c r="AA1624" s="2" t="s">
        <v>39</v>
      </c>
      <c r="AB1624" s="2" t="s">
        <v>39</v>
      </c>
      <c r="AC1624" s="2" t="s">
        <v>39</v>
      </c>
      <c r="AD1624" s="2" t="s">
        <v>38</v>
      </c>
      <c r="AE1624" s="2" t="s">
        <v>39</v>
      </c>
    </row>
    <row r="1625" spans="1:31" ht="409.5">
      <c r="A1625" s="2">
        <v>2734639</v>
      </c>
      <c r="B1625" s="2">
        <f>HYPERLINK("https://platform.v2.vetology.net/cases/2734639/screening-report/1?type=pdf&amp;v=v6&amp;scorecard=1&amp;secret_key=BX%25IJ%24%2F65ieZ%29f6", 2734639)</f>
        <v>2734639</v>
      </c>
      <c r="C1625" s="2">
        <f>HYPERLINK("https://platform.v2.vetology.net/report/v/final/"&amp;2734639, 2734639)</f>
        <v>2734639</v>
      </c>
      <c r="D1625" s="2" t="s">
        <v>5328</v>
      </c>
      <c r="E1625" s="2" t="s">
        <v>5329</v>
      </c>
      <c r="F1625" s="2" t="s">
        <v>5330</v>
      </c>
      <c r="G1625" s="2" t="s">
        <v>53</v>
      </c>
      <c r="H1625" s="2" t="s">
        <v>5331</v>
      </c>
      <c r="I1625" s="2" t="s">
        <v>36</v>
      </c>
      <c r="J1625" s="2" t="s">
        <v>37</v>
      </c>
      <c r="K1625" s="2" t="s">
        <v>38</v>
      </c>
      <c r="L1625" s="2" t="s">
        <v>38</v>
      </c>
      <c r="M1625" s="2" t="s">
        <v>38</v>
      </c>
      <c r="N1625" s="2" t="s">
        <v>38</v>
      </c>
      <c r="O1625" s="2" t="s">
        <v>38</v>
      </c>
      <c r="P1625" s="2" t="s">
        <v>39</v>
      </c>
      <c r="Q1625" s="2" t="s">
        <v>39</v>
      </c>
      <c r="R1625" s="2" t="s">
        <v>38</v>
      </c>
      <c r="S1625" s="2" t="s">
        <v>38</v>
      </c>
      <c r="T1625" s="2" t="s">
        <v>39</v>
      </c>
      <c r="U1625" s="2" t="s">
        <v>39</v>
      </c>
      <c r="V1625" s="2" t="s">
        <v>39</v>
      </c>
      <c r="W1625" s="2" t="s">
        <v>39</v>
      </c>
      <c r="X1625" s="2" t="s">
        <v>39</v>
      </c>
      <c r="Y1625" s="2" t="s">
        <v>38</v>
      </c>
      <c r="Z1625" s="2" t="s">
        <v>38</v>
      </c>
      <c r="AA1625" s="2" t="s">
        <v>38</v>
      </c>
      <c r="AB1625" s="2" t="s">
        <v>39</v>
      </c>
      <c r="AC1625" s="2" t="s">
        <v>38</v>
      </c>
      <c r="AD1625" s="2" t="s">
        <v>38</v>
      </c>
      <c r="AE1625" s="2" t="s">
        <v>40</v>
      </c>
    </row>
    <row r="1626" spans="1:31" ht="409.5">
      <c r="A1626" s="2">
        <v>2734638</v>
      </c>
      <c r="B1626" s="2">
        <f>HYPERLINK("https://platform.v2.vetology.net/cases/2734638/screening-report/1?type=pdf&amp;v=v6&amp;scorecard=1&amp;secret_key=BX%25IJ%24%2F65ieZ%29f6", 2734638)</f>
        <v>2734638</v>
      </c>
      <c r="C1626" s="2">
        <f>HYPERLINK("https://platform.v2.vetology.net/report/v/final/"&amp;2734638, 2734638)</f>
        <v>2734638</v>
      </c>
      <c r="D1626" s="2" t="s">
        <v>5332</v>
      </c>
      <c r="E1626" s="2" t="s">
        <v>5333</v>
      </c>
      <c r="F1626" s="2" t="s">
        <v>5334</v>
      </c>
      <c r="G1626" s="2" t="s">
        <v>507</v>
      </c>
      <c r="H1626" s="2" t="s">
        <v>5335</v>
      </c>
      <c r="I1626" s="2" t="s">
        <v>129</v>
      </c>
      <c r="J1626" s="2" t="s">
        <v>74</v>
      </c>
      <c r="K1626" s="2" t="s">
        <v>38</v>
      </c>
      <c r="L1626" s="2" t="s">
        <v>38</v>
      </c>
      <c r="M1626" s="2" t="s">
        <v>38</v>
      </c>
      <c r="N1626" s="2" t="s">
        <v>38</v>
      </c>
      <c r="O1626" s="2" t="s">
        <v>38</v>
      </c>
      <c r="P1626" s="2" t="s">
        <v>38</v>
      </c>
      <c r="Q1626" s="2" t="s">
        <v>38</v>
      </c>
      <c r="R1626" s="2" t="s">
        <v>39</v>
      </c>
      <c r="S1626" s="2" t="s">
        <v>38</v>
      </c>
      <c r="T1626" s="2" t="s">
        <v>38</v>
      </c>
      <c r="U1626" s="2" t="s">
        <v>38</v>
      </c>
      <c r="V1626" s="2" t="s">
        <v>38</v>
      </c>
      <c r="W1626" s="2" t="s">
        <v>38</v>
      </c>
      <c r="X1626" s="2" t="s">
        <v>38</v>
      </c>
      <c r="Y1626" s="2" t="s">
        <v>38</v>
      </c>
      <c r="Z1626" s="2" t="s">
        <v>38</v>
      </c>
      <c r="AA1626" s="2" t="s">
        <v>38</v>
      </c>
      <c r="AB1626" s="2" t="s">
        <v>38</v>
      </c>
      <c r="AC1626" s="2" t="s">
        <v>38</v>
      </c>
      <c r="AD1626" s="2" t="s">
        <v>39</v>
      </c>
      <c r="AE1626" s="2" t="s">
        <v>40</v>
      </c>
    </row>
    <row r="1627" spans="1:31" ht="409.5">
      <c r="A1627" s="2">
        <v>2734632</v>
      </c>
      <c r="B1627" s="2">
        <f>HYPERLINK("https://platform.v2.vetology.net/cases/2734632/screening-report/1?type=pdf&amp;v=v6&amp;scorecard=1&amp;secret_key=BX%25IJ%24%2F65ieZ%29f6", 2734632)</f>
        <v>2734632</v>
      </c>
      <c r="C1627" s="2">
        <f>HYPERLINK("https://platform.v2.vetology.net/report/v/final/"&amp;2734632, 2734632)</f>
        <v>2734632</v>
      </c>
      <c r="D1627" s="2" t="s">
        <v>5336</v>
      </c>
      <c r="E1627" s="2" t="s">
        <v>5337</v>
      </c>
      <c r="F1627" s="2" t="s">
        <v>43</v>
      </c>
      <c r="G1627" s="2" t="s">
        <v>100</v>
      </c>
      <c r="H1627" s="2" t="s">
        <v>5338</v>
      </c>
      <c r="I1627" s="2" t="s">
        <v>129</v>
      </c>
      <c r="J1627" s="2" t="s">
        <v>74</v>
      </c>
      <c r="K1627" s="2" t="s">
        <v>39</v>
      </c>
      <c r="L1627" s="2" t="s">
        <v>38</v>
      </c>
      <c r="M1627" s="2" t="s">
        <v>38</v>
      </c>
      <c r="N1627" s="2" t="s">
        <v>38</v>
      </c>
      <c r="O1627" s="2" t="s">
        <v>38</v>
      </c>
      <c r="P1627" s="2" t="s">
        <v>38</v>
      </c>
      <c r="Q1627" s="2" t="s">
        <v>38</v>
      </c>
      <c r="R1627" s="2" t="s">
        <v>38</v>
      </c>
      <c r="S1627" s="2" t="s">
        <v>38</v>
      </c>
      <c r="T1627" s="2" t="s">
        <v>38</v>
      </c>
      <c r="U1627" s="2" t="s">
        <v>39</v>
      </c>
      <c r="V1627" s="2" t="s">
        <v>39</v>
      </c>
      <c r="W1627" s="2" t="s">
        <v>38</v>
      </c>
      <c r="X1627" s="2" t="s">
        <v>38</v>
      </c>
      <c r="Y1627" s="2" t="s">
        <v>39</v>
      </c>
      <c r="Z1627" s="2" t="s">
        <v>38</v>
      </c>
      <c r="AA1627" s="2" t="s">
        <v>38</v>
      </c>
      <c r="AB1627" s="2" t="s">
        <v>38</v>
      </c>
      <c r="AC1627" s="2" t="s">
        <v>38</v>
      </c>
      <c r="AD1627" s="2" t="s">
        <v>39</v>
      </c>
      <c r="AE1627" s="2" t="s">
        <v>40</v>
      </c>
    </row>
    <row r="1628" spans="1:31" ht="409.5">
      <c r="A1628" s="2">
        <v>2734586</v>
      </c>
      <c r="B1628" s="2">
        <f>HYPERLINK("https://platform.v2.vetology.net/cases/2734586/screening-report/1?type=pdf&amp;v=v6&amp;scorecard=1&amp;secret_key=BX%25IJ%24%2F65ieZ%29f6", 2734586)</f>
        <v>2734586</v>
      </c>
      <c r="C1628" s="2">
        <f>HYPERLINK("https://platform.v2.vetology.net/report/v/final/"&amp;2734586, 2734586)</f>
        <v>2734586</v>
      </c>
      <c r="D1628" s="2" t="s">
        <v>5339</v>
      </c>
      <c r="E1628" s="2" t="s">
        <v>5340</v>
      </c>
      <c r="F1628" s="2" t="s">
        <v>5341</v>
      </c>
      <c r="G1628" s="2" t="s">
        <v>556</v>
      </c>
      <c r="H1628" s="2" t="s">
        <v>69</v>
      </c>
      <c r="I1628" s="2" t="s">
        <v>46</v>
      </c>
      <c r="J1628" s="2"/>
      <c r="K1628" s="2" t="s">
        <v>39</v>
      </c>
      <c r="L1628" s="2" t="s">
        <v>39</v>
      </c>
      <c r="M1628" s="2" t="s">
        <v>39</v>
      </c>
      <c r="N1628" s="2" t="s">
        <v>39</v>
      </c>
      <c r="O1628" s="2" t="s">
        <v>39</v>
      </c>
      <c r="P1628" s="2" t="s">
        <v>39</v>
      </c>
      <c r="Q1628" s="2" t="s">
        <v>39</v>
      </c>
      <c r="R1628" s="2" t="s">
        <v>39</v>
      </c>
      <c r="S1628" s="2" t="s">
        <v>39</v>
      </c>
      <c r="T1628" s="2" t="s">
        <v>39</v>
      </c>
      <c r="U1628" s="2" t="s">
        <v>39</v>
      </c>
      <c r="V1628" s="2" t="s">
        <v>39</v>
      </c>
      <c r="W1628" s="2" t="s">
        <v>39</v>
      </c>
      <c r="X1628" s="2" t="s">
        <v>39</v>
      </c>
      <c r="Y1628" s="2" t="s">
        <v>39</v>
      </c>
      <c r="Z1628" s="2" t="s">
        <v>39</v>
      </c>
      <c r="AA1628" s="2" t="s">
        <v>39</v>
      </c>
      <c r="AB1628" s="2" t="s">
        <v>39</v>
      </c>
      <c r="AC1628" s="2" t="s">
        <v>39</v>
      </c>
      <c r="AD1628" s="2" t="s">
        <v>39</v>
      </c>
      <c r="AE1628" s="2" t="s">
        <v>39</v>
      </c>
    </row>
    <row r="1629" spans="1:31" ht="409.5">
      <c r="A1629" s="2">
        <v>2734584</v>
      </c>
      <c r="B1629" s="2">
        <f>HYPERLINK("https://platform.v2.vetology.net/cases/2734584/screening-report/1?type=pdf&amp;v=v6&amp;scorecard=1&amp;secret_key=BX%25IJ%24%2F65ieZ%29f6", 2734584)</f>
        <v>2734584</v>
      </c>
      <c r="C1629" s="2">
        <f>HYPERLINK("https://platform.v2.vetology.net/report/v/final/"&amp;2734584, 2734584)</f>
        <v>2734584</v>
      </c>
      <c r="D1629" s="2" t="s">
        <v>5342</v>
      </c>
      <c r="E1629" s="2" t="s">
        <v>3060</v>
      </c>
      <c r="F1629" s="2" t="s">
        <v>43</v>
      </c>
      <c r="G1629" s="2" t="s">
        <v>100</v>
      </c>
      <c r="H1629" s="2" t="s">
        <v>5343</v>
      </c>
      <c r="I1629" s="2" t="s">
        <v>73</v>
      </c>
      <c r="J1629" s="2" t="s">
        <v>74</v>
      </c>
      <c r="K1629" s="2" t="s">
        <v>38</v>
      </c>
      <c r="L1629" s="2" t="s">
        <v>38</v>
      </c>
      <c r="M1629" s="2" t="s">
        <v>38</v>
      </c>
      <c r="N1629" s="2" t="s">
        <v>38</v>
      </c>
      <c r="O1629" s="2" t="s">
        <v>38</v>
      </c>
      <c r="P1629" s="2" t="s">
        <v>38</v>
      </c>
      <c r="Q1629" s="2" t="s">
        <v>38</v>
      </c>
      <c r="R1629" s="2" t="s">
        <v>39</v>
      </c>
      <c r="S1629" s="2" t="s">
        <v>38</v>
      </c>
      <c r="T1629" s="2" t="s">
        <v>39</v>
      </c>
      <c r="U1629" s="2" t="s">
        <v>38</v>
      </c>
      <c r="V1629" s="2" t="s">
        <v>38</v>
      </c>
      <c r="W1629" s="2" t="s">
        <v>38</v>
      </c>
      <c r="X1629" s="2" t="s">
        <v>38</v>
      </c>
      <c r="Y1629" s="2" t="s">
        <v>39</v>
      </c>
      <c r="Z1629" s="2" t="s">
        <v>38</v>
      </c>
      <c r="AA1629" s="2" t="s">
        <v>38</v>
      </c>
      <c r="AB1629" s="2" t="s">
        <v>39</v>
      </c>
      <c r="AC1629" s="2" t="s">
        <v>38</v>
      </c>
      <c r="AD1629" s="2" t="s">
        <v>39</v>
      </c>
      <c r="AE1629" s="2" t="s">
        <v>39</v>
      </c>
    </row>
    <row r="1630" spans="1:31" ht="409.5">
      <c r="A1630" s="2">
        <v>2734555</v>
      </c>
      <c r="B1630" s="2">
        <f>HYPERLINK("https://platform.v2.vetology.net/cases/2734555/screening-report/1?type=pdf&amp;v=v6&amp;scorecard=1&amp;secret_key=BX%25IJ%24%2F65ieZ%29f6", 2734555)</f>
        <v>2734555</v>
      </c>
      <c r="C1630" s="2">
        <f>HYPERLINK("https://platform.v2.vetology.net/report/v/final/"&amp;2734555, 2734555)</f>
        <v>2734555</v>
      </c>
      <c r="D1630" s="2" t="s">
        <v>5344</v>
      </c>
      <c r="E1630" s="2" t="s">
        <v>5345</v>
      </c>
      <c r="F1630" s="2" t="s">
        <v>5346</v>
      </c>
      <c r="G1630" s="2" t="s">
        <v>170</v>
      </c>
      <c r="H1630" s="2" t="s">
        <v>4427</v>
      </c>
      <c r="I1630" s="2" t="s">
        <v>36</v>
      </c>
      <c r="J1630" s="2" t="s">
        <v>37</v>
      </c>
      <c r="K1630" s="2" t="s">
        <v>38</v>
      </c>
      <c r="L1630" s="2" t="s">
        <v>38</v>
      </c>
      <c r="M1630" s="2" t="s">
        <v>38</v>
      </c>
      <c r="N1630" s="2" t="s">
        <v>38</v>
      </c>
      <c r="O1630" s="2" t="s">
        <v>38</v>
      </c>
      <c r="P1630" s="2" t="s">
        <v>39</v>
      </c>
      <c r="Q1630" s="2" t="s">
        <v>39</v>
      </c>
      <c r="R1630" s="2" t="s">
        <v>38</v>
      </c>
      <c r="S1630" s="2" t="s">
        <v>38</v>
      </c>
      <c r="T1630" s="2" t="s">
        <v>38</v>
      </c>
      <c r="U1630" s="2" t="s">
        <v>38</v>
      </c>
      <c r="V1630" s="2" t="s">
        <v>38</v>
      </c>
      <c r="W1630" s="2" t="s">
        <v>38</v>
      </c>
      <c r="X1630" s="2" t="s">
        <v>39</v>
      </c>
      <c r="Y1630" s="2" t="s">
        <v>39</v>
      </c>
      <c r="Z1630" s="2" t="s">
        <v>38</v>
      </c>
      <c r="AA1630" s="2" t="s">
        <v>38</v>
      </c>
      <c r="AB1630" s="2" t="s">
        <v>39</v>
      </c>
      <c r="AC1630" s="2" t="s">
        <v>38</v>
      </c>
      <c r="AD1630" s="2" t="s">
        <v>39</v>
      </c>
      <c r="AE1630" s="2" t="s">
        <v>39</v>
      </c>
    </row>
    <row r="1631" spans="1:31" ht="409.5">
      <c r="A1631" s="2">
        <v>2734543</v>
      </c>
      <c r="B1631" s="2">
        <f>HYPERLINK("https://platform.v2.vetology.net/cases/2734543/screening-report/1?type=pdf&amp;v=v6&amp;scorecard=1&amp;secret_key=BX%25IJ%24%2F65ieZ%29f6", 2734543)</f>
        <v>2734543</v>
      </c>
      <c r="C1631" s="2">
        <f>HYPERLINK("https://platform.v2.vetology.net/report/v/final/"&amp;2734543, 2734543)</f>
        <v>2734543</v>
      </c>
      <c r="D1631" s="2" t="s">
        <v>5347</v>
      </c>
      <c r="E1631" s="2" t="s">
        <v>5348</v>
      </c>
      <c r="F1631" s="2" t="s">
        <v>5349</v>
      </c>
      <c r="G1631" s="2" t="s">
        <v>53</v>
      </c>
      <c r="H1631" s="2" t="s">
        <v>5350</v>
      </c>
      <c r="I1631" s="2" t="s">
        <v>73</v>
      </c>
      <c r="J1631" s="2" t="s">
        <v>74</v>
      </c>
      <c r="K1631" s="2" t="s">
        <v>38</v>
      </c>
      <c r="L1631" s="2" t="s">
        <v>38</v>
      </c>
      <c r="M1631" s="2" t="s">
        <v>38</v>
      </c>
      <c r="N1631" s="2" t="s">
        <v>38</v>
      </c>
      <c r="O1631" s="2" t="s">
        <v>38</v>
      </c>
      <c r="P1631" s="2" t="s">
        <v>38</v>
      </c>
      <c r="Q1631" s="2" t="s">
        <v>38</v>
      </c>
      <c r="R1631" s="2" t="s">
        <v>39</v>
      </c>
      <c r="S1631" s="2" t="s">
        <v>38</v>
      </c>
      <c r="T1631" s="2" t="s">
        <v>38</v>
      </c>
      <c r="U1631" s="2" t="s">
        <v>38</v>
      </c>
      <c r="V1631" s="2" t="s">
        <v>38</v>
      </c>
      <c r="W1631" s="2" t="s">
        <v>38</v>
      </c>
      <c r="X1631" s="2" t="s">
        <v>38</v>
      </c>
      <c r="Y1631" s="2" t="s">
        <v>39</v>
      </c>
      <c r="Z1631" s="2" t="s">
        <v>38</v>
      </c>
      <c r="AA1631" s="2" t="s">
        <v>38</v>
      </c>
      <c r="AB1631" s="2" t="s">
        <v>39</v>
      </c>
      <c r="AC1631" s="2" t="s">
        <v>39</v>
      </c>
      <c r="AD1631" s="2" t="s">
        <v>39</v>
      </c>
      <c r="AE1631" s="2" t="s">
        <v>40</v>
      </c>
    </row>
    <row r="1632" spans="1:31" ht="409.5">
      <c r="A1632" s="2">
        <v>2734541</v>
      </c>
      <c r="B1632" s="2">
        <f>HYPERLINK("https://platform.v2.vetology.net/cases/2734541/screening-report/1?type=pdf&amp;v=v6&amp;scorecard=1&amp;secret_key=BX%25IJ%24%2F65ieZ%29f6", 2734541)</f>
        <v>2734541</v>
      </c>
      <c r="C1632" s="2">
        <f>HYPERLINK("https://platform.v2.vetology.net/report/v/final/"&amp;2734541, 2734541)</f>
        <v>2734541</v>
      </c>
      <c r="D1632" s="2" t="s">
        <v>5351</v>
      </c>
      <c r="E1632" s="2" t="s">
        <v>5352</v>
      </c>
      <c r="F1632" s="2" t="s">
        <v>5353</v>
      </c>
      <c r="G1632" s="2" t="s">
        <v>53</v>
      </c>
      <c r="H1632" s="2" t="s">
        <v>5354</v>
      </c>
      <c r="I1632" s="2" t="s">
        <v>36</v>
      </c>
      <c r="J1632" s="2" t="s">
        <v>37</v>
      </c>
      <c r="K1632" s="2" t="s">
        <v>39</v>
      </c>
      <c r="L1632" s="2" t="s">
        <v>39</v>
      </c>
      <c r="M1632" s="2" t="s">
        <v>38</v>
      </c>
      <c r="N1632" s="2" t="s">
        <v>39</v>
      </c>
      <c r="O1632" s="2" t="s">
        <v>39</v>
      </c>
      <c r="P1632" s="2" t="s">
        <v>39</v>
      </c>
      <c r="Q1632" s="2" t="s">
        <v>39</v>
      </c>
      <c r="R1632" s="2" t="s">
        <v>39</v>
      </c>
      <c r="S1632" s="2" t="s">
        <v>39</v>
      </c>
      <c r="T1632" s="2" t="s">
        <v>39</v>
      </c>
      <c r="U1632" s="2" t="s">
        <v>39</v>
      </c>
      <c r="V1632" s="2" t="s">
        <v>39</v>
      </c>
      <c r="W1632" s="2" t="s">
        <v>39</v>
      </c>
      <c r="X1632" s="2" t="s">
        <v>39</v>
      </c>
      <c r="Y1632" s="2" t="s">
        <v>39</v>
      </c>
      <c r="Z1632" s="2" t="s">
        <v>39</v>
      </c>
      <c r="AA1632" s="2" t="s">
        <v>39</v>
      </c>
      <c r="AB1632" s="2" t="s">
        <v>39</v>
      </c>
      <c r="AC1632" s="2" t="s">
        <v>38</v>
      </c>
      <c r="AD1632" s="2" t="s">
        <v>39</v>
      </c>
      <c r="AE1632" s="2" t="s">
        <v>40</v>
      </c>
    </row>
    <row r="1633" spans="1:31" ht="409.5">
      <c r="A1633" s="2">
        <v>2734395</v>
      </c>
      <c r="B1633" s="2">
        <f>HYPERLINK("https://platform.v2.vetology.net/cases/2734395/screening-report/1?type=pdf&amp;v=v6&amp;scorecard=1&amp;secret_key=BX%25IJ%24%2F65ieZ%29f6", 2734395)</f>
        <v>2734395</v>
      </c>
      <c r="C1633" s="2">
        <f>HYPERLINK("https://platform.v2.vetology.net/report/v/final/"&amp;2734395, 2734395)</f>
        <v>2734395</v>
      </c>
      <c r="D1633" s="2" t="s">
        <v>5355</v>
      </c>
      <c r="E1633" s="2" t="s">
        <v>5356</v>
      </c>
      <c r="F1633" s="2" t="s">
        <v>43</v>
      </c>
      <c r="G1633" s="2" t="s">
        <v>507</v>
      </c>
      <c r="H1633" s="2" t="s">
        <v>5357</v>
      </c>
      <c r="I1633" s="2" t="s">
        <v>36</v>
      </c>
      <c r="J1633" s="2" t="s">
        <v>37</v>
      </c>
      <c r="K1633" s="2" t="s">
        <v>38</v>
      </c>
      <c r="L1633" s="2" t="s">
        <v>39</v>
      </c>
      <c r="M1633" s="2" t="s">
        <v>38</v>
      </c>
      <c r="N1633" s="2" t="s">
        <v>39</v>
      </c>
      <c r="O1633" s="2" t="s">
        <v>39</v>
      </c>
      <c r="P1633" s="2" t="s">
        <v>39</v>
      </c>
      <c r="Q1633" s="2" t="s">
        <v>39</v>
      </c>
      <c r="R1633" s="2" t="s">
        <v>39</v>
      </c>
      <c r="S1633" s="2" t="s">
        <v>39</v>
      </c>
      <c r="T1633" s="2" t="s">
        <v>39</v>
      </c>
      <c r="U1633" s="2" t="s">
        <v>38</v>
      </c>
      <c r="V1633" s="2" t="s">
        <v>38</v>
      </c>
      <c r="W1633" s="2" t="s">
        <v>39</v>
      </c>
      <c r="X1633" s="2" t="s">
        <v>39</v>
      </c>
      <c r="Y1633" s="2" t="s">
        <v>39</v>
      </c>
      <c r="Z1633" s="2" t="s">
        <v>38</v>
      </c>
      <c r="AA1633" s="2" t="s">
        <v>39</v>
      </c>
      <c r="AB1633" s="2" t="s">
        <v>39</v>
      </c>
      <c r="AC1633" s="2" t="s">
        <v>38</v>
      </c>
      <c r="AD1633" s="2" t="s">
        <v>39</v>
      </c>
      <c r="AE1633" s="2" t="s">
        <v>39</v>
      </c>
    </row>
    <row r="1634" spans="1:31" ht="409.5">
      <c r="A1634" s="2">
        <v>2734392</v>
      </c>
      <c r="B1634" s="2">
        <f>HYPERLINK("https://platform.v2.vetology.net/cases/2734392/screening-report/1?type=pdf&amp;v=v6&amp;scorecard=1&amp;secret_key=BX%25IJ%24%2F65ieZ%29f6", 2734392)</f>
        <v>2734392</v>
      </c>
      <c r="C1634" s="2">
        <f>HYPERLINK("https://platform.v2.vetology.net/report/v/final/"&amp;2734392, 2734392)</f>
        <v>2734392</v>
      </c>
      <c r="D1634" s="2" t="s">
        <v>5358</v>
      </c>
      <c r="E1634" s="2" t="s">
        <v>5359</v>
      </c>
      <c r="F1634" s="2" t="s">
        <v>43</v>
      </c>
      <c r="G1634" s="2" t="s">
        <v>507</v>
      </c>
      <c r="H1634" s="2" t="s">
        <v>5360</v>
      </c>
      <c r="I1634" s="2" t="s">
        <v>73</v>
      </c>
      <c r="J1634" s="2" t="s">
        <v>74</v>
      </c>
      <c r="K1634" s="2" t="s">
        <v>38</v>
      </c>
      <c r="L1634" s="2" t="s">
        <v>38</v>
      </c>
      <c r="M1634" s="2" t="s">
        <v>38</v>
      </c>
      <c r="N1634" s="2" t="s">
        <v>38</v>
      </c>
      <c r="O1634" s="2" t="s">
        <v>38</v>
      </c>
      <c r="P1634" s="2" t="s">
        <v>38</v>
      </c>
      <c r="Q1634" s="2" t="s">
        <v>38</v>
      </c>
      <c r="R1634" s="2" t="s">
        <v>38</v>
      </c>
      <c r="S1634" s="2" t="s">
        <v>38</v>
      </c>
      <c r="T1634" s="2" t="s">
        <v>38</v>
      </c>
      <c r="U1634" s="2" t="s">
        <v>38</v>
      </c>
      <c r="V1634" s="2" t="s">
        <v>38</v>
      </c>
      <c r="W1634" s="2" t="s">
        <v>38</v>
      </c>
      <c r="X1634" s="2" t="s">
        <v>38</v>
      </c>
      <c r="Y1634" s="2" t="s">
        <v>38</v>
      </c>
      <c r="Z1634" s="2" t="s">
        <v>38</v>
      </c>
      <c r="AA1634" s="2" t="s">
        <v>38</v>
      </c>
      <c r="AB1634" s="2" t="s">
        <v>38</v>
      </c>
      <c r="AC1634" s="2" t="s">
        <v>38</v>
      </c>
      <c r="AD1634" s="2" t="s">
        <v>38</v>
      </c>
      <c r="AE1634" s="2" t="s">
        <v>40</v>
      </c>
    </row>
    <row r="1635" spans="1:31" ht="409.5">
      <c r="A1635" s="2">
        <v>2734378</v>
      </c>
      <c r="B1635" s="2">
        <f>HYPERLINK("https://platform.v2.vetology.net/cases/2734378/screening-report/1?type=pdf&amp;v=v6&amp;scorecard=1&amp;secret_key=BX%25IJ%24%2F65ieZ%29f6", 2734378)</f>
        <v>2734378</v>
      </c>
      <c r="C1635" s="2">
        <f>HYPERLINK("https://platform.v2.vetology.net/report/v/final/"&amp;2734378, 2734378)</f>
        <v>2734378</v>
      </c>
      <c r="D1635" s="2" t="s">
        <v>5361</v>
      </c>
      <c r="E1635" s="2" t="s">
        <v>5362</v>
      </c>
      <c r="F1635" s="2" t="s">
        <v>1897</v>
      </c>
      <c r="G1635" s="2" t="s">
        <v>81</v>
      </c>
      <c r="H1635" s="2" t="s">
        <v>69</v>
      </c>
      <c r="I1635" s="2" t="s">
        <v>46</v>
      </c>
      <c r="J1635" s="2"/>
      <c r="K1635" s="2" t="s">
        <v>39</v>
      </c>
      <c r="L1635" s="2" t="s">
        <v>39</v>
      </c>
      <c r="M1635" s="2" t="s">
        <v>39</v>
      </c>
      <c r="N1635" s="2" t="s">
        <v>39</v>
      </c>
      <c r="O1635" s="2" t="s">
        <v>39</v>
      </c>
      <c r="P1635" s="2" t="s">
        <v>39</v>
      </c>
      <c r="Q1635" s="2" t="s">
        <v>39</v>
      </c>
      <c r="R1635" s="2" t="s">
        <v>39</v>
      </c>
      <c r="S1635" s="2" t="s">
        <v>39</v>
      </c>
      <c r="T1635" s="2" t="s">
        <v>39</v>
      </c>
      <c r="U1635" s="2" t="s">
        <v>39</v>
      </c>
      <c r="V1635" s="2" t="s">
        <v>39</v>
      </c>
      <c r="W1635" s="2" t="s">
        <v>39</v>
      </c>
      <c r="X1635" s="2" t="s">
        <v>39</v>
      </c>
      <c r="Y1635" s="2" t="s">
        <v>39</v>
      </c>
      <c r="Z1635" s="2" t="s">
        <v>39</v>
      </c>
      <c r="AA1635" s="2" t="s">
        <v>39</v>
      </c>
      <c r="AB1635" s="2" t="s">
        <v>39</v>
      </c>
      <c r="AC1635" s="2" t="s">
        <v>39</v>
      </c>
      <c r="AD1635" s="2" t="s">
        <v>39</v>
      </c>
      <c r="AE1635" s="2" t="s">
        <v>39</v>
      </c>
    </row>
    <row r="1636" spans="1:31" ht="409.5">
      <c r="A1636" s="2">
        <v>2734377</v>
      </c>
      <c r="B1636" s="2">
        <f>HYPERLINK("https://platform.v2.vetology.net/cases/2734377/screening-report/1?type=pdf&amp;v=v6&amp;scorecard=1&amp;secret_key=BX%25IJ%24%2F65ieZ%29f6", 2734377)</f>
        <v>2734377</v>
      </c>
      <c r="C1636" s="2">
        <f>HYPERLINK("https://platform.v2.vetology.net/report/v/final/"&amp;2734377, 2734377)</f>
        <v>2734377</v>
      </c>
      <c r="D1636" s="2" t="s">
        <v>5363</v>
      </c>
      <c r="E1636" s="2" t="s">
        <v>5364</v>
      </c>
      <c r="F1636" s="2"/>
      <c r="G1636" s="2" t="s">
        <v>81</v>
      </c>
      <c r="H1636" s="2" t="s">
        <v>2862</v>
      </c>
      <c r="I1636" s="2" t="s">
        <v>46</v>
      </c>
      <c r="J1636" s="2"/>
      <c r="K1636" s="2" t="s">
        <v>38</v>
      </c>
      <c r="L1636" s="2" t="s">
        <v>39</v>
      </c>
      <c r="M1636" s="2" t="s">
        <v>39</v>
      </c>
      <c r="N1636" s="2" t="s">
        <v>39</v>
      </c>
      <c r="O1636" s="2" t="s">
        <v>39</v>
      </c>
      <c r="P1636" s="2" t="s">
        <v>39</v>
      </c>
      <c r="Q1636" s="2" t="s">
        <v>39</v>
      </c>
      <c r="R1636" s="2" t="s">
        <v>38</v>
      </c>
      <c r="S1636" s="2" t="s">
        <v>38</v>
      </c>
      <c r="T1636" s="2" t="s">
        <v>39</v>
      </c>
      <c r="U1636" s="2" t="s">
        <v>38</v>
      </c>
      <c r="V1636" s="2" t="s">
        <v>38</v>
      </c>
      <c r="W1636" s="2" t="s">
        <v>38</v>
      </c>
      <c r="X1636" s="2" t="s">
        <v>39</v>
      </c>
      <c r="Y1636" s="2" t="s">
        <v>39</v>
      </c>
      <c r="Z1636" s="2" t="s">
        <v>39</v>
      </c>
      <c r="AA1636" s="2" t="s">
        <v>38</v>
      </c>
      <c r="AB1636" s="2" t="s">
        <v>38</v>
      </c>
      <c r="AC1636" s="2" t="s">
        <v>38</v>
      </c>
      <c r="AD1636" s="2" t="s">
        <v>39</v>
      </c>
      <c r="AE1636" s="2" t="s">
        <v>39</v>
      </c>
    </row>
    <row r="1637" spans="1:31" ht="409.5">
      <c r="A1637" s="2">
        <v>2734361</v>
      </c>
      <c r="B1637" s="2">
        <f>HYPERLINK("https://platform.v2.vetology.net/cases/2734361/screening-report/1?type=pdf&amp;v=v6&amp;scorecard=1&amp;secret_key=BX%25IJ%24%2F65ieZ%29f6", 2734361)</f>
        <v>2734361</v>
      </c>
      <c r="C1637" s="2">
        <f>HYPERLINK("https://platform.v2.vetology.net/report/v/final/"&amp;2734361, 2734361)</f>
        <v>2734361</v>
      </c>
      <c r="D1637" s="2" t="s">
        <v>5365</v>
      </c>
      <c r="E1637" s="2" t="s">
        <v>5366</v>
      </c>
      <c r="F1637" s="2" t="s">
        <v>43</v>
      </c>
      <c r="G1637" s="2" t="s">
        <v>507</v>
      </c>
      <c r="H1637" s="2" t="s">
        <v>4050</v>
      </c>
      <c r="I1637" s="2" t="s">
        <v>36</v>
      </c>
      <c r="J1637" s="2" t="s">
        <v>37</v>
      </c>
      <c r="K1637" s="2" t="s">
        <v>38</v>
      </c>
      <c r="L1637" s="2" t="s">
        <v>39</v>
      </c>
      <c r="M1637" s="2" t="s">
        <v>38</v>
      </c>
      <c r="N1637" s="2" t="s">
        <v>39</v>
      </c>
      <c r="O1637" s="2" t="s">
        <v>38</v>
      </c>
      <c r="P1637" s="2" t="s">
        <v>39</v>
      </c>
      <c r="Q1637" s="2" t="s">
        <v>39</v>
      </c>
      <c r="R1637" s="2" t="s">
        <v>39</v>
      </c>
      <c r="S1637" s="2" t="s">
        <v>39</v>
      </c>
      <c r="T1637" s="2" t="s">
        <v>39</v>
      </c>
      <c r="U1637" s="2" t="s">
        <v>39</v>
      </c>
      <c r="V1637" s="2" t="s">
        <v>38</v>
      </c>
      <c r="W1637" s="2" t="s">
        <v>38</v>
      </c>
      <c r="X1637" s="2" t="s">
        <v>39</v>
      </c>
      <c r="Y1637" s="2" t="s">
        <v>39</v>
      </c>
      <c r="Z1637" s="2" t="s">
        <v>39</v>
      </c>
      <c r="AA1637" s="2" t="s">
        <v>39</v>
      </c>
      <c r="AB1637" s="2" t="s">
        <v>39</v>
      </c>
      <c r="AC1637" s="2" t="s">
        <v>38</v>
      </c>
      <c r="AD1637" s="2" t="s">
        <v>39</v>
      </c>
      <c r="AE1637" s="2" t="s">
        <v>39</v>
      </c>
    </row>
    <row r="1638" spans="1:31" ht="409.5">
      <c r="A1638" s="2">
        <v>2734355</v>
      </c>
      <c r="B1638" s="2">
        <f>HYPERLINK("https://platform.v2.vetology.net/cases/2734355/screening-report/1?type=pdf&amp;v=v6&amp;scorecard=1&amp;secret_key=BX%25IJ%24%2F65ieZ%29f6", 2734355)</f>
        <v>2734355</v>
      </c>
      <c r="C1638" s="2">
        <f>HYPERLINK("https://platform.v2.vetology.net/report/v/final/"&amp;2734355, 2734355)</f>
        <v>2734355</v>
      </c>
      <c r="D1638" s="2" t="s">
        <v>5367</v>
      </c>
      <c r="E1638" s="2" t="s">
        <v>5368</v>
      </c>
      <c r="F1638" s="2" t="s">
        <v>43</v>
      </c>
      <c r="G1638" s="2" t="s">
        <v>100</v>
      </c>
      <c r="H1638" s="2" t="s">
        <v>5369</v>
      </c>
      <c r="I1638" s="2" t="s">
        <v>36</v>
      </c>
      <c r="J1638" s="2" t="s">
        <v>37</v>
      </c>
      <c r="K1638" s="2" t="s">
        <v>39</v>
      </c>
      <c r="L1638" s="2" t="s">
        <v>39</v>
      </c>
      <c r="M1638" s="2" t="s">
        <v>38</v>
      </c>
      <c r="N1638" s="2" t="s">
        <v>39</v>
      </c>
      <c r="O1638" s="2" t="s">
        <v>39</v>
      </c>
      <c r="P1638" s="2" t="s">
        <v>39</v>
      </c>
      <c r="Q1638" s="2" t="s">
        <v>39</v>
      </c>
      <c r="R1638" s="2" t="s">
        <v>38</v>
      </c>
      <c r="S1638" s="2" t="s">
        <v>38</v>
      </c>
      <c r="T1638" s="2" t="s">
        <v>38</v>
      </c>
      <c r="U1638" s="2" t="s">
        <v>39</v>
      </c>
      <c r="V1638" s="2" t="s">
        <v>39</v>
      </c>
      <c r="W1638" s="2" t="s">
        <v>38</v>
      </c>
      <c r="X1638" s="2" t="s">
        <v>38</v>
      </c>
      <c r="Y1638" s="2" t="s">
        <v>38</v>
      </c>
      <c r="Z1638" s="2" t="s">
        <v>38</v>
      </c>
      <c r="AA1638" s="2" t="s">
        <v>38</v>
      </c>
      <c r="AB1638" s="2" t="s">
        <v>39</v>
      </c>
      <c r="AC1638" s="2" t="s">
        <v>38</v>
      </c>
      <c r="AD1638" s="2" t="s">
        <v>39</v>
      </c>
      <c r="AE1638" s="2" t="s">
        <v>40</v>
      </c>
    </row>
    <row r="1639" spans="1:31" ht="409.5">
      <c r="A1639" s="2">
        <v>2734345</v>
      </c>
      <c r="B1639" s="2">
        <f>HYPERLINK("https://platform.v2.vetology.net/cases/2734345/screening-report/1?type=pdf&amp;v=v6&amp;scorecard=1&amp;secret_key=BX%25IJ%24%2F65ieZ%29f6", 2734345)</f>
        <v>2734345</v>
      </c>
      <c r="C1639" s="2">
        <f>HYPERLINK("https://platform.v2.vetology.net/report/v/final/"&amp;2734345, 2734345)</f>
        <v>2734345</v>
      </c>
      <c r="D1639" s="2" t="s">
        <v>1847</v>
      </c>
      <c r="E1639" s="2" t="s">
        <v>5370</v>
      </c>
      <c r="F1639" s="2" t="s">
        <v>5371</v>
      </c>
      <c r="G1639" s="2" t="s">
        <v>111</v>
      </c>
      <c r="H1639" s="2" t="s">
        <v>5372</v>
      </c>
      <c r="I1639" s="2" t="s">
        <v>73</v>
      </c>
      <c r="J1639" s="2" t="s">
        <v>74</v>
      </c>
      <c r="K1639" s="2" t="s">
        <v>38</v>
      </c>
      <c r="L1639" s="2" t="s">
        <v>38</v>
      </c>
      <c r="M1639" s="2" t="s">
        <v>38</v>
      </c>
      <c r="N1639" s="2" t="s">
        <v>38</v>
      </c>
      <c r="O1639" s="2" t="s">
        <v>38</v>
      </c>
      <c r="P1639" s="2" t="s">
        <v>38</v>
      </c>
      <c r="Q1639" s="2" t="s">
        <v>38</v>
      </c>
      <c r="R1639" s="2" t="s">
        <v>38</v>
      </c>
      <c r="S1639" s="2" t="s">
        <v>38</v>
      </c>
      <c r="T1639" s="2" t="s">
        <v>38</v>
      </c>
      <c r="U1639" s="2" t="s">
        <v>39</v>
      </c>
      <c r="V1639" s="2" t="s">
        <v>38</v>
      </c>
      <c r="W1639" s="2" t="s">
        <v>38</v>
      </c>
      <c r="X1639" s="2" t="s">
        <v>38</v>
      </c>
      <c r="Y1639" s="2" t="s">
        <v>38</v>
      </c>
      <c r="Z1639" s="2" t="s">
        <v>38</v>
      </c>
      <c r="AA1639" s="2" t="s">
        <v>38</v>
      </c>
      <c r="AB1639" s="2" t="s">
        <v>38</v>
      </c>
      <c r="AC1639" s="2" t="s">
        <v>38</v>
      </c>
      <c r="AD1639" s="2" t="s">
        <v>38</v>
      </c>
      <c r="AE1639" s="2" t="s">
        <v>40</v>
      </c>
    </row>
    <row r="1640" spans="1:31" ht="409.5">
      <c r="A1640" s="2">
        <v>2734332</v>
      </c>
      <c r="B1640" s="2">
        <f>HYPERLINK("https://platform.v2.vetology.net/cases/2734332/screening-report/1?type=pdf&amp;v=v6&amp;scorecard=1&amp;secret_key=BX%25IJ%24%2F65ieZ%29f6", 2734332)</f>
        <v>2734332</v>
      </c>
      <c r="C1640" s="2">
        <f>HYPERLINK("https://platform.v2.vetology.net/report/v/final/"&amp;2734332, 2734332)</f>
        <v>2734332</v>
      </c>
      <c r="D1640" s="2" t="s">
        <v>5373</v>
      </c>
      <c r="E1640" s="2" t="s">
        <v>5374</v>
      </c>
      <c r="F1640" s="2" t="s">
        <v>5375</v>
      </c>
      <c r="G1640" s="2" t="s">
        <v>111</v>
      </c>
      <c r="H1640" s="2" t="s">
        <v>5376</v>
      </c>
      <c r="I1640" s="2" t="s">
        <v>257</v>
      </c>
      <c r="J1640" s="2" t="s">
        <v>74</v>
      </c>
      <c r="K1640" s="2" t="s">
        <v>38</v>
      </c>
      <c r="L1640" s="2" t="s">
        <v>38</v>
      </c>
      <c r="M1640" s="2" t="s">
        <v>38</v>
      </c>
      <c r="N1640" s="2" t="s">
        <v>38</v>
      </c>
      <c r="O1640" s="2" t="s">
        <v>38</v>
      </c>
      <c r="P1640" s="2" t="s">
        <v>38</v>
      </c>
      <c r="Q1640" s="2" t="s">
        <v>38</v>
      </c>
      <c r="R1640" s="2" t="s">
        <v>38</v>
      </c>
      <c r="S1640" s="2" t="s">
        <v>38</v>
      </c>
      <c r="T1640" s="2" t="s">
        <v>38</v>
      </c>
      <c r="U1640" s="2" t="s">
        <v>38</v>
      </c>
      <c r="V1640" s="2" t="s">
        <v>38</v>
      </c>
      <c r="W1640" s="2" t="s">
        <v>38</v>
      </c>
      <c r="X1640" s="2" t="s">
        <v>38</v>
      </c>
      <c r="Y1640" s="2" t="s">
        <v>38</v>
      </c>
      <c r="Z1640" s="2" t="s">
        <v>38</v>
      </c>
      <c r="AA1640" s="2" t="s">
        <v>38</v>
      </c>
      <c r="AB1640" s="2" t="s">
        <v>38</v>
      </c>
      <c r="AC1640" s="2" t="s">
        <v>38</v>
      </c>
      <c r="AD1640" s="2" t="s">
        <v>38</v>
      </c>
      <c r="AE1640" s="2" t="s">
        <v>39</v>
      </c>
    </row>
    <row r="1641" spans="1:31" ht="409.5">
      <c r="A1641" s="2">
        <v>2734325</v>
      </c>
      <c r="B1641" s="2">
        <f>HYPERLINK("https://platform.v2.vetology.net/cases/2734325/screening-report/1?type=pdf&amp;v=v6&amp;scorecard=1&amp;secret_key=BX%25IJ%24%2F65ieZ%29f6", 2734325)</f>
        <v>2734325</v>
      </c>
      <c r="C1641" s="2">
        <f>HYPERLINK("https://platform.v2.vetology.net/report/v/final/"&amp;2734325, 2734325)</f>
        <v>2734325</v>
      </c>
      <c r="D1641" s="2" t="s">
        <v>853</v>
      </c>
      <c r="E1641" s="2" t="s">
        <v>854</v>
      </c>
      <c r="F1641" s="2" t="s">
        <v>1737</v>
      </c>
      <c r="G1641" s="2" t="s">
        <v>111</v>
      </c>
      <c r="H1641" s="2" t="s">
        <v>449</v>
      </c>
      <c r="I1641" s="2" t="s">
        <v>59</v>
      </c>
      <c r="J1641" s="2" t="s">
        <v>37</v>
      </c>
      <c r="K1641" s="2" t="s">
        <v>39</v>
      </c>
      <c r="L1641" s="2" t="s">
        <v>38</v>
      </c>
      <c r="M1641" s="2" t="s">
        <v>39</v>
      </c>
      <c r="N1641" s="2" t="s">
        <v>38</v>
      </c>
      <c r="O1641" s="2" t="s">
        <v>39</v>
      </c>
      <c r="P1641" s="2" t="s">
        <v>39</v>
      </c>
      <c r="Q1641" s="2" t="s">
        <v>39</v>
      </c>
      <c r="R1641" s="2" t="s">
        <v>38</v>
      </c>
      <c r="S1641" s="2" t="s">
        <v>38</v>
      </c>
      <c r="T1641" s="2" t="s">
        <v>39</v>
      </c>
      <c r="U1641" s="2" t="s">
        <v>39</v>
      </c>
      <c r="V1641" s="2" t="s">
        <v>39</v>
      </c>
      <c r="W1641" s="2" t="s">
        <v>38</v>
      </c>
      <c r="X1641" s="2" t="s">
        <v>39</v>
      </c>
      <c r="Y1641" s="2" t="s">
        <v>39</v>
      </c>
      <c r="Z1641" s="2" t="s">
        <v>38</v>
      </c>
      <c r="AA1641" s="2" t="s">
        <v>38</v>
      </c>
      <c r="AB1641" s="2" t="s">
        <v>39</v>
      </c>
      <c r="AC1641" s="2" t="s">
        <v>38</v>
      </c>
      <c r="AD1641" s="2" t="s">
        <v>38</v>
      </c>
      <c r="AE1641" s="2" t="s">
        <v>39</v>
      </c>
    </row>
    <row r="1642" spans="1:31" ht="409.5">
      <c r="A1642" s="2">
        <v>2734316</v>
      </c>
      <c r="B1642" s="2">
        <f>HYPERLINK("https://platform.v2.vetology.net/cases/2734316/screening-report/1?type=pdf&amp;v=v6&amp;scorecard=1&amp;secret_key=BX%25IJ%24%2F65ieZ%29f6", 2734316)</f>
        <v>2734316</v>
      </c>
      <c r="C1642" s="2">
        <f>HYPERLINK("https://platform.v2.vetology.net/report/v/final/"&amp;2734316, 2734316)</f>
        <v>2734316</v>
      </c>
      <c r="D1642" s="2" t="s">
        <v>5377</v>
      </c>
      <c r="E1642" s="2" t="s">
        <v>5378</v>
      </c>
      <c r="F1642" s="2" t="s">
        <v>5379</v>
      </c>
      <c r="G1642" s="2" t="s">
        <v>251</v>
      </c>
      <c r="H1642" s="2" t="s">
        <v>5380</v>
      </c>
      <c r="I1642" s="2" t="s">
        <v>73</v>
      </c>
      <c r="J1642" s="2" t="s">
        <v>74</v>
      </c>
      <c r="K1642" s="2" t="s">
        <v>38</v>
      </c>
      <c r="L1642" s="2" t="s">
        <v>38</v>
      </c>
      <c r="M1642" s="2" t="s">
        <v>38</v>
      </c>
      <c r="N1642" s="2" t="s">
        <v>38</v>
      </c>
      <c r="O1642" s="2" t="s">
        <v>38</v>
      </c>
      <c r="P1642" s="2" t="s">
        <v>38</v>
      </c>
      <c r="Q1642" s="2" t="s">
        <v>38</v>
      </c>
      <c r="R1642" s="2" t="s">
        <v>38</v>
      </c>
      <c r="S1642" s="2" t="s">
        <v>38</v>
      </c>
      <c r="T1642" s="2" t="s">
        <v>38</v>
      </c>
      <c r="U1642" s="2" t="s">
        <v>38</v>
      </c>
      <c r="V1642" s="2" t="s">
        <v>38</v>
      </c>
      <c r="W1642" s="2" t="s">
        <v>38</v>
      </c>
      <c r="X1642" s="2" t="s">
        <v>38</v>
      </c>
      <c r="Y1642" s="2" t="s">
        <v>38</v>
      </c>
      <c r="Z1642" s="2" t="s">
        <v>38</v>
      </c>
      <c r="AA1642" s="2" t="s">
        <v>38</v>
      </c>
      <c r="AB1642" s="2" t="s">
        <v>38</v>
      </c>
      <c r="AC1642" s="2" t="s">
        <v>38</v>
      </c>
      <c r="AD1642" s="2" t="s">
        <v>38</v>
      </c>
      <c r="AE1642" s="2" t="s">
        <v>40</v>
      </c>
    </row>
    <row r="1643" spans="1:31" ht="409.5">
      <c r="A1643" s="2">
        <v>2734306</v>
      </c>
      <c r="B1643" s="2">
        <f>HYPERLINK("https://platform.v2.vetology.net/cases/2734306/screening-report/1?type=pdf&amp;v=v6&amp;scorecard=1&amp;secret_key=BX%25IJ%24%2F65ieZ%29f6", 2734306)</f>
        <v>2734306</v>
      </c>
      <c r="C1643" s="2">
        <f>HYPERLINK("https://platform.v2.vetology.net/report/v/final/"&amp;2734306, 2734306)</f>
        <v>2734306</v>
      </c>
      <c r="D1643" s="2" t="s">
        <v>5381</v>
      </c>
      <c r="E1643" s="2" t="s">
        <v>4004</v>
      </c>
      <c r="F1643" s="2" t="s">
        <v>5382</v>
      </c>
      <c r="G1643" s="2" t="s">
        <v>111</v>
      </c>
      <c r="H1643" s="2" t="s">
        <v>2323</v>
      </c>
      <c r="I1643" s="2" t="s">
        <v>59</v>
      </c>
      <c r="J1643" s="2" t="s">
        <v>37</v>
      </c>
      <c r="K1643" s="2" t="s">
        <v>38</v>
      </c>
      <c r="L1643" s="2" t="s">
        <v>39</v>
      </c>
      <c r="M1643" s="2" t="s">
        <v>39</v>
      </c>
      <c r="N1643" s="2" t="s">
        <v>39</v>
      </c>
      <c r="O1643" s="2" t="s">
        <v>39</v>
      </c>
      <c r="P1643" s="2" t="s">
        <v>39</v>
      </c>
      <c r="Q1643" s="2" t="s">
        <v>39</v>
      </c>
      <c r="R1643" s="2" t="s">
        <v>38</v>
      </c>
      <c r="S1643" s="2" t="s">
        <v>38</v>
      </c>
      <c r="T1643" s="2" t="s">
        <v>39</v>
      </c>
      <c r="U1643" s="2" t="s">
        <v>38</v>
      </c>
      <c r="V1643" s="2" t="s">
        <v>38</v>
      </c>
      <c r="W1643" s="2" t="s">
        <v>39</v>
      </c>
      <c r="X1643" s="2" t="s">
        <v>39</v>
      </c>
      <c r="Y1643" s="2" t="s">
        <v>39</v>
      </c>
      <c r="Z1643" s="2" t="s">
        <v>39</v>
      </c>
      <c r="AA1643" s="2" t="s">
        <v>39</v>
      </c>
      <c r="AB1643" s="2" t="s">
        <v>39</v>
      </c>
      <c r="AC1643" s="2" t="s">
        <v>39</v>
      </c>
      <c r="AD1643" s="2" t="s">
        <v>38</v>
      </c>
      <c r="AE1643" s="2" t="s">
        <v>39</v>
      </c>
    </row>
    <row r="1644" spans="1:31" ht="409.5">
      <c r="A1644" s="2">
        <v>2734304</v>
      </c>
      <c r="B1644" s="2">
        <f>HYPERLINK("https://platform.v2.vetology.net/cases/2734304/screening-report/1?type=pdf&amp;v=v6&amp;scorecard=1&amp;secret_key=BX%25IJ%24%2F65ieZ%29f6", 2734304)</f>
        <v>2734304</v>
      </c>
      <c r="C1644" s="2">
        <f>HYPERLINK("https://platform.v2.vetology.net/report/v/final/"&amp;2734304, 2734304)</f>
        <v>2734304</v>
      </c>
      <c r="D1644" s="2" t="s">
        <v>5383</v>
      </c>
      <c r="E1644" s="2" t="s">
        <v>5384</v>
      </c>
      <c r="F1644" s="2" t="s">
        <v>43</v>
      </c>
      <c r="G1644" s="2" t="s">
        <v>44</v>
      </c>
      <c r="H1644" s="2" t="s">
        <v>97</v>
      </c>
      <c r="I1644" s="2" t="s">
        <v>59</v>
      </c>
      <c r="J1644" s="2" t="s">
        <v>37</v>
      </c>
      <c r="K1644" s="2" t="s">
        <v>38</v>
      </c>
      <c r="L1644" s="2" t="s">
        <v>39</v>
      </c>
      <c r="M1644" s="2" t="s">
        <v>39</v>
      </c>
      <c r="N1644" s="2" t="s">
        <v>39</v>
      </c>
      <c r="O1644" s="2" t="s">
        <v>39</v>
      </c>
      <c r="P1644" s="2" t="s">
        <v>39</v>
      </c>
      <c r="Q1644" s="2" t="s">
        <v>39</v>
      </c>
      <c r="R1644" s="2" t="s">
        <v>39</v>
      </c>
      <c r="S1644" s="2" t="s">
        <v>38</v>
      </c>
      <c r="T1644" s="2" t="s">
        <v>39</v>
      </c>
      <c r="U1644" s="2" t="s">
        <v>38</v>
      </c>
      <c r="V1644" s="2" t="s">
        <v>38</v>
      </c>
      <c r="W1644" s="2" t="s">
        <v>39</v>
      </c>
      <c r="X1644" s="2" t="s">
        <v>39</v>
      </c>
      <c r="Y1644" s="2" t="s">
        <v>39</v>
      </c>
      <c r="Z1644" s="2" t="s">
        <v>38</v>
      </c>
      <c r="AA1644" s="2" t="s">
        <v>39</v>
      </c>
      <c r="AB1644" s="2" t="s">
        <v>39</v>
      </c>
      <c r="AC1644" s="2" t="s">
        <v>38</v>
      </c>
      <c r="AD1644" s="2" t="s">
        <v>38</v>
      </c>
      <c r="AE1644" s="2"/>
    </row>
    <row r="1645" spans="1:31" ht="409.5">
      <c r="A1645" s="2">
        <v>2734294</v>
      </c>
      <c r="B1645" s="2">
        <f>HYPERLINK("https://platform.v2.vetology.net/cases/2734294/screening-report/1?type=pdf&amp;v=v6&amp;scorecard=1&amp;secret_key=BX%25IJ%24%2F65ieZ%29f6", 2734294)</f>
        <v>2734294</v>
      </c>
      <c r="C1645" s="2">
        <f>HYPERLINK("https://platform.v2.vetology.net/report/v/final/"&amp;2734294, 2734294)</f>
        <v>2734294</v>
      </c>
      <c r="D1645" s="2" t="s">
        <v>5385</v>
      </c>
      <c r="E1645" s="2" t="s">
        <v>5386</v>
      </c>
      <c r="F1645" s="2" t="s">
        <v>5387</v>
      </c>
      <c r="G1645" s="2" t="s">
        <v>53</v>
      </c>
      <c r="H1645" s="2" t="s">
        <v>5388</v>
      </c>
      <c r="I1645" s="2" t="s">
        <v>73</v>
      </c>
      <c r="J1645" s="2" t="s">
        <v>74</v>
      </c>
      <c r="K1645" s="2" t="s">
        <v>38</v>
      </c>
      <c r="L1645" s="2" t="s">
        <v>38</v>
      </c>
      <c r="M1645" s="2" t="s">
        <v>38</v>
      </c>
      <c r="N1645" s="2" t="s">
        <v>38</v>
      </c>
      <c r="O1645" s="2" t="s">
        <v>38</v>
      </c>
      <c r="P1645" s="2" t="s">
        <v>38</v>
      </c>
      <c r="Q1645" s="2" t="s">
        <v>38</v>
      </c>
      <c r="R1645" s="2" t="s">
        <v>38</v>
      </c>
      <c r="S1645" s="2" t="s">
        <v>38</v>
      </c>
      <c r="T1645" s="2" t="s">
        <v>38</v>
      </c>
      <c r="U1645" s="2" t="s">
        <v>38</v>
      </c>
      <c r="V1645" s="2" t="s">
        <v>38</v>
      </c>
      <c r="W1645" s="2" t="s">
        <v>38</v>
      </c>
      <c r="X1645" s="2" t="s">
        <v>38</v>
      </c>
      <c r="Y1645" s="2" t="s">
        <v>39</v>
      </c>
      <c r="Z1645" s="2" t="s">
        <v>38</v>
      </c>
      <c r="AA1645" s="2" t="s">
        <v>38</v>
      </c>
      <c r="AB1645" s="2" t="s">
        <v>38</v>
      </c>
      <c r="AC1645" s="2" t="s">
        <v>38</v>
      </c>
      <c r="AD1645" s="2" t="s">
        <v>38</v>
      </c>
      <c r="AE1645" s="2" t="s">
        <v>40</v>
      </c>
    </row>
    <row r="1646" spans="1:31" ht="409.5">
      <c r="A1646" s="2">
        <v>2734257</v>
      </c>
      <c r="B1646" s="2">
        <f>HYPERLINK("https://platform.v2.vetology.net/cases/2734257/screening-report/1?type=pdf&amp;v=v6&amp;scorecard=1&amp;secret_key=BX%25IJ%24%2F65ieZ%29f6", 2734257)</f>
        <v>2734257</v>
      </c>
      <c r="C1646" s="2">
        <f>HYPERLINK("https://platform.v2.vetology.net/report/v/final/"&amp;2734257, 2734257)</f>
        <v>2734257</v>
      </c>
      <c r="D1646" s="2" t="s">
        <v>5389</v>
      </c>
      <c r="E1646" s="2" t="s">
        <v>5390</v>
      </c>
      <c r="F1646" s="2" t="s">
        <v>43</v>
      </c>
      <c r="G1646" s="2" t="s">
        <v>507</v>
      </c>
      <c r="H1646" s="2" t="s">
        <v>5391</v>
      </c>
      <c r="I1646" s="2" t="s">
        <v>36</v>
      </c>
      <c r="J1646" s="2" t="s">
        <v>37</v>
      </c>
      <c r="K1646" s="2" t="s">
        <v>38</v>
      </c>
      <c r="L1646" s="2" t="s">
        <v>39</v>
      </c>
      <c r="M1646" s="2" t="s">
        <v>39</v>
      </c>
      <c r="N1646" s="2" t="s">
        <v>38</v>
      </c>
      <c r="O1646" s="2" t="s">
        <v>38</v>
      </c>
      <c r="P1646" s="2" t="s">
        <v>39</v>
      </c>
      <c r="Q1646" s="2" t="s">
        <v>38</v>
      </c>
      <c r="R1646" s="2" t="s">
        <v>39</v>
      </c>
      <c r="S1646" s="2" t="s">
        <v>38</v>
      </c>
      <c r="T1646" s="2" t="s">
        <v>38</v>
      </c>
      <c r="U1646" s="2" t="s">
        <v>39</v>
      </c>
      <c r="V1646" s="2" t="s">
        <v>39</v>
      </c>
      <c r="W1646" s="2" t="s">
        <v>38</v>
      </c>
      <c r="X1646" s="2" t="s">
        <v>38</v>
      </c>
      <c r="Y1646" s="2" t="s">
        <v>39</v>
      </c>
      <c r="Z1646" s="2" t="s">
        <v>39</v>
      </c>
      <c r="AA1646" s="2" t="s">
        <v>39</v>
      </c>
      <c r="AB1646" s="2" t="s">
        <v>39</v>
      </c>
      <c r="AC1646" s="2" t="s">
        <v>39</v>
      </c>
      <c r="AD1646" s="2" t="s">
        <v>38</v>
      </c>
      <c r="AE1646" s="2" t="s">
        <v>39</v>
      </c>
    </row>
    <row r="1647" spans="1:31" ht="409.5">
      <c r="A1647" s="2">
        <v>2734256</v>
      </c>
      <c r="B1647" s="2">
        <f>HYPERLINK("https://platform.v2.vetology.net/cases/2734256/screening-report/1?type=pdf&amp;v=v6&amp;scorecard=1&amp;secret_key=BX%25IJ%24%2F65ieZ%29f6", 2734256)</f>
        <v>2734256</v>
      </c>
      <c r="C1647" s="2">
        <f>HYPERLINK("https://platform.v2.vetology.net/report/v/final/"&amp;2734256, 2734256)</f>
        <v>2734256</v>
      </c>
      <c r="D1647" s="2" t="s">
        <v>5392</v>
      </c>
      <c r="E1647" s="2" t="s">
        <v>5393</v>
      </c>
      <c r="F1647" s="2" t="s">
        <v>5394</v>
      </c>
      <c r="G1647" s="2" t="s">
        <v>100</v>
      </c>
      <c r="H1647" s="2" t="s">
        <v>5395</v>
      </c>
      <c r="I1647" s="2" t="s">
        <v>36</v>
      </c>
      <c r="J1647" s="2" t="s">
        <v>37</v>
      </c>
      <c r="K1647" s="2" t="s">
        <v>38</v>
      </c>
      <c r="L1647" s="2" t="s">
        <v>38</v>
      </c>
      <c r="M1647" s="2" t="s">
        <v>38</v>
      </c>
      <c r="N1647" s="2" t="s">
        <v>38</v>
      </c>
      <c r="O1647" s="2" t="s">
        <v>38</v>
      </c>
      <c r="P1647" s="2" t="s">
        <v>39</v>
      </c>
      <c r="Q1647" s="2" t="s">
        <v>39</v>
      </c>
      <c r="R1647" s="2" t="s">
        <v>38</v>
      </c>
      <c r="S1647" s="2" t="s">
        <v>38</v>
      </c>
      <c r="T1647" s="2" t="s">
        <v>38</v>
      </c>
      <c r="U1647" s="2" t="s">
        <v>38</v>
      </c>
      <c r="V1647" s="2" t="s">
        <v>38</v>
      </c>
      <c r="W1647" s="2" t="s">
        <v>38</v>
      </c>
      <c r="X1647" s="2" t="s">
        <v>39</v>
      </c>
      <c r="Y1647" s="2" t="s">
        <v>39</v>
      </c>
      <c r="Z1647" s="2" t="s">
        <v>38</v>
      </c>
      <c r="AA1647" s="2" t="s">
        <v>38</v>
      </c>
      <c r="AB1647" s="2" t="s">
        <v>39</v>
      </c>
      <c r="AC1647" s="2" t="s">
        <v>38</v>
      </c>
      <c r="AD1647" s="2" t="s">
        <v>38</v>
      </c>
      <c r="AE1647" s="2" t="s">
        <v>39</v>
      </c>
    </row>
    <row r="1648" spans="1:31" ht="409.5">
      <c r="A1648" s="2">
        <v>2734206</v>
      </c>
      <c r="B1648" s="2">
        <f>HYPERLINK("https://platform.v2.vetology.net/cases/2734206/screening-report/1?type=pdf&amp;v=v6&amp;scorecard=1&amp;secret_key=BX%25IJ%24%2F65ieZ%29f6", 2734206)</f>
        <v>2734206</v>
      </c>
      <c r="C1648" s="2">
        <f>HYPERLINK("https://platform.v2.vetology.net/report/v/final/"&amp;2734206, 2734206)</f>
        <v>2734206</v>
      </c>
      <c r="D1648" s="2" t="s">
        <v>5396</v>
      </c>
      <c r="E1648" s="2" t="s">
        <v>5397</v>
      </c>
      <c r="F1648" s="2" t="s">
        <v>5398</v>
      </c>
      <c r="G1648" s="2" t="s">
        <v>127</v>
      </c>
      <c r="H1648" s="2" t="s">
        <v>5399</v>
      </c>
      <c r="I1648" s="2" t="s">
        <v>36</v>
      </c>
      <c r="J1648" s="2" t="s">
        <v>37</v>
      </c>
      <c r="K1648" s="2" t="s">
        <v>39</v>
      </c>
      <c r="L1648" s="2" t="s">
        <v>39</v>
      </c>
      <c r="M1648" s="2" t="s">
        <v>38</v>
      </c>
      <c r="N1648" s="2" t="s">
        <v>39</v>
      </c>
      <c r="O1648" s="2" t="s">
        <v>38</v>
      </c>
      <c r="P1648" s="2" t="s">
        <v>38</v>
      </c>
      <c r="Q1648" s="2" t="s">
        <v>39</v>
      </c>
      <c r="R1648" s="2" t="s">
        <v>39</v>
      </c>
      <c r="S1648" s="2" t="s">
        <v>39</v>
      </c>
      <c r="T1648" s="2" t="s">
        <v>38</v>
      </c>
      <c r="U1648" s="2" t="s">
        <v>39</v>
      </c>
      <c r="V1648" s="2" t="s">
        <v>39</v>
      </c>
      <c r="W1648" s="2" t="s">
        <v>38</v>
      </c>
      <c r="X1648" s="2" t="s">
        <v>39</v>
      </c>
      <c r="Y1648" s="2" t="s">
        <v>39</v>
      </c>
      <c r="Z1648" s="2" t="s">
        <v>38</v>
      </c>
      <c r="AA1648" s="2" t="s">
        <v>39</v>
      </c>
      <c r="AB1648" s="2" t="s">
        <v>39</v>
      </c>
      <c r="AC1648" s="2" t="s">
        <v>38</v>
      </c>
      <c r="AD1648" s="2" t="s">
        <v>39</v>
      </c>
      <c r="AE1648" s="2" t="s">
        <v>39</v>
      </c>
    </row>
    <row r="1649" spans="1:31" ht="409.5">
      <c r="A1649" s="2">
        <v>2734192</v>
      </c>
      <c r="B1649" s="2">
        <f>HYPERLINK("https://platform.v2.vetology.net/cases/2734192/screening-report/1?type=pdf&amp;v=v6&amp;scorecard=1&amp;secret_key=BX%25IJ%24%2F65ieZ%29f6", 2734192)</f>
        <v>2734192</v>
      </c>
      <c r="C1649" s="2">
        <f>HYPERLINK("https://platform.v2.vetology.net/report/v/final/"&amp;2734192, 2734192)</f>
        <v>2734192</v>
      </c>
      <c r="D1649" s="2" t="s">
        <v>5400</v>
      </c>
      <c r="E1649" s="2" t="s">
        <v>5401</v>
      </c>
      <c r="F1649" s="2" t="s">
        <v>5402</v>
      </c>
      <c r="G1649" s="2" t="s">
        <v>34</v>
      </c>
      <c r="H1649" s="2" t="s">
        <v>158</v>
      </c>
      <c r="I1649" s="2" t="s">
        <v>59</v>
      </c>
      <c r="J1649" s="2" t="s">
        <v>37</v>
      </c>
      <c r="K1649" s="2" t="s">
        <v>38</v>
      </c>
      <c r="L1649" s="2" t="s">
        <v>39</v>
      </c>
      <c r="M1649" s="2" t="s">
        <v>39</v>
      </c>
      <c r="N1649" s="2" t="s">
        <v>39</v>
      </c>
      <c r="O1649" s="2" t="s">
        <v>39</v>
      </c>
      <c r="P1649" s="2" t="s">
        <v>39</v>
      </c>
      <c r="Q1649" s="2" t="s">
        <v>38</v>
      </c>
      <c r="R1649" s="2" t="s">
        <v>39</v>
      </c>
      <c r="S1649" s="2" t="s">
        <v>39</v>
      </c>
      <c r="T1649" s="2" t="s">
        <v>38</v>
      </c>
      <c r="U1649" s="2" t="s">
        <v>38</v>
      </c>
      <c r="V1649" s="2" t="s">
        <v>38</v>
      </c>
      <c r="W1649" s="2" t="s">
        <v>38</v>
      </c>
      <c r="X1649" s="2" t="s">
        <v>38</v>
      </c>
      <c r="Y1649" s="2" t="s">
        <v>39</v>
      </c>
      <c r="Z1649" s="2" t="s">
        <v>39</v>
      </c>
      <c r="AA1649" s="2" t="s">
        <v>39</v>
      </c>
      <c r="AB1649" s="2" t="s">
        <v>38</v>
      </c>
      <c r="AC1649" s="2" t="s">
        <v>38</v>
      </c>
      <c r="AD1649" s="2" t="s">
        <v>39</v>
      </c>
      <c r="AE1649" s="2" t="s">
        <v>39</v>
      </c>
    </row>
    <row r="1650" spans="1:31" ht="409.5">
      <c r="A1650" s="2">
        <v>2734178</v>
      </c>
      <c r="B1650" s="2">
        <f>HYPERLINK("https://platform.v2.vetology.net/cases/2734178/screening-report/1?type=pdf&amp;v=v6&amp;scorecard=1&amp;secret_key=BX%25IJ%24%2F65ieZ%29f6", 2734178)</f>
        <v>2734178</v>
      </c>
      <c r="C1650" s="2">
        <f>HYPERLINK("https://platform.v2.vetology.net/report/v/final/"&amp;2734178, 2734178)</f>
        <v>2734178</v>
      </c>
      <c r="D1650" s="2" t="s">
        <v>5403</v>
      </c>
      <c r="E1650" s="2" t="s">
        <v>5404</v>
      </c>
      <c r="F1650" s="2" t="s">
        <v>43</v>
      </c>
      <c r="G1650" s="2" t="s">
        <v>44</v>
      </c>
      <c r="H1650" s="2" t="s">
        <v>5405</v>
      </c>
      <c r="I1650" s="2" t="s">
        <v>129</v>
      </c>
      <c r="J1650" s="2" t="s">
        <v>74</v>
      </c>
      <c r="K1650" s="2" t="s">
        <v>39</v>
      </c>
      <c r="L1650" s="2" t="s">
        <v>38</v>
      </c>
      <c r="M1650" s="2" t="s">
        <v>38</v>
      </c>
      <c r="N1650" s="2" t="s">
        <v>38</v>
      </c>
      <c r="O1650" s="2" t="s">
        <v>38</v>
      </c>
      <c r="P1650" s="2" t="s">
        <v>38</v>
      </c>
      <c r="Q1650" s="2" t="s">
        <v>38</v>
      </c>
      <c r="R1650" s="2" t="s">
        <v>38</v>
      </c>
      <c r="S1650" s="2" t="s">
        <v>38</v>
      </c>
      <c r="T1650" s="2" t="s">
        <v>38</v>
      </c>
      <c r="U1650" s="2" t="s">
        <v>39</v>
      </c>
      <c r="V1650" s="2" t="s">
        <v>38</v>
      </c>
      <c r="W1650" s="2" t="s">
        <v>38</v>
      </c>
      <c r="X1650" s="2" t="s">
        <v>38</v>
      </c>
      <c r="Y1650" s="2" t="s">
        <v>39</v>
      </c>
      <c r="Z1650" s="2" t="s">
        <v>38</v>
      </c>
      <c r="AA1650" s="2" t="s">
        <v>38</v>
      </c>
      <c r="AB1650" s="2" t="s">
        <v>38</v>
      </c>
      <c r="AC1650" s="2" t="s">
        <v>38</v>
      </c>
      <c r="AD1650" s="2" t="s">
        <v>39</v>
      </c>
      <c r="AE1650" s="2" t="s">
        <v>40</v>
      </c>
    </row>
    <row r="1651" spans="1:31" ht="409.5">
      <c r="A1651" s="2">
        <v>2734173</v>
      </c>
      <c r="B1651" s="2">
        <f>HYPERLINK("https://platform.v2.vetology.net/cases/2734173/screening-report/1?type=pdf&amp;v=v6&amp;scorecard=1&amp;secret_key=BX%25IJ%24%2F65ieZ%29f6", 2734173)</f>
        <v>2734173</v>
      </c>
      <c r="C1651" s="2">
        <f>HYPERLINK("https://platform.v2.vetology.net/report/v/final/"&amp;2734173, 2734173)</f>
        <v>2734173</v>
      </c>
      <c r="D1651" s="2" t="s">
        <v>5406</v>
      </c>
      <c r="E1651" s="2" t="s">
        <v>5407</v>
      </c>
      <c r="F1651" s="2" t="s">
        <v>5408</v>
      </c>
      <c r="G1651" s="2" t="s">
        <v>170</v>
      </c>
      <c r="H1651" s="2" t="s">
        <v>5409</v>
      </c>
      <c r="I1651" s="2" t="s">
        <v>36</v>
      </c>
      <c r="J1651" s="2" t="s">
        <v>37</v>
      </c>
      <c r="K1651" s="2" t="s">
        <v>39</v>
      </c>
      <c r="L1651" s="2" t="s">
        <v>38</v>
      </c>
      <c r="M1651" s="2" t="s">
        <v>39</v>
      </c>
      <c r="N1651" s="2" t="s">
        <v>38</v>
      </c>
      <c r="O1651" s="2" t="s">
        <v>39</v>
      </c>
      <c r="P1651" s="2" t="s">
        <v>39</v>
      </c>
      <c r="Q1651" s="2" t="s">
        <v>39</v>
      </c>
      <c r="R1651" s="2" t="s">
        <v>38</v>
      </c>
      <c r="S1651" s="2" t="s">
        <v>38</v>
      </c>
      <c r="T1651" s="2" t="s">
        <v>39</v>
      </c>
      <c r="U1651" s="2" t="s">
        <v>38</v>
      </c>
      <c r="V1651" s="2" t="s">
        <v>38</v>
      </c>
      <c r="W1651" s="2" t="s">
        <v>39</v>
      </c>
      <c r="X1651" s="2" t="s">
        <v>39</v>
      </c>
      <c r="Y1651" s="2" t="s">
        <v>39</v>
      </c>
      <c r="Z1651" s="2" t="s">
        <v>38</v>
      </c>
      <c r="AA1651" s="2" t="s">
        <v>39</v>
      </c>
      <c r="AB1651" s="2" t="s">
        <v>39</v>
      </c>
      <c r="AC1651" s="2" t="s">
        <v>38</v>
      </c>
      <c r="AD1651" s="2" t="s">
        <v>38</v>
      </c>
      <c r="AE1651" s="2" t="s">
        <v>39</v>
      </c>
    </row>
    <row r="1652" spans="1:31" ht="409.5">
      <c r="A1652" s="2">
        <v>2734168</v>
      </c>
      <c r="B1652" s="2">
        <f>HYPERLINK("https://platform.v2.vetology.net/cases/2734168/screening-report/1?type=pdf&amp;v=v6&amp;scorecard=1&amp;secret_key=BX%25IJ%24%2F65ieZ%29f6", 2734168)</f>
        <v>2734168</v>
      </c>
      <c r="C1652" s="2">
        <f>HYPERLINK("https://platform.v2.vetology.net/report/v/final/"&amp;2734168, 2734168)</f>
        <v>2734168</v>
      </c>
      <c r="D1652" s="2" t="s">
        <v>5410</v>
      </c>
      <c r="E1652" s="2" t="s">
        <v>5411</v>
      </c>
      <c r="F1652" s="2" t="s">
        <v>5412</v>
      </c>
      <c r="G1652" s="2" t="s">
        <v>53</v>
      </c>
      <c r="H1652" s="2" t="s">
        <v>5413</v>
      </c>
      <c r="I1652" s="2" t="s">
        <v>36</v>
      </c>
      <c r="J1652" s="2" t="s">
        <v>37</v>
      </c>
      <c r="K1652" s="2" t="s">
        <v>38</v>
      </c>
      <c r="L1652" s="2" t="s">
        <v>38</v>
      </c>
      <c r="M1652" s="2" t="s">
        <v>39</v>
      </c>
      <c r="N1652" s="2" t="s">
        <v>39</v>
      </c>
      <c r="O1652" s="2" t="s">
        <v>39</v>
      </c>
      <c r="P1652" s="2" t="s">
        <v>39</v>
      </c>
      <c r="Q1652" s="2" t="s">
        <v>39</v>
      </c>
      <c r="R1652" s="2" t="s">
        <v>39</v>
      </c>
      <c r="S1652" s="2" t="s">
        <v>39</v>
      </c>
      <c r="T1652" s="2" t="s">
        <v>39</v>
      </c>
      <c r="U1652" s="2" t="s">
        <v>38</v>
      </c>
      <c r="V1652" s="2" t="s">
        <v>38</v>
      </c>
      <c r="W1652" s="2" t="s">
        <v>39</v>
      </c>
      <c r="X1652" s="2" t="s">
        <v>39</v>
      </c>
      <c r="Y1652" s="2" t="s">
        <v>39</v>
      </c>
      <c r="Z1652" s="2" t="s">
        <v>39</v>
      </c>
      <c r="AA1652" s="2" t="s">
        <v>39</v>
      </c>
      <c r="AB1652" s="2" t="s">
        <v>39</v>
      </c>
      <c r="AC1652" s="2" t="s">
        <v>38</v>
      </c>
      <c r="AD1652" s="2" t="s">
        <v>39</v>
      </c>
      <c r="AE1652" s="2" t="s">
        <v>39</v>
      </c>
    </row>
    <row r="1653" spans="1:31" ht="409.5">
      <c r="A1653" s="2">
        <v>2734162</v>
      </c>
      <c r="B1653" s="2">
        <f>HYPERLINK("https://platform.v2.vetology.net/cases/2734162/screening-report/1?type=pdf&amp;v=v6&amp;scorecard=1&amp;secret_key=BX%25IJ%24%2F65ieZ%29f6", 2734162)</f>
        <v>2734162</v>
      </c>
      <c r="C1653" s="2">
        <f>HYPERLINK("https://platform.v2.vetology.net/report/v/final/"&amp;2734162, 2734162)</f>
        <v>2734162</v>
      </c>
      <c r="D1653" s="2" t="s">
        <v>5414</v>
      </c>
      <c r="E1653" s="2" t="s">
        <v>5415</v>
      </c>
      <c r="F1653" s="2" t="s">
        <v>5416</v>
      </c>
      <c r="G1653" s="2" t="s">
        <v>127</v>
      </c>
      <c r="H1653" s="2" t="s">
        <v>5417</v>
      </c>
      <c r="I1653" s="2" t="s">
        <v>129</v>
      </c>
      <c r="J1653" s="2" t="s">
        <v>74</v>
      </c>
      <c r="K1653" s="2" t="s">
        <v>38</v>
      </c>
      <c r="L1653" s="2" t="s">
        <v>38</v>
      </c>
      <c r="M1653" s="2" t="s">
        <v>38</v>
      </c>
      <c r="N1653" s="2" t="s">
        <v>38</v>
      </c>
      <c r="O1653" s="2" t="s">
        <v>38</v>
      </c>
      <c r="P1653" s="2" t="s">
        <v>38</v>
      </c>
      <c r="Q1653" s="2" t="s">
        <v>38</v>
      </c>
      <c r="R1653" s="2" t="s">
        <v>38</v>
      </c>
      <c r="S1653" s="2" t="s">
        <v>38</v>
      </c>
      <c r="T1653" s="2" t="s">
        <v>39</v>
      </c>
      <c r="U1653" s="2" t="s">
        <v>39</v>
      </c>
      <c r="V1653" s="2" t="s">
        <v>39</v>
      </c>
      <c r="W1653" s="2" t="s">
        <v>38</v>
      </c>
      <c r="X1653" s="2" t="s">
        <v>38</v>
      </c>
      <c r="Y1653" s="2" t="s">
        <v>38</v>
      </c>
      <c r="Z1653" s="2" t="s">
        <v>38</v>
      </c>
      <c r="AA1653" s="2" t="s">
        <v>38</v>
      </c>
      <c r="AB1653" s="2" t="s">
        <v>39</v>
      </c>
      <c r="AC1653" s="2" t="s">
        <v>38</v>
      </c>
      <c r="AD1653" s="2" t="s">
        <v>38</v>
      </c>
      <c r="AE1653" s="2" t="s">
        <v>39</v>
      </c>
    </row>
    <row r="1654" spans="1:31" ht="409.5">
      <c r="A1654" s="2">
        <v>2734101</v>
      </c>
      <c r="B1654" s="2">
        <f>HYPERLINK("https://platform.v2.vetology.net/cases/2734101/screening-report/1?type=pdf&amp;v=v6&amp;scorecard=1&amp;secret_key=BX%25IJ%24%2F65ieZ%29f6", 2734101)</f>
        <v>2734101</v>
      </c>
      <c r="C1654" s="2">
        <f>HYPERLINK("https://platform.v2.vetology.net/report/v/final/"&amp;2734101, 2734101)</f>
        <v>2734101</v>
      </c>
      <c r="D1654" s="2" t="s">
        <v>5418</v>
      </c>
      <c r="E1654" s="2" t="s">
        <v>5419</v>
      </c>
      <c r="F1654" s="2" t="s">
        <v>5420</v>
      </c>
      <c r="G1654" s="2" t="s">
        <v>53</v>
      </c>
      <c r="H1654" s="2" t="s">
        <v>5421</v>
      </c>
      <c r="I1654" s="2" t="s">
        <v>73</v>
      </c>
      <c r="J1654" s="2" t="s">
        <v>74</v>
      </c>
      <c r="K1654" s="2" t="s">
        <v>38</v>
      </c>
      <c r="L1654" s="2" t="s">
        <v>38</v>
      </c>
      <c r="M1654" s="2" t="s">
        <v>38</v>
      </c>
      <c r="N1654" s="2" t="s">
        <v>38</v>
      </c>
      <c r="O1654" s="2" t="s">
        <v>38</v>
      </c>
      <c r="P1654" s="2" t="s">
        <v>38</v>
      </c>
      <c r="Q1654" s="2" t="s">
        <v>38</v>
      </c>
      <c r="R1654" s="2" t="s">
        <v>38</v>
      </c>
      <c r="S1654" s="2" t="s">
        <v>38</v>
      </c>
      <c r="T1654" s="2" t="s">
        <v>38</v>
      </c>
      <c r="U1654" s="2" t="s">
        <v>38</v>
      </c>
      <c r="V1654" s="2" t="s">
        <v>38</v>
      </c>
      <c r="W1654" s="2" t="s">
        <v>38</v>
      </c>
      <c r="X1654" s="2" t="s">
        <v>38</v>
      </c>
      <c r="Y1654" s="2" t="s">
        <v>38</v>
      </c>
      <c r="Z1654" s="2" t="s">
        <v>38</v>
      </c>
      <c r="AA1654" s="2" t="s">
        <v>38</v>
      </c>
      <c r="AB1654" s="2" t="s">
        <v>38</v>
      </c>
      <c r="AC1654" s="2" t="s">
        <v>38</v>
      </c>
      <c r="AD1654" s="2" t="s">
        <v>38</v>
      </c>
      <c r="AE1654" s="2" t="s">
        <v>40</v>
      </c>
    </row>
    <row r="1655" spans="1:31" ht="409.5">
      <c r="A1655" s="2">
        <v>2734095</v>
      </c>
      <c r="B1655" s="2">
        <f>HYPERLINK("https://platform.v2.vetology.net/cases/2734095/screening-report/1?type=pdf&amp;v=v6&amp;scorecard=1&amp;secret_key=BX%25IJ%24%2F65ieZ%29f6", 2734095)</f>
        <v>2734095</v>
      </c>
      <c r="C1655" s="2">
        <f>HYPERLINK("https://platform.v2.vetology.net/report/v/final/"&amp;2734095, 2734095)</f>
        <v>2734095</v>
      </c>
      <c r="D1655" s="2" t="s">
        <v>5422</v>
      </c>
      <c r="E1655" s="2" t="s">
        <v>5423</v>
      </c>
      <c r="F1655" s="2" t="s">
        <v>2000</v>
      </c>
      <c r="G1655" s="2" t="s">
        <v>100</v>
      </c>
      <c r="H1655" s="2" t="s">
        <v>69</v>
      </c>
      <c r="I1655" s="2" t="s">
        <v>46</v>
      </c>
      <c r="J1655" s="2"/>
      <c r="K1655" s="2" t="s">
        <v>39</v>
      </c>
      <c r="L1655" s="2" t="s">
        <v>39</v>
      </c>
      <c r="M1655" s="2" t="s">
        <v>39</v>
      </c>
      <c r="N1655" s="2" t="s">
        <v>39</v>
      </c>
      <c r="O1655" s="2" t="s">
        <v>39</v>
      </c>
      <c r="P1655" s="2" t="s">
        <v>39</v>
      </c>
      <c r="Q1655" s="2" t="s">
        <v>39</v>
      </c>
      <c r="R1655" s="2" t="s">
        <v>39</v>
      </c>
      <c r="S1655" s="2" t="s">
        <v>39</v>
      </c>
      <c r="T1655" s="2" t="s">
        <v>38</v>
      </c>
      <c r="U1655" s="2" t="s">
        <v>39</v>
      </c>
      <c r="V1655" s="2" t="s">
        <v>39</v>
      </c>
      <c r="W1655" s="2" t="s">
        <v>39</v>
      </c>
      <c r="X1655" s="2" t="s">
        <v>39</v>
      </c>
      <c r="Y1655" s="2" t="s">
        <v>39</v>
      </c>
      <c r="Z1655" s="2" t="s">
        <v>39</v>
      </c>
      <c r="AA1655" s="2" t="s">
        <v>39</v>
      </c>
      <c r="AB1655" s="2" t="s">
        <v>39</v>
      </c>
      <c r="AC1655" s="2" t="s">
        <v>39</v>
      </c>
      <c r="AD1655" s="2" t="s">
        <v>39</v>
      </c>
      <c r="AE1655" s="2" t="s">
        <v>39</v>
      </c>
    </row>
    <row r="1656" spans="1:31" ht="409.5">
      <c r="A1656" s="2">
        <v>2734092</v>
      </c>
      <c r="B1656" s="2">
        <f>HYPERLINK("https://platform.v2.vetology.net/cases/2734092/screening-report/1?type=pdf&amp;v=v6&amp;scorecard=1&amp;secret_key=BX%25IJ%24%2F65ieZ%29f6", 2734092)</f>
        <v>2734092</v>
      </c>
      <c r="C1656" s="2">
        <f>HYPERLINK("https://platform.v2.vetology.net/report/v/final/"&amp;2734092, 2734092)</f>
        <v>2734092</v>
      </c>
      <c r="D1656" s="2" t="s">
        <v>5424</v>
      </c>
      <c r="E1656" s="2" t="s">
        <v>5425</v>
      </c>
      <c r="F1656" s="2" t="s">
        <v>2725</v>
      </c>
      <c r="G1656" s="2" t="s">
        <v>170</v>
      </c>
      <c r="H1656" s="2" t="s">
        <v>5426</v>
      </c>
      <c r="I1656" s="2" t="s">
        <v>36</v>
      </c>
      <c r="J1656" s="2" t="s">
        <v>37</v>
      </c>
      <c r="K1656" s="2" t="s">
        <v>38</v>
      </c>
      <c r="L1656" s="2" t="s">
        <v>38</v>
      </c>
      <c r="M1656" s="2" t="s">
        <v>38</v>
      </c>
      <c r="N1656" s="2" t="s">
        <v>38</v>
      </c>
      <c r="O1656" s="2" t="s">
        <v>38</v>
      </c>
      <c r="P1656" s="2" t="s">
        <v>39</v>
      </c>
      <c r="Q1656" s="2" t="s">
        <v>39</v>
      </c>
      <c r="R1656" s="2" t="s">
        <v>38</v>
      </c>
      <c r="S1656" s="2" t="s">
        <v>38</v>
      </c>
      <c r="T1656" s="2" t="s">
        <v>39</v>
      </c>
      <c r="U1656" s="2" t="s">
        <v>39</v>
      </c>
      <c r="V1656" s="2" t="s">
        <v>38</v>
      </c>
      <c r="W1656" s="2" t="s">
        <v>38</v>
      </c>
      <c r="X1656" s="2" t="s">
        <v>39</v>
      </c>
      <c r="Y1656" s="2" t="s">
        <v>39</v>
      </c>
      <c r="Z1656" s="2" t="s">
        <v>38</v>
      </c>
      <c r="AA1656" s="2" t="s">
        <v>39</v>
      </c>
      <c r="AB1656" s="2" t="s">
        <v>39</v>
      </c>
      <c r="AC1656" s="2" t="s">
        <v>38</v>
      </c>
      <c r="AD1656" s="2" t="s">
        <v>38</v>
      </c>
      <c r="AE1656" s="2" t="s">
        <v>40</v>
      </c>
    </row>
    <row r="1657" spans="1:31" ht="409.5">
      <c r="A1657" s="2">
        <v>2734087</v>
      </c>
      <c r="B1657" s="2">
        <f>HYPERLINK("https://platform.v2.vetology.net/cases/2734087/screening-report/1?type=pdf&amp;v=v6&amp;scorecard=1&amp;secret_key=BX%25IJ%24%2F65ieZ%29f6", 2734087)</f>
        <v>2734087</v>
      </c>
      <c r="C1657" s="2">
        <f>HYPERLINK("https://platform.v2.vetology.net/report/v/final/"&amp;2734087, 2734087)</f>
        <v>2734087</v>
      </c>
      <c r="D1657" s="2" t="s">
        <v>5427</v>
      </c>
      <c r="E1657" s="2" t="s">
        <v>5428</v>
      </c>
      <c r="F1657" s="2" t="s">
        <v>5429</v>
      </c>
      <c r="G1657" s="2" t="s">
        <v>111</v>
      </c>
      <c r="H1657" s="2" t="s">
        <v>69</v>
      </c>
      <c r="I1657" s="2" t="s">
        <v>46</v>
      </c>
      <c r="J1657" s="2"/>
      <c r="K1657" s="2" t="s">
        <v>39</v>
      </c>
      <c r="L1657" s="2" t="s">
        <v>39</v>
      </c>
      <c r="M1657" s="2" t="s">
        <v>39</v>
      </c>
      <c r="N1657" s="2" t="s">
        <v>39</v>
      </c>
      <c r="O1657" s="2" t="s">
        <v>39</v>
      </c>
      <c r="P1657" s="2" t="s">
        <v>39</v>
      </c>
      <c r="Q1657" s="2" t="s">
        <v>39</v>
      </c>
      <c r="R1657" s="2" t="s">
        <v>39</v>
      </c>
      <c r="S1657" s="2" t="s">
        <v>39</v>
      </c>
      <c r="T1657" s="2" t="s">
        <v>39</v>
      </c>
      <c r="U1657" s="2" t="s">
        <v>39</v>
      </c>
      <c r="V1657" s="2" t="s">
        <v>39</v>
      </c>
      <c r="W1657" s="2" t="s">
        <v>39</v>
      </c>
      <c r="X1657" s="2" t="s">
        <v>39</v>
      </c>
      <c r="Y1657" s="2" t="s">
        <v>39</v>
      </c>
      <c r="Z1657" s="2" t="s">
        <v>39</v>
      </c>
      <c r="AA1657" s="2" t="s">
        <v>39</v>
      </c>
      <c r="AB1657" s="2" t="s">
        <v>39</v>
      </c>
      <c r="AC1657" s="2" t="s">
        <v>39</v>
      </c>
      <c r="AD1657" s="2" t="s">
        <v>38</v>
      </c>
      <c r="AE1657" s="2" t="s">
        <v>39</v>
      </c>
    </row>
    <row r="1658" spans="1:31" ht="409.5">
      <c r="A1658" s="2">
        <v>2734070</v>
      </c>
      <c r="B1658" s="2">
        <f>HYPERLINK("https://platform.v2.vetology.net/cases/2734070/screening-report/1?type=pdf&amp;v=v6&amp;scorecard=1&amp;secret_key=BX%25IJ%24%2F65ieZ%29f6", 2734070)</f>
        <v>2734070</v>
      </c>
      <c r="C1658" s="2">
        <f>HYPERLINK("https://platform.v2.vetology.net/report/v/final/"&amp;2734070, 2734070)</f>
        <v>2734070</v>
      </c>
      <c r="D1658" s="2" t="s">
        <v>5430</v>
      </c>
      <c r="E1658" s="2" t="s">
        <v>5431</v>
      </c>
      <c r="F1658" s="2" t="s">
        <v>5432</v>
      </c>
      <c r="G1658" s="2" t="s">
        <v>127</v>
      </c>
      <c r="H1658" s="2" t="s">
        <v>1669</v>
      </c>
      <c r="I1658" s="2" t="s">
        <v>46</v>
      </c>
      <c r="J1658" s="2"/>
      <c r="K1658" s="2" t="s">
        <v>39</v>
      </c>
      <c r="L1658" s="2" t="s">
        <v>39</v>
      </c>
      <c r="M1658" s="2" t="s">
        <v>39</v>
      </c>
      <c r="N1658" s="2" t="s">
        <v>39</v>
      </c>
      <c r="O1658" s="2" t="s">
        <v>39</v>
      </c>
      <c r="P1658" s="2" t="s">
        <v>38</v>
      </c>
      <c r="Q1658" s="2" t="s">
        <v>39</v>
      </c>
      <c r="R1658" s="2" t="s">
        <v>39</v>
      </c>
      <c r="S1658" s="2" t="s">
        <v>39</v>
      </c>
      <c r="T1658" s="2" t="s">
        <v>39</v>
      </c>
      <c r="U1658" s="2" t="s">
        <v>39</v>
      </c>
      <c r="V1658" s="2" t="s">
        <v>39</v>
      </c>
      <c r="W1658" s="2" t="s">
        <v>39</v>
      </c>
      <c r="X1658" s="2" t="s">
        <v>39</v>
      </c>
      <c r="Y1658" s="2" t="s">
        <v>39</v>
      </c>
      <c r="Z1658" s="2" t="s">
        <v>38</v>
      </c>
      <c r="AA1658" s="2" t="s">
        <v>38</v>
      </c>
      <c r="AB1658" s="2" t="s">
        <v>39</v>
      </c>
      <c r="AC1658" s="2" t="s">
        <v>39</v>
      </c>
      <c r="AD1658" s="2" t="s">
        <v>39</v>
      </c>
      <c r="AE1658" s="2"/>
    </row>
    <row r="1659" spans="1:31" ht="409.5">
      <c r="A1659" s="2">
        <v>2734046</v>
      </c>
      <c r="B1659" s="2">
        <f>HYPERLINK("https://platform.v2.vetology.net/cases/2734046/screening-report/1?type=pdf&amp;v=v6&amp;scorecard=1&amp;secret_key=BX%25IJ%24%2F65ieZ%29f6", 2734046)</f>
        <v>2734046</v>
      </c>
      <c r="C1659" s="2">
        <f>HYPERLINK("https://platform.v2.vetology.net/report/v/final/"&amp;2734046, 2734046)</f>
        <v>2734046</v>
      </c>
      <c r="D1659" s="2" t="s">
        <v>5433</v>
      </c>
      <c r="E1659" s="2" t="s">
        <v>5434</v>
      </c>
      <c r="F1659" s="2" t="s">
        <v>276</v>
      </c>
      <c r="G1659" s="2" t="s">
        <v>170</v>
      </c>
      <c r="H1659" s="2" t="s">
        <v>69</v>
      </c>
      <c r="I1659" s="2" t="s">
        <v>46</v>
      </c>
      <c r="J1659" s="2"/>
      <c r="K1659" s="2" t="s">
        <v>39</v>
      </c>
      <c r="L1659" s="2" t="s">
        <v>39</v>
      </c>
      <c r="M1659" s="2" t="s">
        <v>39</v>
      </c>
      <c r="N1659" s="2" t="s">
        <v>39</v>
      </c>
      <c r="O1659" s="2" t="s">
        <v>39</v>
      </c>
      <c r="P1659" s="2" t="s">
        <v>39</v>
      </c>
      <c r="Q1659" s="2" t="s">
        <v>39</v>
      </c>
      <c r="R1659" s="2" t="s">
        <v>39</v>
      </c>
      <c r="S1659" s="2" t="s">
        <v>39</v>
      </c>
      <c r="T1659" s="2" t="s">
        <v>39</v>
      </c>
      <c r="U1659" s="2" t="s">
        <v>39</v>
      </c>
      <c r="V1659" s="2" t="s">
        <v>38</v>
      </c>
      <c r="W1659" s="2" t="s">
        <v>39</v>
      </c>
      <c r="X1659" s="2" t="s">
        <v>39</v>
      </c>
      <c r="Y1659" s="2" t="s">
        <v>39</v>
      </c>
      <c r="Z1659" s="2" t="s">
        <v>39</v>
      </c>
      <c r="AA1659" s="2" t="s">
        <v>39</v>
      </c>
      <c r="AB1659" s="2" t="s">
        <v>39</v>
      </c>
      <c r="AC1659" s="2" t="s">
        <v>39</v>
      </c>
      <c r="AD1659" s="2" t="s">
        <v>39</v>
      </c>
      <c r="AE1659" s="2" t="s">
        <v>39</v>
      </c>
    </row>
    <row r="1660" spans="1:31" ht="409.5">
      <c r="A1660" s="2">
        <v>2734031</v>
      </c>
      <c r="B1660" s="2">
        <f>HYPERLINK("https://platform.v2.vetology.net/cases/2734031/screening-report/1?type=pdf&amp;v=v6&amp;scorecard=1&amp;secret_key=BX%25IJ%24%2F65ieZ%29f6", 2734031)</f>
        <v>2734031</v>
      </c>
      <c r="C1660" s="2">
        <f>HYPERLINK("https://platform.v2.vetology.net/report/v/final/"&amp;2734031, 2734031)</f>
        <v>2734031</v>
      </c>
      <c r="D1660" s="2" t="s">
        <v>5435</v>
      </c>
      <c r="E1660" s="2" t="s">
        <v>5436</v>
      </c>
      <c r="F1660" s="2" t="s">
        <v>5437</v>
      </c>
      <c r="G1660" s="2" t="s">
        <v>170</v>
      </c>
      <c r="H1660" s="2" t="s">
        <v>5438</v>
      </c>
      <c r="I1660" s="2" t="s">
        <v>73</v>
      </c>
      <c r="J1660" s="2" t="s">
        <v>74</v>
      </c>
      <c r="K1660" s="2" t="s">
        <v>38</v>
      </c>
      <c r="L1660" s="2" t="s">
        <v>38</v>
      </c>
      <c r="M1660" s="2" t="s">
        <v>38</v>
      </c>
      <c r="N1660" s="2" t="s">
        <v>38</v>
      </c>
      <c r="O1660" s="2" t="s">
        <v>38</v>
      </c>
      <c r="P1660" s="2" t="s">
        <v>38</v>
      </c>
      <c r="Q1660" s="2" t="s">
        <v>38</v>
      </c>
      <c r="R1660" s="2" t="s">
        <v>38</v>
      </c>
      <c r="S1660" s="2" t="s">
        <v>38</v>
      </c>
      <c r="T1660" s="2" t="s">
        <v>38</v>
      </c>
      <c r="U1660" s="2" t="s">
        <v>38</v>
      </c>
      <c r="V1660" s="2" t="s">
        <v>38</v>
      </c>
      <c r="W1660" s="2" t="s">
        <v>38</v>
      </c>
      <c r="X1660" s="2" t="s">
        <v>38</v>
      </c>
      <c r="Y1660" s="2" t="s">
        <v>38</v>
      </c>
      <c r="Z1660" s="2" t="s">
        <v>38</v>
      </c>
      <c r="AA1660" s="2" t="s">
        <v>38</v>
      </c>
      <c r="AB1660" s="2" t="s">
        <v>38</v>
      </c>
      <c r="AC1660" s="2" t="s">
        <v>38</v>
      </c>
      <c r="AD1660" s="2" t="s">
        <v>38</v>
      </c>
      <c r="AE1660" s="2" t="s">
        <v>39</v>
      </c>
    </row>
    <row r="1661" spans="1:31" ht="409.5">
      <c r="A1661" s="2">
        <v>2734003</v>
      </c>
      <c r="B1661" s="2">
        <f>HYPERLINK("https://platform.v2.vetology.net/cases/2734003/screening-report/1?type=pdf&amp;v=v6&amp;scorecard=1&amp;secret_key=BX%25IJ%24%2F65ieZ%29f6", 2734003)</f>
        <v>2734003</v>
      </c>
      <c r="C1661" s="2">
        <f>HYPERLINK("https://platform.v2.vetology.net/report/v/final/"&amp;2734003, 2734003)</f>
        <v>2734003</v>
      </c>
      <c r="D1661" s="2" t="s">
        <v>5439</v>
      </c>
      <c r="E1661" s="2" t="s">
        <v>5440</v>
      </c>
      <c r="F1661" s="2" t="s">
        <v>5441</v>
      </c>
      <c r="G1661" s="2" t="s">
        <v>170</v>
      </c>
      <c r="H1661" s="2" t="s">
        <v>2195</v>
      </c>
      <c r="I1661" s="2" t="s">
        <v>36</v>
      </c>
      <c r="J1661" s="2" t="s">
        <v>37</v>
      </c>
      <c r="K1661" s="2" t="s">
        <v>39</v>
      </c>
      <c r="L1661" s="2" t="s">
        <v>38</v>
      </c>
      <c r="M1661" s="2" t="s">
        <v>39</v>
      </c>
      <c r="N1661" s="2" t="s">
        <v>39</v>
      </c>
      <c r="O1661" s="2" t="s">
        <v>38</v>
      </c>
      <c r="P1661" s="2" t="s">
        <v>39</v>
      </c>
      <c r="Q1661" s="2" t="s">
        <v>39</v>
      </c>
      <c r="R1661" s="2" t="s">
        <v>38</v>
      </c>
      <c r="S1661" s="2" t="s">
        <v>38</v>
      </c>
      <c r="T1661" s="2" t="s">
        <v>39</v>
      </c>
      <c r="U1661" s="2" t="s">
        <v>39</v>
      </c>
      <c r="V1661" s="2" t="s">
        <v>39</v>
      </c>
      <c r="W1661" s="2" t="s">
        <v>38</v>
      </c>
      <c r="X1661" s="2" t="s">
        <v>39</v>
      </c>
      <c r="Y1661" s="2" t="s">
        <v>38</v>
      </c>
      <c r="Z1661" s="2" t="s">
        <v>39</v>
      </c>
      <c r="AA1661" s="2" t="s">
        <v>39</v>
      </c>
      <c r="AB1661" s="2" t="s">
        <v>39</v>
      </c>
      <c r="AC1661" s="2" t="s">
        <v>38</v>
      </c>
      <c r="AD1661" s="2" t="s">
        <v>38</v>
      </c>
      <c r="AE1661" s="2" t="s">
        <v>39</v>
      </c>
    </row>
    <row r="1662" spans="1:31" ht="409.5">
      <c r="A1662" s="2">
        <v>2733937</v>
      </c>
      <c r="B1662" s="2">
        <f>HYPERLINK("https://platform.v2.vetology.net/cases/2733937/screening-report/1?type=pdf&amp;v=v6&amp;scorecard=1&amp;secret_key=BX%25IJ%24%2F65ieZ%29f6", 2733937)</f>
        <v>2733937</v>
      </c>
      <c r="C1662" s="2">
        <f>HYPERLINK("https://platform.v2.vetology.net/report/v/final/"&amp;2733937, 2733937)</f>
        <v>2733937</v>
      </c>
      <c r="D1662" s="2" t="s">
        <v>5442</v>
      </c>
      <c r="E1662" s="2" t="s">
        <v>5443</v>
      </c>
      <c r="F1662" s="2" t="s">
        <v>5444</v>
      </c>
      <c r="G1662" s="2" t="s">
        <v>111</v>
      </c>
      <c r="H1662" s="2" t="s">
        <v>5445</v>
      </c>
      <c r="I1662" s="2" t="s">
        <v>36</v>
      </c>
      <c r="J1662" s="2" t="s">
        <v>37</v>
      </c>
      <c r="K1662" s="2" t="s">
        <v>38</v>
      </c>
      <c r="L1662" s="2" t="s">
        <v>39</v>
      </c>
      <c r="M1662" s="2" t="s">
        <v>38</v>
      </c>
      <c r="N1662" s="2" t="s">
        <v>39</v>
      </c>
      <c r="O1662" s="2" t="s">
        <v>38</v>
      </c>
      <c r="P1662" s="2" t="s">
        <v>39</v>
      </c>
      <c r="Q1662" s="2" t="s">
        <v>39</v>
      </c>
      <c r="R1662" s="2" t="s">
        <v>39</v>
      </c>
      <c r="S1662" s="2" t="s">
        <v>39</v>
      </c>
      <c r="T1662" s="2" t="s">
        <v>38</v>
      </c>
      <c r="U1662" s="2" t="s">
        <v>38</v>
      </c>
      <c r="V1662" s="2" t="s">
        <v>38</v>
      </c>
      <c r="W1662" s="2" t="s">
        <v>38</v>
      </c>
      <c r="X1662" s="2" t="s">
        <v>39</v>
      </c>
      <c r="Y1662" s="2" t="s">
        <v>39</v>
      </c>
      <c r="Z1662" s="2" t="s">
        <v>38</v>
      </c>
      <c r="AA1662" s="2" t="s">
        <v>38</v>
      </c>
      <c r="AB1662" s="2" t="s">
        <v>39</v>
      </c>
      <c r="AC1662" s="2" t="s">
        <v>38</v>
      </c>
      <c r="AD1662" s="2" t="s">
        <v>39</v>
      </c>
      <c r="AE1662" s="2" t="s">
        <v>40</v>
      </c>
    </row>
    <row r="1663" spans="1:31" ht="409.5">
      <c r="A1663" s="2">
        <v>2733916</v>
      </c>
      <c r="B1663" s="2">
        <f>HYPERLINK("https://platform.v2.vetology.net/cases/2733916/screening-report/1?type=pdf&amp;v=v6&amp;scorecard=1&amp;secret_key=BX%25IJ%24%2F65ieZ%29f6", 2733916)</f>
        <v>2733916</v>
      </c>
      <c r="C1663" s="2">
        <f>HYPERLINK("https://platform.v2.vetology.net/report/v/final/"&amp;2733916, 2733916)</f>
        <v>2733916</v>
      </c>
      <c r="D1663" s="2" t="s">
        <v>5446</v>
      </c>
      <c r="E1663" s="2" t="s">
        <v>5447</v>
      </c>
      <c r="F1663" s="2" t="s">
        <v>2725</v>
      </c>
      <c r="G1663" s="2" t="s">
        <v>170</v>
      </c>
      <c r="H1663" s="2" t="s">
        <v>2256</v>
      </c>
      <c r="I1663" s="2" t="s">
        <v>36</v>
      </c>
      <c r="J1663" s="2" t="s">
        <v>37</v>
      </c>
      <c r="K1663" s="2" t="s">
        <v>39</v>
      </c>
      <c r="L1663" s="2" t="s">
        <v>38</v>
      </c>
      <c r="M1663" s="2" t="s">
        <v>38</v>
      </c>
      <c r="N1663" s="2" t="s">
        <v>38</v>
      </c>
      <c r="O1663" s="2" t="s">
        <v>38</v>
      </c>
      <c r="P1663" s="2" t="s">
        <v>39</v>
      </c>
      <c r="Q1663" s="2" t="s">
        <v>39</v>
      </c>
      <c r="R1663" s="2" t="s">
        <v>38</v>
      </c>
      <c r="S1663" s="2" t="s">
        <v>39</v>
      </c>
      <c r="T1663" s="2" t="s">
        <v>39</v>
      </c>
      <c r="U1663" s="2" t="s">
        <v>39</v>
      </c>
      <c r="V1663" s="2" t="s">
        <v>39</v>
      </c>
      <c r="W1663" s="2" t="s">
        <v>38</v>
      </c>
      <c r="X1663" s="2" t="s">
        <v>39</v>
      </c>
      <c r="Y1663" s="2" t="s">
        <v>39</v>
      </c>
      <c r="Z1663" s="2" t="s">
        <v>38</v>
      </c>
      <c r="AA1663" s="2" t="s">
        <v>38</v>
      </c>
      <c r="AB1663" s="2" t="s">
        <v>39</v>
      </c>
      <c r="AC1663" s="2" t="s">
        <v>38</v>
      </c>
      <c r="AD1663" s="2" t="s">
        <v>39</v>
      </c>
      <c r="AE1663" s="2" t="s">
        <v>39</v>
      </c>
    </row>
    <row r="1664" spans="1:31" ht="409.5">
      <c r="A1664" s="2">
        <v>2733861</v>
      </c>
      <c r="B1664" s="2">
        <f>HYPERLINK("https://platform.v2.vetology.net/cases/2733861/screening-report/1?type=pdf&amp;v=v6&amp;scorecard=1&amp;secret_key=BX%25IJ%24%2F65ieZ%29f6", 2733861)</f>
        <v>2733861</v>
      </c>
      <c r="C1664" s="2">
        <f>HYPERLINK("https://platform.v2.vetology.net/report/v/final/"&amp;2733861, 2733861)</f>
        <v>2733861</v>
      </c>
      <c r="D1664" s="2" t="s">
        <v>5448</v>
      </c>
      <c r="E1664" s="2" t="s">
        <v>5449</v>
      </c>
      <c r="F1664" s="2" t="s">
        <v>5450</v>
      </c>
      <c r="G1664" s="2" t="s">
        <v>170</v>
      </c>
      <c r="H1664" s="2" t="s">
        <v>5019</v>
      </c>
      <c r="I1664" s="2" t="s">
        <v>36</v>
      </c>
      <c r="J1664" s="2" t="s">
        <v>37</v>
      </c>
      <c r="K1664" s="2" t="s">
        <v>39</v>
      </c>
      <c r="L1664" s="2" t="s">
        <v>39</v>
      </c>
      <c r="M1664" s="2" t="s">
        <v>38</v>
      </c>
      <c r="N1664" s="2" t="s">
        <v>39</v>
      </c>
      <c r="O1664" s="2" t="s">
        <v>39</v>
      </c>
      <c r="P1664" s="2" t="s">
        <v>39</v>
      </c>
      <c r="Q1664" s="2" t="s">
        <v>39</v>
      </c>
      <c r="R1664" s="2" t="s">
        <v>38</v>
      </c>
      <c r="S1664" s="2" t="s">
        <v>38</v>
      </c>
      <c r="T1664" s="2" t="s">
        <v>39</v>
      </c>
      <c r="U1664" s="2" t="s">
        <v>39</v>
      </c>
      <c r="V1664" s="2" t="s">
        <v>39</v>
      </c>
      <c r="W1664" s="2" t="s">
        <v>38</v>
      </c>
      <c r="X1664" s="2" t="s">
        <v>38</v>
      </c>
      <c r="Y1664" s="2" t="s">
        <v>39</v>
      </c>
      <c r="Z1664" s="2" t="s">
        <v>38</v>
      </c>
      <c r="AA1664" s="2" t="s">
        <v>38</v>
      </c>
      <c r="AB1664" s="2" t="s">
        <v>38</v>
      </c>
      <c r="AC1664" s="2" t="s">
        <v>38</v>
      </c>
      <c r="AD1664" s="2" t="s">
        <v>38</v>
      </c>
      <c r="AE1664" s="2" t="s">
        <v>39</v>
      </c>
    </row>
    <row r="1665" spans="1:31" ht="409.5">
      <c r="A1665" s="2">
        <v>2733850</v>
      </c>
      <c r="B1665" s="2">
        <f>HYPERLINK("https://platform.v2.vetology.net/cases/2733850/screening-report/1?type=pdf&amp;v=v6&amp;scorecard=1&amp;secret_key=BX%25IJ%24%2F65ieZ%29f6", 2733850)</f>
        <v>2733850</v>
      </c>
      <c r="C1665" s="2">
        <f>HYPERLINK("https://platform.v2.vetology.net/report/v/final/"&amp;2733850, 2733850)</f>
        <v>2733850</v>
      </c>
      <c r="D1665" s="2" t="s">
        <v>5451</v>
      </c>
      <c r="E1665" s="2" t="s">
        <v>5452</v>
      </c>
      <c r="F1665" s="2" t="s">
        <v>174</v>
      </c>
      <c r="G1665" s="2" t="s">
        <v>170</v>
      </c>
      <c r="H1665" s="2" t="s">
        <v>45</v>
      </c>
      <c r="I1665" s="2" t="s">
        <v>46</v>
      </c>
      <c r="J1665" s="2"/>
      <c r="K1665" s="2" t="s">
        <v>39</v>
      </c>
      <c r="L1665" s="2" t="s">
        <v>39</v>
      </c>
      <c r="M1665" s="2" t="s">
        <v>39</v>
      </c>
      <c r="N1665" s="2" t="s">
        <v>39</v>
      </c>
      <c r="O1665" s="2" t="s">
        <v>39</v>
      </c>
      <c r="P1665" s="2" t="s">
        <v>39</v>
      </c>
      <c r="Q1665" s="2" t="s">
        <v>39</v>
      </c>
      <c r="R1665" s="2" t="s">
        <v>38</v>
      </c>
      <c r="S1665" s="2" t="s">
        <v>39</v>
      </c>
      <c r="T1665" s="2" t="s">
        <v>39</v>
      </c>
      <c r="U1665" s="2" t="s">
        <v>39</v>
      </c>
      <c r="V1665" s="2" t="s">
        <v>39</v>
      </c>
      <c r="W1665" s="2" t="s">
        <v>39</v>
      </c>
      <c r="X1665" s="2" t="s">
        <v>39</v>
      </c>
      <c r="Y1665" s="2" t="s">
        <v>39</v>
      </c>
      <c r="Z1665" s="2" t="s">
        <v>39</v>
      </c>
      <c r="AA1665" s="2" t="s">
        <v>39</v>
      </c>
      <c r="AB1665" s="2" t="s">
        <v>39</v>
      </c>
      <c r="AC1665" s="2" t="s">
        <v>38</v>
      </c>
      <c r="AD1665" s="2" t="s">
        <v>39</v>
      </c>
      <c r="AE1665" s="2" t="s">
        <v>39</v>
      </c>
    </row>
    <row r="1666" spans="1:31" ht="409.5">
      <c r="A1666" s="2">
        <v>2733847</v>
      </c>
      <c r="B1666" s="2">
        <f>HYPERLINK("https://platform.v2.vetology.net/cases/2733847/screening-report/1?type=pdf&amp;v=v6&amp;scorecard=1&amp;secret_key=BX%25IJ%24%2F65ieZ%29f6", 2733847)</f>
        <v>2733847</v>
      </c>
      <c r="C1666" s="2">
        <f>HYPERLINK("https://platform.v2.vetology.net/report/v/final/"&amp;2733847, 2733847)</f>
        <v>2733847</v>
      </c>
      <c r="D1666" s="2" t="s">
        <v>5453</v>
      </c>
      <c r="E1666" s="2" t="s">
        <v>5454</v>
      </c>
      <c r="F1666" s="2" t="s">
        <v>5455</v>
      </c>
      <c r="G1666" s="2" t="s">
        <v>53</v>
      </c>
      <c r="H1666" s="2" t="s">
        <v>66</v>
      </c>
      <c r="I1666" s="2" t="s">
        <v>36</v>
      </c>
      <c r="J1666" s="2" t="s">
        <v>37</v>
      </c>
      <c r="K1666" s="2" t="s">
        <v>39</v>
      </c>
      <c r="L1666" s="2" t="s">
        <v>39</v>
      </c>
      <c r="M1666" s="2" t="s">
        <v>38</v>
      </c>
      <c r="N1666" s="2" t="s">
        <v>39</v>
      </c>
      <c r="O1666" s="2" t="s">
        <v>39</v>
      </c>
      <c r="P1666" s="2" t="s">
        <v>39</v>
      </c>
      <c r="Q1666" s="2" t="s">
        <v>39</v>
      </c>
      <c r="R1666" s="2" t="s">
        <v>39</v>
      </c>
      <c r="S1666" s="2" t="s">
        <v>39</v>
      </c>
      <c r="T1666" s="2" t="s">
        <v>39</v>
      </c>
      <c r="U1666" s="2" t="s">
        <v>38</v>
      </c>
      <c r="V1666" s="2" t="s">
        <v>38</v>
      </c>
      <c r="W1666" s="2" t="s">
        <v>39</v>
      </c>
      <c r="X1666" s="2" t="s">
        <v>39</v>
      </c>
      <c r="Y1666" s="2" t="s">
        <v>39</v>
      </c>
      <c r="Z1666" s="2" t="s">
        <v>38</v>
      </c>
      <c r="AA1666" s="2" t="s">
        <v>39</v>
      </c>
      <c r="AB1666" s="2" t="s">
        <v>39</v>
      </c>
      <c r="AC1666" s="2" t="s">
        <v>38</v>
      </c>
      <c r="AD1666" s="2" t="s">
        <v>39</v>
      </c>
      <c r="AE1666" s="2" t="s">
        <v>39</v>
      </c>
    </row>
    <row r="1667" spans="1:31" ht="409.5">
      <c r="A1667" s="2">
        <v>2733825</v>
      </c>
      <c r="B1667" s="2">
        <f>HYPERLINK("https://platform.v2.vetology.net/cases/2733825/screening-report/1?type=pdf&amp;v=v6&amp;scorecard=1&amp;secret_key=BX%25IJ%24%2F65ieZ%29f6", 2733825)</f>
        <v>2733825</v>
      </c>
      <c r="C1667" s="2">
        <f>HYPERLINK("https://platform.v2.vetology.net/report/v/final/"&amp;2733825, 2733825)</f>
        <v>2733825</v>
      </c>
      <c r="D1667" s="2" t="s">
        <v>5456</v>
      </c>
      <c r="E1667" s="2" t="s">
        <v>5457</v>
      </c>
      <c r="F1667" s="2" t="s">
        <v>5458</v>
      </c>
      <c r="G1667" s="2" t="s">
        <v>53</v>
      </c>
      <c r="H1667" s="2" t="s">
        <v>5459</v>
      </c>
      <c r="I1667" s="2" t="s">
        <v>257</v>
      </c>
      <c r="J1667" s="2" t="s">
        <v>74</v>
      </c>
      <c r="K1667" s="2" t="s">
        <v>38</v>
      </c>
      <c r="L1667" s="2" t="s">
        <v>38</v>
      </c>
      <c r="M1667" s="2" t="s">
        <v>38</v>
      </c>
      <c r="N1667" s="2" t="s">
        <v>38</v>
      </c>
      <c r="O1667" s="2" t="s">
        <v>38</v>
      </c>
      <c r="P1667" s="2" t="s">
        <v>38</v>
      </c>
      <c r="Q1667" s="2" t="s">
        <v>38</v>
      </c>
      <c r="R1667" s="2" t="s">
        <v>38</v>
      </c>
      <c r="S1667" s="2" t="s">
        <v>38</v>
      </c>
      <c r="T1667" s="2" t="s">
        <v>38</v>
      </c>
      <c r="U1667" s="2" t="s">
        <v>38</v>
      </c>
      <c r="V1667" s="2" t="s">
        <v>38</v>
      </c>
      <c r="W1667" s="2" t="s">
        <v>38</v>
      </c>
      <c r="X1667" s="2" t="s">
        <v>39</v>
      </c>
      <c r="Y1667" s="2" t="s">
        <v>38</v>
      </c>
      <c r="Z1667" s="2" t="s">
        <v>38</v>
      </c>
      <c r="AA1667" s="2" t="s">
        <v>38</v>
      </c>
      <c r="AB1667" s="2" t="s">
        <v>39</v>
      </c>
      <c r="AC1667" s="2" t="s">
        <v>38</v>
      </c>
      <c r="AD1667" s="2" t="s">
        <v>38</v>
      </c>
      <c r="AE1667" s="2" t="s">
        <v>39</v>
      </c>
    </row>
    <row r="1668" spans="1:31" ht="409.5">
      <c r="A1668" s="2">
        <v>2733823</v>
      </c>
      <c r="B1668" s="2">
        <f>HYPERLINK("https://platform.v2.vetology.net/cases/2733823/screening-report/1?type=pdf&amp;v=v6&amp;scorecard=1&amp;secret_key=BX%25IJ%24%2F65ieZ%29f6", 2733823)</f>
        <v>2733823</v>
      </c>
      <c r="C1668" s="2">
        <f>HYPERLINK("https://platform.v2.vetology.net/report/v/final/"&amp;2733823, 2733823)</f>
        <v>2733823</v>
      </c>
      <c r="D1668" s="2" t="s">
        <v>5460</v>
      </c>
      <c r="E1668" s="2" t="s">
        <v>5461</v>
      </c>
      <c r="F1668" s="2" t="s">
        <v>5462</v>
      </c>
      <c r="G1668" s="2" t="s">
        <v>127</v>
      </c>
      <c r="H1668" s="2" t="s">
        <v>5463</v>
      </c>
      <c r="I1668" s="2" t="s">
        <v>129</v>
      </c>
      <c r="J1668" s="2" t="s">
        <v>74</v>
      </c>
      <c r="K1668" s="2" t="s">
        <v>39</v>
      </c>
      <c r="L1668" s="2" t="s">
        <v>39</v>
      </c>
      <c r="M1668" s="2" t="s">
        <v>38</v>
      </c>
      <c r="N1668" s="2" t="s">
        <v>38</v>
      </c>
      <c r="O1668" s="2" t="s">
        <v>38</v>
      </c>
      <c r="P1668" s="2" t="s">
        <v>38</v>
      </c>
      <c r="Q1668" s="2" t="s">
        <v>38</v>
      </c>
      <c r="R1668" s="2" t="s">
        <v>38</v>
      </c>
      <c r="S1668" s="2" t="s">
        <v>38</v>
      </c>
      <c r="T1668" s="2" t="s">
        <v>38</v>
      </c>
      <c r="U1668" s="2" t="s">
        <v>39</v>
      </c>
      <c r="V1668" s="2" t="s">
        <v>39</v>
      </c>
      <c r="W1668" s="2" t="s">
        <v>38</v>
      </c>
      <c r="X1668" s="2" t="s">
        <v>38</v>
      </c>
      <c r="Y1668" s="2" t="s">
        <v>38</v>
      </c>
      <c r="Z1668" s="2" t="s">
        <v>38</v>
      </c>
      <c r="AA1668" s="2" t="s">
        <v>38</v>
      </c>
      <c r="AB1668" s="2" t="s">
        <v>38</v>
      </c>
      <c r="AC1668" s="2" t="s">
        <v>38</v>
      </c>
      <c r="AD1668" s="2" t="s">
        <v>39</v>
      </c>
      <c r="AE1668" s="2" t="s">
        <v>40</v>
      </c>
    </row>
    <row r="1669" spans="1:31" ht="409.5">
      <c r="A1669" s="2">
        <v>2733821</v>
      </c>
      <c r="B1669" s="2">
        <f>HYPERLINK("https://platform.v2.vetology.net/cases/2733821/screening-report/1?type=pdf&amp;v=v6&amp;scorecard=1&amp;secret_key=BX%25IJ%24%2F65ieZ%29f6", 2733821)</f>
        <v>2733821</v>
      </c>
      <c r="C1669" s="2">
        <f>HYPERLINK("https://platform.v2.vetology.net/report/v/final/"&amp;2733821, 2733821)</f>
        <v>2733821</v>
      </c>
      <c r="D1669" s="2" t="s">
        <v>5464</v>
      </c>
      <c r="E1669" s="2" t="s">
        <v>5465</v>
      </c>
      <c r="F1669" s="2" t="s">
        <v>5466</v>
      </c>
      <c r="G1669" s="2" t="s">
        <v>111</v>
      </c>
      <c r="H1669" s="2" t="s">
        <v>265</v>
      </c>
      <c r="I1669" s="2" t="s">
        <v>36</v>
      </c>
      <c r="J1669" s="2" t="s">
        <v>37</v>
      </c>
      <c r="K1669" s="2" t="s">
        <v>39</v>
      </c>
      <c r="L1669" s="2" t="s">
        <v>39</v>
      </c>
      <c r="M1669" s="2" t="s">
        <v>38</v>
      </c>
      <c r="N1669" s="2" t="s">
        <v>39</v>
      </c>
      <c r="O1669" s="2" t="s">
        <v>38</v>
      </c>
      <c r="P1669" s="2" t="s">
        <v>39</v>
      </c>
      <c r="Q1669" s="2" t="s">
        <v>39</v>
      </c>
      <c r="R1669" s="2" t="s">
        <v>39</v>
      </c>
      <c r="S1669" s="2" t="s">
        <v>39</v>
      </c>
      <c r="T1669" s="2" t="s">
        <v>38</v>
      </c>
      <c r="U1669" s="2" t="s">
        <v>39</v>
      </c>
      <c r="V1669" s="2" t="s">
        <v>39</v>
      </c>
      <c r="W1669" s="2" t="s">
        <v>38</v>
      </c>
      <c r="X1669" s="2" t="s">
        <v>39</v>
      </c>
      <c r="Y1669" s="2" t="s">
        <v>39</v>
      </c>
      <c r="Z1669" s="2" t="s">
        <v>38</v>
      </c>
      <c r="AA1669" s="2" t="s">
        <v>39</v>
      </c>
      <c r="AB1669" s="2" t="s">
        <v>39</v>
      </c>
      <c r="AC1669" s="2" t="s">
        <v>39</v>
      </c>
      <c r="AD1669" s="2" t="s">
        <v>38</v>
      </c>
      <c r="AE1669" s="2" t="s">
        <v>40</v>
      </c>
    </row>
    <row r="1670" spans="1:31" ht="409.5">
      <c r="A1670" s="2">
        <v>2733801</v>
      </c>
      <c r="B1670" s="2">
        <f>HYPERLINK("https://platform.v2.vetology.net/cases/2733801/screening-report/1?type=pdf&amp;v=v6&amp;scorecard=1&amp;secret_key=BX%25IJ%24%2F65ieZ%29f6", 2733801)</f>
        <v>2733801</v>
      </c>
      <c r="C1670" s="2">
        <f>HYPERLINK("https://platform.v2.vetology.net/report/v/final/"&amp;2733801, 2733801)</f>
        <v>2733801</v>
      </c>
      <c r="D1670" s="2" t="s">
        <v>5467</v>
      </c>
      <c r="E1670" s="2" t="s">
        <v>5468</v>
      </c>
      <c r="F1670" s="2" t="s">
        <v>5469</v>
      </c>
      <c r="G1670" s="2" t="s">
        <v>34</v>
      </c>
      <c r="H1670" s="2" t="s">
        <v>2323</v>
      </c>
      <c r="I1670" s="2" t="s">
        <v>59</v>
      </c>
      <c r="J1670" s="2" t="s">
        <v>37</v>
      </c>
      <c r="K1670" s="2" t="s">
        <v>38</v>
      </c>
      <c r="L1670" s="2" t="s">
        <v>39</v>
      </c>
      <c r="M1670" s="2" t="s">
        <v>39</v>
      </c>
      <c r="N1670" s="2" t="s">
        <v>39</v>
      </c>
      <c r="O1670" s="2" t="s">
        <v>39</v>
      </c>
      <c r="P1670" s="2" t="s">
        <v>39</v>
      </c>
      <c r="Q1670" s="2" t="s">
        <v>39</v>
      </c>
      <c r="R1670" s="2" t="s">
        <v>38</v>
      </c>
      <c r="S1670" s="2" t="s">
        <v>38</v>
      </c>
      <c r="T1670" s="2" t="s">
        <v>38</v>
      </c>
      <c r="U1670" s="2" t="s">
        <v>38</v>
      </c>
      <c r="V1670" s="2" t="s">
        <v>38</v>
      </c>
      <c r="W1670" s="2" t="s">
        <v>38</v>
      </c>
      <c r="X1670" s="2" t="s">
        <v>39</v>
      </c>
      <c r="Y1670" s="2" t="s">
        <v>39</v>
      </c>
      <c r="Z1670" s="2" t="s">
        <v>38</v>
      </c>
      <c r="AA1670" s="2" t="s">
        <v>39</v>
      </c>
      <c r="AB1670" s="2" t="s">
        <v>39</v>
      </c>
      <c r="AC1670" s="2" t="s">
        <v>38</v>
      </c>
      <c r="AD1670" s="2" t="s">
        <v>38</v>
      </c>
      <c r="AE1670" s="2" t="s">
        <v>40</v>
      </c>
    </row>
    <row r="1671" spans="1:31" ht="409.5">
      <c r="A1671" s="2">
        <v>2733779</v>
      </c>
      <c r="B1671" s="2">
        <f>HYPERLINK("https://platform.v2.vetology.net/cases/2733779/screening-report/1?type=pdf&amp;v=v6&amp;scorecard=1&amp;secret_key=BX%25IJ%24%2F65ieZ%29f6", 2733779)</f>
        <v>2733779</v>
      </c>
      <c r="C1671" s="2">
        <f>HYPERLINK("https://platform.v2.vetology.net/report/v/final/"&amp;2733779, 2733779)</f>
        <v>2733779</v>
      </c>
      <c r="D1671" s="2" t="s">
        <v>5470</v>
      </c>
      <c r="E1671" s="2" t="s">
        <v>5471</v>
      </c>
      <c r="F1671" s="2" t="s">
        <v>5472</v>
      </c>
      <c r="G1671" s="2" t="s">
        <v>127</v>
      </c>
      <c r="H1671" s="2" t="s">
        <v>561</v>
      </c>
      <c r="I1671" s="2" t="s">
        <v>36</v>
      </c>
      <c r="J1671" s="2" t="s">
        <v>37</v>
      </c>
      <c r="K1671" s="2" t="s">
        <v>39</v>
      </c>
      <c r="L1671" s="2" t="s">
        <v>38</v>
      </c>
      <c r="M1671" s="2" t="s">
        <v>38</v>
      </c>
      <c r="N1671" s="2" t="s">
        <v>38</v>
      </c>
      <c r="O1671" s="2" t="s">
        <v>38</v>
      </c>
      <c r="P1671" s="2" t="s">
        <v>39</v>
      </c>
      <c r="Q1671" s="2" t="s">
        <v>39</v>
      </c>
      <c r="R1671" s="2" t="s">
        <v>38</v>
      </c>
      <c r="S1671" s="2" t="s">
        <v>38</v>
      </c>
      <c r="T1671" s="2" t="s">
        <v>39</v>
      </c>
      <c r="U1671" s="2" t="s">
        <v>39</v>
      </c>
      <c r="V1671" s="2" t="s">
        <v>38</v>
      </c>
      <c r="W1671" s="2" t="s">
        <v>38</v>
      </c>
      <c r="X1671" s="2" t="s">
        <v>39</v>
      </c>
      <c r="Y1671" s="2" t="s">
        <v>39</v>
      </c>
      <c r="Z1671" s="2" t="s">
        <v>38</v>
      </c>
      <c r="AA1671" s="2" t="s">
        <v>38</v>
      </c>
      <c r="AB1671" s="2" t="s">
        <v>39</v>
      </c>
      <c r="AC1671" s="2" t="s">
        <v>38</v>
      </c>
      <c r="AD1671" s="2" t="s">
        <v>39</v>
      </c>
      <c r="AE1671" s="2" t="s">
        <v>40</v>
      </c>
    </row>
    <row r="1672" spans="1:31" ht="409.5">
      <c r="A1672" s="2">
        <v>2733778</v>
      </c>
      <c r="B1672" s="2">
        <f>HYPERLINK("https://platform.v2.vetology.net/cases/2733778/screening-report/1?type=pdf&amp;v=v6&amp;scorecard=1&amp;secret_key=BX%25IJ%24%2F65ieZ%29f6", 2733778)</f>
        <v>2733778</v>
      </c>
      <c r="C1672" s="2">
        <f>HYPERLINK("https://platform.v2.vetology.net/report/v/final/"&amp;2733778, 2733778)</f>
        <v>2733778</v>
      </c>
      <c r="D1672" s="2" t="s">
        <v>5473</v>
      </c>
      <c r="E1672" s="2" t="s">
        <v>5474</v>
      </c>
      <c r="F1672" s="2" t="s">
        <v>5475</v>
      </c>
      <c r="G1672" s="2" t="s">
        <v>127</v>
      </c>
      <c r="H1672" s="2" t="s">
        <v>5476</v>
      </c>
      <c r="I1672" s="2" t="s">
        <v>36</v>
      </c>
      <c r="J1672" s="2" t="s">
        <v>37</v>
      </c>
      <c r="K1672" s="2" t="s">
        <v>38</v>
      </c>
      <c r="L1672" s="2" t="s">
        <v>38</v>
      </c>
      <c r="M1672" s="2" t="s">
        <v>38</v>
      </c>
      <c r="N1672" s="2" t="s">
        <v>39</v>
      </c>
      <c r="O1672" s="2" t="s">
        <v>38</v>
      </c>
      <c r="P1672" s="2" t="s">
        <v>39</v>
      </c>
      <c r="Q1672" s="2" t="s">
        <v>39</v>
      </c>
      <c r="R1672" s="2" t="s">
        <v>38</v>
      </c>
      <c r="S1672" s="2" t="s">
        <v>39</v>
      </c>
      <c r="T1672" s="2" t="s">
        <v>39</v>
      </c>
      <c r="U1672" s="2" t="s">
        <v>38</v>
      </c>
      <c r="V1672" s="2" t="s">
        <v>38</v>
      </c>
      <c r="W1672" s="2" t="s">
        <v>38</v>
      </c>
      <c r="X1672" s="2" t="s">
        <v>39</v>
      </c>
      <c r="Y1672" s="2" t="s">
        <v>39</v>
      </c>
      <c r="Z1672" s="2" t="s">
        <v>38</v>
      </c>
      <c r="AA1672" s="2" t="s">
        <v>38</v>
      </c>
      <c r="AB1672" s="2" t="s">
        <v>39</v>
      </c>
      <c r="AC1672" s="2" t="s">
        <v>38</v>
      </c>
      <c r="AD1672" s="2" t="s">
        <v>39</v>
      </c>
      <c r="AE1672" s="2" t="s">
        <v>40</v>
      </c>
    </row>
    <row r="1673" spans="1:31" ht="409.5">
      <c r="A1673" s="2">
        <v>2733701</v>
      </c>
      <c r="B1673" s="2">
        <f>HYPERLINK("https://platform.v2.vetology.net/cases/2733701/screening-report/1?type=pdf&amp;v=v6&amp;scorecard=1&amp;secret_key=BX%25IJ%24%2F65ieZ%29f6", 2733701)</f>
        <v>2733701</v>
      </c>
      <c r="C1673" s="2">
        <f>HYPERLINK("https://platform.v2.vetology.net/report/v/final/"&amp;2733701, 2733701)</f>
        <v>2733701</v>
      </c>
      <c r="D1673" s="2" t="s">
        <v>5477</v>
      </c>
      <c r="E1673" s="2" t="s">
        <v>5478</v>
      </c>
      <c r="F1673" s="2" t="s">
        <v>174</v>
      </c>
      <c r="G1673" s="2" t="s">
        <v>170</v>
      </c>
      <c r="H1673" s="2" t="s">
        <v>5479</v>
      </c>
      <c r="I1673" s="2" t="s">
        <v>36</v>
      </c>
      <c r="J1673" s="2" t="s">
        <v>37</v>
      </c>
      <c r="K1673" s="2" t="s">
        <v>39</v>
      </c>
      <c r="L1673" s="2" t="s">
        <v>38</v>
      </c>
      <c r="M1673" s="2" t="s">
        <v>39</v>
      </c>
      <c r="N1673" s="2" t="s">
        <v>39</v>
      </c>
      <c r="O1673" s="2" t="s">
        <v>39</v>
      </c>
      <c r="P1673" s="2" t="s">
        <v>39</v>
      </c>
      <c r="Q1673" s="2" t="s">
        <v>39</v>
      </c>
      <c r="R1673" s="2" t="s">
        <v>39</v>
      </c>
      <c r="S1673" s="2" t="s">
        <v>38</v>
      </c>
      <c r="T1673" s="2" t="s">
        <v>39</v>
      </c>
      <c r="U1673" s="2" t="s">
        <v>39</v>
      </c>
      <c r="V1673" s="2" t="s">
        <v>39</v>
      </c>
      <c r="W1673" s="2" t="s">
        <v>39</v>
      </c>
      <c r="X1673" s="2" t="s">
        <v>39</v>
      </c>
      <c r="Y1673" s="2" t="s">
        <v>39</v>
      </c>
      <c r="Z1673" s="2" t="s">
        <v>39</v>
      </c>
      <c r="AA1673" s="2" t="s">
        <v>39</v>
      </c>
      <c r="AB1673" s="2" t="s">
        <v>39</v>
      </c>
      <c r="AC1673" s="2" t="s">
        <v>39</v>
      </c>
      <c r="AD1673" s="2" t="s">
        <v>38</v>
      </c>
      <c r="AE1673" s="2"/>
    </row>
    <row r="1674" spans="1:31" ht="409.5">
      <c r="A1674" s="2">
        <v>2733662</v>
      </c>
      <c r="B1674" s="2">
        <f>HYPERLINK("https://platform.v2.vetology.net/cases/2733662/screening-report/1?type=pdf&amp;v=v6&amp;scorecard=1&amp;secret_key=BX%25IJ%24%2F65ieZ%29f6", 2733662)</f>
        <v>2733662</v>
      </c>
      <c r="C1674" s="2">
        <f>HYPERLINK("https://platform.v2.vetology.net/report/v/final/"&amp;2733662, 2733662)</f>
        <v>2733662</v>
      </c>
      <c r="D1674" s="2" t="s">
        <v>5480</v>
      </c>
      <c r="E1674" s="2" t="s">
        <v>5481</v>
      </c>
      <c r="F1674" s="2" t="s">
        <v>5482</v>
      </c>
      <c r="G1674" s="2" t="s">
        <v>53</v>
      </c>
      <c r="H1674" s="2" t="s">
        <v>5483</v>
      </c>
      <c r="I1674" s="2" t="s">
        <v>36</v>
      </c>
      <c r="J1674" s="2" t="s">
        <v>37</v>
      </c>
      <c r="K1674" s="2" t="s">
        <v>38</v>
      </c>
      <c r="L1674" s="2" t="s">
        <v>38</v>
      </c>
      <c r="M1674" s="2" t="s">
        <v>39</v>
      </c>
      <c r="N1674" s="2" t="s">
        <v>38</v>
      </c>
      <c r="O1674" s="2" t="s">
        <v>38</v>
      </c>
      <c r="P1674" s="2" t="s">
        <v>39</v>
      </c>
      <c r="Q1674" s="2" t="s">
        <v>39</v>
      </c>
      <c r="R1674" s="2" t="s">
        <v>38</v>
      </c>
      <c r="S1674" s="2" t="s">
        <v>38</v>
      </c>
      <c r="T1674" s="2" t="s">
        <v>39</v>
      </c>
      <c r="U1674" s="2" t="s">
        <v>38</v>
      </c>
      <c r="V1674" s="2" t="s">
        <v>38</v>
      </c>
      <c r="W1674" s="2" t="s">
        <v>38</v>
      </c>
      <c r="X1674" s="2" t="s">
        <v>39</v>
      </c>
      <c r="Y1674" s="2" t="s">
        <v>39</v>
      </c>
      <c r="Z1674" s="2" t="s">
        <v>39</v>
      </c>
      <c r="AA1674" s="2" t="s">
        <v>38</v>
      </c>
      <c r="AB1674" s="2" t="s">
        <v>39</v>
      </c>
      <c r="AC1674" s="2" t="s">
        <v>38</v>
      </c>
      <c r="AD1674" s="2" t="s">
        <v>39</v>
      </c>
      <c r="AE1674" s="2" t="s">
        <v>39</v>
      </c>
    </row>
    <row r="1675" spans="1:31" ht="409.5">
      <c r="A1675" s="2">
        <v>2733659</v>
      </c>
      <c r="B1675" s="2">
        <f>HYPERLINK("https://platform.v2.vetology.net/cases/2733659/screening-report/1?type=pdf&amp;v=v6&amp;scorecard=1&amp;secret_key=BX%25IJ%24%2F65ieZ%29f6", 2733659)</f>
        <v>2733659</v>
      </c>
      <c r="C1675" s="2">
        <f>HYPERLINK("https://platform.v2.vetology.net/report/v/final/"&amp;2733659, 2733659)</f>
        <v>2733659</v>
      </c>
      <c r="D1675" s="2" t="s">
        <v>5484</v>
      </c>
      <c r="E1675" s="2" t="s">
        <v>5485</v>
      </c>
      <c r="F1675" s="2" t="s">
        <v>43</v>
      </c>
      <c r="G1675" s="2" t="s">
        <v>100</v>
      </c>
      <c r="H1675" s="2" t="s">
        <v>5486</v>
      </c>
      <c r="I1675" s="2" t="s">
        <v>73</v>
      </c>
      <c r="J1675" s="2" t="s">
        <v>74</v>
      </c>
      <c r="K1675" s="2" t="s">
        <v>38</v>
      </c>
      <c r="L1675" s="2" t="s">
        <v>38</v>
      </c>
      <c r="M1675" s="2" t="s">
        <v>38</v>
      </c>
      <c r="N1675" s="2" t="s">
        <v>38</v>
      </c>
      <c r="O1675" s="2" t="s">
        <v>38</v>
      </c>
      <c r="P1675" s="2" t="s">
        <v>39</v>
      </c>
      <c r="Q1675" s="2" t="s">
        <v>38</v>
      </c>
      <c r="R1675" s="2" t="s">
        <v>38</v>
      </c>
      <c r="S1675" s="2" t="s">
        <v>38</v>
      </c>
      <c r="T1675" s="2" t="s">
        <v>38</v>
      </c>
      <c r="U1675" s="2" t="s">
        <v>38</v>
      </c>
      <c r="V1675" s="2" t="s">
        <v>38</v>
      </c>
      <c r="W1675" s="2" t="s">
        <v>39</v>
      </c>
      <c r="X1675" s="2" t="s">
        <v>38</v>
      </c>
      <c r="Y1675" s="2" t="s">
        <v>39</v>
      </c>
      <c r="Z1675" s="2" t="s">
        <v>38</v>
      </c>
      <c r="AA1675" s="2" t="s">
        <v>38</v>
      </c>
      <c r="AB1675" s="2" t="s">
        <v>38</v>
      </c>
      <c r="AC1675" s="2" t="s">
        <v>38</v>
      </c>
      <c r="AD1675" s="2" t="s">
        <v>39</v>
      </c>
      <c r="AE1675" s="2" t="s">
        <v>40</v>
      </c>
    </row>
    <row r="1676" spans="1:31" ht="409.5">
      <c r="A1676" s="2">
        <v>2733636</v>
      </c>
      <c r="B1676" s="2">
        <f>HYPERLINK("https://platform.v2.vetology.net/cases/2733636/screening-report/1?type=pdf&amp;v=v6&amp;scorecard=1&amp;secret_key=BX%25IJ%24%2F65ieZ%29f6", 2733636)</f>
        <v>2733636</v>
      </c>
      <c r="C1676" s="2">
        <f>HYPERLINK("https://platform.v2.vetology.net/report/v/final/"&amp;2733636, 2733636)</f>
        <v>2733636</v>
      </c>
      <c r="D1676" s="2" t="s">
        <v>5487</v>
      </c>
      <c r="E1676" s="2" t="s">
        <v>5488</v>
      </c>
      <c r="F1676" s="2" t="s">
        <v>5489</v>
      </c>
      <c r="G1676" s="2" t="s">
        <v>556</v>
      </c>
      <c r="H1676" s="2" t="s">
        <v>515</v>
      </c>
      <c r="I1676" s="2" t="s">
        <v>36</v>
      </c>
      <c r="J1676" s="2" t="s">
        <v>37</v>
      </c>
      <c r="K1676" s="2" t="s">
        <v>39</v>
      </c>
      <c r="L1676" s="2" t="s">
        <v>39</v>
      </c>
      <c r="M1676" s="2" t="s">
        <v>38</v>
      </c>
      <c r="N1676" s="2" t="s">
        <v>39</v>
      </c>
      <c r="O1676" s="2" t="s">
        <v>39</v>
      </c>
      <c r="P1676" s="2" t="s">
        <v>39</v>
      </c>
      <c r="Q1676" s="2" t="s">
        <v>39</v>
      </c>
      <c r="R1676" s="2" t="s">
        <v>39</v>
      </c>
      <c r="S1676" s="2" t="s">
        <v>39</v>
      </c>
      <c r="T1676" s="2" t="s">
        <v>39</v>
      </c>
      <c r="U1676" s="2" t="s">
        <v>39</v>
      </c>
      <c r="V1676" s="2" t="s">
        <v>39</v>
      </c>
      <c r="W1676" s="2" t="s">
        <v>39</v>
      </c>
      <c r="X1676" s="2" t="s">
        <v>39</v>
      </c>
      <c r="Y1676" s="2" t="s">
        <v>39</v>
      </c>
      <c r="Z1676" s="2" t="s">
        <v>38</v>
      </c>
      <c r="AA1676" s="2" t="s">
        <v>39</v>
      </c>
      <c r="AB1676" s="2" t="s">
        <v>39</v>
      </c>
      <c r="AC1676" s="2" t="s">
        <v>39</v>
      </c>
      <c r="AD1676" s="2" t="s">
        <v>39</v>
      </c>
      <c r="AE1676" s="2"/>
    </row>
    <row r="1677" spans="1:31" ht="409.5">
      <c r="A1677" s="2">
        <v>2733606</v>
      </c>
      <c r="B1677" s="2">
        <f>HYPERLINK("https://platform.v2.vetology.net/cases/2733606/screening-report/1?type=pdf&amp;v=v6&amp;scorecard=1&amp;secret_key=BX%25IJ%24%2F65ieZ%29f6", 2733606)</f>
        <v>2733606</v>
      </c>
      <c r="C1677" s="2">
        <f>HYPERLINK("https://platform.v2.vetology.net/report/v/final/"&amp;2733606, 2733606)</f>
        <v>2733606</v>
      </c>
      <c r="D1677" s="2" t="s">
        <v>5490</v>
      </c>
      <c r="E1677" s="2" t="s">
        <v>5491</v>
      </c>
      <c r="F1677" s="2" t="s">
        <v>5492</v>
      </c>
      <c r="G1677" s="2" t="s">
        <v>251</v>
      </c>
      <c r="H1677" s="2" t="s">
        <v>5445</v>
      </c>
      <c r="I1677" s="2" t="s">
        <v>36</v>
      </c>
      <c r="J1677" s="2" t="s">
        <v>37</v>
      </c>
      <c r="K1677" s="2" t="s">
        <v>38</v>
      </c>
      <c r="L1677" s="2" t="s">
        <v>39</v>
      </c>
      <c r="M1677" s="2" t="s">
        <v>38</v>
      </c>
      <c r="N1677" s="2" t="s">
        <v>39</v>
      </c>
      <c r="O1677" s="2" t="s">
        <v>38</v>
      </c>
      <c r="P1677" s="2" t="s">
        <v>39</v>
      </c>
      <c r="Q1677" s="2" t="s">
        <v>39</v>
      </c>
      <c r="R1677" s="2" t="s">
        <v>39</v>
      </c>
      <c r="S1677" s="2" t="s">
        <v>39</v>
      </c>
      <c r="T1677" s="2" t="s">
        <v>38</v>
      </c>
      <c r="U1677" s="2" t="s">
        <v>39</v>
      </c>
      <c r="V1677" s="2" t="s">
        <v>38</v>
      </c>
      <c r="W1677" s="2" t="s">
        <v>38</v>
      </c>
      <c r="X1677" s="2" t="s">
        <v>39</v>
      </c>
      <c r="Y1677" s="2" t="s">
        <v>39</v>
      </c>
      <c r="Z1677" s="2" t="s">
        <v>39</v>
      </c>
      <c r="AA1677" s="2" t="s">
        <v>39</v>
      </c>
      <c r="AB1677" s="2" t="s">
        <v>39</v>
      </c>
      <c r="AC1677" s="2" t="s">
        <v>38</v>
      </c>
      <c r="AD1677" s="2" t="s">
        <v>39</v>
      </c>
      <c r="AE1677" s="2" t="s">
        <v>39</v>
      </c>
    </row>
    <row r="1678" spans="1:31" ht="409.5">
      <c r="A1678" s="2">
        <v>2733592</v>
      </c>
      <c r="B1678" s="2">
        <f>HYPERLINK("https://platform.v2.vetology.net/cases/2733592/screening-report/1?type=pdf&amp;v=v6&amp;scorecard=1&amp;secret_key=BX%25IJ%24%2F65ieZ%29f6", 2733592)</f>
        <v>2733592</v>
      </c>
      <c r="C1678" s="2">
        <f>HYPERLINK("https://platform.v2.vetology.net/report/v/final/"&amp;2733592, 2733592)</f>
        <v>2733592</v>
      </c>
      <c r="D1678" s="2" t="s">
        <v>5493</v>
      </c>
      <c r="E1678" s="2" t="s">
        <v>5494</v>
      </c>
      <c r="F1678" s="2" t="s">
        <v>43</v>
      </c>
      <c r="G1678" s="2" t="s">
        <v>100</v>
      </c>
      <c r="H1678" s="2" t="s">
        <v>5495</v>
      </c>
      <c r="I1678" s="2" t="s">
        <v>129</v>
      </c>
      <c r="J1678" s="2" t="s">
        <v>74</v>
      </c>
      <c r="K1678" s="2" t="s">
        <v>39</v>
      </c>
      <c r="L1678" s="2" t="s">
        <v>38</v>
      </c>
      <c r="M1678" s="2" t="s">
        <v>38</v>
      </c>
      <c r="N1678" s="2" t="s">
        <v>38</v>
      </c>
      <c r="O1678" s="2" t="s">
        <v>38</v>
      </c>
      <c r="P1678" s="2" t="s">
        <v>38</v>
      </c>
      <c r="Q1678" s="2" t="s">
        <v>38</v>
      </c>
      <c r="R1678" s="2" t="s">
        <v>38</v>
      </c>
      <c r="S1678" s="2" t="s">
        <v>38</v>
      </c>
      <c r="T1678" s="2" t="s">
        <v>38</v>
      </c>
      <c r="U1678" s="2" t="s">
        <v>38</v>
      </c>
      <c r="V1678" s="2" t="s">
        <v>38</v>
      </c>
      <c r="W1678" s="2" t="s">
        <v>38</v>
      </c>
      <c r="X1678" s="2" t="s">
        <v>38</v>
      </c>
      <c r="Y1678" s="2" t="s">
        <v>39</v>
      </c>
      <c r="Z1678" s="2" t="s">
        <v>38</v>
      </c>
      <c r="AA1678" s="2" t="s">
        <v>38</v>
      </c>
      <c r="AB1678" s="2" t="s">
        <v>38</v>
      </c>
      <c r="AC1678" s="2" t="s">
        <v>38</v>
      </c>
      <c r="AD1678" s="2" t="s">
        <v>38</v>
      </c>
      <c r="AE1678" s="2" t="s">
        <v>40</v>
      </c>
    </row>
    <row r="1679" spans="1:31" ht="409.5">
      <c r="A1679" s="2">
        <v>2733586</v>
      </c>
      <c r="B1679" s="2">
        <f>HYPERLINK("https://platform.v2.vetology.net/cases/2733586/screening-report/1?type=pdf&amp;v=v6&amp;scorecard=1&amp;secret_key=BX%25IJ%24%2F65ieZ%29f6", 2733586)</f>
        <v>2733586</v>
      </c>
      <c r="C1679" s="2">
        <f>HYPERLINK("https://platform.v2.vetology.net/report/v/final/"&amp;2733586, 2733586)</f>
        <v>2733586</v>
      </c>
      <c r="D1679" s="2" t="s">
        <v>5496</v>
      </c>
      <c r="E1679" s="2" t="s">
        <v>5497</v>
      </c>
      <c r="F1679" s="2" t="s">
        <v>5498</v>
      </c>
      <c r="G1679" s="2" t="s">
        <v>111</v>
      </c>
      <c r="H1679" s="2" t="s">
        <v>5499</v>
      </c>
      <c r="I1679" s="2" t="s">
        <v>36</v>
      </c>
      <c r="J1679" s="2" t="s">
        <v>37</v>
      </c>
      <c r="K1679" s="2" t="s">
        <v>39</v>
      </c>
      <c r="L1679" s="2" t="s">
        <v>39</v>
      </c>
      <c r="M1679" s="2" t="s">
        <v>38</v>
      </c>
      <c r="N1679" s="2" t="s">
        <v>38</v>
      </c>
      <c r="O1679" s="2" t="s">
        <v>38</v>
      </c>
      <c r="P1679" s="2" t="s">
        <v>39</v>
      </c>
      <c r="Q1679" s="2" t="s">
        <v>38</v>
      </c>
      <c r="R1679" s="2" t="s">
        <v>38</v>
      </c>
      <c r="S1679" s="2" t="s">
        <v>38</v>
      </c>
      <c r="T1679" s="2" t="s">
        <v>38</v>
      </c>
      <c r="U1679" s="2" t="s">
        <v>39</v>
      </c>
      <c r="V1679" s="2" t="s">
        <v>38</v>
      </c>
      <c r="W1679" s="2" t="s">
        <v>38</v>
      </c>
      <c r="X1679" s="2" t="s">
        <v>39</v>
      </c>
      <c r="Y1679" s="2" t="s">
        <v>38</v>
      </c>
      <c r="Z1679" s="2" t="s">
        <v>39</v>
      </c>
      <c r="AA1679" s="2" t="s">
        <v>38</v>
      </c>
      <c r="AB1679" s="2" t="s">
        <v>39</v>
      </c>
      <c r="AC1679" s="2" t="s">
        <v>38</v>
      </c>
      <c r="AD1679" s="2" t="s">
        <v>39</v>
      </c>
      <c r="AE1679" s="2" t="s">
        <v>40</v>
      </c>
    </row>
    <row r="1680" spans="1:31" ht="409.5">
      <c r="A1680" s="2">
        <v>2733557</v>
      </c>
      <c r="B1680" s="2">
        <f>HYPERLINK("https://platform.v2.vetology.net/cases/2733557/screening-report/1?type=pdf&amp;v=v6&amp;scorecard=1&amp;secret_key=BX%25IJ%24%2F65ieZ%29f6", 2733557)</f>
        <v>2733557</v>
      </c>
      <c r="C1680" s="2">
        <f>HYPERLINK("https://platform.v2.vetology.net/report/v/final/"&amp;2733557, 2733557)</f>
        <v>2733557</v>
      </c>
      <c r="D1680" s="2" t="s">
        <v>5500</v>
      </c>
      <c r="E1680" s="2" t="s">
        <v>5501</v>
      </c>
      <c r="F1680" s="2" t="s">
        <v>5502</v>
      </c>
      <c r="G1680" s="2" t="s">
        <v>100</v>
      </c>
      <c r="H1680" s="2" t="s">
        <v>5503</v>
      </c>
      <c r="I1680" s="2" t="s">
        <v>36</v>
      </c>
      <c r="J1680" s="2" t="s">
        <v>37</v>
      </c>
      <c r="K1680" s="2" t="s">
        <v>38</v>
      </c>
      <c r="L1680" s="2" t="s">
        <v>38</v>
      </c>
      <c r="M1680" s="2" t="s">
        <v>39</v>
      </c>
      <c r="N1680" s="2" t="s">
        <v>39</v>
      </c>
      <c r="O1680" s="2" t="s">
        <v>38</v>
      </c>
      <c r="P1680" s="2" t="s">
        <v>39</v>
      </c>
      <c r="Q1680" s="2" t="s">
        <v>39</v>
      </c>
      <c r="R1680" s="2" t="s">
        <v>38</v>
      </c>
      <c r="S1680" s="2" t="s">
        <v>38</v>
      </c>
      <c r="T1680" s="2" t="s">
        <v>38</v>
      </c>
      <c r="U1680" s="2" t="s">
        <v>39</v>
      </c>
      <c r="V1680" s="2" t="s">
        <v>39</v>
      </c>
      <c r="W1680" s="2" t="s">
        <v>39</v>
      </c>
      <c r="X1680" s="2" t="s">
        <v>39</v>
      </c>
      <c r="Y1680" s="2" t="s">
        <v>39</v>
      </c>
      <c r="Z1680" s="2" t="s">
        <v>38</v>
      </c>
      <c r="AA1680" s="2" t="s">
        <v>38</v>
      </c>
      <c r="AB1680" s="2" t="s">
        <v>39</v>
      </c>
      <c r="AC1680" s="2" t="s">
        <v>38</v>
      </c>
      <c r="AD1680" s="2" t="s">
        <v>38</v>
      </c>
      <c r="AE1680" s="2" t="s">
        <v>39</v>
      </c>
    </row>
    <row r="1681" spans="1:31" ht="409.5">
      <c r="A1681" s="2">
        <v>2733497</v>
      </c>
      <c r="B1681" s="2">
        <f>HYPERLINK("https://platform.v2.vetology.net/cases/2733497/screening-report/1?type=pdf&amp;v=v6&amp;scorecard=1&amp;secret_key=BX%25IJ%24%2F65ieZ%29f6", 2733497)</f>
        <v>2733497</v>
      </c>
      <c r="C1681" s="2">
        <f>HYPERLINK("https://platform.v2.vetology.net/report/v/final/"&amp;2733497, 2733497)</f>
        <v>2733497</v>
      </c>
      <c r="D1681" s="2" t="s">
        <v>5504</v>
      </c>
      <c r="E1681" s="2" t="s">
        <v>5505</v>
      </c>
      <c r="F1681" s="2" t="s">
        <v>43</v>
      </c>
      <c r="G1681" s="2" t="s">
        <v>44</v>
      </c>
      <c r="H1681" s="2" t="s">
        <v>5506</v>
      </c>
      <c r="I1681" s="2" t="s">
        <v>36</v>
      </c>
      <c r="J1681" s="2" t="s">
        <v>37</v>
      </c>
      <c r="K1681" s="2" t="s">
        <v>38</v>
      </c>
      <c r="L1681" s="2" t="s">
        <v>38</v>
      </c>
      <c r="M1681" s="2" t="s">
        <v>38</v>
      </c>
      <c r="N1681" s="2" t="s">
        <v>38</v>
      </c>
      <c r="O1681" s="2" t="s">
        <v>38</v>
      </c>
      <c r="P1681" s="2" t="s">
        <v>39</v>
      </c>
      <c r="Q1681" s="2" t="s">
        <v>39</v>
      </c>
      <c r="R1681" s="2" t="s">
        <v>38</v>
      </c>
      <c r="S1681" s="2" t="s">
        <v>38</v>
      </c>
      <c r="T1681" s="2" t="s">
        <v>38</v>
      </c>
      <c r="U1681" s="2" t="s">
        <v>38</v>
      </c>
      <c r="V1681" s="2" t="s">
        <v>38</v>
      </c>
      <c r="W1681" s="2" t="s">
        <v>38</v>
      </c>
      <c r="X1681" s="2" t="s">
        <v>38</v>
      </c>
      <c r="Y1681" s="2" t="s">
        <v>38</v>
      </c>
      <c r="Z1681" s="2" t="s">
        <v>38</v>
      </c>
      <c r="AA1681" s="2" t="s">
        <v>38</v>
      </c>
      <c r="AB1681" s="2" t="s">
        <v>38</v>
      </c>
      <c r="AC1681" s="2" t="s">
        <v>38</v>
      </c>
      <c r="AD1681" s="2" t="s">
        <v>38</v>
      </c>
      <c r="AE1681" s="2" t="s">
        <v>40</v>
      </c>
    </row>
    <row r="1682" spans="1:31" ht="409.5">
      <c r="A1682" s="2">
        <v>2733468</v>
      </c>
      <c r="B1682" s="2">
        <f>HYPERLINK("https://platform.v2.vetology.net/cases/2733468/screening-report/1?type=pdf&amp;v=v6&amp;scorecard=1&amp;secret_key=BX%25IJ%24%2F65ieZ%29f6", 2733468)</f>
        <v>2733468</v>
      </c>
      <c r="C1682" s="2">
        <f>HYPERLINK("https://platform.v2.vetology.net/report/v/final/"&amp;2733468, 2733468)</f>
        <v>2733468</v>
      </c>
      <c r="D1682" s="2" t="s">
        <v>5507</v>
      </c>
      <c r="E1682" s="2" t="s">
        <v>5508</v>
      </c>
      <c r="F1682" s="2" t="s">
        <v>5509</v>
      </c>
      <c r="G1682" s="2" t="s">
        <v>53</v>
      </c>
      <c r="H1682" s="2" t="s">
        <v>5510</v>
      </c>
      <c r="I1682" s="2" t="s">
        <v>129</v>
      </c>
      <c r="J1682" s="2" t="s">
        <v>74</v>
      </c>
      <c r="K1682" s="2" t="s">
        <v>39</v>
      </c>
      <c r="L1682" s="2" t="s">
        <v>39</v>
      </c>
      <c r="M1682" s="2" t="s">
        <v>39</v>
      </c>
      <c r="N1682" s="2" t="s">
        <v>39</v>
      </c>
      <c r="O1682" s="2" t="s">
        <v>39</v>
      </c>
      <c r="P1682" s="2" t="s">
        <v>38</v>
      </c>
      <c r="Q1682" s="2" t="s">
        <v>38</v>
      </c>
      <c r="R1682" s="2" t="s">
        <v>39</v>
      </c>
      <c r="S1682" s="2" t="s">
        <v>39</v>
      </c>
      <c r="T1682" s="2" t="s">
        <v>39</v>
      </c>
      <c r="U1682" s="2" t="s">
        <v>39</v>
      </c>
      <c r="V1682" s="2" t="s">
        <v>38</v>
      </c>
      <c r="W1682" s="2" t="s">
        <v>39</v>
      </c>
      <c r="X1682" s="2" t="s">
        <v>38</v>
      </c>
      <c r="Y1682" s="2" t="s">
        <v>39</v>
      </c>
      <c r="Z1682" s="2" t="s">
        <v>39</v>
      </c>
      <c r="AA1682" s="2" t="s">
        <v>38</v>
      </c>
      <c r="AB1682" s="2" t="s">
        <v>38</v>
      </c>
      <c r="AC1682" s="2" t="s">
        <v>39</v>
      </c>
      <c r="AD1682" s="2" t="s">
        <v>39</v>
      </c>
      <c r="AE1682" s="2" t="s">
        <v>39</v>
      </c>
    </row>
    <row r="1683" spans="1:31" ht="409.5">
      <c r="A1683" s="2">
        <v>2733456</v>
      </c>
      <c r="B1683" s="2">
        <f>HYPERLINK("https://platform.v2.vetology.net/cases/2733456/screening-report/1?type=pdf&amp;v=v6&amp;scorecard=1&amp;secret_key=BX%25IJ%24%2F65ieZ%29f6", 2733456)</f>
        <v>2733456</v>
      </c>
      <c r="C1683" s="2">
        <f>HYPERLINK("https://platform.v2.vetology.net/report/v/final/"&amp;2733456, 2733456)</f>
        <v>2733456</v>
      </c>
      <c r="D1683" s="2" t="s">
        <v>5511</v>
      </c>
      <c r="E1683" s="2" t="s">
        <v>5512</v>
      </c>
      <c r="F1683" s="2" t="s">
        <v>5513</v>
      </c>
      <c r="G1683" s="2" t="s">
        <v>34</v>
      </c>
      <c r="H1683" s="2" t="s">
        <v>45</v>
      </c>
      <c r="I1683" s="2" t="s">
        <v>46</v>
      </c>
      <c r="J1683" s="2"/>
      <c r="K1683" s="2" t="s">
        <v>39</v>
      </c>
      <c r="L1683" s="2" t="s">
        <v>39</v>
      </c>
      <c r="M1683" s="2" t="s">
        <v>39</v>
      </c>
      <c r="N1683" s="2" t="s">
        <v>39</v>
      </c>
      <c r="O1683" s="2" t="s">
        <v>39</v>
      </c>
      <c r="P1683" s="2" t="s">
        <v>39</v>
      </c>
      <c r="Q1683" s="2" t="s">
        <v>39</v>
      </c>
      <c r="R1683" s="2" t="s">
        <v>38</v>
      </c>
      <c r="S1683" s="2" t="s">
        <v>39</v>
      </c>
      <c r="T1683" s="2" t="s">
        <v>39</v>
      </c>
      <c r="U1683" s="2" t="s">
        <v>39</v>
      </c>
      <c r="V1683" s="2" t="s">
        <v>39</v>
      </c>
      <c r="W1683" s="2" t="s">
        <v>38</v>
      </c>
      <c r="X1683" s="2" t="s">
        <v>39</v>
      </c>
      <c r="Y1683" s="2" t="s">
        <v>39</v>
      </c>
      <c r="Z1683" s="2" t="s">
        <v>38</v>
      </c>
      <c r="AA1683" s="2" t="s">
        <v>38</v>
      </c>
      <c r="AB1683" s="2" t="s">
        <v>39</v>
      </c>
      <c r="AC1683" s="2" t="s">
        <v>38</v>
      </c>
      <c r="AD1683" s="2" t="s">
        <v>38</v>
      </c>
      <c r="AE1683" s="2" t="s">
        <v>39</v>
      </c>
    </row>
    <row r="1684" spans="1:31" ht="409.5">
      <c r="A1684" s="2">
        <v>2733435</v>
      </c>
      <c r="B1684" s="2">
        <f>HYPERLINK("https://platform.v2.vetology.net/cases/2733435/screening-report/1?type=pdf&amp;v=v6&amp;scorecard=1&amp;secret_key=BX%25IJ%24%2F65ieZ%29f6", 2733435)</f>
        <v>2733435</v>
      </c>
      <c r="C1684" s="2">
        <f>HYPERLINK("https://platform.v2.vetology.net/report/v/final/"&amp;2733435, 2733435)</f>
        <v>2733435</v>
      </c>
      <c r="D1684" s="2" t="s">
        <v>5514</v>
      </c>
      <c r="E1684" s="2" t="s">
        <v>5515</v>
      </c>
      <c r="F1684" s="2" t="s">
        <v>43</v>
      </c>
      <c r="G1684" s="2" t="s">
        <v>44</v>
      </c>
      <c r="H1684" s="2" t="s">
        <v>3194</v>
      </c>
      <c r="I1684" s="2" t="s">
        <v>59</v>
      </c>
      <c r="J1684" s="2" t="s">
        <v>37</v>
      </c>
      <c r="K1684" s="2" t="s">
        <v>38</v>
      </c>
      <c r="L1684" s="2" t="s">
        <v>39</v>
      </c>
      <c r="M1684" s="2" t="s">
        <v>39</v>
      </c>
      <c r="N1684" s="2" t="s">
        <v>38</v>
      </c>
      <c r="O1684" s="2" t="s">
        <v>39</v>
      </c>
      <c r="P1684" s="2" t="s">
        <v>39</v>
      </c>
      <c r="Q1684" s="2" t="s">
        <v>39</v>
      </c>
      <c r="R1684" s="2" t="s">
        <v>38</v>
      </c>
      <c r="S1684" s="2" t="s">
        <v>38</v>
      </c>
      <c r="T1684" s="2" t="s">
        <v>38</v>
      </c>
      <c r="U1684" s="2" t="s">
        <v>38</v>
      </c>
      <c r="V1684" s="2" t="s">
        <v>38</v>
      </c>
      <c r="W1684" s="2" t="s">
        <v>38</v>
      </c>
      <c r="X1684" s="2" t="s">
        <v>39</v>
      </c>
      <c r="Y1684" s="2" t="s">
        <v>39</v>
      </c>
      <c r="Z1684" s="2" t="s">
        <v>39</v>
      </c>
      <c r="AA1684" s="2" t="s">
        <v>38</v>
      </c>
      <c r="AB1684" s="2" t="s">
        <v>39</v>
      </c>
      <c r="AC1684" s="2" t="s">
        <v>38</v>
      </c>
      <c r="AD1684" s="2" t="s">
        <v>38</v>
      </c>
      <c r="AE1684" s="2"/>
    </row>
    <row r="1685" spans="1:31" ht="409.5">
      <c r="A1685" s="2">
        <v>2733425</v>
      </c>
      <c r="B1685" s="2">
        <f>HYPERLINK("https://platform.v2.vetology.net/cases/2733425/screening-report/1?type=pdf&amp;v=v6&amp;scorecard=1&amp;secret_key=BX%25IJ%24%2F65ieZ%29f6", 2733425)</f>
        <v>2733425</v>
      </c>
      <c r="C1685" s="2">
        <f>HYPERLINK("https://platform.v2.vetology.net/report/v/final/"&amp;2733425, 2733425)</f>
        <v>2733425</v>
      </c>
      <c r="D1685" s="2" t="s">
        <v>5516</v>
      </c>
      <c r="E1685" s="2" t="s">
        <v>5517</v>
      </c>
      <c r="F1685" s="2" t="s">
        <v>5518</v>
      </c>
      <c r="G1685" s="2" t="s">
        <v>53</v>
      </c>
      <c r="H1685" s="2" t="s">
        <v>449</v>
      </c>
      <c r="I1685" s="2" t="s">
        <v>36</v>
      </c>
      <c r="J1685" s="2" t="s">
        <v>37</v>
      </c>
      <c r="K1685" s="2" t="s">
        <v>39</v>
      </c>
      <c r="L1685" s="2" t="s">
        <v>38</v>
      </c>
      <c r="M1685" s="2" t="s">
        <v>39</v>
      </c>
      <c r="N1685" s="2" t="s">
        <v>39</v>
      </c>
      <c r="O1685" s="2" t="s">
        <v>38</v>
      </c>
      <c r="P1685" s="2" t="s">
        <v>39</v>
      </c>
      <c r="Q1685" s="2" t="s">
        <v>39</v>
      </c>
      <c r="R1685" s="2" t="s">
        <v>38</v>
      </c>
      <c r="S1685" s="2" t="s">
        <v>38</v>
      </c>
      <c r="T1685" s="2" t="s">
        <v>39</v>
      </c>
      <c r="U1685" s="2" t="s">
        <v>38</v>
      </c>
      <c r="V1685" s="2" t="s">
        <v>39</v>
      </c>
      <c r="W1685" s="2" t="s">
        <v>39</v>
      </c>
      <c r="X1685" s="2" t="s">
        <v>39</v>
      </c>
      <c r="Y1685" s="2" t="s">
        <v>39</v>
      </c>
      <c r="Z1685" s="2" t="s">
        <v>39</v>
      </c>
      <c r="AA1685" s="2" t="s">
        <v>38</v>
      </c>
      <c r="AB1685" s="2" t="s">
        <v>39</v>
      </c>
      <c r="AC1685" s="2" t="s">
        <v>38</v>
      </c>
      <c r="AD1685" s="2" t="s">
        <v>38</v>
      </c>
      <c r="AE1685" s="2" t="s">
        <v>40</v>
      </c>
    </row>
    <row r="1686" spans="1:31" ht="409.5">
      <c r="A1686" s="2">
        <v>2733421</v>
      </c>
      <c r="B1686" s="2">
        <f>HYPERLINK("https://platform.v2.vetology.net/cases/2733421/screening-report/1?type=pdf&amp;v=v6&amp;scorecard=1&amp;secret_key=BX%25IJ%24%2F65ieZ%29f6", 2733421)</f>
        <v>2733421</v>
      </c>
      <c r="C1686" s="2">
        <f>HYPERLINK("https://platform.v2.vetology.net/report/v/final/"&amp;2733421, 2733421)</f>
        <v>2733421</v>
      </c>
      <c r="D1686" s="2" t="s">
        <v>5519</v>
      </c>
      <c r="E1686" s="2" t="s">
        <v>5520</v>
      </c>
      <c r="F1686" s="2"/>
      <c r="G1686" s="2" t="s">
        <v>81</v>
      </c>
      <c r="H1686" s="2" t="s">
        <v>5521</v>
      </c>
      <c r="I1686" s="2" t="s">
        <v>129</v>
      </c>
      <c r="J1686" s="2" t="s">
        <v>74</v>
      </c>
      <c r="K1686" s="2" t="s">
        <v>39</v>
      </c>
      <c r="L1686" s="2" t="s">
        <v>39</v>
      </c>
      <c r="M1686" s="2" t="s">
        <v>38</v>
      </c>
      <c r="N1686" s="2" t="s">
        <v>38</v>
      </c>
      <c r="O1686" s="2" t="s">
        <v>38</v>
      </c>
      <c r="P1686" s="2" t="s">
        <v>38</v>
      </c>
      <c r="Q1686" s="2" t="s">
        <v>38</v>
      </c>
      <c r="R1686" s="2" t="s">
        <v>39</v>
      </c>
      <c r="S1686" s="2" t="s">
        <v>38</v>
      </c>
      <c r="T1686" s="2" t="s">
        <v>38</v>
      </c>
      <c r="U1686" s="2" t="s">
        <v>39</v>
      </c>
      <c r="V1686" s="2" t="s">
        <v>39</v>
      </c>
      <c r="W1686" s="2" t="s">
        <v>38</v>
      </c>
      <c r="X1686" s="2" t="s">
        <v>38</v>
      </c>
      <c r="Y1686" s="2" t="s">
        <v>39</v>
      </c>
      <c r="Z1686" s="2" t="s">
        <v>38</v>
      </c>
      <c r="AA1686" s="2" t="s">
        <v>38</v>
      </c>
      <c r="AB1686" s="2" t="s">
        <v>39</v>
      </c>
      <c r="AC1686" s="2" t="s">
        <v>38</v>
      </c>
      <c r="AD1686" s="2" t="s">
        <v>38</v>
      </c>
      <c r="AE1686" s="2" t="s">
        <v>39</v>
      </c>
    </row>
    <row r="1687" spans="1:31" ht="409.5">
      <c r="A1687" s="2">
        <v>2733410</v>
      </c>
      <c r="B1687" s="2">
        <f>HYPERLINK("https://platform.v2.vetology.net/cases/2733410/screening-report/1?type=pdf&amp;v=v6&amp;scorecard=1&amp;secret_key=BX%25IJ%24%2F65ieZ%29f6", 2733410)</f>
        <v>2733410</v>
      </c>
      <c r="C1687" s="2">
        <f>HYPERLINK("https://platform.v2.vetology.net/report/v/final/"&amp;2733410, 2733410)</f>
        <v>2733410</v>
      </c>
      <c r="D1687" s="2" t="s">
        <v>5522</v>
      </c>
      <c r="E1687" s="2" t="s">
        <v>5523</v>
      </c>
      <c r="F1687" s="2" t="s">
        <v>5524</v>
      </c>
      <c r="G1687" s="2" t="s">
        <v>44</v>
      </c>
      <c r="H1687" s="2" t="s">
        <v>561</v>
      </c>
      <c r="I1687" s="2" t="s">
        <v>36</v>
      </c>
      <c r="J1687" s="2" t="s">
        <v>37</v>
      </c>
      <c r="K1687" s="2" t="s">
        <v>39</v>
      </c>
      <c r="L1687" s="2" t="s">
        <v>38</v>
      </c>
      <c r="M1687" s="2" t="s">
        <v>38</v>
      </c>
      <c r="N1687" s="2" t="s">
        <v>38</v>
      </c>
      <c r="O1687" s="2" t="s">
        <v>38</v>
      </c>
      <c r="P1687" s="2" t="s">
        <v>39</v>
      </c>
      <c r="Q1687" s="2" t="s">
        <v>39</v>
      </c>
      <c r="R1687" s="2" t="s">
        <v>38</v>
      </c>
      <c r="S1687" s="2" t="s">
        <v>38</v>
      </c>
      <c r="T1687" s="2" t="s">
        <v>39</v>
      </c>
      <c r="U1687" s="2" t="s">
        <v>39</v>
      </c>
      <c r="V1687" s="2" t="s">
        <v>39</v>
      </c>
      <c r="W1687" s="2" t="s">
        <v>38</v>
      </c>
      <c r="X1687" s="2" t="s">
        <v>39</v>
      </c>
      <c r="Y1687" s="2" t="s">
        <v>39</v>
      </c>
      <c r="Z1687" s="2" t="s">
        <v>38</v>
      </c>
      <c r="AA1687" s="2" t="s">
        <v>39</v>
      </c>
      <c r="AB1687" s="2" t="s">
        <v>39</v>
      </c>
      <c r="AC1687" s="2" t="s">
        <v>38</v>
      </c>
      <c r="AD1687" s="2" t="s">
        <v>39</v>
      </c>
      <c r="AE1687" s="2"/>
    </row>
    <row r="1688" spans="1:31" ht="409.5">
      <c r="A1688" s="2">
        <v>2733389</v>
      </c>
      <c r="B1688" s="2">
        <f>HYPERLINK("https://platform.v2.vetology.net/cases/2733389/screening-report/1?type=pdf&amp;v=v6&amp;scorecard=1&amp;secret_key=BX%25IJ%24%2F65ieZ%29f6", 2733389)</f>
        <v>2733389</v>
      </c>
      <c r="C1688" s="2">
        <f>HYPERLINK("https://platform.v2.vetology.net/report/v/final/"&amp;2733389, 2733389)</f>
        <v>2733389</v>
      </c>
      <c r="D1688" s="2" t="s">
        <v>5525</v>
      </c>
      <c r="E1688" s="2" t="s">
        <v>5526</v>
      </c>
      <c r="F1688" s="2" t="s">
        <v>4836</v>
      </c>
      <c r="G1688" s="2" t="s">
        <v>111</v>
      </c>
      <c r="H1688" s="2" t="s">
        <v>69</v>
      </c>
      <c r="I1688" s="2" t="s">
        <v>46</v>
      </c>
      <c r="J1688" s="2"/>
      <c r="K1688" s="2" t="s">
        <v>39</v>
      </c>
      <c r="L1688" s="2" t="s">
        <v>39</v>
      </c>
      <c r="M1688" s="2" t="s">
        <v>39</v>
      </c>
      <c r="N1688" s="2" t="s">
        <v>39</v>
      </c>
      <c r="O1688" s="2" t="s">
        <v>39</v>
      </c>
      <c r="P1688" s="2" t="s">
        <v>39</v>
      </c>
      <c r="Q1688" s="2" t="s">
        <v>39</v>
      </c>
      <c r="R1688" s="2" t="s">
        <v>39</v>
      </c>
      <c r="S1688" s="2" t="s">
        <v>39</v>
      </c>
      <c r="T1688" s="2" t="s">
        <v>39</v>
      </c>
      <c r="U1688" s="2" t="s">
        <v>39</v>
      </c>
      <c r="V1688" s="2" t="s">
        <v>39</v>
      </c>
      <c r="W1688" s="2" t="s">
        <v>38</v>
      </c>
      <c r="X1688" s="2" t="s">
        <v>39</v>
      </c>
      <c r="Y1688" s="2" t="s">
        <v>39</v>
      </c>
      <c r="Z1688" s="2" t="s">
        <v>39</v>
      </c>
      <c r="AA1688" s="2" t="s">
        <v>39</v>
      </c>
      <c r="AB1688" s="2" t="s">
        <v>39</v>
      </c>
      <c r="AC1688" s="2" t="s">
        <v>39</v>
      </c>
      <c r="AD1688" s="2" t="s">
        <v>38</v>
      </c>
      <c r="AE1688" s="2"/>
    </row>
    <row r="1689" spans="1:31" ht="409.5">
      <c r="A1689" s="2">
        <v>2733378</v>
      </c>
      <c r="B1689" s="2">
        <f>HYPERLINK("https://platform.v2.vetology.net/cases/2733378/screening-report/1?type=pdf&amp;v=v6&amp;scorecard=1&amp;secret_key=BX%25IJ%24%2F65ieZ%29f6", 2733378)</f>
        <v>2733378</v>
      </c>
      <c r="C1689" s="2">
        <f>HYPERLINK("https://platform.v2.vetology.net/report/v/final/"&amp;2733378, 2733378)</f>
        <v>2733378</v>
      </c>
      <c r="D1689" s="2" t="s">
        <v>5527</v>
      </c>
      <c r="E1689" s="2" t="s">
        <v>5528</v>
      </c>
      <c r="F1689" s="2" t="s">
        <v>5529</v>
      </c>
      <c r="G1689" s="2" t="s">
        <v>127</v>
      </c>
      <c r="H1689" s="2" t="s">
        <v>69</v>
      </c>
      <c r="I1689" s="2" t="s">
        <v>46</v>
      </c>
      <c r="J1689" s="2"/>
      <c r="K1689" s="2" t="s">
        <v>39</v>
      </c>
      <c r="L1689" s="2" t="s">
        <v>39</v>
      </c>
      <c r="M1689" s="2" t="s">
        <v>39</v>
      </c>
      <c r="N1689" s="2" t="s">
        <v>39</v>
      </c>
      <c r="O1689" s="2" t="s">
        <v>39</v>
      </c>
      <c r="P1689" s="2" t="s">
        <v>39</v>
      </c>
      <c r="Q1689" s="2" t="s">
        <v>39</v>
      </c>
      <c r="R1689" s="2" t="s">
        <v>39</v>
      </c>
      <c r="S1689" s="2" t="s">
        <v>39</v>
      </c>
      <c r="T1689" s="2" t="s">
        <v>39</v>
      </c>
      <c r="U1689" s="2" t="s">
        <v>38</v>
      </c>
      <c r="V1689" s="2" t="s">
        <v>39</v>
      </c>
      <c r="W1689" s="2" t="s">
        <v>39</v>
      </c>
      <c r="X1689" s="2" t="s">
        <v>39</v>
      </c>
      <c r="Y1689" s="2" t="s">
        <v>39</v>
      </c>
      <c r="Z1689" s="2" t="s">
        <v>39</v>
      </c>
      <c r="AA1689" s="2" t="s">
        <v>39</v>
      </c>
      <c r="AB1689" s="2" t="s">
        <v>39</v>
      </c>
      <c r="AC1689" s="2" t="s">
        <v>39</v>
      </c>
      <c r="AD1689" s="2" t="s">
        <v>39</v>
      </c>
      <c r="AE1689" s="2"/>
    </row>
    <row r="1690" spans="1:31" ht="409.5">
      <c r="A1690" s="2">
        <v>2733357</v>
      </c>
      <c r="B1690" s="2">
        <f>HYPERLINK("https://platform.v2.vetology.net/cases/2733357/screening-report/1?type=pdf&amp;v=v6&amp;scorecard=1&amp;secret_key=BX%25IJ%24%2F65ieZ%29f6", 2733357)</f>
        <v>2733357</v>
      </c>
      <c r="C1690" s="2">
        <f>HYPERLINK("https://platform.v2.vetology.net/report/v/final/"&amp;2733357, 2733357)</f>
        <v>2733357</v>
      </c>
      <c r="D1690" s="2" t="s">
        <v>5530</v>
      </c>
      <c r="E1690" s="2" t="s">
        <v>5531</v>
      </c>
      <c r="F1690" s="2" t="s">
        <v>5532</v>
      </c>
      <c r="G1690" s="2" t="s">
        <v>127</v>
      </c>
      <c r="H1690" s="2" t="s">
        <v>5533</v>
      </c>
      <c r="I1690" s="2" t="s">
        <v>36</v>
      </c>
      <c r="J1690" s="2" t="s">
        <v>37</v>
      </c>
      <c r="K1690" s="2" t="s">
        <v>38</v>
      </c>
      <c r="L1690" s="2" t="s">
        <v>39</v>
      </c>
      <c r="M1690" s="2" t="s">
        <v>38</v>
      </c>
      <c r="N1690" s="2" t="s">
        <v>38</v>
      </c>
      <c r="O1690" s="2" t="s">
        <v>38</v>
      </c>
      <c r="P1690" s="2" t="s">
        <v>39</v>
      </c>
      <c r="Q1690" s="2" t="s">
        <v>39</v>
      </c>
      <c r="R1690" s="2" t="s">
        <v>38</v>
      </c>
      <c r="S1690" s="2" t="s">
        <v>38</v>
      </c>
      <c r="T1690" s="2" t="s">
        <v>38</v>
      </c>
      <c r="U1690" s="2" t="s">
        <v>38</v>
      </c>
      <c r="V1690" s="2" t="s">
        <v>38</v>
      </c>
      <c r="W1690" s="2" t="s">
        <v>38</v>
      </c>
      <c r="X1690" s="2" t="s">
        <v>39</v>
      </c>
      <c r="Y1690" s="2" t="s">
        <v>38</v>
      </c>
      <c r="Z1690" s="2" t="s">
        <v>38</v>
      </c>
      <c r="AA1690" s="2" t="s">
        <v>38</v>
      </c>
      <c r="AB1690" s="2" t="s">
        <v>39</v>
      </c>
      <c r="AC1690" s="2" t="s">
        <v>38</v>
      </c>
      <c r="AD1690" s="2" t="s">
        <v>38</v>
      </c>
      <c r="AE1690" s="2" t="s">
        <v>39</v>
      </c>
    </row>
    <row r="1691" spans="1:31" ht="409.5">
      <c r="A1691" s="2">
        <v>2733352</v>
      </c>
      <c r="B1691" s="2">
        <f>HYPERLINK("https://platform.v2.vetology.net/cases/2733352/screening-report/1?type=pdf&amp;v=v6&amp;scorecard=1&amp;secret_key=BX%25IJ%24%2F65ieZ%29f6", 2733352)</f>
        <v>2733352</v>
      </c>
      <c r="C1691" s="2">
        <f>HYPERLINK("https://platform.v2.vetology.net/report/v/final/"&amp;2733352, 2733352)</f>
        <v>2733352</v>
      </c>
      <c r="D1691" s="2" t="s">
        <v>5534</v>
      </c>
      <c r="E1691" s="2" t="s">
        <v>5535</v>
      </c>
      <c r="F1691" s="2" t="s">
        <v>5536</v>
      </c>
      <c r="G1691" s="2" t="s">
        <v>44</v>
      </c>
      <c r="H1691" s="2" t="s">
        <v>171</v>
      </c>
      <c r="I1691" s="2" t="s">
        <v>36</v>
      </c>
      <c r="J1691" s="2" t="s">
        <v>37</v>
      </c>
      <c r="K1691" s="2" t="s">
        <v>39</v>
      </c>
      <c r="L1691" s="2" t="s">
        <v>38</v>
      </c>
      <c r="M1691" s="2" t="s">
        <v>38</v>
      </c>
      <c r="N1691" s="2" t="s">
        <v>38</v>
      </c>
      <c r="O1691" s="2" t="s">
        <v>38</v>
      </c>
      <c r="P1691" s="2" t="s">
        <v>39</v>
      </c>
      <c r="Q1691" s="2" t="s">
        <v>39</v>
      </c>
      <c r="R1691" s="2" t="s">
        <v>38</v>
      </c>
      <c r="S1691" s="2" t="s">
        <v>38</v>
      </c>
      <c r="T1691" s="2" t="s">
        <v>39</v>
      </c>
      <c r="U1691" s="2" t="s">
        <v>38</v>
      </c>
      <c r="V1691" s="2" t="s">
        <v>38</v>
      </c>
      <c r="W1691" s="2" t="s">
        <v>38</v>
      </c>
      <c r="X1691" s="2" t="s">
        <v>39</v>
      </c>
      <c r="Y1691" s="2" t="s">
        <v>39</v>
      </c>
      <c r="Z1691" s="2" t="s">
        <v>38</v>
      </c>
      <c r="AA1691" s="2" t="s">
        <v>38</v>
      </c>
      <c r="AB1691" s="2" t="s">
        <v>39</v>
      </c>
      <c r="AC1691" s="2" t="s">
        <v>38</v>
      </c>
      <c r="AD1691" s="2" t="s">
        <v>38</v>
      </c>
      <c r="AE1691" s="2" t="s">
        <v>39</v>
      </c>
    </row>
    <row r="1692" spans="1:31" ht="409.5">
      <c r="A1692" s="2">
        <v>2733351</v>
      </c>
      <c r="B1692" s="2">
        <f>HYPERLINK("https://platform.v2.vetology.net/cases/2733351/screening-report/1?type=pdf&amp;v=v6&amp;scorecard=1&amp;secret_key=BX%25IJ%24%2F65ieZ%29f6", 2733351)</f>
        <v>2733351</v>
      </c>
      <c r="C1692" s="2">
        <f>HYPERLINK("https://platform.v2.vetology.net/report/v/final/"&amp;2733351, 2733351)</f>
        <v>2733351</v>
      </c>
      <c r="D1692" s="2" t="s">
        <v>5537</v>
      </c>
      <c r="E1692" s="2" t="s">
        <v>5538</v>
      </c>
      <c r="F1692" s="2" t="s">
        <v>43</v>
      </c>
      <c r="G1692" s="2" t="s">
        <v>44</v>
      </c>
      <c r="H1692" s="2" t="s">
        <v>797</v>
      </c>
      <c r="I1692" s="2" t="s">
        <v>59</v>
      </c>
      <c r="J1692" s="2" t="s">
        <v>37</v>
      </c>
      <c r="K1692" s="2" t="s">
        <v>38</v>
      </c>
      <c r="L1692" s="2" t="s">
        <v>39</v>
      </c>
      <c r="M1692" s="2" t="s">
        <v>39</v>
      </c>
      <c r="N1692" s="2" t="s">
        <v>39</v>
      </c>
      <c r="O1692" s="2" t="s">
        <v>39</v>
      </c>
      <c r="P1692" s="2" t="s">
        <v>39</v>
      </c>
      <c r="Q1692" s="2" t="s">
        <v>39</v>
      </c>
      <c r="R1692" s="2" t="s">
        <v>38</v>
      </c>
      <c r="S1692" s="2" t="s">
        <v>39</v>
      </c>
      <c r="T1692" s="2" t="s">
        <v>38</v>
      </c>
      <c r="U1692" s="2" t="s">
        <v>38</v>
      </c>
      <c r="V1692" s="2" t="s">
        <v>39</v>
      </c>
      <c r="W1692" s="2" t="s">
        <v>38</v>
      </c>
      <c r="X1692" s="2" t="s">
        <v>39</v>
      </c>
      <c r="Y1692" s="2" t="s">
        <v>39</v>
      </c>
      <c r="Z1692" s="2" t="s">
        <v>38</v>
      </c>
      <c r="AA1692" s="2" t="s">
        <v>38</v>
      </c>
      <c r="AB1692" s="2" t="s">
        <v>39</v>
      </c>
      <c r="AC1692" s="2" t="s">
        <v>39</v>
      </c>
      <c r="AD1692" s="2" t="s">
        <v>38</v>
      </c>
      <c r="AE1692" s="2" t="s">
        <v>39</v>
      </c>
    </row>
    <row r="1693" spans="1:31" ht="409.5">
      <c r="A1693" s="2">
        <v>2733302</v>
      </c>
      <c r="B1693" s="2">
        <f>HYPERLINK("https://platform.v2.vetology.net/cases/2733302/screening-report/1?type=pdf&amp;v=v6&amp;scorecard=1&amp;secret_key=BX%25IJ%24%2F65ieZ%29f6", 2733302)</f>
        <v>2733302</v>
      </c>
      <c r="C1693" s="2">
        <f>HYPERLINK("https://platform.v2.vetology.net/report/v/final/"&amp;2733302, 2733302)</f>
        <v>2733302</v>
      </c>
      <c r="D1693" s="2" t="s">
        <v>5539</v>
      </c>
      <c r="E1693" s="2" t="s">
        <v>5540</v>
      </c>
      <c r="F1693" s="2" t="s">
        <v>5541</v>
      </c>
      <c r="G1693" s="2" t="s">
        <v>170</v>
      </c>
      <c r="H1693" s="2" t="s">
        <v>69</v>
      </c>
      <c r="I1693" s="2" t="s">
        <v>46</v>
      </c>
      <c r="J1693" s="2"/>
      <c r="K1693" s="2" t="s">
        <v>39</v>
      </c>
      <c r="L1693" s="2" t="s">
        <v>39</v>
      </c>
      <c r="M1693" s="2" t="s">
        <v>39</v>
      </c>
      <c r="N1693" s="2" t="s">
        <v>39</v>
      </c>
      <c r="O1693" s="2" t="s">
        <v>39</v>
      </c>
      <c r="P1693" s="2" t="s">
        <v>39</v>
      </c>
      <c r="Q1693" s="2" t="s">
        <v>39</v>
      </c>
      <c r="R1693" s="2" t="s">
        <v>39</v>
      </c>
      <c r="S1693" s="2" t="s">
        <v>39</v>
      </c>
      <c r="T1693" s="2" t="s">
        <v>39</v>
      </c>
      <c r="U1693" s="2" t="s">
        <v>39</v>
      </c>
      <c r="V1693" s="2" t="s">
        <v>39</v>
      </c>
      <c r="W1693" s="2" t="s">
        <v>38</v>
      </c>
      <c r="X1693" s="2" t="s">
        <v>39</v>
      </c>
      <c r="Y1693" s="2" t="s">
        <v>39</v>
      </c>
      <c r="Z1693" s="2" t="s">
        <v>39</v>
      </c>
      <c r="AA1693" s="2" t="s">
        <v>38</v>
      </c>
      <c r="AB1693" s="2" t="s">
        <v>39</v>
      </c>
      <c r="AC1693" s="2" t="s">
        <v>38</v>
      </c>
      <c r="AD1693" s="2" t="s">
        <v>39</v>
      </c>
      <c r="AE1693" s="2" t="s">
        <v>40</v>
      </c>
    </row>
    <row r="1694" spans="1:31" ht="409.5">
      <c r="A1694" s="2">
        <v>2733266</v>
      </c>
      <c r="B1694" s="2">
        <f>HYPERLINK("https://platform.v2.vetology.net/cases/2733266/screening-report/1?type=pdf&amp;v=v6&amp;scorecard=1&amp;secret_key=BX%25IJ%24%2F65ieZ%29f6", 2733266)</f>
        <v>2733266</v>
      </c>
      <c r="C1694" s="2">
        <f>HYPERLINK("https://platform.v2.vetology.net/report/v/final/"&amp;2733266, 2733266)</f>
        <v>2733266</v>
      </c>
      <c r="D1694" s="2" t="s">
        <v>5542</v>
      </c>
      <c r="E1694" s="2" t="s">
        <v>4778</v>
      </c>
      <c r="F1694" s="2" t="s">
        <v>5543</v>
      </c>
      <c r="G1694" s="2" t="s">
        <v>111</v>
      </c>
      <c r="H1694" s="2" t="s">
        <v>5544</v>
      </c>
      <c r="I1694" s="2" t="s">
        <v>129</v>
      </c>
      <c r="J1694" s="2" t="s">
        <v>74</v>
      </c>
      <c r="K1694" s="2" t="s">
        <v>38</v>
      </c>
      <c r="L1694" s="2" t="s">
        <v>39</v>
      </c>
      <c r="M1694" s="2" t="s">
        <v>38</v>
      </c>
      <c r="N1694" s="2" t="s">
        <v>38</v>
      </c>
      <c r="O1694" s="2" t="s">
        <v>38</v>
      </c>
      <c r="P1694" s="2" t="s">
        <v>39</v>
      </c>
      <c r="Q1694" s="2" t="s">
        <v>38</v>
      </c>
      <c r="R1694" s="2" t="s">
        <v>38</v>
      </c>
      <c r="S1694" s="2" t="s">
        <v>39</v>
      </c>
      <c r="T1694" s="2" t="s">
        <v>38</v>
      </c>
      <c r="U1694" s="2" t="s">
        <v>39</v>
      </c>
      <c r="V1694" s="2" t="s">
        <v>38</v>
      </c>
      <c r="W1694" s="2" t="s">
        <v>38</v>
      </c>
      <c r="X1694" s="2" t="s">
        <v>38</v>
      </c>
      <c r="Y1694" s="2" t="s">
        <v>38</v>
      </c>
      <c r="Z1694" s="2" t="s">
        <v>38</v>
      </c>
      <c r="AA1694" s="2" t="s">
        <v>38</v>
      </c>
      <c r="AB1694" s="2" t="s">
        <v>38</v>
      </c>
      <c r="AC1694" s="2" t="s">
        <v>38</v>
      </c>
      <c r="AD1694" s="2" t="s">
        <v>38</v>
      </c>
      <c r="AE1694" s="2" t="s">
        <v>39</v>
      </c>
    </row>
    <row r="1695" spans="1:31" ht="409.5">
      <c r="A1695" s="2">
        <v>2733261</v>
      </c>
      <c r="B1695" s="2">
        <f>HYPERLINK("https://platform.v2.vetology.net/cases/2733261/screening-report/1?type=pdf&amp;v=v6&amp;scorecard=1&amp;secret_key=BX%25IJ%24%2F65ieZ%29f6", 2733261)</f>
        <v>2733261</v>
      </c>
      <c r="C1695" s="2">
        <f>HYPERLINK("https://platform.v2.vetology.net/report/v/final/"&amp;2733261, 2733261)</f>
        <v>2733261</v>
      </c>
      <c r="D1695" s="2" t="s">
        <v>5545</v>
      </c>
      <c r="E1695" s="2" t="s">
        <v>5546</v>
      </c>
      <c r="F1695" s="2" t="s">
        <v>5547</v>
      </c>
      <c r="G1695" s="2" t="s">
        <v>170</v>
      </c>
      <c r="H1695" s="2" t="s">
        <v>353</v>
      </c>
      <c r="I1695" s="2" t="s">
        <v>36</v>
      </c>
      <c r="J1695" s="2" t="s">
        <v>37</v>
      </c>
      <c r="K1695" s="2" t="s">
        <v>38</v>
      </c>
      <c r="L1695" s="2" t="s">
        <v>39</v>
      </c>
      <c r="M1695" s="2" t="s">
        <v>38</v>
      </c>
      <c r="N1695" s="2" t="s">
        <v>38</v>
      </c>
      <c r="O1695" s="2" t="s">
        <v>38</v>
      </c>
      <c r="P1695" s="2" t="s">
        <v>39</v>
      </c>
      <c r="Q1695" s="2" t="s">
        <v>39</v>
      </c>
      <c r="R1695" s="2" t="s">
        <v>39</v>
      </c>
      <c r="S1695" s="2" t="s">
        <v>38</v>
      </c>
      <c r="T1695" s="2" t="s">
        <v>38</v>
      </c>
      <c r="U1695" s="2" t="s">
        <v>38</v>
      </c>
      <c r="V1695" s="2" t="s">
        <v>39</v>
      </c>
      <c r="W1695" s="2" t="s">
        <v>38</v>
      </c>
      <c r="X1695" s="2" t="s">
        <v>39</v>
      </c>
      <c r="Y1695" s="2" t="s">
        <v>39</v>
      </c>
      <c r="Z1695" s="2" t="s">
        <v>38</v>
      </c>
      <c r="AA1695" s="2" t="s">
        <v>38</v>
      </c>
      <c r="AB1695" s="2" t="s">
        <v>39</v>
      </c>
      <c r="AC1695" s="2" t="s">
        <v>38</v>
      </c>
      <c r="AD1695" s="2" t="s">
        <v>38</v>
      </c>
      <c r="AE1695" s="2"/>
    </row>
    <row r="1696" spans="1:31" ht="409.5">
      <c r="A1696" s="2">
        <v>2733251</v>
      </c>
      <c r="B1696" s="2">
        <f>HYPERLINK("https://platform.v2.vetology.net/cases/2733251/screening-report/1?type=pdf&amp;v=v6&amp;scorecard=1&amp;secret_key=BX%25IJ%24%2F65ieZ%29f6", 2733251)</f>
        <v>2733251</v>
      </c>
      <c r="C1696" s="2">
        <f>HYPERLINK("https://platform.v2.vetology.net/report/v/final/"&amp;2733251, 2733251)</f>
        <v>2733251</v>
      </c>
      <c r="D1696" s="2" t="s">
        <v>1847</v>
      </c>
      <c r="E1696" s="2" t="s">
        <v>1484</v>
      </c>
      <c r="F1696" s="2" t="s">
        <v>5548</v>
      </c>
      <c r="G1696" s="2" t="s">
        <v>111</v>
      </c>
      <c r="H1696" s="2" t="s">
        <v>5549</v>
      </c>
      <c r="I1696" s="2" t="s">
        <v>36</v>
      </c>
      <c r="J1696" s="2" t="s">
        <v>37</v>
      </c>
      <c r="K1696" s="2" t="s">
        <v>39</v>
      </c>
      <c r="L1696" s="2" t="s">
        <v>38</v>
      </c>
      <c r="M1696" s="2" t="s">
        <v>38</v>
      </c>
      <c r="N1696" s="2" t="s">
        <v>39</v>
      </c>
      <c r="O1696" s="2" t="s">
        <v>38</v>
      </c>
      <c r="P1696" s="2" t="s">
        <v>39</v>
      </c>
      <c r="Q1696" s="2" t="s">
        <v>39</v>
      </c>
      <c r="R1696" s="2" t="s">
        <v>39</v>
      </c>
      <c r="S1696" s="2" t="s">
        <v>39</v>
      </c>
      <c r="T1696" s="2" t="s">
        <v>38</v>
      </c>
      <c r="U1696" s="2" t="s">
        <v>39</v>
      </c>
      <c r="V1696" s="2" t="s">
        <v>39</v>
      </c>
      <c r="W1696" s="2" t="s">
        <v>38</v>
      </c>
      <c r="X1696" s="2" t="s">
        <v>39</v>
      </c>
      <c r="Y1696" s="2" t="s">
        <v>39</v>
      </c>
      <c r="Z1696" s="2" t="s">
        <v>38</v>
      </c>
      <c r="AA1696" s="2" t="s">
        <v>39</v>
      </c>
      <c r="AB1696" s="2" t="s">
        <v>39</v>
      </c>
      <c r="AC1696" s="2" t="s">
        <v>38</v>
      </c>
      <c r="AD1696" s="2" t="s">
        <v>38</v>
      </c>
      <c r="AE1696" s="2" t="s">
        <v>39</v>
      </c>
    </row>
    <row r="1697" spans="1:31" ht="409.5">
      <c r="A1697" s="2">
        <v>2733205</v>
      </c>
      <c r="B1697" s="2">
        <f>HYPERLINK("https://platform.v2.vetology.net/cases/2733205/screening-report/1?type=pdf&amp;v=v6&amp;scorecard=1&amp;secret_key=BX%25IJ%24%2F65ieZ%29f6", 2733205)</f>
        <v>2733205</v>
      </c>
      <c r="C1697" s="2">
        <f>HYPERLINK("https://platform.v2.vetology.net/report/v/final/"&amp;2733205, 2733205)</f>
        <v>2733205</v>
      </c>
      <c r="D1697" s="2" t="s">
        <v>5550</v>
      </c>
      <c r="E1697" s="2" t="s">
        <v>5551</v>
      </c>
      <c r="F1697" s="2" t="s">
        <v>5552</v>
      </c>
      <c r="G1697" s="2" t="s">
        <v>170</v>
      </c>
      <c r="H1697" s="2" t="s">
        <v>45</v>
      </c>
      <c r="I1697" s="2" t="s">
        <v>46</v>
      </c>
      <c r="J1697" s="2"/>
      <c r="K1697" s="2" t="s">
        <v>39</v>
      </c>
      <c r="L1697" s="2" t="s">
        <v>39</v>
      </c>
      <c r="M1697" s="2" t="s">
        <v>39</v>
      </c>
      <c r="N1697" s="2" t="s">
        <v>39</v>
      </c>
      <c r="O1697" s="2" t="s">
        <v>38</v>
      </c>
      <c r="P1697" s="2" t="s">
        <v>39</v>
      </c>
      <c r="Q1697" s="2" t="s">
        <v>39</v>
      </c>
      <c r="R1697" s="2" t="s">
        <v>38</v>
      </c>
      <c r="S1697" s="2" t="s">
        <v>39</v>
      </c>
      <c r="T1697" s="2" t="s">
        <v>39</v>
      </c>
      <c r="U1697" s="2" t="s">
        <v>39</v>
      </c>
      <c r="V1697" s="2" t="s">
        <v>39</v>
      </c>
      <c r="W1697" s="2" t="s">
        <v>38</v>
      </c>
      <c r="X1697" s="2" t="s">
        <v>39</v>
      </c>
      <c r="Y1697" s="2" t="s">
        <v>39</v>
      </c>
      <c r="Z1697" s="2" t="s">
        <v>39</v>
      </c>
      <c r="AA1697" s="2" t="s">
        <v>39</v>
      </c>
      <c r="AB1697" s="2" t="s">
        <v>39</v>
      </c>
      <c r="AC1697" s="2" t="s">
        <v>38</v>
      </c>
      <c r="AD1697" s="2" t="s">
        <v>39</v>
      </c>
      <c r="AE1697" s="2" t="s">
        <v>39</v>
      </c>
    </row>
    <row r="1698" spans="1:31" ht="409.5">
      <c r="A1698" s="2">
        <v>2733203</v>
      </c>
      <c r="B1698" s="2">
        <f>HYPERLINK("https://platform.v2.vetology.net/cases/2733203/screening-report/1?type=pdf&amp;v=v6&amp;scorecard=1&amp;secret_key=BX%25IJ%24%2F65ieZ%29f6", 2733203)</f>
        <v>2733203</v>
      </c>
      <c r="C1698" s="2">
        <f>HYPERLINK("https://platform.v2.vetology.net/report/v/final/"&amp;2733203, 2733203)</f>
        <v>2733203</v>
      </c>
      <c r="D1698" s="2" t="s">
        <v>1203</v>
      </c>
      <c r="E1698" s="2" t="s">
        <v>969</v>
      </c>
      <c r="F1698" s="2" t="s">
        <v>787</v>
      </c>
      <c r="G1698" s="2" t="s">
        <v>100</v>
      </c>
      <c r="H1698" s="2" t="s">
        <v>5553</v>
      </c>
      <c r="I1698" s="2" t="s">
        <v>36</v>
      </c>
      <c r="J1698" s="2" t="s">
        <v>37</v>
      </c>
      <c r="K1698" s="2" t="s">
        <v>38</v>
      </c>
      <c r="L1698" s="2" t="s">
        <v>38</v>
      </c>
      <c r="M1698" s="2" t="s">
        <v>38</v>
      </c>
      <c r="N1698" s="2" t="s">
        <v>38</v>
      </c>
      <c r="O1698" s="2" t="s">
        <v>38</v>
      </c>
      <c r="P1698" s="2" t="s">
        <v>39</v>
      </c>
      <c r="Q1698" s="2" t="s">
        <v>39</v>
      </c>
      <c r="R1698" s="2" t="s">
        <v>38</v>
      </c>
      <c r="S1698" s="2" t="s">
        <v>38</v>
      </c>
      <c r="T1698" s="2" t="s">
        <v>39</v>
      </c>
      <c r="U1698" s="2" t="s">
        <v>39</v>
      </c>
      <c r="V1698" s="2" t="s">
        <v>38</v>
      </c>
      <c r="W1698" s="2" t="s">
        <v>38</v>
      </c>
      <c r="X1698" s="2" t="s">
        <v>39</v>
      </c>
      <c r="Y1698" s="2" t="s">
        <v>39</v>
      </c>
      <c r="Z1698" s="2" t="s">
        <v>38</v>
      </c>
      <c r="AA1698" s="2" t="s">
        <v>38</v>
      </c>
      <c r="AB1698" s="2" t="s">
        <v>39</v>
      </c>
      <c r="AC1698" s="2" t="s">
        <v>38</v>
      </c>
      <c r="AD1698" s="2" t="s">
        <v>39</v>
      </c>
      <c r="AE1698" s="2" t="s">
        <v>39</v>
      </c>
    </row>
    <row r="1699" spans="1:31" ht="409.5">
      <c r="A1699" s="2">
        <v>2733198</v>
      </c>
      <c r="B1699" s="2">
        <f>HYPERLINK("https://platform.v2.vetology.net/cases/2733198/screening-report/1?type=pdf&amp;v=v6&amp;scorecard=1&amp;secret_key=BX%25IJ%24%2F65ieZ%29f6", 2733198)</f>
        <v>2733198</v>
      </c>
      <c r="C1699" s="2">
        <f>HYPERLINK("https://platform.v2.vetology.net/report/v/final/"&amp;2733198, 2733198)</f>
        <v>2733198</v>
      </c>
      <c r="D1699" s="2" t="s">
        <v>5554</v>
      </c>
      <c r="E1699" s="2" t="s">
        <v>5555</v>
      </c>
      <c r="F1699" s="2" t="s">
        <v>5556</v>
      </c>
      <c r="G1699" s="2" t="s">
        <v>53</v>
      </c>
      <c r="H1699" s="2" t="s">
        <v>5557</v>
      </c>
      <c r="I1699" s="2" t="s">
        <v>36</v>
      </c>
      <c r="J1699" s="2" t="s">
        <v>37</v>
      </c>
      <c r="K1699" s="2" t="s">
        <v>38</v>
      </c>
      <c r="L1699" s="2" t="s">
        <v>38</v>
      </c>
      <c r="M1699" s="2" t="s">
        <v>38</v>
      </c>
      <c r="N1699" s="2" t="s">
        <v>38</v>
      </c>
      <c r="O1699" s="2" t="s">
        <v>38</v>
      </c>
      <c r="P1699" s="2" t="s">
        <v>39</v>
      </c>
      <c r="Q1699" s="2" t="s">
        <v>39</v>
      </c>
      <c r="R1699" s="2" t="s">
        <v>38</v>
      </c>
      <c r="S1699" s="2" t="s">
        <v>38</v>
      </c>
      <c r="T1699" s="2" t="s">
        <v>38</v>
      </c>
      <c r="U1699" s="2" t="s">
        <v>38</v>
      </c>
      <c r="V1699" s="2" t="s">
        <v>38</v>
      </c>
      <c r="W1699" s="2" t="s">
        <v>38</v>
      </c>
      <c r="X1699" s="2" t="s">
        <v>39</v>
      </c>
      <c r="Y1699" s="2" t="s">
        <v>39</v>
      </c>
      <c r="Z1699" s="2" t="s">
        <v>38</v>
      </c>
      <c r="AA1699" s="2" t="s">
        <v>38</v>
      </c>
      <c r="AB1699" s="2" t="s">
        <v>39</v>
      </c>
      <c r="AC1699" s="2" t="s">
        <v>38</v>
      </c>
      <c r="AD1699" s="2" t="s">
        <v>38</v>
      </c>
      <c r="AE1699" s="2" t="s">
        <v>39</v>
      </c>
    </row>
    <row r="1700" spans="1:31" ht="409.5">
      <c r="A1700" s="2">
        <v>2733174</v>
      </c>
      <c r="B1700" s="2">
        <f>HYPERLINK("https://platform.v2.vetology.net/cases/2733174/screening-report/1?type=pdf&amp;v=v6&amp;scorecard=1&amp;secret_key=BX%25IJ%24%2F65ieZ%29f6", 2733174)</f>
        <v>2733174</v>
      </c>
      <c r="C1700" s="2">
        <f>HYPERLINK("https://platform.v2.vetology.net/report/v/final/"&amp;2733174, 2733174)</f>
        <v>2733174</v>
      </c>
      <c r="D1700" s="2" t="s">
        <v>5558</v>
      </c>
      <c r="E1700" s="2" t="s">
        <v>5559</v>
      </c>
      <c r="F1700" s="2" t="s">
        <v>5560</v>
      </c>
      <c r="G1700" s="2" t="s">
        <v>127</v>
      </c>
      <c r="H1700" s="2" t="s">
        <v>93</v>
      </c>
      <c r="I1700" s="2" t="s">
        <v>36</v>
      </c>
      <c r="J1700" s="2" t="s">
        <v>37</v>
      </c>
      <c r="K1700" s="2" t="s">
        <v>38</v>
      </c>
      <c r="L1700" s="2" t="s">
        <v>39</v>
      </c>
      <c r="M1700" s="2" t="s">
        <v>39</v>
      </c>
      <c r="N1700" s="2" t="s">
        <v>38</v>
      </c>
      <c r="O1700" s="2" t="s">
        <v>38</v>
      </c>
      <c r="P1700" s="2" t="s">
        <v>39</v>
      </c>
      <c r="Q1700" s="2" t="s">
        <v>39</v>
      </c>
      <c r="R1700" s="2" t="s">
        <v>39</v>
      </c>
      <c r="S1700" s="2" t="s">
        <v>39</v>
      </c>
      <c r="T1700" s="2" t="s">
        <v>39</v>
      </c>
      <c r="U1700" s="2" t="s">
        <v>39</v>
      </c>
      <c r="V1700" s="2" t="s">
        <v>38</v>
      </c>
      <c r="W1700" s="2" t="s">
        <v>38</v>
      </c>
      <c r="X1700" s="2" t="s">
        <v>39</v>
      </c>
      <c r="Y1700" s="2" t="s">
        <v>39</v>
      </c>
      <c r="Z1700" s="2" t="s">
        <v>39</v>
      </c>
      <c r="AA1700" s="2" t="s">
        <v>39</v>
      </c>
      <c r="AB1700" s="2" t="s">
        <v>39</v>
      </c>
      <c r="AC1700" s="2" t="s">
        <v>39</v>
      </c>
      <c r="AD1700" s="2" t="s">
        <v>39</v>
      </c>
      <c r="AE1700" s="2" t="s">
        <v>39</v>
      </c>
    </row>
    <row r="1701" spans="1:31" ht="409.5">
      <c r="A1701" s="2">
        <v>2733125</v>
      </c>
      <c r="B1701" s="2">
        <f>HYPERLINK("https://platform.v2.vetology.net/cases/2733125/screening-report/1?type=pdf&amp;v=v6&amp;scorecard=1&amp;secret_key=BX%25IJ%24%2F65ieZ%29f6", 2733125)</f>
        <v>2733125</v>
      </c>
      <c r="C1701" s="2">
        <f>HYPERLINK("https://platform.v2.vetology.net/report/v/final/"&amp;2733125, 2733125)</f>
        <v>2733125</v>
      </c>
      <c r="D1701" s="2" t="s">
        <v>5561</v>
      </c>
      <c r="E1701" s="2" t="s">
        <v>5562</v>
      </c>
      <c r="F1701" s="2" t="s">
        <v>3288</v>
      </c>
      <c r="G1701" s="2" t="s">
        <v>127</v>
      </c>
      <c r="H1701" s="2" t="s">
        <v>5563</v>
      </c>
      <c r="I1701" s="2" t="s">
        <v>36</v>
      </c>
      <c r="J1701" s="2" t="s">
        <v>37</v>
      </c>
      <c r="K1701" s="2" t="s">
        <v>38</v>
      </c>
      <c r="L1701" s="2" t="s">
        <v>38</v>
      </c>
      <c r="M1701" s="2" t="s">
        <v>38</v>
      </c>
      <c r="N1701" s="2" t="s">
        <v>38</v>
      </c>
      <c r="O1701" s="2" t="s">
        <v>38</v>
      </c>
      <c r="P1701" s="2" t="s">
        <v>39</v>
      </c>
      <c r="Q1701" s="2" t="s">
        <v>39</v>
      </c>
      <c r="R1701" s="2" t="s">
        <v>39</v>
      </c>
      <c r="S1701" s="2" t="s">
        <v>39</v>
      </c>
      <c r="T1701" s="2" t="s">
        <v>39</v>
      </c>
      <c r="U1701" s="2" t="s">
        <v>38</v>
      </c>
      <c r="V1701" s="2" t="s">
        <v>38</v>
      </c>
      <c r="W1701" s="2" t="s">
        <v>39</v>
      </c>
      <c r="X1701" s="2" t="s">
        <v>39</v>
      </c>
      <c r="Y1701" s="2" t="s">
        <v>39</v>
      </c>
      <c r="Z1701" s="2" t="s">
        <v>38</v>
      </c>
      <c r="AA1701" s="2" t="s">
        <v>39</v>
      </c>
      <c r="AB1701" s="2" t="s">
        <v>39</v>
      </c>
      <c r="AC1701" s="2" t="s">
        <v>39</v>
      </c>
      <c r="AD1701" s="2" t="s">
        <v>39</v>
      </c>
      <c r="AE1701" s="2" t="s">
        <v>39</v>
      </c>
    </row>
    <row r="1702" spans="1:31" ht="409.5">
      <c r="A1702" s="2">
        <v>2733110</v>
      </c>
      <c r="B1702" s="2">
        <f>HYPERLINK("https://platform.v2.vetology.net/cases/2733110/screening-report/1?type=pdf&amp;v=v6&amp;scorecard=1&amp;secret_key=BX%25IJ%24%2F65ieZ%29f6", 2733110)</f>
        <v>2733110</v>
      </c>
      <c r="C1702" s="2">
        <f>HYPERLINK("https://platform.v2.vetology.net/report/v/final/"&amp;2733110, 2733110)</f>
        <v>2733110</v>
      </c>
      <c r="D1702" s="2" t="s">
        <v>5564</v>
      </c>
      <c r="E1702" s="2" t="s">
        <v>627</v>
      </c>
      <c r="F1702" s="2" t="s">
        <v>2226</v>
      </c>
      <c r="G1702" s="2" t="s">
        <v>100</v>
      </c>
      <c r="H1702" s="2" t="s">
        <v>69</v>
      </c>
      <c r="I1702" s="2" t="s">
        <v>46</v>
      </c>
      <c r="J1702" s="2"/>
      <c r="K1702" s="2" t="s">
        <v>39</v>
      </c>
      <c r="L1702" s="2" t="s">
        <v>39</v>
      </c>
      <c r="M1702" s="2" t="s">
        <v>39</v>
      </c>
      <c r="N1702" s="2" t="s">
        <v>39</v>
      </c>
      <c r="O1702" s="2" t="s">
        <v>39</v>
      </c>
      <c r="P1702" s="2" t="s">
        <v>39</v>
      </c>
      <c r="Q1702" s="2" t="s">
        <v>39</v>
      </c>
      <c r="R1702" s="2" t="s">
        <v>39</v>
      </c>
      <c r="S1702" s="2" t="s">
        <v>39</v>
      </c>
      <c r="T1702" s="2" t="s">
        <v>39</v>
      </c>
      <c r="U1702" s="2" t="s">
        <v>39</v>
      </c>
      <c r="V1702" s="2" t="s">
        <v>39</v>
      </c>
      <c r="W1702" s="2" t="s">
        <v>39</v>
      </c>
      <c r="X1702" s="2" t="s">
        <v>39</v>
      </c>
      <c r="Y1702" s="2" t="s">
        <v>39</v>
      </c>
      <c r="Z1702" s="2" t="s">
        <v>39</v>
      </c>
      <c r="AA1702" s="2" t="s">
        <v>39</v>
      </c>
      <c r="AB1702" s="2" t="s">
        <v>39</v>
      </c>
      <c r="AC1702" s="2" t="s">
        <v>39</v>
      </c>
      <c r="AD1702" s="2" t="s">
        <v>39</v>
      </c>
      <c r="AE1702" s="2"/>
    </row>
    <row r="1703" spans="1:31" ht="409.5">
      <c r="A1703" s="2">
        <v>2733104</v>
      </c>
      <c r="B1703" s="2">
        <f>HYPERLINK("https://platform.v2.vetology.net/cases/2733104/screening-report/1?type=pdf&amp;v=v6&amp;scorecard=1&amp;secret_key=BX%25IJ%24%2F65ieZ%29f6", 2733104)</f>
        <v>2733104</v>
      </c>
      <c r="C1703" s="2">
        <f>HYPERLINK("https://platform.v2.vetology.net/report/v/final/"&amp;2733104, 2733104)</f>
        <v>2733104</v>
      </c>
      <c r="D1703" s="2" t="s">
        <v>2629</v>
      </c>
      <c r="E1703" s="2" t="s">
        <v>118</v>
      </c>
      <c r="F1703" s="2" t="s">
        <v>1498</v>
      </c>
      <c r="G1703" s="2" t="s">
        <v>111</v>
      </c>
      <c r="H1703" s="2" t="s">
        <v>62</v>
      </c>
      <c r="I1703" s="2" t="s">
        <v>46</v>
      </c>
      <c r="J1703" s="2"/>
      <c r="K1703" s="2" t="s">
        <v>39</v>
      </c>
      <c r="L1703" s="2" t="s">
        <v>39</v>
      </c>
      <c r="M1703" s="2" t="s">
        <v>39</v>
      </c>
      <c r="N1703" s="2" t="s">
        <v>39</v>
      </c>
      <c r="O1703" s="2" t="s">
        <v>39</v>
      </c>
      <c r="P1703" s="2" t="s">
        <v>39</v>
      </c>
      <c r="Q1703" s="2" t="s">
        <v>39</v>
      </c>
      <c r="R1703" s="2" t="s">
        <v>38</v>
      </c>
      <c r="S1703" s="2" t="s">
        <v>38</v>
      </c>
      <c r="T1703" s="2" t="s">
        <v>38</v>
      </c>
      <c r="U1703" s="2" t="s">
        <v>39</v>
      </c>
      <c r="V1703" s="2" t="s">
        <v>39</v>
      </c>
      <c r="W1703" s="2" t="s">
        <v>38</v>
      </c>
      <c r="X1703" s="2" t="s">
        <v>39</v>
      </c>
      <c r="Y1703" s="2" t="s">
        <v>39</v>
      </c>
      <c r="Z1703" s="2" t="s">
        <v>38</v>
      </c>
      <c r="AA1703" s="2" t="s">
        <v>39</v>
      </c>
      <c r="AB1703" s="2" t="s">
        <v>39</v>
      </c>
      <c r="AC1703" s="2" t="s">
        <v>38</v>
      </c>
      <c r="AD1703" s="2" t="s">
        <v>38</v>
      </c>
      <c r="AE1703" s="2" t="s">
        <v>40</v>
      </c>
    </row>
    <row r="1704" spans="1:31" ht="409.5">
      <c r="A1704" s="2">
        <v>2733093</v>
      </c>
      <c r="B1704" s="2">
        <f>HYPERLINK("https://platform.v2.vetology.net/cases/2733093/screening-report/1?type=pdf&amp;v=v6&amp;scorecard=1&amp;secret_key=BX%25IJ%24%2F65ieZ%29f6", 2733093)</f>
        <v>2733093</v>
      </c>
      <c r="C1704" s="2">
        <f>HYPERLINK("https://platform.v2.vetology.net/report/v/final/"&amp;2733093, 2733093)</f>
        <v>2733093</v>
      </c>
      <c r="D1704" s="2" t="s">
        <v>5565</v>
      </c>
      <c r="E1704" s="2" t="s">
        <v>5566</v>
      </c>
      <c r="F1704" s="2" t="s">
        <v>43</v>
      </c>
      <c r="G1704" s="2" t="s">
        <v>100</v>
      </c>
      <c r="H1704" s="2" t="s">
        <v>5567</v>
      </c>
      <c r="I1704" s="2" t="s">
        <v>73</v>
      </c>
      <c r="J1704" s="2" t="s">
        <v>74</v>
      </c>
      <c r="K1704" s="2" t="s">
        <v>38</v>
      </c>
      <c r="L1704" s="2" t="s">
        <v>38</v>
      </c>
      <c r="M1704" s="2" t="s">
        <v>38</v>
      </c>
      <c r="N1704" s="2" t="s">
        <v>38</v>
      </c>
      <c r="O1704" s="2" t="s">
        <v>38</v>
      </c>
      <c r="P1704" s="2" t="s">
        <v>38</v>
      </c>
      <c r="Q1704" s="2" t="s">
        <v>38</v>
      </c>
      <c r="R1704" s="2" t="s">
        <v>38</v>
      </c>
      <c r="S1704" s="2" t="s">
        <v>38</v>
      </c>
      <c r="T1704" s="2" t="s">
        <v>38</v>
      </c>
      <c r="U1704" s="2" t="s">
        <v>38</v>
      </c>
      <c r="V1704" s="2" t="s">
        <v>38</v>
      </c>
      <c r="W1704" s="2" t="s">
        <v>38</v>
      </c>
      <c r="X1704" s="2" t="s">
        <v>38</v>
      </c>
      <c r="Y1704" s="2" t="s">
        <v>38</v>
      </c>
      <c r="Z1704" s="2" t="s">
        <v>38</v>
      </c>
      <c r="AA1704" s="2" t="s">
        <v>38</v>
      </c>
      <c r="AB1704" s="2" t="s">
        <v>38</v>
      </c>
      <c r="AC1704" s="2" t="s">
        <v>38</v>
      </c>
      <c r="AD1704" s="2" t="s">
        <v>38</v>
      </c>
      <c r="AE1704" s="2" t="s">
        <v>39</v>
      </c>
    </row>
    <row r="1705" spans="1:31" ht="409.5">
      <c r="A1705" s="2">
        <v>2732949</v>
      </c>
      <c r="B1705" s="2">
        <f>HYPERLINK("https://platform.v2.vetology.net/cases/2732949/screening-report/1?type=pdf&amp;v=v6&amp;scorecard=1&amp;secret_key=BX%25IJ%24%2F65ieZ%29f6", 2732949)</f>
        <v>2732949</v>
      </c>
      <c r="C1705" s="2">
        <f>HYPERLINK("https://platform.v2.vetology.net/report/v/final/"&amp;2732949, 2732949)</f>
        <v>2732949</v>
      </c>
      <c r="D1705" s="2" t="s">
        <v>5568</v>
      </c>
      <c r="E1705" s="2" t="s">
        <v>5569</v>
      </c>
      <c r="F1705" s="2" t="s">
        <v>5570</v>
      </c>
      <c r="G1705" s="2" t="s">
        <v>127</v>
      </c>
      <c r="H1705" s="2" t="s">
        <v>4892</v>
      </c>
      <c r="I1705" s="2" t="s">
        <v>36</v>
      </c>
      <c r="J1705" s="2" t="s">
        <v>37</v>
      </c>
      <c r="K1705" s="2" t="s">
        <v>38</v>
      </c>
      <c r="L1705" s="2" t="s">
        <v>38</v>
      </c>
      <c r="M1705" s="2" t="s">
        <v>39</v>
      </c>
      <c r="N1705" s="2" t="s">
        <v>38</v>
      </c>
      <c r="O1705" s="2" t="s">
        <v>38</v>
      </c>
      <c r="P1705" s="2" t="s">
        <v>39</v>
      </c>
      <c r="Q1705" s="2" t="s">
        <v>39</v>
      </c>
      <c r="R1705" s="2" t="s">
        <v>39</v>
      </c>
      <c r="S1705" s="2" t="s">
        <v>38</v>
      </c>
      <c r="T1705" s="2" t="s">
        <v>39</v>
      </c>
      <c r="U1705" s="2" t="s">
        <v>39</v>
      </c>
      <c r="V1705" s="2" t="s">
        <v>38</v>
      </c>
      <c r="W1705" s="2" t="s">
        <v>38</v>
      </c>
      <c r="X1705" s="2" t="s">
        <v>39</v>
      </c>
      <c r="Y1705" s="2" t="s">
        <v>39</v>
      </c>
      <c r="Z1705" s="2" t="s">
        <v>39</v>
      </c>
      <c r="AA1705" s="2" t="s">
        <v>39</v>
      </c>
      <c r="AB1705" s="2" t="s">
        <v>39</v>
      </c>
      <c r="AC1705" s="2" t="s">
        <v>38</v>
      </c>
      <c r="AD1705" s="2" t="s">
        <v>38</v>
      </c>
      <c r="AE1705" s="2" t="s">
        <v>40</v>
      </c>
    </row>
    <row r="1706" spans="1:31" ht="409.5">
      <c r="A1706" s="2">
        <v>2732940</v>
      </c>
      <c r="B1706" s="2">
        <f>HYPERLINK("https://platform.v2.vetology.net/cases/2732940/screening-report/1?type=pdf&amp;v=v6&amp;scorecard=1&amp;secret_key=BX%25IJ%24%2F65ieZ%29f6", 2732940)</f>
        <v>2732940</v>
      </c>
      <c r="C1706" s="2">
        <f>HYPERLINK("https://platform.v2.vetology.net/report/v/final/"&amp;2732940, 2732940)</f>
        <v>2732940</v>
      </c>
      <c r="D1706" s="2" t="s">
        <v>5571</v>
      </c>
      <c r="E1706" s="2" t="s">
        <v>5572</v>
      </c>
      <c r="F1706" s="2" t="s">
        <v>5573</v>
      </c>
      <c r="G1706" s="2" t="s">
        <v>127</v>
      </c>
      <c r="H1706" s="2" t="s">
        <v>5574</v>
      </c>
      <c r="I1706" s="2" t="s">
        <v>257</v>
      </c>
      <c r="J1706" s="2" t="s">
        <v>74</v>
      </c>
      <c r="K1706" s="2" t="s">
        <v>38</v>
      </c>
      <c r="L1706" s="2" t="s">
        <v>38</v>
      </c>
      <c r="M1706" s="2" t="s">
        <v>38</v>
      </c>
      <c r="N1706" s="2" t="s">
        <v>38</v>
      </c>
      <c r="O1706" s="2" t="s">
        <v>38</v>
      </c>
      <c r="P1706" s="2" t="s">
        <v>38</v>
      </c>
      <c r="Q1706" s="2" t="s">
        <v>38</v>
      </c>
      <c r="R1706" s="2" t="s">
        <v>38</v>
      </c>
      <c r="S1706" s="2" t="s">
        <v>38</v>
      </c>
      <c r="T1706" s="2" t="s">
        <v>38</v>
      </c>
      <c r="U1706" s="2" t="s">
        <v>38</v>
      </c>
      <c r="V1706" s="2" t="s">
        <v>38</v>
      </c>
      <c r="W1706" s="2" t="s">
        <v>38</v>
      </c>
      <c r="X1706" s="2" t="s">
        <v>38</v>
      </c>
      <c r="Y1706" s="2" t="s">
        <v>38</v>
      </c>
      <c r="Z1706" s="2" t="s">
        <v>38</v>
      </c>
      <c r="AA1706" s="2" t="s">
        <v>38</v>
      </c>
      <c r="AB1706" s="2" t="s">
        <v>38</v>
      </c>
      <c r="AC1706" s="2" t="s">
        <v>38</v>
      </c>
      <c r="AD1706" s="2" t="s">
        <v>38</v>
      </c>
      <c r="AE1706" s="2" t="s">
        <v>39</v>
      </c>
    </row>
    <row r="1707" spans="1:31" ht="409.5">
      <c r="A1707" s="2">
        <v>2732932</v>
      </c>
      <c r="B1707" s="2">
        <f>HYPERLINK("https://platform.v2.vetology.net/cases/2732932/screening-report/1?type=pdf&amp;v=v6&amp;scorecard=1&amp;secret_key=BX%25IJ%24%2F65ieZ%29f6", 2732932)</f>
        <v>2732932</v>
      </c>
      <c r="C1707" s="2">
        <f>HYPERLINK("https://platform.v2.vetology.net/report/v/final/"&amp;2732932, 2732932)</f>
        <v>2732932</v>
      </c>
      <c r="D1707" s="2" t="s">
        <v>5575</v>
      </c>
      <c r="E1707" s="2" t="s">
        <v>5576</v>
      </c>
      <c r="F1707" s="2" t="s">
        <v>5577</v>
      </c>
      <c r="G1707" s="2" t="s">
        <v>127</v>
      </c>
      <c r="H1707" s="2" t="s">
        <v>5578</v>
      </c>
      <c r="I1707" s="2" t="s">
        <v>36</v>
      </c>
      <c r="J1707" s="2" t="s">
        <v>37</v>
      </c>
      <c r="K1707" s="2" t="s">
        <v>39</v>
      </c>
      <c r="L1707" s="2" t="s">
        <v>38</v>
      </c>
      <c r="M1707" s="2" t="s">
        <v>38</v>
      </c>
      <c r="N1707" s="2" t="s">
        <v>38</v>
      </c>
      <c r="O1707" s="2" t="s">
        <v>38</v>
      </c>
      <c r="P1707" s="2" t="s">
        <v>38</v>
      </c>
      <c r="Q1707" s="2" t="s">
        <v>39</v>
      </c>
      <c r="R1707" s="2" t="s">
        <v>39</v>
      </c>
      <c r="S1707" s="2" t="s">
        <v>38</v>
      </c>
      <c r="T1707" s="2" t="s">
        <v>38</v>
      </c>
      <c r="U1707" s="2" t="s">
        <v>38</v>
      </c>
      <c r="V1707" s="2" t="s">
        <v>38</v>
      </c>
      <c r="W1707" s="2" t="s">
        <v>38</v>
      </c>
      <c r="X1707" s="2" t="s">
        <v>38</v>
      </c>
      <c r="Y1707" s="2" t="s">
        <v>38</v>
      </c>
      <c r="Z1707" s="2" t="s">
        <v>38</v>
      </c>
      <c r="AA1707" s="2" t="s">
        <v>38</v>
      </c>
      <c r="AB1707" s="2" t="s">
        <v>38</v>
      </c>
      <c r="AC1707" s="2" t="s">
        <v>38</v>
      </c>
      <c r="AD1707" s="2" t="s">
        <v>38</v>
      </c>
      <c r="AE1707" s="2" t="s">
        <v>40</v>
      </c>
    </row>
    <row r="1708" spans="1:31" ht="409.5">
      <c r="A1708" s="2">
        <v>2732918</v>
      </c>
      <c r="B1708" s="2">
        <f>HYPERLINK("https://platform.v2.vetology.net/cases/2732918/screening-report/1?type=pdf&amp;v=v6&amp;scorecard=1&amp;secret_key=BX%25IJ%24%2F65ieZ%29f6", 2732918)</f>
        <v>2732918</v>
      </c>
      <c r="C1708" s="2">
        <f>HYPERLINK("https://platform.v2.vetology.net/report/v/final/"&amp;2732918, 2732918)</f>
        <v>2732918</v>
      </c>
      <c r="D1708" s="2" t="s">
        <v>5579</v>
      </c>
      <c r="E1708" s="2" t="s">
        <v>3463</v>
      </c>
      <c r="F1708" s="2" t="s">
        <v>5580</v>
      </c>
      <c r="G1708" s="2" t="s">
        <v>111</v>
      </c>
      <c r="H1708" s="2" t="s">
        <v>5581</v>
      </c>
      <c r="I1708" s="2" t="s">
        <v>36</v>
      </c>
      <c r="J1708" s="2" t="s">
        <v>37</v>
      </c>
      <c r="K1708" s="2" t="s">
        <v>38</v>
      </c>
      <c r="L1708" s="2" t="s">
        <v>38</v>
      </c>
      <c r="M1708" s="2" t="s">
        <v>38</v>
      </c>
      <c r="N1708" s="2" t="s">
        <v>38</v>
      </c>
      <c r="O1708" s="2" t="s">
        <v>38</v>
      </c>
      <c r="P1708" s="2" t="s">
        <v>39</v>
      </c>
      <c r="Q1708" s="2" t="s">
        <v>39</v>
      </c>
      <c r="R1708" s="2" t="s">
        <v>38</v>
      </c>
      <c r="S1708" s="2" t="s">
        <v>38</v>
      </c>
      <c r="T1708" s="2" t="s">
        <v>39</v>
      </c>
      <c r="U1708" s="2" t="s">
        <v>39</v>
      </c>
      <c r="V1708" s="2" t="s">
        <v>38</v>
      </c>
      <c r="W1708" s="2" t="s">
        <v>38</v>
      </c>
      <c r="X1708" s="2" t="s">
        <v>39</v>
      </c>
      <c r="Y1708" s="2" t="s">
        <v>38</v>
      </c>
      <c r="Z1708" s="2" t="s">
        <v>38</v>
      </c>
      <c r="AA1708" s="2" t="s">
        <v>39</v>
      </c>
      <c r="AB1708" s="2" t="s">
        <v>39</v>
      </c>
      <c r="AC1708" s="2" t="s">
        <v>38</v>
      </c>
      <c r="AD1708" s="2" t="s">
        <v>39</v>
      </c>
      <c r="AE1708" s="2" t="s">
        <v>39</v>
      </c>
    </row>
    <row r="1709" spans="1:31" ht="409.5">
      <c r="A1709" s="2">
        <v>2732909</v>
      </c>
      <c r="B1709" s="2">
        <f>HYPERLINK("https://platform.v2.vetology.net/cases/2732909/screening-report/1?type=pdf&amp;v=v6&amp;scorecard=1&amp;secret_key=BX%25IJ%24%2F65ieZ%29f6", 2732909)</f>
        <v>2732909</v>
      </c>
      <c r="C1709" s="2">
        <f>HYPERLINK("https://platform.v2.vetology.net/report/v/final/"&amp;2732909, 2732909)</f>
        <v>2732909</v>
      </c>
      <c r="D1709" s="2" t="s">
        <v>5582</v>
      </c>
      <c r="E1709" s="2" t="s">
        <v>3060</v>
      </c>
      <c r="F1709" s="2" t="s">
        <v>43</v>
      </c>
      <c r="G1709" s="2" t="s">
        <v>100</v>
      </c>
      <c r="H1709" s="2" t="s">
        <v>801</v>
      </c>
      <c r="I1709" s="2" t="s">
        <v>59</v>
      </c>
      <c r="J1709" s="2" t="s">
        <v>37</v>
      </c>
      <c r="K1709" s="2" t="s">
        <v>38</v>
      </c>
      <c r="L1709" s="2" t="s">
        <v>39</v>
      </c>
      <c r="M1709" s="2" t="s">
        <v>39</v>
      </c>
      <c r="N1709" s="2" t="s">
        <v>39</v>
      </c>
      <c r="O1709" s="2" t="s">
        <v>39</v>
      </c>
      <c r="P1709" s="2" t="s">
        <v>39</v>
      </c>
      <c r="Q1709" s="2" t="s">
        <v>39</v>
      </c>
      <c r="R1709" s="2" t="s">
        <v>38</v>
      </c>
      <c r="S1709" s="2" t="s">
        <v>39</v>
      </c>
      <c r="T1709" s="2" t="s">
        <v>39</v>
      </c>
      <c r="U1709" s="2" t="s">
        <v>38</v>
      </c>
      <c r="V1709" s="2" t="s">
        <v>38</v>
      </c>
      <c r="W1709" s="2" t="s">
        <v>39</v>
      </c>
      <c r="X1709" s="2" t="s">
        <v>39</v>
      </c>
      <c r="Y1709" s="2" t="s">
        <v>39</v>
      </c>
      <c r="Z1709" s="2" t="s">
        <v>39</v>
      </c>
      <c r="AA1709" s="2" t="s">
        <v>39</v>
      </c>
      <c r="AB1709" s="2" t="s">
        <v>39</v>
      </c>
      <c r="AC1709" s="2" t="s">
        <v>39</v>
      </c>
      <c r="AD1709" s="2" t="s">
        <v>39</v>
      </c>
      <c r="AE1709" s="2" t="s">
        <v>39</v>
      </c>
    </row>
    <row r="1710" spans="1:31" ht="409.5">
      <c r="A1710" s="2">
        <v>2732902</v>
      </c>
      <c r="B1710" s="2">
        <f>HYPERLINK("https://platform.v2.vetology.net/cases/2732902/screening-report/1?type=pdf&amp;v=v6&amp;scorecard=1&amp;secret_key=BX%25IJ%24%2F65ieZ%29f6", 2732902)</f>
        <v>2732902</v>
      </c>
      <c r="C1710" s="2">
        <f>HYPERLINK("https://platform.v2.vetology.net/report/v/final/"&amp;2732902, 2732902)</f>
        <v>2732902</v>
      </c>
      <c r="D1710" s="2" t="s">
        <v>5583</v>
      </c>
      <c r="E1710" s="2" t="s">
        <v>5584</v>
      </c>
      <c r="F1710" s="2" t="s">
        <v>5585</v>
      </c>
      <c r="G1710" s="2" t="s">
        <v>127</v>
      </c>
      <c r="H1710" s="2" t="s">
        <v>2644</v>
      </c>
      <c r="I1710" s="2" t="s">
        <v>36</v>
      </c>
      <c r="J1710" s="2" t="s">
        <v>37</v>
      </c>
      <c r="K1710" s="2" t="s">
        <v>39</v>
      </c>
      <c r="L1710" s="2" t="s">
        <v>38</v>
      </c>
      <c r="M1710" s="2" t="s">
        <v>38</v>
      </c>
      <c r="N1710" s="2" t="s">
        <v>38</v>
      </c>
      <c r="O1710" s="2" t="s">
        <v>38</v>
      </c>
      <c r="P1710" s="2" t="s">
        <v>39</v>
      </c>
      <c r="Q1710" s="2" t="s">
        <v>39</v>
      </c>
      <c r="R1710" s="2" t="s">
        <v>38</v>
      </c>
      <c r="S1710" s="2" t="s">
        <v>38</v>
      </c>
      <c r="T1710" s="2" t="s">
        <v>39</v>
      </c>
      <c r="U1710" s="2" t="s">
        <v>39</v>
      </c>
      <c r="V1710" s="2" t="s">
        <v>38</v>
      </c>
      <c r="W1710" s="2" t="s">
        <v>38</v>
      </c>
      <c r="X1710" s="2" t="s">
        <v>39</v>
      </c>
      <c r="Y1710" s="2" t="s">
        <v>39</v>
      </c>
      <c r="Z1710" s="2" t="s">
        <v>38</v>
      </c>
      <c r="AA1710" s="2" t="s">
        <v>39</v>
      </c>
      <c r="AB1710" s="2" t="s">
        <v>39</v>
      </c>
      <c r="AC1710" s="2" t="s">
        <v>38</v>
      </c>
      <c r="AD1710" s="2" t="s">
        <v>38</v>
      </c>
      <c r="AE1710" s="2" t="s">
        <v>40</v>
      </c>
    </row>
    <row r="1711" spans="1:31" ht="409.5">
      <c r="A1711" s="2">
        <v>2732895</v>
      </c>
      <c r="B1711" s="2">
        <f>HYPERLINK("https://platform.v2.vetology.net/cases/2732895/screening-report/1?type=pdf&amp;v=v6&amp;scorecard=1&amp;secret_key=BX%25IJ%24%2F65ieZ%29f6", 2732895)</f>
        <v>2732895</v>
      </c>
      <c r="C1711" s="2">
        <f>HYPERLINK("https://platform.v2.vetology.net/report/v/final/"&amp;2732895, 2732895)</f>
        <v>2732895</v>
      </c>
      <c r="D1711" s="2" t="s">
        <v>5586</v>
      </c>
      <c r="E1711" s="2" t="s">
        <v>5587</v>
      </c>
      <c r="F1711" s="2" t="s">
        <v>5588</v>
      </c>
      <c r="G1711" s="2" t="s">
        <v>170</v>
      </c>
      <c r="H1711" s="2" t="s">
        <v>93</v>
      </c>
      <c r="I1711" s="2" t="s">
        <v>59</v>
      </c>
      <c r="J1711" s="2" t="s">
        <v>37</v>
      </c>
      <c r="K1711" s="2" t="s">
        <v>38</v>
      </c>
      <c r="L1711" s="2" t="s">
        <v>39</v>
      </c>
      <c r="M1711" s="2" t="s">
        <v>39</v>
      </c>
      <c r="N1711" s="2" t="s">
        <v>38</v>
      </c>
      <c r="O1711" s="2" t="s">
        <v>39</v>
      </c>
      <c r="P1711" s="2" t="s">
        <v>39</v>
      </c>
      <c r="Q1711" s="2" t="s">
        <v>39</v>
      </c>
      <c r="R1711" s="2" t="s">
        <v>39</v>
      </c>
      <c r="S1711" s="2" t="s">
        <v>39</v>
      </c>
      <c r="T1711" s="2" t="s">
        <v>39</v>
      </c>
      <c r="U1711" s="2" t="s">
        <v>38</v>
      </c>
      <c r="V1711" s="2" t="s">
        <v>38</v>
      </c>
      <c r="W1711" s="2" t="s">
        <v>38</v>
      </c>
      <c r="X1711" s="2" t="s">
        <v>39</v>
      </c>
      <c r="Y1711" s="2" t="s">
        <v>39</v>
      </c>
      <c r="Z1711" s="2" t="s">
        <v>39</v>
      </c>
      <c r="AA1711" s="2" t="s">
        <v>39</v>
      </c>
      <c r="AB1711" s="2" t="s">
        <v>39</v>
      </c>
      <c r="AC1711" s="2" t="s">
        <v>38</v>
      </c>
      <c r="AD1711" s="2" t="s">
        <v>38</v>
      </c>
      <c r="AE1711" s="2" t="s">
        <v>39</v>
      </c>
    </row>
    <row r="1712" spans="1:31" ht="409.5">
      <c r="A1712" s="2">
        <v>2732894</v>
      </c>
      <c r="B1712" s="2">
        <f>HYPERLINK("https://platform.v2.vetology.net/cases/2732894/screening-report/1?type=pdf&amp;v=v6&amp;scorecard=1&amp;secret_key=BX%25IJ%24%2F65ieZ%29f6", 2732894)</f>
        <v>2732894</v>
      </c>
      <c r="C1712" s="2">
        <f>HYPERLINK("https://platform.v2.vetology.net/report/v/final/"&amp;2732894, 2732894)</f>
        <v>2732894</v>
      </c>
      <c r="D1712" s="2" t="s">
        <v>302</v>
      </c>
      <c r="E1712" s="2" t="s">
        <v>99</v>
      </c>
      <c r="F1712" s="2"/>
      <c r="G1712" s="2" t="s">
        <v>100</v>
      </c>
      <c r="H1712" s="2" t="s">
        <v>5589</v>
      </c>
      <c r="I1712" s="2" t="s">
        <v>36</v>
      </c>
      <c r="J1712" s="2" t="s">
        <v>37</v>
      </c>
      <c r="K1712" s="2" t="s">
        <v>38</v>
      </c>
      <c r="L1712" s="2" t="s">
        <v>38</v>
      </c>
      <c r="M1712" s="2" t="s">
        <v>39</v>
      </c>
      <c r="N1712" s="2" t="s">
        <v>38</v>
      </c>
      <c r="O1712" s="2" t="s">
        <v>39</v>
      </c>
      <c r="P1712" s="2" t="s">
        <v>39</v>
      </c>
      <c r="Q1712" s="2" t="s">
        <v>39</v>
      </c>
      <c r="R1712" s="2" t="s">
        <v>39</v>
      </c>
      <c r="S1712" s="2" t="s">
        <v>38</v>
      </c>
      <c r="T1712" s="2" t="s">
        <v>39</v>
      </c>
      <c r="U1712" s="2" t="s">
        <v>38</v>
      </c>
      <c r="V1712" s="2" t="s">
        <v>38</v>
      </c>
      <c r="W1712" s="2" t="s">
        <v>39</v>
      </c>
      <c r="X1712" s="2" t="s">
        <v>39</v>
      </c>
      <c r="Y1712" s="2" t="s">
        <v>39</v>
      </c>
      <c r="Z1712" s="2" t="s">
        <v>39</v>
      </c>
      <c r="AA1712" s="2" t="s">
        <v>39</v>
      </c>
      <c r="AB1712" s="2" t="s">
        <v>39</v>
      </c>
      <c r="AC1712" s="2" t="s">
        <v>39</v>
      </c>
      <c r="AD1712" s="2" t="s">
        <v>39</v>
      </c>
      <c r="AE1712" s="2" t="s">
        <v>39</v>
      </c>
    </row>
    <row r="1713" spans="1:31" ht="409.5">
      <c r="A1713" s="2">
        <v>2732883</v>
      </c>
      <c r="B1713" s="2">
        <f>HYPERLINK("https://platform.v2.vetology.net/cases/2732883/screening-report/1?type=pdf&amp;v=v6&amp;scorecard=1&amp;secret_key=BX%25IJ%24%2F65ieZ%29f6", 2732883)</f>
        <v>2732883</v>
      </c>
      <c r="C1713" s="2">
        <f>HYPERLINK("https://platform.v2.vetology.net/report/v/final/"&amp;2732883, 2732883)</f>
        <v>2732883</v>
      </c>
      <c r="D1713" s="2" t="s">
        <v>5590</v>
      </c>
      <c r="E1713" s="2" t="s">
        <v>5591</v>
      </c>
      <c r="F1713" s="2" t="s">
        <v>5592</v>
      </c>
      <c r="G1713" s="2" t="s">
        <v>251</v>
      </c>
      <c r="H1713" s="2" t="s">
        <v>5593</v>
      </c>
      <c r="I1713" s="2" t="s">
        <v>36</v>
      </c>
      <c r="J1713" s="2" t="s">
        <v>37</v>
      </c>
      <c r="K1713" s="2" t="s">
        <v>39</v>
      </c>
      <c r="L1713" s="2" t="s">
        <v>38</v>
      </c>
      <c r="M1713" s="2" t="s">
        <v>38</v>
      </c>
      <c r="N1713" s="2" t="s">
        <v>38</v>
      </c>
      <c r="O1713" s="2" t="s">
        <v>38</v>
      </c>
      <c r="P1713" s="2" t="s">
        <v>39</v>
      </c>
      <c r="Q1713" s="2" t="s">
        <v>39</v>
      </c>
      <c r="R1713" s="2" t="s">
        <v>38</v>
      </c>
      <c r="S1713" s="2" t="s">
        <v>38</v>
      </c>
      <c r="T1713" s="2" t="s">
        <v>39</v>
      </c>
      <c r="U1713" s="2" t="s">
        <v>39</v>
      </c>
      <c r="V1713" s="2" t="s">
        <v>39</v>
      </c>
      <c r="W1713" s="2" t="s">
        <v>38</v>
      </c>
      <c r="X1713" s="2" t="s">
        <v>39</v>
      </c>
      <c r="Y1713" s="2" t="s">
        <v>39</v>
      </c>
      <c r="Z1713" s="2" t="s">
        <v>38</v>
      </c>
      <c r="AA1713" s="2" t="s">
        <v>38</v>
      </c>
      <c r="AB1713" s="2" t="s">
        <v>39</v>
      </c>
      <c r="AC1713" s="2" t="s">
        <v>38</v>
      </c>
      <c r="AD1713" s="2" t="s">
        <v>38</v>
      </c>
      <c r="AE1713" s="2" t="s">
        <v>40</v>
      </c>
    </row>
    <row r="1714" spans="1:31" ht="409.5">
      <c r="A1714" s="2">
        <v>2732876</v>
      </c>
      <c r="B1714" s="2">
        <f>HYPERLINK("https://platform.v2.vetology.net/cases/2732876/screening-report/1?type=pdf&amp;v=v6&amp;scorecard=1&amp;secret_key=BX%25IJ%24%2F65ieZ%29f6", 2732876)</f>
        <v>2732876</v>
      </c>
      <c r="C1714" s="2">
        <f>HYPERLINK("https://platform.v2.vetology.net/report/v/final/"&amp;2732876, 2732876)</f>
        <v>2732876</v>
      </c>
      <c r="D1714" s="2" t="s">
        <v>5594</v>
      </c>
      <c r="E1714" s="2" t="s">
        <v>5595</v>
      </c>
      <c r="F1714" s="2" t="s">
        <v>5596</v>
      </c>
      <c r="G1714" s="2" t="s">
        <v>34</v>
      </c>
      <c r="H1714" s="2" t="s">
        <v>5597</v>
      </c>
      <c r="I1714" s="2" t="s">
        <v>73</v>
      </c>
      <c r="J1714" s="2" t="s">
        <v>74</v>
      </c>
      <c r="K1714" s="2" t="s">
        <v>38</v>
      </c>
      <c r="L1714" s="2" t="s">
        <v>38</v>
      </c>
      <c r="M1714" s="2" t="s">
        <v>39</v>
      </c>
      <c r="N1714" s="2" t="s">
        <v>38</v>
      </c>
      <c r="O1714" s="2" t="s">
        <v>38</v>
      </c>
      <c r="P1714" s="2" t="s">
        <v>38</v>
      </c>
      <c r="Q1714" s="2" t="s">
        <v>38</v>
      </c>
      <c r="R1714" s="2" t="s">
        <v>39</v>
      </c>
      <c r="S1714" s="2" t="s">
        <v>39</v>
      </c>
      <c r="T1714" s="2" t="s">
        <v>38</v>
      </c>
      <c r="U1714" s="2" t="s">
        <v>38</v>
      </c>
      <c r="V1714" s="2" t="s">
        <v>38</v>
      </c>
      <c r="W1714" s="2" t="s">
        <v>38</v>
      </c>
      <c r="X1714" s="2" t="s">
        <v>38</v>
      </c>
      <c r="Y1714" s="2" t="s">
        <v>38</v>
      </c>
      <c r="Z1714" s="2" t="s">
        <v>39</v>
      </c>
      <c r="AA1714" s="2" t="s">
        <v>39</v>
      </c>
      <c r="AB1714" s="2" t="s">
        <v>38</v>
      </c>
      <c r="AC1714" s="2" t="s">
        <v>38</v>
      </c>
      <c r="AD1714" s="2" t="s">
        <v>39</v>
      </c>
      <c r="AE1714" s="2" t="s">
        <v>39</v>
      </c>
    </row>
    <row r="1715" spans="1:31" ht="409.5">
      <c r="A1715" s="2">
        <v>2732869</v>
      </c>
      <c r="B1715" s="2">
        <f>HYPERLINK("https://platform.v2.vetology.net/cases/2732869/screening-report/1?type=pdf&amp;v=v6&amp;scorecard=1&amp;secret_key=BX%25IJ%24%2F65ieZ%29f6", 2732869)</f>
        <v>2732869</v>
      </c>
      <c r="C1715" s="2">
        <f>HYPERLINK("https://platform.v2.vetology.net/report/v/final/"&amp;2732869, 2732869)</f>
        <v>2732869</v>
      </c>
      <c r="D1715" s="2" t="s">
        <v>2353</v>
      </c>
      <c r="E1715" s="2" t="s">
        <v>359</v>
      </c>
      <c r="F1715" s="2"/>
      <c r="G1715" s="2" t="s">
        <v>100</v>
      </c>
      <c r="H1715" s="2" t="s">
        <v>537</v>
      </c>
      <c r="I1715" s="2" t="s">
        <v>59</v>
      </c>
      <c r="J1715" s="2" t="s">
        <v>37</v>
      </c>
      <c r="K1715" s="2" t="s">
        <v>38</v>
      </c>
      <c r="L1715" s="2" t="s">
        <v>39</v>
      </c>
      <c r="M1715" s="2" t="s">
        <v>39</v>
      </c>
      <c r="N1715" s="2" t="s">
        <v>39</v>
      </c>
      <c r="O1715" s="2" t="s">
        <v>39</v>
      </c>
      <c r="P1715" s="2" t="s">
        <v>39</v>
      </c>
      <c r="Q1715" s="2" t="s">
        <v>39</v>
      </c>
      <c r="R1715" s="2" t="s">
        <v>39</v>
      </c>
      <c r="S1715" s="2" t="s">
        <v>39</v>
      </c>
      <c r="T1715" s="2" t="s">
        <v>39</v>
      </c>
      <c r="U1715" s="2" t="s">
        <v>38</v>
      </c>
      <c r="V1715" s="2" t="s">
        <v>38</v>
      </c>
      <c r="W1715" s="2" t="s">
        <v>39</v>
      </c>
      <c r="X1715" s="2" t="s">
        <v>39</v>
      </c>
      <c r="Y1715" s="2" t="s">
        <v>39</v>
      </c>
      <c r="Z1715" s="2" t="s">
        <v>39</v>
      </c>
      <c r="AA1715" s="2" t="s">
        <v>39</v>
      </c>
      <c r="AB1715" s="2" t="s">
        <v>39</v>
      </c>
      <c r="AC1715" s="2" t="s">
        <v>39</v>
      </c>
      <c r="AD1715" s="2" t="s">
        <v>39</v>
      </c>
      <c r="AE1715" s="2" t="s">
        <v>39</v>
      </c>
    </row>
    <row r="1716" spans="1:31" ht="409.5">
      <c r="A1716" s="2">
        <v>2732846</v>
      </c>
      <c r="B1716" s="2">
        <f>HYPERLINK("https://platform.v2.vetology.net/cases/2732846/screening-report/1?type=pdf&amp;v=v6&amp;scorecard=1&amp;secret_key=BX%25IJ%24%2F65ieZ%29f6", 2732846)</f>
        <v>2732846</v>
      </c>
      <c r="C1716" s="2">
        <f>HYPERLINK("https://platform.v2.vetology.net/report/v/final/"&amp;2732846, 2732846)</f>
        <v>2732846</v>
      </c>
      <c r="D1716" s="2" t="s">
        <v>5598</v>
      </c>
      <c r="E1716" s="2" t="s">
        <v>5599</v>
      </c>
      <c r="F1716" s="2"/>
      <c r="G1716" s="2" t="s">
        <v>100</v>
      </c>
      <c r="H1716" s="2" t="s">
        <v>273</v>
      </c>
      <c r="I1716" s="2" t="s">
        <v>46</v>
      </c>
      <c r="J1716" s="2"/>
      <c r="K1716" s="2" t="s">
        <v>39</v>
      </c>
      <c r="L1716" s="2" t="s">
        <v>39</v>
      </c>
      <c r="M1716" s="2" t="s">
        <v>39</v>
      </c>
      <c r="N1716" s="2" t="s">
        <v>39</v>
      </c>
      <c r="O1716" s="2" t="s">
        <v>39</v>
      </c>
      <c r="P1716" s="2" t="s">
        <v>39</v>
      </c>
      <c r="Q1716" s="2" t="s">
        <v>39</v>
      </c>
      <c r="R1716" s="2" t="s">
        <v>39</v>
      </c>
      <c r="S1716" s="2" t="s">
        <v>38</v>
      </c>
      <c r="T1716" s="2" t="s">
        <v>39</v>
      </c>
      <c r="U1716" s="2" t="s">
        <v>39</v>
      </c>
      <c r="V1716" s="2" t="s">
        <v>38</v>
      </c>
      <c r="W1716" s="2" t="s">
        <v>38</v>
      </c>
      <c r="X1716" s="2" t="s">
        <v>39</v>
      </c>
      <c r="Y1716" s="2" t="s">
        <v>39</v>
      </c>
      <c r="Z1716" s="2" t="s">
        <v>38</v>
      </c>
      <c r="AA1716" s="2" t="s">
        <v>39</v>
      </c>
      <c r="AB1716" s="2" t="s">
        <v>39</v>
      </c>
      <c r="AC1716" s="2" t="s">
        <v>38</v>
      </c>
      <c r="AD1716" s="2" t="s">
        <v>39</v>
      </c>
      <c r="AE1716" s="2" t="s">
        <v>40</v>
      </c>
    </row>
    <row r="1717" spans="1:31" ht="409.5">
      <c r="A1717" s="2">
        <v>2732838</v>
      </c>
      <c r="B1717" s="2">
        <f>HYPERLINK("https://platform.v2.vetology.net/cases/2732838/screening-report/1?type=pdf&amp;v=v6&amp;scorecard=1&amp;secret_key=BX%25IJ%24%2F65ieZ%29f6", 2732838)</f>
        <v>2732838</v>
      </c>
      <c r="C1717" s="2">
        <f>HYPERLINK("https://platform.v2.vetology.net/report/v/final/"&amp;2732838, 2732838)</f>
        <v>2732838</v>
      </c>
      <c r="D1717" s="2" t="s">
        <v>5600</v>
      </c>
      <c r="E1717" s="2" t="s">
        <v>5601</v>
      </c>
      <c r="F1717" s="2" t="s">
        <v>5602</v>
      </c>
      <c r="G1717" s="2" t="s">
        <v>111</v>
      </c>
      <c r="H1717" s="2" t="s">
        <v>5603</v>
      </c>
      <c r="I1717" s="2" t="s">
        <v>36</v>
      </c>
      <c r="J1717" s="2" t="s">
        <v>37</v>
      </c>
      <c r="K1717" s="2" t="s">
        <v>38</v>
      </c>
      <c r="L1717" s="2" t="s">
        <v>38</v>
      </c>
      <c r="M1717" s="2" t="s">
        <v>39</v>
      </c>
      <c r="N1717" s="2" t="s">
        <v>38</v>
      </c>
      <c r="O1717" s="2" t="s">
        <v>39</v>
      </c>
      <c r="P1717" s="2" t="s">
        <v>39</v>
      </c>
      <c r="Q1717" s="2" t="s">
        <v>39</v>
      </c>
      <c r="R1717" s="2" t="s">
        <v>39</v>
      </c>
      <c r="S1717" s="2" t="s">
        <v>38</v>
      </c>
      <c r="T1717" s="2" t="s">
        <v>39</v>
      </c>
      <c r="U1717" s="2" t="s">
        <v>38</v>
      </c>
      <c r="V1717" s="2" t="s">
        <v>38</v>
      </c>
      <c r="W1717" s="2" t="s">
        <v>38</v>
      </c>
      <c r="X1717" s="2" t="s">
        <v>39</v>
      </c>
      <c r="Y1717" s="2" t="s">
        <v>39</v>
      </c>
      <c r="Z1717" s="2" t="s">
        <v>39</v>
      </c>
      <c r="AA1717" s="2" t="s">
        <v>38</v>
      </c>
      <c r="AB1717" s="2" t="s">
        <v>39</v>
      </c>
      <c r="AC1717" s="2" t="s">
        <v>38</v>
      </c>
      <c r="AD1717" s="2" t="s">
        <v>39</v>
      </c>
      <c r="AE1717" s="2"/>
    </row>
    <row r="1718" spans="1:31" ht="409.5">
      <c r="A1718" s="2">
        <v>2732817</v>
      </c>
      <c r="B1718" s="2">
        <f>HYPERLINK("https://platform.v2.vetology.net/cases/2732817/screening-report/1?type=pdf&amp;v=v6&amp;scorecard=1&amp;secret_key=BX%25IJ%24%2F65ieZ%29f6", 2732817)</f>
        <v>2732817</v>
      </c>
      <c r="C1718" s="2">
        <f>HYPERLINK("https://platform.v2.vetology.net/report/v/final/"&amp;2732817, 2732817)</f>
        <v>2732817</v>
      </c>
      <c r="D1718" s="2" t="s">
        <v>5604</v>
      </c>
      <c r="E1718" s="2" t="s">
        <v>5605</v>
      </c>
      <c r="F1718" s="2" t="s">
        <v>2082</v>
      </c>
      <c r="G1718" s="2" t="s">
        <v>170</v>
      </c>
      <c r="H1718" s="2" t="s">
        <v>69</v>
      </c>
      <c r="I1718" s="2" t="s">
        <v>46</v>
      </c>
      <c r="J1718" s="2"/>
      <c r="K1718" s="2" t="s">
        <v>39</v>
      </c>
      <c r="L1718" s="2" t="s">
        <v>39</v>
      </c>
      <c r="M1718" s="2" t="s">
        <v>39</v>
      </c>
      <c r="N1718" s="2" t="s">
        <v>39</v>
      </c>
      <c r="O1718" s="2" t="s">
        <v>39</v>
      </c>
      <c r="P1718" s="2" t="s">
        <v>39</v>
      </c>
      <c r="Q1718" s="2" t="s">
        <v>39</v>
      </c>
      <c r="R1718" s="2" t="s">
        <v>39</v>
      </c>
      <c r="S1718" s="2" t="s">
        <v>39</v>
      </c>
      <c r="T1718" s="2" t="s">
        <v>39</v>
      </c>
      <c r="U1718" s="2" t="s">
        <v>39</v>
      </c>
      <c r="V1718" s="2" t="s">
        <v>39</v>
      </c>
      <c r="W1718" s="2" t="s">
        <v>39</v>
      </c>
      <c r="X1718" s="2" t="s">
        <v>39</v>
      </c>
      <c r="Y1718" s="2" t="s">
        <v>39</v>
      </c>
      <c r="Z1718" s="2" t="s">
        <v>39</v>
      </c>
      <c r="AA1718" s="2" t="s">
        <v>39</v>
      </c>
      <c r="AB1718" s="2" t="s">
        <v>39</v>
      </c>
      <c r="AC1718" s="2" t="s">
        <v>38</v>
      </c>
      <c r="AD1718" s="2" t="s">
        <v>38</v>
      </c>
      <c r="AE1718" s="2" t="s">
        <v>40</v>
      </c>
    </row>
    <row r="1719" spans="1:31" ht="409.5">
      <c r="A1719" s="2">
        <v>2732794</v>
      </c>
      <c r="B1719" s="2">
        <f>HYPERLINK("https://platform.v2.vetology.net/cases/2732794/screening-report/1?type=pdf&amp;v=v6&amp;scorecard=1&amp;secret_key=BX%25IJ%24%2F65ieZ%29f6", 2732794)</f>
        <v>2732794</v>
      </c>
      <c r="C1719" s="2">
        <f>HYPERLINK("https://platform.v2.vetology.net/report/v/final/"&amp;2732794, 2732794)</f>
        <v>2732794</v>
      </c>
      <c r="D1719" s="2" t="s">
        <v>5606</v>
      </c>
      <c r="E1719" s="2" t="s">
        <v>4497</v>
      </c>
      <c r="F1719" s="2" t="s">
        <v>5607</v>
      </c>
      <c r="G1719" s="2" t="s">
        <v>127</v>
      </c>
      <c r="H1719" s="2" t="s">
        <v>888</v>
      </c>
      <c r="I1719" s="2" t="s">
        <v>36</v>
      </c>
      <c r="J1719" s="2" t="s">
        <v>37</v>
      </c>
      <c r="K1719" s="2" t="s">
        <v>39</v>
      </c>
      <c r="L1719" s="2" t="s">
        <v>39</v>
      </c>
      <c r="M1719" s="2" t="s">
        <v>38</v>
      </c>
      <c r="N1719" s="2" t="s">
        <v>38</v>
      </c>
      <c r="O1719" s="2" t="s">
        <v>38</v>
      </c>
      <c r="P1719" s="2" t="s">
        <v>39</v>
      </c>
      <c r="Q1719" s="2" t="s">
        <v>39</v>
      </c>
      <c r="R1719" s="2" t="s">
        <v>38</v>
      </c>
      <c r="S1719" s="2" t="s">
        <v>39</v>
      </c>
      <c r="T1719" s="2" t="s">
        <v>38</v>
      </c>
      <c r="U1719" s="2" t="s">
        <v>39</v>
      </c>
      <c r="V1719" s="2" t="s">
        <v>39</v>
      </c>
      <c r="W1719" s="2" t="s">
        <v>38</v>
      </c>
      <c r="X1719" s="2" t="s">
        <v>39</v>
      </c>
      <c r="Y1719" s="2" t="s">
        <v>39</v>
      </c>
      <c r="Z1719" s="2" t="s">
        <v>38</v>
      </c>
      <c r="AA1719" s="2" t="s">
        <v>38</v>
      </c>
      <c r="AB1719" s="2" t="s">
        <v>38</v>
      </c>
      <c r="AC1719" s="2" t="s">
        <v>38</v>
      </c>
      <c r="AD1719" s="2" t="s">
        <v>39</v>
      </c>
      <c r="AE1719" s="2" t="s">
        <v>40</v>
      </c>
    </row>
    <row r="1720" spans="1:31" ht="409.5">
      <c r="A1720" s="2">
        <v>2732744</v>
      </c>
      <c r="B1720" s="2">
        <f>HYPERLINK("https://platform.v2.vetology.net/cases/2732744/screening-report/1?type=pdf&amp;v=v6&amp;scorecard=1&amp;secret_key=BX%25IJ%24%2F65ieZ%29f6", 2732744)</f>
        <v>2732744</v>
      </c>
      <c r="C1720" s="2">
        <f>HYPERLINK("https://platform.v2.vetology.net/report/v/final/"&amp;2732744, 2732744)</f>
        <v>2732744</v>
      </c>
      <c r="D1720" s="2" t="s">
        <v>5608</v>
      </c>
      <c r="E1720" s="2" t="s">
        <v>5609</v>
      </c>
      <c r="F1720" s="2" t="s">
        <v>5610</v>
      </c>
      <c r="G1720" s="2" t="s">
        <v>53</v>
      </c>
      <c r="H1720" s="2" t="s">
        <v>5611</v>
      </c>
      <c r="I1720" s="2" t="s">
        <v>73</v>
      </c>
      <c r="J1720" s="2" t="s">
        <v>74</v>
      </c>
      <c r="K1720" s="2" t="s">
        <v>38</v>
      </c>
      <c r="L1720" s="2" t="s">
        <v>38</v>
      </c>
      <c r="M1720" s="2" t="s">
        <v>38</v>
      </c>
      <c r="N1720" s="2" t="s">
        <v>38</v>
      </c>
      <c r="O1720" s="2" t="s">
        <v>38</v>
      </c>
      <c r="P1720" s="2" t="s">
        <v>39</v>
      </c>
      <c r="Q1720" s="2" t="s">
        <v>38</v>
      </c>
      <c r="R1720" s="2" t="s">
        <v>38</v>
      </c>
      <c r="S1720" s="2" t="s">
        <v>38</v>
      </c>
      <c r="T1720" s="2" t="s">
        <v>38</v>
      </c>
      <c r="U1720" s="2" t="s">
        <v>38</v>
      </c>
      <c r="V1720" s="2" t="s">
        <v>38</v>
      </c>
      <c r="W1720" s="2" t="s">
        <v>38</v>
      </c>
      <c r="X1720" s="2" t="s">
        <v>39</v>
      </c>
      <c r="Y1720" s="2" t="s">
        <v>38</v>
      </c>
      <c r="Z1720" s="2" t="s">
        <v>38</v>
      </c>
      <c r="AA1720" s="2" t="s">
        <v>38</v>
      </c>
      <c r="AB1720" s="2" t="s">
        <v>39</v>
      </c>
      <c r="AC1720" s="2" t="s">
        <v>38</v>
      </c>
      <c r="AD1720" s="2" t="s">
        <v>38</v>
      </c>
      <c r="AE1720" s="2" t="s">
        <v>40</v>
      </c>
    </row>
    <row r="1721" spans="1:31" ht="409.5">
      <c r="A1721" s="2">
        <v>2732696</v>
      </c>
      <c r="B1721" s="2">
        <f>HYPERLINK("https://platform.v2.vetology.net/cases/2732696/screening-report/1?type=pdf&amp;v=v6&amp;scorecard=1&amp;secret_key=BX%25IJ%24%2F65ieZ%29f6", 2732696)</f>
        <v>2732696</v>
      </c>
      <c r="C1721" s="2">
        <f>HYPERLINK("https://platform.v2.vetology.net/report/v/final/"&amp;2732696, 2732696)</f>
        <v>2732696</v>
      </c>
      <c r="D1721" s="2" t="s">
        <v>5612</v>
      </c>
      <c r="E1721" s="2" t="s">
        <v>5613</v>
      </c>
      <c r="F1721" s="2"/>
      <c r="G1721" s="2" t="s">
        <v>100</v>
      </c>
      <c r="H1721" s="2" t="s">
        <v>2760</v>
      </c>
      <c r="I1721" s="2" t="s">
        <v>59</v>
      </c>
      <c r="J1721" s="2" t="s">
        <v>37</v>
      </c>
      <c r="K1721" s="2" t="s">
        <v>39</v>
      </c>
      <c r="L1721" s="2" t="s">
        <v>39</v>
      </c>
      <c r="M1721" s="2" t="s">
        <v>39</v>
      </c>
      <c r="N1721" s="2" t="s">
        <v>38</v>
      </c>
      <c r="O1721" s="2" t="s">
        <v>39</v>
      </c>
      <c r="P1721" s="2" t="s">
        <v>39</v>
      </c>
      <c r="Q1721" s="2" t="s">
        <v>39</v>
      </c>
      <c r="R1721" s="2" t="s">
        <v>38</v>
      </c>
      <c r="S1721" s="2" t="s">
        <v>38</v>
      </c>
      <c r="T1721" s="2" t="s">
        <v>39</v>
      </c>
      <c r="U1721" s="2" t="s">
        <v>38</v>
      </c>
      <c r="V1721" s="2" t="s">
        <v>39</v>
      </c>
      <c r="W1721" s="2" t="s">
        <v>38</v>
      </c>
      <c r="X1721" s="2" t="s">
        <v>39</v>
      </c>
      <c r="Y1721" s="2" t="s">
        <v>39</v>
      </c>
      <c r="Z1721" s="2" t="s">
        <v>38</v>
      </c>
      <c r="AA1721" s="2" t="s">
        <v>39</v>
      </c>
      <c r="AB1721" s="2" t="s">
        <v>39</v>
      </c>
      <c r="AC1721" s="2" t="s">
        <v>38</v>
      </c>
      <c r="AD1721" s="2" t="s">
        <v>38</v>
      </c>
      <c r="AE1721" s="2" t="s">
        <v>40</v>
      </c>
    </row>
    <row r="1722" spans="1:31" ht="409.5">
      <c r="A1722" s="2">
        <v>2732668</v>
      </c>
      <c r="B1722" s="2">
        <f>HYPERLINK("https://platform.v2.vetology.net/cases/2732668/screening-report/1?type=pdf&amp;v=v6&amp;scorecard=1&amp;secret_key=BX%25IJ%24%2F65ieZ%29f6", 2732668)</f>
        <v>2732668</v>
      </c>
      <c r="C1722" s="2">
        <f>HYPERLINK("https://platform.v2.vetology.net/report/v/final/"&amp;2732668, 2732668)</f>
        <v>2732668</v>
      </c>
      <c r="D1722" s="2" t="s">
        <v>5614</v>
      </c>
      <c r="E1722" s="2" t="s">
        <v>5615</v>
      </c>
      <c r="F1722" s="2" t="s">
        <v>3797</v>
      </c>
      <c r="G1722" s="2" t="s">
        <v>170</v>
      </c>
      <c r="H1722" s="2" t="s">
        <v>2886</v>
      </c>
      <c r="I1722" s="2" t="s">
        <v>36</v>
      </c>
      <c r="J1722" s="2" t="s">
        <v>37</v>
      </c>
      <c r="K1722" s="2" t="s">
        <v>38</v>
      </c>
      <c r="L1722" s="2" t="s">
        <v>39</v>
      </c>
      <c r="M1722" s="2" t="s">
        <v>39</v>
      </c>
      <c r="N1722" s="2" t="s">
        <v>38</v>
      </c>
      <c r="O1722" s="2" t="s">
        <v>39</v>
      </c>
      <c r="P1722" s="2" t="s">
        <v>39</v>
      </c>
      <c r="Q1722" s="2" t="s">
        <v>39</v>
      </c>
      <c r="R1722" s="2" t="s">
        <v>38</v>
      </c>
      <c r="S1722" s="2" t="s">
        <v>38</v>
      </c>
      <c r="T1722" s="2" t="s">
        <v>38</v>
      </c>
      <c r="U1722" s="2" t="s">
        <v>39</v>
      </c>
      <c r="V1722" s="2" t="s">
        <v>38</v>
      </c>
      <c r="W1722" s="2" t="s">
        <v>38</v>
      </c>
      <c r="X1722" s="2" t="s">
        <v>39</v>
      </c>
      <c r="Y1722" s="2" t="s">
        <v>39</v>
      </c>
      <c r="Z1722" s="2" t="s">
        <v>39</v>
      </c>
      <c r="AA1722" s="2" t="s">
        <v>38</v>
      </c>
      <c r="AB1722" s="2" t="s">
        <v>39</v>
      </c>
      <c r="AC1722" s="2" t="s">
        <v>39</v>
      </c>
      <c r="AD1722" s="2" t="s">
        <v>39</v>
      </c>
      <c r="AE1722" s="2"/>
    </row>
    <row r="1723" spans="1:31" ht="409.5">
      <c r="A1723" s="2">
        <v>2732642</v>
      </c>
      <c r="B1723" s="2">
        <f>HYPERLINK("https://platform.v2.vetology.net/cases/2732642/screening-report/1?type=pdf&amp;v=v6&amp;scorecard=1&amp;secret_key=BX%25IJ%24%2F65ieZ%29f6", 2732642)</f>
        <v>2732642</v>
      </c>
      <c r="C1723" s="2">
        <f>HYPERLINK("https://platform.v2.vetology.net/report/v/final/"&amp;2732642, 2732642)</f>
        <v>2732642</v>
      </c>
      <c r="D1723" s="2" t="s">
        <v>5616</v>
      </c>
      <c r="E1723" s="2" t="s">
        <v>5617</v>
      </c>
      <c r="F1723" s="2" t="s">
        <v>43</v>
      </c>
      <c r="G1723" s="2" t="s">
        <v>100</v>
      </c>
      <c r="H1723" s="2" t="s">
        <v>5618</v>
      </c>
      <c r="I1723" s="2" t="s">
        <v>73</v>
      </c>
      <c r="J1723" s="2" t="s">
        <v>74</v>
      </c>
      <c r="K1723" s="2" t="s">
        <v>38</v>
      </c>
      <c r="L1723" s="2" t="s">
        <v>38</v>
      </c>
      <c r="M1723" s="2" t="s">
        <v>38</v>
      </c>
      <c r="N1723" s="2" t="s">
        <v>38</v>
      </c>
      <c r="O1723" s="2" t="s">
        <v>38</v>
      </c>
      <c r="P1723" s="2" t="s">
        <v>38</v>
      </c>
      <c r="Q1723" s="2" t="s">
        <v>38</v>
      </c>
      <c r="R1723" s="2" t="s">
        <v>38</v>
      </c>
      <c r="S1723" s="2" t="s">
        <v>38</v>
      </c>
      <c r="T1723" s="2" t="s">
        <v>38</v>
      </c>
      <c r="U1723" s="2" t="s">
        <v>38</v>
      </c>
      <c r="V1723" s="2" t="s">
        <v>38</v>
      </c>
      <c r="W1723" s="2" t="s">
        <v>38</v>
      </c>
      <c r="X1723" s="2" t="s">
        <v>38</v>
      </c>
      <c r="Y1723" s="2" t="s">
        <v>38</v>
      </c>
      <c r="Z1723" s="2" t="s">
        <v>38</v>
      </c>
      <c r="AA1723" s="2" t="s">
        <v>38</v>
      </c>
      <c r="AB1723" s="2" t="s">
        <v>38</v>
      </c>
      <c r="AC1723" s="2" t="s">
        <v>38</v>
      </c>
      <c r="AD1723" s="2" t="s">
        <v>39</v>
      </c>
      <c r="AE1723" s="2" t="s">
        <v>40</v>
      </c>
    </row>
    <row r="1724" spans="1:31" ht="409.5">
      <c r="A1724" s="2">
        <v>2732635</v>
      </c>
      <c r="B1724" s="2">
        <f>HYPERLINK("https://platform.v2.vetology.net/cases/2732635/screening-report/1?type=pdf&amp;v=v6&amp;scorecard=1&amp;secret_key=BX%25IJ%24%2F65ieZ%29f6", 2732635)</f>
        <v>2732635</v>
      </c>
      <c r="C1724" s="2">
        <f>HYPERLINK("https://platform.v2.vetology.net/report/v/final/"&amp;2732635, 2732635)</f>
        <v>2732635</v>
      </c>
      <c r="D1724" s="2" t="s">
        <v>5619</v>
      </c>
      <c r="E1724" s="2" t="s">
        <v>5620</v>
      </c>
      <c r="F1724" s="2" t="s">
        <v>5621</v>
      </c>
      <c r="G1724" s="2" t="s">
        <v>127</v>
      </c>
      <c r="H1724" s="2" t="s">
        <v>5622</v>
      </c>
      <c r="I1724" s="2" t="s">
        <v>36</v>
      </c>
      <c r="J1724" s="2" t="s">
        <v>37</v>
      </c>
      <c r="K1724" s="2" t="s">
        <v>39</v>
      </c>
      <c r="L1724" s="2" t="s">
        <v>38</v>
      </c>
      <c r="M1724" s="2" t="s">
        <v>38</v>
      </c>
      <c r="N1724" s="2" t="s">
        <v>38</v>
      </c>
      <c r="O1724" s="2" t="s">
        <v>38</v>
      </c>
      <c r="P1724" s="2" t="s">
        <v>39</v>
      </c>
      <c r="Q1724" s="2" t="s">
        <v>39</v>
      </c>
      <c r="R1724" s="2" t="s">
        <v>38</v>
      </c>
      <c r="S1724" s="2" t="s">
        <v>38</v>
      </c>
      <c r="T1724" s="2" t="s">
        <v>38</v>
      </c>
      <c r="U1724" s="2" t="s">
        <v>39</v>
      </c>
      <c r="V1724" s="2" t="s">
        <v>39</v>
      </c>
      <c r="W1724" s="2" t="s">
        <v>38</v>
      </c>
      <c r="X1724" s="2" t="s">
        <v>39</v>
      </c>
      <c r="Y1724" s="2" t="s">
        <v>39</v>
      </c>
      <c r="Z1724" s="2" t="s">
        <v>38</v>
      </c>
      <c r="AA1724" s="2" t="s">
        <v>39</v>
      </c>
      <c r="AB1724" s="2" t="s">
        <v>39</v>
      </c>
      <c r="AC1724" s="2" t="s">
        <v>38</v>
      </c>
      <c r="AD1724" s="2" t="s">
        <v>38</v>
      </c>
      <c r="AE1724" s="2" t="s">
        <v>39</v>
      </c>
    </row>
    <row r="1725" spans="1:31" ht="409.5">
      <c r="A1725" s="2">
        <v>2732633</v>
      </c>
      <c r="B1725" s="2">
        <f>HYPERLINK("https://platform.v2.vetology.net/cases/2732633/screening-report/1?type=pdf&amp;v=v6&amp;scorecard=1&amp;secret_key=BX%25IJ%24%2F65ieZ%29f6", 2732633)</f>
        <v>2732633</v>
      </c>
      <c r="C1725" s="2">
        <f>HYPERLINK("https://platform.v2.vetology.net/report/v/final/"&amp;2732633, 2732633)</f>
        <v>2732633</v>
      </c>
      <c r="D1725" s="2" t="s">
        <v>5623</v>
      </c>
      <c r="E1725" s="2" t="s">
        <v>5624</v>
      </c>
      <c r="F1725" s="2" t="s">
        <v>43</v>
      </c>
      <c r="G1725" s="2" t="s">
        <v>100</v>
      </c>
      <c r="H1725" s="2" t="s">
        <v>611</v>
      </c>
      <c r="I1725" s="2" t="s">
        <v>46</v>
      </c>
      <c r="J1725" s="2"/>
      <c r="K1725" s="2" t="s">
        <v>39</v>
      </c>
      <c r="L1725" s="2" t="s">
        <v>39</v>
      </c>
      <c r="M1725" s="2" t="s">
        <v>39</v>
      </c>
      <c r="N1725" s="2" t="s">
        <v>39</v>
      </c>
      <c r="O1725" s="2" t="s">
        <v>39</v>
      </c>
      <c r="P1725" s="2" t="s">
        <v>39</v>
      </c>
      <c r="Q1725" s="2" t="s">
        <v>39</v>
      </c>
      <c r="R1725" s="2" t="s">
        <v>39</v>
      </c>
      <c r="S1725" s="2" t="s">
        <v>39</v>
      </c>
      <c r="T1725" s="2" t="s">
        <v>38</v>
      </c>
      <c r="U1725" s="2" t="s">
        <v>39</v>
      </c>
      <c r="V1725" s="2" t="s">
        <v>39</v>
      </c>
      <c r="W1725" s="2" t="s">
        <v>39</v>
      </c>
      <c r="X1725" s="2" t="s">
        <v>39</v>
      </c>
      <c r="Y1725" s="2" t="s">
        <v>39</v>
      </c>
      <c r="Z1725" s="2" t="s">
        <v>39</v>
      </c>
      <c r="AA1725" s="2" t="s">
        <v>39</v>
      </c>
      <c r="AB1725" s="2" t="s">
        <v>38</v>
      </c>
      <c r="AC1725" s="2" t="s">
        <v>39</v>
      </c>
      <c r="AD1725" s="2" t="s">
        <v>39</v>
      </c>
      <c r="AE1725" s="2" t="s">
        <v>39</v>
      </c>
    </row>
    <row r="1726" spans="1:31" ht="409.5">
      <c r="A1726" s="2">
        <v>2732627</v>
      </c>
      <c r="B1726" s="2">
        <f>HYPERLINK("https://platform.v2.vetology.net/cases/2732627/screening-report/1?type=pdf&amp;v=v6&amp;scorecard=1&amp;secret_key=BX%25IJ%24%2F65ieZ%29f6", 2732627)</f>
        <v>2732627</v>
      </c>
      <c r="C1726" s="2">
        <f>HYPERLINK("https://platform.v2.vetology.net/report/v/final/"&amp;2732627, 2732627)</f>
        <v>2732627</v>
      </c>
      <c r="D1726" s="2" t="s">
        <v>5625</v>
      </c>
      <c r="E1726" s="2" t="s">
        <v>5626</v>
      </c>
      <c r="F1726" s="2" t="s">
        <v>43</v>
      </c>
      <c r="G1726" s="2" t="s">
        <v>44</v>
      </c>
      <c r="H1726" s="2" t="s">
        <v>5627</v>
      </c>
      <c r="I1726" s="2" t="s">
        <v>36</v>
      </c>
      <c r="J1726" s="2" t="s">
        <v>37</v>
      </c>
      <c r="K1726" s="2" t="s">
        <v>39</v>
      </c>
      <c r="L1726" s="2" t="s">
        <v>38</v>
      </c>
      <c r="M1726" s="2" t="s">
        <v>38</v>
      </c>
      <c r="N1726" s="2" t="s">
        <v>38</v>
      </c>
      <c r="O1726" s="2" t="s">
        <v>38</v>
      </c>
      <c r="P1726" s="2" t="s">
        <v>39</v>
      </c>
      <c r="Q1726" s="2" t="s">
        <v>39</v>
      </c>
      <c r="R1726" s="2" t="s">
        <v>38</v>
      </c>
      <c r="S1726" s="2" t="s">
        <v>38</v>
      </c>
      <c r="T1726" s="2" t="s">
        <v>38</v>
      </c>
      <c r="U1726" s="2" t="s">
        <v>38</v>
      </c>
      <c r="V1726" s="2" t="s">
        <v>38</v>
      </c>
      <c r="W1726" s="2" t="s">
        <v>38</v>
      </c>
      <c r="X1726" s="2" t="s">
        <v>39</v>
      </c>
      <c r="Y1726" s="2" t="s">
        <v>39</v>
      </c>
      <c r="Z1726" s="2" t="s">
        <v>38</v>
      </c>
      <c r="AA1726" s="2" t="s">
        <v>38</v>
      </c>
      <c r="AB1726" s="2" t="s">
        <v>39</v>
      </c>
      <c r="AC1726" s="2" t="s">
        <v>38</v>
      </c>
      <c r="AD1726" s="2" t="s">
        <v>38</v>
      </c>
      <c r="AE1726" s="2" t="s">
        <v>39</v>
      </c>
    </row>
    <row r="1727" spans="1:31" ht="409.5">
      <c r="A1727" s="2">
        <v>2732622</v>
      </c>
      <c r="B1727" s="2">
        <f>HYPERLINK("https://platform.v2.vetology.net/cases/2732622/screening-report/1?type=pdf&amp;v=v6&amp;scorecard=1&amp;secret_key=BX%25IJ%24%2F65ieZ%29f6", 2732622)</f>
        <v>2732622</v>
      </c>
      <c r="C1727" s="2">
        <f>HYPERLINK("https://platform.v2.vetology.net/report/v/final/"&amp;2732622, 2732622)</f>
        <v>2732622</v>
      </c>
      <c r="D1727" s="2" t="s">
        <v>5628</v>
      </c>
      <c r="E1727" s="2" t="s">
        <v>5629</v>
      </c>
      <c r="F1727" s="2" t="s">
        <v>43</v>
      </c>
      <c r="G1727" s="2" t="s">
        <v>44</v>
      </c>
      <c r="H1727" s="2" t="s">
        <v>5630</v>
      </c>
      <c r="I1727" s="2" t="s">
        <v>129</v>
      </c>
      <c r="J1727" s="2" t="s">
        <v>74</v>
      </c>
      <c r="K1727" s="2" t="s">
        <v>38</v>
      </c>
      <c r="L1727" s="2" t="s">
        <v>38</v>
      </c>
      <c r="M1727" s="2" t="s">
        <v>38</v>
      </c>
      <c r="N1727" s="2" t="s">
        <v>38</v>
      </c>
      <c r="O1727" s="2" t="s">
        <v>38</v>
      </c>
      <c r="P1727" s="2" t="s">
        <v>38</v>
      </c>
      <c r="Q1727" s="2" t="s">
        <v>38</v>
      </c>
      <c r="R1727" s="2" t="s">
        <v>39</v>
      </c>
      <c r="S1727" s="2" t="s">
        <v>38</v>
      </c>
      <c r="T1727" s="2" t="s">
        <v>38</v>
      </c>
      <c r="U1727" s="2" t="s">
        <v>39</v>
      </c>
      <c r="V1727" s="2" t="s">
        <v>38</v>
      </c>
      <c r="W1727" s="2" t="s">
        <v>38</v>
      </c>
      <c r="X1727" s="2" t="s">
        <v>38</v>
      </c>
      <c r="Y1727" s="2" t="s">
        <v>38</v>
      </c>
      <c r="Z1727" s="2" t="s">
        <v>38</v>
      </c>
      <c r="AA1727" s="2" t="s">
        <v>38</v>
      </c>
      <c r="AB1727" s="2" t="s">
        <v>38</v>
      </c>
      <c r="AC1727" s="2" t="s">
        <v>38</v>
      </c>
      <c r="AD1727" s="2" t="s">
        <v>38</v>
      </c>
      <c r="AE1727" s="2" t="s">
        <v>39</v>
      </c>
    </row>
    <row r="1728" spans="1:31" ht="409.5">
      <c r="A1728" s="2">
        <v>2732615</v>
      </c>
      <c r="B1728" s="2">
        <f>HYPERLINK("https://platform.v2.vetology.net/cases/2732615/screening-report/1?type=pdf&amp;v=v6&amp;scorecard=1&amp;secret_key=BX%25IJ%24%2F65ieZ%29f6", 2732615)</f>
        <v>2732615</v>
      </c>
      <c r="C1728" s="2">
        <f>HYPERLINK("https://platform.v2.vetology.net/report/v/final/"&amp;2732615, 2732615)</f>
        <v>2732615</v>
      </c>
      <c r="D1728" s="2" t="s">
        <v>5631</v>
      </c>
      <c r="E1728" s="2" t="s">
        <v>4048</v>
      </c>
      <c r="F1728" s="2" t="s">
        <v>3048</v>
      </c>
      <c r="G1728" s="2" t="s">
        <v>100</v>
      </c>
      <c r="H1728" s="2" t="s">
        <v>728</v>
      </c>
      <c r="I1728" s="2" t="s">
        <v>36</v>
      </c>
      <c r="J1728" s="2" t="s">
        <v>37</v>
      </c>
      <c r="K1728" s="2" t="s">
        <v>39</v>
      </c>
      <c r="L1728" s="2" t="s">
        <v>39</v>
      </c>
      <c r="M1728" s="2" t="s">
        <v>38</v>
      </c>
      <c r="N1728" s="2" t="s">
        <v>39</v>
      </c>
      <c r="O1728" s="2" t="s">
        <v>38</v>
      </c>
      <c r="P1728" s="2" t="s">
        <v>39</v>
      </c>
      <c r="Q1728" s="2" t="s">
        <v>39</v>
      </c>
      <c r="R1728" s="2" t="s">
        <v>39</v>
      </c>
      <c r="S1728" s="2" t="s">
        <v>38</v>
      </c>
      <c r="T1728" s="2" t="s">
        <v>39</v>
      </c>
      <c r="U1728" s="2" t="s">
        <v>39</v>
      </c>
      <c r="V1728" s="2" t="s">
        <v>39</v>
      </c>
      <c r="W1728" s="2" t="s">
        <v>38</v>
      </c>
      <c r="X1728" s="2" t="s">
        <v>39</v>
      </c>
      <c r="Y1728" s="2" t="s">
        <v>39</v>
      </c>
      <c r="Z1728" s="2" t="s">
        <v>38</v>
      </c>
      <c r="AA1728" s="2" t="s">
        <v>38</v>
      </c>
      <c r="AB1728" s="2" t="s">
        <v>39</v>
      </c>
      <c r="AC1728" s="2" t="s">
        <v>38</v>
      </c>
      <c r="AD1728" s="2" t="s">
        <v>38</v>
      </c>
      <c r="AE1728" s="2" t="s">
        <v>40</v>
      </c>
    </row>
    <row r="1729" spans="1:31" ht="409.5">
      <c r="A1729" s="2">
        <v>2732600</v>
      </c>
      <c r="B1729" s="2">
        <f>HYPERLINK("https://platform.v2.vetology.net/cases/2732600/screening-report/1?type=pdf&amp;v=v6&amp;scorecard=1&amp;secret_key=BX%25IJ%24%2F65ieZ%29f6", 2732600)</f>
        <v>2732600</v>
      </c>
      <c r="C1729" s="2">
        <f>HYPERLINK("https://platform.v2.vetology.net/report/v/final/"&amp;2732600, 2732600)</f>
        <v>2732600</v>
      </c>
      <c r="D1729" s="2" t="s">
        <v>5632</v>
      </c>
      <c r="E1729" s="2" t="s">
        <v>5633</v>
      </c>
      <c r="F1729" s="2" t="s">
        <v>5634</v>
      </c>
      <c r="G1729" s="2" t="s">
        <v>53</v>
      </c>
      <c r="H1729" s="2" t="s">
        <v>801</v>
      </c>
      <c r="I1729" s="2" t="s">
        <v>59</v>
      </c>
      <c r="J1729" s="2" t="s">
        <v>37</v>
      </c>
      <c r="K1729" s="2" t="s">
        <v>38</v>
      </c>
      <c r="L1729" s="2" t="s">
        <v>39</v>
      </c>
      <c r="M1729" s="2" t="s">
        <v>39</v>
      </c>
      <c r="N1729" s="2" t="s">
        <v>39</v>
      </c>
      <c r="O1729" s="2" t="s">
        <v>39</v>
      </c>
      <c r="P1729" s="2" t="s">
        <v>39</v>
      </c>
      <c r="Q1729" s="2" t="s">
        <v>39</v>
      </c>
      <c r="R1729" s="2" t="s">
        <v>38</v>
      </c>
      <c r="S1729" s="2" t="s">
        <v>39</v>
      </c>
      <c r="T1729" s="2" t="s">
        <v>39</v>
      </c>
      <c r="U1729" s="2" t="s">
        <v>38</v>
      </c>
      <c r="V1729" s="2" t="s">
        <v>38</v>
      </c>
      <c r="W1729" s="2" t="s">
        <v>39</v>
      </c>
      <c r="X1729" s="2" t="s">
        <v>39</v>
      </c>
      <c r="Y1729" s="2" t="s">
        <v>39</v>
      </c>
      <c r="Z1729" s="2" t="s">
        <v>38</v>
      </c>
      <c r="AA1729" s="2" t="s">
        <v>39</v>
      </c>
      <c r="AB1729" s="2" t="s">
        <v>39</v>
      </c>
      <c r="AC1729" s="2" t="s">
        <v>39</v>
      </c>
      <c r="AD1729" s="2" t="s">
        <v>38</v>
      </c>
      <c r="AE1729" s="2" t="s">
        <v>40</v>
      </c>
    </row>
    <row r="1730" spans="1:31" ht="409.5">
      <c r="A1730" s="2">
        <v>2732570</v>
      </c>
      <c r="B1730" s="2">
        <f>HYPERLINK("https://platform.v2.vetology.net/cases/2732570/screening-report/1?type=pdf&amp;v=v6&amp;scorecard=1&amp;secret_key=BX%25IJ%24%2F65ieZ%29f6", 2732570)</f>
        <v>2732570</v>
      </c>
      <c r="C1730" s="2">
        <f>HYPERLINK("https://platform.v2.vetology.net/report/v/final/"&amp;2732570, 2732570)</f>
        <v>2732570</v>
      </c>
      <c r="D1730" s="2" t="s">
        <v>5635</v>
      </c>
      <c r="E1730" s="2" t="s">
        <v>5636</v>
      </c>
      <c r="F1730" s="2" t="s">
        <v>5637</v>
      </c>
      <c r="G1730" s="2" t="s">
        <v>170</v>
      </c>
      <c r="H1730" s="2" t="s">
        <v>69</v>
      </c>
      <c r="I1730" s="2" t="s">
        <v>46</v>
      </c>
      <c r="J1730" s="2"/>
      <c r="K1730" s="2" t="s">
        <v>39</v>
      </c>
      <c r="L1730" s="2" t="s">
        <v>39</v>
      </c>
      <c r="M1730" s="2" t="s">
        <v>39</v>
      </c>
      <c r="N1730" s="2" t="s">
        <v>39</v>
      </c>
      <c r="O1730" s="2" t="s">
        <v>39</v>
      </c>
      <c r="P1730" s="2" t="s">
        <v>39</v>
      </c>
      <c r="Q1730" s="2" t="s">
        <v>39</v>
      </c>
      <c r="R1730" s="2" t="s">
        <v>39</v>
      </c>
      <c r="S1730" s="2" t="s">
        <v>39</v>
      </c>
      <c r="T1730" s="2" t="s">
        <v>39</v>
      </c>
      <c r="U1730" s="2" t="s">
        <v>39</v>
      </c>
      <c r="V1730" s="2" t="s">
        <v>39</v>
      </c>
      <c r="W1730" s="2" t="s">
        <v>39</v>
      </c>
      <c r="X1730" s="2" t="s">
        <v>39</v>
      </c>
      <c r="Y1730" s="2" t="s">
        <v>39</v>
      </c>
      <c r="Z1730" s="2" t="s">
        <v>39</v>
      </c>
      <c r="AA1730" s="2" t="s">
        <v>39</v>
      </c>
      <c r="AB1730" s="2" t="s">
        <v>39</v>
      </c>
      <c r="AC1730" s="2" t="s">
        <v>39</v>
      </c>
      <c r="AD1730" s="2" t="s">
        <v>39</v>
      </c>
      <c r="AE1730" s="2" t="s">
        <v>39</v>
      </c>
    </row>
    <row r="1731" spans="1:31" ht="409.5">
      <c r="A1731" s="2">
        <v>2732510</v>
      </c>
      <c r="B1731" s="2">
        <f>HYPERLINK("https://platform.v2.vetology.net/cases/2732510/screening-report/1?type=pdf&amp;v=v6&amp;scorecard=1&amp;secret_key=BX%25IJ%24%2F65ieZ%29f6", 2732510)</f>
        <v>2732510</v>
      </c>
      <c r="C1731" s="2">
        <f>HYPERLINK("https://platform.v2.vetology.net/report/v/final/"&amp;2732510, 2732510)</f>
        <v>2732510</v>
      </c>
      <c r="D1731" s="2" t="s">
        <v>5638</v>
      </c>
      <c r="E1731" s="2" t="s">
        <v>5639</v>
      </c>
      <c r="F1731" s="2" t="s">
        <v>2082</v>
      </c>
      <c r="G1731" s="2" t="s">
        <v>170</v>
      </c>
      <c r="H1731" s="2" t="s">
        <v>69</v>
      </c>
      <c r="I1731" s="2" t="s">
        <v>46</v>
      </c>
      <c r="J1731" s="2"/>
      <c r="K1731" s="2" t="s">
        <v>39</v>
      </c>
      <c r="L1731" s="2" t="s">
        <v>39</v>
      </c>
      <c r="M1731" s="2" t="s">
        <v>39</v>
      </c>
      <c r="N1731" s="2" t="s">
        <v>39</v>
      </c>
      <c r="O1731" s="2" t="s">
        <v>39</v>
      </c>
      <c r="P1731" s="2" t="s">
        <v>39</v>
      </c>
      <c r="Q1731" s="2" t="s">
        <v>39</v>
      </c>
      <c r="R1731" s="2" t="s">
        <v>39</v>
      </c>
      <c r="S1731" s="2" t="s">
        <v>39</v>
      </c>
      <c r="T1731" s="2" t="s">
        <v>39</v>
      </c>
      <c r="U1731" s="2" t="s">
        <v>39</v>
      </c>
      <c r="V1731" s="2" t="s">
        <v>39</v>
      </c>
      <c r="W1731" s="2" t="s">
        <v>38</v>
      </c>
      <c r="X1731" s="2" t="s">
        <v>39</v>
      </c>
      <c r="Y1731" s="2" t="s">
        <v>39</v>
      </c>
      <c r="Z1731" s="2" t="s">
        <v>39</v>
      </c>
      <c r="AA1731" s="2" t="s">
        <v>39</v>
      </c>
      <c r="AB1731" s="2" t="s">
        <v>39</v>
      </c>
      <c r="AC1731" s="2" t="s">
        <v>38</v>
      </c>
      <c r="AD1731" s="2" t="s">
        <v>38</v>
      </c>
      <c r="AE1731" s="2" t="s">
        <v>39</v>
      </c>
    </row>
    <row r="1732" spans="1:31" ht="409.5">
      <c r="A1732" s="2">
        <v>2732424</v>
      </c>
      <c r="B1732" s="2">
        <f>HYPERLINK("https://platform.v2.vetology.net/cases/2732424/screening-report/1?type=pdf&amp;v=v6&amp;scorecard=1&amp;secret_key=BX%25IJ%24%2F65ieZ%29f6", 2732424)</f>
        <v>2732424</v>
      </c>
      <c r="C1732" s="2">
        <f>HYPERLINK("https://platform.v2.vetology.net/report/v/final/"&amp;2732424, 2732424)</f>
        <v>2732424</v>
      </c>
      <c r="D1732" s="2" t="s">
        <v>5640</v>
      </c>
      <c r="E1732" s="2" t="s">
        <v>4048</v>
      </c>
      <c r="F1732" s="2" t="s">
        <v>1744</v>
      </c>
      <c r="G1732" s="2" t="s">
        <v>100</v>
      </c>
      <c r="H1732" s="2" t="s">
        <v>5641</v>
      </c>
      <c r="I1732" s="2" t="s">
        <v>36</v>
      </c>
      <c r="J1732" s="2" t="s">
        <v>37</v>
      </c>
      <c r="K1732" s="2" t="s">
        <v>39</v>
      </c>
      <c r="L1732" s="2" t="s">
        <v>39</v>
      </c>
      <c r="M1732" s="2" t="s">
        <v>38</v>
      </c>
      <c r="N1732" s="2" t="s">
        <v>38</v>
      </c>
      <c r="O1732" s="2" t="s">
        <v>38</v>
      </c>
      <c r="P1732" s="2" t="s">
        <v>38</v>
      </c>
      <c r="Q1732" s="2" t="s">
        <v>38</v>
      </c>
      <c r="R1732" s="2" t="s">
        <v>39</v>
      </c>
      <c r="S1732" s="2" t="s">
        <v>39</v>
      </c>
      <c r="T1732" s="2" t="s">
        <v>39</v>
      </c>
      <c r="U1732" s="2" t="s">
        <v>39</v>
      </c>
      <c r="V1732" s="2" t="s">
        <v>38</v>
      </c>
      <c r="W1732" s="2" t="s">
        <v>39</v>
      </c>
      <c r="X1732" s="2" t="s">
        <v>39</v>
      </c>
      <c r="Y1732" s="2" t="s">
        <v>39</v>
      </c>
      <c r="Z1732" s="2" t="s">
        <v>39</v>
      </c>
      <c r="AA1732" s="2" t="s">
        <v>39</v>
      </c>
      <c r="AB1732" s="2" t="s">
        <v>38</v>
      </c>
      <c r="AC1732" s="2" t="s">
        <v>39</v>
      </c>
      <c r="AD1732" s="2" t="s">
        <v>39</v>
      </c>
      <c r="AE1732" s="2" t="s">
        <v>39</v>
      </c>
    </row>
    <row r="1733" spans="1:31" ht="409.5">
      <c r="A1733" s="2">
        <v>2732367</v>
      </c>
      <c r="B1733" s="2">
        <f>HYPERLINK("https://platform.v2.vetology.net/cases/2732367/screening-report/1?type=pdf&amp;v=v6&amp;scorecard=1&amp;secret_key=BX%25IJ%24%2F65ieZ%29f6", 2732367)</f>
        <v>2732367</v>
      </c>
      <c r="C1733" s="2">
        <f>HYPERLINK("https://platform.v2.vetology.net/report/v/final/"&amp;2732367, 2732367)</f>
        <v>2732367</v>
      </c>
      <c r="D1733" s="2" t="s">
        <v>5642</v>
      </c>
      <c r="E1733" s="2" t="s">
        <v>578</v>
      </c>
      <c r="F1733" s="2" t="s">
        <v>5643</v>
      </c>
      <c r="G1733" s="2" t="s">
        <v>34</v>
      </c>
      <c r="H1733" s="2" t="s">
        <v>2424</v>
      </c>
      <c r="I1733" s="2" t="s">
        <v>36</v>
      </c>
      <c r="J1733" s="2" t="s">
        <v>37</v>
      </c>
      <c r="K1733" s="2" t="s">
        <v>39</v>
      </c>
      <c r="L1733" s="2" t="s">
        <v>39</v>
      </c>
      <c r="M1733" s="2" t="s">
        <v>38</v>
      </c>
      <c r="N1733" s="2" t="s">
        <v>38</v>
      </c>
      <c r="O1733" s="2" t="s">
        <v>38</v>
      </c>
      <c r="P1733" s="2" t="s">
        <v>39</v>
      </c>
      <c r="Q1733" s="2" t="s">
        <v>39</v>
      </c>
      <c r="R1733" s="2" t="s">
        <v>38</v>
      </c>
      <c r="S1733" s="2" t="s">
        <v>39</v>
      </c>
      <c r="T1733" s="2" t="s">
        <v>39</v>
      </c>
      <c r="U1733" s="2" t="s">
        <v>39</v>
      </c>
      <c r="V1733" s="2" t="s">
        <v>39</v>
      </c>
      <c r="W1733" s="2" t="s">
        <v>38</v>
      </c>
      <c r="X1733" s="2" t="s">
        <v>39</v>
      </c>
      <c r="Y1733" s="2" t="s">
        <v>39</v>
      </c>
      <c r="Z1733" s="2" t="s">
        <v>38</v>
      </c>
      <c r="AA1733" s="2" t="s">
        <v>39</v>
      </c>
      <c r="AB1733" s="2" t="s">
        <v>39</v>
      </c>
      <c r="AC1733" s="2" t="s">
        <v>38</v>
      </c>
      <c r="AD1733" s="2" t="s">
        <v>39</v>
      </c>
      <c r="AE1733" s="2" t="s">
        <v>39</v>
      </c>
    </row>
    <row r="1734" spans="1:31" ht="409.5">
      <c r="A1734" s="2">
        <v>2732314</v>
      </c>
      <c r="B1734" s="2">
        <f>HYPERLINK("https://platform.v2.vetology.net/cases/2732314/screening-report/1?type=pdf&amp;v=v6&amp;scorecard=1&amp;secret_key=BX%25IJ%24%2F65ieZ%29f6", 2732314)</f>
        <v>2732314</v>
      </c>
      <c r="C1734" s="2">
        <f>HYPERLINK("https://platform.v2.vetology.net/report/v/final/"&amp;2732314, 2732314)</f>
        <v>2732314</v>
      </c>
      <c r="D1734" s="2" t="s">
        <v>5644</v>
      </c>
      <c r="E1734" s="2" t="s">
        <v>5645</v>
      </c>
      <c r="F1734" s="2" t="s">
        <v>5646</v>
      </c>
      <c r="G1734" s="2" t="s">
        <v>34</v>
      </c>
      <c r="H1734" s="2" t="s">
        <v>5647</v>
      </c>
      <c r="I1734" s="2" t="s">
        <v>73</v>
      </c>
      <c r="J1734" s="2" t="s">
        <v>74</v>
      </c>
      <c r="K1734" s="2" t="s">
        <v>38</v>
      </c>
      <c r="L1734" s="2" t="s">
        <v>38</v>
      </c>
      <c r="M1734" s="2" t="s">
        <v>38</v>
      </c>
      <c r="N1734" s="2" t="s">
        <v>38</v>
      </c>
      <c r="O1734" s="2" t="s">
        <v>38</v>
      </c>
      <c r="P1734" s="2" t="s">
        <v>38</v>
      </c>
      <c r="Q1734" s="2" t="s">
        <v>38</v>
      </c>
      <c r="R1734" s="2" t="s">
        <v>38</v>
      </c>
      <c r="S1734" s="2" t="s">
        <v>38</v>
      </c>
      <c r="T1734" s="2" t="s">
        <v>38</v>
      </c>
      <c r="U1734" s="2" t="s">
        <v>39</v>
      </c>
      <c r="V1734" s="2" t="s">
        <v>38</v>
      </c>
      <c r="W1734" s="2" t="s">
        <v>38</v>
      </c>
      <c r="X1734" s="2" t="s">
        <v>38</v>
      </c>
      <c r="Y1734" s="2" t="s">
        <v>38</v>
      </c>
      <c r="Z1734" s="2" t="s">
        <v>38</v>
      </c>
      <c r="AA1734" s="2" t="s">
        <v>38</v>
      </c>
      <c r="AB1734" s="2" t="s">
        <v>38</v>
      </c>
      <c r="AC1734" s="2" t="s">
        <v>38</v>
      </c>
      <c r="AD1734" s="2" t="s">
        <v>38</v>
      </c>
      <c r="AE1734" s="2" t="s">
        <v>39</v>
      </c>
    </row>
    <row r="1735" spans="1:31" ht="409.5">
      <c r="A1735" s="2">
        <v>2732220</v>
      </c>
      <c r="B1735" s="2">
        <f>HYPERLINK("https://platform.v2.vetology.net/cases/2732220/screening-report/1?type=pdf&amp;v=v6&amp;scorecard=1&amp;secret_key=BX%25IJ%24%2F65ieZ%29f6", 2732220)</f>
        <v>2732220</v>
      </c>
      <c r="C1735" s="2">
        <f>HYPERLINK("https://platform.v2.vetology.net/report/v/final/"&amp;2732220, 2732220)</f>
        <v>2732220</v>
      </c>
      <c r="D1735" s="2" t="s">
        <v>5648</v>
      </c>
      <c r="E1735" s="2" t="s">
        <v>5649</v>
      </c>
      <c r="F1735" s="2" t="s">
        <v>5650</v>
      </c>
      <c r="G1735" s="2" t="s">
        <v>44</v>
      </c>
      <c r="H1735" s="2" t="s">
        <v>5651</v>
      </c>
      <c r="I1735" s="2" t="s">
        <v>36</v>
      </c>
      <c r="J1735" s="2" t="s">
        <v>37</v>
      </c>
      <c r="K1735" s="2" t="s">
        <v>38</v>
      </c>
      <c r="L1735" s="2" t="s">
        <v>39</v>
      </c>
      <c r="M1735" s="2" t="s">
        <v>38</v>
      </c>
      <c r="N1735" s="2" t="s">
        <v>39</v>
      </c>
      <c r="O1735" s="2" t="s">
        <v>38</v>
      </c>
      <c r="P1735" s="2" t="s">
        <v>39</v>
      </c>
      <c r="Q1735" s="2" t="s">
        <v>39</v>
      </c>
      <c r="R1735" s="2" t="s">
        <v>38</v>
      </c>
      <c r="S1735" s="2" t="s">
        <v>38</v>
      </c>
      <c r="T1735" s="2" t="s">
        <v>38</v>
      </c>
      <c r="U1735" s="2" t="s">
        <v>38</v>
      </c>
      <c r="V1735" s="2" t="s">
        <v>38</v>
      </c>
      <c r="W1735" s="2" t="s">
        <v>38</v>
      </c>
      <c r="X1735" s="2" t="s">
        <v>39</v>
      </c>
      <c r="Y1735" s="2" t="s">
        <v>39</v>
      </c>
      <c r="Z1735" s="2" t="s">
        <v>38</v>
      </c>
      <c r="AA1735" s="2" t="s">
        <v>38</v>
      </c>
      <c r="AB1735" s="2" t="s">
        <v>39</v>
      </c>
      <c r="AC1735" s="2" t="s">
        <v>38</v>
      </c>
      <c r="AD1735" s="2" t="s">
        <v>38</v>
      </c>
      <c r="AE1735" s="2" t="s">
        <v>39</v>
      </c>
    </row>
    <row r="1736" spans="1:31" ht="409.5">
      <c r="A1736" s="2">
        <v>2732163</v>
      </c>
      <c r="B1736" s="2">
        <f>HYPERLINK("https://platform.v2.vetology.net/cases/2732163/screening-report/1?type=pdf&amp;v=v6&amp;scorecard=1&amp;secret_key=BX%25IJ%24%2F65ieZ%29f6", 2732163)</f>
        <v>2732163</v>
      </c>
      <c r="C1736" s="2">
        <f>HYPERLINK("https://platform.v2.vetology.net/report/v/final/"&amp;2732163, 2732163)</f>
        <v>2732163</v>
      </c>
      <c r="D1736" s="2" t="s">
        <v>5652</v>
      </c>
      <c r="E1736" s="2" t="s">
        <v>3916</v>
      </c>
      <c r="F1736" s="2"/>
      <c r="G1736" s="2" t="s">
        <v>81</v>
      </c>
      <c r="H1736" s="2" t="s">
        <v>5653</v>
      </c>
      <c r="I1736" s="2" t="s">
        <v>129</v>
      </c>
      <c r="J1736" s="2" t="s">
        <v>74</v>
      </c>
      <c r="K1736" s="2" t="s">
        <v>38</v>
      </c>
      <c r="L1736" s="2" t="s">
        <v>38</v>
      </c>
      <c r="M1736" s="2" t="s">
        <v>38</v>
      </c>
      <c r="N1736" s="2" t="s">
        <v>38</v>
      </c>
      <c r="O1736" s="2" t="s">
        <v>39</v>
      </c>
      <c r="P1736" s="2" t="s">
        <v>39</v>
      </c>
      <c r="Q1736" s="2" t="s">
        <v>38</v>
      </c>
      <c r="R1736" s="2" t="s">
        <v>38</v>
      </c>
      <c r="S1736" s="2" t="s">
        <v>39</v>
      </c>
      <c r="T1736" s="2" t="s">
        <v>38</v>
      </c>
      <c r="U1736" s="2" t="s">
        <v>39</v>
      </c>
      <c r="V1736" s="2" t="s">
        <v>38</v>
      </c>
      <c r="W1736" s="2" t="s">
        <v>38</v>
      </c>
      <c r="X1736" s="2" t="s">
        <v>39</v>
      </c>
      <c r="Y1736" s="2" t="s">
        <v>39</v>
      </c>
      <c r="Z1736" s="2" t="s">
        <v>38</v>
      </c>
      <c r="AA1736" s="2" t="s">
        <v>38</v>
      </c>
      <c r="AB1736" s="2" t="s">
        <v>38</v>
      </c>
      <c r="AC1736" s="2" t="s">
        <v>38</v>
      </c>
      <c r="AD1736" s="2" t="s">
        <v>39</v>
      </c>
      <c r="AE1736" s="2" t="s">
        <v>40</v>
      </c>
    </row>
    <row r="1737" spans="1:31" ht="409.5">
      <c r="A1737" s="2">
        <v>2732103</v>
      </c>
      <c r="B1737" s="2">
        <f>HYPERLINK("https://platform.v2.vetology.net/cases/2732103/screening-report/1?type=pdf&amp;v=v6&amp;scorecard=1&amp;secret_key=BX%25IJ%24%2F65ieZ%29f6", 2732103)</f>
        <v>2732103</v>
      </c>
      <c r="C1737" s="2">
        <f>HYPERLINK("https://platform.v2.vetology.net/report/v/final/"&amp;2732103, 2732103)</f>
        <v>2732103</v>
      </c>
      <c r="D1737" s="2" t="s">
        <v>5654</v>
      </c>
      <c r="E1737" s="2" t="s">
        <v>5655</v>
      </c>
      <c r="F1737" s="2" t="s">
        <v>2006</v>
      </c>
      <c r="G1737" s="2" t="s">
        <v>170</v>
      </c>
      <c r="H1737" s="2" t="s">
        <v>530</v>
      </c>
      <c r="I1737" s="2" t="s">
        <v>59</v>
      </c>
      <c r="J1737" s="2" t="s">
        <v>37</v>
      </c>
      <c r="K1737" s="2" t="s">
        <v>38</v>
      </c>
      <c r="L1737" s="2" t="s">
        <v>39</v>
      </c>
      <c r="M1737" s="2" t="s">
        <v>39</v>
      </c>
      <c r="N1737" s="2" t="s">
        <v>39</v>
      </c>
      <c r="O1737" s="2" t="s">
        <v>39</v>
      </c>
      <c r="P1737" s="2" t="s">
        <v>39</v>
      </c>
      <c r="Q1737" s="2" t="s">
        <v>39</v>
      </c>
      <c r="R1737" s="2" t="s">
        <v>39</v>
      </c>
      <c r="S1737" s="2" t="s">
        <v>39</v>
      </c>
      <c r="T1737" s="2" t="s">
        <v>39</v>
      </c>
      <c r="U1737" s="2" t="s">
        <v>38</v>
      </c>
      <c r="V1737" s="2" t="s">
        <v>38</v>
      </c>
      <c r="W1737" s="2" t="s">
        <v>39</v>
      </c>
      <c r="X1737" s="2" t="s">
        <v>39</v>
      </c>
      <c r="Y1737" s="2" t="s">
        <v>39</v>
      </c>
      <c r="Z1737" s="2" t="s">
        <v>39</v>
      </c>
      <c r="AA1737" s="2" t="s">
        <v>38</v>
      </c>
      <c r="AB1737" s="2" t="s">
        <v>39</v>
      </c>
      <c r="AC1737" s="2" t="s">
        <v>39</v>
      </c>
      <c r="AD1737" s="2" t="s">
        <v>39</v>
      </c>
      <c r="AE1737" s="2" t="s">
        <v>40</v>
      </c>
    </row>
    <row r="1738" spans="1:31" ht="409.5">
      <c r="A1738" s="2">
        <v>2732101</v>
      </c>
      <c r="B1738" s="2">
        <f>HYPERLINK("https://platform.v2.vetology.net/cases/2732101/screening-report/1?type=pdf&amp;v=v6&amp;scorecard=1&amp;secret_key=BX%25IJ%24%2F65ieZ%29f6", 2732101)</f>
        <v>2732101</v>
      </c>
      <c r="C1738" s="2">
        <f>HYPERLINK("https://platform.v2.vetology.net/report/v/final/"&amp;2732101, 2732101)</f>
        <v>2732101</v>
      </c>
      <c r="D1738" s="2" t="s">
        <v>5656</v>
      </c>
      <c r="E1738" s="2" t="s">
        <v>5657</v>
      </c>
      <c r="F1738" s="2" t="s">
        <v>43</v>
      </c>
      <c r="G1738" s="2" t="s">
        <v>44</v>
      </c>
      <c r="H1738" s="2" t="s">
        <v>5658</v>
      </c>
      <c r="I1738" s="2" t="s">
        <v>36</v>
      </c>
      <c r="J1738" s="2" t="s">
        <v>37</v>
      </c>
      <c r="K1738" s="2" t="s">
        <v>39</v>
      </c>
      <c r="L1738" s="2" t="s">
        <v>38</v>
      </c>
      <c r="M1738" s="2" t="s">
        <v>38</v>
      </c>
      <c r="N1738" s="2" t="s">
        <v>38</v>
      </c>
      <c r="O1738" s="2" t="s">
        <v>38</v>
      </c>
      <c r="P1738" s="2" t="s">
        <v>38</v>
      </c>
      <c r="Q1738" s="2" t="s">
        <v>39</v>
      </c>
      <c r="R1738" s="2" t="s">
        <v>39</v>
      </c>
      <c r="S1738" s="2" t="s">
        <v>38</v>
      </c>
      <c r="T1738" s="2" t="s">
        <v>39</v>
      </c>
      <c r="U1738" s="2" t="s">
        <v>38</v>
      </c>
      <c r="V1738" s="2" t="s">
        <v>39</v>
      </c>
      <c r="W1738" s="2" t="s">
        <v>38</v>
      </c>
      <c r="X1738" s="2" t="s">
        <v>39</v>
      </c>
      <c r="Y1738" s="2" t="s">
        <v>39</v>
      </c>
      <c r="Z1738" s="2" t="s">
        <v>38</v>
      </c>
      <c r="AA1738" s="2" t="s">
        <v>38</v>
      </c>
      <c r="AB1738" s="2" t="s">
        <v>39</v>
      </c>
      <c r="AC1738" s="2" t="s">
        <v>38</v>
      </c>
      <c r="AD1738" s="2" t="s">
        <v>38</v>
      </c>
      <c r="AE1738" s="2" t="s">
        <v>39</v>
      </c>
    </row>
    <row r="1739" spans="1:31" ht="409.5">
      <c r="A1739" s="2">
        <v>2732097</v>
      </c>
      <c r="B1739" s="2">
        <f>HYPERLINK("https://platform.v2.vetology.net/cases/2732097/screening-report/1?type=pdf&amp;v=v6&amp;scorecard=1&amp;secret_key=BX%25IJ%24%2F65ieZ%29f6", 2732097)</f>
        <v>2732097</v>
      </c>
      <c r="C1739" s="2">
        <f>HYPERLINK("https://platform.v2.vetology.net/report/v/final/"&amp;2732097, 2732097)</f>
        <v>2732097</v>
      </c>
      <c r="D1739" s="2" t="s">
        <v>5659</v>
      </c>
      <c r="E1739" s="2" t="s">
        <v>4821</v>
      </c>
      <c r="F1739" s="2" t="s">
        <v>5660</v>
      </c>
      <c r="G1739" s="2" t="s">
        <v>111</v>
      </c>
      <c r="H1739" s="2" t="s">
        <v>5661</v>
      </c>
      <c r="I1739" s="2" t="s">
        <v>73</v>
      </c>
      <c r="J1739" s="2" t="s">
        <v>74</v>
      </c>
      <c r="K1739" s="2" t="s">
        <v>38</v>
      </c>
      <c r="L1739" s="2" t="s">
        <v>39</v>
      </c>
      <c r="M1739" s="2" t="s">
        <v>38</v>
      </c>
      <c r="N1739" s="2" t="s">
        <v>38</v>
      </c>
      <c r="O1739" s="2" t="s">
        <v>39</v>
      </c>
      <c r="P1739" s="2" t="s">
        <v>39</v>
      </c>
      <c r="Q1739" s="2" t="s">
        <v>38</v>
      </c>
      <c r="R1739" s="2" t="s">
        <v>38</v>
      </c>
      <c r="S1739" s="2" t="s">
        <v>39</v>
      </c>
      <c r="T1739" s="2" t="s">
        <v>39</v>
      </c>
      <c r="U1739" s="2" t="s">
        <v>38</v>
      </c>
      <c r="V1739" s="2" t="s">
        <v>38</v>
      </c>
      <c r="W1739" s="2" t="s">
        <v>38</v>
      </c>
      <c r="X1739" s="2" t="s">
        <v>38</v>
      </c>
      <c r="Y1739" s="2" t="s">
        <v>39</v>
      </c>
      <c r="Z1739" s="2" t="s">
        <v>39</v>
      </c>
      <c r="AA1739" s="2" t="s">
        <v>38</v>
      </c>
      <c r="AB1739" s="2" t="s">
        <v>38</v>
      </c>
      <c r="AC1739" s="2" t="s">
        <v>38</v>
      </c>
      <c r="AD1739" s="2" t="s">
        <v>39</v>
      </c>
      <c r="AE1739" s="2" t="s">
        <v>40</v>
      </c>
    </row>
    <row r="1740" spans="1:31" ht="409.5">
      <c r="A1740" s="2">
        <v>2732068</v>
      </c>
      <c r="B1740" s="2">
        <f>HYPERLINK("https://platform.v2.vetology.net/cases/2732068/screening-report/1?type=pdf&amp;v=v6&amp;scorecard=1&amp;secret_key=BX%25IJ%24%2F65ieZ%29f6", 2732068)</f>
        <v>2732068</v>
      </c>
      <c r="C1740" s="2">
        <f>HYPERLINK("https://platform.v2.vetology.net/report/v/final/"&amp;2732068, 2732068)</f>
        <v>2732068</v>
      </c>
      <c r="D1740" s="2" t="s">
        <v>5662</v>
      </c>
      <c r="E1740" s="2" t="s">
        <v>5663</v>
      </c>
      <c r="F1740" s="2" t="s">
        <v>2226</v>
      </c>
      <c r="G1740" s="2" t="s">
        <v>100</v>
      </c>
      <c r="H1740" s="2" t="s">
        <v>93</v>
      </c>
      <c r="I1740" s="2" t="s">
        <v>59</v>
      </c>
      <c r="J1740" s="2" t="s">
        <v>37</v>
      </c>
      <c r="K1740" s="2" t="s">
        <v>38</v>
      </c>
      <c r="L1740" s="2" t="s">
        <v>39</v>
      </c>
      <c r="M1740" s="2" t="s">
        <v>39</v>
      </c>
      <c r="N1740" s="2" t="s">
        <v>38</v>
      </c>
      <c r="O1740" s="2" t="s">
        <v>39</v>
      </c>
      <c r="P1740" s="2" t="s">
        <v>39</v>
      </c>
      <c r="Q1740" s="2" t="s">
        <v>39</v>
      </c>
      <c r="R1740" s="2" t="s">
        <v>39</v>
      </c>
      <c r="S1740" s="2" t="s">
        <v>39</v>
      </c>
      <c r="T1740" s="2" t="s">
        <v>38</v>
      </c>
      <c r="U1740" s="2" t="s">
        <v>38</v>
      </c>
      <c r="V1740" s="2" t="s">
        <v>38</v>
      </c>
      <c r="W1740" s="2" t="s">
        <v>39</v>
      </c>
      <c r="X1740" s="2" t="s">
        <v>39</v>
      </c>
      <c r="Y1740" s="2" t="s">
        <v>39</v>
      </c>
      <c r="Z1740" s="2" t="s">
        <v>39</v>
      </c>
      <c r="AA1740" s="2" t="s">
        <v>38</v>
      </c>
      <c r="AB1740" s="2" t="s">
        <v>39</v>
      </c>
      <c r="AC1740" s="2" t="s">
        <v>38</v>
      </c>
      <c r="AD1740" s="2" t="s">
        <v>39</v>
      </c>
      <c r="AE1740" s="2" t="s">
        <v>39</v>
      </c>
    </row>
    <row r="1741" spans="1:31" ht="409.5">
      <c r="A1741" s="2">
        <v>2732060</v>
      </c>
      <c r="B1741" s="2">
        <f>HYPERLINK("https://platform.v2.vetology.net/cases/2732060/screening-report/1?type=pdf&amp;v=v6&amp;scorecard=1&amp;secret_key=BX%25IJ%24%2F65ieZ%29f6", 2732060)</f>
        <v>2732060</v>
      </c>
      <c r="C1741" s="2">
        <f>HYPERLINK("https://platform.v2.vetology.net/report/v/final/"&amp;2732060, 2732060)</f>
        <v>2732060</v>
      </c>
      <c r="D1741" s="2" t="s">
        <v>5664</v>
      </c>
      <c r="E1741" s="2" t="s">
        <v>5665</v>
      </c>
      <c r="F1741" s="2" t="s">
        <v>43</v>
      </c>
      <c r="G1741" s="2" t="s">
        <v>44</v>
      </c>
      <c r="H1741" s="2" t="s">
        <v>4796</v>
      </c>
      <c r="I1741" s="2" t="s">
        <v>36</v>
      </c>
      <c r="J1741" s="2" t="s">
        <v>37</v>
      </c>
      <c r="K1741" s="2" t="s">
        <v>38</v>
      </c>
      <c r="L1741" s="2" t="s">
        <v>39</v>
      </c>
      <c r="M1741" s="2" t="s">
        <v>38</v>
      </c>
      <c r="N1741" s="2" t="s">
        <v>38</v>
      </c>
      <c r="O1741" s="2" t="s">
        <v>38</v>
      </c>
      <c r="P1741" s="2" t="s">
        <v>39</v>
      </c>
      <c r="Q1741" s="2" t="s">
        <v>39</v>
      </c>
      <c r="R1741" s="2" t="s">
        <v>39</v>
      </c>
      <c r="S1741" s="2" t="s">
        <v>39</v>
      </c>
      <c r="T1741" s="2" t="s">
        <v>39</v>
      </c>
      <c r="U1741" s="2" t="s">
        <v>39</v>
      </c>
      <c r="V1741" s="2" t="s">
        <v>39</v>
      </c>
      <c r="W1741" s="2" t="s">
        <v>39</v>
      </c>
      <c r="X1741" s="2" t="s">
        <v>39</v>
      </c>
      <c r="Y1741" s="2" t="s">
        <v>39</v>
      </c>
      <c r="Z1741" s="2" t="s">
        <v>39</v>
      </c>
      <c r="AA1741" s="2" t="s">
        <v>39</v>
      </c>
      <c r="AB1741" s="2" t="s">
        <v>39</v>
      </c>
      <c r="AC1741" s="2" t="s">
        <v>38</v>
      </c>
      <c r="AD1741" s="2" t="s">
        <v>39</v>
      </c>
      <c r="AE1741" s="2" t="s">
        <v>39</v>
      </c>
    </row>
    <row r="1742" spans="1:31" ht="409.5">
      <c r="A1742" s="2">
        <v>2732043</v>
      </c>
      <c r="B1742" s="2">
        <f>HYPERLINK("https://platform.v2.vetology.net/cases/2732043/screening-report/1?type=pdf&amp;v=v6&amp;scorecard=1&amp;secret_key=BX%25IJ%24%2F65ieZ%29f6", 2732043)</f>
        <v>2732043</v>
      </c>
      <c r="C1742" s="2">
        <f>HYPERLINK("https://platform.v2.vetology.net/report/v/final/"&amp;2732043, 2732043)</f>
        <v>2732043</v>
      </c>
      <c r="D1742" s="2" t="s">
        <v>5666</v>
      </c>
      <c r="E1742" s="2" t="s">
        <v>5667</v>
      </c>
      <c r="F1742" s="2" t="s">
        <v>43</v>
      </c>
      <c r="G1742" s="2" t="s">
        <v>44</v>
      </c>
      <c r="H1742" s="2" t="s">
        <v>69</v>
      </c>
      <c r="I1742" s="2" t="s">
        <v>46</v>
      </c>
      <c r="J1742" s="2"/>
      <c r="K1742" s="2" t="s">
        <v>39</v>
      </c>
      <c r="L1742" s="2" t="s">
        <v>39</v>
      </c>
      <c r="M1742" s="2" t="s">
        <v>39</v>
      </c>
      <c r="N1742" s="2" t="s">
        <v>39</v>
      </c>
      <c r="O1742" s="2" t="s">
        <v>39</v>
      </c>
      <c r="P1742" s="2" t="s">
        <v>39</v>
      </c>
      <c r="Q1742" s="2" t="s">
        <v>39</v>
      </c>
      <c r="R1742" s="2" t="s">
        <v>39</v>
      </c>
      <c r="S1742" s="2" t="s">
        <v>39</v>
      </c>
      <c r="T1742" s="2" t="s">
        <v>39</v>
      </c>
      <c r="U1742" s="2" t="s">
        <v>39</v>
      </c>
      <c r="V1742" s="2" t="s">
        <v>39</v>
      </c>
      <c r="W1742" s="2" t="s">
        <v>38</v>
      </c>
      <c r="X1742" s="2" t="s">
        <v>39</v>
      </c>
      <c r="Y1742" s="2" t="s">
        <v>39</v>
      </c>
      <c r="Z1742" s="2" t="s">
        <v>39</v>
      </c>
      <c r="AA1742" s="2" t="s">
        <v>39</v>
      </c>
      <c r="AB1742" s="2" t="s">
        <v>39</v>
      </c>
      <c r="AC1742" s="2" t="s">
        <v>39</v>
      </c>
      <c r="AD1742" s="2" t="s">
        <v>38</v>
      </c>
      <c r="AE1742" s="2"/>
    </row>
    <row r="1743" spans="1:31" ht="409.5">
      <c r="A1743" s="2">
        <v>2731955</v>
      </c>
      <c r="B1743" s="2">
        <f>HYPERLINK("https://platform.v2.vetology.net/cases/2731955/screening-report/1?type=pdf&amp;v=v6&amp;scorecard=1&amp;secret_key=BX%25IJ%24%2F65ieZ%29f6", 2731955)</f>
        <v>2731955</v>
      </c>
      <c r="C1743" s="2">
        <f>HYPERLINK("https://platform.v2.vetology.net/report/v/final/"&amp;2731955, 2731955)</f>
        <v>2731955</v>
      </c>
      <c r="D1743" s="2" t="s">
        <v>5668</v>
      </c>
      <c r="E1743" s="2" t="s">
        <v>5669</v>
      </c>
      <c r="F1743" s="2" t="s">
        <v>5670</v>
      </c>
      <c r="G1743" s="2" t="s">
        <v>170</v>
      </c>
      <c r="H1743" s="2" t="s">
        <v>2647</v>
      </c>
      <c r="I1743" s="2" t="s">
        <v>36</v>
      </c>
      <c r="J1743" s="2" t="s">
        <v>37</v>
      </c>
      <c r="K1743" s="2" t="s">
        <v>38</v>
      </c>
      <c r="L1743" s="2" t="s">
        <v>39</v>
      </c>
      <c r="M1743" s="2" t="s">
        <v>38</v>
      </c>
      <c r="N1743" s="2" t="s">
        <v>38</v>
      </c>
      <c r="O1743" s="2" t="s">
        <v>38</v>
      </c>
      <c r="P1743" s="2" t="s">
        <v>39</v>
      </c>
      <c r="Q1743" s="2" t="s">
        <v>39</v>
      </c>
      <c r="R1743" s="2" t="s">
        <v>38</v>
      </c>
      <c r="S1743" s="2" t="s">
        <v>39</v>
      </c>
      <c r="T1743" s="2" t="s">
        <v>39</v>
      </c>
      <c r="U1743" s="2" t="s">
        <v>39</v>
      </c>
      <c r="V1743" s="2" t="s">
        <v>38</v>
      </c>
      <c r="W1743" s="2" t="s">
        <v>38</v>
      </c>
      <c r="X1743" s="2" t="s">
        <v>38</v>
      </c>
      <c r="Y1743" s="2" t="s">
        <v>39</v>
      </c>
      <c r="Z1743" s="2" t="s">
        <v>38</v>
      </c>
      <c r="AA1743" s="2" t="s">
        <v>39</v>
      </c>
      <c r="AB1743" s="2" t="s">
        <v>39</v>
      </c>
      <c r="AC1743" s="2" t="s">
        <v>38</v>
      </c>
      <c r="AD1743" s="2" t="s">
        <v>39</v>
      </c>
      <c r="AE1743" s="2" t="s">
        <v>40</v>
      </c>
    </row>
    <row r="1744" spans="1:31" ht="409.5">
      <c r="A1744" s="2">
        <v>2731954</v>
      </c>
      <c r="B1744" s="2">
        <f>HYPERLINK("https://platform.v2.vetology.net/cases/2731954/screening-report/1?type=pdf&amp;v=v6&amp;scorecard=1&amp;secret_key=BX%25IJ%24%2F65ieZ%29f6", 2731954)</f>
        <v>2731954</v>
      </c>
      <c r="C1744" s="2">
        <f>HYPERLINK("https://platform.v2.vetology.net/report/v/final/"&amp;2731954, 2731954)</f>
        <v>2731954</v>
      </c>
      <c r="D1744" s="2" t="s">
        <v>5671</v>
      </c>
      <c r="E1744" s="2" t="s">
        <v>5672</v>
      </c>
      <c r="F1744" s="2" t="s">
        <v>5673</v>
      </c>
      <c r="G1744" s="2" t="s">
        <v>44</v>
      </c>
      <c r="H1744" s="2" t="s">
        <v>158</v>
      </c>
      <c r="I1744" s="2" t="s">
        <v>59</v>
      </c>
      <c r="J1744" s="2" t="s">
        <v>37</v>
      </c>
      <c r="K1744" s="2" t="s">
        <v>38</v>
      </c>
      <c r="L1744" s="2" t="s">
        <v>39</v>
      </c>
      <c r="M1744" s="2" t="s">
        <v>39</v>
      </c>
      <c r="N1744" s="2" t="s">
        <v>39</v>
      </c>
      <c r="O1744" s="2" t="s">
        <v>39</v>
      </c>
      <c r="P1744" s="2" t="s">
        <v>39</v>
      </c>
      <c r="Q1744" s="2" t="s">
        <v>39</v>
      </c>
      <c r="R1744" s="2" t="s">
        <v>39</v>
      </c>
      <c r="S1744" s="2" t="s">
        <v>39</v>
      </c>
      <c r="T1744" s="2" t="s">
        <v>39</v>
      </c>
      <c r="U1744" s="2" t="s">
        <v>39</v>
      </c>
      <c r="V1744" s="2" t="s">
        <v>39</v>
      </c>
      <c r="W1744" s="2" t="s">
        <v>39</v>
      </c>
      <c r="X1744" s="2" t="s">
        <v>39</v>
      </c>
      <c r="Y1744" s="2" t="s">
        <v>39</v>
      </c>
      <c r="Z1744" s="2" t="s">
        <v>39</v>
      </c>
      <c r="AA1744" s="2" t="s">
        <v>39</v>
      </c>
      <c r="AB1744" s="2" t="s">
        <v>39</v>
      </c>
      <c r="AC1744" s="2" t="s">
        <v>39</v>
      </c>
      <c r="AD1744" s="2" t="s">
        <v>38</v>
      </c>
      <c r="AE1744" s="2" t="s">
        <v>39</v>
      </c>
    </row>
    <row r="1745" spans="1:31" ht="409.5">
      <c r="A1745" s="2">
        <v>2731951</v>
      </c>
      <c r="B1745" s="2">
        <f>HYPERLINK("https://platform.v2.vetology.net/cases/2731951/screening-report/1?type=pdf&amp;v=v6&amp;scorecard=1&amp;secret_key=BX%25IJ%24%2F65ieZ%29f6", 2731951)</f>
        <v>2731951</v>
      </c>
      <c r="C1745" s="2">
        <f>HYPERLINK("https://platform.v2.vetology.net/report/v/final/"&amp;2731951, 2731951)</f>
        <v>2731951</v>
      </c>
      <c r="D1745" s="2" t="s">
        <v>5674</v>
      </c>
      <c r="E1745" s="2" t="s">
        <v>5675</v>
      </c>
      <c r="F1745" s="2" t="s">
        <v>5676</v>
      </c>
      <c r="G1745" s="2" t="s">
        <v>170</v>
      </c>
      <c r="H1745" s="2" t="s">
        <v>5677</v>
      </c>
      <c r="I1745" s="2" t="s">
        <v>36</v>
      </c>
      <c r="J1745" s="2" t="s">
        <v>37</v>
      </c>
      <c r="K1745" s="2" t="s">
        <v>38</v>
      </c>
      <c r="L1745" s="2" t="s">
        <v>38</v>
      </c>
      <c r="M1745" s="2" t="s">
        <v>39</v>
      </c>
      <c r="N1745" s="2" t="s">
        <v>39</v>
      </c>
      <c r="O1745" s="2" t="s">
        <v>39</v>
      </c>
      <c r="P1745" s="2" t="s">
        <v>39</v>
      </c>
      <c r="Q1745" s="2" t="s">
        <v>39</v>
      </c>
      <c r="R1745" s="2" t="s">
        <v>38</v>
      </c>
      <c r="S1745" s="2" t="s">
        <v>38</v>
      </c>
      <c r="T1745" s="2" t="s">
        <v>39</v>
      </c>
      <c r="U1745" s="2" t="s">
        <v>38</v>
      </c>
      <c r="V1745" s="2" t="s">
        <v>38</v>
      </c>
      <c r="W1745" s="2" t="s">
        <v>39</v>
      </c>
      <c r="X1745" s="2" t="s">
        <v>39</v>
      </c>
      <c r="Y1745" s="2" t="s">
        <v>39</v>
      </c>
      <c r="Z1745" s="2" t="s">
        <v>39</v>
      </c>
      <c r="AA1745" s="2" t="s">
        <v>38</v>
      </c>
      <c r="AB1745" s="2" t="s">
        <v>39</v>
      </c>
      <c r="AC1745" s="2" t="s">
        <v>38</v>
      </c>
      <c r="AD1745" s="2" t="s">
        <v>38</v>
      </c>
      <c r="AE1745" s="2" t="s">
        <v>39</v>
      </c>
    </row>
    <row r="1746" spans="1:31" ht="409.5">
      <c r="A1746" s="2">
        <v>2731924</v>
      </c>
      <c r="B1746" s="2">
        <f>HYPERLINK("https://platform.v2.vetology.net/cases/2731924/screening-report/1?type=pdf&amp;v=v6&amp;scorecard=1&amp;secret_key=BX%25IJ%24%2F65ieZ%29f6", 2731924)</f>
        <v>2731924</v>
      </c>
      <c r="C1746" s="2">
        <f>HYPERLINK("https://platform.v2.vetology.net/report/v/final/"&amp;2731924, 2731924)</f>
        <v>2731924</v>
      </c>
      <c r="D1746" s="2" t="s">
        <v>5678</v>
      </c>
      <c r="E1746" s="2" t="s">
        <v>5679</v>
      </c>
      <c r="F1746" s="2" t="s">
        <v>43</v>
      </c>
      <c r="G1746" s="2" t="s">
        <v>44</v>
      </c>
      <c r="H1746" s="2" t="s">
        <v>2369</v>
      </c>
      <c r="I1746" s="2" t="s">
        <v>36</v>
      </c>
      <c r="J1746" s="2" t="s">
        <v>37</v>
      </c>
      <c r="K1746" s="2" t="s">
        <v>39</v>
      </c>
      <c r="L1746" s="2" t="s">
        <v>38</v>
      </c>
      <c r="M1746" s="2" t="s">
        <v>38</v>
      </c>
      <c r="N1746" s="2" t="s">
        <v>38</v>
      </c>
      <c r="O1746" s="2" t="s">
        <v>38</v>
      </c>
      <c r="P1746" s="2" t="s">
        <v>38</v>
      </c>
      <c r="Q1746" s="2" t="s">
        <v>39</v>
      </c>
      <c r="R1746" s="2" t="s">
        <v>38</v>
      </c>
      <c r="S1746" s="2" t="s">
        <v>38</v>
      </c>
      <c r="T1746" s="2" t="s">
        <v>38</v>
      </c>
      <c r="U1746" s="2" t="s">
        <v>39</v>
      </c>
      <c r="V1746" s="2" t="s">
        <v>39</v>
      </c>
      <c r="W1746" s="2" t="s">
        <v>39</v>
      </c>
      <c r="X1746" s="2" t="s">
        <v>39</v>
      </c>
      <c r="Y1746" s="2" t="s">
        <v>39</v>
      </c>
      <c r="Z1746" s="2" t="s">
        <v>38</v>
      </c>
      <c r="AA1746" s="2" t="s">
        <v>38</v>
      </c>
      <c r="AB1746" s="2" t="s">
        <v>39</v>
      </c>
      <c r="AC1746" s="2" t="s">
        <v>38</v>
      </c>
      <c r="AD1746" s="2" t="s">
        <v>38</v>
      </c>
      <c r="AE1746" s="2" t="s">
        <v>40</v>
      </c>
    </row>
    <row r="1747" spans="1:31" ht="409.5">
      <c r="A1747" s="2">
        <v>2731890</v>
      </c>
      <c r="B1747" s="2">
        <f>HYPERLINK("https://platform.v2.vetology.net/cases/2731890/screening-report/1?type=pdf&amp;v=v6&amp;scorecard=1&amp;secret_key=BX%25IJ%24%2F65ieZ%29f6", 2731890)</f>
        <v>2731890</v>
      </c>
      <c r="C1747" s="2">
        <f>HYPERLINK("https://platform.v2.vetology.net/report/v/final/"&amp;2731890, 2731890)</f>
        <v>2731890</v>
      </c>
      <c r="D1747" s="2" t="s">
        <v>5680</v>
      </c>
      <c r="E1747" s="2" t="s">
        <v>5681</v>
      </c>
      <c r="F1747" s="2" t="s">
        <v>43</v>
      </c>
      <c r="G1747" s="2" t="s">
        <v>44</v>
      </c>
      <c r="H1747" s="2" t="s">
        <v>5682</v>
      </c>
      <c r="I1747" s="2" t="s">
        <v>73</v>
      </c>
      <c r="J1747" s="2" t="s">
        <v>74</v>
      </c>
      <c r="K1747" s="2" t="s">
        <v>38</v>
      </c>
      <c r="L1747" s="2" t="s">
        <v>38</v>
      </c>
      <c r="M1747" s="2" t="s">
        <v>38</v>
      </c>
      <c r="N1747" s="2" t="s">
        <v>38</v>
      </c>
      <c r="O1747" s="2" t="s">
        <v>38</v>
      </c>
      <c r="P1747" s="2" t="s">
        <v>38</v>
      </c>
      <c r="Q1747" s="2" t="s">
        <v>38</v>
      </c>
      <c r="R1747" s="2" t="s">
        <v>39</v>
      </c>
      <c r="S1747" s="2" t="s">
        <v>38</v>
      </c>
      <c r="T1747" s="2" t="s">
        <v>38</v>
      </c>
      <c r="U1747" s="2" t="s">
        <v>38</v>
      </c>
      <c r="V1747" s="2" t="s">
        <v>38</v>
      </c>
      <c r="W1747" s="2" t="s">
        <v>39</v>
      </c>
      <c r="X1747" s="2" t="s">
        <v>38</v>
      </c>
      <c r="Y1747" s="2" t="s">
        <v>39</v>
      </c>
      <c r="Z1747" s="2" t="s">
        <v>38</v>
      </c>
      <c r="AA1747" s="2" t="s">
        <v>38</v>
      </c>
      <c r="AB1747" s="2" t="s">
        <v>38</v>
      </c>
      <c r="AC1747" s="2" t="s">
        <v>38</v>
      </c>
      <c r="AD1747" s="2" t="s">
        <v>38</v>
      </c>
      <c r="AE1747" s="2" t="s">
        <v>40</v>
      </c>
    </row>
    <row r="1748" spans="1:31" ht="409.5">
      <c r="A1748" s="2">
        <v>2731863</v>
      </c>
      <c r="B1748" s="2">
        <f>HYPERLINK("https://platform.v2.vetology.net/cases/2731863/screening-report/1?type=pdf&amp;v=v6&amp;scorecard=1&amp;secret_key=BX%25IJ%24%2F65ieZ%29f6", 2731863)</f>
        <v>2731863</v>
      </c>
      <c r="C1748" s="2">
        <f>HYPERLINK("https://platform.v2.vetology.net/report/v/final/"&amp;2731863, 2731863)</f>
        <v>2731863</v>
      </c>
      <c r="D1748" s="2" t="s">
        <v>5683</v>
      </c>
      <c r="E1748" s="2" t="s">
        <v>5684</v>
      </c>
      <c r="F1748" s="2" t="s">
        <v>5685</v>
      </c>
      <c r="G1748" s="2" t="s">
        <v>53</v>
      </c>
      <c r="H1748" s="2" t="s">
        <v>5686</v>
      </c>
      <c r="I1748" s="2" t="s">
        <v>73</v>
      </c>
      <c r="J1748" s="2" t="s">
        <v>74</v>
      </c>
      <c r="K1748" s="2" t="s">
        <v>38</v>
      </c>
      <c r="L1748" s="2" t="s">
        <v>38</v>
      </c>
      <c r="M1748" s="2" t="s">
        <v>38</v>
      </c>
      <c r="N1748" s="2" t="s">
        <v>38</v>
      </c>
      <c r="O1748" s="2" t="s">
        <v>38</v>
      </c>
      <c r="P1748" s="2" t="s">
        <v>38</v>
      </c>
      <c r="Q1748" s="2" t="s">
        <v>38</v>
      </c>
      <c r="R1748" s="2" t="s">
        <v>38</v>
      </c>
      <c r="S1748" s="2" t="s">
        <v>38</v>
      </c>
      <c r="T1748" s="2" t="s">
        <v>38</v>
      </c>
      <c r="U1748" s="2" t="s">
        <v>38</v>
      </c>
      <c r="V1748" s="2" t="s">
        <v>38</v>
      </c>
      <c r="W1748" s="2" t="s">
        <v>38</v>
      </c>
      <c r="X1748" s="2" t="s">
        <v>38</v>
      </c>
      <c r="Y1748" s="2" t="s">
        <v>39</v>
      </c>
      <c r="Z1748" s="2" t="s">
        <v>38</v>
      </c>
      <c r="AA1748" s="2" t="s">
        <v>38</v>
      </c>
      <c r="AB1748" s="2" t="s">
        <v>38</v>
      </c>
      <c r="AC1748" s="2" t="s">
        <v>38</v>
      </c>
      <c r="AD1748" s="2" t="s">
        <v>38</v>
      </c>
      <c r="AE1748" s="2" t="s">
        <v>40</v>
      </c>
    </row>
    <row r="1749" spans="1:31" ht="409.5">
      <c r="A1749" s="2">
        <v>2731817</v>
      </c>
      <c r="B1749" s="2">
        <f>HYPERLINK("https://platform.v2.vetology.net/cases/2731817/screening-report/1?type=pdf&amp;v=v6&amp;scorecard=1&amp;secret_key=BX%25IJ%24%2F65ieZ%29f6", 2731817)</f>
        <v>2731817</v>
      </c>
      <c r="C1749" s="2">
        <f>HYPERLINK("https://platform.v2.vetology.net/report/v/final/"&amp;2731817, 2731817)</f>
        <v>2731817</v>
      </c>
      <c r="D1749" s="2" t="s">
        <v>5239</v>
      </c>
      <c r="E1749" s="2" t="s">
        <v>5687</v>
      </c>
      <c r="F1749" s="2" t="s">
        <v>787</v>
      </c>
      <c r="G1749" s="2" t="s">
        <v>100</v>
      </c>
      <c r="H1749" s="2" t="s">
        <v>469</v>
      </c>
      <c r="I1749" s="2" t="s">
        <v>46</v>
      </c>
      <c r="J1749" s="2"/>
      <c r="K1749" s="2" t="s">
        <v>39</v>
      </c>
      <c r="L1749" s="2" t="s">
        <v>39</v>
      </c>
      <c r="M1749" s="2" t="s">
        <v>39</v>
      </c>
      <c r="N1749" s="2" t="s">
        <v>39</v>
      </c>
      <c r="O1749" s="2" t="s">
        <v>39</v>
      </c>
      <c r="P1749" s="2" t="s">
        <v>39</v>
      </c>
      <c r="Q1749" s="2" t="s">
        <v>39</v>
      </c>
      <c r="R1749" s="2" t="s">
        <v>38</v>
      </c>
      <c r="S1749" s="2" t="s">
        <v>39</v>
      </c>
      <c r="T1749" s="2" t="s">
        <v>39</v>
      </c>
      <c r="U1749" s="2" t="s">
        <v>39</v>
      </c>
      <c r="V1749" s="2" t="s">
        <v>39</v>
      </c>
      <c r="W1749" s="2" t="s">
        <v>39</v>
      </c>
      <c r="X1749" s="2" t="s">
        <v>39</v>
      </c>
      <c r="Y1749" s="2" t="s">
        <v>39</v>
      </c>
      <c r="Z1749" s="2" t="s">
        <v>39</v>
      </c>
      <c r="AA1749" s="2" t="s">
        <v>39</v>
      </c>
      <c r="AB1749" s="2" t="s">
        <v>39</v>
      </c>
      <c r="AC1749" s="2" t="s">
        <v>39</v>
      </c>
      <c r="AD1749" s="2" t="s">
        <v>39</v>
      </c>
      <c r="AE1749" s="2" t="s">
        <v>40</v>
      </c>
    </row>
    <row r="1750" spans="1:31" ht="409.5">
      <c r="A1750" s="2">
        <v>2731712</v>
      </c>
      <c r="B1750" s="2">
        <f>HYPERLINK("https://platform.v2.vetology.net/cases/2731712/screening-report/1?type=pdf&amp;v=v6&amp;scorecard=1&amp;secret_key=BX%25IJ%24%2F65ieZ%29f6", 2731712)</f>
        <v>2731712</v>
      </c>
      <c r="C1750" s="2">
        <f>HYPERLINK("https://platform.v2.vetology.net/report/v/final/"&amp;2731712, 2731712)</f>
        <v>2731712</v>
      </c>
      <c r="D1750" s="2" t="s">
        <v>5688</v>
      </c>
      <c r="E1750" s="2" t="s">
        <v>5689</v>
      </c>
      <c r="F1750" s="2" t="s">
        <v>3177</v>
      </c>
      <c r="G1750" s="2" t="s">
        <v>111</v>
      </c>
      <c r="H1750" s="2" t="s">
        <v>5690</v>
      </c>
      <c r="I1750" s="2" t="s">
        <v>257</v>
      </c>
      <c r="J1750" s="2" t="s">
        <v>74</v>
      </c>
      <c r="K1750" s="2" t="s">
        <v>38</v>
      </c>
      <c r="L1750" s="2" t="s">
        <v>38</v>
      </c>
      <c r="M1750" s="2" t="s">
        <v>38</v>
      </c>
      <c r="N1750" s="2" t="s">
        <v>38</v>
      </c>
      <c r="O1750" s="2" t="s">
        <v>38</v>
      </c>
      <c r="P1750" s="2" t="s">
        <v>38</v>
      </c>
      <c r="Q1750" s="2" t="s">
        <v>38</v>
      </c>
      <c r="R1750" s="2" t="s">
        <v>38</v>
      </c>
      <c r="S1750" s="2" t="s">
        <v>38</v>
      </c>
      <c r="T1750" s="2" t="s">
        <v>38</v>
      </c>
      <c r="U1750" s="2" t="s">
        <v>38</v>
      </c>
      <c r="V1750" s="2" t="s">
        <v>38</v>
      </c>
      <c r="W1750" s="2" t="s">
        <v>38</v>
      </c>
      <c r="X1750" s="2" t="s">
        <v>38</v>
      </c>
      <c r="Y1750" s="2" t="s">
        <v>38</v>
      </c>
      <c r="Z1750" s="2" t="s">
        <v>38</v>
      </c>
      <c r="AA1750" s="2" t="s">
        <v>38</v>
      </c>
      <c r="AB1750" s="2" t="s">
        <v>38</v>
      </c>
      <c r="AC1750" s="2" t="s">
        <v>38</v>
      </c>
      <c r="AD1750" s="2" t="s">
        <v>38</v>
      </c>
      <c r="AE1750" s="2" t="s">
        <v>40</v>
      </c>
    </row>
    <row r="1751" spans="1:31" ht="409.5">
      <c r="A1751" s="2">
        <v>2731697</v>
      </c>
      <c r="B1751" s="2">
        <f>HYPERLINK("https://platform.v2.vetology.net/cases/2731697/screening-report/1?type=pdf&amp;v=v6&amp;scorecard=1&amp;secret_key=BX%25IJ%24%2F65ieZ%29f6", 2731697)</f>
        <v>2731697</v>
      </c>
      <c r="C1751" s="2">
        <f>HYPERLINK("https://platform.v2.vetology.net/report/v/final/"&amp;2731697, 2731697)</f>
        <v>2731697</v>
      </c>
      <c r="D1751" s="2" t="s">
        <v>5691</v>
      </c>
      <c r="E1751" s="2" t="s">
        <v>5692</v>
      </c>
      <c r="F1751" s="2" t="s">
        <v>5693</v>
      </c>
      <c r="G1751" s="2" t="s">
        <v>53</v>
      </c>
      <c r="H1751" s="2" t="s">
        <v>5694</v>
      </c>
      <c r="I1751" s="2" t="s">
        <v>59</v>
      </c>
      <c r="J1751" s="2" t="s">
        <v>37</v>
      </c>
      <c r="K1751" s="2" t="s">
        <v>38</v>
      </c>
      <c r="L1751" s="2" t="s">
        <v>39</v>
      </c>
      <c r="M1751" s="2" t="s">
        <v>39</v>
      </c>
      <c r="N1751" s="2" t="s">
        <v>39</v>
      </c>
      <c r="O1751" s="2" t="s">
        <v>39</v>
      </c>
      <c r="P1751" s="2" t="s">
        <v>38</v>
      </c>
      <c r="Q1751" s="2" t="s">
        <v>39</v>
      </c>
      <c r="R1751" s="2" t="s">
        <v>39</v>
      </c>
      <c r="S1751" s="2" t="s">
        <v>39</v>
      </c>
      <c r="T1751" s="2" t="s">
        <v>39</v>
      </c>
      <c r="U1751" s="2" t="s">
        <v>38</v>
      </c>
      <c r="V1751" s="2" t="s">
        <v>39</v>
      </c>
      <c r="W1751" s="2" t="s">
        <v>39</v>
      </c>
      <c r="X1751" s="2" t="s">
        <v>39</v>
      </c>
      <c r="Y1751" s="2" t="s">
        <v>39</v>
      </c>
      <c r="Z1751" s="2" t="s">
        <v>39</v>
      </c>
      <c r="AA1751" s="2" t="s">
        <v>39</v>
      </c>
      <c r="AB1751" s="2" t="s">
        <v>39</v>
      </c>
      <c r="AC1751" s="2" t="s">
        <v>38</v>
      </c>
      <c r="AD1751" s="2" t="s">
        <v>39</v>
      </c>
      <c r="AE1751" s="2"/>
    </row>
    <row r="1752" spans="1:31" ht="409.5">
      <c r="A1752" s="2">
        <v>2731696</v>
      </c>
      <c r="B1752" s="2">
        <f>HYPERLINK("https://platform.v2.vetology.net/cases/2731696/screening-report/1?type=pdf&amp;v=v6&amp;scorecard=1&amp;secret_key=BX%25IJ%24%2F65ieZ%29f6", 2731696)</f>
        <v>2731696</v>
      </c>
      <c r="C1752" s="2">
        <f>HYPERLINK("https://platform.v2.vetology.net/report/v/final/"&amp;2731696, 2731696)</f>
        <v>2731696</v>
      </c>
      <c r="D1752" s="2" t="s">
        <v>5695</v>
      </c>
      <c r="E1752" s="2" t="s">
        <v>5696</v>
      </c>
      <c r="F1752" s="2" t="s">
        <v>5697</v>
      </c>
      <c r="G1752" s="2" t="s">
        <v>170</v>
      </c>
      <c r="H1752" s="2" t="s">
        <v>5698</v>
      </c>
      <c r="I1752" s="2" t="s">
        <v>257</v>
      </c>
      <c r="J1752" s="2" t="s">
        <v>74</v>
      </c>
      <c r="K1752" s="2" t="s">
        <v>38</v>
      </c>
      <c r="L1752" s="2" t="s">
        <v>38</v>
      </c>
      <c r="M1752" s="2" t="s">
        <v>38</v>
      </c>
      <c r="N1752" s="2" t="s">
        <v>38</v>
      </c>
      <c r="O1752" s="2" t="s">
        <v>38</v>
      </c>
      <c r="P1752" s="2" t="s">
        <v>38</v>
      </c>
      <c r="Q1752" s="2" t="s">
        <v>38</v>
      </c>
      <c r="R1752" s="2" t="s">
        <v>38</v>
      </c>
      <c r="S1752" s="2" t="s">
        <v>38</v>
      </c>
      <c r="T1752" s="2" t="s">
        <v>38</v>
      </c>
      <c r="U1752" s="2" t="s">
        <v>38</v>
      </c>
      <c r="V1752" s="2" t="s">
        <v>38</v>
      </c>
      <c r="W1752" s="2" t="s">
        <v>38</v>
      </c>
      <c r="X1752" s="2" t="s">
        <v>38</v>
      </c>
      <c r="Y1752" s="2" t="s">
        <v>38</v>
      </c>
      <c r="Z1752" s="2" t="s">
        <v>38</v>
      </c>
      <c r="AA1752" s="2" t="s">
        <v>38</v>
      </c>
      <c r="AB1752" s="2" t="s">
        <v>38</v>
      </c>
      <c r="AC1752" s="2" t="s">
        <v>38</v>
      </c>
      <c r="AD1752" s="2" t="s">
        <v>38</v>
      </c>
      <c r="AE1752" s="2"/>
    </row>
    <row r="1753" spans="1:31" ht="409.5">
      <c r="A1753" s="2">
        <v>2731690</v>
      </c>
      <c r="B1753" s="2">
        <f>HYPERLINK("https://platform.v2.vetology.net/cases/2731690/screening-report/1?type=pdf&amp;v=v6&amp;scorecard=1&amp;secret_key=BX%25IJ%24%2F65ieZ%29f6", 2731690)</f>
        <v>2731690</v>
      </c>
      <c r="C1753" s="2">
        <f>HYPERLINK("https://platform.v2.vetology.net/report/v/final/"&amp;2731690, 2731690)</f>
        <v>2731690</v>
      </c>
      <c r="D1753" s="2" t="s">
        <v>5699</v>
      </c>
      <c r="E1753" s="2" t="s">
        <v>5700</v>
      </c>
      <c r="F1753" s="2" t="s">
        <v>5701</v>
      </c>
      <c r="G1753" s="2" t="s">
        <v>145</v>
      </c>
      <c r="H1753" s="2" t="s">
        <v>69</v>
      </c>
      <c r="I1753" s="2" t="s">
        <v>46</v>
      </c>
      <c r="J1753" s="2"/>
      <c r="K1753" s="2" t="s">
        <v>39</v>
      </c>
      <c r="L1753" s="2" t="s">
        <v>39</v>
      </c>
      <c r="M1753" s="2" t="s">
        <v>39</v>
      </c>
      <c r="N1753" s="2" t="s">
        <v>39</v>
      </c>
      <c r="O1753" s="2" t="s">
        <v>39</v>
      </c>
      <c r="P1753" s="2" t="s">
        <v>39</v>
      </c>
      <c r="Q1753" s="2" t="s">
        <v>39</v>
      </c>
      <c r="R1753" s="2" t="s">
        <v>39</v>
      </c>
      <c r="S1753" s="2" t="s">
        <v>39</v>
      </c>
      <c r="T1753" s="2" t="s">
        <v>38</v>
      </c>
      <c r="U1753" s="2" t="s">
        <v>39</v>
      </c>
      <c r="V1753" s="2" t="s">
        <v>38</v>
      </c>
      <c r="W1753" s="2" t="s">
        <v>38</v>
      </c>
      <c r="X1753" s="2" t="s">
        <v>39</v>
      </c>
      <c r="Y1753" s="2" t="s">
        <v>39</v>
      </c>
      <c r="Z1753" s="2" t="s">
        <v>39</v>
      </c>
      <c r="AA1753" s="2" t="s">
        <v>39</v>
      </c>
      <c r="AB1753" s="2" t="s">
        <v>39</v>
      </c>
      <c r="AC1753" s="2" t="s">
        <v>38</v>
      </c>
      <c r="AD1753" s="2" t="s">
        <v>39</v>
      </c>
      <c r="AE1753" s="2" t="s">
        <v>39</v>
      </c>
    </row>
    <row r="1754" spans="1:31" ht="409.5">
      <c r="A1754" s="2">
        <v>2731654</v>
      </c>
      <c r="B1754" s="2">
        <f>HYPERLINK("https://platform.v2.vetology.net/cases/2731654/screening-report/1?type=pdf&amp;v=v6&amp;scorecard=1&amp;secret_key=BX%25IJ%24%2F65ieZ%29f6", 2731654)</f>
        <v>2731654</v>
      </c>
      <c r="C1754" s="2">
        <f>HYPERLINK("https://platform.v2.vetology.net/report/v/final/"&amp;2731654, 2731654)</f>
        <v>2731654</v>
      </c>
      <c r="D1754" s="2" t="s">
        <v>5702</v>
      </c>
      <c r="E1754" s="2" t="s">
        <v>5126</v>
      </c>
      <c r="F1754" s="2"/>
      <c r="G1754" s="2" t="s">
        <v>44</v>
      </c>
      <c r="H1754" s="2" t="s">
        <v>45</v>
      </c>
      <c r="I1754" s="2" t="s">
        <v>46</v>
      </c>
      <c r="J1754" s="2"/>
      <c r="K1754" s="2" t="s">
        <v>39</v>
      </c>
      <c r="L1754" s="2" t="s">
        <v>39</v>
      </c>
      <c r="M1754" s="2" t="s">
        <v>39</v>
      </c>
      <c r="N1754" s="2" t="s">
        <v>39</v>
      </c>
      <c r="O1754" s="2" t="s">
        <v>39</v>
      </c>
      <c r="P1754" s="2" t="s">
        <v>39</v>
      </c>
      <c r="Q1754" s="2" t="s">
        <v>39</v>
      </c>
      <c r="R1754" s="2" t="s">
        <v>38</v>
      </c>
      <c r="S1754" s="2" t="s">
        <v>39</v>
      </c>
      <c r="T1754" s="2" t="s">
        <v>39</v>
      </c>
      <c r="U1754" s="2" t="s">
        <v>39</v>
      </c>
      <c r="V1754" s="2" t="s">
        <v>39</v>
      </c>
      <c r="W1754" s="2" t="s">
        <v>39</v>
      </c>
      <c r="X1754" s="2" t="s">
        <v>39</v>
      </c>
      <c r="Y1754" s="2" t="s">
        <v>39</v>
      </c>
      <c r="Z1754" s="2" t="s">
        <v>38</v>
      </c>
      <c r="AA1754" s="2" t="s">
        <v>39</v>
      </c>
      <c r="AB1754" s="2" t="s">
        <v>39</v>
      </c>
      <c r="AC1754" s="2" t="s">
        <v>39</v>
      </c>
      <c r="AD1754" s="2" t="s">
        <v>38</v>
      </c>
      <c r="AE1754" s="2" t="s">
        <v>39</v>
      </c>
    </row>
    <row r="1755" spans="1:31" ht="409.5">
      <c r="A1755" s="2">
        <v>2731633</v>
      </c>
      <c r="B1755" s="2">
        <f>HYPERLINK("https://platform.v2.vetology.net/cases/2731633/screening-report/1?type=pdf&amp;v=v6&amp;scorecard=1&amp;secret_key=BX%25IJ%24%2F65ieZ%29f6", 2731633)</f>
        <v>2731633</v>
      </c>
      <c r="C1755" s="2">
        <f>HYPERLINK("https://platform.v2.vetology.net/report/v/final/"&amp;2731633, 2731633)</f>
        <v>2731633</v>
      </c>
      <c r="D1755" s="2" t="s">
        <v>5703</v>
      </c>
      <c r="E1755" s="2" t="s">
        <v>5704</v>
      </c>
      <c r="F1755" s="2" t="s">
        <v>43</v>
      </c>
      <c r="G1755" s="2" t="s">
        <v>100</v>
      </c>
      <c r="H1755" s="2" t="s">
        <v>5705</v>
      </c>
      <c r="I1755" s="2" t="s">
        <v>36</v>
      </c>
      <c r="J1755" s="2" t="s">
        <v>37</v>
      </c>
      <c r="K1755" s="2" t="s">
        <v>38</v>
      </c>
      <c r="L1755" s="2" t="s">
        <v>38</v>
      </c>
      <c r="M1755" s="2" t="s">
        <v>38</v>
      </c>
      <c r="N1755" s="2" t="s">
        <v>38</v>
      </c>
      <c r="O1755" s="2" t="s">
        <v>38</v>
      </c>
      <c r="P1755" s="2" t="s">
        <v>38</v>
      </c>
      <c r="Q1755" s="2" t="s">
        <v>39</v>
      </c>
      <c r="R1755" s="2" t="s">
        <v>38</v>
      </c>
      <c r="S1755" s="2" t="s">
        <v>38</v>
      </c>
      <c r="T1755" s="2" t="s">
        <v>38</v>
      </c>
      <c r="U1755" s="2" t="s">
        <v>38</v>
      </c>
      <c r="V1755" s="2" t="s">
        <v>38</v>
      </c>
      <c r="W1755" s="2" t="s">
        <v>38</v>
      </c>
      <c r="X1755" s="2" t="s">
        <v>39</v>
      </c>
      <c r="Y1755" s="2" t="s">
        <v>39</v>
      </c>
      <c r="Z1755" s="2" t="s">
        <v>38</v>
      </c>
      <c r="AA1755" s="2" t="s">
        <v>38</v>
      </c>
      <c r="AB1755" s="2" t="s">
        <v>39</v>
      </c>
      <c r="AC1755" s="2" t="s">
        <v>38</v>
      </c>
      <c r="AD1755" s="2" t="s">
        <v>38</v>
      </c>
      <c r="AE1755" s="2" t="s">
        <v>40</v>
      </c>
    </row>
    <row r="1756" spans="1:31" ht="409.5">
      <c r="A1756" s="2">
        <v>2731627</v>
      </c>
      <c r="B1756" s="2">
        <f>HYPERLINK("https://platform.v2.vetology.net/cases/2731627/screening-report/1?type=pdf&amp;v=v6&amp;scorecard=1&amp;secret_key=BX%25IJ%24%2F65ieZ%29f6", 2731627)</f>
        <v>2731627</v>
      </c>
      <c r="C1756" s="2">
        <f>HYPERLINK("https://platform.v2.vetology.net/report/v/final/"&amp;2731627, 2731627)</f>
        <v>2731627</v>
      </c>
      <c r="D1756" s="2" t="s">
        <v>5706</v>
      </c>
      <c r="E1756" s="2" t="s">
        <v>5707</v>
      </c>
      <c r="F1756" s="2" t="s">
        <v>5708</v>
      </c>
      <c r="G1756" s="2" t="s">
        <v>53</v>
      </c>
      <c r="H1756" s="2" t="s">
        <v>5709</v>
      </c>
      <c r="I1756" s="2" t="s">
        <v>129</v>
      </c>
      <c r="J1756" s="2" t="s">
        <v>74</v>
      </c>
      <c r="K1756" s="2" t="s">
        <v>38</v>
      </c>
      <c r="L1756" s="2" t="s">
        <v>39</v>
      </c>
      <c r="M1756" s="2" t="s">
        <v>38</v>
      </c>
      <c r="N1756" s="2" t="s">
        <v>38</v>
      </c>
      <c r="O1756" s="2" t="s">
        <v>38</v>
      </c>
      <c r="P1756" s="2" t="s">
        <v>38</v>
      </c>
      <c r="Q1756" s="2" t="s">
        <v>38</v>
      </c>
      <c r="R1756" s="2" t="s">
        <v>39</v>
      </c>
      <c r="S1756" s="2" t="s">
        <v>39</v>
      </c>
      <c r="T1756" s="2" t="s">
        <v>38</v>
      </c>
      <c r="U1756" s="2" t="s">
        <v>38</v>
      </c>
      <c r="V1756" s="2" t="s">
        <v>38</v>
      </c>
      <c r="W1756" s="2" t="s">
        <v>39</v>
      </c>
      <c r="X1756" s="2" t="s">
        <v>39</v>
      </c>
      <c r="Y1756" s="2" t="s">
        <v>39</v>
      </c>
      <c r="Z1756" s="2" t="s">
        <v>38</v>
      </c>
      <c r="AA1756" s="2" t="s">
        <v>38</v>
      </c>
      <c r="AB1756" s="2" t="s">
        <v>39</v>
      </c>
      <c r="AC1756" s="2" t="s">
        <v>38</v>
      </c>
      <c r="AD1756" s="2" t="s">
        <v>39</v>
      </c>
      <c r="AE1756" s="2" t="s">
        <v>39</v>
      </c>
    </row>
    <row r="1757" spans="1:31" ht="409.5">
      <c r="A1757" s="2">
        <v>2731625</v>
      </c>
      <c r="B1757" s="2">
        <f>HYPERLINK("https://platform.v2.vetology.net/cases/2731625/screening-report/1?type=pdf&amp;v=v6&amp;scorecard=1&amp;secret_key=BX%25IJ%24%2F65ieZ%29f6", 2731625)</f>
        <v>2731625</v>
      </c>
      <c r="C1757" s="2">
        <f>HYPERLINK("https://platform.v2.vetology.net/report/v/final/"&amp;2731625, 2731625)</f>
        <v>2731625</v>
      </c>
      <c r="D1757" s="2" t="s">
        <v>5710</v>
      </c>
      <c r="E1757" s="2" t="s">
        <v>5711</v>
      </c>
      <c r="F1757" s="2" t="s">
        <v>2764</v>
      </c>
      <c r="G1757" s="2" t="s">
        <v>111</v>
      </c>
      <c r="H1757" s="2" t="s">
        <v>5712</v>
      </c>
      <c r="I1757" s="2" t="s">
        <v>73</v>
      </c>
      <c r="J1757" s="2" t="s">
        <v>74</v>
      </c>
      <c r="K1757" s="2" t="s">
        <v>38</v>
      </c>
      <c r="L1757" s="2" t="s">
        <v>38</v>
      </c>
      <c r="M1757" s="2" t="s">
        <v>38</v>
      </c>
      <c r="N1757" s="2" t="s">
        <v>38</v>
      </c>
      <c r="O1757" s="2" t="s">
        <v>38</v>
      </c>
      <c r="P1757" s="2" t="s">
        <v>38</v>
      </c>
      <c r="Q1757" s="2" t="s">
        <v>38</v>
      </c>
      <c r="R1757" s="2" t="s">
        <v>39</v>
      </c>
      <c r="S1757" s="2" t="s">
        <v>38</v>
      </c>
      <c r="T1757" s="2" t="s">
        <v>38</v>
      </c>
      <c r="U1757" s="2" t="s">
        <v>38</v>
      </c>
      <c r="V1757" s="2" t="s">
        <v>38</v>
      </c>
      <c r="W1757" s="2" t="s">
        <v>39</v>
      </c>
      <c r="X1757" s="2" t="s">
        <v>38</v>
      </c>
      <c r="Y1757" s="2" t="s">
        <v>39</v>
      </c>
      <c r="Z1757" s="2" t="s">
        <v>38</v>
      </c>
      <c r="AA1757" s="2" t="s">
        <v>38</v>
      </c>
      <c r="AB1757" s="2" t="s">
        <v>38</v>
      </c>
      <c r="AC1757" s="2" t="s">
        <v>38</v>
      </c>
      <c r="AD1757" s="2" t="s">
        <v>39</v>
      </c>
      <c r="AE1757" s="2" t="s">
        <v>40</v>
      </c>
    </row>
    <row r="1758" spans="1:31" ht="409.5">
      <c r="A1758" s="2">
        <v>2731610</v>
      </c>
      <c r="B1758" s="2">
        <f>HYPERLINK("https://platform.v2.vetology.net/cases/2731610/screening-report/1?type=pdf&amp;v=v6&amp;scorecard=1&amp;secret_key=BX%25IJ%24%2F65ieZ%29f6", 2731610)</f>
        <v>2731610</v>
      </c>
      <c r="C1758" s="2">
        <f>HYPERLINK("https://platform.v2.vetology.net/report/v/final/"&amp;2731610, 2731610)</f>
        <v>2731610</v>
      </c>
      <c r="D1758" s="2" t="s">
        <v>5713</v>
      </c>
      <c r="E1758" s="2" t="s">
        <v>359</v>
      </c>
      <c r="F1758" s="2"/>
      <c r="G1758" s="2" t="s">
        <v>100</v>
      </c>
      <c r="H1758" s="2" t="s">
        <v>69</v>
      </c>
      <c r="I1758" s="2" t="s">
        <v>46</v>
      </c>
      <c r="J1758" s="2"/>
      <c r="K1758" s="2" t="s">
        <v>39</v>
      </c>
      <c r="L1758" s="2" t="s">
        <v>39</v>
      </c>
      <c r="M1758" s="2" t="s">
        <v>39</v>
      </c>
      <c r="N1758" s="2" t="s">
        <v>39</v>
      </c>
      <c r="O1758" s="2" t="s">
        <v>39</v>
      </c>
      <c r="P1758" s="2" t="s">
        <v>39</v>
      </c>
      <c r="Q1758" s="2" t="s">
        <v>39</v>
      </c>
      <c r="R1758" s="2" t="s">
        <v>39</v>
      </c>
      <c r="S1758" s="2" t="s">
        <v>39</v>
      </c>
      <c r="T1758" s="2" t="s">
        <v>39</v>
      </c>
      <c r="U1758" s="2" t="s">
        <v>39</v>
      </c>
      <c r="V1758" s="2" t="s">
        <v>39</v>
      </c>
      <c r="W1758" s="2" t="s">
        <v>39</v>
      </c>
      <c r="X1758" s="2" t="s">
        <v>39</v>
      </c>
      <c r="Y1758" s="2" t="s">
        <v>39</v>
      </c>
      <c r="Z1758" s="2" t="s">
        <v>39</v>
      </c>
      <c r="AA1758" s="2" t="s">
        <v>39</v>
      </c>
      <c r="AB1758" s="2" t="s">
        <v>39</v>
      </c>
      <c r="AC1758" s="2" t="s">
        <v>39</v>
      </c>
      <c r="AD1758" s="2" t="s">
        <v>39</v>
      </c>
      <c r="AE1758" s="2" t="s">
        <v>39</v>
      </c>
    </row>
    <row r="1759" spans="1:31" ht="409.5">
      <c r="A1759" s="2">
        <v>2731585</v>
      </c>
      <c r="B1759" s="2">
        <f>HYPERLINK("https://platform.v2.vetology.net/cases/2731585/screening-report/1?type=pdf&amp;v=v6&amp;scorecard=1&amp;secret_key=BX%25IJ%24%2F65ieZ%29f6", 2731585)</f>
        <v>2731585</v>
      </c>
      <c r="C1759" s="2">
        <f>HYPERLINK("https://platform.v2.vetology.net/report/v/final/"&amp;2731585, 2731585)</f>
        <v>2731585</v>
      </c>
      <c r="D1759" s="2" t="s">
        <v>5714</v>
      </c>
      <c r="E1759" s="2" t="s">
        <v>5715</v>
      </c>
      <c r="F1759" s="2" t="s">
        <v>5716</v>
      </c>
      <c r="G1759" s="2" t="s">
        <v>170</v>
      </c>
      <c r="H1759" s="2" t="s">
        <v>5717</v>
      </c>
      <c r="I1759" s="2" t="s">
        <v>36</v>
      </c>
      <c r="J1759" s="2" t="s">
        <v>37</v>
      </c>
      <c r="K1759" s="2" t="s">
        <v>38</v>
      </c>
      <c r="L1759" s="2" t="s">
        <v>38</v>
      </c>
      <c r="M1759" s="2" t="s">
        <v>38</v>
      </c>
      <c r="N1759" s="2" t="s">
        <v>38</v>
      </c>
      <c r="O1759" s="2" t="s">
        <v>38</v>
      </c>
      <c r="P1759" s="2" t="s">
        <v>39</v>
      </c>
      <c r="Q1759" s="2" t="s">
        <v>39</v>
      </c>
      <c r="R1759" s="2" t="s">
        <v>38</v>
      </c>
      <c r="S1759" s="2" t="s">
        <v>38</v>
      </c>
      <c r="T1759" s="2" t="s">
        <v>38</v>
      </c>
      <c r="U1759" s="2" t="s">
        <v>38</v>
      </c>
      <c r="V1759" s="2" t="s">
        <v>38</v>
      </c>
      <c r="W1759" s="2" t="s">
        <v>38</v>
      </c>
      <c r="X1759" s="2" t="s">
        <v>39</v>
      </c>
      <c r="Y1759" s="2" t="s">
        <v>38</v>
      </c>
      <c r="Z1759" s="2" t="s">
        <v>38</v>
      </c>
      <c r="AA1759" s="2" t="s">
        <v>38</v>
      </c>
      <c r="AB1759" s="2" t="s">
        <v>39</v>
      </c>
      <c r="AC1759" s="2" t="s">
        <v>38</v>
      </c>
      <c r="AD1759" s="2" t="s">
        <v>38</v>
      </c>
      <c r="AE1759" s="2" t="s">
        <v>39</v>
      </c>
    </row>
    <row r="1760" spans="1:31" ht="409.5">
      <c r="A1760" s="2">
        <v>2731584</v>
      </c>
      <c r="B1760" s="2">
        <f>HYPERLINK("https://platform.v2.vetology.net/cases/2731584/screening-report/1?type=pdf&amp;v=v6&amp;scorecard=1&amp;secret_key=BX%25IJ%24%2F65ieZ%29f6", 2731584)</f>
        <v>2731584</v>
      </c>
      <c r="C1760" s="2">
        <f>HYPERLINK("https://platform.v2.vetology.net/report/v/final/"&amp;2731584, 2731584)</f>
        <v>2731584</v>
      </c>
      <c r="D1760" s="2" t="s">
        <v>5718</v>
      </c>
      <c r="E1760" s="2" t="s">
        <v>5719</v>
      </c>
      <c r="F1760" s="2" t="s">
        <v>43</v>
      </c>
      <c r="G1760" s="2" t="s">
        <v>100</v>
      </c>
      <c r="H1760" s="2" t="s">
        <v>5720</v>
      </c>
      <c r="I1760" s="2" t="s">
        <v>36</v>
      </c>
      <c r="J1760" s="2" t="s">
        <v>37</v>
      </c>
      <c r="K1760" s="2" t="s">
        <v>39</v>
      </c>
      <c r="L1760" s="2" t="s">
        <v>38</v>
      </c>
      <c r="M1760" s="2" t="s">
        <v>38</v>
      </c>
      <c r="N1760" s="2" t="s">
        <v>38</v>
      </c>
      <c r="O1760" s="2" t="s">
        <v>38</v>
      </c>
      <c r="P1760" s="2" t="s">
        <v>38</v>
      </c>
      <c r="Q1760" s="2" t="s">
        <v>38</v>
      </c>
      <c r="R1760" s="2" t="s">
        <v>38</v>
      </c>
      <c r="S1760" s="2" t="s">
        <v>38</v>
      </c>
      <c r="T1760" s="2" t="s">
        <v>38</v>
      </c>
      <c r="U1760" s="2" t="s">
        <v>39</v>
      </c>
      <c r="V1760" s="2" t="s">
        <v>39</v>
      </c>
      <c r="W1760" s="2" t="s">
        <v>38</v>
      </c>
      <c r="X1760" s="2" t="s">
        <v>39</v>
      </c>
      <c r="Y1760" s="2" t="s">
        <v>39</v>
      </c>
      <c r="Z1760" s="2" t="s">
        <v>38</v>
      </c>
      <c r="AA1760" s="2" t="s">
        <v>38</v>
      </c>
      <c r="AB1760" s="2" t="s">
        <v>39</v>
      </c>
      <c r="AC1760" s="2" t="s">
        <v>38</v>
      </c>
      <c r="AD1760" s="2" t="s">
        <v>38</v>
      </c>
      <c r="AE1760" s="2" t="s">
        <v>40</v>
      </c>
    </row>
    <row r="1761" spans="1:31" ht="409.5">
      <c r="A1761" s="2">
        <v>2731569</v>
      </c>
      <c r="B1761" s="2">
        <f>HYPERLINK("https://platform.v2.vetology.net/cases/2731569/screening-report/1?type=pdf&amp;v=v6&amp;scorecard=1&amp;secret_key=BX%25IJ%24%2F65ieZ%29f6", 2731569)</f>
        <v>2731569</v>
      </c>
      <c r="C1761" s="2">
        <f>HYPERLINK("https://platform.v2.vetology.net/report/v/final/"&amp;2731569, 2731569)</f>
        <v>2731569</v>
      </c>
      <c r="D1761" s="2" t="s">
        <v>2629</v>
      </c>
      <c r="E1761" s="2" t="s">
        <v>118</v>
      </c>
      <c r="F1761" s="2" t="s">
        <v>1498</v>
      </c>
      <c r="G1761" s="2" t="s">
        <v>111</v>
      </c>
      <c r="H1761" s="2" t="s">
        <v>45</v>
      </c>
      <c r="I1761" s="2" t="s">
        <v>46</v>
      </c>
      <c r="J1761" s="2"/>
      <c r="K1761" s="2" t="s">
        <v>39</v>
      </c>
      <c r="L1761" s="2" t="s">
        <v>39</v>
      </c>
      <c r="M1761" s="2" t="s">
        <v>39</v>
      </c>
      <c r="N1761" s="2" t="s">
        <v>39</v>
      </c>
      <c r="O1761" s="2" t="s">
        <v>39</v>
      </c>
      <c r="P1761" s="2" t="s">
        <v>39</v>
      </c>
      <c r="Q1761" s="2" t="s">
        <v>39</v>
      </c>
      <c r="R1761" s="2" t="s">
        <v>38</v>
      </c>
      <c r="S1761" s="2" t="s">
        <v>39</v>
      </c>
      <c r="T1761" s="2" t="s">
        <v>39</v>
      </c>
      <c r="U1761" s="2" t="s">
        <v>39</v>
      </c>
      <c r="V1761" s="2" t="s">
        <v>39</v>
      </c>
      <c r="W1761" s="2" t="s">
        <v>39</v>
      </c>
      <c r="X1761" s="2" t="s">
        <v>39</v>
      </c>
      <c r="Y1761" s="2" t="s">
        <v>39</v>
      </c>
      <c r="Z1761" s="2" t="s">
        <v>39</v>
      </c>
      <c r="AA1761" s="2" t="s">
        <v>39</v>
      </c>
      <c r="AB1761" s="2" t="s">
        <v>39</v>
      </c>
      <c r="AC1761" s="2" t="s">
        <v>38</v>
      </c>
      <c r="AD1761" s="2" t="s">
        <v>39</v>
      </c>
      <c r="AE1761" s="2" t="s">
        <v>39</v>
      </c>
    </row>
    <row r="1762" spans="1:31" ht="409.5">
      <c r="A1762" s="2">
        <v>2731526</v>
      </c>
      <c r="B1762" s="2">
        <f>HYPERLINK("https://platform.v2.vetology.net/cases/2731526/screening-report/1?type=pdf&amp;v=v6&amp;scorecard=1&amp;secret_key=BX%25IJ%24%2F65ieZ%29f6", 2731526)</f>
        <v>2731526</v>
      </c>
      <c r="C1762" s="2">
        <f>HYPERLINK("https://platform.v2.vetology.net/report/v/final/"&amp;2731526, 2731526)</f>
        <v>2731526</v>
      </c>
      <c r="D1762" s="2" t="s">
        <v>1543</v>
      </c>
      <c r="E1762" s="2" t="s">
        <v>1073</v>
      </c>
      <c r="F1762" s="2" t="s">
        <v>787</v>
      </c>
      <c r="G1762" s="2" t="s">
        <v>100</v>
      </c>
      <c r="H1762" s="2" t="s">
        <v>69</v>
      </c>
      <c r="I1762" s="2" t="s">
        <v>46</v>
      </c>
      <c r="J1762" s="2"/>
      <c r="K1762" s="2" t="s">
        <v>39</v>
      </c>
      <c r="L1762" s="2" t="s">
        <v>39</v>
      </c>
      <c r="M1762" s="2" t="s">
        <v>39</v>
      </c>
      <c r="N1762" s="2" t="s">
        <v>39</v>
      </c>
      <c r="O1762" s="2" t="s">
        <v>39</v>
      </c>
      <c r="P1762" s="2" t="s">
        <v>39</v>
      </c>
      <c r="Q1762" s="2" t="s">
        <v>39</v>
      </c>
      <c r="R1762" s="2" t="s">
        <v>39</v>
      </c>
      <c r="S1762" s="2" t="s">
        <v>39</v>
      </c>
      <c r="T1762" s="2" t="s">
        <v>39</v>
      </c>
      <c r="U1762" s="2" t="s">
        <v>38</v>
      </c>
      <c r="V1762" s="2" t="s">
        <v>39</v>
      </c>
      <c r="W1762" s="2" t="s">
        <v>39</v>
      </c>
      <c r="X1762" s="2" t="s">
        <v>39</v>
      </c>
      <c r="Y1762" s="2" t="s">
        <v>39</v>
      </c>
      <c r="Z1762" s="2" t="s">
        <v>39</v>
      </c>
      <c r="AA1762" s="2" t="s">
        <v>39</v>
      </c>
      <c r="AB1762" s="2" t="s">
        <v>39</v>
      </c>
      <c r="AC1762" s="2" t="s">
        <v>39</v>
      </c>
      <c r="AD1762" s="2" t="s">
        <v>39</v>
      </c>
      <c r="AE1762" s="2" t="s">
        <v>39</v>
      </c>
    </row>
    <row r="1763" spans="1:31" ht="409.5">
      <c r="A1763" s="2">
        <v>2731487</v>
      </c>
      <c r="B1763" s="2">
        <f>HYPERLINK("https://platform.v2.vetology.net/cases/2731487/screening-report/1?type=pdf&amp;v=v6&amp;scorecard=1&amp;secret_key=BX%25IJ%24%2F65ieZ%29f6", 2731487)</f>
        <v>2731487</v>
      </c>
      <c r="C1763" s="2">
        <f>HYPERLINK("https://platform.v2.vetology.net/report/v/final/"&amp;2731487, 2731487)</f>
        <v>2731487</v>
      </c>
      <c r="D1763" s="2" t="s">
        <v>5721</v>
      </c>
      <c r="E1763" s="2" t="s">
        <v>5722</v>
      </c>
      <c r="F1763" s="2" t="s">
        <v>1644</v>
      </c>
      <c r="G1763" s="2" t="s">
        <v>111</v>
      </c>
      <c r="H1763" s="2" t="s">
        <v>5723</v>
      </c>
      <c r="I1763" s="2" t="s">
        <v>129</v>
      </c>
      <c r="J1763" s="2" t="s">
        <v>74</v>
      </c>
      <c r="K1763" s="2" t="s">
        <v>39</v>
      </c>
      <c r="L1763" s="2" t="s">
        <v>38</v>
      </c>
      <c r="M1763" s="2" t="s">
        <v>38</v>
      </c>
      <c r="N1763" s="2" t="s">
        <v>38</v>
      </c>
      <c r="O1763" s="2" t="s">
        <v>38</v>
      </c>
      <c r="P1763" s="2" t="s">
        <v>38</v>
      </c>
      <c r="Q1763" s="2" t="s">
        <v>38</v>
      </c>
      <c r="R1763" s="2" t="s">
        <v>39</v>
      </c>
      <c r="S1763" s="2" t="s">
        <v>38</v>
      </c>
      <c r="T1763" s="2" t="s">
        <v>38</v>
      </c>
      <c r="U1763" s="2" t="s">
        <v>39</v>
      </c>
      <c r="V1763" s="2" t="s">
        <v>39</v>
      </c>
      <c r="W1763" s="2" t="s">
        <v>38</v>
      </c>
      <c r="X1763" s="2" t="s">
        <v>38</v>
      </c>
      <c r="Y1763" s="2" t="s">
        <v>39</v>
      </c>
      <c r="Z1763" s="2" t="s">
        <v>38</v>
      </c>
      <c r="AA1763" s="2" t="s">
        <v>38</v>
      </c>
      <c r="AB1763" s="2" t="s">
        <v>38</v>
      </c>
      <c r="AC1763" s="2" t="s">
        <v>39</v>
      </c>
      <c r="AD1763" s="2" t="s">
        <v>38</v>
      </c>
      <c r="AE1763" s="2" t="s">
        <v>39</v>
      </c>
    </row>
    <row r="1764" spans="1:31" ht="409.5">
      <c r="A1764" s="2">
        <v>2731449</v>
      </c>
      <c r="B1764" s="2">
        <f>HYPERLINK("https://platform.v2.vetology.net/cases/2731449/screening-report/1?type=pdf&amp;v=v6&amp;scorecard=1&amp;secret_key=BX%25IJ%24%2F65ieZ%29f6", 2731449)</f>
        <v>2731449</v>
      </c>
      <c r="C1764" s="2">
        <f>HYPERLINK("https://platform.v2.vetology.net/report/v/final/"&amp;2731449, 2731449)</f>
        <v>2731449</v>
      </c>
      <c r="D1764" s="2" t="s">
        <v>5724</v>
      </c>
      <c r="E1764" s="2" t="s">
        <v>5725</v>
      </c>
      <c r="F1764" s="2" t="s">
        <v>5726</v>
      </c>
      <c r="G1764" s="2" t="s">
        <v>100</v>
      </c>
      <c r="H1764" s="2" t="s">
        <v>5727</v>
      </c>
      <c r="I1764" s="2" t="s">
        <v>36</v>
      </c>
      <c r="J1764" s="2" t="s">
        <v>37</v>
      </c>
      <c r="K1764" s="2" t="s">
        <v>38</v>
      </c>
      <c r="L1764" s="2" t="s">
        <v>38</v>
      </c>
      <c r="M1764" s="2" t="s">
        <v>39</v>
      </c>
      <c r="N1764" s="2" t="s">
        <v>38</v>
      </c>
      <c r="O1764" s="2" t="s">
        <v>38</v>
      </c>
      <c r="P1764" s="2" t="s">
        <v>39</v>
      </c>
      <c r="Q1764" s="2" t="s">
        <v>39</v>
      </c>
      <c r="R1764" s="2" t="s">
        <v>38</v>
      </c>
      <c r="S1764" s="2" t="s">
        <v>39</v>
      </c>
      <c r="T1764" s="2" t="s">
        <v>39</v>
      </c>
      <c r="U1764" s="2" t="s">
        <v>39</v>
      </c>
      <c r="V1764" s="2" t="s">
        <v>38</v>
      </c>
      <c r="W1764" s="2" t="s">
        <v>38</v>
      </c>
      <c r="X1764" s="2" t="s">
        <v>39</v>
      </c>
      <c r="Y1764" s="2" t="s">
        <v>39</v>
      </c>
      <c r="Z1764" s="2" t="s">
        <v>38</v>
      </c>
      <c r="AA1764" s="2" t="s">
        <v>38</v>
      </c>
      <c r="AB1764" s="2" t="s">
        <v>39</v>
      </c>
      <c r="AC1764" s="2" t="s">
        <v>38</v>
      </c>
      <c r="AD1764" s="2" t="s">
        <v>38</v>
      </c>
      <c r="AE1764" s="2" t="s">
        <v>39</v>
      </c>
    </row>
    <row r="1765" spans="1:31" ht="409.5">
      <c r="A1765" s="2">
        <v>2731433</v>
      </c>
      <c r="B1765" s="2">
        <f>HYPERLINK("https://platform.v2.vetology.net/cases/2731433/screening-report/1?type=pdf&amp;v=v6&amp;scorecard=1&amp;secret_key=BX%25IJ%24%2F65ieZ%29f6", 2731433)</f>
        <v>2731433</v>
      </c>
      <c r="C1765" s="2">
        <f>HYPERLINK("https://platform.v2.vetology.net/report/v/final/"&amp;2731433, 2731433)</f>
        <v>2731433</v>
      </c>
      <c r="D1765" s="2" t="s">
        <v>5728</v>
      </c>
      <c r="E1765" s="2" t="s">
        <v>5729</v>
      </c>
      <c r="F1765" s="2" t="s">
        <v>5730</v>
      </c>
      <c r="G1765" s="2" t="s">
        <v>111</v>
      </c>
      <c r="H1765" s="2" t="s">
        <v>5731</v>
      </c>
      <c r="I1765" s="2" t="s">
        <v>36</v>
      </c>
      <c r="J1765" s="2" t="s">
        <v>37</v>
      </c>
      <c r="K1765" s="2" t="s">
        <v>38</v>
      </c>
      <c r="L1765" s="2" t="s">
        <v>38</v>
      </c>
      <c r="M1765" s="2" t="s">
        <v>39</v>
      </c>
      <c r="N1765" s="2" t="s">
        <v>38</v>
      </c>
      <c r="O1765" s="2" t="s">
        <v>38</v>
      </c>
      <c r="P1765" s="2" t="s">
        <v>38</v>
      </c>
      <c r="Q1765" s="2" t="s">
        <v>39</v>
      </c>
      <c r="R1765" s="2" t="s">
        <v>38</v>
      </c>
      <c r="S1765" s="2" t="s">
        <v>38</v>
      </c>
      <c r="T1765" s="2" t="s">
        <v>38</v>
      </c>
      <c r="U1765" s="2" t="s">
        <v>38</v>
      </c>
      <c r="V1765" s="2" t="s">
        <v>38</v>
      </c>
      <c r="W1765" s="2" t="s">
        <v>38</v>
      </c>
      <c r="X1765" s="2" t="s">
        <v>39</v>
      </c>
      <c r="Y1765" s="2" t="s">
        <v>38</v>
      </c>
      <c r="Z1765" s="2" t="s">
        <v>38</v>
      </c>
      <c r="AA1765" s="2" t="s">
        <v>38</v>
      </c>
      <c r="AB1765" s="2" t="s">
        <v>39</v>
      </c>
      <c r="AC1765" s="2" t="s">
        <v>38</v>
      </c>
      <c r="AD1765" s="2" t="s">
        <v>38</v>
      </c>
      <c r="AE1765" s="2"/>
    </row>
    <row r="1766" spans="1:31" ht="409.5">
      <c r="A1766" s="2">
        <v>2731428</v>
      </c>
      <c r="B1766" s="2">
        <f>HYPERLINK("https://platform.v2.vetology.net/cases/2731428/screening-report/1?type=pdf&amp;v=v6&amp;scorecard=1&amp;secret_key=BX%25IJ%24%2F65ieZ%29f6", 2731428)</f>
        <v>2731428</v>
      </c>
      <c r="C1766" s="2">
        <f>HYPERLINK("https://platform.v2.vetology.net/report/v/final/"&amp;2731428, 2731428)</f>
        <v>2731428</v>
      </c>
      <c r="D1766" s="2" t="s">
        <v>5732</v>
      </c>
      <c r="E1766" s="2" t="s">
        <v>5733</v>
      </c>
      <c r="F1766" s="2" t="s">
        <v>5734</v>
      </c>
      <c r="G1766" s="2" t="s">
        <v>53</v>
      </c>
      <c r="H1766" s="2" t="s">
        <v>5735</v>
      </c>
      <c r="I1766" s="2" t="s">
        <v>36</v>
      </c>
      <c r="J1766" s="2" t="s">
        <v>37</v>
      </c>
      <c r="K1766" s="2" t="s">
        <v>38</v>
      </c>
      <c r="L1766" s="2" t="s">
        <v>38</v>
      </c>
      <c r="M1766" s="2" t="s">
        <v>39</v>
      </c>
      <c r="N1766" s="2" t="s">
        <v>38</v>
      </c>
      <c r="O1766" s="2" t="s">
        <v>39</v>
      </c>
      <c r="P1766" s="2" t="s">
        <v>39</v>
      </c>
      <c r="Q1766" s="2" t="s">
        <v>39</v>
      </c>
      <c r="R1766" s="2" t="s">
        <v>38</v>
      </c>
      <c r="S1766" s="2" t="s">
        <v>38</v>
      </c>
      <c r="T1766" s="2" t="s">
        <v>39</v>
      </c>
      <c r="U1766" s="2" t="s">
        <v>38</v>
      </c>
      <c r="V1766" s="2" t="s">
        <v>38</v>
      </c>
      <c r="W1766" s="2" t="s">
        <v>38</v>
      </c>
      <c r="X1766" s="2" t="s">
        <v>39</v>
      </c>
      <c r="Y1766" s="2" t="s">
        <v>39</v>
      </c>
      <c r="Z1766" s="2" t="s">
        <v>38</v>
      </c>
      <c r="AA1766" s="2" t="s">
        <v>38</v>
      </c>
      <c r="AB1766" s="2" t="s">
        <v>39</v>
      </c>
      <c r="AC1766" s="2" t="s">
        <v>38</v>
      </c>
      <c r="AD1766" s="2" t="s">
        <v>39</v>
      </c>
      <c r="AE1766" s="2" t="s">
        <v>39</v>
      </c>
    </row>
    <row r="1767" spans="1:31" ht="409.5">
      <c r="A1767" s="2">
        <v>2731426</v>
      </c>
      <c r="B1767" s="2">
        <f>HYPERLINK("https://platform.v2.vetology.net/cases/2731426/screening-report/1?type=pdf&amp;v=v6&amp;scorecard=1&amp;secret_key=BX%25IJ%24%2F65ieZ%29f6", 2731426)</f>
        <v>2731426</v>
      </c>
      <c r="C1767" s="2">
        <f>HYPERLINK("https://platform.v2.vetology.net/report/v/final/"&amp;2731426, 2731426)</f>
        <v>2731426</v>
      </c>
      <c r="D1767" s="2" t="s">
        <v>5736</v>
      </c>
      <c r="E1767" s="2" t="s">
        <v>5737</v>
      </c>
      <c r="F1767" s="2" t="s">
        <v>5738</v>
      </c>
      <c r="G1767" s="2" t="s">
        <v>53</v>
      </c>
      <c r="H1767" s="2" t="s">
        <v>5739</v>
      </c>
      <c r="I1767" s="2" t="s">
        <v>36</v>
      </c>
      <c r="J1767" s="2" t="s">
        <v>37</v>
      </c>
      <c r="K1767" s="2" t="s">
        <v>38</v>
      </c>
      <c r="L1767" s="2" t="s">
        <v>38</v>
      </c>
      <c r="M1767" s="2" t="s">
        <v>38</v>
      </c>
      <c r="N1767" s="2" t="s">
        <v>38</v>
      </c>
      <c r="O1767" s="2" t="s">
        <v>38</v>
      </c>
      <c r="P1767" s="2" t="s">
        <v>39</v>
      </c>
      <c r="Q1767" s="2" t="s">
        <v>39</v>
      </c>
      <c r="R1767" s="2" t="s">
        <v>38</v>
      </c>
      <c r="S1767" s="2" t="s">
        <v>38</v>
      </c>
      <c r="T1767" s="2" t="s">
        <v>38</v>
      </c>
      <c r="U1767" s="2" t="s">
        <v>38</v>
      </c>
      <c r="V1767" s="2" t="s">
        <v>39</v>
      </c>
      <c r="W1767" s="2" t="s">
        <v>38</v>
      </c>
      <c r="X1767" s="2" t="s">
        <v>39</v>
      </c>
      <c r="Y1767" s="2" t="s">
        <v>38</v>
      </c>
      <c r="Z1767" s="2" t="s">
        <v>38</v>
      </c>
      <c r="AA1767" s="2" t="s">
        <v>38</v>
      </c>
      <c r="AB1767" s="2" t="s">
        <v>39</v>
      </c>
      <c r="AC1767" s="2" t="s">
        <v>38</v>
      </c>
      <c r="AD1767" s="2" t="s">
        <v>38</v>
      </c>
      <c r="AE1767" s="2" t="s">
        <v>39</v>
      </c>
    </row>
    <row r="1768" spans="1:31" ht="409.5">
      <c r="A1768" s="2">
        <v>2731395</v>
      </c>
      <c r="B1768" s="2">
        <f>HYPERLINK("https://platform.v2.vetology.net/cases/2731395/screening-report/1?type=pdf&amp;v=v6&amp;scorecard=1&amp;secret_key=BX%25IJ%24%2F65ieZ%29f6", 2731395)</f>
        <v>2731395</v>
      </c>
      <c r="C1768" s="2">
        <f>HYPERLINK("https://platform.v2.vetology.net/report/v/final/"&amp;2731395, 2731395)</f>
        <v>2731395</v>
      </c>
      <c r="D1768" s="2" t="s">
        <v>5740</v>
      </c>
      <c r="E1768" s="2" t="s">
        <v>5741</v>
      </c>
      <c r="F1768" s="2" t="s">
        <v>5742</v>
      </c>
      <c r="G1768" s="2" t="s">
        <v>53</v>
      </c>
      <c r="H1768" s="2" t="s">
        <v>5743</v>
      </c>
      <c r="I1768" s="2" t="s">
        <v>73</v>
      </c>
      <c r="J1768" s="2" t="s">
        <v>74</v>
      </c>
      <c r="K1768" s="2" t="s">
        <v>38</v>
      </c>
      <c r="L1768" s="2" t="s">
        <v>38</v>
      </c>
      <c r="M1768" s="2" t="s">
        <v>38</v>
      </c>
      <c r="N1768" s="2" t="s">
        <v>38</v>
      </c>
      <c r="O1768" s="2" t="s">
        <v>38</v>
      </c>
      <c r="P1768" s="2" t="s">
        <v>38</v>
      </c>
      <c r="Q1768" s="2" t="s">
        <v>38</v>
      </c>
      <c r="R1768" s="2" t="s">
        <v>39</v>
      </c>
      <c r="S1768" s="2" t="s">
        <v>38</v>
      </c>
      <c r="T1768" s="2" t="s">
        <v>38</v>
      </c>
      <c r="U1768" s="2" t="s">
        <v>38</v>
      </c>
      <c r="V1768" s="2" t="s">
        <v>38</v>
      </c>
      <c r="W1768" s="2" t="s">
        <v>38</v>
      </c>
      <c r="X1768" s="2" t="s">
        <v>38</v>
      </c>
      <c r="Y1768" s="2" t="s">
        <v>39</v>
      </c>
      <c r="Z1768" s="2" t="s">
        <v>38</v>
      </c>
      <c r="AA1768" s="2" t="s">
        <v>38</v>
      </c>
      <c r="AB1768" s="2" t="s">
        <v>38</v>
      </c>
      <c r="AC1768" s="2" t="s">
        <v>38</v>
      </c>
      <c r="AD1768" s="2" t="s">
        <v>39</v>
      </c>
      <c r="AE1768" s="2" t="s">
        <v>39</v>
      </c>
    </row>
    <row r="1769" spans="1:31" ht="409.5">
      <c r="A1769" s="2">
        <v>2731391</v>
      </c>
      <c r="B1769" s="2">
        <f>HYPERLINK("https://platform.v2.vetology.net/cases/2731391/screening-report/1?type=pdf&amp;v=v6&amp;scorecard=1&amp;secret_key=BX%25IJ%24%2F65ieZ%29f6", 2731391)</f>
        <v>2731391</v>
      </c>
      <c r="C1769" s="2">
        <f>HYPERLINK("https://platform.v2.vetology.net/report/v/final/"&amp;2731391, 2731391)</f>
        <v>2731391</v>
      </c>
      <c r="D1769" s="2" t="s">
        <v>5744</v>
      </c>
      <c r="E1769" s="2" t="s">
        <v>5745</v>
      </c>
      <c r="F1769" s="2" t="s">
        <v>5746</v>
      </c>
      <c r="G1769" s="2" t="s">
        <v>53</v>
      </c>
      <c r="H1769" s="2" t="s">
        <v>1218</v>
      </c>
      <c r="I1769" s="2" t="s">
        <v>36</v>
      </c>
      <c r="J1769" s="2" t="s">
        <v>37</v>
      </c>
      <c r="K1769" s="2" t="s">
        <v>38</v>
      </c>
      <c r="L1769" s="2" t="s">
        <v>38</v>
      </c>
      <c r="M1769" s="2" t="s">
        <v>38</v>
      </c>
      <c r="N1769" s="2" t="s">
        <v>38</v>
      </c>
      <c r="O1769" s="2" t="s">
        <v>38</v>
      </c>
      <c r="P1769" s="2" t="s">
        <v>39</v>
      </c>
      <c r="Q1769" s="2" t="s">
        <v>39</v>
      </c>
      <c r="R1769" s="2" t="s">
        <v>38</v>
      </c>
      <c r="S1769" s="2" t="s">
        <v>38</v>
      </c>
      <c r="T1769" s="2" t="s">
        <v>39</v>
      </c>
      <c r="U1769" s="2" t="s">
        <v>38</v>
      </c>
      <c r="V1769" s="2" t="s">
        <v>38</v>
      </c>
      <c r="W1769" s="2" t="s">
        <v>38</v>
      </c>
      <c r="X1769" s="2" t="s">
        <v>39</v>
      </c>
      <c r="Y1769" s="2" t="s">
        <v>39</v>
      </c>
      <c r="Z1769" s="2" t="s">
        <v>38</v>
      </c>
      <c r="AA1769" s="2" t="s">
        <v>38</v>
      </c>
      <c r="AB1769" s="2" t="s">
        <v>39</v>
      </c>
      <c r="AC1769" s="2" t="s">
        <v>38</v>
      </c>
      <c r="AD1769" s="2" t="s">
        <v>38</v>
      </c>
      <c r="AE1769" s="2" t="s">
        <v>40</v>
      </c>
    </row>
    <row r="1770" spans="1:31" ht="409.5">
      <c r="A1770" s="2">
        <v>2731385</v>
      </c>
      <c r="B1770" s="2">
        <f>HYPERLINK("https://platform.v2.vetology.net/cases/2731385/screening-report/1?type=pdf&amp;v=v6&amp;scorecard=1&amp;secret_key=BX%25IJ%24%2F65ieZ%29f6", 2731385)</f>
        <v>2731385</v>
      </c>
      <c r="C1770" s="2">
        <f>HYPERLINK("https://platform.v2.vetology.net/report/v/final/"&amp;2731385, 2731385)</f>
        <v>2731385</v>
      </c>
      <c r="D1770" s="2" t="s">
        <v>5747</v>
      </c>
      <c r="E1770" s="2" t="s">
        <v>5748</v>
      </c>
      <c r="F1770" s="2" t="s">
        <v>43</v>
      </c>
      <c r="G1770" s="2" t="s">
        <v>100</v>
      </c>
      <c r="H1770" s="2" t="s">
        <v>45</v>
      </c>
      <c r="I1770" s="2" t="s">
        <v>46</v>
      </c>
      <c r="J1770" s="2"/>
      <c r="K1770" s="2" t="s">
        <v>39</v>
      </c>
      <c r="L1770" s="2" t="s">
        <v>39</v>
      </c>
      <c r="M1770" s="2" t="s">
        <v>39</v>
      </c>
      <c r="N1770" s="2" t="s">
        <v>39</v>
      </c>
      <c r="O1770" s="2" t="s">
        <v>39</v>
      </c>
      <c r="P1770" s="2" t="s">
        <v>39</v>
      </c>
      <c r="Q1770" s="2" t="s">
        <v>39</v>
      </c>
      <c r="R1770" s="2" t="s">
        <v>38</v>
      </c>
      <c r="S1770" s="2" t="s">
        <v>39</v>
      </c>
      <c r="T1770" s="2" t="s">
        <v>39</v>
      </c>
      <c r="U1770" s="2" t="s">
        <v>39</v>
      </c>
      <c r="V1770" s="2" t="s">
        <v>39</v>
      </c>
      <c r="W1770" s="2" t="s">
        <v>39</v>
      </c>
      <c r="X1770" s="2" t="s">
        <v>39</v>
      </c>
      <c r="Y1770" s="2" t="s">
        <v>39</v>
      </c>
      <c r="Z1770" s="2" t="s">
        <v>39</v>
      </c>
      <c r="AA1770" s="2" t="s">
        <v>39</v>
      </c>
      <c r="AB1770" s="2" t="s">
        <v>39</v>
      </c>
      <c r="AC1770" s="2" t="s">
        <v>38</v>
      </c>
      <c r="AD1770" s="2" t="s">
        <v>38</v>
      </c>
      <c r="AE1770" s="2" t="s">
        <v>39</v>
      </c>
    </row>
    <row r="1771" spans="1:31" ht="409.5">
      <c r="A1771" s="2">
        <v>2731377</v>
      </c>
      <c r="B1771" s="2">
        <f>HYPERLINK("https://platform.v2.vetology.net/cases/2731377/screening-report/1?type=pdf&amp;v=v6&amp;scorecard=1&amp;secret_key=BX%25IJ%24%2F65ieZ%29f6", 2731377)</f>
        <v>2731377</v>
      </c>
      <c r="C1771" s="2">
        <f>HYPERLINK("https://platform.v2.vetology.net/report/v/final/"&amp;2731377, 2731377)</f>
        <v>2731377</v>
      </c>
      <c r="D1771" s="2" t="s">
        <v>5749</v>
      </c>
      <c r="E1771" s="2" t="s">
        <v>5750</v>
      </c>
      <c r="F1771" s="2" t="s">
        <v>5751</v>
      </c>
      <c r="G1771" s="2" t="s">
        <v>170</v>
      </c>
      <c r="H1771" s="2" t="s">
        <v>69</v>
      </c>
      <c r="I1771" s="2" t="s">
        <v>46</v>
      </c>
      <c r="J1771" s="2"/>
      <c r="K1771" s="2" t="s">
        <v>39</v>
      </c>
      <c r="L1771" s="2" t="s">
        <v>39</v>
      </c>
      <c r="M1771" s="2" t="s">
        <v>39</v>
      </c>
      <c r="N1771" s="2" t="s">
        <v>39</v>
      </c>
      <c r="O1771" s="2" t="s">
        <v>39</v>
      </c>
      <c r="P1771" s="2" t="s">
        <v>39</v>
      </c>
      <c r="Q1771" s="2" t="s">
        <v>39</v>
      </c>
      <c r="R1771" s="2" t="s">
        <v>39</v>
      </c>
      <c r="S1771" s="2" t="s">
        <v>39</v>
      </c>
      <c r="T1771" s="2" t="s">
        <v>39</v>
      </c>
      <c r="U1771" s="2" t="s">
        <v>39</v>
      </c>
      <c r="V1771" s="2" t="s">
        <v>39</v>
      </c>
      <c r="W1771" s="2" t="s">
        <v>38</v>
      </c>
      <c r="X1771" s="2" t="s">
        <v>39</v>
      </c>
      <c r="Y1771" s="2" t="s">
        <v>39</v>
      </c>
      <c r="Z1771" s="2" t="s">
        <v>39</v>
      </c>
      <c r="AA1771" s="2" t="s">
        <v>39</v>
      </c>
      <c r="AB1771" s="2" t="s">
        <v>39</v>
      </c>
      <c r="AC1771" s="2" t="s">
        <v>38</v>
      </c>
      <c r="AD1771" s="2" t="s">
        <v>38</v>
      </c>
      <c r="AE1771" s="2" t="s">
        <v>39</v>
      </c>
    </row>
    <row r="1772" spans="1:31" ht="409.5">
      <c r="A1772" s="2">
        <v>2731373</v>
      </c>
      <c r="B1772" s="2">
        <f>HYPERLINK("https://platform.v2.vetology.net/cases/2731373/screening-report/1?type=pdf&amp;v=v6&amp;scorecard=1&amp;secret_key=BX%25IJ%24%2F65ieZ%29f6", 2731373)</f>
        <v>2731373</v>
      </c>
      <c r="C1772" s="2">
        <f>HYPERLINK("https://platform.v2.vetology.net/report/v/final/"&amp;2731373, 2731373)</f>
        <v>2731373</v>
      </c>
      <c r="D1772" s="2" t="s">
        <v>5752</v>
      </c>
      <c r="E1772" s="2" t="s">
        <v>5753</v>
      </c>
      <c r="F1772" s="2" t="s">
        <v>5754</v>
      </c>
      <c r="G1772" s="2" t="s">
        <v>111</v>
      </c>
      <c r="H1772" s="2" t="s">
        <v>5755</v>
      </c>
      <c r="I1772" s="2" t="s">
        <v>129</v>
      </c>
      <c r="J1772" s="2" t="s">
        <v>74</v>
      </c>
      <c r="K1772" s="2" t="s">
        <v>39</v>
      </c>
      <c r="L1772" s="2" t="s">
        <v>38</v>
      </c>
      <c r="M1772" s="2" t="s">
        <v>38</v>
      </c>
      <c r="N1772" s="2" t="s">
        <v>38</v>
      </c>
      <c r="O1772" s="2" t="s">
        <v>38</v>
      </c>
      <c r="P1772" s="2" t="s">
        <v>38</v>
      </c>
      <c r="Q1772" s="2" t="s">
        <v>38</v>
      </c>
      <c r="R1772" s="2" t="s">
        <v>39</v>
      </c>
      <c r="S1772" s="2" t="s">
        <v>38</v>
      </c>
      <c r="T1772" s="2" t="s">
        <v>38</v>
      </c>
      <c r="U1772" s="2" t="s">
        <v>39</v>
      </c>
      <c r="V1772" s="2" t="s">
        <v>39</v>
      </c>
      <c r="W1772" s="2" t="s">
        <v>38</v>
      </c>
      <c r="X1772" s="2" t="s">
        <v>38</v>
      </c>
      <c r="Y1772" s="2" t="s">
        <v>38</v>
      </c>
      <c r="Z1772" s="2" t="s">
        <v>39</v>
      </c>
      <c r="AA1772" s="2" t="s">
        <v>38</v>
      </c>
      <c r="AB1772" s="2" t="s">
        <v>38</v>
      </c>
      <c r="AC1772" s="2" t="s">
        <v>38</v>
      </c>
      <c r="AD1772" s="2" t="s">
        <v>39</v>
      </c>
      <c r="AE1772" s="2" t="s">
        <v>40</v>
      </c>
    </row>
    <row r="1773" spans="1:31" ht="409.5">
      <c r="A1773" s="2">
        <v>2731305</v>
      </c>
      <c r="B1773" s="2">
        <f>HYPERLINK("https://platform.v2.vetology.net/cases/2731305/screening-report/1?type=pdf&amp;v=v6&amp;scorecard=1&amp;secret_key=BX%25IJ%24%2F65ieZ%29f6", 2731305)</f>
        <v>2731305</v>
      </c>
      <c r="C1773" s="2">
        <f>HYPERLINK("https://platform.v2.vetology.net/report/v/final/"&amp;2731305, 2731305)</f>
        <v>2731305</v>
      </c>
      <c r="D1773" s="2" t="s">
        <v>5756</v>
      </c>
      <c r="E1773" s="2" t="s">
        <v>5757</v>
      </c>
      <c r="F1773" s="2" t="s">
        <v>5758</v>
      </c>
      <c r="G1773" s="2" t="s">
        <v>251</v>
      </c>
      <c r="H1773" s="2" t="s">
        <v>398</v>
      </c>
      <c r="I1773" s="2" t="s">
        <v>46</v>
      </c>
      <c r="J1773" s="2"/>
      <c r="K1773" s="2" t="s">
        <v>38</v>
      </c>
      <c r="L1773" s="2" t="s">
        <v>39</v>
      </c>
      <c r="M1773" s="2" t="s">
        <v>39</v>
      </c>
      <c r="N1773" s="2" t="s">
        <v>39</v>
      </c>
      <c r="O1773" s="2" t="s">
        <v>39</v>
      </c>
      <c r="P1773" s="2" t="s">
        <v>39</v>
      </c>
      <c r="Q1773" s="2" t="s">
        <v>39</v>
      </c>
      <c r="R1773" s="2" t="s">
        <v>39</v>
      </c>
      <c r="S1773" s="2" t="s">
        <v>39</v>
      </c>
      <c r="T1773" s="2" t="s">
        <v>39</v>
      </c>
      <c r="U1773" s="2" t="s">
        <v>39</v>
      </c>
      <c r="V1773" s="2" t="s">
        <v>39</v>
      </c>
      <c r="W1773" s="2" t="s">
        <v>39</v>
      </c>
      <c r="X1773" s="2" t="s">
        <v>39</v>
      </c>
      <c r="Y1773" s="2" t="s">
        <v>39</v>
      </c>
      <c r="Z1773" s="2" t="s">
        <v>39</v>
      </c>
      <c r="AA1773" s="2" t="s">
        <v>39</v>
      </c>
      <c r="AB1773" s="2" t="s">
        <v>39</v>
      </c>
      <c r="AC1773" s="2" t="s">
        <v>39</v>
      </c>
      <c r="AD1773" s="2" t="s">
        <v>39</v>
      </c>
      <c r="AE1773" s="2" t="s">
        <v>39</v>
      </c>
    </row>
    <row r="1774" spans="1:31" ht="409.5">
      <c r="A1774" s="2">
        <v>2731244</v>
      </c>
      <c r="B1774" s="2">
        <f>HYPERLINK("https://platform.v2.vetology.net/cases/2731244/screening-report/1?type=pdf&amp;v=v6&amp;scorecard=1&amp;secret_key=BX%25IJ%24%2F65ieZ%29f6", 2731244)</f>
        <v>2731244</v>
      </c>
      <c r="C1774" s="2">
        <f>HYPERLINK("https://platform.v2.vetology.net/report/v/final/"&amp;2731244, 2731244)</f>
        <v>2731244</v>
      </c>
      <c r="D1774" s="2" t="s">
        <v>5759</v>
      </c>
      <c r="E1774" s="2" t="s">
        <v>5760</v>
      </c>
      <c r="F1774" s="2" t="s">
        <v>43</v>
      </c>
      <c r="G1774" s="2" t="s">
        <v>44</v>
      </c>
      <c r="H1774" s="2" t="s">
        <v>808</v>
      </c>
      <c r="I1774" s="2" t="s">
        <v>73</v>
      </c>
      <c r="J1774" s="2" t="s">
        <v>74</v>
      </c>
      <c r="K1774" s="2" t="s">
        <v>38</v>
      </c>
      <c r="L1774" s="2" t="s">
        <v>38</v>
      </c>
      <c r="M1774" s="2" t="s">
        <v>38</v>
      </c>
      <c r="N1774" s="2" t="s">
        <v>38</v>
      </c>
      <c r="O1774" s="2" t="s">
        <v>38</v>
      </c>
      <c r="P1774" s="2" t="s">
        <v>38</v>
      </c>
      <c r="Q1774" s="2" t="s">
        <v>38</v>
      </c>
      <c r="R1774" s="2" t="s">
        <v>38</v>
      </c>
      <c r="S1774" s="2" t="s">
        <v>38</v>
      </c>
      <c r="T1774" s="2" t="s">
        <v>38</v>
      </c>
      <c r="U1774" s="2" t="s">
        <v>38</v>
      </c>
      <c r="V1774" s="2" t="s">
        <v>38</v>
      </c>
      <c r="W1774" s="2" t="s">
        <v>38</v>
      </c>
      <c r="X1774" s="2" t="s">
        <v>38</v>
      </c>
      <c r="Y1774" s="2" t="s">
        <v>38</v>
      </c>
      <c r="Z1774" s="2" t="s">
        <v>38</v>
      </c>
      <c r="AA1774" s="2" t="s">
        <v>38</v>
      </c>
      <c r="AB1774" s="2" t="s">
        <v>38</v>
      </c>
      <c r="AC1774" s="2" t="s">
        <v>38</v>
      </c>
      <c r="AD1774" s="2" t="s">
        <v>38</v>
      </c>
      <c r="AE1774" s="2" t="s">
        <v>39</v>
      </c>
    </row>
    <row r="1775" spans="1:31" ht="409.5">
      <c r="A1775" s="2">
        <v>2731237</v>
      </c>
      <c r="B1775" s="2">
        <f>HYPERLINK("https://platform.v2.vetology.net/cases/2731237/screening-report/1?type=pdf&amp;v=v6&amp;scorecard=1&amp;secret_key=BX%25IJ%24%2F65ieZ%29f6", 2731237)</f>
        <v>2731237</v>
      </c>
      <c r="C1775" s="2">
        <f>HYPERLINK("https://platform.v2.vetology.net/report/v/final/"&amp;2731237, 2731237)</f>
        <v>2731237</v>
      </c>
      <c r="D1775" s="2" t="s">
        <v>5761</v>
      </c>
      <c r="E1775" s="2" t="s">
        <v>5762</v>
      </c>
      <c r="F1775" s="2" t="s">
        <v>43</v>
      </c>
      <c r="G1775" s="2" t="s">
        <v>100</v>
      </c>
      <c r="H1775" s="2" t="s">
        <v>5763</v>
      </c>
      <c r="I1775" s="2" t="s">
        <v>129</v>
      </c>
      <c r="J1775" s="2" t="s">
        <v>74</v>
      </c>
      <c r="K1775" s="2" t="s">
        <v>39</v>
      </c>
      <c r="L1775" s="2" t="s">
        <v>38</v>
      </c>
      <c r="M1775" s="2" t="s">
        <v>39</v>
      </c>
      <c r="N1775" s="2" t="s">
        <v>39</v>
      </c>
      <c r="O1775" s="2" t="s">
        <v>38</v>
      </c>
      <c r="P1775" s="2" t="s">
        <v>38</v>
      </c>
      <c r="Q1775" s="2" t="s">
        <v>38</v>
      </c>
      <c r="R1775" s="2" t="s">
        <v>39</v>
      </c>
      <c r="S1775" s="2" t="s">
        <v>39</v>
      </c>
      <c r="T1775" s="2" t="s">
        <v>38</v>
      </c>
      <c r="U1775" s="2" t="s">
        <v>39</v>
      </c>
      <c r="V1775" s="2" t="s">
        <v>39</v>
      </c>
      <c r="W1775" s="2" t="s">
        <v>39</v>
      </c>
      <c r="X1775" s="2" t="s">
        <v>38</v>
      </c>
      <c r="Y1775" s="2" t="s">
        <v>39</v>
      </c>
      <c r="Z1775" s="2" t="s">
        <v>39</v>
      </c>
      <c r="AA1775" s="2" t="s">
        <v>39</v>
      </c>
      <c r="AB1775" s="2" t="s">
        <v>38</v>
      </c>
      <c r="AC1775" s="2" t="s">
        <v>38</v>
      </c>
      <c r="AD1775" s="2" t="s">
        <v>39</v>
      </c>
      <c r="AE1775" s="2" t="s">
        <v>40</v>
      </c>
    </row>
    <row r="1776" spans="1:31" ht="409.5">
      <c r="A1776" s="2">
        <v>2731225</v>
      </c>
      <c r="B1776" s="2">
        <f>HYPERLINK("https://platform.v2.vetology.net/cases/2731225/screening-report/1?type=pdf&amp;v=v6&amp;scorecard=1&amp;secret_key=BX%25IJ%24%2F65ieZ%29f6", 2731225)</f>
        <v>2731225</v>
      </c>
      <c r="C1776" s="2">
        <f>HYPERLINK("https://platform.v2.vetology.net/report/v/final/"&amp;2731225, 2731225)</f>
        <v>2731225</v>
      </c>
      <c r="D1776" s="2" t="s">
        <v>5764</v>
      </c>
      <c r="E1776" s="2" t="s">
        <v>5765</v>
      </c>
      <c r="F1776" s="2" t="s">
        <v>5766</v>
      </c>
      <c r="G1776" s="2" t="s">
        <v>100</v>
      </c>
      <c r="H1776" s="2" t="s">
        <v>5767</v>
      </c>
      <c r="I1776" s="2" t="s">
        <v>36</v>
      </c>
      <c r="J1776" s="2" t="s">
        <v>37</v>
      </c>
      <c r="K1776" s="2" t="s">
        <v>38</v>
      </c>
      <c r="L1776" s="2" t="s">
        <v>38</v>
      </c>
      <c r="M1776" s="2" t="s">
        <v>38</v>
      </c>
      <c r="N1776" s="2" t="s">
        <v>38</v>
      </c>
      <c r="O1776" s="2" t="s">
        <v>38</v>
      </c>
      <c r="P1776" s="2" t="s">
        <v>38</v>
      </c>
      <c r="Q1776" s="2" t="s">
        <v>39</v>
      </c>
      <c r="R1776" s="2" t="s">
        <v>39</v>
      </c>
      <c r="S1776" s="2" t="s">
        <v>38</v>
      </c>
      <c r="T1776" s="2" t="s">
        <v>39</v>
      </c>
      <c r="U1776" s="2" t="s">
        <v>39</v>
      </c>
      <c r="V1776" s="2" t="s">
        <v>39</v>
      </c>
      <c r="W1776" s="2" t="s">
        <v>39</v>
      </c>
      <c r="X1776" s="2" t="s">
        <v>39</v>
      </c>
      <c r="Y1776" s="2" t="s">
        <v>39</v>
      </c>
      <c r="Z1776" s="2" t="s">
        <v>38</v>
      </c>
      <c r="AA1776" s="2" t="s">
        <v>39</v>
      </c>
      <c r="AB1776" s="2" t="s">
        <v>39</v>
      </c>
      <c r="AC1776" s="2" t="s">
        <v>38</v>
      </c>
      <c r="AD1776" s="2" t="s">
        <v>38</v>
      </c>
      <c r="AE1776" s="2" t="s">
        <v>39</v>
      </c>
    </row>
    <row r="1777" spans="1:31" ht="409.5">
      <c r="A1777" s="2">
        <v>2731222</v>
      </c>
      <c r="B1777" s="2">
        <f>HYPERLINK("https://platform.v2.vetology.net/cases/2731222/screening-report/1?type=pdf&amp;v=v6&amp;scorecard=1&amp;secret_key=BX%25IJ%24%2F65ieZ%29f6", 2731222)</f>
        <v>2731222</v>
      </c>
      <c r="C1777" s="2">
        <f>HYPERLINK("https://platform.v2.vetology.net/report/v/final/"&amp;2731222, 2731222)</f>
        <v>2731222</v>
      </c>
      <c r="D1777" s="2" t="s">
        <v>5768</v>
      </c>
      <c r="E1777" s="2" t="s">
        <v>5769</v>
      </c>
      <c r="F1777" s="2" t="s">
        <v>5770</v>
      </c>
      <c r="G1777" s="2" t="s">
        <v>111</v>
      </c>
      <c r="H1777" s="2" t="s">
        <v>5771</v>
      </c>
      <c r="I1777" s="2" t="s">
        <v>73</v>
      </c>
      <c r="J1777" s="2" t="s">
        <v>74</v>
      </c>
      <c r="K1777" s="2" t="s">
        <v>38</v>
      </c>
      <c r="L1777" s="2" t="s">
        <v>38</v>
      </c>
      <c r="M1777" s="2" t="s">
        <v>38</v>
      </c>
      <c r="N1777" s="2" t="s">
        <v>38</v>
      </c>
      <c r="O1777" s="2" t="s">
        <v>38</v>
      </c>
      <c r="P1777" s="2" t="s">
        <v>38</v>
      </c>
      <c r="Q1777" s="2" t="s">
        <v>38</v>
      </c>
      <c r="R1777" s="2" t="s">
        <v>38</v>
      </c>
      <c r="S1777" s="2" t="s">
        <v>38</v>
      </c>
      <c r="T1777" s="2" t="s">
        <v>38</v>
      </c>
      <c r="U1777" s="2" t="s">
        <v>38</v>
      </c>
      <c r="V1777" s="2" t="s">
        <v>38</v>
      </c>
      <c r="W1777" s="2" t="s">
        <v>38</v>
      </c>
      <c r="X1777" s="2" t="s">
        <v>38</v>
      </c>
      <c r="Y1777" s="2" t="s">
        <v>39</v>
      </c>
      <c r="Z1777" s="2" t="s">
        <v>38</v>
      </c>
      <c r="AA1777" s="2" t="s">
        <v>38</v>
      </c>
      <c r="AB1777" s="2" t="s">
        <v>38</v>
      </c>
      <c r="AC1777" s="2" t="s">
        <v>38</v>
      </c>
      <c r="AD1777" s="2" t="s">
        <v>38</v>
      </c>
      <c r="AE1777" s="2" t="s">
        <v>40</v>
      </c>
    </row>
    <row r="1778" spans="1:31" ht="409.5">
      <c r="A1778" s="2">
        <v>2731205</v>
      </c>
      <c r="B1778" s="2">
        <f>HYPERLINK("https://platform.v2.vetology.net/cases/2731205/screening-report/1?type=pdf&amp;v=v6&amp;scorecard=1&amp;secret_key=BX%25IJ%24%2F65ieZ%29f6", 2731205)</f>
        <v>2731205</v>
      </c>
      <c r="C1778" s="2">
        <f>HYPERLINK("https://platform.v2.vetology.net/report/v/final/"&amp;2731205, 2731205)</f>
        <v>2731205</v>
      </c>
      <c r="D1778" s="2" t="s">
        <v>5772</v>
      </c>
      <c r="E1778" s="2" t="s">
        <v>5773</v>
      </c>
      <c r="F1778" s="2" t="s">
        <v>5774</v>
      </c>
      <c r="G1778" s="2" t="s">
        <v>111</v>
      </c>
      <c r="H1778" s="2" t="s">
        <v>5775</v>
      </c>
      <c r="I1778" s="2" t="s">
        <v>36</v>
      </c>
      <c r="J1778" s="2" t="s">
        <v>37</v>
      </c>
      <c r="K1778" s="2" t="s">
        <v>38</v>
      </c>
      <c r="L1778" s="2" t="s">
        <v>38</v>
      </c>
      <c r="M1778" s="2" t="s">
        <v>38</v>
      </c>
      <c r="N1778" s="2" t="s">
        <v>38</v>
      </c>
      <c r="O1778" s="2" t="s">
        <v>38</v>
      </c>
      <c r="P1778" s="2" t="s">
        <v>38</v>
      </c>
      <c r="Q1778" s="2" t="s">
        <v>39</v>
      </c>
      <c r="R1778" s="2" t="s">
        <v>39</v>
      </c>
      <c r="S1778" s="2" t="s">
        <v>39</v>
      </c>
      <c r="T1778" s="2" t="s">
        <v>38</v>
      </c>
      <c r="U1778" s="2" t="s">
        <v>39</v>
      </c>
      <c r="V1778" s="2" t="s">
        <v>38</v>
      </c>
      <c r="W1778" s="2" t="s">
        <v>38</v>
      </c>
      <c r="X1778" s="2" t="s">
        <v>38</v>
      </c>
      <c r="Y1778" s="2" t="s">
        <v>38</v>
      </c>
      <c r="Z1778" s="2" t="s">
        <v>39</v>
      </c>
      <c r="AA1778" s="2" t="s">
        <v>39</v>
      </c>
      <c r="AB1778" s="2" t="s">
        <v>38</v>
      </c>
      <c r="AC1778" s="2" t="s">
        <v>38</v>
      </c>
      <c r="AD1778" s="2" t="s">
        <v>38</v>
      </c>
      <c r="AE1778" s="2" t="s">
        <v>40</v>
      </c>
    </row>
    <row r="1779" spans="1:31" ht="409.5">
      <c r="A1779" s="2">
        <v>2731201</v>
      </c>
      <c r="B1779" s="2">
        <f>HYPERLINK("https://platform.v2.vetology.net/cases/2731201/screening-report/1?type=pdf&amp;v=v6&amp;scorecard=1&amp;secret_key=BX%25IJ%24%2F65ieZ%29f6", 2731201)</f>
        <v>2731201</v>
      </c>
      <c r="C1779" s="2">
        <f>HYPERLINK("https://platform.v2.vetology.net/report/v/final/"&amp;2731201, 2731201)</f>
        <v>2731201</v>
      </c>
      <c r="D1779" s="2" t="s">
        <v>5776</v>
      </c>
      <c r="E1779" s="2" t="s">
        <v>5777</v>
      </c>
      <c r="F1779" s="2"/>
      <c r="G1779" s="2" t="s">
        <v>81</v>
      </c>
      <c r="H1779" s="2" t="s">
        <v>5778</v>
      </c>
      <c r="I1779" s="2" t="s">
        <v>59</v>
      </c>
      <c r="J1779" s="2" t="s">
        <v>37</v>
      </c>
      <c r="K1779" s="2" t="s">
        <v>39</v>
      </c>
      <c r="L1779" s="2" t="s">
        <v>39</v>
      </c>
      <c r="M1779" s="2" t="s">
        <v>39</v>
      </c>
      <c r="N1779" s="2" t="s">
        <v>39</v>
      </c>
      <c r="O1779" s="2" t="s">
        <v>39</v>
      </c>
      <c r="P1779" s="2" t="s">
        <v>39</v>
      </c>
      <c r="Q1779" s="2" t="s">
        <v>39</v>
      </c>
      <c r="R1779" s="2" t="s">
        <v>39</v>
      </c>
      <c r="S1779" s="2" t="s">
        <v>38</v>
      </c>
      <c r="T1779" s="2" t="s">
        <v>39</v>
      </c>
      <c r="U1779" s="2" t="s">
        <v>39</v>
      </c>
      <c r="V1779" s="2" t="s">
        <v>39</v>
      </c>
      <c r="W1779" s="2" t="s">
        <v>39</v>
      </c>
      <c r="X1779" s="2" t="s">
        <v>39</v>
      </c>
      <c r="Y1779" s="2" t="s">
        <v>39</v>
      </c>
      <c r="Z1779" s="2" t="s">
        <v>38</v>
      </c>
      <c r="AA1779" s="2" t="s">
        <v>38</v>
      </c>
      <c r="AB1779" s="2" t="s">
        <v>39</v>
      </c>
      <c r="AC1779" s="2" t="s">
        <v>38</v>
      </c>
      <c r="AD1779" s="2" t="s">
        <v>38</v>
      </c>
      <c r="AE1779" s="2"/>
    </row>
    <row r="1780" spans="1:31" ht="409.5">
      <c r="A1780" s="2">
        <v>2731178</v>
      </c>
      <c r="B1780" s="2">
        <f>HYPERLINK("https://platform.v2.vetology.net/cases/2731178/screening-report/1?type=pdf&amp;v=v6&amp;scorecard=1&amp;secret_key=BX%25IJ%24%2F65ieZ%29f6", 2731178)</f>
        <v>2731178</v>
      </c>
      <c r="C1780" s="2">
        <f>HYPERLINK("https://platform.v2.vetology.net/report/v/final/"&amp;2731178, 2731178)</f>
        <v>2731178</v>
      </c>
      <c r="D1780" s="2" t="s">
        <v>5779</v>
      </c>
      <c r="E1780" s="2" t="s">
        <v>5780</v>
      </c>
      <c r="F1780" s="2" t="s">
        <v>5781</v>
      </c>
      <c r="G1780" s="2" t="s">
        <v>53</v>
      </c>
      <c r="H1780" s="2" t="s">
        <v>69</v>
      </c>
      <c r="I1780" s="2" t="s">
        <v>46</v>
      </c>
      <c r="J1780" s="2"/>
      <c r="K1780" s="2" t="s">
        <v>39</v>
      </c>
      <c r="L1780" s="2" t="s">
        <v>39</v>
      </c>
      <c r="M1780" s="2" t="s">
        <v>39</v>
      </c>
      <c r="N1780" s="2" t="s">
        <v>39</v>
      </c>
      <c r="O1780" s="2" t="s">
        <v>39</v>
      </c>
      <c r="P1780" s="2" t="s">
        <v>39</v>
      </c>
      <c r="Q1780" s="2" t="s">
        <v>39</v>
      </c>
      <c r="R1780" s="2" t="s">
        <v>39</v>
      </c>
      <c r="S1780" s="2" t="s">
        <v>39</v>
      </c>
      <c r="T1780" s="2" t="s">
        <v>39</v>
      </c>
      <c r="U1780" s="2" t="s">
        <v>39</v>
      </c>
      <c r="V1780" s="2" t="s">
        <v>39</v>
      </c>
      <c r="W1780" s="2" t="s">
        <v>39</v>
      </c>
      <c r="X1780" s="2" t="s">
        <v>39</v>
      </c>
      <c r="Y1780" s="2" t="s">
        <v>39</v>
      </c>
      <c r="Z1780" s="2" t="s">
        <v>39</v>
      </c>
      <c r="AA1780" s="2" t="s">
        <v>39</v>
      </c>
      <c r="AB1780" s="2" t="s">
        <v>39</v>
      </c>
      <c r="AC1780" s="2" t="s">
        <v>39</v>
      </c>
      <c r="AD1780" s="2" t="s">
        <v>39</v>
      </c>
      <c r="AE1780" s="2" t="s">
        <v>40</v>
      </c>
    </row>
    <row r="1781" spans="1:31" ht="409.5">
      <c r="A1781" s="2">
        <v>2731148</v>
      </c>
      <c r="B1781" s="2">
        <f>HYPERLINK("https://platform.v2.vetology.net/cases/2731148/screening-report/1?type=pdf&amp;v=v6&amp;scorecard=1&amp;secret_key=BX%25IJ%24%2F65ieZ%29f6", 2731148)</f>
        <v>2731148</v>
      </c>
      <c r="C1781" s="2">
        <f>HYPERLINK("https://platform.v2.vetology.net/report/v/final/"&amp;2731148, 2731148)</f>
        <v>2731148</v>
      </c>
      <c r="D1781" s="2" t="s">
        <v>5782</v>
      </c>
      <c r="E1781" s="2" t="s">
        <v>5783</v>
      </c>
      <c r="F1781" s="2" t="s">
        <v>5784</v>
      </c>
      <c r="G1781" s="2" t="s">
        <v>127</v>
      </c>
      <c r="H1781" s="2" t="s">
        <v>5785</v>
      </c>
      <c r="I1781" s="2" t="s">
        <v>73</v>
      </c>
      <c r="J1781" s="2" t="s">
        <v>74</v>
      </c>
      <c r="K1781" s="2" t="s">
        <v>38</v>
      </c>
      <c r="L1781" s="2" t="s">
        <v>38</v>
      </c>
      <c r="M1781" s="2" t="s">
        <v>38</v>
      </c>
      <c r="N1781" s="2" t="s">
        <v>38</v>
      </c>
      <c r="O1781" s="2" t="s">
        <v>38</v>
      </c>
      <c r="P1781" s="2" t="s">
        <v>38</v>
      </c>
      <c r="Q1781" s="2" t="s">
        <v>38</v>
      </c>
      <c r="R1781" s="2" t="s">
        <v>38</v>
      </c>
      <c r="S1781" s="2" t="s">
        <v>38</v>
      </c>
      <c r="T1781" s="2" t="s">
        <v>38</v>
      </c>
      <c r="U1781" s="2" t="s">
        <v>38</v>
      </c>
      <c r="V1781" s="2" t="s">
        <v>38</v>
      </c>
      <c r="W1781" s="2" t="s">
        <v>38</v>
      </c>
      <c r="X1781" s="2" t="s">
        <v>38</v>
      </c>
      <c r="Y1781" s="2" t="s">
        <v>38</v>
      </c>
      <c r="Z1781" s="2" t="s">
        <v>38</v>
      </c>
      <c r="AA1781" s="2" t="s">
        <v>38</v>
      </c>
      <c r="AB1781" s="2" t="s">
        <v>38</v>
      </c>
      <c r="AC1781" s="2" t="s">
        <v>38</v>
      </c>
      <c r="AD1781" s="2" t="s">
        <v>38</v>
      </c>
      <c r="AE1781" s="2" t="s">
        <v>40</v>
      </c>
    </row>
    <row r="1782" spans="1:31" ht="409.5">
      <c r="A1782" s="2">
        <v>2731141</v>
      </c>
      <c r="B1782" s="2">
        <f>HYPERLINK("https://platform.v2.vetology.net/cases/2731141/screening-report/1?type=pdf&amp;v=v6&amp;scorecard=1&amp;secret_key=BX%25IJ%24%2F65ieZ%29f6", 2731141)</f>
        <v>2731141</v>
      </c>
      <c r="C1782" s="2">
        <f>HYPERLINK("https://platform.v2.vetology.net/report/v/final/"&amp;2731141, 2731141)</f>
        <v>2731141</v>
      </c>
      <c r="D1782" s="2" t="s">
        <v>5786</v>
      </c>
      <c r="E1782" s="2" t="s">
        <v>5787</v>
      </c>
      <c r="F1782" s="2" t="s">
        <v>5788</v>
      </c>
      <c r="G1782" s="2" t="s">
        <v>170</v>
      </c>
      <c r="H1782" s="2" t="s">
        <v>273</v>
      </c>
      <c r="I1782" s="2" t="s">
        <v>46</v>
      </c>
      <c r="J1782" s="2"/>
      <c r="K1782" s="2" t="s">
        <v>39</v>
      </c>
      <c r="L1782" s="2" t="s">
        <v>39</v>
      </c>
      <c r="M1782" s="2" t="s">
        <v>39</v>
      </c>
      <c r="N1782" s="2" t="s">
        <v>39</v>
      </c>
      <c r="O1782" s="2" t="s">
        <v>39</v>
      </c>
      <c r="P1782" s="2" t="s">
        <v>39</v>
      </c>
      <c r="Q1782" s="2" t="s">
        <v>39</v>
      </c>
      <c r="R1782" s="2" t="s">
        <v>39</v>
      </c>
      <c r="S1782" s="2" t="s">
        <v>38</v>
      </c>
      <c r="T1782" s="2" t="s">
        <v>38</v>
      </c>
      <c r="U1782" s="2" t="s">
        <v>39</v>
      </c>
      <c r="V1782" s="2" t="s">
        <v>39</v>
      </c>
      <c r="W1782" s="2" t="s">
        <v>38</v>
      </c>
      <c r="X1782" s="2" t="s">
        <v>39</v>
      </c>
      <c r="Y1782" s="2" t="s">
        <v>39</v>
      </c>
      <c r="Z1782" s="2" t="s">
        <v>39</v>
      </c>
      <c r="AA1782" s="2" t="s">
        <v>38</v>
      </c>
      <c r="AB1782" s="2" t="s">
        <v>39</v>
      </c>
      <c r="AC1782" s="2" t="s">
        <v>38</v>
      </c>
      <c r="AD1782" s="2" t="s">
        <v>38</v>
      </c>
      <c r="AE1782" s="2" t="s">
        <v>39</v>
      </c>
    </row>
    <row r="1783" spans="1:31" ht="409.5">
      <c r="A1783" s="2">
        <v>2731136</v>
      </c>
      <c r="B1783" s="2">
        <f>HYPERLINK("https://platform.v2.vetology.net/cases/2731136/screening-report/1?type=pdf&amp;v=v6&amp;scorecard=1&amp;secret_key=BX%25IJ%24%2F65ieZ%29f6", 2731136)</f>
        <v>2731136</v>
      </c>
      <c r="C1783" s="2">
        <f>HYPERLINK("https://platform.v2.vetology.net/report/v/final/"&amp;2731136, 2731136)</f>
        <v>2731136</v>
      </c>
      <c r="D1783" s="2" t="s">
        <v>5789</v>
      </c>
      <c r="E1783" s="2" t="s">
        <v>5790</v>
      </c>
      <c r="F1783" s="2"/>
      <c r="G1783" s="2" t="s">
        <v>100</v>
      </c>
      <c r="H1783" s="2" t="s">
        <v>394</v>
      </c>
      <c r="I1783" s="2" t="s">
        <v>59</v>
      </c>
      <c r="J1783" s="2" t="s">
        <v>37</v>
      </c>
      <c r="K1783" s="2" t="s">
        <v>38</v>
      </c>
      <c r="L1783" s="2" t="s">
        <v>39</v>
      </c>
      <c r="M1783" s="2" t="s">
        <v>39</v>
      </c>
      <c r="N1783" s="2" t="s">
        <v>39</v>
      </c>
      <c r="O1783" s="2" t="s">
        <v>39</v>
      </c>
      <c r="P1783" s="2" t="s">
        <v>39</v>
      </c>
      <c r="Q1783" s="2" t="s">
        <v>39</v>
      </c>
      <c r="R1783" s="2" t="s">
        <v>39</v>
      </c>
      <c r="S1783" s="2" t="s">
        <v>39</v>
      </c>
      <c r="T1783" s="2" t="s">
        <v>39</v>
      </c>
      <c r="U1783" s="2" t="s">
        <v>38</v>
      </c>
      <c r="V1783" s="2" t="s">
        <v>38</v>
      </c>
      <c r="W1783" s="2" t="s">
        <v>39</v>
      </c>
      <c r="X1783" s="2" t="s">
        <v>39</v>
      </c>
      <c r="Y1783" s="2" t="s">
        <v>39</v>
      </c>
      <c r="Z1783" s="2" t="s">
        <v>39</v>
      </c>
      <c r="AA1783" s="2" t="s">
        <v>39</v>
      </c>
      <c r="AB1783" s="2" t="s">
        <v>39</v>
      </c>
      <c r="AC1783" s="2" t="s">
        <v>39</v>
      </c>
      <c r="AD1783" s="2" t="s">
        <v>39</v>
      </c>
      <c r="AE1783" s="2" t="s">
        <v>40</v>
      </c>
    </row>
    <row r="1784" spans="1:31" ht="409.5">
      <c r="A1784" s="2">
        <v>2731122</v>
      </c>
      <c r="B1784" s="2">
        <f>HYPERLINK("https://platform.v2.vetology.net/cases/2731122/screening-report/1?type=pdf&amp;v=v6&amp;scorecard=1&amp;secret_key=BX%25IJ%24%2F65ieZ%29f6", 2731122)</f>
        <v>2731122</v>
      </c>
      <c r="C1784" s="2">
        <f>HYPERLINK("https://platform.v2.vetology.net/report/v/final/"&amp;2731122, 2731122)</f>
        <v>2731122</v>
      </c>
      <c r="D1784" s="2" t="s">
        <v>5791</v>
      </c>
      <c r="E1784" s="2" t="s">
        <v>5792</v>
      </c>
      <c r="F1784" s="2" t="s">
        <v>5793</v>
      </c>
      <c r="G1784" s="2" t="s">
        <v>170</v>
      </c>
      <c r="H1784" s="2" t="s">
        <v>5794</v>
      </c>
      <c r="I1784" s="2" t="s">
        <v>129</v>
      </c>
      <c r="J1784" s="2" t="s">
        <v>74</v>
      </c>
      <c r="K1784" s="2" t="s">
        <v>39</v>
      </c>
      <c r="L1784" s="2" t="s">
        <v>38</v>
      </c>
      <c r="M1784" s="2" t="s">
        <v>39</v>
      </c>
      <c r="N1784" s="2" t="s">
        <v>38</v>
      </c>
      <c r="O1784" s="2" t="s">
        <v>38</v>
      </c>
      <c r="P1784" s="2" t="s">
        <v>38</v>
      </c>
      <c r="Q1784" s="2" t="s">
        <v>38</v>
      </c>
      <c r="R1784" s="2" t="s">
        <v>39</v>
      </c>
      <c r="S1784" s="2" t="s">
        <v>39</v>
      </c>
      <c r="T1784" s="2" t="s">
        <v>39</v>
      </c>
      <c r="U1784" s="2" t="s">
        <v>38</v>
      </c>
      <c r="V1784" s="2" t="s">
        <v>38</v>
      </c>
      <c r="W1784" s="2" t="s">
        <v>38</v>
      </c>
      <c r="X1784" s="2" t="s">
        <v>39</v>
      </c>
      <c r="Y1784" s="2" t="s">
        <v>39</v>
      </c>
      <c r="Z1784" s="2" t="s">
        <v>38</v>
      </c>
      <c r="AA1784" s="2" t="s">
        <v>38</v>
      </c>
      <c r="AB1784" s="2" t="s">
        <v>39</v>
      </c>
      <c r="AC1784" s="2" t="s">
        <v>39</v>
      </c>
      <c r="AD1784" s="2" t="s">
        <v>39</v>
      </c>
      <c r="AE1784" s="2"/>
    </row>
    <row r="1785" spans="1:31" ht="409.5">
      <c r="A1785" s="2">
        <v>2731093</v>
      </c>
      <c r="B1785" s="2">
        <f>HYPERLINK("https://platform.v2.vetology.net/cases/2731093/screening-report/1?type=pdf&amp;v=v6&amp;scorecard=1&amp;secret_key=BX%25IJ%24%2F65ieZ%29f6", 2731093)</f>
        <v>2731093</v>
      </c>
      <c r="C1785" s="2">
        <f>HYPERLINK("https://platform.v2.vetology.net/report/v/final/"&amp;2731093, 2731093)</f>
        <v>2731093</v>
      </c>
      <c r="D1785" s="2" t="s">
        <v>2629</v>
      </c>
      <c r="E1785" s="2" t="s">
        <v>118</v>
      </c>
      <c r="F1785" s="2" t="s">
        <v>5795</v>
      </c>
      <c r="G1785" s="2" t="s">
        <v>111</v>
      </c>
      <c r="H1785" s="2" t="s">
        <v>182</v>
      </c>
      <c r="I1785" s="2" t="s">
        <v>46</v>
      </c>
      <c r="J1785" s="2"/>
      <c r="K1785" s="2" t="s">
        <v>38</v>
      </c>
      <c r="L1785" s="2" t="s">
        <v>39</v>
      </c>
      <c r="M1785" s="2" t="s">
        <v>39</v>
      </c>
      <c r="N1785" s="2" t="s">
        <v>39</v>
      </c>
      <c r="O1785" s="2" t="s">
        <v>39</v>
      </c>
      <c r="P1785" s="2" t="s">
        <v>39</v>
      </c>
      <c r="Q1785" s="2" t="s">
        <v>39</v>
      </c>
      <c r="R1785" s="2" t="s">
        <v>38</v>
      </c>
      <c r="S1785" s="2" t="s">
        <v>39</v>
      </c>
      <c r="T1785" s="2" t="s">
        <v>39</v>
      </c>
      <c r="U1785" s="2" t="s">
        <v>39</v>
      </c>
      <c r="V1785" s="2" t="s">
        <v>38</v>
      </c>
      <c r="W1785" s="2" t="s">
        <v>38</v>
      </c>
      <c r="X1785" s="2" t="s">
        <v>39</v>
      </c>
      <c r="Y1785" s="2" t="s">
        <v>38</v>
      </c>
      <c r="Z1785" s="2" t="s">
        <v>39</v>
      </c>
      <c r="AA1785" s="2" t="s">
        <v>38</v>
      </c>
      <c r="AB1785" s="2" t="s">
        <v>39</v>
      </c>
      <c r="AC1785" s="2" t="s">
        <v>38</v>
      </c>
      <c r="AD1785" s="2" t="s">
        <v>39</v>
      </c>
      <c r="AE1785" s="2" t="s">
        <v>39</v>
      </c>
    </row>
    <row r="1786" spans="1:31" ht="409.5">
      <c r="A1786" s="2">
        <v>2731092</v>
      </c>
      <c r="B1786" s="2">
        <f>HYPERLINK("https://platform.v2.vetology.net/cases/2731092/screening-report/1?type=pdf&amp;v=v6&amp;scorecard=1&amp;secret_key=BX%25IJ%24%2F65ieZ%29f6", 2731092)</f>
        <v>2731092</v>
      </c>
      <c r="C1786" s="2">
        <f>HYPERLINK("https://platform.v2.vetology.net/report/v/final/"&amp;2731092, 2731092)</f>
        <v>2731092</v>
      </c>
      <c r="D1786" s="2" t="s">
        <v>5796</v>
      </c>
      <c r="E1786" s="2" t="s">
        <v>5797</v>
      </c>
      <c r="F1786" s="2" t="s">
        <v>5798</v>
      </c>
      <c r="G1786" s="2" t="s">
        <v>170</v>
      </c>
      <c r="H1786" s="2" t="s">
        <v>182</v>
      </c>
      <c r="I1786" s="2" t="s">
        <v>46</v>
      </c>
      <c r="J1786" s="2"/>
      <c r="K1786" s="2" t="s">
        <v>38</v>
      </c>
      <c r="L1786" s="2" t="s">
        <v>39</v>
      </c>
      <c r="M1786" s="2" t="s">
        <v>39</v>
      </c>
      <c r="N1786" s="2" t="s">
        <v>39</v>
      </c>
      <c r="O1786" s="2" t="s">
        <v>39</v>
      </c>
      <c r="P1786" s="2" t="s">
        <v>39</v>
      </c>
      <c r="Q1786" s="2" t="s">
        <v>39</v>
      </c>
      <c r="R1786" s="2" t="s">
        <v>38</v>
      </c>
      <c r="S1786" s="2" t="s">
        <v>39</v>
      </c>
      <c r="T1786" s="2" t="s">
        <v>39</v>
      </c>
      <c r="U1786" s="2" t="s">
        <v>38</v>
      </c>
      <c r="V1786" s="2" t="s">
        <v>38</v>
      </c>
      <c r="W1786" s="2" t="s">
        <v>39</v>
      </c>
      <c r="X1786" s="2" t="s">
        <v>39</v>
      </c>
      <c r="Y1786" s="2" t="s">
        <v>39</v>
      </c>
      <c r="Z1786" s="2" t="s">
        <v>39</v>
      </c>
      <c r="AA1786" s="2" t="s">
        <v>39</v>
      </c>
      <c r="AB1786" s="2" t="s">
        <v>39</v>
      </c>
      <c r="AC1786" s="2" t="s">
        <v>39</v>
      </c>
      <c r="AD1786" s="2" t="s">
        <v>39</v>
      </c>
      <c r="AE1786" s="2"/>
    </row>
    <row r="1787" spans="1:31" ht="409.5">
      <c r="A1787" s="2">
        <v>2731085</v>
      </c>
      <c r="B1787" s="2">
        <f>HYPERLINK("https://platform.v2.vetology.net/cases/2731085/screening-report/1?type=pdf&amp;v=v6&amp;scorecard=1&amp;secret_key=BX%25IJ%24%2F65ieZ%29f6", 2731085)</f>
        <v>2731085</v>
      </c>
      <c r="C1787" s="2">
        <f>HYPERLINK("https://platform.v2.vetology.net/report/v/final/"&amp;2731085, 2731085)</f>
        <v>2731085</v>
      </c>
      <c r="D1787" s="2" t="s">
        <v>5799</v>
      </c>
      <c r="E1787" s="2" t="s">
        <v>5800</v>
      </c>
      <c r="F1787" s="2" t="s">
        <v>5801</v>
      </c>
      <c r="G1787" s="2" t="s">
        <v>53</v>
      </c>
      <c r="H1787" s="2" t="s">
        <v>537</v>
      </c>
      <c r="I1787" s="2" t="s">
        <v>59</v>
      </c>
      <c r="J1787" s="2" t="s">
        <v>37</v>
      </c>
      <c r="K1787" s="2" t="s">
        <v>38</v>
      </c>
      <c r="L1787" s="2" t="s">
        <v>39</v>
      </c>
      <c r="M1787" s="2" t="s">
        <v>39</v>
      </c>
      <c r="N1787" s="2" t="s">
        <v>39</v>
      </c>
      <c r="O1787" s="2" t="s">
        <v>39</v>
      </c>
      <c r="P1787" s="2" t="s">
        <v>39</v>
      </c>
      <c r="Q1787" s="2" t="s">
        <v>39</v>
      </c>
      <c r="R1787" s="2" t="s">
        <v>39</v>
      </c>
      <c r="S1787" s="2" t="s">
        <v>39</v>
      </c>
      <c r="T1787" s="2" t="s">
        <v>39</v>
      </c>
      <c r="U1787" s="2" t="s">
        <v>38</v>
      </c>
      <c r="V1787" s="2" t="s">
        <v>38</v>
      </c>
      <c r="W1787" s="2" t="s">
        <v>39</v>
      </c>
      <c r="X1787" s="2" t="s">
        <v>39</v>
      </c>
      <c r="Y1787" s="2" t="s">
        <v>39</v>
      </c>
      <c r="Z1787" s="2" t="s">
        <v>39</v>
      </c>
      <c r="AA1787" s="2" t="s">
        <v>39</v>
      </c>
      <c r="AB1787" s="2" t="s">
        <v>39</v>
      </c>
      <c r="AC1787" s="2" t="s">
        <v>38</v>
      </c>
      <c r="AD1787" s="2" t="s">
        <v>39</v>
      </c>
      <c r="AE1787" s="2" t="s">
        <v>39</v>
      </c>
    </row>
    <row r="1788" spans="1:31" ht="409.5">
      <c r="A1788" s="2">
        <v>2731061</v>
      </c>
      <c r="B1788" s="2">
        <f>HYPERLINK("https://platform.v2.vetology.net/cases/2731061/screening-report/1?type=pdf&amp;v=v6&amp;scorecard=1&amp;secret_key=BX%25IJ%24%2F65ieZ%29f6", 2731061)</f>
        <v>2731061</v>
      </c>
      <c r="C1788" s="2">
        <f>HYPERLINK("https://platform.v2.vetology.net/report/v/final/"&amp;2731061, 2731061)</f>
        <v>2731061</v>
      </c>
      <c r="D1788" s="2" t="s">
        <v>5802</v>
      </c>
      <c r="E1788" s="2" t="s">
        <v>5803</v>
      </c>
      <c r="F1788" s="2" t="s">
        <v>5804</v>
      </c>
      <c r="G1788" s="2" t="s">
        <v>53</v>
      </c>
      <c r="H1788" s="2" t="s">
        <v>5805</v>
      </c>
      <c r="I1788" s="2" t="s">
        <v>73</v>
      </c>
      <c r="J1788" s="2" t="s">
        <v>74</v>
      </c>
      <c r="K1788" s="2" t="s">
        <v>38</v>
      </c>
      <c r="L1788" s="2" t="s">
        <v>38</v>
      </c>
      <c r="M1788" s="2" t="s">
        <v>38</v>
      </c>
      <c r="N1788" s="2" t="s">
        <v>39</v>
      </c>
      <c r="O1788" s="2" t="s">
        <v>39</v>
      </c>
      <c r="P1788" s="2" t="s">
        <v>38</v>
      </c>
      <c r="Q1788" s="2" t="s">
        <v>38</v>
      </c>
      <c r="R1788" s="2" t="s">
        <v>38</v>
      </c>
      <c r="S1788" s="2" t="s">
        <v>38</v>
      </c>
      <c r="T1788" s="2" t="s">
        <v>39</v>
      </c>
      <c r="U1788" s="2" t="s">
        <v>38</v>
      </c>
      <c r="V1788" s="2" t="s">
        <v>38</v>
      </c>
      <c r="W1788" s="2" t="s">
        <v>38</v>
      </c>
      <c r="X1788" s="2" t="s">
        <v>38</v>
      </c>
      <c r="Y1788" s="2" t="s">
        <v>39</v>
      </c>
      <c r="Z1788" s="2" t="s">
        <v>39</v>
      </c>
      <c r="AA1788" s="2" t="s">
        <v>38</v>
      </c>
      <c r="AB1788" s="2" t="s">
        <v>38</v>
      </c>
      <c r="AC1788" s="2" t="s">
        <v>38</v>
      </c>
      <c r="AD1788" s="2" t="s">
        <v>39</v>
      </c>
      <c r="AE1788" s="2"/>
    </row>
    <row r="1789" spans="1:31" ht="409.5">
      <c r="A1789" s="2">
        <v>2731047</v>
      </c>
      <c r="B1789" s="2">
        <f>HYPERLINK("https://platform.v2.vetology.net/cases/2731047/screening-report/1?type=pdf&amp;v=v6&amp;scorecard=1&amp;secret_key=BX%25IJ%24%2F65ieZ%29f6", 2731047)</f>
        <v>2731047</v>
      </c>
      <c r="C1789" s="2">
        <f>HYPERLINK("https://platform.v2.vetology.net/report/v/final/"&amp;2731047, 2731047)</f>
        <v>2731047</v>
      </c>
      <c r="D1789" s="2" t="s">
        <v>5806</v>
      </c>
      <c r="E1789" s="2" t="s">
        <v>5807</v>
      </c>
      <c r="F1789" s="2" t="s">
        <v>851</v>
      </c>
      <c r="G1789" s="2" t="s">
        <v>111</v>
      </c>
      <c r="H1789" s="2" t="s">
        <v>5808</v>
      </c>
      <c r="I1789" s="2" t="s">
        <v>36</v>
      </c>
      <c r="J1789" s="2" t="s">
        <v>37</v>
      </c>
      <c r="K1789" s="2" t="s">
        <v>39</v>
      </c>
      <c r="L1789" s="2" t="s">
        <v>38</v>
      </c>
      <c r="M1789" s="2" t="s">
        <v>39</v>
      </c>
      <c r="N1789" s="2" t="s">
        <v>39</v>
      </c>
      <c r="O1789" s="2" t="s">
        <v>38</v>
      </c>
      <c r="P1789" s="2" t="s">
        <v>38</v>
      </c>
      <c r="Q1789" s="2" t="s">
        <v>39</v>
      </c>
      <c r="R1789" s="2" t="s">
        <v>39</v>
      </c>
      <c r="S1789" s="2" t="s">
        <v>38</v>
      </c>
      <c r="T1789" s="2" t="s">
        <v>38</v>
      </c>
      <c r="U1789" s="2" t="s">
        <v>39</v>
      </c>
      <c r="V1789" s="2" t="s">
        <v>39</v>
      </c>
      <c r="W1789" s="2" t="s">
        <v>39</v>
      </c>
      <c r="X1789" s="2" t="s">
        <v>39</v>
      </c>
      <c r="Y1789" s="2" t="s">
        <v>39</v>
      </c>
      <c r="Z1789" s="2" t="s">
        <v>38</v>
      </c>
      <c r="AA1789" s="2" t="s">
        <v>38</v>
      </c>
      <c r="AB1789" s="2" t="s">
        <v>39</v>
      </c>
      <c r="AC1789" s="2" t="s">
        <v>38</v>
      </c>
      <c r="AD1789" s="2" t="s">
        <v>38</v>
      </c>
      <c r="AE1789" s="2"/>
    </row>
    <row r="1790" spans="1:31" ht="409.5">
      <c r="A1790" s="2">
        <v>2731037</v>
      </c>
      <c r="B1790" s="2">
        <f>HYPERLINK("https://platform.v2.vetology.net/cases/2731037/screening-report/1?type=pdf&amp;v=v6&amp;scorecard=1&amp;secret_key=BX%25IJ%24%2F65ieZ%29f6", 2731037)</f>
        <v>2731037</v>
      </c>
      <c r="C1790" s="2">
        <f>HYPERLINK("https://platform.v2.vetology.net/report/v/final/"&amp;2731037, 2731037)</f>
        <v>2731037</v>
      </c>
      <c r="D1790" s="2" t="s">
        <v>5809</v>
      </c>
      <c r="E1790" s="2" t="s">
        <v>5810</v>
      </c>
      <c r="F1790" s="2" t="s">
        <v>5811</v>
      </c>
      <c r="G1790" s="2" t="s">
        <v>53</v>
      </c>
      <c r="H1790" s="2" t="s">
        <v>5812</v>
      </c>
      <c r="I1790" s="2" t="s">
        <v>59</v>
      </c>
      <c r="J1790" s="2" t="s">
        <v>37</v>
      </c>
      <c r="K1790" s="2" t="s">
        <v>38</v>
      </c>
      <c r="L1790" s="2" t="s">
        <v>38</v>
      </c>
      <c r="M1790" s="2" t="s">
        <v>39</v>
      </c>
      <c r="N1790" s="2" t="s">
        <v>39</v>
      </c>
      <c r="O1790" s="2" t="s">
        <v>39</v>
      </c>
      <c r="P1790" s="2" t="s">
        <v>39</v>
      </c>
      <c r="Q1790" s="2" t="s">
        <v>39</v>
      </c>
      <c r="R1790" s="2" t="s">
        <v>39</v>
      </c>
      <c r="S1790" s="2" t="s">
        <v>38</v>
      </c>
      <c r="T1790" s="2" t="s">
        <v>39</v>
      </c>
      <c r="U1790" s="2" t="s">
        <v>38</v>
      </c>
      <c r="V1790" s="2" t="s">
        <v>38</v>
      </c>
      <c r="W1790" s="2" t="s">
        <v>39</v>
      </c>
      <c r="X1790" s="2" t="s">
        <v>39</v>
      </c>
      <c r="Y1790" s="2" t="s">
        <v>39</v>
      </c>
      <c r="Z1790" s="2" t="s">
        <v>39</v>
      </c>
      <c r="AA1790" s="2" t="s">
        <v>39</v>
      </c>
      <c r="AB1790" s="2" t="s">
        <v>39</v>
      </c>
      <c r="AC1790" s="2" t="s">
        <v>38</v>
      </c>
      <c r="AD1790" s="2" t="s">
        <v>39</v>
      </c>
      <c r="AE1790" s="2" t="s">
        <v>39</v>
      </c>
    </row>
    <row r="1791" spans="1:31" ht="409.5">
      <c r="A1791" s="2">
        <v>2731032</v>
      </c>
      <c r="B1791" s="2">
        <f>HYPERLINK("https://platform.v2.vetology.net/cases/2731032/screening-report/1?type=pdf&amp;v=v6&amp;scorecard=1&amp;secret_key=BX%25IJ%24%2F65ieZ%29f6", 2731032)</f>
        <v>2731032</v>
      </c>
      <c r="C1791" s="2">
        <f>HYPERLINK("https://platform.v2.vetology.net/report/v/final/"&amp;2731032, 2731032)</f>
        <v>2731032</v>
      </c>
      <c r="D1791" s="2" t="s">
        <v>5813</v>
      </c>
      <c r="E1791" s="2" t="s">
        <v>2600</v>
      </c>
      <c r="F1791" s="2" t="s">
        <v>43</v>
      </c>
      <c r="G1791" s="2" t="s">
        <v>100</v>
      </c>
      <c r="H1791" s="2" t="s">
        <v>5814</v>
      </c>
      <c r="I1791" s="2" t="s">
        <v>73</v>
      </c>
      <c r="J1791" s="2" t="s">
        <v>74</v>
      </c>
      <c r="K1791" s="2" t="s">
        <v>38</v>
      </c>
      <c r="L1791" s="2" t="s">
        <v>38</v>
      </c>
      <c r="M1791" s="2" t="s">
        <v>38</v>
      </c>
      <c r="N1791" s="2" t="s">
        <v>38</v>
      </c>
      <c r="O1791" s="2" t="s">
        <v>38</v>
      </c>
      <c r="P1791" s="2" t="s">
        <v>38</v>
      </c>
      <c r="Q1791" s="2" t="s">
        <v>38</v>
      </c>
      <c r="R1791" s="2" t="s">
        <v>39</v>
      </c>
      <c r="S1791" s="2" t="s">
        <v>38</v>
      </c>
      <c r="T1791" s="2" t="s">
        <v>38</v>
      </c>
      <c r="U1791" s="2" t="s">
        <v>38</v>
      </c>
      <c r="V1791" s="2" t="s">
        <v>38</v>
      </c>
      <c r="W1791" s="2" t="s">
        <v>38</v>
      </c>
      <c r="X1791" s="2" t="s">
        <v>38</v>
      </c>
      <c r="Y1791" s="2" t="s">
        <v>38</v>
      </c>
      <c r="Z1791" s="2" t="s">
        <v>38</v>
      </c>
      <c r="AA1791" s="2" t="s">
        <v>38</v>
      </c>
      <c r="AB1791" s="2" t="s">
        <v>38</v>
      </c>
      <c r="AC1791" s="2" t="s">
        <v>38</v>
      </c>
      <c r="AD1791" s="2" t="s">
        <v>38</v>
      </c>
      <c r="AE1791" s="2" t="s">
        <v>40</v>
      </c>
    </row>
    <row r="1792" spans="1:31" ht="409.5">
      <c r="A1792" s="2">
        <v>2731002</v>
      </c>
      <c r="B1792" s="2">
        <f>HYPERLINK("https://platform.v2.vetology.net/cases/2731002/screening-report/1?type=pdf&amp;v=v6&amp;scorecard=1&amp;secret_key=BX%25IJ%24%2F65ieZ%29f6", 2731002)</f>
        <v>2731002</v>
      </c>
      <c r="C1792" s="2">
        <f>HYPERLINK("https://platform.v2.vetology.net/report/v/final/"&amp;2731002, 2731002)</f>
        <v>2731002</v>
      </c>
      <c r="D1792" s="2" t="s">
        <v>5815</v>
      </c>
      <c r="E1792" s="2" t="s">
        <v>5816</v>
      </c>
      <c r="F1792" s="2" t="s">
        <v>851</v>
      </c>
      <c r="G1792" s="2" t="s">
        <v>111</v>
      </c>
      <c r="H1792" s="2" t="s">
        <v>5817</v>
      </c>
      <c r="I1792" s="2" t="s">
        <v>36</v>
      </c>
      <c r="J1792" s="2" t="s">
        <v>37</v>
      </c>
      <c r="K1792" s="2" t="s">
        <v>38</v>
      </c>
      <c r="L1792" s="2" t="s">
        <v>38</v>
      </c>
      <c r="M1792" s="2" t="s">
        <v>39</v>
      </c>
      <c r="N1792" s="2" t="s">
        <v>38</v>
      </c>
      <c r="O1792" s="2" t="s">
        <v>38</v>
      </c>
      <c r="P1792" s="2" t="s">
        <v>39</v>
      </c>
      <c r="Q1792" s="2" t="s">
        <v>39</v>
      </c>
      <c r="R1792" s="2" t="s">
        <v>38</v>
      </c>
      <c r="S1792" s="2" t="s">
        <v>38</v>
      </c>
      <c r="T1792" s="2" t="s">
        <v>39</v>
      </c>
      <c r="U1792" s="2" t="s">
        <v>38</v>
      </c>
      <c r="V1792" s="2" t="s">
        <v>38</v>
      </c>
      <c r="W1792" s="2" t="s">
        <v>38</v>
      </c>
      <c r="X1792" s="2" t="s">
        <v>39</v>
      </c>
      <c r="Y1792" s="2" t="s">
        <v>39</v>
      </c>
      <c r="Z1792" s="2" t="s">
        <v>38</v>
      </c>
      <c r="AA1792" s="2" t="s">
        <v>38</v>
      </c>
      <c r="AB1792" s="2" t="s">
        <v>39</v>
      </c>
      <c r="AC1792" s="2" t="s">
        <v>38</v>
      </c>
      <c r="AD1792" s="2" t="s">
        <v>38</v>
      </c>
      <c r="AE1792" s="2" t="s">
        <v>39</v>
      </c>
    </row>
    <row r="1793" spans="1:31" ht="409.5">
      <c r="A1793" s="2">
        <v>2730992</v>
      </c>
      <c r="B1793" s="2">
        <f>HYPERLINK("https://platform.v2.vetology.net/cases/2730992/screening-report/1?type=pdf&amp;v=v6&amp;scorecard=1&amp;secret_key=BX%25IJ%24%2F65ieZ%29f6", 2730992)</f>
        <v>2730992</v>
      </c>
      <c r="C1793" s="2">
        <f>HYPERLINK("https://platform.v2.vetology.net/report/v/final/"&amp;2730992, 2730992)</f>
        <v>2730992</v>
      </c>
      <c r="D1793" s="2" t="s">
        <v>5818</v>
      </c>
      <c r="E1793" s="2" t="s">
        <v>5819</v>
      </c>
      <c r="F1793" s="2" t="s">
        <v>5820</v>
      </c>
      <c r="G1793" s="2" t="s">
        <v>170</v>
      </c>
      <c r="H1793" s="2" t="s">
        <v>273</v>
      </c>
      <c r="I1793" s="2" t="s">
        <v>46</v>
      </c>
      <c r="J1793" s="2"/>
      <c r="K1793" s="2" t="s">
        <v>39</v>
      </c>
      <c r="L1793" s="2" t="s">
        <v>39</v>
      </c>
      <c r="M1793" s="2" t="s">
        <v>39</v>
      </c>
      <c r="N1793" s="2" t="s">
        <v>39</v>
      </c>
      <c r="O1793" s="2" t="s">
        <v>39</v>
      </c>
      <c r="P1793" s="2" t="s">
        <v>39</v>
      </c>
      <c r="Q1793" s="2" t="s">
        <v>39</v>
      </c>
      <c r="R1793" s="2" t="s">
        <v>39</v>
      </c>
      <c r="S1793" s="2" t="s">
        <v>38</v>
      </c>
      <c r="T1793" s="2" t="s">
        <v>39</v>
      </c>
      <c r="U1793" s="2" t="s">
        <v>39</v>
      </c>
      <c r="V1793" s="2" t="s">
        <v>39</v>
      </c>
      <c r="W1793" s="2" t="s">
        <v>39</v>
      </c>
      <c r="X1793" s="2" t="s">
        <v>39</v>
      </c>
      <c r="Y1793" s="2" t="s">
        <v>39</v>
      </c>
      <c r="Z1793" s="2" t="s">
        <v>38</v>
      </c>
      <c r="AA1793" s="2" t="s">
        <v>38</v>
      </c>
      <c r="AB1793" s="2" t="s">
        <v>39</v>
      </c>
      <c r="AC1793" s="2" t="s">
        <v>38</v>
      </c>
      <c r="AD1793" s="2" t="s">
        <v>38</v>
      </c>
      <c r="AE1793" s="2" t="s">
        <v>39</v>
      </c>
    </row>
    <row r="1794" spans="1:31" ht="409.5">
      <c r="A1794" s="2">
        <v>2730940</v>
      </c>
      <c r="B1794" s="2">
        <f>HYPERLINK("https://platform.v2.vetology.net/cases/2730940/screening-report/1?type=pdf&amp;v=v6&amp;scorecard=1&amp;secret_key=BX%25IJ%24%2F65ieZ%29f6", 2730940)</f>
        <v>2730940</v>
      </c>
      <c r="C1794" s="2">
        <f>HYPERLINK("https://platform.v2.vetology.net/report/v/final/"&amp;2730940, 2730940)</f>
        <v>2730940</v>
      </c>
      <c r="D1794" s="2" t="s">
        <v>5821</v>
      </c>
      <c r="E1794" s="2" t="s">
        <v>5822</v>
      </c>
      <c r="F1794" s="2" t="s">
        <v>229</v>
      </c>
      <c r="G1794" s="2" t="s">
        <v>170</v>
      </c>
      <c r="H1794" s="2" t="s">
        <v>5823</v>
      </c>
      <c r="I1794" s="2" t="s">
        <v>129</v>
      </c>
      <c r="J1794" s="2" t="s">
        <v>74</v>
      </c>
      <c r="K1794" s="2" t="s">
        <v>39</v>
      </c>
      <c r="L1794" s="2" t="s">
        <v>38</v>
      </c>
      <c r="M1794" s="2" t="s">
        <v>39</v>
      </c>
      <c r="N1794" s="2" t="s">
        <v>39</v>
      </c>
      <c r="O1794" s="2" t="s">
        <v>38</v>
      </c>
      <c r="P1794" s="2" t="s">
        <v>38</v>
      </c>
      <c r="Q1794" s="2" t="s">
        <v>38</v>
      </c>
      <c r="R1794" s="2" t="s">
        <v>39</v>
      </c>
      <c r="S1794" s="2" t="s">
        <v>39</v>
      </c>
      <c r="T1794" s="2" t="s">
        <v>38</v>
      </c>
      <c r="U1794" s="2" t="s">
        <v>39</v>
      </c>
      <c r="V1794" s="2" t="s">
        <v>39</v>
      </c>
      <c r="W1794" s="2" t="s">
        <v>39</v>
      </c>
      <c r="X1794" s="2" t="s">
        <v>39</v>
      </c>
      <c r="Y1794" s="2" t="s">
        <v>39</v>
      </c>
      <c r="Z1794" s="2" t="s">
        <v>38</v>
      </c>
      <c r="AA1794" s="2" t="s">
        <v>38</v>
      </c>
      <c r="AB1794" s="2" t="s">
        <v>39</v>
      </c>
      <c r="AC1794" s="2" t="s">
        <v>39</v>
      </c>
      <c r="AD1794" s="2" t="s">
        <v>39</v>
      </c>
      <c r="AE1794" s="2" t="s">
        <v>39</v>
      </c>
    </row>
    <row r="1795" spans="1:31" ht="409.5">
      <c r="A1795" s="2">
        <v>2730935</v>
      </c>
      <c r="B1795" s="2">
        <f>HYPERLINK("https://platform.v2.vetology.net/cases/2730935/screening-report/1?type=pdf&amp;v=v6&amp;scorecard=1&amp;secret_key=BX%25IJ%24%2F65ieZ%29f6", 2730935)</f>
        <v>2730935</v>
      </c>
      <c r="C1795" s="2">
        <f>HYPERLINK("https://platform.v2.vetology.net/report/v/final/"&amp;2730935, 2730935)</f>
        <v>2730935</v>
      </c>
      <c r="D1795" s="2" t="s">
        <v>5824</v>
      </c>
      <c r="E1795" s="2" t="s">
        <v>5825</v>
      </c>
      <c r="F1795" s="2" t="s">
        <v>2226</v>
      </c>
      <c r="G1795" s="2" t="s">
        <v>100</v>
      </c>
      <c r="H1795" s="2" t="s">
        <v>5826</v>
      </c>
      <c r="I1795" s="2" t="s">
        <v>36</v>
      </c>
      <c r="J1795" s="2" t="s">
        <v>37</v>
      </c>
      <c r="K1795" s="2" t="s">
        <v>39</v>
      </c>
      <c r="L1795" s="2" t="s">
        <v>38</v>
      </c>
      <c r="M1795" s="2" t="s">
        <v>39</v>
      </c>
      <c r="N1795" s="2" t="s">
        <v>38</v>
      </c>
      <c r="O1795" s="2" t="s">
        <v>38</v>
      </c>
      <c r="P1795" s="2" t="s">
        <v>39</v>
      </c>
      <c r="Q1795" s="2" t="s">
        <v>39</v>
      </c>
      <c r="R1795" s="2" t="s">
        <v>39</v>
      </c>
      <c r="S1795" s="2" t="s">
        <v>38</v>
      </c>
      <c r="T1795" s="2" t="s">
        <v>39</v>
      </c>
      <c r="U1795" s="2" t="s">
        <v>39</v>
      </c>
      <c r="V1795" s="2" t="s">
        <v>39</v>
      </c>
      <c r="W1795" s="2" t="s">
        <v>38</v>
      </c>
      <c r="X1795" s="2" t="s">
        <v>39</v>
      </c>
      <c r="Y1795" s="2" t="s">
        <v>39</v>
      </c>
      <c r="Z1795" s="2" t="s">
        <v>38</v>
      </c>
      <c r="AA1795" s="2" t="s">
        <v>39</v>
      </c>
      <c r="AB1795" s="2" t="s">
        <v>39</v>
      </c>
      <c r="AC1795" s="2" t="s">
        <v>38</v>
      </c>
      <c r="AD1795" s="2" t="s">
        <v>39</v>
      </c>
      <c r="AE1795" s="2"/>
    </row>
    <row r="1796" spans="1:31" ht="409.5">
      <c r="A1796" s="2">
        <v>2730875</v>
      </c>
      <c r="B1796" s="2">
        <f>HYPERLINK("https://platform.v2.vetology.net/cases/2730875/screening-report/1?type=pdf&amp;v=v6&amp;scorecard=1&amp;secret_key=BX%25IJ%24%2F65ieZ%29f6", 2730875)</f>
        <v>2730875</v>
      </c>
      <c r="C1796" s="2">
        <f>HYPERLINK("https://platform.v2.vetology.net/report/v/final/"&amp;2730875, 2730875)</f>
        <v>2730875</v>
      </c>
      <c r="D1796" s="2" t="s">
        <v>853</v>
      </c>
      <c r="E1796" s="2" t="s">
        <v>5827</v>
      </c>
      <c r="F1796" s="2" t="s">
        <v>5828</v>
      </c>
      <c r="G1796" s="2" t="s">
        <v>111</v>
      </c>
      <c r="H1796" s="2" t="s">
        <v>3035</v>
      </c>
      <c r="I1796" s="2" t="s">
        <v>36</v>
      </c>
      <c r="J1796" s="2" t="s">
        <v>37</v>
      </c>
      <c r="K1796" s="2" t="s">
        <v>39</v>
      </c>
      <c r="L1796" s="2" t="s">
        <v>39</v>
      </c>
      <c r="M1796" s="2" t="s">
        <v>38</v>
      </c>
      <c r="N1796" s="2" t="s">
        <v>39</v>
      </c>
      <c r="O1796" s="2" t="s">
        <v>39</v>
      </c>
      <c r="P1796" s="2" t="s">
        <v>39</v>
      </c>
      <c r="Q1796" s="2" t="s">
        <v>39</v>
      </c>
      <c r="R1796" s="2" t="s">
        <v>38</v>
      </c>
      <c r="S1796" s="2" t="s">
        <v>39</v>
      </c>
      <c r="T1796" s="2" t="s">
        <v>39</v>
      </c>
      <c r="U1796" s="2" t="s">
        <v>39</v>
      </c>
      <c r="V1796" s="2" t="s">
        <v>39</v>
      </c>
      <c r="W1796" s="2" t="s">
        <v>38</v>
      </c>
      <c r="X1796" s="2" t="s">
        <v>39</v>
      </c>
      <c r="Y1796" s="2" t="s">
        <v>39</v>
      </c>
      <c r="Z1796" s="2" t="s">
        <v>38</v>
      </c>
      <c r="AA1796" s="2" t="s">
        <v>38</v>
      </c>
      <c r="AB1796" s="2" t="s">
        <v>39</v>
      </c>
      <c r="AC1796" s="2" t="s">
        <v>38</v>
      </c>
      <c r="AD1796" s="2" t="s">
        <v>39</v>
      </c>
      <c r="AE1796" s="2" t="s">
        <v>40</v>
      </c>
    </row>
    <row r="1797" spans="1:31" ht="409.5">
      <c r="A1797" s="2">
        <v>2730865</v>
      </c>
      <c r="B1797" s="2">
        <f>HYPERLINK("https://platform.v2.vetology.net/cases/2730865/screening-report/1?type=pdf&amp;v=v6&amp;scorecard=1&amp;secret_key=BX%25IJ%24%2F65ieZ%29f6", 2730865)</f>
        <v>2730865</v>
      </c>
      <c r="C1797" s="2">
        <f>HYPERLINK("https://platform.v2.vetology.net/report/v/final/"&amp;2730865, 2730865)</f>
        <v>2730865</v>
      </c>
      <c r="D1797" s="2" t="s">
        <v>5829</v>
      </c>
      <c r="E1797" s="2" t="s">
        <v>5830</v>
      </c>
      <c r="F1797" s="2" t="s">
        <v>5831</v>
      </c>
      <c r="G1797" s="2" t="s">
        <v>111</v>
      </c>
      <c r="H1797" s="2" t="s">
        <v>5832</v>
      </c>
      <c r="I1797" s="2" t="s">
        <v>36</v>
      </c>
      <c r="J1797" s="2" t="s">
        <v>37</v>
      </c>
      <c r="K1797" s="2" t="s">
        <v>39</v>
      </c>
      <c r="L1797" s="2" t="s">
        <v>38</v>
      </c>
      <c r="M1797" s="2" t="s">
        <v>39</v>
      </c>
      <c r="N1797" s="2" t="s">
        <v>38</v>
      </c>
      <c r="O1797" s="2" t="s">
        <v>38</v>
      </c>
      <c r="P1797" s="2" t="s">
        <v>39</v>
      </c>
      <c r="Q1797" s="2" t="s">
        <v>39</v>
      </c>
      <c r="R1797" s="2" t="s">
        <v>38</v>
      </c>
      <c r="S1797" s="2" t="s">
        <v>38</v>
      </c>
      <c r="T1797" s="2" t="s">
        <v>39</v>
      </c>
      <c r="U1797" s="2" t="s">
        <v>39</v>
      </c>
      <c r="V1797" s="2" t="s">
        <v>39</v>
      </c>
      <c r="W1797" s="2" t="s">
        <v>38</v>
      </c>
      <c r="X1797" s="2" t="s">
        <v>39</v>
      </c>
      <c r="Y1797" s="2" t="s">
        <v>39</v>
      </c>
      <c r="Z1797" s="2" t="s">
        <v>39</v>
      </c>
      <c r="AA1797" s="2" t="s">
        <v>38</v>
      </c>
      <c r="AB1797" s="2" t="s">
        <v>39</v>
      </c>
      <c r="AC1797" s="2" t="s">
        <v>38</v>
      </c>
      <c r="AD1797" s="2" t="s">
        <v>38</v>
      </c>
      <c r="AE1797" s="2" t="s">
        <v>40</v>
      </c>
    </row>
    <row r="1798" spans="1:31" ht="409.5">
      <c r="A1798" s="2">
        <v>2730859</v>
      </c>
      <c r="B1798" s="2">
        <f>HYPERLINK("https://platform.v2.vetology.net/cases/2730859/screening-report/1?type=pdf&amp;v=v6&amp;scorecard=1&amp;secret_key=BX%25IJ%24%2F65ieZ%29f6", 2730859)</f>
        <v>2730859</v>
      </c>
      <c r="C1798" s="2">
        <f>HYPERLINK("https://platform.v2.vetology.net/report/v/final/"&amp;2730859, 2730859)</f>
        <v>2730859</v>
      </c>
      <c r="D1798" s="2" t="s">
        <v>5833</v>
      </c>
      <c r="E1798" s="2" t="s">
        <v>5834</v>
      </c>
      <c r="F1798" s="2" t="s">
        <v>5835</v>
      </c>
      <c r="G1798" s="2" t="s">
        <v>111</v>
      </c>
      <c r="H1798" s="2" t="s">
        <v>5836</v>
      </c>
      <c r="I1798" s="2" t="s">
        <v>36</v>
      </c>
      <c r="J1798" s="2" t="s">
        <v>37</v>
      </c>
      <c r="K1798" s="2" t="s">
        <v>38</v>
      </c>
      <c r="L1798" s="2" t="s">
        <v>38</v>
      </c>
      <c r="M1798" s="2" t="s">
        <v>38</v>
      </c>
      <c r="N1798" s="2" t="s">
        <v>38</v>
      </c>
      <c r="O1798" s="2" t="s">
        <v>38</v>
      </c>
      <c r="P1798" s="2" t="s">
        <v>39</v>
      </c>
      <c r="Q1798" s="2" t="s">
        <v>39</v>
      </c>
      <c r="R1798" s="2" t="s">
        <v>38</v>
      </c>
      <c r="S1798" s="2" t="s">
        <v>38</v>
      </c>
      <c r="T1798" s="2" t="s">
        <v>39</v>
      </c>
      <c r="U1798" s="2" t="s">
        <v>38</v>
      </c>
      <c r="V1798" s="2" t="s">
        <v>38</v>
      </c>
      <c r="W1798" s="2" t="s">
        <v>38</v>
      </c>
      <c r="X1798" s="2" t="s">
        <v>39</v>
      </c>
      <c r="Y1798" s="2" t="s">
        <v>38</v>
      </c>
      <c r="Z1798" s="2" t="s">
        <v>38</v>
      </c>
      <c r="AA1798" s="2" t="s">
        <v>39</v>
      </c>
      <c r="AB1798" s="2" t="s">
        <v>39</v>
      </c>
      <c r="AC1798" s="2" t="s">
        <v>38</v>
      </c>
      <c r="AD1798" s="2" t="s">
        <v>38</v>
      </c>
      <c r="AE1798" s="2" t="s">
        <v>39</v>
      </c>
    </row>
    <row r="1799" spans="1:31" ht="409.5">
      <c r="A1799" s="2">
        <v>2730834</v>
      </c>
      <c r="B1799" s="2">
        <f>HYPERLINK("https://platform.v2.vetology.net/cases/2730834/screening-report/1?type=pdf&amp;v=v6&amp;scorecard=1&amp;secret_key=BX%25IJ%24%2F65ieZ%29f6", 2730834)</f>
        <v>2730834</v>
      </c>
      <c r="C1799" s="2">
        <f>HYPERLINK("https://platform.v2.vetology.net/report/v/final/"&amp;2730834, 2730834)</f>
        <v>2730834</v>
      </c>
      <c r="D1799" s="2" t="s">
        <v>5837</v>
      </c>
      <c r="E1799" s="2" t="s">
        <v>5838</v>
      </c>
      <c r="F1799" s="2" t="s">
        <v>5839</v>
      </c>
      <c r="G1799" s="2" t="s">
        <v>53</v>
      </c>
      <c r="H1799" s="2" t="s">
        <v>3908</v>
      </c>
      <c r="I1799" s="2" t="s">
        <v>36</v>
      </c>
      <c r="J1799" s="2" t="s">
        <v>37</v>
      </c>
      <c r="K1799" s="2" t="s">
        <v>38</v>
      </c>
      <c r="L1799" s="2" t="s">
        <v>38</v>
      </c>
      <c r="M1799" s="2" t="s">
        <v>38</v>
      </c>
      <c r="N1799" s="2" t="s">
        <v>38</v>
      </c>
      <c r="O1799" s="2" t="s">
        <v>38</v>
      </c>
      <c r="P1799" s="2" t="s">
        <v>39</v>
      </c>
      <c r="Q1799" s="2" t="s">
        <v>39</v>
      </c>
      <c r="R1799" s="2" t="s">
        <v>38</v>
      </c>
      <c r="S1799" s="2" t="s">
        <v>38</v>
      </c>
      <c r="T1799" s="2" t="s">
        <v>39</v>
      </c>
      <c r="U1799" s="2" t="s">
        <v>39</v>
      </c>
      <c r="V1799" s="2" t="s">
        <v>39</v>
      </c>
      <c r="W1799" s="2" t="s">
        <v>39</v>
      </c>
      <c r="X1799" s="2" t="s">
        <v>39</v>
      </c>
      <c r="Y1799" s="2" t="s">
        <v>39</v>
      </c>
      <c r="Z1799" s="2" t="s">
        <v>38</v>
      </c>
      <c r="AA1799" s="2" t="s">
        <v>38</v>
      </c>
      <c r="AB1799" s="2" t="s">
        <v>39</v>
      </c>
      <c r="AC1799" s="2" t="s">
        <v>38</v>
      </c>
      <c r="AD1799" s="2" t="s">
        <v>38</v>
      </c>
      <c r="AE1799" s="2" t="s">
        <v>39</v>
      </c>
    </row>
    <row r="1800" spans="1:31" ht="409.5">
      <c r="A1800" s="2">
        <v>2730829</v>
      </c>
      <c r="B1800" s="2">
        <f>HYPERLINK("https://platform.v2.vetology.net/cases/2730829/screening-report/1?type=pdf&amp;v=v6&amp;scorecard=1&amp;secret_key=BX%25IJ%24%2F65ieZ%29f6", 2730829)</f>
        <v>2730829</v>
      </c>
      <c r="C1800" s="2">
        <f>HYPERLINK("https://platform.v2.vetology.net/report/v/final/"&amp;2730829, 2730829)</f>
        <v>2730829</v>
      </c>
      <c r="D1800" s="2" t="s">
        <v>5840</v>
      </c>
      <c r="E1800" s="2" t="s">
        <v>5841</v>
      </c>
      <c r="F1800" s="2" t="s">
        <v>5842</v>
      </c>
      <c r="G1800" s="2" t="s">
        <v>53</v>
      </c>
      <c r="H1800" s="2" t="s">
        <v>3905</v>
      </c>
      <c r="I1800" s="2" t="s">
        <v>36</v>
      </c>
      <c r="J1800" s="2" t="s">
        <v>37</v>
      </c>
      <c r="K1800" s="2" t="s">
        <v>38</v>
      </c>
      <c r="L1800" s="2" t="s">
        <v>38</v>
      </c>
      <c r="M1800" s="2" t="s">
        <v>38</v>
      </c>
      <c r="N1800" s="2" t="s">
        <v>38</v>
      </c>
      <c r="O1800" s="2" t="s">
        <v>38</v>
      </c>
      <c r="P1800" s="2" t="s">
        <v>39</v>
      </c>
      <c r="Q1800" s="2" t="s">
        <v>39</v>
      </c>
      <c r="R1800" s="2" t="s">
        <v>38</v>
      </c>
      <c r="S1800" s="2" t="s">
        <v>38</v>
      </c>
      <c r="T1800" s="2" t="s">
        <v>39</v>
      </c>
      <c r="U1800" s="2" t="s">
        <v>38</v>
      </c>
      <c r="V1800" s="2" t="s">
        <v>38</v>
      </c>
      <c r="W1800" s="2" t="s">
        <v>38</v>
      </c>
      <c r="X1800" s="2" t="s">
        <v>39</v>
      </c>
      <c r="Y1800" s="2" t="s">
        <v>38</v>
      </c>
      <c r="Z1800" s="2" t="s">
        <v>38</v>
      </c>
      <c r="AA1800" s="2" t="s">
        <v>38</v>
      </c>
      <c r="AB1800" s="2" t="s">
        <v>39</v>
      </c>
      <c r="AC1800" s="2" t="s">
        <v>38</v>
      </c>
      <c r="AD1800" s="2" t="s">
        <v>39</v>
      </c>
      <c r="AE1800" s="2" t="s">
        <v>39</v>
      </c>
    </row>
    <row r="1801" spans="1:31" ht="409.5">
      <c r="A1801" s="2">
        <v>2730828</v>
      </c>
      <c r="B1801" s="2">
        <f>HYPERLINK("https://platform.v2.vetology.net/cases/2730828/screening-report/1?type=pdf&amp;v=v6&amp;scorecard=1&amp;secret_key=BX%25IJ%24%2F65ieZ%29f6", 2730828)</f>
        <v>2730828</v>
      </c>
      <c r="C1801" s="2">
        <f>HYPERLINK("https://platform.v2.vetology.net/report/v/final/"&amp;2730828, 2730828)</f>
        <v>2730828</v>
      </c>
      <c r="D1801" s="2" t="s">
        <v>5843</v>
      </c>
      <c r="E1801" s="2" t="s">
        <v>5844</v>
      </c>
      <c r="F1801" s="2" t="s">
        <v>5845</v>
      </c>
      <c r="G1801" s="2" t="s">
        <v>111</v>
      </c>
      <c r="H1801" s="2" t="s">
        <v>530</v>
      </c>
      <c r="I1801" s="2" t="s">
        <v>59</v>
      </c>
      <c r="J1801" s="2" t="s">
        <v>37</v>
      </c>
      <c r="K1801" s="2" t="s">
        <v>38</v>
      </c>
      <c r="L1801" s="2" t="s">
        <v>39</v>
      </c>
      <c r="M1801" s="2" t="s">
        <v>39</v>
      </c>
      <c r="N1801" s="2" t="s">
        <v>39</v>
      </c>
      <c r="O1801" s="2" t="s">
        <v>39</v>
      </c>
      <c r="P1801" s="2" t="s">
        <v>39</v>
      </c>
      <c r="Q1801" s="2" t="s">
        <v>39</v>
      </c>
      <c r="R1801" s="2" t="s">
        <v>39</v>
      </c>
      <c r="S1801" s="2" t="s">
        <v>39</v>
      </c>
      <c r="T1801" s="2" t="s">
        <v>39</v>
      </c>
      <c r="U1801" s="2" t="s">
        <v>38</v>
      </c>
      <c r="V1801" s="2" t="s">
        <v>38</v>
      </c>
      <c r="W1801" s="2" t="s">
        <v>39</v>
      </c>
      <c r="X1801" s="2" t="s">
        <v>39</v>
      </c>
      <c r="Y1801" s="2" t="s">
        <v>39</v>
      </c>
      <c r="Z1801" s="2" t="s">
        <v>39</v>
      </c>
      <c r="AA1801" s="2" t="s">
        <v>39</v>
      </c>
      <c r="AB1801" s="2" t="s">
        <v>39</v>
      </c>
      <c r="AC1801" s="2" t="s">
        <v>39</v>
      </c>
      <c r="AD1801" s="2" t="s">
        <v>39</v>
      </c>
      <c r="AE1801" s="2" t="s">
        <v>39</v>
      </c>
    </row>
    <row r="1802" spans="1:31" ht="409.5">
      <c r="A1802" s="2">
        <v>2730817</v>
      </c>
      <c r="B1802" s="2">
        <f>HYPERLINK("https://platform.v2.vetology.net/cases/2730817/screening-report/1?type=pdf&amp;v=v6&amp;scorecard=1&amp;secret_key=BX%25IJ%24%2F65ieZ%29f6", 2730817)</f>
        <v>2730817</v>
      </c>
      <c r="C1802" s="2">
        <f>HYPERLINK("https://platform.v2.vetology.net/report/v/final/"&amp;2730817, 2730817)</f>
        <v>2730817</v>
      </c>
      <c r="D1802" s="2" t="s">
        <v>5846</v>
      </c>
      <c r="E1802" s="2" t="s">
        <v>5847</v>
      </c>
      <c r="F1802" s="2" t="s">
        <v>43</v>
      </c>
      <c r="G1802" s="2" t="s">
        <v>44</v>
      </c>
      <c r="H1802" s="2" t="s">
        <v>69</v>
      </c>
      <c r="I1802" s="2" t="s">
        <v>46</v>
      </c>
      <c r="J1802" s="2"/>
      <c r="K1802" s="2" t="s">
        <v>39</v>
      </c>
      <c r="L1802" s="2" t="s">
        <v>39</v>
      </c>
      <c r="M1802" s="2" t="s">
        <v>39</v>
      </c>
      <c r="N1802" s="2" t="s">
        <v>39</v>
      </c>
      <c r="O1802" s="2" t="s">
        <v>39</v>
      </c>
      <c r="P1802" s="2" t="s">
        <v>39</v>
      </c>
      <c r="Q1802" s="2" t="s">
        <v>39</v>
      </c>
      <c r="R1802" s="2" t="s">
        <v>39</v>
      </c>
      <c r="S1802" s="2" t="s">
        <v>39</v>
      </c>
      <c r="T1802" s="2" t="s">
        <v>39</v>
      </c>
      <c r="U1802" s="2" t="s">
        <v>39</v>
      </c>
      <c r="V1802" s="2" t="s">
        <v>39</v>
      </c>
      <c r="W1802" s="2" t="s">
        <v>39</v>
      </c>
      <c r="X1802" s="2" t="s">
        <v>39</v>
      </c>
      <c r="Y1802" s="2" t="s">
        <v>39</v>
      </c>
      <c r="Z1802" s="2" t="s">
        <v>39</v>
      </c>
      <c r="AA1802" s="2" t="s">
        <v>39</v>
      </c>
      <c r="AB1802" s="2" t="s">
        <v>39</v>
      </c>
      <c r="AC1802" s="2" t="s">
        <v>39</v>
      </c>
      <c r="AD1802" s="2" t="s">
        <v>39</v>
      </c>
      <c r="AE1802" s="2" t="s">
        <v>39</v>
      </c>
    </row>
    <row r="1803" spans="1:31" ht="409.5">
      <c r="A1803" s="2">
        <v>2730772</v>
      </c>
      <c r="B1803" s="2">
        <f>HYPERLINK("https://platform.v2.vetology.net/cases/2730772/screening-report/1?type=pdf&amp;v=v6&amp;scorecard=1&amp;secret_key=BX%25IJ%24%2F65ieZ%29f6", 2730772)</f>
        <v>2730772</v>
      </c>
      <c r="C1803" s="2">
        <f>HYPERLINK("https://platform.v2.vetology.net/report/v/final/"&amp;2730772, 2730772)</f>
        <v>2730772</v>
      </c>
      <c r="D1803" s="2" t="s">
        <v>5848</v>
      </c>
      <c r="E1803" s="2" t="s">
        <v>5849</v>
      </c>
      <c r="F1803" s="2"/>
      <c r="G1803" s="2" t="s">
        <v>81</v>
      </c>
      <c r="H1803" s="2" t="s">
        <v>5850</v>
      </c>
      <c r="I1803" s="2" t="s">
        <v>73</v>
      </c>
      <c r="J1803" s="2" t="s">
        <v>74</v>
      </c>
      <c r="K1803" s="2" t="s">
        <v>38</v>
      </c>
      <c r="L1803" s="2" t="s">
        <v>38</v>
      </c>
      <c r="M1803" s="2" t="s">
        <v>38</v>
      </c>
      <c r="N1803" s="2" t="s">
        <v>38</v>
      </c>
      <c r="O1803" s="2" t="s">
        <v>38</v>
      </c>
      <c r="P1803" s="2" t="s">
        <v>39</v>
      </c>
      <c r="Q1803" s="2" t="s">
        <v>38</v>
      </c>
      <c r="R1803" s="2" t="s">
        <v>38</v>
      </c>
      <c r="S1803" s="2" t="s">
        <v>39</v>
      </c>
      <c r="T1803" s="2" t="s">
        <v>38</v>
      </c>
      <c r="U1803" s="2" t="s">
        <v>39</v>
      </c>
      <c r="V1803" s="2" t="s">
        <v>38</v>
      </c>
      <c r="W1803" s="2" t="s">
        <v>38</v>
      </c>
      <c r="X1803" s="2" t="s">
        <v>38</v>
      </c>
      <c r="Y1803" s="2" t="s">
        <v>39</v>
      </c>
      <c r="Z1803" s="2" t="s">
        <v>38</v>
      </c>
      <c r="AA1803" s="2" t="s">
        <v>39</v>
      </c>
      <c r="AB1803" s="2" t="s">
        <v>38</v>
      </c>
      <c r="AC1803" s="2" t="s">
        <v>38</v>
      </c>
      <c r="AD1803" s="2" t="s">
        <v>39</v>
      </c>
      <c r="AE1803" s="2" t="s">
        <v>40</v>
      </c>
    </row>
    <row r="1804" spans="1:31" ht="409.5">
      <c r="A1804" s="2">
        <v>2730747</v>
      </c>
      <c r="B1804" s="2">
        <f>HYPERLINK("https://platform.v2.vetology.net/cases/2730747/screening-report/1?type=pdf&amp;v=v6&amp;scorecard=1&amp;secret_key=BX%25IJ%24%2F65ieZ%29f6", 2730747)</f>
        <v>2730747</v>
      </c>
      <c r="C1804" s="2">
        <f>HYPERLINK("https://platform.v2.vetology.net/report/v/final/"&amp;2730747, 2730747)</f>
        <v>2730747</v>
      </c>
      <c r="D1804" s="2" t="s">
        <v>5851</v>
      </c>
      <c r="E1804" s="2" t="s">
        <v>5852</v>
      </c>
      <c r="F1804" s="2" t="s">
        <v>5853</v>
      </c>
      <c r="G1804" s="2" t="s">
        <v>127</v>
      </c>
      <c r="H1804" s="2" t="s">
        <v>62</v>
      </c>
      <c r="I1804" s="2" t="s">
        <v>46</v>
      </c>
      <c r="J1804" s="2"/>
      <c r="K1804" s="2" t="s">
        <v>39</v>
      </c>
      <c r="L1804" s="2" t="s">
        <v>39</v>
      </c>
      <c r="M1804" s="2" t="s">
        <v>39</v>
      </c>
      <c r="N1804" s="2" t="s">
        <v>39</v>
      </c>
      <c r="O1804" s="2" t="s">
        <v>39</v>
      </c>
      <c r="P1804" s="2" t="s">
        <v>39</v>
      </c>
      <c r="Q1804" s="2" t="s">
        <v>39</v>
      </c>
      <c r="R1804" s="2" t="s">
        <v>38</v>
      </c>
      <c r="S1804" s="2" t="s">
        <v>38</v>
      </c>
      <c r="T1804" s="2" t="s">
        <v>38</v>
      </c>
      <c r="U1804" s="2" t="s">
        <v>39</v>
      </c>
      <c r="V1804" s="2" t="s">
        <v>39</v>
      </c>
      <c r="W1804" s="2" t="s">
        <v>38</v>
      </c>
      <c r="X1804" s="2" t="s">
        <v>39</v>
      </c>
      <c r="Y1804" s="2" t="s">
        <v>39</v>
      </c>
      <c r="Z1804" s="2" t="s">
        <v>38</v>
      </c>
      <c r="AA1804" s="2" t="s">
        <v>38</v>
      </c>
      <c r="AB1804" s="2" t="s">
        <v>39</v>
      </c>
      <c r="AC1804" s="2" t="s">
        <v>38</v>
      </c>
      <c r="AD1804" s="2" t="s">
        <v>38</v>
      </c>
      <c r="AE1804" s="2" t="s">
        <v>39</v>
      </c>
    </row>
    <row r="1805" spans="1:31" ht="409.5">
      <c r="A1805" s="2">
        <v>2730742</v>
      </c>
      <c r="B1805" s="2">
        <f>HYPERLINK("https://platform.v2.vetology.net/cases/2730742/screening-report/1?type=pdf&amp;v=v6&amp;scorecard=1&amp;secret_key=BX%25IJ%24%2F65ieZ%29f6", 2730742)</f>
        <v>2730742</v>
      </c>
      <c r="C1805" s="2">
        <f>HYPERLINK("https://platform.v2.vetology.net/report/v/final/"&amp;2730742, 2730742)</f>
        <v>2730742</v>
      </c>
      <c r="D1805" s="2" t="s">
        <v>5854</v>
      </c>
      <c r="E1805" s="2" t="s">
        <v>5855</v>
      </c>
      <c r="F1805" s="2" t="s">
        <v>5856</v>
      </c>
      <c r="G1805" s="2" t="s">
        <v>53</v>
      </c>
      <c r="H1805" s="2" t="s">
        <v>5857</v>
      </c>
      <c r="I1805" s="2" t="s">
        <v>73</v>
      </c>
      <c r="J1805" s="2" t="s">
        <v>74</v>
      </c>
      <c r="K1805" s="2" t="s">
        <v>38</v>
      </c>
      <c r="L1805" s="2" t="s">
        <v>38</v>
      </c>
      <c r="M1805" s="2" t="s">
        <v>38</v>
      </c>
      <c r="N1805" s="2" t="s">
        <v>38</v>
      </c>
      <c r="O1805" s="2" t="s">
        <v>38</v>
      </c>
      <c r="P1805" s="2" t="s">
        <v>38</v>
      </c>
      <c r="Q1805" s="2" t="s">
        <v>38</v>
      </c>
      <c r="R1805" s="2" t="s">
        <v>38</v>
      </c>
      <c r="S1805" s="2" t="s">
        <v>38</v>
      </c>
      <c r="T1805" s="2" t="s">
        <v>38</v>
      </c>
      <c r="U1805" s="2" t="s">
        <v>38</v>
      </c>
      <c r="V1805" s="2" t="s">
        <v>38</v>
      </c>
      <c r="W1805" s="2" t="s">
        <v>38</v>
      </c>
      <c r="X1805" s="2" t="s">
        <v>38</v>
      </c>
      <c r="Y1805" s="2" t="s">
        <v>38</v>
      </c>
      <c r="Z1805" s="2" t="s">
        <v>38</v>
      </c>
      <c r="AA1805" s="2" t="s">
        <v>38</v>
      </c>
      <c r="AB1805" s="2" t="s">
        <v>38</v>
      </c>
      <c r="AC1805" s="2" t="s">
        <v>38</v>
      </c>
      <c r="AD1805" s="2" t="s">
        <v>38</v>
      </c>
      <c r="AE1805" s="2" t="s">
        <v>40</v>
      </c>
    </row>
    <row r="1806" spans="1:31" ht="409.5">
      <c r="A1806" s="2">
        <v>2730713</v>
      </c>
      <c r="B1806" s="2">
        <f>HYPERLINK("https://platform.v2.vetology.net/cases/2730713/screening-report/1?type=pdf&amp;v=v6&amp;scorecard=1&amp;secret_key=BX%25IJ%24%2F65ieZ%29f6", 2730713)</f>
        <v>2730713</v>
      </c>
      <c r="C1806" s="2">
        <f>HYPERLINK("https://platform.v2.vetology.net/report/v/final/"&amp;2730713, 2730713)</f>
        <v>2730713</v>
      </c>
      <c r="D1806" s="2" t="s">
        <v>2629</v>
      </c>
      <c r="E1806" s="2" t="s">
        <v>1928</v>
      </c>
      <c r="F1806" s="2" t="s">
        <v>5858</v>
      </c>
      <c r="G1806" s="2" t="s">
        <v>111</v>
      </c>
      <c r="H1806" s="2" t="s">
        <v>5859</v>
      </c>
      <c r="I1806" s="2" t="s">
        <v>36</v>
      </c>
      <c r="J1806" s="2" t="s">
        <v>37</v>
      </c>
      <c r="K1806" s="2" t="s">
        <v>38</v>
      </c>
      <c r="L1806" s="2" t="s">
        <v>38</v>
      </c>
      <c r="M1806" s="2" t="s">
        <v>38</v>
      </c>
      <c r="N1806" s="2" t="s">
        <v>39</v>
      </c>
      <c r="O1806" s="2" t="s">
        <v>38</v>
      </c>
      <c r="P1806" s="2" t="s">
        <v>39</v>
      </c>
      <c r="Q1806" s="2" t="s">
        <v>39</v>
      </c>
      <c r="R1806" s="2" t="s">
        <v>39</v>
      </c>
      <c r="S1806" s="2" t="s">
        <v>39</v>
      </c>
      <c r="T1806" s="2" t="s">
        <v>38</v>
      </c>
      <c r="U1806" s="2" t="s">
        <v>39</v>
      </c>
      <c r="V1806" s="2" t="s">
        <v>38</v>
      </c>
      <c r="W1806" s="2" t="s">
        <v>39</v>
      </c>
      <c r="X1806" s="2" t="s">
        <v>39</v>
      </c>
      <c r="Y1806" s="2" t="s">
        <v>39</v>
      </c>
      <c r="Z1806" s="2" t="s">
        <v>38</v>
      </c>
      <c r="AA1806" s="2" t="s">
        <v>38</v>
      </c>
      <c r="AB1806" s="2" t="s">
        <v>39</v>
      </c>
      <c r="AC1806" s="2" t="s">
        <v>38</v>
      </c>
      <c r="AD1806" s="2" t="s">
        <v>39</v>
      </c>
      <c r="AE1806" s="2" t="s">
        <v>39</v>
      </c>
    </row>
    <row r="1807" spans="1:31" ht="409.5">
      <c r="A1807" s="2">
        <v>2730678</v>
      </c>
      <c r="B1807" s="2">
        <f>HYPERLINK("https://platform.v2.vetology.net/cases/2730678/screening-report/1?type=pdf&amp;v=v6&amp;scorecard=1&amp;secret_key=BX%25IJ%24%2F65ieZ%29f6", 2730678)</f>
        <v>2730678</v>
      </c>
      <c r="C1807" s="2">
        <f>HYPERLINK("https://platform.v2.vetology.net/report/v/final/"&amp;2730678, 2730678)</f>
        <v>2730678</v>
      </c>
      <c r="D1807" s="2" t="s">
        <v>2629</v>
      </c>
      <c r="E1807" s="2" t="s">
        <v>118</v>
      </c>
      <c r="F1807" s="2" t="s">
        <v>1498</v>
      </c>
      <c r="G1807" s="2" t="s">
        <v>111</v>
      </c>
      <c r="H1807" s="2" t="s">
        <v>201</v>
      </c>
      <c r="I1807" s="2" t="s">
        <v>36</v>
      </c>
      <c r="J1807" s="2" t="s">
        <v>37</v>
      </c>
      <c r="K1807" s="2" t="s">
        <v>39</v>
      </c>
      <c r="L1807" s="2" t="s">
        <v>39</v>
      </c>
      <c r="M1807" s="2" t="s">
        <v>38</v>
      </c>
      <c r="N1807" s="2" t="s">
        <v>38</v>
      </c>
      <c r="O1807" s="2" t="s">
        <v>39</v>
      </c>
      <c r="P1807" s="2" t="s">
        <v>39</v>
      </c>
      <c r="Q1807" s="2" t="s">
        <v>39</v>
      </c>
      <c r="R1807" s="2" t="s">
        <v>39</v>
      </c>
      <c r="S1807" s="2" t="s">
        <v>39</v>
      </c>
      <c r="T1807" s="2" t="s">
        <v>39</v>
      </c>
      <c r="U1807" s="2" t="s">
        <v>39</v>
      </c>
      <c r="V1807" s="2" t="s">
        <v>39</v>
      </c>
      <c r="W1807" s="2" t="s">
        <v>38</v>
      </c>
      <c r="X1807" s="2" t="s">
        <v>39</v>
      </c>
      <c r="Y1807" s="2" t="s">
        <v>39</v>
      </c>
      <c r="Z1807" s="2" t="s">
        <v>38</v>
      </c>
      <c r="AA1807" s="2" t="s">
        <v>39</v>
      </c>
      <c r="AB1807" s="2" t="s">
        <v>39</v>
      </c>
      <c r="AC1807" s="2" t="s">
        <v>39</v>
      </c>
      <c r="AD1807" s="2" t="s">
        <v>39</v>
      </c>
      <c r="AE1807" s="2" t="s">
        <v>39</v>
      </c>
    </row>
    <row r="1808" spans="1:31" ht="409.5">
      <c r="A1808" s="2">
        <v>2730667</v>
      </c>
      <c r="B1808" s="2">
        <f>HYPERLINK("https://platform.v2.vetology.net/cases/2730667/screening-report/1?type=pdf&amp;v=v6&amp;scorecard=1&amp;secret_key=BX%25IJ%24%2F65ieZ%29f6", 2730667)</f>
        <v>2730667</v>
      </c>
      <c r="C1808" s="2">
        <f>HYPERLINK("https://platform.v2.vetology.net/report/v/final/"&amp;2730667, 2730667)</f>
        <v>2730667</v>
      </c>
      <c r="D1808" s="2" t="s">
        <v>5860</v>
      </c>
      <c r="E1808" s="2" t="s">
        <v>5861</v>
      </c>
      <c r="F1808" s="2" t="s">
        <v>5862</v>
      </c>
      <c r="G1808" s="2" t="s">
        <v>34</v>
      </c>
      <c r="H1808" s="2" t="s">
        <v>5863</v>
      </c>
      <c r="I1808" s="2" t="s">
        <v>36</v>
      </c>
      <c r="J1808" s="2" t="s">
        <v>37</v>
      </c>
      <c r="K1808" s="2" t="s">
        <v>38</v>
      </c>
      <c r="L1808" s="2" t="s">
        <v>38</v>
      </c>
      <c r="M1808" s="2" t="s">
        <v>38</v>
      </c>
      <c r="N1808" s="2" t="s">
        <v>38</v>
      </c>
      <c r="O1808" s="2" t="s">
        <v>38</v>
      </c>
      <c r="P1808" s="2" t="s">
        <v>38</v>
      </c>
      <c r="Q1808" s="2" t="s">
        <v>39</v>
      </c>
      <c r="R1808" s="2" t="s">
        <v>38</v>
      </c>
      <c r="S1808" s="2" t="s">
        <v>38</v>
      </c>
      <c r="T1808" s="2" t="s">
        <v>38</v>
      </c>
      <c r="U1808" s="2" t="s">
        <v>39</v>
      </c>
      <c r="V1808" s="2" t="s">
        <v>38</v>
      </c>
      <c r="W1808" s="2" t="s">
        <v>38</v>
      </c>
      <c r="X1808" s="2" t="s">
        <v>38</v>
      </c>
      <c r="Y1808" s="2" t="s">
        <v>38</v>
      </c>
      <c r="Z1808" s="2" t="s">
        <v>38</v>
      </c>
      <c r="AA1808" s="2" t="s">
        <v>39</v>
      </c>
      <c r="AB1808" s="2" t="s">
        <v>38</v>
      </c>
      <c r="AC1808" s="2" t="s">
        <v>38</v>
      </c>
      <c r="AD1808" s="2" t="s">
        <v>38</v>
      </c>
      <c r="AE1808" s="2"/>
    </row>
    <row r="1809" spans="1:31" ht="409.5">
      <c r="A1809" s="2">
        <v>2730664</v>
      </c>
      <c r="B1809" s="2">
        <f>HYPERLINK("https://platform.v2.vetology.net/cases/2730664/screening-report/1?type=pdf&amp;v=v6&amp;scorecard=1&amp;secret_key=BX%25IJ%24%2F65ieZ%29f6", 2730664)</f>
        <v>2730664</v>
      </c>
      <c r="C1809" s="2">
        <f>HYPERLINK("https://platform.v2.vetology.net/report/v/final/"&amp;2730664, 2730664)</f>
        <v>2730664</v>
      </c>
      <c r="D1809" s="2" t="s">
        <v>5864</v>
      </c>
      <c r="E1809" s="2" t="s">
        <v>5865</v>
      </c>
      <c r="F1809" s="2" t="s">
        <v>5466</v>
      </c>
      <c r="G1809" s="2" t="s">
        <v>111</v>
      </c>
      <c r="H1809" s="2" t="s">
        <v>5866</v>
      </c>
      <c r="I1809" s="2" t="s">
        <v>36</v>
      </c>
      <c r="J1809" s="2" t="s">
        <v>37</v>
      </c>
      <c r="K1809" s="2" t="s">
        <v>38</v>
      </c>
      <c r="L1809" s="2" t="s">
        <v>39</v>
      </c>
      <c r="M1809" s="2" t="s">
        <v>38</v>
      </c>
      <c r="N1809" s="2" t="s">
        <v>38</v>
      </c>
      <c r="O1809" s="2" t="s">
        <v>38</v>
      </c>
      <c r="P1809" s="2" t="s">
        <v>39</v>
      </c>
      <c r="Q1809" s="2" t="s">
        <v>39</v>
      </c>
      <c r="R1809" s="2" t="s">
        <v>38</v>
      </c>
      <c r="S1809" s="2" t="s">
        <v>39</v>
      </c>
      <c r="T1809" s="2" t="s">
        <v>39</v>
      </c>
      <c r="U1809" s="2" t="s">
        <v>38</v>
      </c>
      <c r="V1809" s="2" t="s">
        <v>39</v>
      </c>
      <c r="W1809" s="2" t="s">
        <v>38</v>
      </c>
      <c r="X1809" s="2" t="s">
        <v>39</v>
      </c>
      <c r="Y1809" s="2" t="s">
        <v>39</v>
      </c>
      <c r="Z1809" s="2" t="s">
        <v>39</v>
      </c>
      <c r="AA1809" s="2" t="s">
        <v>39</v>
      </c>
      <c r="AB1809" s="2" t="s">
        <v>39</v>
      </c>
      <c r="AC1809" s="2" t="s">
        <v>39</v>
      </c>
      <c r="AD1809" s="2" t="s">
        <v>39</v>
      </c>
      <c r="AE1809" s="2"/>
    </row>
    <row r="1810" spans="1:31" ht="409.5">
      <c r="A1810" s="2">
        <v>2730620</v>
      </c>
      <c r="B1810" s="2">
        <f>HYPERLINK("https://platform.v2.vetology.net/cases/2730620/screening-report/1?type=pdf&amp;v=v6&amp;scorecard=1&amp;secret_key=BX%25IJ%24%2F65ieZ%29f6", 2730620)</f>
        <v>2730620</v>
      </c>
      <c r="C1810" s="2">
        <f>HYPERLINK("https://platform.v2.vetology.net/report/v/final/"&amp;2730620, 2730620)</f>
        <v>2730620</v>
      </c>
      <c r="D1810" s="2" t="s">
        <v>5867</v>
      </c>
      <c r="E1810" s="2" t="s">
        <v>5868</v>
      </c>
      <c r="F1810" s="2" t="s">
        <v>2434</v>
      </c>
      <c r="G1810" s="2" t="s">
        <v>111</v>
      </c>
      <c r="H1810" s="2" t="s">
        <v>5503</v>
      </c>
      <c r="I1810" s="2" t="s">
        <v>36</v>
      </c>
      <c r="J1810" s="2" t="s">
        <v>37</v>
      </c>
      <c r="K1810" s="2" t="s">
        <v>38</v>
      </c>
      <c r="L1810" s="2" t="s">
        <v>38</v>
      </c>
      <c r="M1810" s="2" t="s">
        <v>39</v>
      </c>
      <c r="N1810" s="2" t="s">
        <v>39</v>
      </c>
      <c r="O1810" s="2" t="s">
        <v>39</v>
      </c>
      <c r="P1810" s="2" t="s">
        <v>39</v>
      </c>
      <c r="Q1810" s="2" t="s">
        <v>39</v>
      </c>
      <c r="R1810" s="2" t="s">
        <v>38</v>
      </c>
      <c r="S1810" s="2" t="s">
        <v>38</v>
      </c>
      <c r="T1810" s="2" t="s">
        <v>38</v>
      </c>
      <c r="U1810" s="2" t="s">
        <v>38</v>
      </c>
      <c r="V1810" s="2" t="s">
        <v>39</v>
      </c>
      <c r="W1810" s="2" t="s">
        <v>38</v>
      </c>
      <c r="X1810" s="2" t="s">
        <v>39</v>
      </c>
      <c r="Y1810" s="2" t="s">
        <v>39</v>
      </c>
      <c r="Z1810" s="2" t="s">
        <v>38</v>
      </c>
      <c r="AA1810" s="2" t="s">
        <v>38</v>
      </c>
      <c r="AB1810" s="2" t="s">
        <v>39</v>
      </c>
      <c r="AC1810" s="2" t="s">
        <v>38</v>
      </c>
      <c r="AD1810" s="2" t="s">
        <v>38</v>
      </c>
      <c r="AE1810" s="2" t="s">
        <v>39</v>
      </c>
    </row>
    <row r="1811" spans="1:31" ht="409.5">
      <c r="A1811" s="2">
        <v>2730600</v>
      </c>
      <c r="B1811" s="2">
        <f>HYPERLINK("https://platform.v2.vetology.net/cases/2730600/screening-report/1?type=pdf&amp;v=v6&amp;scorecard=1&amp;secret_key=BX%25IJ%24%2F65ieZ%29f6", 2730600)</f>
        <v>2730600</v>
      </c>
      <c r="C1811" s="2">
        <f>HYPERLINK("https://platform.v2.vetology.net/report/v/final/"&amp;2730600, 2730600)</f>
        <v>2730600</v>
      </c>
      <c r="D1811" s="2" t="s">
        <v>5869</v>
      </c>
      <c r="E1811" s="2" t="s">
        <v>5870</v>
      </c>
      <c r="F1811" s="2" t="s">
        <v>5871</v>
      </c>
      <c r="G1811" s="2" t="s">
        <v>170</v>
      </c>
      <c r="H1811" s="2" t="s">
        <v>5872</v>
      </c>
      <c r="I1811" s="2" t="s">
        <v>36</v>
      </c>
      <c r="J1811" s="2" t="s">
        <v>37</v>
      </c>
      <c r="K1811" s="2" t="s">
        <v>38</v>
      </c>
      <c r="L1811" s="2" t="s">
        <v>38</v>
      </c>
      <c r="M1811" s="2" t="s">
        <v>38</v>
      </c>
      <c r="N1811" s="2" t="s">
        <v>38</v>
      </c>
      <c r="O1811" s="2" t="s">
        <v>38</v>
      </c>
      <c r="P1811" s="2" t="s">
        <v>39</v>
      </c>
      <c r="Q1811" s="2" t="s">
        <v>39</v>
      </c>
      <c r="R1811" s="2" t="s">
        <v>38</v>
      </c>
      <c r="S1811" s="2" t="s">
        <v>38</v>
      </c>
      <c r="T1811" s="2" t="s">
        <v>38</v>
      </c>
      <c r="U1811" s="2" t="s">
        <v>39</v>
      </c>
      <c r="V1811" s="2" t="s">
        <v>38</v>
      </c>
      <c r="W1811" s="2" t="s">
        <v>38</v>
      </c>
      <c r="X1811" s="2" t="s">
        <v>39</v>
      </c>
      <c r="Y1811" s="2" t="s">
        <v>39</v>
      </c>
      <c r="Z1811" s="2" t="s">
        <v>38</v>
      </c>
      <c r="AA1811" s="2" t="s">
        <v>38</v>
      </c>
      <c r="AB1811" s="2" t="s">
        <v>39</v>
      </c>
      <c r="AC1811" s="2" t="s">
        <v>38</v>
      </c>
      <c r="AD1811" s="2" t="s">
        <v>39</v>
      </c>
      <c r="AE1811" s="2" t="s">
        <v>39</v>
      </c>
    </row>
    <row r="1812" spans="1:31" ht="409.5">
      <c r="A1812" s="2">
        <v>2730599</v>
      </c>
      <c r="B1812" s="2">
        <f>HYPERLINK("https://platform.v2.vetology.net/cases/2730599/screening-report/1?type=pdf&amp;v=v6&amp;scorecard=1&amp;secret_key=BX%25IJ%24%2F65ieZ%29f6", 2730599)</f>
        <v>2730599</v>
      </c>
      <c r="C1812" s="2">
        <f>HYPERLINK("https://platform.v2.vetology.net/report/v/final/"&amp;2730599, 2730599)</f>
        <v>2730599</v>
      </c>
      <c r="D1812" s="2" t="s">
        <v>5873</v>
      </c>
      <c r="E1812" s="2" t="s">
        <v>5874</v>
      </c>
      <c r="F1812" s="2" t="s">
        <v>5875</v>
      </c>
      <c r="G1812" s="2" t="s">
        <v>44</v>
      </c>
      <c r="H1812" s="2" t="s">
        <v>5876</v>
      </c>
      <c r="I1812" s="2" t="s">
        <v>129</v>
      </c>
      <c r="J1812" s="2" t="s">
        <v>74</v>
      </c>
      <c r="K1812" s="2" t="s">
        <v>38</v>
      </c>
      <c r="L1812" s="2" t="s">
        <v>38</v>
      </c>
      <c r="M1812" s="2" t="s">
        <v>38</v>
      </c>
      <c r="N1812" s="2" t="s">
        <v>38</v>
      </c>
      <c r="O1812" s="2" t="s">
        <v>38</v>
      </c>
      <c r="P1812" s="2" t="s">
        <v>38</v>
      </c>
      <c r="Q1812" s="2" t="s">
        <v>38</v>
      </c>
      <c r="R1812" s="2" t="s">
        <v>39</v>
      </c>
      <c r="S1812" s="2" t="s">
        <v>39</v>
      </c>
      <c r="T1812" s="2" t="s">
        <v>38</v>
      </c>
      <c r="U1812" s="2" t="s">
        <v>39</v>
      </c>
      <c r="V1812" s="2" t="s">
        <v>38</v>
      </c>
      <c r="W1812" s="2" t="s">
        <v>38</v>
      </c>
      <c r="X1812" s="2" t="s">
        <v>38</v>
      </c>
      <c r="Y1812" s="2" t="s">
        <v>39</v>
      </c>
      <c r="Z1812" s="2" t="s">
        <v>39</v>
      </c>
      <c r="AA1812" s="2" t="s">
        <v>39</v>
      </c>
      <c r="AB1812" s="2" t="s">
        <v>39</v>
      </c>
      <c r="AC1812" s="2" t="s">
        <v>38</v>
      </c>
      <c r="AD1812" s="2" t="s">
        <v>39</v>
      </c>
      <c r="AE1812" s="2" t="s">
        <v>40</v>
      </c>
    </row>
    <row r="1813" spans="1:31" ht="409.5">
      <c r="A1813" s="2">
        <v>2730586</v>
      </c>
      <c r="B1813" s="2">
        <f>HYPERLINK("https://platform.v2.vetology.net/cases/2730586/screening-report/1?type=pdf&amp;v=v6&amp;scorecard=1&amp;secret_key=BX%25IJ%24%2F65ieZ%29f6", 2730586)</f>
        <v>2730586</v>
      </c>
      <c r="C1813" s="2">
        <f>HYPERLINK("https://platform.v2.vetology.net/report/v/final/"&amp;2730586, 2730586)</f>
        <v>2730586</v>
      </c>
      <c r="D1813" s="2" t="s">
        <v>5877</v>
      </c>
      <c r="E1813" s="2" t="s">
        <v>5878</v>
      </c>
      <c r="F1813" s="2" t="s">
        <v>5879</v>
      </c>
      <c r="G1813" s="2" t="s">
        <v>34</v>
      </c>
      <c r="H1813" s="2" t="s">
        <v>5880</v>
      </c>
      <c r="I1813" s="2" t="s">
        <v>73</v>
      </c>
      <c r="J1813" s="2" t="s">
        <v>74</v>
      </c>
      <c r="K1813" s="2" t="s">
        <v>38</v>
      </c>
      <c r="L1813" s="2" t="s">
        <v>38</v>
      </c>
      <c r="M1813" s="2" t="s">
        <v>38</v>
      </c>
      <c r="N1813" s="2" t="s">
        <v>38</v>
      </c>
      <c r="O1813" s="2" t="s">
        <v>38</v>
      </c>
      <c r="P1813" s="2" t="s">
        <v>38</v>
      </c>
      <c r="Q1813" s="2" t="s">
        <v>38</v>
      </c>
      <c r="R1813" s="2" t="s">
        <v>38</v>
      </c>
      <c r="S1813" s="2" t="s">
        <v>38</v>
      </c>
      <c r="T1813" s="2" t="s">
        <v>38</v>
      </c>
      <c r="U1813" s="2" t="s">
        <v>38</v>
      </c>
      <c r="V1813" s="2" t="s">
        <v>38</v>
      </c>
      <c r="W1813" s="2" t="s">
        <v>38</v>
      </c>
      <c r="X1813" s="2" t="s">
        <v>38</v>
      </c>
      <c r="Y1813" s="2" t="s">
        <v>38</v>
      </c>
      <c r="Z1813" s="2" t="s">
        <v>38</v>
      </c>
      <c r="AA1813" s="2" t="s">
        <v>38</v>
      </c>
      <c r="AB1813" s="2" t="s">
        <v>38</v>
      </c>
      <c r="AC1813" s="2" t="s">
        <v>38</v>
      </c>
      <c r="AD1813" s="2" t="s">
        <v>38</v>
      </c>
      <c r="AE1813" s="2" t="s">
        <v>40</v>
      </c>
    </row>
    <row r="1814" spans="1:31" ht="409.5">
      <c r="A1814" s="2">
        <v>2730538</v>
      </c>
      <c r="B1814" s="2">
        <f>HYPERLINK("https://platform.v2.vetology.net/cases/2730538/screening-report/1?type=pdf&amp;v=v6&amp;scorecard=1&amp;secret_key=BX%25IJ%24%2F65ieZ%29f6", 2730538)</f>
        <v>2730538</v>
      </c>
      <c r="C1814" s="2">
        <f>HYPERLINK("https://platform.v2.vetology.net/report/v/final/"&amp;2730538, 2730538)</f>
        <v>2730538</v>
      </c>
      <c r="D1814" s="2" t="s">
        <v>5881</v>
      </c>
      <c r="E1814" s="2" t="s">
        <v>5882</v>
      </c>
      <c r="F1814" s="2" t="s">
        <v>43</v>
      </c>
      <c r="G1814" s="2" t="s">
        <v>44</v>
      </c>
      <c r="H1814" s="2" t="s">
        <v>5883</v>
      </c>
      <c r="I1814" s="2" t="s">
        <v>36</v>
      </c>
      <c r="J1814" s="2" t="s">
        <v>37</v>
      </c>
      <c r="K1814" s="2" t="s">
        <v>39</v>
      </c>
      <c r="L1814" s="2" t="s">
        <v>39</v>
      </c>
      <c r="M1814" s="2" t="s">
        <v>38</v>
      </c>
      <c r="N1814" s="2" t="s">
        <v>38</v>
      </c>
      <c r="O1814" s="2" t="s">
        <v>38</v>
      </c>
      <c r="P1814" s="2" t="s">
        <v>38</v>
      </c>
      <c r="Q1814" s="2" t="s">
        <v>39</v>
      </c>
      <c r="R1814" s="2" t="s">
        <v>38</v>
      </c>
      <c r="S1814" s="2" t="s">
        <v>39</v>
      </c>
      <c r="T1814" s="2" t="s">
        <v>38</v>
      </c>
      <c r="U1814" s="2" t="s">
        <v>39</v>
      </c>
      <c r="V1814" s="2" t="s">
        <v>38</v>
      </c>
      <c r="W1814" s="2" t="s">
        <v>38</v>
      </c>
      <c r="X1814" s="2" t="s">
        <v>39</v>
      </c>
      <c r="Y1814" s="2" t="s">
        <v>39</v>
      </c>
      <c r="Z1814" s="2" t="s">
        <v>38</v>
      </c>
      <c r="AA1814" s="2" t="s">
        <v>39</v>
      </c>
      <c r="AB1814" s="2" t="s">
        <v>39</v>
      </c>
      <c r="AC1814" s="2" t="s">
        <v>38</v>
      </c>
      <c r="AD1814" s="2" t="s">
        <v>39</v>
      </c>
      <c r="AE1814" s="2" t="s">
        <v>39</v>
      </c>
    </row>
    <row r="1815" spans="1:31" ht="409.5">
      <c r="A1815" s="2">
        <v>2730488</v>
      </c>
      <c r="B1815" s="2">
        <f>HYPERLINK("https://platform.v2.vetology.net/cases/2730488/screening-report/1?type=pdf&amp;v=v6&amp;scorecard=1&amp;secret_key=BX%25IJ%24%2F65ieZ%29f6", 2730488)</f>
        <v>2730488</v>
      </c>
      <c r="C1815" s="2">
        <f>HYPERLINK("https://platform.v2.vetology.net/report/v/final/"&amp;2730488, 2730488)</f>
        <v>2730488</v>
      </c>
      <c r="D1815" s="2" t="s">
        <v>5884</v>
      </c>
      <c r="E1815" s="2" t="s">
        <v>5885</v>
      </c>
      <c r="F1815" s="2" t="s">
        <v>5886</v>
      </c>
      <c r="G1815" s="2" t="s">
        <v>53</v>
      </c>
      <c r="H1815" s="2" t="s">
        <v>62</v>
      </c>
      <c r="I1815" s="2" t="s">
        <v>46</v>
      </c>
      <c r="J1815" s="2"/>
      <c r="K1815" s="2" t="s">
        <v>39</v>
      </c>
      <c r="L1815" s="2" t="s">
        <v>39</v>
      </c>
      <c r="M1815" s="2" t="s">
        <v>39</v>
      </c>
      <c r="N1815" s="2" t="s">
        <v>39</v>
      </c>
      <c r="O1815" s="2" t="s">
        <v>38</v>
      </c>
      <c r="P1815" s="2" t="s">
        <v>39</v>
      </c>
      <c r="Q1815" s="2" t="s">
        <v>39</v>
      </c>
      <c r="R1815" s="2" t="s">
        <v>38</v>
      </c>
      <c r="S1815" s="2" t="s">
        <v>38</v>
      </c>
      <c r="T1815" s="2" t="s">
        <v>39</v>
      </c>
      <c r="U1815" s="2" t="s">
        <v>39</v>
      </c>
      <c r="V1815" s="2" t="s">
        <v>39</v>
      </c>
      <c r="W1815" s="2" t="s">
        <v>38</v>
      </c>
      <c r="X1815" s="2" t="s">
        <v>39</v>
      </c>
      <c r="Y1815" s="2" t="s">
        <v>39</v>
      </c>
      <c r="Z1815" s="2" t="s">
        <v>38</v>
      </c>
      <c r="AA1815" s="2" t="s">
        <v>38</v>
      </c>
      <c r="AB1815" s="2" t="s">
        <v>39</v>
      </c>
      <c r="AC1815" s="2" t="s">
        <v>38</v>
      </c>
      <c r="AD1815" s="2" t="s">
        <v>38</v>
      </c>
      <c r="AE1815" s="2" t="s">
        <v>40</v>
      </c>
    </row>
    <row r="1816" spans="1:31" ht="409.5">
      <c r="A1816" s="2">
        <v>2730484</v>
      </c>
      <c r="B1816" s="2">
        <f>HYPERLINK("https://platform.v2.vetology.net/cases/2730484/screening-report/1?type=pdf&amp;v=v6&amp;scorecard=1&amp;secret_key=BX%25IJ%24%2F65ieZ%29f6", 2730484)</f>
        <v>2730484</v>
      </c>
      <c r="C1816" s="2">
        <f>HYPERLINK("https://platform.v2.vetology.net/report/v/final/"&amp;2730484, 2730484)</f>
        <v>2730484</v>
      </c>
      <c r="D1816" s="2" t="s">
        <v>5887</v>
      </c>
      <c r="E1816" s="2" t="s">
        <v>5888</v>
      </c>
      <c r="F1816" s="2" t="s">
        <v>5889</v>
      </c>
      <c r="G1816" s="2" t="s">
        <v>111</v>
      </c>
      <c r="H1816" s="2" t="s">
        <v>5890</v>
      </c>
      <c r="I1816" s="2" t="s">
        <v>36</v>
      </c>
      <c r="J1816" s="2" t="s">
        <v>37</v>
      </c>
      <c r="K1816" s="2" t="s">
        <v>38</v>
      </c>
      <c r="L1816" s="2" t="s">
        <v>38</v>
      </c>
      <c r="M1816" s="2" t="s">
        <v>39</v>
      </c>
      <c r="N1816" s="2" t="s">
        <v>38</v>
      </c>
      <c r="O1816" s="2" t="s">
        <v>39</v>
      </c>
      <c r="P1816" s="2" t="s">
        <v>39</v>
      </c>
      <c r="Q1816" s="2" t="s">
        <v>39</v>
      </c>
      <c r="R1816" s="2" t="s">
        <v>38</v>
      </c>
      <c r="S1816" s="2" t="s">
        <v>38</v>
      </c>
      <c r="T1816" s="2" t="s">
        <v>39</v>
      </c>
      <c r="U1816" s="2" t="s">
        <v>39</v>
      </c>
      <c r="V1816" s="2" t="s">
        <v>38</v>
      </c>
      <c r="W1816" s="2" t="s">
        <v>39</v>
      </c>
      <c r="X1816" s="2" t="s">
        <v>39</v>
      </c>
      <c r="Y1816" s="2" t="s">
        <v>38</v>
      </c>
      <c r="Z1816" s="2" t="s">
        <v>39</v>
      </c>
      <c r="AA1816" s="2" t="s">
        <v>38</v>
      </c>
      <c r="AB1816" s="2" t="s">
        <v>39</v>
      </c>
      <c r="AC1816" s="2" t="s">
        <v>38</v>
      </c>
      <c r="AD1816" s="2" t="s">
        <v>39</v>
      </c>
      <c r="AE1816" s="2" t="s">
        <v>40</v>
      </c>
    </row>
    <row r="1817" spans="1:31" ht="409.5">
      <c r="A1817" s="2">
        <v>2730436</v>
      </c>
      <c r="B1817" s="2">
        <f>HYPERLINK("https://platform.v2.vetology.net/cases/2730436/screening-report/1?type=pdf&amp;v=v6&amp;scorecard=1&amp;secret_key=BX%25IJ%24%2F65ieZ%29f6", 2730436)</f>
        <v>2730436</v>
      </c>
      <c r="C1817" s="2">
        <f>HYPERLINK("https://platform.v2.vetology.net/report/v/final/"&amp;2730436, 2730436)</f>
        <v>2730436</v>
      </c>
      <c r="D1817" s="2" t="s">
        <v>5891</v>
      </c>
      <c r="E1817" s="2" t="s">
        <v>5892</v>
      </c>
      <c r="F1817" s="2" t="s">
        <v>43</v>
      </c>
      <c r="G1817" s="2" t="s">
        <v>44</v>
      </c>
      <c r="H1817" s="2" t="s">
        <v>69</v>
      </c>
      <c r="I1817" s="2" t="s">
        <v>46</v>
      </c>
      <c r="J1817" s="2"/>
      <c r="K1817" s="2" t="s">
        <v>39</v>
      </c>
      <c r="L1817" s="2" t="s">
        <v>39</v>
      </c>
      <c r="M1817" s="2" t="s">
        <v>39</v>
      </c>
      <c r="N1817" s="2" t="s">
        <v>39</v>
      </c>
      <c r="O1817" s="2" t="s">
        <v>39</v>
      </c>
      <c r="P1817" s="2" t="s">
        <v>39</v>
      </c>
      <c r="Q1817" s="2" t="s">
        <v>39</v>
      </c>
      <c r="R1817" s="2" t="s">
        <v>39</v>
      </c>
      <c r="S1817" s="2" t="s">
        <v>39</v>
      </c>
      <c r="T1817" s="2" t="s">
        <v>38</v>
      </c>
      <c r="U1817" s="2" t="s">
        <v>39</v>
      </c>
      <c r="V1817" s="2" t="s">
        <v>39</v>
      </c>
      <c r="W1817" s="2" t="s">
        <v>39</v>
      </c>
      <c r="X1817" s="2" t="s">
        <v>39</v>
      </c>
      <c r="Y1817" s="2" t="s">
        <v>39</v>
      </c>
      <c r="Z1817" s="2" t="s">
        <v>39</v>
      </c>
      <c r="AA1817" s="2" t="s">
        <v>39</v>
      </c>
      <c r="AB1817" s="2" t="s">
        <v>39</v>
      </c>
      <c r="AC1817" s="2" t="s">
        <v>38</v>
      </c>
      <c r="AD1817" s="2" t="s">
        <v>39</v>
      </c>
      <c r="AE1817" s="2" t="s">
        <v>39</v>
      </c>
    </row>
    <row r="1818" spans="1:31" ht="409.5">
      <c r="A1818" s="2">
        <v>2730426</v>
      </c>
      <c r="B1818" s="2">
        <f>HYPERLINK("https://platform.v2.vetology.net/cases/2730426/screening-report/1?type=pdf&amp;v=v6&amp;scorecard=1&amp;secret_key=BX%25IJ%24%2F65ieZ%29f6", 2730426)</f>
        <v>2730426</v>
      </c>
      <c r="C1818" s="2">
        <f>HYPERLINK("https://platform.v2.vetology.net/report/v/final/"&amp;2730426, 2730426)</f>
        <v>2730426</v>
      </c>
      <c r="D1818" s="2" t="s">
        <v>5893</v>
      </c>
      <c r="E1818" s="2" t="s">
        <v>5894</v>
      </c>
      <c r="F1818" s="2" t="s">
        <v>5895</v>
      </c>
      <c r="G1818" s="2" t="s">
        <v>34</v>
      </c>
      <c r="H1818" s="2" t="s">
        <v>69</v>
      </c>
      <c r="I1818" s="2" t="s">
        <v>46</v>
      </c>
      <c r="J1818" s="2"/>
      <c r="K1818" s="2" t="s">
        <v>39</v>
      </c>
      <c r="L1818" s="2" t="s">
        <v>39</v>
      </c>
      <c r="M1818" s="2" t="s">
        <v>39</v>
      </c>
      <c r="N1818" s="2" t="s">
        <v>39</v>
      </c>
      <c r="O1818" s="2" t="s">
        <v>39</v>
      </c>
      <c r="P1818" s="2" t="s">
        <v>39</v>
      </c>
      <c r="Q1818" s="2" t="s">
        <v>39</v>
      </c>
      <c r="R1818" s="2" t="s">
        <v>39</v>
      </c>
      <c r="S1818" s="2" t="s">
        <v>39</v>
      </c>
      <c r="T1818" s="2" t="s">
        <v>39</v>
      </c>
      <c r="U1818" s="2" t="s">
        <v>39</v>
      </c>
      <c r="V1818" s="2" t="s">
        <v>39</v>
      </c>
      <c r="W1818" s="2" t="s">
        <v>38</v>
      </c>
      <c r="X1818" s="2" t="s">
        <v>39</v>
      </c>
      <c r="Y1818" s="2" t="s">
        <v>39</v>
      </c>
      <c r="Z1818" s="2" t="s">
        <v>39</v>
      </c>
      <c r="AA1818" s="2" t="s">
        <v>39</v>
      </c>
      <c r="AB1818" s="2" t="s">
        <v>39</v>
      </c>
      <c r="AC1818" s="2" t="s">
        <v>39</v>
      </c>
      <c r="AD1818" s="2" t="s">
        <v>39</v>
      </c>
      <c r="AE1818" s="2"/>
    </row>
    <row r="1819" spans="1:31" ht="409.5">
      <c r="A1819" s="2">
        <v>2730424</v>
      </c>
      <c r="B1819" s="2">
        <f>HYPERLINK("https://platform.v2.vetology.net/cases/2730424/screening-report/1?type=pdf&amp;v=v6&amp;scorecard=1&amp;secret_key=BX%25IJ%24%2F65ieZ%29f6", 2730424)</f>
        <v>2730424</v>
      </c>
      <c r="C1819" s="2">
        <f>HYPERLINK("https://platform.v2.vetology.net/report/v/final/"&amp;2730424, 2730424)</f>
        <v>2730424</v>
      </c>
      <c r="D1819" s="2" t="s">
        <v>5896</v>
      </c>
      <c r="E1819" s="2" t="s">
        <v>5897</v>
      </c>
      <c r="F1819" s="2" t="s">
        <v>5898</v>
      </c>
      <c r="G1819" s="2" t="s">
        <v>34</v>
      </c>
      <c r="H1819" s="2" t="s">
        <v>5899</v>
      </c>
      <c r="I1819" s="2" t="s">
        <v>73</v>
      </c>
      <c r="J1819" s="2" t="s">
        <v>74</v>
      </c>
      <c r="K1819" s="2" t="s">
        <v>38</v>
      </c>
      <c r="L1819" s="2" t="s">
        <v>38</v>
      </c>
      <c r="M1819" s="2" t="s">
        <v>38</v>
      </c>
      <c r="N1819" s="2" t="s">
        <v>38</v>
      </c>
      <c r="O1819" s="2" t="s">
        <v>38</v>
      </c>
      <c r="P1819" s="2" t="s">
        <v>38</v>
      </c>
      <c r="Q1819" s="2" t="s">
        <v>38</v>
      </c>
      <c r="R1819" s="2" t="s">
        <v>39</v>
      </c>
      <c r="S1819" s="2" t="s">
        <v>39</v>
      </c>
      <c r="T1819" s="2" t="s">
        <v>38</v>
      </c>
      <c r="U1819" s="2" t="s">
        <v>39</v>
      </c>
      <c r="V1819" s="2" t="s">
        <v>38</v>
      </c>
      <c r="W1819" s="2" t="s">
        <v>38</v>
      </c>
      <c r="X1819" s="2" t="s">
        <v>39</v>
      </c>
      <c r="Y1819" s="2" t="s">
        <v>38</v>
      </c>
      <c r="Z1819" s="2" t="s">
        <v>38</v>
      </c>
      <c r="AA1819" s="2" t="s">
        <v>38</v>
      </c>
      <c r="AB1819" s="2" t="s">
        <v>39</v>
      </c>
      <c r="AC1819" s="2" t="s">
        <v>38</v>
      </c>
      <c r="AD1819" s="2" t="s">
        <v>38</v>
      </c>
      <c r="AE1819" s="2" t="s">
        <v>39</v>
      </c>
    </row>
    <row r="1820" spans="1:31" ht="409.5">
      <c r="A1820" s="2">
        <v>2730423</v>
      </c>
      <c r="B1820" s="2">
        <f>HYPERLINK("https://platform.v2.vetology.net/cases/2730423/screening-report/1?type=pdf&amp;v=v6&amp;scorecard=1&amp;secret_key=BX%25IJ%24%2F65ieZ%29f6", 2730423)</f>
        <v>2730423</v>
      </c>
      <c r="C1820" s="2">
        <f>HYPERLINK("https://platform.v2.vetology.net/report/v/final/"&amp;2730423, 2730423)</f>
        <v>2730423</v>
      </c>
      <c r="D1820" s="2" t="s">
        <v>5900</v>
      </c>
      <c r="E1820" s="2" t="s">
        <v>854</v>
      </c>
      <c r="F1820" s="2" t="s">
        <v>5901</v>
      </c>
      <c r="G1820" s="2" t="s">
        <v>111</v>
      </c>
      <c r="H1820" s="2" t="s">
        <v>4932</v>
      </c>
      <c r="I1820" s="2" t="s">
        <v>36</v>
      </c>
      <c r="J1820" s="2" t="s">
        <v>37</v>
      </c>
      <c r="K1820" s="2" t="s">
        <v>39</v>
      </c>
      <c r="L1820" s="2" t="s">
        <v>38</v>
      </c>
      <c r="M1820" s="2" t="s">
        <v>38</v>
      </c>
      <c r="N1820" s="2" t="s">
        <v>39</v>
      </c>
      <c r="O1820" s="2" t="s">
        <v>39</v>
      </c>
      <c r="P1820" s="2" t="s">
        <v>39</v>
      </c>
      <c r="Q1820" s="2" t="s">
        <v>39</v>
      </c>
      <c r="R1820" s="2" t="s">
        <v>38</v>
      </c>
      <c r="S1820" s="2" t="s">
        <v>38</v>
      </c>
      <c r="T1820" s="2" t="s">
        <v>38</v>
      </c>
      <c r="U1820" s="2" t="s">
        <v>39</v>
      </c>
      <c r="V1820" s="2" t="s">
        <v>38</v>
      </c>
      <c r="W1820" s="2" t="s">
        <v>38</v>
      </c>
      <c r="X1820" s="2" t="s">
        <v>39</v>
      </c>
      <c r="Y1820" s="2" t="s">
        <v>39</v>
      </c>
      <c r="Z1820" s="2" t="s">
        <v>38</v>
      </c>
      <c r="AA1820" s="2" t="s">
        <v>39</v>
      </c>
      <c r="AB1820" s="2" t="s">
        <v>39</v>
      </c>
      <c r="AC1820" s="2" t="s">
        <v>38</v>
      </c>
      <c r="AD1820" s="2" t="s">
        <v>38</v>
      </c>
      <c r="AE1820" s="2" t="s">
        <v>40</v>
      </c>
    </row>
    <row r="1821" spans="1:31" ht="409.5">
      <c r="A1821" s="2">
        <v>2730418</v>
      </c>
      <c r="B1821" s="2">
        <f>HYPERLINK("https://platform.v2.vetology.net/cases/2730418/screening-report/1?type=pdf&amp;v=v6&amp;scorecard=1&amp;secret_key=BX%25IJ%24%2F65ieZ%29f6", 2730418)</f>
        <v>2730418</v>
      </c>
      <c r="C1821" s="2">
        <f>HYPERLINK("https://platform.v2.vetology.net/report/v/final/"&amp;2730418, 2730418)</f>
        <v>2730418</v>
      </c>
      <c r="D1821" s="2" t="s">
        <v>5902</v>
      </c>
      <c r="E1821" s="2" t="s">
        <v>5903</v>
      </c>
      <c r="F1821" s="2" t="s">
        <v>5904</v>
      </c>
      <c r="G1821" s="2" t="s">
        <v>53</v>
      </c>
      <c r="H1821" s="2" t="s">
        <v>5905</v>
      </c>
      <c r="I1821" s="2" t="s">
        <v>73</v>
      </c>
      <c r="J1821" s="2" t="s">
        <v>74</v>
      </c>
      <c r="K1821" s="2" t="s">
        <v>38</v>
      </c>
      <c r="L1821" s="2" t="s">
        <v>38</v>
      </c>
      <c r="M1821" s="2" t="s">
        <v>38</v>
      </c>
      <c r="N1821" s="2" t="s">
        <v>38</v>
      </c>
      <c r="O1821" s="2" t="s">
        <v>38</v>
      </c>
      <c r="P1821" s="2" t="s">
        <v>38</v>
      </c>
      <c r="Q1821" s="2" t="s">
        <v>38</v>
      </c>
      <c r="R1821" s="2" t="s">
        <v>38</v>
      </c>
      <c r="S1821" s="2" t="s">
        <v>38</v>
      </c>
      <c r="T1821" s="2" t="s">
        <v>38</v>
      </c>
      <c r="U1821" s="2" t="s">
        <v>38</v>
      </c>
      <c r="V1821" s="2" t="s">
        <v>38</v>
      </c>
      <c r="W1821" s="2" t="s">
        <v>38</v>
      </c>
      <c r="X1821" s="2" t="s">
        <v>38</v>
      </c>
      <c r="Y1821" s="2" t="s">
        <v>38</v>
      </c>
      <c r="Z1821" s="2" t="s">
        <v>39</v>
      </c>
      <c r="AA1821" s="2" t="s">
        <v>38</v>
      </c>
      <c r="AB1821" s="2" t="s">
        <v>38</v>
      </c>
      <c r="AC1821" s="2" t="s">
        <v>38</v>
      </c>
      <c r="AD1821" s="2" t="s">
        <v>38</v>
      </c>
      <c r="AE1821" s="2" t="s">
        <v>40</v>
      </c>
    </row>
    <row r="1822" spans="1:31" ht="409.5">
      <c r="A1822" s="2">
        <v>2730396</v>
      </c>
      <c r="B1822" s="2">
        <f>HYPERLINK("https://platform.v2.vetology.net/cases/2730396/screening-report/1?type=pdf&amp;v=v6&amp;scorecard=1&amp;secret_key=BX%25IJ%24%2F65ieZ%29f6", 2730396)</f>
        <v>2730396</v>
      </c>
      <c r="C1822" s="2">
        <f>HYPERLINK("https://platform.v2.vetology.net/report/v/final/"&amp;2730396, 2730396)</f>
        <v>2730396</v>
      </c>
      <c r="D1822" s="2" t="s">
        <v>5906</v>
      </c>
      <c r="E1822" s="2" t="s">
        <v>5907</v>
      </c>
      <c r="F1822" s="2" t="s">
        <v>5908</v>
      </c>
      <c r="G1822" s="2" t="s">
        <v>53</v>
      </c>
      <c r="H1822" s="2" t="s">
        <v>69</v>
      </c>
      <c r="I1822" s="2" t="s">
        <v>46</v>
      </c>
      <c r="J1822" s="2"/>
      <c r="K1822" s="2" t="s">
        <v>39</v>
      </c>
      <c r="L1822" s="2" t="s">
        <v>39</v>
      </c>
      <c r="M1822" s="2" t="s">
        <v>39</v>
      </c>
      <c r="N1822" s="2" t="s">
        <v>39</v>
      </c>
      <c r="O1822" s="2" t="s">
        <v>39</v>
      </c>
      <c r="P1822" s="2" t="s">
        <v>39</v>
      </c>
      <c r="Q1822" s="2" t="s">
        <v>39</v>
      </c>
      <c r="R1822" s="2" t="s">
        <v>39</v>
      </c>
      <c r="S1822" s="2" t="s">
        <v>39</v>
      </c>
      <c r="T1822" s="2" t="s">
        <v>39</v>
      </c>
      <c r="U1822" s="2" t="s">
        <v>39</v>
      </c>
      <c r="V1822" s="2" t="s">
        <v>39</v>
      </c>
      <c r="W1822" s="2" t="s">
        <v>39</v>
      </c>
      <c r="X1822" s="2" t="s">
        <v>39</v>
      </c>
      <c r="Y1822" s="2" t="s">
        <v>39</v>
      </c>
      <c r="Z1822" s="2" t="s">
        <v>39</v>
      </c>
      <c r="AA1822" s="2" t="s">
        <v>39</v>
      </c>
      <c r="AB1822" s="2" t="s">
        <v>39</v>
      </c>
      <c r="AC1822" s="2" t="s">
        <v>39</v>
      </c>
      <c r="AD1822" s="2" t="s">
        <v>39</v>
      </c>
      <c r="AE1822" s="2" t="s">
        <v>39</v>
      </c>
    </row>
    <row r="1823" spans="1:31" ht="409.5">
      <c r="A1823" s="2">
        <v>2730365</v>
      </c>
      <c r="B1823" s="2">
        <f>HYPERLINK("https://platform.v2.vetology.net/cases/2730365/screening-report/1?type=pdf&amp;v=v6&amp;scorecard=1&amp;secret_key=BX%25IJ%24%2F65ieZ%29f6", 2730365)</f>
        <v>2730365</v>
      </c>
      <c r="C1823" s="2">
        <f>HYPERLINK("https://platform.v2.vetology.net/report/v/final/"&amp;2730365, 2730365)</f>
        <v>2730365</v>
      </c>
      <c r="D1823" s="2" t="s">
        <v>5909</v>
      </c>
      <c r="E1823" s="2" t="s">
        <v>5910</v>
      </c>
      <c r="F1823" s="2" t="s">
        <v>43</v>
      </c>
      <c r="G1823" s="2" t="s">
        <v>100</v>
      </c>
      <c r="H1823" s="2" t="s">
        <v>5911</v>
      </c>
      <c r="I1823" s="2" t="s">
        <v>73</v>
      </c>
      <c r="J1823" s="2" t="s">
        <v>74</v>
      </c>
      <c r="K1823" s="2" t="s">
        <v>38</v>
      </c>
      <c r="L1823" s="2" t="s">
        <v>38</v>
      </c>
      <c r="M1823" s="2" t="s">
        <v>38</v>
      </c>
      <c r="N1823" s="2" t="s">
        <v>38</v>
      </c>
      <c r="O1823" s="2" t="s">
        <v>38</v>
      </c>
      <c r="P1823" s="2" t="s">
        <v>38</v>
      </c>
      <c r="Q1823" s="2" t="s">
        <v>38</v>
      </c>
      <c r="R1823" s="2" t="s">
        <v>39</v>
      </c>
      <c r="S1823" s="2" t="s">
        <v>38</v>
      </c>
      <c r="T1823" s="2" t="s">
        <v>38</v>
      </c>
      <c r="U1823" s="2" t="s">
        <v>38</v>
      </c>
      <c r="V1823" s="2" t="s">
        <v>38</v>
      </c>
      <c r="W1823" s="2" t="s">
        <v>38</v>
      </c>
      <c r="X1823" s="2" t="s">
        <v>38</v>
      </c>
      <c r="Y1823" s="2" t="s">
        <v>38</v>
      </c>
      <c r="Z1823" s="2" t="s">
        <v>38</v>
      </c>
      <c r="AA1823" s="2" t="s">
        <v>38</v>
      </c>
      <c r="AB1823" s="2" t="s">
        <v>39</v>
      </c>
      <c r="AC1823" s="2" t="s">
        <v>38</v>
      </c>
      <c r="AD1823" s="2" t="s">
        <v>38</v>
      </c>
      <c r="AE1823" s="2" t="s">
        <v>39</v>
      </c>
    </row>
    <row r="1824" spans="1:31" ht="409.5">
      <c r="A1824" s="2">
        <v>2730354</v>
      </c>
      <c r="B1824" s="2">
        <f>HYPERLINK("https://platform.v2.vetology.net/cases/2730354/screening-report/1?type=pdf&amp;v=v6&amp;scorecard=1&amp;secret_key=BX%25IJ%24%2F65ieZ%29f6", 2730354)</f>
        <v>2730354</v>
      </c>
      <c r="C1824" s="2">
        <f>HYPERLINK("https://platform.v2.vetology.net/report/v/final/"&amp;2730354, 2730354)</f>
        <v>2730354</v>
      </c>
      <c r="D1824" s="2" t="s">
        <v>5912</v>
      </c>
      <c r="E1824" s="2" t="s">
        <v>5913</v>
      </c>
      <c r="F1824" s="2" t="s">
        <v>5914</v>
      </c>
      <c r="G1824" s="2" t="s">
        <v>44</v>
      </c>
      <c r="H1824" s="2" t="s">
        <v>69</v>
      </c>
      <c r="I1824" s="2" t="s">
        <v>46</v>
      </c>
      <c r="J1824" s="2"/>
      <c r="K1824" s="2" t="s">
        <v>39</v>
      </c>
      <c r="L1824" s="2" t="s">
        <v>39</v>
      </c>
      <c r="M1824" s="2" t="s">
        <v>39</v>
      </c>
      <c r="N1824" s="2" t="s">
        <v>39</v>
      </c>
      <c r="O1824" s="2" t="s">
        <v>39</v>
      </c>
      <c r="P1824" s="2" t="s">
        <v>39</v>
      </c>
      <c r="Q1824" s="2" t="s">
        <v>39</v>
      </c>
      <c r="R1824" s="2" t="s">
        <v>39</v>
      </c>
      <c r="S1824" s="2" t="s">
        <v>39</v>
      </c>
      <c r="T1824" s="2" t="s">
        <v>39</v>
      </c>
      <c r="U1824" s="2" t="s">
        <v>39</v>
      </c>
      <c r="V1824" s="2" t="s">
        <v>39</v>
      </c>
      <c r="W1824" s="2" t="s">
        <v>39</v>
      </c>
      <c r="X1824" s="2" t="s">
        <v>39</v>
      </c>
      <c r="Y1824" s="2" t="s">
        <v>39</v>
      </c>
      <c r="Z1824" s="2" t="s">
        <v>39</v>
      </c>
      <c r="AA1824" s="2" t="s">
        <v>39</v>
      </c>
      <c r="AB1824" s="2" t="s">
        <v>39</v>
      </c>
      <c r="AC1824" s="2" t="s">
        <v>39</v>
      </c>
      <c r="AD1824" s="2" t="s">
        <v>39</v>
      </c>
      <c r="AE1824" s="2" t="s">
        <v>39</v>
      </c>
    </row>
    <row r="1825" spans="1:31" ht="409.5">
      <c r="A1825" s="2">
        <v>2730322</v>
      </c>
      <c r="B1825" s="2">
        <f>HYPERLINK("https://platform.v2.vetology.net/cases/2730322/screening-report/1?type=pdf&amp;v=v6&amp;scorecard=1&amp;secret_key=BX%25IJ%24%2F65ieZ%29f6", 2730322)</f>
        <v>2730322</v>
      </c>
      <c r="C1825" s="2">
        <f>HYPERLINK("https://platform.v2.vetology.net/report/v/final/"&amp;2730322, 2730322)</f>
        <v>2730322</v>
      </c>
      <c r="D1825" s="2" t="s">
        <v>5915</v>
      </c>
      <c r="E1825" s="2" t="s">
        <v>5916</v>
      </c>
      <c r="F1825" s="2" t="s">
        <v>787</v>
      </c>
      <c r="G1825" s="2" t="s">
        <v>100</v>
      </c>
      <c r="H1825" s="2" t="s">
        <v>5917</v>
      </c>
      <c r="I1825" s="2" t="s">
        <v>36</v>
      </c>
      <c r="J1825" s="2" t="s">
        <v>37</v>
      </c>
      <c r="K1825" s="2" t="s">
        <v>38</v>
      </c>
      <c r="L1825" s="2" t="s">
        <v>39</v>
      </c>
      <c r="M1825" s="2" t="s">
        <v>38</v>
      </c>
      <c r="N1825" s="2" t="s">
        <v>38</v>
      </c>
      <c r="O1825" s="2" t="s">
        <v>38</v>
      </c>
      <c r="P1825" s="2" t="s">
        <v>39</v>
      </c>
      <c r="Q1825" s="2" t="s">
        <v>39</v>
      </c>
      <c r="R1825" s="2" t="s">
        <v>38</v>
      </c>
      <c r="S1825" s="2" t="s">
        <v>38</v>
      </c>
      <c r="T1825" s="2" t="s">
        <v>38</v>
      </c>
      <c r="U1825" s="2" t="s">
        <v>38</v>
      </c>
      <c r="V1825" s="2" t="s">
        <v>38</v>
      </c>
      <c r="W1825" s="2" t="s">
        <v>38</v>
      </c>
      <c r="X1825" s="2" t="s">
        <v>39</v>
      </c>
      <c r="Y1825" s="2" t="s">
        <v>39</v>
      </c>
      <c r="Z1825" s="2" t="s">
        <v>38</v>
      </c>
      <c r="AA1825" s="2" t="s">
        <v>38</v>
      </c>
      <c r="AB1825" s="2" t="s">
        <v>39</v>
      </c>
      <c r="AC1825" s="2" t="s">
        <v>38</v>
      </c>
      <c r="AD1825" s="2" t="s">
        <v>38</v>
      </c>
      <c r="AE1825" s="2" t="s">
        <v>39</v>
      </c>
    </row>
    <row r="1826" spans="1:31" ht="409.5">
      <c r="A1826" s="2">
        <v>2730321</v>
      </c>
      <c r="B1826" s="2">
        <f>HYPERLINK("https://platform.v2.vetology.net/cases/2730321/screening-report/1?type=pdf&amp;v=v6&amp;scorecard=1&amp;secret_key=BX%25IJ%24%2F65ieZ%29f6", 2730321)</f>
        <v>2730321</v>
      </c>
      <c r="C1826" s="2">
        <f>HYPERLINK("https://platform.v2.vetology.net/report/v/final/"&amp;2730321, 2730321)</f>
        <v>2730321</v>
      </c>
      <c r="D1826" s="2" t="s">
        <v>5918</v>
      </c>
      <c r="E1826" s="2" t="s">
        <v>5919</v>
      </c>
      <c r="F1826" s="2" t="s">
        <v>5920</v>
      </c>
      <c r="G1826" s="2" t="s">
        <v>111</v>
      </c>
      <c r="H1826" s="2" t="s">
        <v>62</v>
      </c>
      <c r="I1826" s="2" t="s">
        <v>46</v>
      </c>
      <c r="J1826" s="2"/>
      <c r="K1826" s="2" t="s">
        <v>39</v>
      </c>
      <c r="L1826" s="2" t="s">
        <v>39</v>
      </c>
      <c r="M1826" s="2" t="s">
        <v>39</v>
      </c>
      <c r="N1826" s="2" t="s">
        <v>39</v>
      </c>
      <c r="O1826" s="2" t="s">
        <v>39</v>
      </c>
      <c r="P1826" s="2" t="s">
        <v>39</v>
      </c>
      <c r="Q1826" s="2" t="s">
        <v>39</v>
      </c>
      <c r="R1826" s="2" t="s">
        <v>38</v>
      </c>
      <c r="S1826" s="2" t="s">
        <v>38</v>
      </c>
      <c r="T1826" s="2" t="s">
        <v>39</v>
      </c>
      <c r="U1826" s="2" t="s">
        <v>39</v>
      </c>
      <c r="V1826" s="2" t="s">
        <v>39</v>
      </c>
      <c r="W1826" s="2" t="s">
        <v>39</v>
      </c>
      <c r="X1826" s="2" t="s">
        <v>39</v>
      </c>
      <c r="Y1826" s="2" t="s">
        <v>39</v>
      </c>
      <c r="Z1826" s="2" t="s">
        <v>38</v>
      </c>
      <c r="AA1826" s="2" t="s">
        <v>38</v>
      </c>
      <c r="AB1826" s="2" t="s">
        <v>39</v>
      </c>
      <c r="AC1826" s="2" t="s">
        <v>38</v>
      </c>
      <c r="AD1826" s="2" t="s">
        <v>38</v>
      </c>
      <c r="AE1826" s="2" t="s">
        <v>39</v>
      </c>
    </row>
    <row r="1827" spans="1:31" ht="409.5">
      <c r="A1827" s="2">
        <v>2730318</v>
      </c>
      <c r="B1827" s="2">
        <f>HYPERLINK("https://platform.v2.vetology.net/cases/2730318/screening-report/1?type=pdf&amp;v=v6&amp;scorecard=1&amp;secret_key=BX%25IJ%24%2F65ieZ%29f6", 2730318)</f>
        <v>2730318</v>
      </c>
      <c r="C1827" s="2">
        <f>HYPERLINK("https://platform.v2.vetology.net/report/v/final/"&amp;2730318, 2730318)</f>
        <v>2730318</v>
      </c>
      <c r="D1827" s="2" t="s">
        <v>5921</v>
      </c>
      <c r="E1827" s="2" t="s">
        <v>5922</v>
      </c>
      <c r="F1827" s="2" t="s">
        <v>5923</v>
      </c>
      <c r="G1827" s="2" t="s">
        <v>170</v>
      </c>
      <c r="H1827" s="2" t="s">
        <v>5924</v>
      </c>
      <c r="I1827" s="2" t="s">
        <v>257</v>
      </c>
      <c r="J1827" s="2" t="s">
        <v>74</v>
      </c>
      <c r="K1827" s="2" t="s">
        <v>38</v>
      </c>
      <c r="L1827" s="2" t="s">
        <v>38</v>
      </c>
      <c r="M1827" s="2" t="s">
        <v>38</v>
      </c>
      <c r="N1827" s="2" t="s">
        <v>38</v>
      </c>
      <c r="O1827" s="2" t="s">
        <v>38</v>
      </c>
      <c r="P1827" s="2" t="s">
        <v>38</v>
      </c>
      <c r="Q1827" s="2" t="s">
        <v>38</v>
      </c>
      <c r="R1827" s="2" t="s">
        <v>38</v>
      </c>
      <c r="S1827" s="2" t="s">
        <v>38</v>
      </c>
      <c r="T1827" s="2" t="s">
        <v>39</v>
      </c>
      <c r="U1827" s="2" t="s">
        <v>38</v>
      </c>
      <c r="V1827" s="2" t="s">
        <v>38</v>
      </c>
      <c r="W1827" s="2" t="s">
        <v>38</v>
      </c>
      <c r="X1827" s="2" t="s">
        <v>39</v>
      </c>
      <c r="Y1827" s="2" t="s">
        <v>38</v>
      </c>
      <c r="Z1827" s="2" t="s">
        <v>38</v>
      </c>
      <c r="AA1827" s="2" t="s">
        <v>38</v>
      </c>
      <c r="AB1827" s="2" t="s">
        <v>38</v>
      </c>
      <c r="AC1827" s="2" t="s">
        <v>38</v>
      </c>
      <c r="AD1827" s="2" t="s">
        <v>38</v>
      </c>
      <c r="AE1827" s="2" t="s">
        <v>40</v>
      </c>
    </row>
    <row r="1828" spans="1:31" ht="409.5">
      <c r="A1828" s="2">
        <v>2730310</v>
      </c>
      <c r="B1828" s="2">
        <f>HYPERLINK("https://platform.v2.vetology.net/cases/2730310/screening-report/1?type=pdf&amp;v=v6&amp;scorecard=1&amp;secret_key=BX%25IJ%24%2F65ieZ%29f6", 2730310)</f>
        <v>2730310</v>
      </c>
      <c r="C1828" s="2">
        <f>HYPERLINK("https://platform.v2.vetology.net/report/v/final/"&amp;2730310, 2730310)</f>
        <v>2730310</v>
      </c>
      <c r="D1828" s="2" t="s">
        <v>5925</v>
      </c>
      <c r="E1828" s="2" t="s">
        <v>5926</v>
      </c>
      <c r="F1828" s="2" t="s">
        <v>1703</v>
      </c>
      <c r="G1828" s="2" t="s">
        <v>111</v>
      </c>
      <c r="H1828" s="2" t="s">
        <v>5927</v>
      </c>
      <c r="I1828" s="2" t="s">
        <v>36</v>
      </c>
      <c r="J1828" s="2" t="s">
        <v>37</v>
      </c>
      <c r="K1828" s="2" t="s">
        <v>38</v>
      </c>
      <c r="L1828" s="2" t="s">
        <v>39</v>
      </c>
      <c r="M1828" s="2" t="s">
        <v>38</v>
      </c>
      <c r="N1828" s="2" t="s">
        <v>39</v>
      </c>
      <c r="O1828" s="2" t="s">
        <v>38</v>
      </c>
      <c r="P1828" s="2" t="s">
        <v>39</v>
      </c>
      <c r="Q1828" s="2" t="s">
        <v>39</v>
      </c>
      <c r="R1828" s="2" t="s">
        <v>39</v>
      </c>
      <c r="S1828" s="2" t="s">
        <v>38</v>
      </c>
      <c r="T1828" s="2" t="s">
        <v>38</v>
      </c>
      <c r="U1828" s="2" t="s">
        <v>38</v>
      </c>
      <c r="V1828" s="2" t="s">
        <v>38</v>
      </c>
      <c r="W1828" s="2" t="s">
        <v>38</v>
      </c>
      <c r="X1828" s="2" t="s">
        <v>39</v>
      </c>
      <c r="Y1828" s="2" t="s">
        <v>39</v>
      </c>
      <c r="Z1828" s="2" t="s">
        <v>38</v>
      </c>
      <c r="AA1828" s="2" t="s">
        <v>38</v>
      </c>
      <c r="AB1828" s="2" t="s">
        <v>39</v>
      </c>
      <c r="AC1828" s="2" t="s">
        <v>38</v>
      </c>
      <c r="AD1828" s="2" t="s">
        <v>38</v>
      </c>
      <c r="AE1828" s="2" t="s">
        <v>40</v>
      </c>
    </row>
    <row r="1829" spans="1:31" ht="409.5">
      <c r="A1829" s="2">
        <v>2730292</v>
      </c>
      <c r="B1829" s="2">
        <f>HYPERLINK("https://platform.v2.vetology.net/cases/2730292/screening-report/1?type=pdf&amp;v=v6&amp;scorecard=1&amp;secret_key=BX%25IJ%24%2F65ieZ%29f6", 2730292)</f>
        <v>2730292</v>
      </c>
      <c r="C1829" s="2">
        <f>HYPERLINK("https://platform.v2.vetology.net/report/v/final/"&amp;2730292, 2730292)</f>
        <v>2730292</v>
      </c>
      <c r="D1829" s="2" t="s">
        <v>5928</v>
      </c>
      <c r="E1829" s="2" t="s">
        <v>5929</v>
      </c>
      <c r="F1829" s="2" t="s">
        <v>5930</v>
      </c>
      <c r="G1829" s="2" t="s">
        <v>170</v>
      </c>
      <c r="H1829" s="2" t="s">
        <v>5931</v>
      </c>
      <c r="I1829" s="2" t="s">
        <v>73</v>
      </c>
      <c r="J1829" s="2" t="s">
        <v>74</v>
      </c>
      <c r="K1829" s="2" t="s">
        <v>38</v>
      </c>
      <c r="L1829" s="2" t="s">
        <v>38</v>
      </c>
      <c r="M1829" s="2" t="s">
        <v>38</v>
      </c>
      <c r="N1829" s="2" t="s">
        <v>38</v>
      </c>
      <c r="O1829" s="2" t="s">
        <v>38</v>
      </c>
      <c r="P1829" s="2" t="s">
        <v>38</v>
      </c>
      <c r="Q1829" s="2" t="s">
        <v>38</v>
      </c>
      <c r="R1829" s="2" t="s">
        <v>38</v>
      </c>
      <c r="S1829" s="2" t="s">
        <v>38</v>
      </c>
      <c r="T1829" s="2" t="s">
        <v>38</v>
      </c>
      <c r="U1829" s="2" t="s">
        <v>38</v>
      </c>
      <c r="V1829" s="2" t="s">
        <v>38</v>
      </c>
      <c r="W1829" s="2" t="s">
        <v>38</v>
      </c>
      <c r="X1829" s="2" t="s">
        <v>38</v>
      </c>
      <c r="Y1829" s="2" t="s">
        <v>38</v>
      </c>
      <c r="Z1829" s="2" t="s">
        <v>38</v>
      </c>
      <c r="AA1829" s="2" t="s">
        <v>38</v>
      </c>
      <c r="AB1829" s="2" t="s">
        <v>38</v>
      </c>
      <c r="AC1829" s="2" t="s">
        <v>38</v>
      </c>
      <c r="AD1829" s="2" t="s">
        <v>38</v>
      </c>
      <c r="AE1829" s="2" t="s">
        <v>39</v>
      </c>
    </row>
    <row r="1830" spans="1:31" ht="409.5">
      <c r="A1830" s="2">
        <v>2730254</v>
      </c>
      <c r="B1830" s="2">
        <f>HYPERLINK("https://platform.v2.vetology.net/cases/2730254/screening-report/1?type=pdf&amp;v=v6&amp;scorecard=1&amp;secret_key=BX%25IJ%24%2F65ieZ%29f6", 2730254)</f>
        <v>2730254</v>
      </c>
      <c r="C1830" s="2">
        <f>HYPERLINK("https://platform.v2.vetology.net/report/v/final/"&amp;2730254, 2730254)</f>
        <v>2730254</v>
      </c>
      <c r="D1830" s="2" t="s">
        <v>5932</v>
      </c>
      <c r="E1830" s="2" t="s">
        <v>5933</v>
      </c>
      <c r="F1830" s="2" t="s">
        <v>5934</v>
      </c>
      <c r="G1830" s="2" t="s">
        <v>34</v>
      </c>
      <c r="H1830" s="2" t="s">
        <v>5935</v>
      </c>
      <c r="I1830" s="2" t="s">
        <v>36</v>
      </c>
      <c r="J1830" s="2" t="s">
        <v>37</v>
      </c>
      <c r="K1830" s="2" t="s">
        <v>38</v>
      </c>
      <c r="L1830" s="2" t="s">
        <v>39</v>
      </c>
      <c r="M1830" s="2" t="s">
        <v>39</v>
      </c>
      <c r="N1830" s="2" t="s">
        <v>39</v>
      </c>
      <c r="O1830" s="2" t="s">
        <v>39</v>
      </c>
      <c r="P1830" s="2" t="s">
        <v>39</v>
      </c>
      <c r="Q1830" s="2" t="s">
        <v>39</v>
      </c>
      <c r="R1830" s="2" t="s">
        <v>38</v>
      </c>
      <c r="S1830" s="2" t="s">
        <v>38</v>
      </c>
      <c r="T1830" s="2" t="s">
        <v>39</v>
      </c>
      <c r="U1830" s="2" t="s">
        <v>38</v>
      </c>
      <c r="V1830" s="2" t="s">
        <v>38</v>
      </c>
      <c r="W1830" s="2" t="s">
        <v>39</v>
      </c>
      <c r="X1830" s="2" t="s">
        <v>39</v>
      </c>
      <c r="Y1830" s="2" t="s">
        <v>39</v>
      </c>
      <c r="Z1830" s="2" t="s">
        <v>38</v>
      </c>
      <c r="AA1830" s="2" t="s">
        <v>39</v>
      </c>
      <c r="AB1830" s="2" t="s">
        <v>39</v>
      </c>
      <c r="AC1830" s="2" t="s">
        <v>38</v>
      </c>
      <c r="AD1830" s="2" t="s">
        <v>38</v>
      </c>
      <c r="AE1830" s="2" t="s">
        <v>40</v>
      </c>
    </row>
    <row r="1831" spans="1:31" ht="409.5">
      <c r="A1831" s="2">
        <v>2730251</v>
      </c>
      <c r="B1831" s="2">
        <f>HYPERLINK("https://platform.v2.vetology.net/cases/2730251/screening-report/1?type=pdf&amp;v=v6&amp;scorecard=1&amp;secret_key=BX%25IJ%24%2F65ieZ%29f6", 2730251)</f>
        <v>2730251</v>
      </c>
      <c r="C1831" s="2">
        <f>HYPERLINK("https://platform.v2.vetology.net/report/v/final/"&amp;2730251, 2730251)</f>
        <v>2730251</v>
      </c>
      <c r="D1831" s="2" t="s">
        <v>5936</v>
      </c>
      <c r="E1831" s="2" t="s">
        <v>5937</v>
      </c>
      <c r="F1831" s="2" t="s">
        <v>5938</v>
      </c>
      <c r="G1831" s="2" t="s">
        <v>127</v>
      </c>
      <c r="H1831" s="2" t="s">
        <v>5939</v>
      </c>
      <c r="I1831" s="2" t="s">
        <v>73</v>
      </c>
      <c r="J1831" s="2" t="s">
        <v>74</v>
      </c>
      <c r="K1831" s="2" t="s">
        <v>38</v>
      </c>
      <c r="L1831" s="2" t="s">
        <v>38</v>
      </c>
      <c r="M1831" s="2" t="s">
        <v>38</v>
      </c>
      <c r="N1831" s="2" t="s">
        <v>38</v>
      </c>
      <c r="O1831" s="2" t="s">
        <v>38</v>
      </c>
      <c r="P1831" s="2" t="s">
        <v>38</v>
      </c>
      <c r="Q1831" s="2" t="s">
        <v>38</v>
      </c>
      <c r="R1831" s="2" t="s">
        <v>38</v>
      </c>
      <c r="S1831" s="2" t="s">
        <v>38</v>
      </c>
      <c r="T1831" s="2" t="s">
        <v>38</v>
      </c>
      <c r="U1831" s="2" t="s">
        <v>38</v>
      </c>
      <c r="V1831" s="2" t="s">
        <v>38</v>
      </c>
      <c r="W1831" s="2" t="s">
        <v>38</v>
      </c>
      <c r="X1831" s="2" t="s">
        <v>38</v>
      </c>
      <c r="Y1831" s="2" t="s">
        <v>38</v>
      </c>
      <c r="Z1831" s="2" t="s">
        <v>38</v>
      </c>
      <c r="AA1831" s="2" t="s">
        <v>38</v>
      </c>
      <c r="AB1831" s="2" t="s">
        <v>38</v>
      </c>
      <c r="AC1831" s="2" t="s">
        <v>38</v>
      </c>
      <c r="AD1831" s="2" t="s">
        <v>38</v>
      </c>
      <c r="AE1831" s="2" t="s">
        <v>39</v>
      </c>
    </row>
    <row r="1832" spans="1:31" ht="409.5">
      <c r="A1832" s="2">
        <v>2730195</v>
      </c>
      <c r="B1832" s="2">
        <f>HYPERLINK("https://platform.v2.vetology.net/cases/2730195/screening-report/1?type=pdf&amp;v=v6&amp;scorecard=1&amp;secret_key=BX%25IJ%24%2F65ieZ%29f6", 2730195)</f>
        <v>2730195</v>
      </c>
      <c r="C1832" s="2">
        <f>HYPERLINK("https://platform.v2.vetology.net/report/v/final/"&amp;2730195, 2730195)</f>
        <v>2730195</v>
      </c>
      <c r="D1832" s="2" t="s">
        <v>5940</v>
      </c>
      <c r="E1832" s="2" t="s">
        <v>5941</v>
      </c>
      <c r="F1832" s="2" t="s">
        <v>5942</v>
      </c>
      <c r="G1832" s="2" t="s">
        <v>170</v>
      </c>
      <c r="H1832" s="2" t="s">
        <v>5943</v>
      </c>
      <c r="I1832" s="2" t="s">
        <v>73</v>
      </c>
      <c r="J1832" s="2" t="s">
        <v>74</v>
      </c>
      <c r="K1832" s="2" t="s">
        <v>38</v>
      </c>
      <c r="L1832" s="2" t="s">
        <v>38</v>
      </c>
      <c r="M1832" s="2" t="s">
        <v>38</v>
      </c>
      <c r="N1832" s="2" t="s">
        <v>38</v>
      </c>
      <c r="O1832" s="2" t="s">
        <v>38</v>
      </c>
      <c r="P1832" s="2" t="s">
        <v>38</v>
      </c>
      <c r="Q1832" s="2" t="s">
        <v>38</v>
      </c>
      <c r="R1832" s="2" t="s">
        <v>38</v>
      </c>
      <c r="S1832" s="2" t="s">
        <v>38</v>
      </c>
      <c r="T1832" s="2" t="s">
        <v>38</v>
      </c>
      <c r="U1832" s="2" t="s">
        <v>39</v>
      </c>
      <c r="V1832" s="2" t="s">
        <v>38</v>
      </c>
      <c r="W1832" s="2" t="s">
        <v>38</v>
      </c>
      <c r="X1832" s="2" t="s">
        <v>38</v>
      </c>
      <c r="Y1832" s="2" t="s">
        <v>38</v>
      </c>
      <c r="Z1832" s="2" t="s">
        <v>38</v>
      </c>
      <c r="AA1832" s="2" t="s">
        <v>38</v>
      </c>
      <c r="AB1832" s="2" t="s">
        <v>38</v>
      </c>
      <c r="AC1832" s="2" t="s">
        <v>38</v>
      </c>
      <c r="AD1832" s="2" t="s">
        <v>38</v>
      </c>
      <c r="AE1832" s="2" t="s">
        <v>40</v>
      </c>
    </row>
    <row r="1833" spans="1:31" ht="409.5">
      <c r="A1833" s="2">
        <v>2730167</v>
      </c>
      <c r="B1833" s="2">
        <f>HYPERLINK("https://platform.v2.vetology.net/cases/2730167/screening-report/1?type=pdf&amp;v=v6&amp;scorecard=1&amp;secret_key=BX%25IJ%24%2F65ieZ%29f6", 2730167)</f>
        <v>2730167</v>
      </c>
      <c r="C1833" s="2">
        <f>HYPERLINK("https://platform.v2.vetology.net/report/v/final/"&amp;2730167, 2730167)</f>
        <v>2730167</v>
      </c>
      <c r="D1833" s="2" t="s">
        <v>5944</v>
      </c>
      <c r="E1833" s="2" t="s">
        <v>5945</v>
      </c>
      <c r="F1833" s="2"/>
      <c r="G1833" s="2" t="s">
        <v>100</v>
      </c>
      <c r="H1833" s="2" t="s">
        <v>3194</v>
      </c>
      <c r="I1833" s="2" t="s">
        <v>59</v>
      </c>
      <c r="J1833" s="2" t="s">
        <v>37</v>
      </c>
      <c r="K1833" s="2" t="s">
        <v>38</v>
      </c>
      <c r="L1833" s="2" t="s">
        <v>39</v>
      </c>
      <c r="M1833" s="2" t="s">
        <v>39</v>
      </c>
      <c r="N1833" s="2" t="s">
        <v>38</v>
      </c>
      <c r="O1833" s="2" t="s">
        <v>39</v>
      </c>
      <c r="P1833" s="2" t="s">
        <v>39</v>
      </c>
      <c r="Q1833" s="2" t="s">
        <v>39</v>
      </c>
      <c r="R1833" s="2" t="s">
        <v>38</v>
      </c>
      <c r="S1833" s="2" t="s">
        <v>38</v>
      </c>
      <c r="T1833" s="2" t="s">
        <v>38</v>
      </c>
      <c r="U1833" s="2" t="s">
        <v>38</v>
      </c>
      <c r="V1833" s="2" t="s">
        <v>38</v>
      </c>
      <c r="W1833" s="2" t="s">
        <v>38</v>
      </c>
      <c r="X1833" s="2" t="s">
        <v>39</v>
      </c>
      <c r="Y1833" s="2" t="s">
        <v>39</v>
      </c>
      <c r="Z1833" s="2" t="s">
        <v>38</v>
      </c>
      <c r="AA1833" s="2" t="s">
        <v>38</v>
      </c>
      <c r="AB1833" s="2" t="s">
        <v>39</v>
      </c>
      <c r="AC1833" s="2" t="s">
        <v>39</v>
      </c>
      <c r="AD1833" s="2" t="s">
        <v>38</v>
      </c>
      <c r="AE1833" s="2" t="s">
        <v>39</v>
      </c>
    </row>
    <row r="1834" spans="1:31" ht="409.5">
      <c r="A1834" s="2">
        <v>2730148</v>
      </c>
      <c r="B1834" s="2">
        <f>HYPERLINK("https://platform.v2.vetology.net/cases/2730148/screening-report/1?type=pdf&amp;v=v6&amp;scorecard=1&amp;secret_key=BX%25IJ%24%2F65ieZ%29f6", 2730148)</f>
        <v>2730148</v>
      </c>
      <c r="C1834" s="2">
        <f>HYPERLINK("https://platform.v2.vetology.net/report/v/final/"&amp;2730148, 2730148)</f>
        <v>2730148</v>
      </c>
      <c r="D1834" s="2" t="s">
        <v>5946</v>
      </c>
      <c r="E1834" s="2" t="s">
        <v>5947</v>
      </c>
      <c r="F1834" s="2" t="s">
        <v>5948</v>
      </c>
      <c r="G1834" s="2" t="s">
        <v>44</v>
      </c>
      <c r="H1834" s="2" t="s">
        <v>5949</v>
      </c>
      <c r="I1834" s="2" t="s">
        <v>36</v>
      </c>
      <c r="J1834" s="2" t="s">
        <v>37</v>
      </c>
      <c r="K1834" s="2" t="s">
        <v>38</v>
      </c>
      <c r="L1834" s="2" t="s">
        <v>38</v>
      </c>
      <c r="M1834" s="2" t="s">
        <v>38</v>
      </c>
      <c r="N1834" s="2" t="s">
        <v>38</v>
      </c>
      <c r="O1834" s="2" t="s">
        <v>38</v>
      </c>
      <c r="P1834" s="2" t="s">
        <v>39</v>
      </c>
      <c r="Q1834" s="2" t="s">
        <v>39</v>
      </c>
      <c r="R1834" s="2" t="s">
        <v>38</v>
      </c>
      <c r="S1834" s="2" t="s">
        <v>38</v>
      </c>
      <c r="T1834" s="2" t="s">
        <v>38</v>
      </c>
      <c r="U1834" s="2" t="s">
        <v>38</v>
      </c>
      <c r="V1834" s="2" t="s">
        <v>38</v>
      </c>
      <c r="W1834" s="2" t="s">
        <v>38</v>
      </c>
      <c r="X1834" s="2" t="s">
        <v>39</v>
      </c>
      <c r="Y1834" s="2" t="s">
        <v>39</v>
      </c>
      <c r="Z1834" s="2" t="s">
        <v>38</v>
      </c>
      <c r="AA1834" s="2" t="s">
        <v>38</v>
      </c>
      <c r="AB1834" s="2" t="s">
        <v>39</v>
      </c>
      <c r="AC1834" s="2" t="s">
        <v>38</v>
      </c>
      <c r="AD1834" s="2" t="s">
        <v>38</v>
      </c>
      <c r="AE1834" s="2" t="s">
        <v>39</v>
      </c>
    </row>
    <row r="1835" spans="1:31" ht="409.5">
      <c r="A1835" s="2">
        <v>2730143</v>
      </c>
      <c r="B1835" s="2">
        <f>HYPERLINK("https://platform.v2.vetology.net/cases/2730143/screening-report/1?type=pdf&amp;v=v6&amp;scorecard=1&amp;secret_key=BX%25IJ%24%2F65ieZ%29f6", 2730143)</f>
        <v>2730143</v>
      </c>
      <c r="C1835" s="2">
        <f>HYPERLINK("https://platform.v2.vetology.net/report/v/final/"&amp;2730143, 2730143)</f>
        <v>2730143</v>
      </c>
      <c r="D1835" s="2" t="s">
        <v>5950</v>
      </c>
      <c r="E1835" s="2" t="s">
        <v>5951</v>
      </c>
      <c r="F1835" s="2" t="s">
        <v>2082</v>
      </c>
      <c r="G1835" s="2" t="s">
        <v>170</v>
      </c>
      <c r="H1835" s="2" t="s">
        <v>631</v>
      </c>
      <c r="I1835" s="2" t="s">
        <v>59</v>
      </c>
      <c r="J1835" s="2" t="s">
        <v>37</v>
      </c>
      <c r="K1835" s="2" t="s">
        <v>38</v>
      </c>
      <c r="L1835" s="2" t="s">
        <v>39</v>
      </c>
      <c r="M1835" s="2" t="s">
        <v>39</v>
      </c>
      <c r="N1835" s="2" t="s">
        <v>38</v>
      </c>
      <c r="O1835" s="2" t="s">
        <v>39</v>
      </c>
      <c r="P1835" s="2" t="s">
        <v>39</v>
      </c>
      <c r="Q1835" s="2" t="s">
        <v>39</v>
      </c>
      <c r="R1835" s="2" t="s">
        <v>38</v>
      </c>
      <c r="S1835" s="2" t="s">
        <v>38</v>
      </c>
      <c r="T1835" s="2" t="s">
        <v>38</v>
      </c>
      <c r="U1835" s="2" t="s">
        <v>38</v>
      </c>
      <c r="V1835" s="2" t="s">
        <v>38</v>
      </c>
      <c r="W1835" s="2" t="s">
        <v>38</v>
      </c>
      <c r="X1835" s="2" t="s">
        <v>39</v>
      </c>
      <c r="Y1835" s="2" t="s">
        <v>39</v>
      </c>
      <c r="Z1835" s="2" t="s">
        <v>38</v>
      </c>
      <c r="AA1835" s="2" t="s">
        <v>38</v>
      </c>
      <c r="AB1835" s="2" t="s">
        <v>39</v>
      </c>
      <c r="AC1835" s="2" t="s">
        <v>38</v>
      </c>
      <c r="AD1835" s="2" t="s">
        <v>39</v>
      </c>
      <c r="AE1835" s="2" t="s">
        <v>39</v>
      </c>
    </row>
    <row r="1836" spans="1:31" ht="409.5">
      <c r="A1836" s="2">
        <v>2730137</v>
      </c>
      <c r="B1836" s="2">
        <f>HYPERLINK("https://platform.v2.vetology.net/cases/2730137/screening-report/1?type=pdf&amp;v=v6&amp;scorecard=1&amp;secret_key=BX%25IJ%24%2F65ieZ%29f6", 2730137)</f>
        <v>2730137</v>
      </c>
      <c r="C1836" s="2">
        <f>HYPERLINK("https://platform.v2.vetology.net/report/v/final/"&amp;2730137, 2730137)</f>
        <v>2730137</v>
      </c>
      <c r="D1836" s="2" t="s">
        <v>5952</v>
      </c>
      <c r="E1836" s="2" t="s">
        <v>5953</v>
      </c>
      <c r="F1836" s="2" t="s">
        <v>5954</v>
      </c>
      <c r="G1836" s="2" t="s">
        <v>44</v>
      </c>
      <c r="H1836" s="2" t="s">
        <v>5955</v>
      </c>
      <c r="I1836" s="2" t="s">
        <v>36</v>
      </c>
      <c r="J1836" s="2" t="s">
        <v>37</v>
      </c>
      <c r="K1836" s="2" t="s">
        <v>38</v>
      </c>
      <c r="L1836" s="2" t="s">
        <v>38</v>
      </c>
      <c r="M1836" s="2" t="s">
        <v>39</v>
      </c>
      <c r="N1836" s="2" t="s">
        <v>38</v>
      </c>
      <c r="O1836" s="2" t="s">
        <v>38</v>
      </c>
      <c r="P1836" s="2" t="s">
        <v>39</v>
      </c>
      <c r="Q1836" s="2" t="s">
        <v>39</v>
      </c>
      <c r="R1836" s="2" t="s">
        <v>39</v>
      </c>
      <c r="S1836" s="2" t="s">
        <v>39</v>
      </c>
      <c r="T1836" s="2" t="s">
        <v>38</v>
      </c>
      <c r="U1836" s="2" t="s">
        <v>39</v>
      </c>
      <c r="V1836" s="2" t="s">
        <v>38</v>
      </c>
      <c r="W1836" s="2" t="s">
        <v>38</v>
      </c>
      <c r="X1836" s="2" t="s">
        <v>38</v>
      </c>
      <c r="Y1836" s="2" t="s">
        <v>39</v>
      </c>
      <c r="Z1836" s="2" t="s">
        <v>38</v>
      </c>
      <c r="AA1836" s="2" t="s">
        <v>39</v>
      </c>
      <c r="AB1836" s="2" t="s">
        <v>39</v>
      </c>
      <c r="AC1836" s="2" t="s">
        <v>39</v>
      </c>
      <c r="AD1836" s="2" t="s">
        <v>38</v>
      </c>
      <c r="AE1836" s="2" t="s">
        <v>39</v>
      </c>
    </row>
    <row r="1837" spans="1:31" ht="409.5">
      <c r="A1837" s="2">
        <v>2730135</v>
      </c>
      <c r="B1837" s="2">
        <f>HYPERLINK("https://platform.v2.vetology.net/cases/2730135/screening-report/1?type=pdf&amp;v=v6&amp;scorecard=1&amp;secret_key=BX%25IJ%24%2F65ieZ%29f6", 2730135)</f>
        <v>2730135</v>
      </c>
      <c r="C1837" s="2">
        <f>HYPERLINK("https://platform.v2.vetology.net/report/v/final/"&amp;2730135, 2730135)</f>
        <v>2730135</v>
      </c>
      <c r="D1837" s="2" t="s">
        <v>5956</v>
      </c>
      <c r="E1837" s="2" t="s">
        <v>5957</v>
      </c>
      <c r="F1837" s="2" t="s">
        <v>43</v>
      </c>
      <c r="G1837" s="2" t="s">
        <v>44</v>
      </c>
      <c r="H1837" s="2" t="s">
        <v>97</v>
      </c>
      <c r="I1837" s="2" t="s">
        <v>59</v>
      </c>
      <c r="J1837" s="2" t="s">
        <v>37</v>
      </c>
      <c r="K1837" s="2" t="s">
        <v>38</v>
      </c>
      <c r="L1837" s="2" t="s">
        <v>39</v>
      </c>
      <c r="M1837" s="2" t="s">
        <v>39</v>
      </c>
      <c r="N1837" s="2" t="s">
        <v>39</v>
      </c>
      <c r="O1837" s="2" t="s">
        <v>39</v>
      </c>
      <c r="P1837" s="2" t="s">
        <v>39</v>
      </c>
      <c r="Q1837" s="2" t="s">
        <v>39</v>
      </c>
      <c r="R1837" s="2" t="s">
        <v>39</v>
      </c>
      <c r="S1837" s="2" t="s">
        <v>38</v>
      </c>
      <c r="T1837" s="2" t="s">
        <v>39</v>
      </c>
      <c r="U1837" s="2" t="s">
        <v>39</v>
      </c>
      <c r="V1837" s="2" t="s">
        <v>38</v>
      </c>
      <c r="W1837" s="2" t="s">
        <v>39</v>
      </c>
      <c r="X1837" s="2" t="s">
        <v>39</v>
      </c>
      <c r="Y1837" s="2" t="s">
        <v>39</v>
      </c>
      <c r="Z1837" s="2" t="s">
        <v>39</v>
      </c>
      <c r="AA1837" s="2" t="s">
        <v>39</v>
      </c>
      <c r="AB1837" s="2" t="s">
        <v>39</v>
      </c>
      <c r="AC1837" s="2" t="s">
        <v>39</v>
      </c>
      <c r="AD1837" s="2" t="s">
        <v>39</v>
      </c>
      <c r="AE1837" s="2"/>
    </row>
    <row r="1838" spans="1:31" ht="409.5">
      <c r="A1838" s="2">
        <v>2729978</v>
      </c>
      <c r="B1838" s="2">
        <f>HYPERLINK("https://platform.v2.vetology.net/cases/2729978/screening-report/1?type=pdf&amp;v=v6&amp;scorecard=1&amp;secret_key=BX%25IJ%24%2F65ieZ%29f6", 2729978)</f>
        <v>2729978</v>
      </c>
      <c r="C1838" s="2">
        <f>HYPERLINK("https://platform.v2.vetology.net/report/v/final/"&amp;2729978, 2729978)</f>
        <v>2729978</v>
      </c>
      <c r="D1838" s="2" t="s">
        <v>5958</v>
      </c>
      <c r="E1838" s="2" t="s">
        <v>5959</v>
      </c>
      <c r="F1838" s="2" t="s">
        <v>5960</v>
      </c>
      <c r="G1838" s="2" t="s">
        <v>170</v>
      </c>
      <c r="H1838" s="2" t="s">
        <v>5961</v>
      </c>
      <c r="I1838" s="2" t="s">
        <v>129</v>
      </c>
      <c r="J1838" s="2" t="s">
        <v>74</v>
      </c>
      <c r="K1838" s="2" t="s">
        <v>39</v>
      </c>
      <c r="L1838" s="2" t="s">
        <v>38</v>
      </c>
      <c r="M1838" s="2" t="s">
        <v>38</v>
      </c>
      <c r="N1838" s="2" t="s">
        <v>38</v>
      </c>
      <c r="O1838" s="2" t="s">
        <v>38</v>
      </c>
      <c r="P1838" s="2" t="s">
        <v>38</v>
      </c>
      <c r="Q1838" s="2" t="s">
        <v>38</v>
      </c>
      <c r="R1838" s="2" t="s">
        <v>39</v>
      </c>
      <c r="S1838" s="2" t="s">
        <v>39</v>
      </c>
      <c r="T1838" s="2" t="s">
        <v>38</v>
      </c>
      <c r="U1838" s="2" t="s">
        <v>39</v>
      </c>
      <c r="V1838" s="2" t="s">
        <v>39</v>
      </c>
      <c r="W1838" s="2" t="s">
        <v>39</v>
      </c>
      <c r="X1838" s="2" t="s">
        <v>38</v>
      </c>
      <c r="Y1838" s="2" t="s">
        <v>39</v>
      </c>
      <c r="Z1838" s="2" t="s">
        <v>38</v>
      </c>
      <c r="AA1838" s="2" t="s">
        <v>38</v>
      </c>
      <c r="AB1838" s="2" t="s">
        <v>38</v>
      </c>
      <c r="AC1838" s="2" t="s">
        <v>38</v>
      </c>
      <c r="AD1838" s="2" t="s">
        <v>39</v>
      </c>
      <c r="AE1838" s="2" t="s">
        <v>39</v>
      </c>
    </row>
    <row r="1839" spans="1:31" ht="409.5">
      <c r="A1839" s="2">
        <v>2729974</v>
      </c>
      <c r="B1839" s="2">
        <f>HYPERLINK("https://platform.v2.vetology.net/cases/2729974/screening-report/1?type=pdf&amp;v=v6&amp;scorecard=1&amp;secret_key=BX%25IJ%24%2F65ieZ%29f6", 2729974)</f>
        <v>2729974</v>
      </c>
      <c r="C1839" s="2">
        <f>HYPERLINK("https://platform.v2.vetology.net/report/v/final/"&amp;2729974, 2729974)</f>
        <v>2729974</v>
      </c>
      <c r="D1839" s="2" t="s">
        <v>5962</v>
      </c>
      <c r="E1839" s="2" t="s">
        <v>5963</v>
      </c>
      <c r="F1839" s="2" t="s">
        <v>43</v>
      </c>
      <c r="G1839" s="2" t="s">
        <v>44</v>
      </c>
      <c r="H1839" s="2" t="s">
        <v>1985</v>
      </c>
      <c r="I1839" s="2" t="s">
        <v>36</v>
      </c>
      <c r="J1839" s="2" t="s">
        <v>37</v>
      </c>
      <c r="K1839" s="2" t="s">
        <v>39</v>
      </c>
      <c r="L1839" s="2" t="s">
        <v>38</v>
      </c>
      <c r="M1839" s="2" t="s">
        <v>38</v>
      </c>
      <c r="N1839" s="2" t="s">
        <v>38</v>
      </c>
      <c r="O1839" s="2" t="s">
        <v>38</v>
      </c>
      <c r="P1839" s="2" t="s">
        <v>39</v>
      </c>
      <c r="Q1839" s="2" t="s">
        <v>39</v>
      </c>
      <c r="R1839" s="2" t="s">
        <v>39</v>
      </c>
      <c r="S1839" s="2" t="s">
        <v>39</v>
      </c>
      <c r="T1839" s="2" t="s">
        <v>39</v>
      </c>
      <c r="U1839" s="2" t="s">
        <v>39</v>
      </c>
      <c r="V1839" s="2" t="s">
        <v>39</v>
      </c>
      <c r="W1839" s="2" t="s">
        <v>39</v>
      </c>
      <c r="X1839" s="2" t="s">
        <v>39</v>
      </c>
      <c r="Y1839" s="2" t="s">
        <v>39</v>
      </c>
      <c r="Z1839" s="2" t="s">
        <v>38</v>
      </c>
      <c r="AA1839" s="2" t="s">
        <v>39</v>
      </c>
      <c r="AB1839" s="2" t="s">
        <v>39</v>
      </c>
      <c r="AC1839" s="2" t="s">
        <v>38</v>
      </c>
      <c r="AD1839" s="2" t="s">
        <v>38</v>
      </c>
      <c r="AE1839" s="2" t="s">
        <v>39</v>
      </c>
    </row>
    <row r="1840" spans="1:31" ht="409.5">
      <c r="A1840" s="2">
        <v>2729946</v>
      </c>
      <c r="B1840" s="2">
        <f>HYPERLINK("https://platform.v2.vetology.net/cases/2729946/screening-report/1?type=pdf&amp;v=v6&amp;scorecard=1&amp;secret_key=BX%25IJ%24%2F65ieZ%29f6", 2729946)</f>
        <v>2729946</v>
      </c>
      <c r="C1840" s="2">
        <f>HYPERLINK("https://platform.v2.vetology.net/report/v/final/"&amp;2729946, 2729946)</f>
        <v>2729946</v>
      </c>
      <c r="D1840" s="2" t="s">
        <v>5964</v>
      </c>
      <c r="E1840" s="2" t="s">
        <v>5965</v>
      </c>
      <c r="F1840" s="2" t="s">
        <v>5966</v>
      </c>
      <c r="G1840" s="2" t="s">
        <v>34</v>
      </c>
      <c r="H1840" s="2" t="s">
        <v>265</v>
      </c>
      <c r="I1840" s="2" t="s">
        <v>36</v>
      </c>
      <c r="J1840" s="2" t="s">
        <v>37</v>
      </c>
      <c r="K1840" s="2" t="s">
        <v>39</v>
      </c>
      <c r="L1840" s="2" t="s">
        <v>39</v>
      </c>
      <c r="M1840" s="2" t="s">
        <v>38</v>
      </c>
      <c r="N1840" s="2" t="s">
        <v>39</v>
      </c>
      <c r="O1840" s="2" t="s">
        <v>38</v>
      </c>
      <c r="P1840" s="2" t="s">
        <v>39</v>
      </c>
      <c r="Q1840" s="2" t="s">
        <v>39</v>
      </c>
      <c r="R1840" s="2" t="s">
        <v>39</v>
      </c>
      <c r="S1840" s="2" t="s">
        <v>39</v>
      </c>
      <c r="T1840" s="2" t="s">
        <v>38</v>
      </c>
      <c r="U1840" s="2" t="s">
        <v>39</v>
      </c>
      <c r="V1840" s="2" t="s">
        <v>38</v>
      </c>
      <c r="W1840" s="2" t="s">
        <v>39</v>
      </c>
      <c r="X1840" s="2" t="s">
        <v>39</v>
      </c>
      <c r="Y1840" s="2" t="s">
        <v>39</v>
      </c>
      <c r="Z1840" s="2" t="s">
        <v>39</v>
      </c>
      <c r="AA1840" s="2" t="s">
        <v>39</v>
      </c>
      <c r="AB1840" s="2" t="s">
        <v>39</v>
      </c>
      <c r="AC1840" s="2" t="s">
        <v>38</v>
      </c>
      <c r="AD1840" s="2" t="s">
        <v>38</v>
      </c>
      <c r="AE1840" s="2" t="s">
        <v>39</v>
      </c>
    </row>
    <row r="1841" spans="1:31" ht="409.5">
      <c r="A1841" s="2">
        <v>2729944</v>
      </c>
      <c r="B1841" s="2">
        <f>HYPERLINK("https://platform.v2.vetology.net/cases/2729944/screening-report/1?type=pdf&amp;v=v6&amp;scorecard=1&amp;secret_key=BX%25IJ%24%2F65ieZ%29f6", 2729944)</f>
        <v>2729944</v>
      </c>
      <c r="C1841" s="2">
        <f>HYPERLINK("https://platform.v2.vetology.net/report/v/final/"&amp;2729944, 2729944)</f>
        <v>2729944</v>
      </c>
      <c r="D1841" s="2" t="s">
        <v>5967</v>
      </c>
      <c r="E1841" s="2" t="s">
        <v>5968</v>
      </c>
      <c r="F1841" s="2" t="s">
        <v>43</v>
      </c>
      <c r="G1841" s="2" t="s">
        <v>44</v>
      </c>
      <c r="H1841" s="2" t="s">
        <v>5969</v>
      </c>
      <c r="I1841" s="2" t="s">
        <v>129</v>
      </c>
      <c r="J1841" s="2" t="s">
        <v>74</v>
      </c>
      <c r="K1841" s="2" t="s">
        <v>39</v>
      </c>
      <c r="L1841" s="2" t="s">
        <v>39</v>
      </c>
      <c r="M1841" s="2" t="s">
        <v>38</v>
      </c>
      <c r="N1841" s="2" t="s">
        <v>38</v>
      </c>
      <c r="O1841" s="2" t="s">
        <v>38</v>
      </c>
      <c r="P1841" s="2" t="s">
        <v>38</v>
      </c>
      <c r="Q1841" s="2" t="s">
        <v>38</v>
      </c>
      <c r="R1841" s="2" t="s">
        <v>38</v>
      </c>
      <c r="S1841" s="2" t="s">
        <v>39</v>
      </c>
      <c r="T1841" s="2" t="s">
        <v>38</v>
      </c>
      <c r="U1841" s="2" t="s">
        <v>39</v>
      </c>
      <c r="V1841" s="2" t="s">
        <v>39</v>
      </c>
      <c r="W1841" s="2" t="s">
        <v>38</v>
      </c>
      <c r="X1841" s="2" t="s">
        <v>38</v>
      </c>
      <c r="Y1841" s="2" t="s">
        <v>39</v>
      </c>
      <c r="Z1841" s="2" t="s">
        <v>38</v>
      </c>
      <c r="AA1841" s="2" t="s">
        <v>38</v>
      </c>
      <c r="AB1841" s="2" t="s">
        <v>38</v>
      </c>
      <c r="AC1841" s="2" t="s">
        <v>38</v>
      </c>
      <c r="AD1841" s="2" t="s">
        <v>38</v>
      </c>
      <c r="AE1841" s="2" t="s">
        <v>39</v>
      </c>
    </row>
    <row r="1842" spans="1:31" ht="409.5">
      <c r="A1842" s="2">
        <v>2729900</v>
      </c>
      <c r="B1842" s="2">
        <f>HYPERLINK("https://platform.v2.vetology.net/cases/2729900/screening-report/1?type=pdf&amp;v=v6&amp;scorecard=1&amp;secret_key=BX%25IJ%24%2F65ieZ%29f6", 2729900)</f>
        <v>2729900</v>
      </c>
      <c r="C1842" s="2">
        <f>HYPERLINK("https://platform.v2.vetology.net/report/v/final/"&amp;2729900, 2729900)</f>
        <v>2729900</v>
      </c>
      <c r="D1842" s="2" t="s">
        <v>5970</v>
      </c>
      <c r="E1842" s="2" t="s">
        <v>5971</v>
      </c>
      <c r="F1842" s="2" t="s">
        <v>5972</v>
      </c>
      <c r="G1842" s="2" t="s">
        <v>34</v>
      </c>
      <c r="H1842" s="2" t="s">
        <v>5973</v>
      </c>
      <c r="I1842" s="2" t="s">
        <v>36</v>
      </c>
      <c r="J1842" s="2" t="s">
        <v>37</v>
      </c>
      <c r="K1842" s="2" t="s">
        <v>38</v>
      </c>
      <c r="L1842" s="2" t="s">
        <v>39</v>
      </c>
      <c r="M1842" s="2" t="s">
        <v>39</v>
      </c>
      <c r="N1842" s="2" t="s">
        <v>38</v>
      </c>
      <c r="O1842" s="2" t="s">
        <v>38</v>
      </c>
      <c r="P1842" s="2" t="s">
        <v>38</v>
      </c>
      <c r="Q1842" s="2" t="s">
        <v>39</v>
      </c>
      <c r="R1842" s="2" t="s">
        <v>38</v>
      </c>
      <c r="S1842" s="2" t="s">
        <v>38</v>
      </c>
      <c r="T1842" s="2" t="s">
        <v>38</v>
      </c>
      <c r="U1842" s="2" t="s">
        <v>38</v>
      </c>
      <c r="V1842" s="2" t="s">
        <v>38</v>
      </c>
      <c r="W1842" s="2" t="s">
        <v>38</v>
      </c>
      <c r="X1842" s="2" t="s">
        <v>39</v>
      </c>
      <c r="Y1842" s="2" t="s">
        <v>38</v>
      </c>
      <c r="Z1842" s="2" t="s">
        <v>38</v>
      </c>
      <c r="AA1842" s="2" t="s">
        <v>38</v>
      </c>
      <c r="AB1842" s="2" t="s">
        <v>39</v>
      </c>
      <c r="AC1842" s="2" t="s">
        <v>38</v>
      </c>
      <c r="AD1842" s="2" t="s">
        <v>38</v>
      </c>
      <c r="AE1842" s="2" t="s">
        <v>40</v>
      </c>
    </row>
    <row r="1843" spans="1:31" ht="409.5">
      <c r="A1843" s="2">
        <v>2729888</v>
      </c>
      <c r="B1843" s="2">
        <f>HYPERLINK("https://platform.v2.vetology.net/cases/2729888/screening-report/1?type=pdf&amp;v=v6&amp;scorecard=1&amp;secret_key=BX%25IJ%24%2F65ieZ%29f6", 2729888)</f>
        <v>2729888</v>
      </c>
      <c r="C1843" s="2">
        <f>HYPERLINK("https://platform.v2.vetology.net/report/v/final/"&amp;2729888, 2729888)</f>
        <v>2729888</v>
      </c>
      <c r="D1843" s="2" t="s">
        <v>5974</v>
      </c>
      <c r="E1843" s="2" t="s">
        <v>5975</v>
      </c>
      <c r="F1843" s="2" t="s">
        <v>5976</v>
      </c>
      <c r="G1843" s="2" t="s">
        <v>53</v>
      </c>
      <c r="H1843" s="2" t="s">
        <v>3951</v>
      </c>
      <c r="I1843" s="2" t="s">
        <v>36</v>
      </c>
      <c r="J1843" s="2" t="s">
        <v>37</v>
      </c>
      <c r="K1843" s="2" t="s">
        <v>38</v>
      </c>
      <c r="L1843" s="2" t="s">
        <v>39</v>
      </c>
      <c r="M1843" s="2" t="s">
        <v>38</v>
      </c>
      <c r="N1843" s="2" t="s">
        <v>38</v>
      </c>
      <c r="O1843" s="2" t="s">
        <v>38</v>
      </c>
      <c r="P1843" s="2" t="s">
        <v>39</v>
      </c>
      <c r="Q1843" s="2" t="s">
        <v>38</v>
      </c>
      <c r="R1843" s="2" t="s">
        <v>39</v>
      </c>
      <c r="S1843" s="2" t="s">
        <v>39</v>
      </c>
      <c r="T1843" s="2" t="s">
        <v>38</v>
      </c>
      <c r="U1843" s="2" t="s">
        <v>38</v>
      </c>
      <c r="V1843" s="2" t="s">
        <v>38</v>
      </c>
      <c r="W1843" s="2" t="s">
        <v>38</v>
      </c>
      <c r="X1843" s="2" t="s">
        <v>39</v>
      </c>
      <c r="Y1843" s="2" t="s">
        <v>39</v>
      </c>
      <c r="Z1843" s="2" t="s">
        <v>39</v>
      </c>
      <c r="AA1843" s="2" t="s">
        <v>38</v>
      </c>
      <c r="AB1843" s="2" t="s">
        <v>39</v>
      </c>
      <c r="AC1843" s="2" t="s">
        <v>39</v>
      </c>
      <c r="AD1843" s="2" t="s">
        <v>39</v>
      </c>
      <c r="AE1843" s="2" t="s">
        <v>39</v>
      </c>
    </row>
    <row r="1844" spans="1:31" ht="409.5">
      <c r="A1844" s="2">
        <v>2729853</v>
      </c>
      <c r="B1844" s="2">
        <f>HYPERLINK("https://platform.v2.vetology.net/cases/2729853/screening-report/1?type=pdf&amp;v=v6&amp;scorecard=1&amp;secret_key=BX%25IJ%24%2F65ieZ%29f6", 2729853)</f>
        <v>2729853</v>
      </c>
      <c r="C1844" s="2">
        <f>HYPERLINK("https://platform.v2.vetology.net/report/v/final/"&amp;2729853, 2729853)</f>
        <v>2729853</v>
      </c>
      <c r="D1844" s="2" t="s">
        <v>5977</v>
      </c>
      <c r="E1844" s="2" t="s">
        <v>5978</v>
      </c>
      <c r="F1844" s="2" t="s">
        <v>5979</v>
      </c>
      <c r="G1844" s="2" t="s">
        <v>44</v>
      </c>
      <c r="H1844" s="2" t="s">
        <v>1930</v>
      </c>
      <c r="I1844" s="2" t="s">
        <v>36</v>
      </c>
      <c r="J1844" s="2" t="s">
        <v>37</v>
      </c>
      <c r="K1844" s="2" t="s">
        <v>38</v>
      </c>
      <c r="L1844" s="2" t="s">
        <v>38</v>
      </c>
      <c r="M1844" s="2" t="s">
        <v>38</v>
      </c>
      <c r="N1844" s="2" t="s">
        <v>38</v>
      </c>
      <c r="O1844" s="2" t="s">
        <v>38</v>
      </c>
      <c r="P1844" s="2" t="s">
        <v>39</v>
      </c>
      <c r="Q1844" s="2" t="s">
        <v>39</v>
      </c>
      <c r="R1844" s="2" t="s">
        <v>38</v>
      </c>
      <c r="S1844" s="2" t="s">
        <v>38</v>
      </c>
      <c r="T1844" s="2" t="s">
        <v>39</v>
      </c>
      <c r="U1844" s="2" t="s">
        <v>38</v>
      </c>
      <c r="V1844" s="2" t="s">
        <v>38</v>
      </c>
      <c r="W1844" s="2" t="s">
        <v>38</v>
      </c>
      <c r="X1844" s="2" t="s">
        <v>39</v>
      </c>
      <c r="Y1844" s="2" t="s">
        <v>38</v>
      </c>
      <c r="Z1844" s="2" t="s">
        <v>38</v>
      </c>
      <c r="AA1844" s="2" t="s">
        <v>39</v>
      </c>
      <c r="AB1844" s="2" t="s">
        <v>39</v>
      </c>
      <c r="AC1844" s="2" t="s">
        <v>38</v>
      </c>
      <c r="AD1844" s="2" t="s">
        <v>38</v>
      </c>
      <c r="AE1844" s="2" t="s">
        <v>40</v>
      </c>
    </row>
    <row r="1845" spans="1:31" ht="409.5">
      <c r="A1845" s="2">
        <v>2729845</v>
      </c>
      <c r="B1845" s="2">
        <f>HYPERLINK("https://platform.v2.vetology.net/cases/2729845/screening-report/1?type=pdf&amp;v=v6&amp;scorecard=1&amp;secret_key=BX%25IJ%24%2F65ieZ%29f6", 2729845)</f>
        <v>2729845</v>
      </c>
      <c r="C1845" s="2">
        <f>HYPERLINK("https://platform.v2.vetology.net/report/v/final/"&amp;2729845, 2729845)</f>
        <v>2729845</v>
      </c>
      <c r="D1845" s="2" t="s">
        <v>5980</v>
      </c>
      <c r="E1845" s="2" t="s">
        <v>5981</v>
      </c>
      <c r="F1845" s="2" t="s">
        <v>43</v>
      </c>
      <c r="G1845" s="2" t="s">
        <v>44</v>
      </c>
      <c r="H1845" s="2" t="s">
        <v>3657</v>
      </c>
      <c r="I1845" s="2" t="s">
        <v>684</v>
      </c>
      <c r="J1845" s="2" t="s">
        <v>74</v>
      </c>
      <c r="K1845" s="2" t="s">
        <v>39</v>
      </c>
      <c r="L1845" s="2" t="s">
        <v>39</v>
      </c>
      <c r="M1845" s="2" t="s">
        <v>39</v>
      </c>
      <c r="N1845" s="2" t="s">
        <v>39</v>
      </c>
      <c r="O1845" s="2" t="s">
        <v>38</v>
      </c>
      <c r="P1845" s="2" t="s">
        <v>39</v>
      </c>
      <c r="Q1845" s="2" t="s">
        <v>38</v>
      </c>
      <c r="R1845" s="2" t="s">
        <v>39</v>
      </c>
      <c r="S1845" s="2" t="s">
        <v>39</v>
      </c>
      <c r="T1845" s="2" t="s">
        <v>38</v>
      </c>
      <c r="U1845" s="2" t="s">
        <v>39</v>
      </c>
      <c r="V1845" s="2" t="s">
        <v>39</v>
      </c>
      <c r="W1845" s="2" t="s">
        <v>38</v>
      </c>
      <c r="X1845" s="2" t="s">
        <v>38</v>
      </c>
      <c r="Y1845" s="2" t="s">
        <v>39</v>
      </c>
      <c r="Z1845" s="2" t="s">
        <v>39</v>
      </c>
      <c r="AA1845" s="2" t="s">
        <v>38</v>
      </c>
      <c r="AB1845" s="2" t="s">
        <v>39</v>
      </c>
      <c r="AC1845" s="2" t="s">
        <v>39</v>
      </c>
      <c r="AD1845" s="2" t="s">
        <v>38</v>
      </c>
      <c r="AE1845" s="2" t="s">
        <v>40</v>
      </c>
    </row>
    <row r="1846" spans="1:31" ht="409.5">
      <c r="A1846" s="2">
        <v>2729827</v>
      </c>
      <c r="B1846" s="2">
        <f>HYPERLINK("https://platform.v2.vetology.net/cases/2729827/screening-report/1?type=pdf&amp;v=v6&amp;scorecard=1&amp;secret_key=BX%25IJ%24%2F65ieZ%29f6", 2729827)</f>
        <v>2729827</v>
      </c>
      <c r="C1846" s="2">
        <f>HYPERLINK("https://platform.v2.vetology.net/report/v/final/"&amp;2729827, 2729827)</f>
        <v>2729827</v>
      </c>
      <c r="D1846" s="2" t="s">
        <v>5982</v>
      </c>
      <c r="E1846" s="2" t="s">
        <v>5983</v>
      </c>
      <c r="F1846" s="2" t="s">
        <v>5984</v>
      </c>
      <c r="G1846" s="2" t="s">
        <v>100</v>
      </c>
      <c r="H1846" s="2" t="s">
        <v>5985</v>
      </c>
      <c r="I1846" s="2" t="s">
        <v>257</v>
      </c>
      <c r="J1846" s="2" t="s">
        <v>74</v>
      </c>
      <c r="K1846" s="2" t="s">
        <v>38</v>
      </c>
      <c r="L1846" s="2" t="s">
        <v>38</v>
      </c>
      <c r="M1846" s="2" t="s">
        <v>38</v>
      </c>
      <c r="N1846" s="2" t="s">
        <v>38</v>
      </c>
      <c r="O1846" s="2" t="s">
        <v>38</v>
      </c>
      <c r="P1846" s="2" t="s">
        <v>38</v>
      </c>
      <c r="Q1846" s="2" t="s">
        <v>38</v>
      </c>
      <c r="R1846" s="2" t="s">
        <v>38</v>
      </c>
      <c r="S1846" s="2" t="s">
        <v>38</v>
      </c>
      <c r="T1846" s="2" t="s">
        <v>38</v>
      </c>
      <c r="U1846" s="2" t="s">
        <v>38</v>
      </c>
      <c r="V1846" s="2" t="s">
        <v>38</v>
      </c>
      <c r="W1846" s="2" t="s">
        <v>38</v>
      </c>
      <c r="X1846" s="2" t="s">
        <v>38</v>
      </c>
      <c r="Y1846" s="2" t="s">
        <v>38</v>
      </c>
      <c r="Z1846" s="2" t="s">
        <v>38</v>
      </c>
      <c r="AA1846" s="2" t="s">
        <v>38</v>
      </c>
      <c r="AB1846" s="2" t="s">
        <v>38</v>
      </c>
      <c r="AC1846" s="2" t="s">
        <v>38</v>
      </c>
      <c r="AD1846" s="2" t="s">
        <v>38</v>
      </c>
      <c r="AE1846" s="2" t="s">
        <v>39</v>
      </c>
    </row>
    <row r="1847" spans="1:31" ht="409.5">
      <c r="A1847" s="2">
        <v>2729824</v>
      </c>
      <c r="B1847" s="2">
        <f>HYPERLINK("https://platform.v2.vetology.net/cases/2729824/screening-report/1?type=pdf&amp;v=v6&amp;scorecard=1&amp;secret_key=BX%25IJ%24%2F65ieZ%29f6", 2729824)</f>
        <v>2729824</v>
      </c>
      <c r="C1847" s="2">
        <f>HYPERLINK("https://platform.v2.vetology.net/report/v/final/"&amp;2729824, 2729824)</f>
        <v>2729824</v>
      </c>
      <c r="D1847" s="2" t="s">
        <v>853</v>
      </c>
      <c r="E1847" s="2" t="s">
        <v>5827</v>
      </c>
      <c r="F1847" s="2" t="s">
        <v>5986</v>
      </c>
      <c r="G1847" s="2" t="s">
        <v>111</v>
      </c>
      <c r="H1847" s="2" t="s">
        <v>69</v>
      </c>
      <c r="I1847" s="2" t="s">
        <v>46</v>
      </c>
      <c r="J1847" s="2"/>
      <c r="K1847" s="2" t="s">
        <v>39</v>
      </c>
      <c r="L1847" s="2" t="s">
        <v>39</v>
      </c>
      <c r="M1847" s="2" t="s">
        <v>39</v>
      </c>
      <c r="N1847" s="2" t="s">
        <v>39</v>
      </c>
      <c r="O1847" s="2" t="s">
        <v>39</v>
      </c>
      <c r="P1847" s="2" t="s">
        <v>39</v>
      </c>
      <c r="Q1847" s="2" t="s">
        <v>39</v>
      </c>
      <c r="R1847" s="2" t="s">
        <v>39</v>
      </c>
      <c r="S1847" s="2" t="s">
        <v>39</v>
      </c>
      <c r="T1847" s="2" t="s">
        <v>39</v>
      </c>
      <c r="U1847" s="2" t="s">
        <v>39</v>
      </c>
      <c r="V1847" s="2" t="s">
        <v>39</v>
      </c>
      <c r="W1847" s="2" t="s">
        <v>39</v>
      </c>
      <c r="X1847" s="2" t="s">
        <v>39</v>
      </c>
      <c r="Y1847" s="2" t="s">
        <v>39</v>
      </c>
      <c r="Z1847" s="2" t="s">
        <v>39</v>
      </c>
      <c r="AA1847" s="2" t="s">
        <v>39</v>
      </c>
      <c r="AB1847" s="2" t="s">
        <v>39</v>
      </c>
      <c r="AC1847" s="2" t="s">
        <v>39</v>
      </c>
      <c r="AD1847" s="2" t="s">
        <v>39</v>
      </c>
      <c r="AE1847" s="2" t="s">
        <v>39</v>
      </c>
    </row>
    <row r="1848" spans="1:31" ht="409.5">
      <c r="A1848" s="2">
        <v>2729807</v>
      </c>
      <c r="B1848" s="2">
        <f>HYPERLINK("https://platform.v2.vetology.net/cases/2729807/screening-report/1?type=pdf&amp;v=v6&amp;scorecard=1&amp;secret_key=BX%25IJ%24%2F65ieZ%29f6", 2729807)</f>
        <v>2729807</v>
      </c>
      <c r="C1848" s="2">
        <f>HYPERLINK("https://platform.v2.vetology.net/report/v/final/"&amp;2729807, 2729807)</f>
        <v>2729807</v>
      </c>
      <c r="D1848" s="2" t="s">
        <v>5987</v>
      </c>
      <c r="E1848" s="2" t="s">
        <v>5988</v>
      </c>
      <c r="F1848" s="2" t="s">
        <v>5989</v>
      </c>
      <c r="G1848" s="2" t="s">
        <v>34</v>
      </c>
      <c r="H1848" s="2" t="s">
        <v>5990</v>
      </c>
      <c r="I1848" s="2" t="s">
        <v>36</v>
      </c>
      <c r="J1848" s="2" t="s">
        <v>37</v>
      </c>
      <c r="K1848" s="2" t="s">
        <v>38</v>
      </c>
      <c r="L1848" s="2" t="s">
        <v>38</v>
      </c>
      <c r="M1848" s="2" t="s">
        <v>38</v>
      </c>
      <c r="N1848" s="2" t="s">
        <v>38</v>
      </c>
      <c r="O1848" s="2" t="s">
        <v>38</v>
      </c>
      <c r="P1848" s="2" t="s">
        <v>38</v>
      </c>
      <c r="Q1848" s="2" t="s">
        <v>39</v>
      </c>
      <c r="R1848" s="2" t="s">
        <v>38</v>
      </c>
      <c r="S1848" s="2" t="s">
        <v>38</v>
      </c>
      <c r="T1848" s="2" t="s">
        <v>38</v>
      </c>
      <c r="U1848" s="2" t="s">
        <v>39</v>
      </c>
      <c r="V1848" s="2" t="s">
        <v>38</v>
      </c>
      <c r="W1848" s="2" t="s">
        <v>38</v>
      </c>
      <c r="X1848" s="2" t="s">
        <v>38</v>
      </c>
      <c r="Y1848" s="2" t="s">
        <v>39</v>
      </c>
      <c r="Z1848" s="2" t="s">
        <v>38</v>
      </c>
      <c r="AA1848" s="2" t="s">
        <v>38</v>
      </c>
      <c r="AB1848" s="2" t="s">
        <v>38</v>
      </c>
      <c r="AC1848" s="2" t="s">
        <v>38</v>
      </c>
      <c r="AD1848" s="2" t="s">
        <v>38</v>
      </c>
      <c r="AE1848" s="2" t="s">
        <v>39</v>
      </c>
    </row>
    <row r="1849" spans="1:31" ht="409.5">
      <c r="A1849" s="2">
        <v>2729768</v>
      </c>
      <c r="B1849" s="2">
        <f>HYPERLINK("https://platform.v2.vetology.net/cases/2729768/screening-report/1?type=pdf&amp;v=v6&amp;scorecard=1&amp;secret_key=BX%25IJ%24%2F65ieZ%29f6", 2729768)</f>
        <v>2729768</v>
      </c>
      <c r="C1849" s="2">
        <f>HYPERLINK("https://platform.v2.vetology.net/report/v/final/"&amp;2729768, 2729768)</f>
        <v>2729768</v>
      </c>
      <c r="D1849" s="2" t="s">
        <v>5991</v>
      </c>
      <c r="E1849" s="2" t="s">
        <v>5992</v>
      </c>
      <c r="F1849" s="2" t="s">
        <v>43</v>
      </c>
      <c r="G1849" s="2" t="s">
        <v>44</v>
      </c>
      <c r="H1849" s="2" t="s">
        <v>5993</v>
      </c>
      <c r="I1849" s="2" t="s">
        <v>129</v>
      </c>
      <c r="J1849" s="2" t="s">
        <v>74</v>
      </c>
      <c r="K1849" s="2" t="s">
        <v>38</v>
      </c>
      <c r="L1849" s="2" t="s">
        <v>38</v>
      </c>
      <c r="M1849" s="2" t="s">
        <v>38</v>
      </c>
      <c r="N1849" s="2" t="s">
        <v>38</v>
      </c>
      <c r="O1849" s="2" t="s">
        <v>38</v>
      </c>
      <c r="P1849" s="2" t="s">
        <v>38</v>
      </c>
      <c r="Q1849" s="2" t="s">
        <v>38</v>
      </c>
      <c r="R1849" s="2" t="s">
        <v>38</v>
      </c>
      <c r="S1849" s="2" t="s">
        <v>38</v>
      </c>
      <c r="T1849" s="2" t="s">
        <v>38</v>
      </c>
      <c r="U1849" s="2" t="s">
        <v>39</v>
      </c>
      <c r="V1849" s="2" t="s">
        <v>38</v>
      </c>
      <c r="W1849" s="2" t="s">
        <v>38</v>
      </c>
      <c r="X1849" s="2" t="s">
        <v>38</v>
      </c>
      <c r="Y1849" s="2" t="s">
        <v>38</v>
      </c>
      <c r="Z1849" s="2" t="s">
        <v>38</v>
      </c>
      <c r="AA1849" s="2" t="s">
        <v>38</v>
      </c>
      <c r="AB1849" s="2" t="s">
        <v>38</v>
      </c>
      <c r="AC1849" s="2" t="s">
        <v>38</v>
      </c>
      <c r="AD1849" s="2" t="s">
        <v>38</v>
      </c>
      <c r="AE1849" s="2" t="s">
        <v>39</v>
      </c>
    </row>
    <row r="1850" spans="1:31" ht="409.5">
      <c r="A1850" s="2">
        <v>2729728</v>
      </c>
      <c r="B1850" s="2">
        <f>HYPERLINK("https://platform.v2.vetology.net/cases/2729728/screening-report/1?type=pdf&amp;v=v6&amp;scorecard=1&amp;secret_key=BX%25IJ%24%2F65ieZ%29f6", 2729728)</f>
        <v>2729728</v>
      </c>
      <c r="C1850" s="2">
        <f>HYPERLINK("https://platform.v2.vetology.net/report/v/final/"&amp;2729728, 2729728)</f>
        <v>2729728</v>
      </c>
      <c r="D1850" s="2" t="s">
        <v>5994</v>
      </c>
      <c r="E1850" s="2" t="s">
        <v>5995</v>
      </c>
      <c r="F1850" s="2" t="s">
        <v>4684</v>
      </c>
      <c r="G1850" s="2" t="s">
        <v>34</v>
      </c>
      <c r="H1850" s="2" t="s">
        <v>69</v>
      </c>
      <c r="I1850" s="2" t="s">
        <v>46</v>
      </c>
      <c r="J1850" s="2"/>
      <c r="K1850" s="2" t="s">
        <v>39</v>
      </c>
      <c r="L1850" s="2" t="s">
        <v>39</v>
      </c>
      <c r="M1850" s="2" t="s">
        <v>39</v>
      </c>
      <c r="N1850" s="2" t="s">
        <v>39</v>
      </c>
      <c r="O1850" s="2" t="s">
        <v>38</v>
      </c>
      <c r="P1850" s="2" t="s">
        <v>39</v>
      </c>
      <c r="Q1850" s="2" t="s">
        <v>39</v>
      </c>
      <c r="R1850" s="2" t="s">
        <v>39</v>
      </c>
      <c r="S1850" s="2" t="s">
        <v>39</v>
      </c>
      <c r="T1850" s="2" t="s">
        <v>38</v>
      </c>
      <c r="U1850" s="2" t="s">
        <v>39</v>
      </c>
      <c r="V1850" s="2" t="s">
        <v>39</v>
      </c>
      <c r="W1850" s="2" t="s">
        <v>39</v>
      </c>
      <c r="X1850" s="2" t="s">
        <v>39</v>
      </c>
      <c r="Y1850" s="2" t="s">
        <v>39</v>
      </c>
      <c r="Z1850" s="2" t="s">
        <v>38</v>
      </c>
      <c r="AA1850" s="2" t="s">
        <v>39</v>
      </c>
      <c r="AB1850" s="2" t="s">
        <v>39</v>
      </c>
      <c r="AC1850" s="2" t="s">
        <v>39</v>
      </c>
      <c r="AD1850" s="2" t="s">
        <v>38</v>
      </c>
      <c r="AE1850" s="2" t="s">
        <v>39</v>
      </c>
    </row>
    <row r="1851" spans="1:31" ht="409.5">
      <c r="A1851" s="2">
        <v>2729704</v>
      </c>
      <c r="B1851" s="2">
        <f>HYPERLINK("https://platform.v2.vetology.net/cases/2729704/screening-report/1?type=pdf&amp;v=v6&amp;scorecard=1&amp;secret_key=BX%25IJ%24%2F65ieZ%29f6", 2729704)</f>
        <v>2729704</v>
      </c>
      <c r="C1851" s="2">
        <f>HYPERLINK("https://platform.v2.vetology.net/report/v/final/"&amp;2729704, 2729704)</f>
        <v>2729704</v>
      </c>
      <c r="D1851" s="2" t="s">
        <v>5996</v>
      </c>
      <c r="E1851" s="2" t="s">
        <v>5997</v>
      </c>
      <c r="F1851" s="2" t="s">
        <v>5998</v>
      </c>
      <c r="G1851" s="2" t="s">
        <v>127</v>
      </c>
      <c r="H1851" s="2" t="s">
        <v>5999</v>
      </c>
      <c r="I1851" s="2" t="s">
        <v>73</v>
      </c>
      <c r="J1851" s="2" t="s">
        <v>74</v>
      </c>
      <c r="K1851" s="2" t="s">
        <v>38</v>
      </c>
      <c r="L1851" s="2" t="s">
        <v>38</v>
      </c>
      <c r="M1851" s="2" t="s">
        <v>38</v>
      </c>
      <c r="N1851" s="2" t="s">
        <v>38</v>
      </c>
      <c r="O1851" s="2" t="s">
        <v>38</v>
      </c>
      <c r="P1851" s="2" t="s">
        <v>38</v>
      </c>
      <c r="Q1851" s="2" t="s">
        <v>38</v>
      </c>
      <c r="R1851" s="2" t="s">
        <v>39</v>
      </c>
      <c r="S1851" s="2" t="s">
        <v>38</v>
      </c>
      <c r="T1851" s="2" t="s">
        <v>38</v>
      </c>
      <c r="U1851" s="2" t="s">
        <v>38</v>
      </c>
      <c r="V1851" s="2" t="s">
        <v>38</v>
      </c>
      <c r="W1851" s="2" t="s">
        <v>38</v>
      </c>
      <c r="X1851" s="2" t="s">
        <v>38</v>
      </c>
      <c r="Y1851" s="2" t="s">
        <v>38</v>
      </c>
      <c r="Z1851" s="2" t="s">
        <v>38</v>
      </c>
      <c r="AA1851" s="2" t="s">
        <v>38</v>
      </c>
      <c r="AB1851" s="2" t="s">
        <v>38</v>
      </c>
      <c r="AC1851" s="2" t="s">
        <v>38</v>
      </c>
      <c r="AD1851" s="2" t="s">
        <v>39</v>
      </c>
      <c r="AE1851" s="2" t="s">
        <v>40</v>
      </c>
    </row>
    <row r="1852" spans="1:31" ht="409.5">
      <c r="A1852" s="2">
        <v>2729699</v>
      </c>
      <c r="B1852" s="2">
        <f>HYPERLINK("https://platform.v2.vetology.net/cases/2729699/screening-report/1?type=pdf&amp;v=v6&amp;scorecard=1&amp;secret_key=BX%25IJ%24%2F65ieZ%29f6", 2729699)</f>
        <v>2729699</v>
      </c>
      <c r="C1852" s="2">
        <f>HYPERLINK("https://platform.v2.vetology.net/report/v/final/"&amp;2729699, 2729699)</f>
        <v>2729699</v>
      </c>
      <c r="D1852" s="2" t="s">
        <v>6000</v>
      </c>
      <c r="E1852" s="2" t="s">
        <v>6001</v>
      </c>
      <c r="F1852" s="2" t="s">
        <v>6002</v>
      </c>
      <c r="G1852" s="2" t="s">
        <v>170</v>
      </c>
      <c r="H1852" s="2" t="s">
        <v>6003</v>
      </c>
      <c r="I1852" s="2" t="s">
        <v>257</v>
      </c>
      <c r="J1852" s="2" t="s">
        <v>74</v>
      </c>
      <c r="K1852" s="2" t="s">
        <v>38</v>
      </c>
      <c r="L1852" s="2" t="s">
        <v>38</v>
      </c>
      <c r="M1852" s="2" t="s">
        <v>38</v>
      </c>
      <c r="N1852" s="2" t="s">
        <v>38</v>
      </c>
      <c r="O1852" s="2" t="s">
        <v>38</v>
      </c>
      <c r="P1852" s="2" t="s">
        <v>38</v>
      </c>
      <c r="Q1852" s="2" t="s">
        <v>38</v>
      </c>
      <c r="R1852" s="2" t="s">
        <v>38</v>
      </c>
      <c r="S1852" s="2" t="s">
        <v>38</v>
      </c>
      <c r="T1852" s="2" t="s">
        <v>38</v>
      </c>
      <c r="U1852" s="2" t="s">
        <v>38</v>
      </c>
      <c r="V1852" s="2" t="s">
        <v>38</v>
      </c>
      <c r="W1852" s="2" t="s">
        <v>38</v>
      </c>
      <c r="X1852" s="2" t="s">
        <v>38</v>
      </c>
      <c r="Y1852" s="2" t="s">
        <v>38</v>
      </c>
      <c r="Z1852" s="2" t="s">
        <v>38</v>
      </c>
      <c r="AA1852" s="2" t="s">
        <v>38</v>
      </c>
      <c r="AB1852" s="2" t="s">
        <v>38</v>
      </c>
      <c r="AC1852" s="2" t="s">
        <v>38</v>
      </c>
      <c r="AD1852" s="2" t="s">
        <v>38</v>
      </c>
      <c r="AE1852" s="2" t="s">
        <v>40</v>
      </c>
    </row>
    <row r="1853" spans="1:31" ht="409.5">
      <c r="A1853" s="2">
        <v>2729655</v>
      </c>
      <c r="B1853" s="2">
        <f>HYPERLINK("https://platform.v2.vetology.net/cases/2729655/screening-report/1?type=pdf&amp;v=v6&amp;scorecard=1&amp;secret_key=BX%25IJ%24%2F65ieZ%29f6", 2729655)</f>
        <v>2729655</v>
      </c>
      <c r="C1853" s="2">
        <f>HYPERLINK("https://platform.v2.vetology.net/report/v/final/"&amp;2729655, 2729655)</f>
        <v>2729655</v>
      </c>
      <c r="D1853" s="2" t="s">
        <v>6004</v>
      </c>
      <c r="E1853" s="2" t="s">
        <v>6005</v>
      </c>
      <c r="F1853" s="2" t="s">
        <v>6006</v>
      </c>
      <c r="G1853" s="2" t="s">
        <v>34</v>
      </c>
      <c r="H1853" s="2" t="s">
        <v>449</v>
      </c>
      <c r="I1853" s="2" t="s">
        <v>59</v>
      </c>
      <c r="J1853" s="2" t="s">
        <v>37</v>
      </c>
      <c r="K1853" s="2" t="s">
        <v>39</v>
      </c>
      <c r="L1853" s="2" t="s">
        <v>38</v>
      </c>
      <c r="M1853" s="2" t="s">
        <v>39</v>
      </c>
      <c r="N1853" s="2" t="s">
        <v>38</v>
      </c>
      <c r="O1853" s="2" t="s">
        <v>39</v>
      </c>
      <c r="P1853" s="2" t="s">
        <v>39</v>
      </c>
      <c r="Q1853" s="2" t="s">
        <v>39</v>
      </c>
      <c r="R1853" s="2" t="s">
        <v>38</v>
      </c>
      <c r="S1853" s="2" t="s">
        <v>38</v>
      </c>
      <c r="T1853" s="2" t="s">
        <v>39</v>
      </c>
      <c r="U1853" s="2" t="s">
        <v>39</v>
      </c>
      <c r="V1853" s="2" t="s">
        <v>39</v>
      </c>
      <c r="W1853" s="2" t="s">
        <v>38</v>
      </c>
      <c r="X1853" s="2" t="s">
        <v>39</v>
      </c>
      <c r="Y1853" s="2" t="s">
        <v>39</v>
      </c>
      <c r="Z1853" s="2" t="s">
        <v>38</v>
      </c>
      <c r="AA1853" s="2" t="s">
        <v>39</v>
      </c>
      <c r="AB1853" s="2" t="s">
        <v>39</v>
      </c>
      <c r="AC1853" s="2" t="s">
        <v>38</v>
      </c>
      <c r="AD1853" s="2" t="s">
        <v>38</v>
      </c>
      <c r="AE1853" s="2" t="s">
        <v>40</v>
      </c>
    </row>
    <row r="1854" spans="1:31" ht="409.5">
      <c r="A1854" s="2">
        <v>2729650</v>
      </c>
      <c r="B1854" s="2">
        <f>HYPERLINK("https://platform.v2.vetology.net/cases/2729650/screening-report/1?type=pdf&amp;v=v6&amp;scorecard=1&amp;secret_key=BX%25IJ%24%2F65ieZ%29f6", 2729650)</f>
        <v>2729650</v>
      </c>
      <c r="C1854" s="2">
        <f>HYPERLINK("https://platform.v2.vetology.net/report/v/final/"&amp;2729650, 2729650)</f>
        <v>2729650</v>
      </c>
      <c r="D1854" s="2" t="s">
        <v>6007</v>
      </c>
      <c r="E1854" s="2" t="s">
        <v>6008</v>
      </c>
      <c r="F1854" s="2" t="s">
        <v>43</v>
      </c>
      <c r="G1854" s="2" t="s">
        <v>44</v>
      </c>
      <c r="H1854" s="2" t="s">
        <v>6009</v>
      </c>
      <c r="I1854" s="2" t="s">
        <v>129</v>
      </c>
      <c r="J1854" s="2" t="s">
        <v>74</v>
      </c>
      <c r="K1854" s="2" t="s">
        <v>39</v>
      </c>
      <c r="L1854" s="2" t="s">
        <v>39</v>
      </c>
      <c r="M1854" s="2" t="s">
        <v>38</v>
      </c>
      <c r="N1854" s="2" t="s">
        <v>38</v>
      </c>
      <c r="O1854" s="2" t="s">
        <v>38</v>
      </c>
      <c r="P1854" s="2" t="s">
        <v>39</v>
      </c>
      <c r="Q1854" s="2" t="s">
        <v>38</v>
      </c>
      <c r="R1854" s="2" t="s">
        <v>38</v>
      </c>
      <c r="S1854" s="2" t="s">
        <v>38</v>
      </c>
      <c r="T1854" s="2" t="s">
        <v>38</v>
      </c>
      <c r="U1854" s="2" t="s">
        <v>39</v>
      </c>
      <c r="V1854" s="2" t="s">
        <v>39</v>
      </c>
      <c r="W1854" s="2" t="s">
        <v>38</v>
      </c>
      <c r="X1854" s="2" t="s">
        <v>39</v>
      </c>
      <c r="Y1854" s="2" t="s">
        <v>39</v>
      </c>
      <c r="Z1854" s="2" t="s">
        <v>38</v>
      </c>
      <c r="AA1854" s="2" t="s">
        <v>39</v>
      </c>
      <c r="AB1854" s="2" t="s">
        <v>38</v>
      </c>
      <c r="AC1854" s="2" t="s">
        <v>38</v>
      </c>
      <c r="AD1854" s="2" t="s">
        <v>39</v>
      </c>
      <c r="AE1854" s="2" t="s">
        <v>40</v>
      </c>
    </row>
    <row r="1855" spans="1:31" ht="409.5">
      <c r="A1855" s="2">
        <v>2729645</v>
      </c>
      <c r="B1855" s="2">
        <f>HYPERLINK("https://platform.v2.vetology.net/cases/2729645/screening-report/1?type=pdf&amp;v=v6&amp;scorecard=1&amp;secret_key=BX%25IJ%24%2F65ieZ%29f6", 2729645)</f>
        <v>2729645</v>
      </c>
      <c r="C1855" s="2">
        <f>HYPERLINK("https://platform.v2.vetology.net/report/v/final/"&amp;2729645, 2729645)</f>
        <v>2729645</v>
      </c>
      <c r="D1855" s="2" t="s">
        <v>6010</v>
      </c>
      <c r="E1855" s="2" t="s">
        <v>6011</v>
      </c>
      <c r="F1855" s="2" t="s">
        <v>6012</v>
      </c>
      <c r="G1855" s="2" t="s">
        <v>53</v>
      </c>
      <c r="H1855" s="2" t="s">
        <v>158</v>
      </c>
      <c r="I1855" s="2" t="s">
        <v>59</v>
      </c>
      <c r="J1855" s="2" t="s">
        <v>37</v>
      </c>
      <c r="K1855" s="2" t="s">
        <v>38</v>
      </c>
      <c r="L1855" s="2" t="s">
        <v>39</v>
      </c>
      <c r="M1855" s="2" t="s">
        <v>39</v>
      </c>
      <c r="N1855" s="2" t="s">
        <v>39</v>
      </c>
      <c r="O1855" s="2" t="s">
        <v>39</v>
      </c>
      <c r="P1855" s="2" t="s">
        <v>39</v>
      </c>
      <c r="Q1855" s="2" t="s">
        <v>39</v>
      </c>
      <c r="R1855" s="2" t="s">
        <v>39</v>
      </c>
      <c r="S1855" s="2" t="s">
        <v>39</v>
      </c>
      <c r="T1855" s="2" t="s">
        <v>39</v>
      </c>
      <c r="U1855" s="2" t="s">
        <v>39</v>
      </c>
      <c r="V1855" s="2" t="s">
        <v>38</v>
      </c>
      <c r="W1855" s="2" t="s">
        <v>39</v>
      </c>
      <c r="X1855" s="2" t="s">
        <v>39</v>
      </c>
      <c r="Y1855" s="2" t="s">
        <v>39</v>
      </c>
      <c r="Z1855" s="2" t="s">
        <v>39</v>
      </c>
      <c r="AA1855" s="2" t="s">
        <v>39</v>
      </c>
      <c r="AB1855" s="2" t="s">
        <v>39</v>
      </c>
      <c r="AC1855" s="2" t="s">
        <v>39</v>
      </c>
      <c r="AD1855" s="2" t="s">
        <v>39</v>
      </c>
      <c r="AE1855" s="2" t="s">
        <v>39</v>
      </c>
    </row>
    <row r="1856" spans="1:31" ht="409.5">
      <c r="A1856" s="2">
        <v>2729644</v>
      </c>
      <c r="B1856" s="2">
        <f>HYPERLINK("https://platform.v2.vetology.net/cases/2729644/screening-report/1?type=pdf&amp;v=v6&amp;scorecard=1&amp;secret_key=BX%25IJ%24%2F65ieZ%29f6", 2729644)</f>
        <v>2729644</v>
      </c>
      <c r="C1856" s="2">
        <f>HYPERLINK("https://platform.v2.vetology.net/report/v/final/"&amp;2729644, 2729644)</f>
        <v>2729644</v>
      </c>
      <c r="D1856" s="2" t="s">
        <v>6013</v>
      </c>
      <c r="E1856" s="2" t="s">
        <v>6014</v>
      </c>
      <c r="F1856" s="2" t="s">
        <v>6015</v>
      </c>
      <c r="G1856" s="2" t="s">
        <v>34</v>
      </c>
      <c r="H1856" s="2" t="s">
        <v>54</v>
      </c>
      <c r="I1856" s="2" t="s">
        <v>36</v>
      </c>
      <c r="J1856" s="2" t="s">
        <v>37</v>
      </c>
      <c r="K1856" s="2" t="s">
        <v>38</v>
      </c>
      <c r="L1856" s="2" t="s">
        <v>38</v>
      </c>
      <c r="M1856" s="2" t="s">
        <v>38</v>
      </c>
      <c r="N1856" s="2" t="s">
        <v>38</v>
      </c>
      <c r="O1856" s="2" t="s">
        <v>38</v>
      </c>
      <c r="P1856" s="2" t="s">
        <v>39</v>
      </c>
      <c r="Q1856" s="2" t="s">
        <v>39</v>
      </c>
      <c r="R1856" s="2" t="s">
        <v>38</v>
      </c>
      <c r="S1856" s="2" t="s">
        <v>38</v>
      </c>
      <c r="T1856" s="2" t="s">
        <v>38</v>
      </c>
      <c r="U1856" s="2" t="s">
        <v>38</v>
      </c>
      <c r="V1856" s="2" t="s">
        <v>38</v>
      </c>
      <c r="W1856" s="2" t="s">
        <v>38</v>
      </c>
      <c r="X1856" s="2" t="s">
        <v>39</v>
      </c>
      <c r="Y1856" s="2" t="s">
        <v>38</v>
      </c>
      <c r="Z1856" s="2" t="s">
        <v>38</v>
      </c>
      <c r="AA1856" s="2" t="s">
        <v>38</v>
      </c>
      <c r="AB1856" s="2" t="s">
        <v>38</v>
      </c>
      <c r="AC1856" s="2" t="s">
        <v>38</v>
      </c>
      <c r="AD1856" s="2" t="s">
        <v>38</v>
      </c>
      <c r="AE1856" s="2" t="s">
        <v>39</v>
      </c>
    </row>
    <row r="1857" spans="1:31" ht="409.5">
      <c r="A1857" s="2">
        <v>2729640</v>
      </c>
      <c r="B1857" s="2">
        <f>HYPERLINK("https://platform.v2.vetology.net/cases/2729640/screening-report/1?type=pdf&amp;v=v6&amp;scorecard=1&amp;secret_key=BX%25IJ%24%2F65ieZ%29f6", 2729640)</f>
        <v>2729640</v>
      </c>
      <c r="C1857" s="2">
        <f>HYPERLINK("https://platform.v2.vetology.net/report/v/final/"&amp;2729640, 2729640)</f>
        <v>2729640</v>
      </c>
      <c r="D1857" s="2" t="s">
        <v>6016</v>
      </c>
      <c r="E1857" s="2" t="s">
        <v>6017</v>
      </c>
      <c r="F1857" s="2" t="s">
        <v>6018</v>
      </c>
      <c r="G1857" s="2" t="s">
        <v>34</v>
      </c>
      <c r="H1857" s="2" t="s">
        <v>6019</v>
      </c>
      <c r="I1857" s="2" t="s">
        <v>257</v>
      </c>
      <c r="J1857" s="2" t="s">
        <v>74</v>
      </c>
      <c r="K1857" s="2" t="s">
        <v>38</v>
      </c>
      <c r="L1857" s="2" t="s">
        <v>38</v>
      </c>
      <c r="M1857" s="2" t="s">
        <v>38</v>
      </c>
      <c r="N1857" s="2" t="s">
        <v>38</v>
      </c>
      <c r="O1857" s="2" t="s">
        <v>38</v>
      </c>
      <c r="P1857" s="2" t="s">
        <v>38</v>
      </c>
      <c r="Q1857" s="2" t="s">
        <v>38</v>
      </c>
      <c r="R1857" s="2" t="s">
        <v>38</v>
      </c>
      <c r="S1857" s="2" t="s">
        <v>38</v>
      </c>
      <c r="T1857" s="2" t="s">
        <v>38</v>
      </c>
      <c r="U1857" s="2" t="s">
        <v>38</v>
      </c>
      <c r="V1857" s="2" t="s">
        <v>38</v>
      </c>
      <c r="W1857" s="2" t="s">
        <v>38</v>
      </c>
      <c r="X1857" s="2" t="s">
        <v>38</v>
      </c>
      <c r="Y1857" s="2" t="s">
        <v>38</v>
      </c>
      <c r="Z1857" s="2" t="s">
        <v>38</v>
      </c>
      <c r="AA1857" s="2" t="s">
        <v>38</v>
      </c>
      <c r="AB1857" s="2" t="s">
        <v>38</v>
      </c>
      <c r="AC1857" s="2" t="s">
        <v>38</v>
      </c>
      <c r="AD1857" s="2" t="s">
        <v>38</v>
      </c>
      <c r="AE1857" s="2" t="s">
        <v>40</v>
      </c>
    </row>
    <row r="1858" spans="1:31" ht="409.5">
      <c r="A1858" s="2">
        <v>2729633</v>
      </c>
      <c r="B1858" s="2">
        <f>HYPERLINK("https://platform.v2.vetology.net/cases/2729633/screening-report/1?type=pdf&amp;v=v6&amp;scorecard=1&amp;secret_key=BX%25IJ%24%2F65ieZ%29f6", 2729633)</f>
        <v>2729633</v>
      </c>
      <c r="C1858" s="2">
        <f>HYPERLINK("https://platform.v2.vetology.net/report/v/final/"&amp;2729633, 2729633)</f>
        <v>2729633</v>
      </c>
      <c r="D1858" s="2" t="s">
        <v>6020</v>
      </c>
      <c r="E1858" s="2" t="s">
        <v>6021</v>
      </c>
      <c r="F1858" s="2" t="s">
        <v>6022</v>
      </c>
      <c r="G1858" s="2" t="s">
        <v>170</v>
      </c>
      <c r="H1858" s="2" t="s">
        <v>6023</v>
      </c>
      <c r="I1858" s="2" t="s">
        <v>73</v>
      </c>
      <c r="J1858" s="2" t="s">
        <v>74</v>
      </c>
      <c r="K1858" s="2" t="s">
        <v>38</v>
      </c>
      <c r="L1858" s="2" t="s">
        <v>38</v>
      </c>
      <c r="M1858" s="2" t="s">
        <v>38</v>
      </c>
      <c r="N1858" s="2" t="s">
        <v>38</v>
      </c>
      <c r="O1858" s="2" t="s">
        <v>38</v>
      </c>
      <c r="P1858" s="2" t="s">
        <v>38</v>
      </c>
      <c r="Q1858" s="2" t="s">
        <v>38</v>
      </c>
      <c r="R1858" s="2" t="s">
        <v>39</v>
      </c>
      <c r="S1858" s="2" t="s">
        <v>39</v>
      </c>
      <c r="T1858" s="2" t="s">
        <v>38</v>
      </c>
      <c r="U1858" s="2" t="s">
        <v>38</v>
      </c>
      <c r="V1858" s="2" t="s">
        <v>38</v>
      </c>
      <c r="W1858" s="2" t="s">
        <v>38</v>
      </c>
      <c r="X1858" s="2" t="s">
        <v>38</v>
      </c>
      <c r="Y1858" s="2" t="s">
        <v>39</v>
      </c>
      <c r="Z1858" s="2" t="s">
        <v>38</v>
      </c>
      <c r="AA1858" s="2" t="s">
        <v>38</v>
      </c>
      <c r="AB1858" s="2" t="s">
        <v>38</v>
      </c>
      <c r="AC1858" s="2" t="s">
        <v>38</v>
      </c>
      <c r="AD1858" s="2" t="s">
        <v>39</v>
      </c>
      <c r="AE1858" s="2" t="s">
        <v>40</v>
      </c>
    </row>
    <row r="1859" spans="1:31" ht="409.5">
      <c r="A1859" s="2">
        <v>2729632</v>
      </c>
      <c r="B1859" s="2">
        <f>HYPERLINK("https://platform.v2.vetology.net/cases/2729632/screening-report/1?type=pdf&amp;v=v6&amp;scorecard=1&amp;secret_key=BX%25IJ%24%2F65ieZ%29f6", 2729632)</f>
        <v>2729632</v>
      </c>
      <c r="C1859" s="2">
        <f>HYPERLINK("https://platform.v2.vetology.net/report/v/final/"&amp;2729632, 2729632)</f>
        <v>2729632</v>
      </c>
      <c r="D1859" s="2" t="s">
        <v>6024</v>
      </c>
      <c r="E1859" s="2" t="s">
        <v>6025</v>
      </c>
      <c r="F1859" s="2" t="s">
        <v>6026</v>
      </c>
      <c r="G1859" s="2" t="s">
        <v>170</v>
      </c>
      <c r="H1859" s="2" t="s">
        <v>6027</v>
      </c>
      <c r="I1859" s="2" t="s">
        <v>73</v>
      </c>
      <c r="J1859" s="2" t="s">
        <v>74</v>
      </c>
      <c r="K1859" s="2" t="s">
        <v>38</v>
      </c>
      <c r="L1859" s="2" t="s">
        <v>38</v>
      </c>
      <c r="M1859" s="2" t="s">
        <v>38</v>
      </c>
      <c r="N1859" s="2" t="s">
        <v>38</v>
      </c>
      <c r="O1859" s="2" t="s">
        <v>38</v>
      </c>
      <c r="P1859" s="2" t="s">
        <v>38</v>
      </c>
      <c r="Q1859" s="2" t="s">
        <v>38</v>
      </c>
      <c r="R1859" s="2" t="s">
        <v>38</v>
      </c>
      <c r="S1859" s="2" t="s">
        <v>38</v>
      </c>
      <c r="T1859" s="2" t="s">
        <v>38</v>
      </c>
      <c r="U1859" s="2" t="s">
        <v>38</v>
      </c>
      <c r="V1859" s="2" t="s">
        <v>38</v>
      </c>
      <c r="W1859" s="2" t="s">
        <v>38</v>
      </c>
      <c r="X1859" s="2" t="s">
        <v>38</v>
      </c>
      <c r="Y1859" s="2" t="s">
        <v>39</v>
      </c>
      <c r="Z1859" s="2" t="s">
        <v>38</v>
      </c>
      <c r="AA1859" s="2" t="s">
        <v>38</v>
      </c>
      <c r="AB1859" s="2" t="s">
        <v>38</v>
      </c>
      <c r="AC1859" s="2" t="s">
        <v>38</v>
      </c>
      <c r="AD1859" s="2" t="s">
        <v>38</v>
      </c>
      <c r="AE1859" s="2" t="s">
        <v>40</v>
      </c>
    </row>
    <row r="1860" spans="1:31" ht="409.5">
      <c r="A1860" s="2">
        <v>2729626</v>
      </c>
      <c r="B1860" s="2">
        <f>HYPERLINK("https://platform.v2.vetology.net/cases/2729626/screening-report/1?type=pdf&amp;v=v6&amp;scorecard=1&amp;secret_key=BX%25IJ%24%2F65ieZ%29f6", 2729626)</f>
        <v>2729626</v>
      </c>
      <c r="C1860" s="2">
        <f>HYPERLINK("https://platform.v2.vetology.net/report/v/final/"&amp;2729626, 2729626)</f>
        <v>2729626</v>
      </c>
      <c r="D1860" s="2" t="s">
        <v>6028</v>
      </c>
      <c r="E1860" s="2" t="s">
        <v>6029</v>
      </c>
      <c r="F1860" s="2" t="s">
        <v>6030</v>
      </c>
      <c r="G1860" s="2" t="s">
        <v>53</v>
      </c>
      <c r="H1860" s="2" t="s">
        <v>6031</v>
      </c>
      <c r="I1860" s="2" t="s">
        <v>36</v>
      </c>
      <c r="J1860" s="2" t="s">
        <v>37</v>
      </c>
      <c r="K1860" s="2" t="s">
        <v>38</v>
      </c>
      <c r="L1860" s="2" t="s">
        <v>38</v>
      </c>
      <c r="M1860" s="2" t="s">
        <v>38</v>
      </c>
      <c r="N1860" s="2" t="s">
        <v>39</v>
      </c>
      <c r="O1860" s="2" t="s">
        <v>38</v>
      </c>
      <c r="P1860" s="2" t="s">
        <v>39</v>
      </c>
      <c r="Q1860" s="2" t="s">
        <v>39</v>
      </c>
      <c r="R1860" s="2" t="s">
        <v>38</v>
      </c>
      <c r="S1860" s="2" t="s">
        <v>39</v>
      </c>
      <c r="T1860" s="2" t="s">
        <v>39</v>
      </c>
      <c r="U1860" s="2" t="s">
        <v>38</v>
      </c>
      <c r="V1860" s="2" t="s">
        <v>38</v>
      </c>
      <c r="W1860" s="2" t="s">
        <v>39</v>
      </c>
      <c r="X1860" s="2" t="s">
        <v>39</v>
      </c>
      <c r="Y1860" s="2" t="s">
        <v>39</v>
      </c>
      <c r="Z1860" s="2" t="s">
        <v>39</v>
      </c>
      <c r="AA1860" s="2" t="s">
        <v>38</v>
      </c>
      <c r="AB1860" s="2" t="s">
        <v>39</v>
      </c>
      <c r="AC1860" s="2" t="s">
        <v>38</v>
      </c>
      <c r="AD1860" s="2" t="s">
        <v>38</v>
      </c>
      <c r="AE1860" s="2" t="s">
        <v>40</v>
      </c>
    </row>
    <row r="1861" spans="1:31" ht="409.5">
      <c r="A1861" s="2">
        <v>2729591</v>
      </c>
      <c r="B1861" s="2">
        <f>HYPERLINK("https://platform.v2.vetology.net/cases/2729591/screening-report/1?type=pdf&amp;v=v6&amp;scorecard=1&amp;secret_key=BX%25IJ%24%2F65ieZ%29f6", 2729591)</f>
        <v>2729591</v>
      </c>
      <c r="C1861" s="2">
        <f>HYPERLINK("https://platform.v2.vetology.net/report/v/final/"&amp;2729591, 2729591)</f>
        <v>2729591</v>
      </c>
      <c r="D1861" s="2" t="s">
        <v>6032</v>
      </c>
      <c r="E1861" s="2" t="s">
        <v>6033</v>
      </c>
      <c r="F1861" s="2" t="s">
        <v>6034</v>
      </c>
      <c r="G1861" s="2" t="s">
        <v>44</v>
      </c>
      <c r="H1861" s="2" t="s">
        <v>6035</v>
      </c>
      <c r="I1861" s="2" t="s">
        <v>36</v>
      </c>
      <c r="J1861" s="2" t="s">
        <v>37</v>
      </c>
      <c r="K1861" s="2" t="s">
        <v>38</v>
      </c>
      <c r="L1861" s="2" t="s">
        <v>39</v>
      </c>
      <c r="M1861" s="2" t="s">
        <v>38</v>
      </c>
      <c r="N1861" s="2" t="s">
        <v>39</v>
      </c>
      <c r="O1861" s="2" t="s">
        <v>38</v>
      </c>
      <c r="P1861" s="2" t="s">
        <v>39</v>
      </c>
      <c r="Q1861" s="2" t="s">
        <v>39</v>
      </c>
      <c r="R1861" s="2" t="s">
        <v>38</v>
      </c>
      <c r="S1861" s="2" t="s">
        <v>39</v>
      </c>
      <c r="T1861" s="2" t="s">
        <v>39</v>
      </c>
      <c r="U1861" s="2" t="s">
        <v>38</v>
      </c>
      <c r="V1861" s="2" t="s">
        <v>38</v>
      </c>
      <c r="W1861" s="2" t="s">
        <v>38</v>
      </c>
      <c r="X1861" s="2" t="s">
        <v>39</v>
      </c>
      <c r="Y1861" s="2" t="s">
        <v>39</v>
      </c>
      <c r="Z1861" s="2" t="s">
        <v>38</v>
      </c>
      <c r="AA1861" s="2" t="s">
        <v>38</v>
      </c>
      <c r="AB1861" s="2" t="s">
        <v>39</v>
      </c>
      <c r="AC1861" s="2" t="s">
        <v>38</v>
      </c>
      <c r="AD1861" s="2" t="s">
        <v>39</v>
      </c>
      <c r="AE1861" s="2"/>
    </row>
    <row r="1862" spans="1:31" ht="409.5">
      <c r="A1862" s="2">
        <v>2729587</v>
      </c>
      <c r="B1862" s="2">
        <f>HYPERLINK("https://platform.v2.vetology.net/cases/2729587/screening-report/1?type=pdf&amp;v=v6&amp;scorecard=1&amp;secret_key=BX%25IJ%24%2F65ieZ%29f6", 2729587)</f>
        <v>2729587</v>
      </c>
      <c r="C1862" s="2">
        <f>HYPERLINK("https://platform.v2.vetology.net/report/v/final/"&amp;2729587, 2729587)</f>
        <v>2729587</v>
      </c>
      <c r="D1862" s="2" t="s">
        <v>6036</v>
      </c>
      <c r="E1862" s="2" t="s">
        <v>4379</v>
      </c>
      <c r="F1862" s="2" t="s">
        <v>3341</v>
      </c>
      <c r="G1862" s="2" t="s">
        <v>111</v>
      </c>
      <c r="H1862" s="2" t="s">
        <v>6037</v>
      </c>
      <c r="I1862" s="2" t="s">
        <v>257</v>
      </c>
      <c r="J1862" s="2" t="s">
        <v>74</v>
      </c>
      <c r="K1862" s="2" t="s">
        <v>38</v>
      </c>
      <c r="L1862" s="2" t="s">
        <v>39</v>
      </c>
      <c r="M1862" s="2" t="s">
        <v>38</v>
      </c>
      <c r="N1862" s="2" t="s">
        <v>38</v>
      </c>
      <c r="O1862" s="2" t="s">
        <v>38</v>
      </c>
      <c r="P1862" s="2" t="s">
        <v>39</v>
      </c>
      <c r="Q1862" s="2" t="s">
        <v>38</v>
      </c>
      <c r="R1862" s="2" t="s">
        <v>38</v>
      </c>
      <c r="S1862" s="2" t="s">
        <v>38</v>
      </c>
      <c r="T1862" s="2" t="s">
        <v>38</v>
      </c>
      <c r="U1862" s="2" t="s">
        <v>38</v>
      </c>
      <c r="V1862" s="2" t="s">
        <v>38</v>
      </c>
      <c r="W1862" s="2" t="s">
        <v>38</v>
      </c>
      <c r="X1862" s="2" t="s">
        <v>39</v>
      </c>
      <c r="Y1862" s="2" t="s">
        <v>39</v>
      </c>
      <c r="Z1862" s="2" t="s">
        <v>38</v>
      </c>
      <c r="AA1862" s="2" t="s">
        <v>38</v>
      </c>
      <c r="AB1862" s="2" t="s">
        <v>38</v>
      </c>
      <c r="AC1862" s="2" t="s">
        <v>38</v>
      </c>
      <c r="AD1862" s="2" t="s">
        <v>39</v>
      </c>
      <c r="AE1862" s="2" t="s">
        <v>39</v>
      </c>
    </row>
    <row r="1863" spans="1:31" ht="409.5">
      <c r="A1863" s="2">
        <v>2729542</v>
      </c>
      <c r="B1863" s="2">
        <f>HYPERLINK("https://platform.v2.vetology.net/cases/2729542/screening-report/1?type=pdf&amp;v=v6&amp;scorecard=1&amp;secret_key=BX%25IJ%24%2F65ieZ%29f6", 2729542)</f>
        <v>2729542</v>
      </c>
      <c r="C1863" s="2">
        <f>HYPERLINK("https://platform.v2.vetology.net/report/v/final/"&amp;2729542, 2729542)</f>
        <v>2729542</v>
      </c>
      <c r="D1863" s="2" t="s">
        <v>6038</v>
      </c>
      <c r="E1863" s="2" t="s">
        <v>6039</v>
      </c>
      <c r="F1863" s="2" t="s">
        <v>6040</v>
      </c>
      <c r="G1863" s="2" t="s">
        <v>127</v>
      </c>
      <c r="H1863" s="2" t="s">
        <v>66</v>
      </c>
      <c r="I1863" s="2" t="s">
        <v>36</v>
      </c>
      <c r="J1863" s="2" t="s">
        <v>37</v>
      </c>
      <c r="K1863" s="2" t="s">
        <v>39</v>
      </c>
      <c r="L1863" s="2" t="s">
        <v>39</v>
      </c>
      <c r="M1863" s="2" t="s">
        <v>38</v>
      </c>
      <c r="N1863" s="2" t="s">
        <v>39</v>
      </c>
      <c r="O1863" s="2" t="s">
        <v>38</v>
      </c>
      <c r="P1863" s="2" t="s">
        <v>39</v>
      </c>
      <c r="Q1863" s="2" t="s">
        <v>39</v>
      </c>
      <c r="R1863" s="2" t="s">
        <v>39</v>
      </c>
      <c r="S1863" s="2" t="s">
        <v>39</v>
      </c>
      <c r="T1863" s="2" t="s">
        <v>39</v>
      </c>
      <c r="U1863" s="2" t="s">
        <v>39</v>
      </c>
      <c r="V1863" s="2" t="s">
        <v>39</v>
      </c>
      <c r="W1863" s="2" t="s">
        <v>39</v>
      </c>
      <c r="X1863" s="2" t="s">
        <v>39</v>
      </c>
      <c r="Y1863" s="2" t="s">
        <v>39</v>
      </c>
      <c r="Z1863" s="2" t="s">
        <v>38</v>
      </c>
      <c r="AA1863" s="2" t="s">
        <v>39</v>
      </c>
      <c r="AB1863" s="2" t="s">
        <v>39</v>
      </c>
      <c r="AC1863" s="2" t="s">
        <v>38</v>
      </c>
      <c r="AD1863" s="2" t="s">
        <v>38</v>
      </c>
      <c r="AE1863" s="2" t="s">
        <v>40</v>
      </c>
    </row>
    <row r="1864" spans="1:31" ht="409.5">
      <c r="A1864" s="2">
        <v>2729531</v>
      </c>
      <c r="B1864" s="2">
        <f>HYPERLINK("https://platform.v2.vetology.net/cases/2729531/screening-report/1?type=pdf&amp;v=v6&amp;scorecard=1&amp;secret_key=BX%25IJ%24%2F65ieZ%29f6", 2729531)</f>
        <v>2729531</v>
      </c>
      <c r="C1864" s="2">
        <f>HYPERLINK("https://platform.v2.vetology.net/report/v/final/"&amp;2729531, 2729531)</f>
        <v>2729531</v>
      </c>
      <c r="D1864" s="2" t="s">
        <v>6041</v>
      </c>
      <c r="E1864" s="2" t="s">
        <v>6042</v>
      </c>
      <c r="F1864" s="2" t="s">
        <v>3797</v>
      </c>
      <c r="G1864" s="2" t="s">
        <v>170</v>
      </c>
      <c r="H1864" s="2" t="s">
        <v>6043</v>
      </c>
      <c r="I1864" s="2" t="s">
        <v>36</v>
      </c>
      <c r="J1864" s="2" t="s">
        <v>37</v>
      </c>
      <c r="K1864" s="2" t="s">
        <v>38</v>
      </c>
      <c r="L1864" s="2" t="s">
        <v>38</v>
      </c>
      <c r="M1864" s="2" t="s">
        <v>38</v>
      </c>
      <c r="N1864" s="2" t="s">
        <v>38</v>
      </c>
      <c r="O1864" s="2" t="s">
        <v>38</v>
      </c>
      <c r="P1864" s="2" t="s">
        <v>38</v>
      </c>
      <c r="Q1864" s="2" t="s">
        <v>39</v>
      </c>
      <c r="R1864" s="2" t="s">
        <v>38</v>
      </c>
      <c r="S1864" s="2" t="s">
        <v>38</v>
      </c>
      <c r="T1864" s="2" t="s">
        <v>38</v>
      </c>
      <c r="U1864" s="2" t="s">
        <v>38</v>
      </c>
      <c r="V1864" s="2" t="s">
        <v>38</v>
      </c>
      <c r="W1864" s="2" t="s">
        <v>38</v>
      </c>
      <c r="X1864" s="2" t="s">
        <v>39</v>
      </c>
      <c r="Y1864" s="2" t="s">
        <v>39</v>
      </c>
      <c r="Z1864" s="2" t="s">
        <v>38</v>
      </c>
      <c r="AA1864" s="2" t="s">
        <v>39</v>
      </c>
      <c r="AB1864" s="2" t="s">
        <v>39</v>
      </c>
      <c r="AC1864" s="2" t="s">
        <v>38</v>
      </c>
      <c r="AD1864" s="2" t="s">
        <v>38</v>
      </c>
      <c r="AE1864" s="2" t="s">
        <v>39</v>
      </c>
    </row>
    <row r="1865" spans="1:31" ht="409.5">
      <c r="A1865" s="2">
        <v>2729496</v>
      </c>
      <c r="B1865" s="2">
        <f>HYPERLINK("https://platform.v2.vetology.net/cases/2729496/screening-report/1?type=pdf&amp;v=v6&amp;scorecard=1&amp;secret_key=BX%25IJ%24%2F65ieZ%29f6", 2729496)</f>
        <v>2729496</v>
      </c>
      <c r="C1865" s="2">
        <f>HYPERLINK("https://platform.v2.vetology.net/report/v/final/"&amp;2729496, 2729496)</f>
        <v>2729496</v>
      </c>
      <c r="D1865" s="2" t="s">
        <v>6044</v>
      </c>
      <c r="E1865" s="2" t="s">
        <v>6045</v>
      </c>
      <c r="F1865" s="2" t="s">
        <v>6046</v>
      </c>
      <c r="G1865" s="2" t="s">
        <v>44</v>
      </c>
      <c r="H1865" s="2" t="s">
        <v>69</v>
      </c>
      <c r="I1865" s="2" t="s">
        <v>46</v>
      </c>
      <c r="J1865" s="2"/>
      <c r="K1865" s="2" t="s">
        <v>39</v>
      </c>
      <c r="L1865" s="2" t="s">
        <v>39</v>
      </c>
      <c r="M1865" s="2" t="s">
        <v>39</v>
      </c>
      <c r="N1865" s="2" t="s">
        <v>39</v>
      </c>
      <c r="O1865" s="2" t="s">
        <v>39</v>
      </c>
      <c r="P1865" s="2" t="s">
        <v>39</v>
      </c>
      <c r="Q1865" s="2" t="s">
        <v>39</v>
      </c>
      <c r="R1865" s="2" t="s">
        <v>39</v>
      </c>
      <c r="S1865" s="2" t="s">
        <v>39</v>
      </c>
      <c r="T1865" s="2" t="s">
        <v>38</v>
      </c>
      <c r="U1865" s="2" t="s">
        <v>39</v>
      </c>
      <c r="V1865" s="2" t="s">
        <v>39</v>
      </c>
      <c r="W1865" s="2" t="s">
        <v>39</v>
      </c>
      <c r="X1865" s="2" t="s">
        <v>39</v>
      </c>
      <c r="Y1865" s="2" t="s">
        <v>39</v>
      </c>
      <c r="Z1865" s="2" t="s">
        <v>39</v>
      </c>
      <c r="AA1865" s="2" t="s">
        <v>39</v>
      </c>
      <c r="AB1865" s="2" t="s">
        <v>39</v>
      </c>
      <c r="AC1865" s="2" t="s">
        <v>39</v>
      </c>
      <c r="AD1865" s="2" t="s">
        <v>39</v>
      </c>
      <c r="AE1865" s="2" t="s">
        <v>40</v>
      </c>
    </row>
    <row r="1866" spans="1:31" ht="409.5">
      <c r="A1866" s="2">
        <v>2729455</v>
      </c>
      <c r="B1866" s="2">
        <f>HYPERLINK("https://platform.v2.vetology.net/cases/2729455/screening-report/1?type=pdf&amp;v=v6&amp;scorecard=1&amp;secret_key=BX%25IJ%24%2F65ieZ%29f6", 2729455)</f>
        <v>2729455</v>
      </c>
      <c r="C1866" s="2">
        <f>HYPERLINK("https://platform.v2.vetology.net/report/v/final/"&amp;2729455, 2729455)</f>
        <v>2729455</v>
      </c>
      <c r="D1866" s="2" t="s">
        <v>6047</v>
      </c>
      <c r="E1866" s="2" t="s">
        <v>6048</v>
      </c>
      <c r="F1866" s="2" t="s">
        <v>6049</v>
      </c>
      <c r="G1866" s="2" t="s">
        <v>44</v>
      </c>
      <c r="H1866" s="2" t="s">
        <v>3331</v>
      </c>
      <c r="I1866" s="2" t="s">
        <v>59</v>
      </c>
      <c r="J1866" s="2" t="s">
        <v>37</v>
      </c>
      <c r="K1866" s="2" t="s">
        <v>39</v>
      </c>
      <c r="L1866" s="2" t="s">
        <v>38</v>
      </c>
      <c r="M1866" s="2" t="s">
        <v>39</v>
      </c>
      <c r="N1866" s="2" t="s">
        <v>38</v>
      </c>
      <c r="O1866" s="2" t="s">
        <v>39</v>
      </c>
      <c r="P1866" s="2" t="s">
        <v>39</v>
      </c>
      <c r="Q1866" s="2" t="s">
        <v>39</v>
      </c>
      <c r="R1866" s="2" t="s">
        <v>38</v>
      </c>
      <c r="S1866" s="2" t="s">
        <v>38</v>
      </c>
      <c r="T1866" s="2" t="s">
        <v>39</v>
      </c>
      <c r="U1866" s="2" t="s">
        <v>39</v>
      </c>
      <c r="V1866" s="2" t="s">
        <v>39</v>
      </c>
      <c r="W1866" s="2" t="s">
        <v>38</v>
      </c>
      <c r="X1866" s="2" t="s">
        <v>39</v>
      </c>
      <c r="Y1866" s="2" t="s">
        <v>39</v>
      </c>
      <c r="Z1866" s="2" t="s">
        <v>39</v>
      </c>
      <c r="AA1866" s="2" t="s">
        <v>39</v>
      </c>
      <c r="AB1866" s="2" t="s">
        <v>39</v>
      </c>
      <c r="AC1866" s="2" t="s">
        <v>38</v>
      </c>
      <c r="AD1866" s="2" t="s">
        <v>39</v>
      </c>
      <c r="AE1866" s="2" t="s">
        <v>40</v>
      </c>
    </row>
    <row r="1867" spans="1:31" ht="409.5">
      <c r="A1867" s="2">
        <v>2729428</v>
      </c>
      <c r="B1867" s="2">
        <f>HYPERLINK("https://platform.v2.vetology.net/cases/2729428/screening-report/1?type=pdf&amp;v=v6&amp;scorecard=1&amp;secret_key=BX%25IJ%24%2F65ieZ%29f6", 2729428)</f>
        <v>2729428</v>
      </c>
      <c r="C1867" s="2">
        <f>HYPERLINK("https://platform.v2.vetology.net/report/v/final/"&amp;2729428, 2729428)</f>
        <v>2729428</v>
      </c>
      <c r="D1867" s="2" t="s">
        <v>6050</v>
      </c>
      <c r="E1867" s="2" t="s">
        <v>6051</v>
      </c>
      <c r="F1867" s="2" t="s">
        <v>6052</v>
      </c>
      <c r="G1867" s="2" t="s">
        <v>170</v>
      </c>
      <c r="H1867" s="2" t="s">
        <v>6053</v>
      </c>
      <c r="I1867" s="2" t="s">
        <v>36</v>
      </c>
      <c r="J1867" s="2" t="s">
        <v>37</v>
      </c>
      <c r="K1867" s="2" t="s">
        <v>38</v>
      </c>
      <c r="L1867" s="2" t="s">
        <v>38</v>
      </c>
      <c r="M1867" s="2" t="s">
        <v>38</v>
      </c>
      <c r="N1867" s="2" t="s">
        <v>38</v>
      </c>
      <c r="O1867" s="2" t="s">
        <v>38</v>
      </c>
      <c r="P1867" s="2" t="s">
        <v>39</v>
      </c>
      <c r="Q1867" s="2" t="s">
        <v>39</v>
      </c>
      <c r="R1867" s="2" t="s">
        <v>38</v>
      </c>
      <c r="S1867" s="2" t="s">
        <v>38</v>
      </c>
      <c r="T1867" s="2" t="s">
        <v>39</v>
      </c>
      <c r="U1867" s="2" t="s">
        <v>38</v>
      </c>
      <c r="V1867" s="2" t="s">
        <v>38</v>
      </c>
      <c r="W1867" s="2" t="s">
        <v>38</v>
      </c>
      <c r="X1867" s="2" t="s">
        <v>39</v>
      </c>
      <c r="Y1867" s="2" t="s">
        <v>39</v>
      </c>
      <c r="Z1867" s="2" t="s">
        <v>38</v>
      </c>
      <c r="AA1867" s="2" t="s">
        <v>38</v>
      </c>
      <c r="AB1867" s="2" t="s">
        <v>39</v>
      </c>
      <c r="AC1867" s="2" t="s">
        <v>38</v>
      </c>
      <c r="AD1867" s="2" t="s">
        <v>38</v>
      </c>
      <c r="AE1867" s="2" t="s">
        <v>40</v>
      </c>
    </row>
    <row r="1868" spans="1:31" ht="409.5">
      <c r="A1868" s="2">
        <v>2729400</v>
      </c>
      <c r="B1868" s="2">
        <f>HYPERLINK("https://platform.v2.vetology.net/cases/2729400/screening-report/1?type=pdf&amp;v=v6&amp;scorecard=1&amp;secret_key=BX%25IJ%24%2F65ieZ%29f6", 2729400)</f>
        <v>2729400</v>
      </c>
      <c r="C1868" s="2">
        <f>HYPERLINK("https://platform.v2.vetology.net/report/v/final/"&amp;2729400, 2729400)</f>
        <v>2729400</v>
      </c>
      <c r="D1868" s="2" t="s">
        <v>6054</v>
      </c>
      <c r="E1868" s="2" t="s">
        <v>854</v>
      </c>
      <c r="F1868" s="2" t="s">
        <v>6055</v>
      </c>
      <c r="G1868" s="2" t="s">
        <v>111</v>
      </c>
      <c r="H1868" s="2" t="s">
        <v>6056</v>
      </c>
      <c r="I1868" s="2" t="s">
        <v>36</v>
      </c>
      <c r="J1868" s="2" t="s">
        <v>37</v>
      </c>
      <c r="K1868" s="2" t="s">
        <v>38</v>
      </c>
      <c r="L1868" s="2" t="s">
        <v>38</v>
      </c>
      <c r="M1868" s="2" t="s">
        <v>39</v>
      </c>
      <c r="N1868" s="2" t="s">
        <v>38</v>
      </c>
      <c r="O1868" s="2" t="s">
        <v>38</v>
      </c>
      <c r="P1868" s="2" t="s">
        <v>39</v>
      </c>
      <c r="Q1868" s="2" t="s">
        <v>39</v>
      </c>
      <c r="R1868" s="2" t="s">
        <v>38</v>
      </c>
      <c r="S1868" s="2" t="s">
        <v>38</v>
      </c>
      <c r="T1868" s="2" t="s">
        <v>38</v>
      </c>
      <c r="U1868" s="2" t="s">
        <v>38</v>
      </c>
      <c r="V1868" s="2" t="s">
        <v>38</v>
      </c>
      <c r="W1868" s="2" t="s">
        <v>38</v>
      </c>
      <c r="X1868" s="2" t="s">
        <v>39</v>
      </c>
      <c r="Y1868" s="2" t="s">
        <v>39</v>
      </c>
      <c r="Z1868" s="2" t="s">
        <v>38</v>
      </c>
      <c r="AA1868" s="2" t="s">
        <v>39</v>
      </c>
      <c r="AB1868" s="2" t="s">
        <v>38</v>
      </c>
      <c r="AC1868" s="2" t="s">
        <v>38</v>
      </c>
      <c r="AD1868" s="2" t="s">
        <v>38</v>
      </c>
      <c r="AE1868" s="2" t="s">
        <v>40</v>
      </c>
    </row>
    <row r="1869" spans="1:31" ht="409.5">
      <c r="A1869" s="2">
        <v>2729392</v>
      </c>
      <c r="B1869" s="2">
        <f>HYPERLINK("https://platform.v2.vetology.net/cases/2729392/screening-report/1?type=pdf&amp;v=v6&amp;scorecard=1&amp;secret_key=BX%25IJ%24%2F65ieZ%29f6", 2729392)</f>
        <v>2729392</v>
      </c>
      <c r="C1869" s="2">
        <f>HYPERLINK("https://platform.v2.vetology.net/report/v/final/"&amp;2729392, 2729392)</f>
        <v>2729392</v>
      </c>
      <c r="D1869" s="2" t="s">
        <v>6057</v>
      </c>
      <c r="E1869" s="2" t="s">
        <v>6058</v>
      </c>
      <c r="F1869" s="2" t="s">
        <v>43</v>
      </c>
      <c r="G1869" s="2" t="s">
        <v>100</v>
      </c>
      <c r="H1869" s="2" t="s">
        <v>6059</v>
      </c>
      <c r="I1869" s="2" t="s">
        <v>36</v>
      </c>
      <c r="J1869" s="2" t="s">
        <v>37</v>
      </c>
      <c r="K1869" s="2" t="s">
        <v>39</v>
      </c>
      <c r="L1869" s="2" t="s">
        <v>38</v>
      </c>
      <c r="M1869" s="2" t="s">
        <v>38</v>
      </c>
      <c r="N1869" s="2" t="s">
        <v>38</v>
      </c>
      <c r="O1869" s="2" t="s">
        <v>38</v>
      </c>
      <c r="P1869" s="2" t="s">
        <v>39</v>
      </c>
      <c r="Q1869" s="2" t="s">
        <v>39</v>
      </c>
      <c r="R1869" s="2" t="s">
        <v>38</v>
      </c>
      <c r="S1869" s="2" t="s">
        <v>38</v>
      </c>
      <c r="T1869" s="2" t="s">
        <v>38</v>
      </c>
      <c r="U1869" s="2" t="s">
        <v>38</v>
      </c>
      <c r="V1869" s="2" t="s">
        <v>39</v>
      </c>
      <c r="W1869" s="2" t="s">
        <v>38</v>
      </c>
      <c r="X1869" s="2" t="s">
        <v>39</v>
      </c>
      <c r="Y1869" s="2" t="s">
        <v>39</v>
      </c>
      <c r="Z1869" s="2" t="s">
        <v>38</v>
      </c>
      <c r="AA1869" s="2" t="s">
        <v>38</v>
      </c>
      <c r="AB1869" s="2" t="s">
        <v>39</v>
      </c>
      <c r="AC1869" s="2" t="s">
        <v>38</v>
      </c>
      <c r="AD1869" s="2" t="s">
        <v>38</v>
      </c>
      <c r="AE1869" s="2"/>
    </row>
    <row r="1870" spans="1:31" ht="409.5">
      <c r="A1870" s="2">
        <v>2729387</v>
      </c>
      <c r="B1870" s="2">
        <f>HYPERLINK("https://platform.v2.vetology.net/cases/2729387/screening-report/1?type=pdf&amp;v=v6&amp;scorecard=1&amp;secret_key=BX%25IJ%24%2F65ieZ%29f6", 2729387)</f>
        <v>2729387</v>
      </c>
      <c r="C1870" s="2">
        <f>HYPERLINK("https://platform.v2.vetology.net/report/v/final/"&amp;2729387, 2729387)</f>
        <v>2729387</v>
      </c>
      <c r="D1870" s="2" t="s">
        <v>6060</v>
      </c>
      <c r="E1870" s="2" t="s">
        <v>6061</v>
      </c>
      <c r="F1870" s="2" t="s">
        <v>6062</v>
      </c>
      <c r="G1870" s="2" t="s">
        <v>34</v>
      </c>
      <c r="H1870" s="2" t="s">
        <v>45</v>
      </c>
      <c r="I1870" s="2" t="s">
        <v>46</v>
      </c>
      <c r="J1870" s="2"/>
      <c r="K1870" s="2" t="s">
        <v>39</v>
      </c>
      <c r="L1870" s="2" t="s">
        <v>39</v>
      </c>
      <c r="M1870" s="2" t="s">
        <v>39</v>
      </c>
      <c r="N1870" s="2" t="s">
        <v>39</v>
      </c>
      <c r="O1870" s="2" t="s">
        <v>39</v>
      </c>
      <c r="P1870" s="2" t="s">
        <v>39</v>
      </c>
      <c r="Q1870" s="2" t="s">
        <v>39</v>
      </c>
      <c r="R1870" s="2" t="s">
        <v>38</v>
      </c>
      <c r="S1870" s="2" t="s">
        <v>39</v>
      </c>
      <c r="T1870" s="2" t="s">
        <v>39</v>
      </c>
      <c r="U1870" s="2" t="s">
        <v>39</v>
      </c>
      <c r="V1870" s="2" t="s">
        <v>39</v>
      </c>
      <c r="W1870" s="2" t="s">
        <v>39</v>
      </c>
      <c r="X1870" s="2" t="s">
        <v>39</v>
      </c>
      <c r="Y1870" s="2" t="s">
        <v>39</v>
      </c>
      <c r="Z1870" s="2" t="s">
        <v>38</v>
      </c>
      <c r="AA1870" s="2" t="s">
        <v>39</v>
      </c>
      <c r="AB1870" s="2" t="s">
        <v>39</v>
      </c>
      <c r="AC1870" s="2" t="s">
        <v>38</v>
      </c>
      <c r="AD1870" s="2" t="s">
        <v>38</v>
      </c>
      <c r="AE1870" s="2" t="s">
        <v>39</v>
      </c>
    </row>
    <row r="1871" spans="1:31" ht="409.5">
      <c r="A1871" s="2">
        <v>2729361</v>
      </c>
      <c r="B1871" s="2">
        <f>HYPERLINK("https://platform.v2.vetology.net/cases/2729361/screening-report/1?type=pdf&amp;v=v6&amp;scorecard=1&amp;secret_key=BX%25IJ%24%2F65ieZ%29f6", 2729361)</f>
        <v>2729361</v>
      </c>
      <c r="C1871" s="2">
        <f>HYPERLINK("https://platform.v2.vetology.net/report/v/final/"&amp;2729361, 2729361)</f>
        <v>2729361</v>
      </c>
      <c r="D1871" s="2" t="s">
        <v>6063</v>
      </c>
      <c r="E1871" s="2" t="s">
        <v>6064</v>
      </c>
      <c r="F1871" s="2" t="s">
        <v>6065</v>
      </c>
      <c r="G1871" s="2" t="s">
        <v>111</v>
      </c>
      <c r="H1871" s="2" t="s">
        <v>6066</v>
      </c>
      <c r="I1871" s="2" t="s">
        <v>36</v>
      </c>
      <c r="J1871" s="2" t="s">
        <v>37</v>
      </c>
      <c r="K1871" s="2" t="s">
        <v>38</v>
      </c>
      <c r="L1871" s="2" t="s">
        <v>38</v>
      </c>
      <c r="M1871" s="2" t="s">
        <v>38</v>
      </c>
      <c r="N1871" s="2" t="s">
        <v>38</v>
      </c>
      <c r="O1871" s="2" t="s">
        <v>38</v>
      </c>
      <c r="P1871" s="2" t="s">
        <v>38</v>
      </c>
      <c r="Q1871" s="2" t="s">
        <v>39</v>
      </c>
      <c r="R1871" s="2" t="s">
        <v>38</v>
      </c>
      <c r="S1871" s="2" t="s">
        <v>38</v>
      </c>
      <c r="T1871" s="2" t="s">
        <v>38</v>
      </c>
      <c r="U1871" s="2" t="s">
        <v>39</v>
      </c>
      <c r="V1871" s="2" t="s">
        <v>38</v>
      </c>
      <c r="W1871" s="2" t="s">
        <v>38</v>
      </c>
      <c r="X1871" s="2" t="s">
        <v>39</v>
      </c>
      <c r="Y1871" s="2" t="s">
        <v>38</v>
      </c>
      <c r="Z1871" s="2" t="s">
        <v>38</v>
      </c>
      <c r="AA1871" s="2" t="s">
        <v>39</v>
      </c>
      <c r="AB1871" s="2" t="s">
        <v>39</v>
      </c>
      <c r="AC1871" s="2" t="s">
        <v>38</v>
      </c>
      <c r="AD1871" s="2" t="s">
        <v>38</v>
      </c>
      <c r="AE1871" s="2" t="s">
        <v>40</v>
      </c>
    </row>
    <row r="1872" spans="1:31" ht="409.5">
      <c r="A1872" s="2">
        <v>2729288</v>
      </c>
      <c r="B1872" s="2">
        <f>HYPERLINK("https://platform.v2.vetology.net/cases/2729288/screening-report/1?type=pdf&amp;v=v6&amp;scorecard=1&amp;secret_key=BX%25IJ%24%2F65ieZ%29f6", 2729288)</f>
        <v>2729288</v>
      </c>
      <c r="C1872" s="2">
        <f>HYPERLINK("https://platform.v2.vetology.net/report/v/final/"&amp;2729288, 2729288)</f>
        <v>2729288</v>
      </c>
      <c r="D1872" s="2" t="s">
        <v>6067</v>
      </c>
      <c r="E1872" s="2" t="s">
        <v>6068</v>
      </c>
      <c r="F1872" s="2" t="s">
        <v>6069</v>
      </c>
      <c r="G1872" s="2" t="s">
        <v>556</v>
      </c>
      <c r="H1872" s="2" t="s">
        <v>6070</v>
      </c>
      <c r="I1872" s="2" t="s">
        <v>36</v>
      </c>
      <c r="J1872" s="2" t="s">
        <v>37</v>
      </c>
      <c r="K1872" s="2" t="s">
        <v>39</v>
      </c>
      <c r="L1872" s="2" t="s">
        <v>38</v>
      </c>
      <c r="M1872" s="2" t="s">
        <v>39</v>
      </c>
      <c r="N1872" s="2" t="s">
        <v>38</v>
      </c>
      <c r="O1872" s="2" t="s">
        <v>38</v>
      </c>
      <c r="P1872" s="2" t="s">
        <v>39</v>
      </c>
      <c r="Q1872" s="2" t="s">
        <v>39</v>
      </c>
      <c r="R1872" s="2" t="s">
        <v>38</v>
      </c>
      <c r="S1872" s="2" t="s">
        <v>38</v>
      </c>
      <c r="T1872" s="2" t="s">
        <v>39</v>
      </c>
      <c r="U1872" s="2" t="s">
        <v>39</v>
      </c>
      <c r="V1872" s="2" t="s">
        <v>39</v>
      </c>
      <c r="W1872" s="2" t="s">
        <v>38</v>
      </c>
      <c r="X1872" s="2" t="s">
        <v>39</v>
      </c>
      <c r="Y1872" s="2" t="s">
        <v>39</v>
      </c>
      <c r="Z1872" s="2" t="s">
        <v>38</v>
      </c>
      <c r="AA1872" s="2" t="s">
        <v>38</v>
      </c>
      <c r="AB1872" s="2" t="s">
        <v>39</v>
      </c>
      <c r="AC1872" s="2" t="s">
        <v>38</v>
      </c>
      <c r="AD1872" s="2" t="s">
        <v>38</v>
      </c>
      <c r="AE1872" s="2" t="s">
        <v>39</v>
      </c>
    </row>
    <row r="1873" spans="1:31" ht="409.5">
      <c r="A1873" s="2">
        <v>2729277</v>
      </c>
      <c r="B1873" s="2">
        <f>HYPERLINK("https://platform.v2.vetology.net/cases/2729277/screening-report/1?type=pdf&amp;v=v6&amp;scorecard=1&amp;secret_key=BX%25IJ%24%2F65ieZ%29f6", 2729277)</f>
        <v>2729277</v>
      </c>
      <c r="C1873" s="2">
        <f>HYPERLINK("https://platform.v2.vetology.net/report/v/final/"&amp;2729277, 2729277)</f>
        <v>2729277</v>
      </c>
      <c r="D1873" s="2" t="s">
        <v>6071</v>
      </c>
      <c r="E1873" s="2" t="s">
        <v>6072</v>
      </c>
      <c r="F1873" s="2" t="s">
        <v>5094</v>
      </c>
      <c r="G1873" s="2" t="s">
        <v>170</v>
      </c>
      <c r="H1873" s="2" t="s">
        <v>6073</v>
      </c>
      <c r="I1873" s="2" t="s">
        <v>73</v>
      </c>
      <c r="J1873" s="2" t="s">
        <v>74</v>
      </c>
      <c r="K1873" s="2" t="s">
        <v>38</v>
      </c>
      <c r="L1873" s="2" t="s">
        <v>38</v>
      </c>
      <c r="M1873" s="2" t="s">
        <v>38</v>
      </c>
      <c r="N1873" s="2" t="s">
        <v>38</v>
      </c>
      <c r="O1873" s="2" t="s">
        <v>38</v>
      </c>
      <c r="P1873" s="2" t="s">
        <v>38</v>
      </c>
      <c r="Q1873" s="2" t="s">
        <v>38</v>
      </c>
      <c r="R1873" s="2" t="s">
        <v>38</v>
      </c>
      <c r="S1873" s="2" t="s">
        <v>38</v>
      </c>
      <c r="T1873" s="2" t="s">
        <v>38</v>
      </c>
      <c r="U1873" s="2" t="s">
        <v>38</v>
      </c>
      <c r="V1873" s="2" t="s">
        <v>38</v>
      </c>
      <c r="W1873" s="2" t="s">
        <v>38</v>
      </c>
      <c r="X1873" s="2" t="s">
        <v>38</v>
      </c>
      <c r="Y1873" s="2" t="s">
        <v>38</v>
      </c>
      <c r="Z1873" s="2" t="s">
        <v>38</v>
      </c>
      <c r="AA1873" s="2" t="s">
        <v>38</v>
      </c>
      <c r="AB1873" s="2" t="s">
        <v>38</v>
      </c>
      <c r="AC1873" s="2" t="s">
        <v>38</v>
      </c>
      <c r="AD1873" s="2" t="s">
        <v>38</v>
      </c>
      <c r="AE1873" s="2" t="s">
        <v>40</v>
      </c>
    </row>
    <row r="1874" spans="1:31" ht="409.5">
      <c r="A1874" s="2">
        <v>2729267</v>
      </c>
      <c r="B1874" s="2">
        <f>HYPERLINK("https://platform.v2.vetology.net/cases/2729267/screening-report/1?type=pdf&amp;v=v6&amp;scorecard=1&amp;secret_key=BX%25IJ%24%2F65ieZ%29f6", 2729267)</f>
        <v>2729267</v>
      </c>
      <c r="C1874" s="2">
        <f>HYPERLINK("https://platform.v2.vetology.net/report/v/final/"&amp;2729267, 2729267)</f>
        <v>2729267</v>
      </c>
      <c r="D1874" s="2" t="s">
        <v>6074</v>
      </c>
      <c r="E1874" s="2" t="s">
        <v>6075</v>
      </c>
      <c r="F1874" s="2" t="s">
        <v>229</v>
      </c>
      <c r="G1874" s="2" t="s">
        <v>170</v>
      </c>
      <c r="H1874" s="2" t="s">
        <v>797</v>
      </c>
      <c r="I1874" s="2" t="s">
        <v>59</v>
      </c>
      <c r="J1874" s="2" t="s">
        <v>37</v>
      </c>
      <c r="K1874" s="2" t="s">
        <v>38</v>
      </c>
      <c r="L1874" s="2" t="s">
        <v>39</v>
      </c>
      <c r="M1874" s="2" t="s">
        <v>39</v>
      </c>
      <c r="N1874" s="2" t="s">
        <v>39</v>
      </c>
      <c r="O1874" s="2" t="s">
        <v>39</v>
      </c>
      <c r="P1874" s="2" t="s">
        <v>39</v>
      </c>
      <c r="Q1874" s="2" t="s">
        <v>39</v>
      </c>
      <c r="R1874" s="2" t="s">
        <v>38</v>
      </c>
      <c r="S1874" s="2" t="s">
        <v>39</v>
      </c>
      <c r="T1874" s="2" t="s">
        <v>39</v>
      </c>
      <c r="U1874" s="2" t="s">
        <v>38</v>
      </c>
      <c r="V1874" s="2" t="s">
        <v>38</v>
      </c>
      <c r="W1874" s="2" t="s">
        <v>39</v>
      </c>
      <c r="X1874" s="2" t="s">
        <v>39</v>
      </c>
      <c r="Y1874" s="2" t="s">
        <v>39</v>
      </c>
      <c r="Z1874" s="2" t="s">
        <v>39</v>
      </c>
      <c r="AA1874" s="2" t="s">
        <v>39</v>
      </c>
      <c r="AB1874" s="2" t="s">
        <v>39</v>
      </c>
      <c r="AC1874" s="2" t="s">
        <v>39</v>
      </c>
      <c r="AD1874" s="2" t="s">
        <v>39</v>
      </c>
      <c r="AE1874" s="2" t="s">
        <v>39</v>
      </c>
    </row>
    <row r="1875" spans="1:31" ht="409.5">
      <c r="A1875" s="2">
        <v>2729234</v>
      </c>
      <c r="B1875" s="2">
        <f>HYPERLINK("https://platform.v2.vetology.net/cases/2729234/screening-report/1?type=pdf&amp;v=v6&amp;scorecard=1&amp;secret_key=BX%25IJ%24%2F65ieZ%29f6", 2729234)</f>
        <v>2729234</v>
      </c>
      <c r="C1875" s="2">
        <f>HYPERLINK("https://platform.v2.vetology.net/report/v/final/"&amp;2729234, 2729234)</f>
        <v>2729234</v>
      </c>
      <c r="D1875" s="2" t="s">
        <v>2629</v>
      </c>
      <c r="E1875" s="2" t="s">
        <v>6076</v>
      </c>
      <c r="F1875" s="2" t="s">
        <v>6077</v>
      </c>
      <c r="G1875" s="2" t="s">
        <v>111</v>
      </c>
      <c r="H1875" s="2" t="s">
        <v>515</v>
      </c>
      <c r="I1875" s="2" t="s">
        <v>36</v>
      </c>
      <c r="J1875" s="2" t="s">
        <v>37</v>
      </c>
      <c r="K1875" s="2" t="s">
        <v>39</v>
      </c>
      <c r="L1875" s="2" t="s">
        <v>39</v>
      </c>
      <c r="M1875" s="2" t="s">
        <v>38</v>
      </c>
      <c r="N1875" s="2" t="s">
        <v>39</v>
      </c>
      <c r="O1875" s="2" t="s">
        <v>39</v>
      </c>
      <c r="P1875" s="2" t="s">
        <v>39</v>
      </c>
      <c r="Q1875" s="2" t="s">
        <v>39</v>
      </c>
      <c r="R1875" s="2" t="s">
        <v>39</v>
      </c>
      <c r="S1875" s="2" t="s">
        <v>39</v>
      </c>
      <c r="T1875" s="2" t="s">
        <v>39</v>
      </c>
      <c r="U1875" s="2" t="s">
        <v>39</v>
      </c>
      <c r="V1875" s="2" t="s">
        <v>39</v>
      </c>
      <c r="W1875" s="2" t="s">
        <v>38</v>
      </c>
      <c r="X1875" s="2" t="s">
        <v>39</v>
      </c>
      <c r="Y1875" s="2" t="s">
        <v>39</v>
      </c>
      <c r="Z1875" s="2" t="s">
        <v>39</v>
      </c>
      <c r="AA1875" s="2" t="s">
        <v>39</v>
      </c>
      <c r="AB1875" s="2" t="s">
        <v>39</v>
      </c>
      <c r="AC1875" s="2" t="s">
        <v>38</v>
      </c>
      <c r="AD1875" s="2" t="s">
        <v>39</v>
      </c>
      <c r="AE1875" s="2" t="s">
        <v>40</v>
      </c>
    </row>
    <row r="1876" spans="1:31" ht="409.5">
      <c r="A1876" s="2">
        <v>2729194</v>
      </c>
      <c r="B1876" s="2">
        <f>HYPERLINK("https://platform.v2.vetology.net/cases/2729194/screening-report/1?type=pdf&amp;v=v6&amp;scorecard=1&amp;secret_key=BX%25IJ%24%2F65ieZ%29f6", 2729194)</f>
        <v>2729194</v>
      </c>
      <c r="C1876" s="2">
        <f>HYPERLINK("https://platform.v2.vetology.net/report/v/final/"&amp;2729194, 2729194)</f>
        <v>2729194</v>
      </c>
      <c r="D1876" s="2" t="s">
        <v>6078</v>
      </c>
      <c r="E1876" s="2" t="s">
        <v>6079</v>
      </c>
      <c r="F1876" s="2" t="s">
        <v>4406</v>
      </c>
      <c r="G1876" s="2" t="s">
        <v>111</v>
      </c>
      <c r="H1876" s="2" t="s">
        <v>801</v>
      </c>
      <c r="I1876" s="2" t="s">
        <v>59</v>
      </c>
      <c r="J1876" s="2" t="s">
        <v>37</v>
      </c>
      <c r="K1876" s="2" t="s">
        <v>38</v>
      </c>
      <c r="L1876" s="2" t="s">
        <v>39</v>
      </c>
      <c r="M1876" s="2" t="s">
        <v>39</v>
      </c>
      <c r="N1876" s="2" t="s">
        <v>39</v>
      </c>
      <c r="O1876" s="2" t="s">
        <v>38</v>
      </c>
      <c r="P1876" s="2" t="s">
        <v>39</v>
      </c>
      <c r="Q1876" s="2" t="s">
        <v>39</v>
      </c>
      <c r="R1876" s="2" t="s">
        <v>38</v>
      </c>
      <c r="S1876" s="2" t="s">
        <v>39</v>
      </c>
      <c r="T1876" s="2" t="s">
        <v>39</v>
      </c>
      <c r="U1876" s="2" t="s">
        <v>38</v>
      </c>
      <c r="V1876" s="2" t="s">
        <v>38</v>
      </c>
      <c r="W1876" s="2" t="s">
        <v>38</v>
      </c>
      <c r="X1876" s="2" t="s">
        <v>39</v>
      </c>
      <c r="Y1876" s="2" t="s">
        <v>39</v>
      </c>
      <c r="Z1876" s="2" t="s">
        <v>38</v>
      </c>
      <c r="AA1876" s="2" t="s">
        <v>38</v>
      </c>
      <c r="AB1876" s="2" t="s">
        <v>39</v>
      </c>
      <c r="AC1876" s="2" t="s">
        <v>38</v>
      </c>
      <c r="AD1876" s="2" t="s">
        <v>38</v>
      </c>
      <c r="AE1876" s="2" t="s">
        <v>40</v>
      </c>
    </row>
    <row r="1877" spans="1:31" ht="409.5">
      <c r="A1877" s="2">
        <v>2729180</v>
      </c>
      <c r="B1877" s="2">
        <f>HYPERLINK("https://platform.v2.vetology.net/cases/2729180/screening-report/1?type=pdf&amp;v=v6&amp;scorecard=1&amp;secret_key=BX%25IJ%24%2F65ieZ%29f6", 2729180)</f>
        <v>2729180</v>
      </c>
      <c r="C1877" s="2">
        <f>HYPERLINK("https://platform.v2.vetology.net/report/v/final/"&amp;2729180, 2729180)</f>
        <v>2729180</v>
      </c>
      <c r="D1877" s="2" t="s">
        <v>6080</v>
      </c>
      <c r="E1877" s="2" t="s">
        <v>6081</v>
      </c>
      <c r="F1877" s="2" t="s">
        <v>6082</v>
      </c>
      <c r="G1877" s="2" t="s">
        <v>34</v>
      </c>
      <c r="H1877" s="2" t="s">
        <v>6083</v>
      </c>
      <c r="I1877" s="2" t="s">
        <v>257</v>
      </c>
      <c r="J1877" s="2" t="s">
        <v>74</v>
      </c>
      <c r="K1877" s="2" t="s">
        <v>38</v>
      </c>
      <c r="L1877" s="2" t="s">
        <v>38</v>
      </c>
      <c r="M1877" s="2" t="s">
        <v>38</v>
      </c>
      <c r="N1877" s="2" t="s">
        <v>38</v>
      </c>
      <c r="O1877" s="2" t="s">
        <v>38</v>
      </c>
      <c r="P1877" s="2" t="s">
        <v>38</v>
      </c>
      <c r="Q1877" s="2" t="s">
        <v>38</v>
      </c>
      <c r="R1877" s="2" t="s">
        <v>38</v>
      </c>
      <c r="S1877" s="2" t="s">
        <v>38</v>
      </c>
      <c r="T1877" s="2" t="s">
        <v>38</v>
      </c>
      <c r="U1877" s="2" t="s">
        <v>38</v>
      </c>
      <c r="V1877" s="2" t="s">
        <v>38</v>
      </c>
      <c r="W1877" s="2" t="s">
        <v>38</v>
      </c>
      <c r="X1877" s="2" t="s">
        <v>38</v>
      </c>
      <c r="Y1877" s="2" t="s">
        <v>38</v>
      </c>
      <c r="Z1877" s="2" t="s">
        <v>38</v>
      </c>
      <c r="AA1877" s="2" t="s">
        <v>38</v>
      </c>
      <c r="AB1877" s="2" t="s">
        <v>38</v>
      </c>
      <c r="AC1877" s="2" t="s">
        <v>38</v>
      </c>
      <c r="AD1877" s="2" t="s">
        <v>38</v>
      </c>
      <c r="AE1877" s="2" t="s">
        <v>40</v>
      </c>
    </row>
    <row r="1878" spans="1:31" ht="409.5">
      <c r="A1878" s="2">
        <v>2729155</v>
      </c>
      <c r="B1878" s="2">
        <f>HYPERLINK("https://platform.v2.vetology.net/cases/2729155/screening-report/1?type=pdf&amp;v=v6&amp;scorecard=1&amp;secret_key=BX%25IJ%24%2F65ieZ%29f6", 2729155)</f>
        <v>2729155</v>
      </c>
      <c r="C1878" s="2">
        <f>HYPERLINK("https://platform.v2.vetology.net/report/v/final/"&amp;2729155, 2729155)</f>
        <v>2729155</v>
      </c>
      <c r="D1878" s="2" t="s">
        <v>6084</v>
      </c>
      <c r="E1878" s="2" t="s">
        <v>6085</v>
      </c>
      <c r="F1878" s="2" t="s">
        <v>6086</v>
      </c>
      <c r="G1878" s="2" t="s">
        <v>53</v>
      </c>
      <c r="H1878" s="2" t="s">
        <v>530</v>
      </c>
      <c r="I1878" s="2" t="s">
        <v>59</v>
      </c>
      <c r="J1878" s="2" t="s">
        <v>37</v>
      </c>
      <c r="K1878" s="2" t="s">
        <v>38</v>
      </c>
      <c r="L1878" s="2" t="s">
        <v>39</v>
      </c>
      <c r="M1878" s="2" t="s">
        <v>39</v>
      </c>
      <c r="N1878" s="2" t="s">
        <v>39</v>
      </c>
      <c r="O1878" s="2" t="s">
        <v>39</v>
      </c>
      <c r="P1878" s="2" t="s">
        <v>39</v>
      </c>
      <c r="Q1878" s="2" t="s">
        <v>39</v>
      </c>
      <c r="R1878" s="2" t="s">
        <v>39</v>
      </c>
      <c r="S1878" s="2" t="s">
        <v>39</v>
      </c>
      <c r="T1878" s="2" t="s">
        <v>38</v>
      </c>
      <c r="U1878" s="2" t="s">
        <v>39</v>
      </c>
      <c r="V1878" s="2" t="s">
        <v>38</v>
      </c>
      <c r="W1878" s="2" t="s">
        <v>38</v>
      </c>
      <c r="X1878" s="2" t="s">
        <v>39</v>
      </c>
      <c r="Y1878" s="2" t="s">
        <v>39</v>
      </c>
      <c r="Z1878" s="2" t="s">
        <v>39</v>
      </c>
      <c r="AA1878" s="2" t="s">
        <v>39</v>
      </c>
      <c r="AB1878" s="2" t="s">
        <v>39</v>
      </c>
      <c r="AC1878" s="2" t="s">
        <v>39</v>
      </c>
      <c r="AD1878" s="2" t="s">
        <v>38</v>
      </c>
      <c r="AE1878" s="2" t="s">
        <v>40</v>
      </c>
    </row>
    <row r="1879" spans="1:31" ht="409.5">
      <c r="A1879" s="2">
        <v>2729131</v>
      </c>
      <c r="B1879" s="2">
        <f>HYPERLINK("https://platform.v2.vetology.net/cases/2729131/screening-report/1?type=pdf&amp;v=v6&amp;scorecard=1&amp;secret_key=BX%25IJ%24%2F65ieZ%29f6", 2729131)</f>
        <v>2729131</v>
      </c>
      <c r="C1879" s="2">
        <f>HYPERLINK("https://platform.v2.vetology.net/report/v/final/"&amp;2729131, 2729131)</f>
        <v>2729131</v>
      </c>
      <c r="D1879" s="2" t="s">
        <v>6087</v>
      </c>
      <c r="E1879" s="2" t="s">
        <v>6088</v>
      </c>
      <c r="F1879" s="2" t="s">
        <v>6089</v>
      </c>
      <c r="G1879" s="2" t="s">
        <v>53</v>
      </c>
      <c r="H1879" s="2" t="s">
        <v>6090</v>
      </c>
      <c r="I1879" s="2" t="s">
        <v>36</v>
      </c>
      <c r="J1879" s="2" t="s">
        <v>37</v>
      </c>
      <c r="K1879" s="2" t="s">
        <v>38</v>
      </c>
      <c r="L1879" s="2" t="s">
        <v>38</v>
      </c>
      <c r="M1879" s="2" t="s">
        <v>38</v>
      </c>
      <c r="N1879" s="2" t="s">
        <v>38</v>
      </c>
      <c r="O1879" s="2" t="s">
        <v>38</v>
      </c>
      <c r="P1879" s="2" t="s">
        <v>39</v>
      </c>
      <c r="Q1879" s="2" t="s">
        <v>39</v>
      </c>
      <c r="R1879" s="2" t="s">
        <v>38</v>
      </c>
      <c r="S1879" s="2" t="s">
        <v>38</v>
      </c>
      <c r="T1879" s="2" t="s">
        <v>38</v>
      </c>
      <c r="U1879" s="2" t="s">
        <v>38</v>
      </c>
      <c r="V1879" s="2" t="s">
        <v>38</v>
      </c>
      <c r="W1879" s="2" t="s">
        <v>38</v>
      </c>
      <c r="X1879" s="2" t="s">
        <v>39</v>
      </c>
      <c r="Y1879" s="2" t="s">
        <v>38</v>
      </c>
      <c r="Z1879" s="2" t="s">
        <v>38</v>
      </c>
      <c r="AA1879" s="2" t="s">
        <v>38</v>
      </c>
      <c r="AB1879" s="2" t="s">
        <v>39</v>
      </c>
      <c r="AC1879" s="2" t="s">
        <v>38</v>
      </c>
      <c r="AD1879" s="2" t="s">
        <v>38</v>
      </c>
      <c r="AE1879" s="2" t="s">
        <v>39</v>
      </c>
    </row>
    <row r="1880" spans="1:31" ht="409.5">
      <c r="A1880" s="2">
        <v>2729120</v>
      </c>
      <c r="B1880" s="2">
        <f>HYPERLINK("https://platform.v2.vetology.net/cases/2729120/screening-report/1?type=pdf&amp;v=v6&amp;scorecard=1&amp;secret_key=BX%25IJ%24%2F65ieZ%29f6", 2729120)</f>
        <v>2729120</v>
      </c>
      <c r="C1880" s="2">
        <f>HYPERLINK("https://platform.v2.vetology.net/report/v/final/"&amp;2729120, 2729120)</f>
        <v>2729120</v>
      </c>
      <c r="D1880" s="2" t="s">
        <v>6091</v>
      </c>
      <c r="E1880" s="2" t="s">
        <v>6092</v>
      </c>
      <c r="F1880" s="2" t="s">
        <v>1225</v>
      </c>
      <c r="G1880" s="2" t="s">
        <v>44</v>
      </c>
      <c r="H1880" s="2" t="s">
        <v>2719</v>
      </c>
      <c r="I1880" s="2" t="s">
        <v>36</v>
      </c>
      <c r="J1880" s="2" t="s">
        <v>37</v>
      </c>
      <c r="K1880" s="2" t="s">
        <v>38</v>
      </c>
      <c r="L1880" s="2" t="s">
        <v>39</v>
      </c>
      <c r="M1880" s="2" t="s">
        <v>38</v>
      </c>
      <c r="N1880" s="2" t="s">
        <v>39</v>
      </c>
      <c r="O1880" s="2" t="s">
        <v>39</v>
      </c>
      <c r="P1880" s="2" t="s">
        <v>39</v>
      </c>
      <c r="Q1880" s="2" t="s">
        <v>39</v>
      </c>
      <c r="R1880" s="2" t="s">
        <v>39</v>
      </c>
      <c r="S1880" s="2" t="s">
        <v>39</v>
      </c>
      <c r="T1880" s="2" t="s">
        <v>39</v>
      </c>
      <c r="U1880" s="2" t="s">
        <v>39</v>
      </c>
      <c r="V1880" s="2" t="s">
        <v>39</v>
      </c>
      <c r="W1880" s="2" t="s">
        <v>39</v>
      </c>
      <c r="X1880" s="2" t="s">
        <v>39</v>
      </c>
      <c r="Y1880" s="2" t="s">
        <v>39</v>
      </c>
      <c r="Z1880" s="2" t="s">
        <v>39</v>
      </c>
      <c r="AA1880" s="2" t="s">
        <v>39</v>
      </c>
      <c r="AB1880" s="2" t="s">
        <v>39</v>
      </c>
      <c r="AC1880" s="2" t="s">
        <v>39</v>
      </c>
      <c r="AD1880" s="2" t="s">
        <v>39</v>
      </c>
      <c r="AE1880" s="2" t="s">
        <v>39</v>
      </c>
    </row>
    <row r="1881" spans="1:31" ht="409.5">
      <c r="A1881" s="2">
        <v>2729109</v>
      </c>
      <c r="B1881" s="2">
        <f>HYPERLINK("https://platform.v2.vetology.net/cases/2729109/screening-report/1?type=pdf&amp;v=v6&amp;scorecard=1&amp;secret_key=BX%25IJ%24%2F65ieZ%29f6", 2729109)</f>
        <v>2729109</v>
      </c>
      <c r="C1881" s="2">
        <f>HYPERLINK("https://platform.v2.vetology.net/report/v/final/"&amp;2729109, 2729109)</f>
        <v>2729109</v>
      </c>
      <c r="D1881" s="2" t="s">
        <v>6093</v>
      </c>
      <c r="E1881" s="2" t="s">
        <v>6094</v>
      </c>
      <c r="F1881" s="2" t="s">
        <v>43</v>
      </c>
      <c r="G1881" s="2" t="s">
        <v>44</v>
      </c>
      <c r="H1881" s="2" t="s">
        <v>888</v>
      </c>
      <c r="I1881" s="2" t="s">
        <v>36</v>
      </c>
      <c r="J1881" s="2" t="s">
        <v>37</v>
      </c>
      <c r="K1881" s="2" t="s">
        <v>39</v>
      </c>
      <c r="L1881" s="2" t="s">
        <v>39</v>
      </c>
      <c r="M1881" s="2" t="s">
        <v>38</v>
      </c>
      <c r="N1881" s="2" t="s">
        <v>38</v>
      </c>
      <c r="O1881" s="2" t="s">
        <v>38</v>
      </c>
      <c r="P1881" s="2" t="s">
        <v>39</v>
      </c>
      <c r="Q1881" s="2" t="s">
        <v>39</v>
      </c>
      <c r="R1881" s="2" t="s">
        <v>38</v>
      </c>
      <c r="S1881" s="2" t="s">
        <v>39</v>
      </c>
      <c r="T1881" s="2" t="s">
        <v>38</v>
      </c>
      <c r="U1881" s="2" t="s">
        <v>39</v>
      </c>
      <c r="V1881" s="2" t="s">
        <v>39</v>
      </c>
      <c r="W1881" s="2" t="s">
        <v>38</v>
      </c>
      <c r="X1881" s="2" t="s">
        <v>38</v>
      </c>
      <c r="Y1881" s="2" t="s">
        <v>39</v>
      </c>
      <c r="Z1881" s="2" t="s">
        <v>38</v>
      </c>
      <c r="AA1881" s="2" t="s">
        <v>38</v>
      </c>
      <c r="AB1881" s="2" t="s">
        <v>39</v>
      </c>
      <c r="AC1881" s="2" t="s">
        <v>38</v>
      </c>
      <c r="AD1881" s="2" t="s">
        <v>39</v>
      </c>
      <c r="AE1881" s="2" t="s">
        <v>39</v>
      </c>
    </row>
    <row r="1882" spans="1:31" ht="409.5">
      <c r="A1882" s="2">
        <v>2729045</v>
      </c>
      <c r="B1882" s="2">
        <f>HYPERLINK("https://platform.v2.vetology.net/cases/2729045/screening-report/1?type=pdf&amp;v=v6&amp;scorecard=1&amp;secret_key=BX%25IJ%24%2F65ieZ%29f6", 2729045)</f>
        <v>2729045</v>
      </c>
      <c r="C1882" s="2">
        <f>HYPERLINK("https://platform.v2.vetology.net/report/v/final/"&amp;2729045, 2729045)</f>
        <v>2729045</v>
      </c>
      <c r="D1882" s="2" t="s">
        <v>6095</v>
      </c>
      <c r="E1882" s="2" t="s">
        <v>6096</v>
      </c>
      <c r="F1882" s="2" t="s">
        <v>43</v>
      </c>
      <c r="G1882" s="2" t="s">
        <v>44</v>
      </c>
      <c r="H1882" s="2" t="s">
        <v>6097</v>
      </c>
      <c r="I1882" s="2" t="s">
        <v>36</v>
      </c>
      <c r="J1882" s="2" t="s">
        <v>37</v>
      </c>
      <c r="K1882" s="2" t="s">
        <v>38</v>
      </c>
      <c r="L1882" s="2" t="s">
        <v>38</v>
      </c>
      <c r="M1882" s="2" t="s">
        <v>38</v>
      </c>
      <c r="N1882" s="2" t="s">
        <v>38</v>
      </c>
      <c r="O1882" s="2" t="s">
        <v>38</v>
      </c>
      <c r="P1882" s="2" t="s">
        <v>39</v>
      </c>
      <c r="Q1882" s="2" t="s">
        <v>39</v>
      </c>
      <c r="R1882" s="2" t="s">
        <v>38</v>
      </c>
      <c r="S1882" s="2" t="s">
        <v>38</v>
      </c>
      <c r="T1882" s="2" t="s">
        <v>39</v>
      </c>
      <c r="U1882" s="2" t="s">
        <v>38</v>
      </c>
      <c r="V1882" s="2" t="s">
        <v>38</v>
      </c>
      <c r="W1882" s="2" t="s">
        <v>38</v>
      </c>
      <c r="X1882" s="2" t="s">
        <v>39</v>
      </c>
      <c r="Y1882" s="2" t="s">
        <v>39</v>
      </c>
      <c r="Z1882" s="2" t="s">
        <v>38</v>
      </c>
      <c r="AA1882" s="2" t="s">
        <v>38</v>
      </c>
      <c r="AB1882" s="2" t="s">
        <v>39</v>
      </c>
      <c r="AC1882" s="2" t="s">
        <v>38</v>
      </c>
      <c r="AD1882" s="2" t="s">
        <v>38</v>
      </c>
      <c r="AE1882" s="2" t="s">
        <v>39</v>
      </c>
    </row>
    <row r="1883" spans="1:31" ht="409.5">
      <c r="A1883" s="2">
        <v>2729041</v>
      </c>
      <c r="B1883" s="2">
        <f>HYPERLINK("https://platform.v2.vetology.net/cases/2729041/screening-report/1?type=pdf&amp;v=v6&amp;scorecard=1&amp;secret_key=BX%25IJ%24%2F65ieZ%29f6", 2729041)</f>
        <v>2729041</v>
      </c>
      <c r="C1883" s="2">
        <f>HYPERLINK("https://platform.v2.vetology.net/report/v/final/"&amp;2729041, 2729041)</f>
        <v>2729041</v>
      </c>
      <c r="D1883" s="2" t="s">
        <v>6098</v>
      </c>
      <c r="E1883" s="2" t="s">
        <v>6099</v>
      </c>
      <c r="F1883" s="2" t="s">
        <v>43</v>
      </c>
      <c r="G1883" s="2" t="s">
        <v>44</v>
      </c>
      <c r="H1883" s="2" t="s">
        <v>6100</v>
      </c>
      <c r="I1883" s="2" t="s">
        <v>36</v>
      </c>
      <c r="J1883" s="2" t="s">
        <v>37</v>
      </c>
      <c r="K1883" s="2" t="s">
        <v>39</v>
      </c>
      <c r="L1883" s="2" t="s">
        <v>39</v>
      </c>
      <c r="M1883" s="2" t="s">
        <v>38</v>
      </c>
      <c r="N1883" s="2" t="s">
        <v>38</v>
      </c>
      <c r="O1883" s="2" t="s">
        <v>38</v>
      </c>
      <c r="P1883" s="2" t="s">
        <v>38</v>
      </c>
      <c r="Q1883" s="2" t="s">
        <v>38</v>
      </c>
      <c r="R1883" s="2" t="s">
        <v>39</v>
      </c>
      <c r="S1883" s="2" t="s">
        <v>39</v>
      </c>
      <c r="T1883" s="2" t="s">
        <v>38</v>
      </c>
      <c r="U1883" s="2" t="s">
        <v>38</v>
      </c>
      <c r="V1883" s="2" t="s">
        <v>38</v>
      </c>
      <c r="W1883" s="2" t="s">
        <v>38</v>
      </c>
      <c r="X1883" s="2" t="s">
        <v>39</v>
      </c>
      <c r="Y1883" s="2" t="s">
        <v>39</v>
      </c>
      <c r="Z1883" s="2" t="s">
        <v>38</v>
      </c>
      <c r="AA1883" s="2" t="s">
        <v>38</v>
      </c>
      <c r="AB1883" s="2" t="s">
        <v>39</v>
      </c>
      <c r="AC1883" s="2" t="s">
        <v>38</v>
      </c>
      <c r="AD1883" s="2" t="s">
        <v>39</v>
      </c>
      <c r="AE1883" s="2" t="s">
        <v>39</v>
      </c>
    </row>
    <row r="1884" spans="1:31" ht="409.5">
      <c r="A1884" s="2">
        <v>2729039</v>
      </c>
      <c r="B1884" s="2">
        <f>HYPERLINK("https://platform.v2.vetology.net/cases/2729039/screening-report/1?type=pdf&amp;v=v6&amp;scorecard=1&amp;secret_key=BX%25IJ%24%2F65ieZ%29f6", 2729039)</f>
        <v>2729039</v>
      </c>
      <c r="C1884" s="2">
        <f>HYPERLINK("https://platform.v2.vetology.net/report/v/final/"&amp;2729039, 2729039)</f>
        <v>2729039</v>
      </c>
      <c r="D1884" s="2" t="s">
        <v>6101</v>
      </c>
      <c r="E1884" s="2" t="s">
        <v>6102</v>
      </c>
      <c r="F1884" s="2" t="s">
        <v>43</v>
      </c>
      <c r="G1884" s="2" t="s">
        <v>44</v>
      </c>
      <c r="H1884" s="2" t="s">
        <v>6103</v>
      </c>
      <c r="I1884" s="2" t="s">
        <v>73</v>
      </c>
      <c r="J1884" s="2" t="s">
        <v>74</v>
      </c>
      <c r="K1884" s="2" t="s">
        <v>38</v>
      </c>
      <c r="L1884" s="2" t="s">
        <v>39</v>
      </c>
      <c r="M1884" s="2" t="s">
        <v>39</v>
      </c>
      <c r="N1884" s="2" t="s">
        <v>38</v>
      </c>
      <c r="O1884" s="2" t="s">
        <v>38</v>
      </c>
      <c r="P1884" s="2" t="s">
        <v>38</v>
      </c>
      <c r="Q1884" s="2" t="s">
        <v>38</v>
      </c>
      <c r="R1884" s="2" t="s">
        <v>39</v>
      </c>
      <c r="S1884" s="2" t="s">
        <v>38</v>
      </c>
      <c r="T1884" s="2" t="s">
        <v>38</v>
      </c>
      <c r="U1884" s="2" t="s">
        <v>38</v>
      </c>
      <c r="V1884" s="2" t="s">
        <v>38</v>
      </c>
      <c r="W1884" s="2" t="s">
        <v>38</v>
      </c>
      <c r="X1884" s="2" t="s">
        <v>38</v>
      </c>
      <c r="Y1884" s="2" t="s">
        <v>38</v>
      </c>
      <c r="Z1884" s="2" t="s">
        <v>38</v>
      </c>
      <c r="AA1884" s="2" t="s">
        <v>38</v>
      </c>
      <c r="AB1884" s="2" t="s">
        <v>39</v>
      </c>
      <c r="AC1884" s="2" t="s">
        <v>38</v>
      </c>
      <c r="AD1884" s="2" t="s">
        <v>39</v>
      </c>
      <c r="AE1884" s="2" t="s">
        <v>39</v>
      </c>
    </row>
    <row r="1885" spans="1:31" ht="409.5">
      <c r="A1885" s="2">
        <v>2728998</v>
      </c>
      <c r="B1885" s="2">
        <f>HYPERLINK("https://platform.v2.vetology.net/cases/2728998/screening-report/1?type=pdf&amp;v=v6&amp;scorecard=1&amp;secret_key=BX%25IJ%24%2F65ieZ%29f6", 2728998)</f>
        <v>2728998</v>
      </c>
      <c r="C1885" s="2">
        <f>HYPERLINK("https://platform.v2.vetology.net/report/v/final/"&amp;2728998, 2728998)</f>
        <v>2728998</v>
      </c>
      <c r="D1885" s="2" t="s">
        <v>6104</v>
      </c>
      <c r="E1885" s="2" t="s">
        <v>6105</v>
      </c>
      <c r="F1885" s="2" t="s">
        <v>6106</v>
      </c>
      <c r="G1885" s="2" t="s">
        <v>44</v>
      </c>
      <c r="H1885" s="2" t="s">
        <v>6107</v>
      </c>
      <c r="I1885" s="2" t="s">
        <v>36</v>
      </c>
      <c r="J1885" s="2" t="s">
        <v>37</v>
      </c>
      <c r="K1885" s="2" t="s">
        <v>39</v>
      </c>
      <c r="L1885" s="2" t="s">
        <v>38</v>
      </c>
      <c r="M1885" s="2" t="s">
        <v>38</v>
      </c>
      <c r="N1885" s="2" t="s">
        <v>38</v>
      </c>
      <c r="O1885" s="2" t="s">
        <v>38</v>
      </c>
      <c r="P1885" s="2" t="s">
        <v>39</v>
      </c>
      <c r="Q1885" s="2" t="s">
        <v>39</v>
      </c>
      <c r="R1885" s="2" t="s">
        <v>38</v>
      </c>
      <c r="S1885" s="2" t="s">
        <v>38</v>
      </c>
      <c r="T1885" s="2" t="s">
        <v>38</v>
      </c>
      <c r="U1885" s="2" t="s">
        <v>39</v>
      </c>
      <c r="V1885" s="2" t="s">
        <v>38</v>
      </c>
      <c r="W1885" s="2" t="s">
        <v>38</v>
      </c>
      <c r="X1885" s="2" t="s">
        <v>39</v>
      </c>
      <c r="Y1885" s="2" t="s">
        <v>38</v>
      </c>
      <c r="Z1885" s="2" t="s">
        <v>38</v>
      </c>
      <c r="AA1885" s="2" t="s">
        <v>38</v>
      </c>
      <c r="AB1885" s="2" t="s">
        <v>39</v>
      </c>
      <c r="AC1885" s="2" t="s">
        <v>38</v>
      </c>
      <c r="AD1885" s="2" t="s">
        <v>38</v>
      </c>
      <c r="AE1885" s="2" t="s">
        <v>39</v>
      </c>
    </row>
    <row r="1886" spans="1:31" ht="409.5">
      <c r="A1886" s="2">
        <v>2728984</v>
      </c>
      <c r="B1886" s="2">
        <f>HYPERLINK("https://platform.v2.vetology.net/cases/2728984/screening-report/1?type=pdf&amp;v=v6&amp;scorecard=1&amp;secret_key=BX%25IJ%24%2F65ieZ%29f6", 2728984)</f>
        <v>2728984</v>
      </c>
      <c r="C1886" s="2">
        <f>HYPERLINK("https://platform.v2.vetology.net/report/v/final/"&amp;2728984, 2728984)</f>
        <v>2728984</v>
      </c>
      <c r="D1886" s="2" t="s">
        <v>6108</v>
      </c>
      <c r="E1886" s="2" t="s">
        <v>6109</v>
      </c>
      <c r="F1886" s="2" t="s">
        <v>6110</v>
      </c>
      <c r="G1886" s="2" t="s">
        <v>170</v>
      </c>
      <c r="H1886" s="2" t="s">
        <v>2256</v>
      </c>
      <c r="I1886" s="2" t="s">
        <v>36</v>
      </c>
      <c r="J1886" s="2" t="s">
        <v>37</v>
      </c>
      <c r="K1886" s="2" t="s">
        <v>38</v>
      </c>
      <c r="L1886" s="2" t="s">
        <v>39</v>
      </c>
      <c r="M1886" s="2" t="s">
        <v>38</v>
      </c>
      <c r="N1886" s="2" t="s">
        <v>38</v>
      </c>
      <c r="O1886" s="2" t="s">
        <v>38</v>
      </c>
      <c r="P1886" s="2" t="s">
        <v>39</v>
      </c>
      <c r="Q1886" s="2" t="s">
        <v>39</v>
      </c>
      <c r="R1886" s="2" t="s">
        <v>38</v>
      </c>
      <c r="S1886" s="2" t="s">
        <v>39</v>
      </c>
      <c r="T1886" s="2" t="s">
        <v>38</v>
      </c>
      <c r="U1886" s="2" t="s">
        <v>39</v>
      </c>
      <c r="V1886" s="2" t="s">
        <v>38</v>
      </c>
      <c r="W1886" s="2" t="s">
        <v>38</v>
      </c>
      <c r="X1886" s="2" t="s">
        <v>39</v>
      </c>
      <c r="Y1886" s="2" t="s">
        <v>39</v>
      </c>
      <c r="Z1886" s="2" t="s">
        <v>38</v>
      </c>
      <c r="AA1886" s="2" t="s">
        <v>39</v>
      </c>
      <c r="AB1886" s="2" t="s">
        <v>39</v>
      </c>
      <c r="AC1886" s="2" t="s">
        <v>38</v>
      </c>
      <c r="AD1886" s="2" t="s">
        <v>38</v>
      </c>
      <c r="AE1886" s="2" t="s">
        <v>39</v>
      </c>
    </row>
    <row r="1887" spans="1:31" ht="409.5">
      <c r="A1887" s="2">
        <v>2728967</v>
      </c>
      <c r="B1887" s="2">
        <f>HYPERLINK("https://platform.v2.vetology.net/cases/2728967/screening-report/1?type=pdf&amp;v=v6&amp;scorecard=1&amp;secret_key=BX%25IJ%24%2F65ieZ%29f6", 2728967)</f>
        <v>2728967</v>
      </c>
      <c r="C1887" s="2">
        <f>HYPERLINK("https://platform.v2.vetology.net/report/v/final/"&amp;2728967, 2728967)</f>
        <v>2728967</v>
      </c>
      <c r="D1887" s="2" t="s">
        <v>853</v>
      </c>
      <c r="E1887" s="2" t="s">
        <v>854</v>
      </c>
      <c r="F1887" s="2" t="s">
        <v>6111</v>
      </c>
      <c r="G1887" s="2" t="s">
        <v>111</v>
      </c>
      <c r="H1887" s="2" t="s">
        <v>828</v>
      </c>
      <c r="I1887" s="2" t="s">
        <v>36</v>
      </c>
      <c r="J1887" s="2" t="s">
        <v>37</v>
      </c>
      <c r="K1887" s="2" t="s">
        <v>39</v>
      </c>
      <c r="L1887" s="2" t="s">
        <v>38</v>
      </c>
      <c r="M1887" s="2" t="s">
        <v>39</v>
      </c>
      <c r="N1887" s="2" t="s">
        <v>39</v>
      </c>
      <c r="O1887" s="2" t="s">
        <v>39</v>
      </c>
      <c r="P1887" s="2" t="s">
        <v>39</v>
      </c>
      <c r="Q1887" s="2" t="s">
        <v>39</v>
      </c>
      <c r="R1887" s="2" t="s">
        <v>39</v>
      </c>
      <c r="S1887" s="2" t="s">
        <v>39</v>
      </c>
      <c r="T1887" s="2" t="s">
        <v>39</v>
      </c>
      <c r="U1887" s="2" t="s">
        <v>39</v>
      </c>
      <c r="V1887" s="2" t="s">
        <v>39</v>
      </c>
      <c r="W1887" s="2" t="s">
        <v>39</v>
      </c>
      <c r="X1887" s="2" t="s">
        <v>39</v>
      </c>
      <c r="Y1887" s="2" t="s">
        <v>39</v>
      </c>
      <c r="Z1887" s="2" t="s">
        <v>39</v>
      </c>
      <c r="AA1887" s="2" t="s">
        <v>39</v>
      </c>
      <c r="AB1887" s="2" t="s">
        <v>39</v>
      </c>
      <c r="AC1887" s="2" t="s">
        <v>38</v>
      </c>
      <c r="AD1887" s="2" t="s">
        <v>39</v>
      </c>
      <c r="AE1887" s="2"/>
    </row>
    <row r="1888" spans="1:31" ht="409.5">
      <c r="A1888" s="2">
        <v>2728955</v>
      </c>
      <c r="B1888" s="2">
        <f>HYPERLINK("https://platform.v2.vetology.net/cases/2728955/screening-report/1?type=pdf&amp;v=v6&amp;scorecard=1&amp;secret_key=BX%25IJ%24%2F65ieZ%29f6", 2728955)</f>
        <v>2728955</v>
      </c>
      <c r="C1888" s="2">
        <f>HYPERLINK("https://platform.v2.vetology.net/report/v/final/"&amp;2728955, 2728955)</f>
        <v>2728955</v>
      </c>
      <c r="D1888" s="2" t="s">
        <v>6112</v>
      </c>
      <c r="E1888" s="2" t="s">
        <v>6113</v>
      </c>
      <c r="F1888" s="2" t="s">
        <v>6114</v>
      </c>
      <c r="G1888" s="2" t="s">
        <v>127</v>
      </c>
      <c r="H1888" s="2" t="s">
        <v>6115</v>
      </c>
      <c r="I1888" s="2" t="s">
        <v>129</v>
      </c>
      <c r="J1888" s="2" t="s">
        <v>74</v>
      </c>
      <c r="K1888" s="2" t="s">
        <v>38</v>
      </c>
      <c r="L1888" s="2" t="s">
        <v>38</v>
      </c>
      <c r="M1888" s="2" t="s">
        <v>38</v>
      </c>
      <c r="N1888" s="2" t="s">
        <v>38</v>
      </c>
      <c r="O1888" s="2" t="s">
        <v>38</v>
      </c>
      <c r="P1888" s="2" t="s">
        <v>38</v>
      </c>
      <c r="Q1888" s="2" t="s">
        <v>38</v>
      </c>
      <c r="R1888" s="2" t="s">
        <v>38</v>
      </c>
      <c r="S1888" s="2" t="s">
        <v>38</v>
      </c>
      <c r="T1888" s="2" t="s">
        <v>38</v>
      </c>
      <c r="U1888" s="2" t="s">
        <v>38</v>
      </c>
      <c r="V1888" s="2" t="s">
        <v>38</v>
      </c>
      <c r="W1888" s="2" t="s">
        <v>38</v>
      </c>
      <c r="X1888" s="2" t="s">
        <v>38</v>
      </c>
      <c r="Y1888" s="2" t="s">
        <v>38</v>
      </c>
      <c r="Z1888" s="2" t="s">
        <v>38</v>
      </c>
      <c r="AA1888" s="2" t="s">
        <v>38</v>
      </c>
      <c r="AB1888" s="2" t="s">
        <v>38</v>
      </c>
      <c r="AC1888" s="2" t="s">
        <v>38</v>
      </c>
      <c r="AD1888" s="2" t="s">
        <v>38</v>
      </c>
      <c r="AE1888" s="2" t="s">
        <v>39</v>
      </c>
    </row>
    <row r="1889" spans="1:31" ht="409.5">
      <c r="A1889" s="2">
        <v>2728949</v>
      </c>
      <c r="B1889" s="2">
        <f>HYPERLINK("https://platform.v2.vetology.net/cases/2728949/screening-report/1?type=pdf&amp;v=v6&amp;scorecard=1&amp;secret_key=BX%25IJ%24%2F65ieZ%29f6", 2728949)</f>
        <v>2728949</v>
      </c>
      <c r="C1889" s="2">
        <f>HYPERLINK("https://platform.v2.vetology.net/report/v/final/"&amp;2728949, 2728949)</f>
        <v>2728949</v>
      </c>
      <c r="D1889" s="2" t="s">
        <v>6116</v>
      </c>
      <c r="E1889" s="2" t="s">
        <v>6117</v>
      </c>
      <c r="F1889" s="2" t="s">
        <v>2780</v>
      </c>
      <c r="G1889" s="2" t="s">
        <v>170</v>
      </c>
      <c r="H1889" s="2" t="s">
        <v>6118</v>
      </c>
      <c r="I1889" s="2" t="s">
        <v>129</v>
      </c>
      <c r="J1889" s="2" t="s">
        <v>74</v>
      </c>
      <c r="K1889" s="2" t="s">
        <v>39</v>
      </c>
      <c r="L1889" s="2" t="s">
        <v>39</v>
      </c>
      <c r="M1889" s="2" t="s">
        <v>38</v>
      </c>
      <c r="N1889" s="2" t="s">
        <v>39</v>
      </c>
      <c r="O1889" s="2" t="s">
        <v>38</v>
      </c>
      <c r="P1889" s="2" t="s">
        <v>39</v>
      </c>
      <c r="Q1889" s="2" t="s">
        <v>38</v>
      </c>
      <c r="R1889" s="2" t="s">
        <v>39</v>
      </c>
      <c r="S1889" s="2" t="s">
        <v>39</v>
      </c>
      <c r="T1889" s="2" t="s">
        <v>38</v>
      </c>
      <c r="U1889" s="2" t="s">
        <v>39</v>
      </c>
      <c r="V1889" s="2" t="s">
        <v>39</v>
      </c>
      <c r="W1889" s="2" t="s">
        <v>38</v>
      </c>
      <c r="X1889" s="2" t="s">
        <v>38</v>
      </c>
      <c r="Y1889" s="2" t="s">
        <v>39</v>
      </c>
      <c r="Z1889" s="2" t="s">
        <v>38</v>
      </c>
      <c r="AA1889" s="2" t="s">
        <v>39</v>
      </c>
      <c r="AB1889" s="2" t="s">
        <v>38</v>
      </c>
      <c r="AC1889" s="2" t="s">
        <v>39</v>
      </c>
      <c r="AD1889" s="2" t="s">
        <v>38</v>
      </c>
      <c r="AE1889" s="2" t="s">
        <v>39</v>
      </c>
    </row>
    <row r="1890" spans="1:31" ht="409.5">
      <c r="A1890" s="2">
        <v>2728944</v>
      </c>
      <c r="B1890" s="2">
        <f>HYPERLINK("https://platform.v2.vetology.net/cases/2728944/screening-report/1?type=pdf&amp;v=v6&amp;scorecard=1&amp;secret_key=BX%25IJ%24%2F65ieZ%29f6", 2728944)</f>
        <v>2728944</v>
      </c>
      <c r="C1890" s="2">
        <f>HYPERLINK("https://platform.v2.vetology.net/report/v/final/"&amp;2728944, 2728944)</f>
        <v>2728944</v>
      </c>
      <c r="D1890" s="2" t="s">
        <v>6119</v>
      </c>
      <c r="E1890" s="2" t="s">
        <v>6120</v>
      </c>
      <c r="F1890" s="2" t="s">
        <v>43</v>
      </c>
      <c r="G1890" s="2" t="s">
        <v>100</v>
      </c>
      <c r="H1890" s="2" t="s">
        <v>3035</v>
      </c>
      <c r="I1890" s="2" t="s">
        <v>36</v>
      </c>
      <c r="J1890" s="2" t="s">
        <v>37</v>
      </c>
      <c r="K1890" s="2" t="s">
        <v>39</v>
      </c>
      <c r="L1890" s="2" t="s">
        <v>39</v>
      </c>
      <c r="M1890" s="2" t="s">
        <v>38</v>
      </c>
      <c r="N1890" s="2" t="s">
        <v>39</v>
      </c>
      <c r="O1890" s="2" t="s">
        <v>39</v>
      </c>
      <c r="P1890" s="2" t="s">
        <v>39</v>
      </c>
      <c r="Q1890" s="2" t="s">
        <v>39</v>
      </c>
      <c r="R1890" s="2" t="s">
        <v>38</v>
      </c>
      <c r="S1890" s="2" t="s">
        <v>39</v>
      </c>
      <c r="T1890" s="2" t="s">
        <v>38</v>
      </c>
      <c r="U1890" s="2" t="s">
        <v>39</v>
      </c>
      <c r="V1890" s="2" t="s">
        <v>39</v>
      </c>
      <c r="W1890" s="2" t="s">
        <v>38</v>
      </c>
      <c r="X1890" s="2" t="s">
        <v>39</v>
      </c>
      <c r="Y1890" s="2" t="s">
        <v>39</v>
      </c>
      <c r="Z1890" s="2" t="s">
        <v>38</v>
      </c>
      <c r="AA1890" s="2" t="s">
        <v>39</v>
      </c>
      <c r="AB1890" s="2" t="s">
        <v>39</v>
      </c>
      <c r="AC1890" s="2" t="s">
        <v>38</v>
      </c>
      <c r="AD1890" s="2" t="s">
        <v>39</v>
      </c>
      <c r="AE1890" s="2" t="s">
        <v>40</v>
      </c>
    </row>
    <row r="1891" spans="1:31" ht="409.5">
      <c r="A1891" s="2">
        <v>2728917</v>
      </c>
      <c r="B1891" s="2">
        <f>HYPERLINK("https://platform.v2.vetology.net/cases/2728917/screening-report/1?type=pdf&amp;v=v6&amp;scorecard=1&amp;secret_key=BX%25IJ%24%2F65ieZ%29f6", 2728917)</f>
        <v>2728917</v>
      </c>
      <c r="C1891" s="2">
        <f>HYPERLINK("https://platform.v2.vetology.net/report/v/final/"&amp;2728917, 2728917)</f>
        <v>2728917</v>
      </c>
      <c r="D1891" s="2" t="s">
        <v>6121</v>
      </c>
      <c r="E1891" s="2" t="s">
        <v>6122</v>
      </c>
      <c r="F1891" s="2" t="s">
        <v>6123</v>
      </c>
      <c r="G1891" s="2" t="s">
        <v>556</v>
      </c>
      <c r="H1891" s="2" t="s">
        <v>69</v>
      </c>
      <c r="I1891" s="2" t="s">
        <v>46</v>
      </c>
      <c r="J1891" s="2"/>
      <c r="K1891" s="2" t="s">
        <v>39</v>
      </c>
      <c r="L1891" s="2" t="s">
        <v>39</v>
      </c>
      <c r="M1891" s="2" t="s">
        <v>39</v>
      </c>
      <c r="N1891" s="2" t="s">
        <v>39</v>
      </c>
      <c r="O1891" s="2" t="s">
        <v>39</v>
      </c>
      <c r="P1891" s="2" t="s">
        <v>39</v>
      </c>
      <c r="Q1891" s="2" t="s">
        <v>39</v>
      </c>
      <c r="R1891" s="2" t="s">
        <v>39</v>
      </c>
      <c r="S1891" s="2" t="s">
        <v>39</v>
      </c>
      <c r="T1891" s="2" t="s">
        <v>39</v>
      </c>
      <c r="U1891" s="2" t="s">
        <v>39</v>
      </c>
      <c r="V1891" s="2" t="s">
        <v>39</v>
      </c>
      <c r="W1891" s="2" t="s">
        <v>39</v>
      </c>
      <c r="X1891" s="2" t="s">
        <v>39</v>
      </c>
      <c r="Y1891" s="2" t="s">
        <v>39</v>
      </c>
      <c r="Z1891" s="2" t="s">
        <v>39</v>
      </c>
      <c r="AA1891" s="2" t="s">
        <v>39</v>
      </c>
      <c r="AB1891" s="2" t="s">
        <v>39</v>
      </c>
      <c r="AC1891" s="2" t="s">
        <v>39</v>
      </c>
      <c r="AD1891" s="2" t="s">
        <v>38</v>
      </c>
      <c r="AE1891" s="2" t="s">
        <v>39</v>
      </c>
    </row>
    <row r="1892" spans="1:31" ht="409.5">
      <c r="A1892" s="2">
        <v>2728911</v>
      </c>
      <c r="B1892" s="2">
        <f>HYPERLINK("https://platform.v2.vetology.net/cases/2728911/screening-report/1?type=pdf&amp;v=v6&amp;scorecard=1&amp;secret_key=BX%25IJ%24%2F65ieZ%29f6", 2728911)</f>
        <v>2728911</v>
      </c>
      <c r="C1892" s="2">
        <f>HYPERLINK("https://platform.v2.vetology.net/report/v/final/"&amp;2728911, 2728911)</f>
        <v>2728911</v>
      </c>
      <c r="D1892" s="2" t="s">
        <v>6124</v>
      </c>
      <c r="E1892" s="2" t="s">
        <v>6125</v>
      </c>
      <c r="F1892" s="2" t="s">
        <v>6126</v>
      </c>
      <c r="G1892" s="2" t="s">
        <v>556</v>
      </c>
      <c r="H1892" s="2" t="s">
        <v>6127</v>
      </c>
      <c r="I1892" s="2" t="s">
        <v>36</v>
      </c>
      <c r="J1892" s="2" t="s">
        <v>37</v>
      </c>
      <c r="K1892" s="2" t="s">
        <v>39</v>
      </c>
      <c r="L1892" s="2" t="s">
        <v>39</v>
      </c>
      <c r="M1892" s="2" t="s">
        <v>39</v>
      </c>
      <c r="N1892" s="2" t="s">
        <v>38</v>
      </c>
      <c r="O1892" s="2" t="s">
        <v>38</v>
      </c>
      <c r="P1892" s="2" t="s">
        <v>38</v>
      </c>
      <c r="Q1892" s="2" t="s">
        <v>39</v>
      </c>
      <c r="R1892" s="2" t="s">
        <v>38</v>
      </c>
      <c r="S1892" s="2" t="s">
        <v>38</v>
      </c>
      <c r="T1892" s="2" t="s">
        <v>38</v>
      </c>
      <c r="U1892" s="2" t="s">
        <v>39</v>
      </c>
      <c r="V1892" s="2" t="s">
        <v>39</v>
      </c>
      <c r="W1892" s="2" t="s">
        <v>38</v>
      </c>
      <c r="X1892" s="2" t="s">
        <v>39</v>
      </c>
      <c r="Y1892" s="2" t="s">
        <v>39</v>
      </c>
      <c r="Z1892" s="2" t="s">
        <v>38</v>
      </c>
      <c r="AA1892" s="2" t="s">
        <v>39</v>
      </c>
      <c r="AB1892" s="2" t="s">
        <v>39</v>
      </c>
      <c r="AC1892" s="2" t="s">
        <v>38</v>
      </c>
      <c r="AD1892" s="2" t="s">
        <v>39</v>
      </c>
      <c r="AE1892" s="2" t="s">
        <v>39</v>
      </c>
    </row>
    <row r="1893" spans="1:31" ht="409.5">
      <c r="A1893" s="2">
        <v>2728880</v>
      </c>
      <c r="B1893" s="2">
        <f>HYPERLINK("https://platform.v2.vetology.net/cases/2728880/screening-report/1?type=pdf&amp;v=v6&amp;scorecard=1&amp;secret_key=BX%25IJ%24%2F65ieZ%29f6", 2728880)</f>
        <v>2728880</v>
      </c>
      <c r="C1893" s="2">
        <f>HYPERLINK("https://platform.v2.vetology.net/report/v/final/"&amp;2728880, 2728880)</f>
        <v>2728880</v>
      </c>
      <c r="D1893" s="2" t="s">
        <v>6128</v>
      </c>
      <c r="E1893" s="2" t="s">
        <v>118</v>
      </c>
      <c r="F1893" s="2" t="s">
        <v>6129</v>
      </c>
      <c r="G1893" s="2" t="s">
        <v>111</v>
      </c>
      <c r="H1893" s="2" t="s">
        <v>6130</v>
      </c>
      <c r="I1893" s="2" t="s">
        <v>36</v>
      </c>
      <c r="J1893" s="2" t="s">
        <v>37</v>
      </c>
      <c r="K1893" s="2" t="s">
        <v>39</v>
      </c>
      <c r="L1893" s="2" t="s">
        <v>38</v>
      </c>
      <c r="M1893" s="2" t="s">
        <v>38</v>
      </c>
      <c r="N1893" s="2" t="s">
        <v>39</v>
      </c>
      <c r="O1893" s="2" t="s">
        <v>38</v>
      </c>
      <c r="P1893" s="2" t="s">
        <v>38</v>
      </c>
      <c r="Q1893" s="2" t="s">
        <v>39</v>
      </c>
      <c r="R1893" s="2" t="s">
        <v>38</v>
      </c>
      <c r="S1893" s="2" t="s">
        <v>39</v>
      </c>
      <c r="T1893" s="2" t="s">
        <v>38</v>
      </c>
      <c r="U1893" s="2" t="s">
        <v>39</v>
      </c>
      <c r="V1893" s="2" t="s">
        <v>39</v>
      </c>
      <c r="W1893" s="2" t="s">
        <v>38</v>
      </c>
      <c r="X1893" s="2" t="s">
        <v>39</v>
      </c>
      <c r="Y1893" s="2" t="s">
        <v>39</v>
      </c>
      <c r="Z1893" s="2" t="s">
        <v>38</v>
      </c>
      <c r="AA1893" s="2" t="s">
        <v>39</v>
      </c>
      <c r="AB1893" s="2" t="s">
        <v>39</v>
      </c>
      <c r="AC1893" s="2" t="s">
        <v>38</v>
      </c>
      <c r="AD1893" s="2" t="s">
        <v>38</v>
      </c>
      <c r="AE1893" s="2" t="s">
        <v>40</v>
      </c>
    </row>
    <row r="1894" spans="1:31" ht="409.5">
      <c r="A1894" s="2">
        <v>2728851</v>
      </c>
      <c r="B1894" s="2">
        <f>HYPERLINK("https://platform.v2.vetology.net/cases/2728851/screening-report/1?type=pdf&amp;v=v6&amp;scorecard=1&amp;secret_key=BX%25IJ%24%2F65ieZ%29f6", 2728851)</f>
        <v>2728851</v>
      </c>
      <c r="C1894" s="2">
        <f>HYPERLINK("https://platform.v2.vetology.net/report/v/final/"&amp;2728851, 2728851)</f>
        <v>2728851</v>
      </c>
      <c r="D1894" s="2" t="s">
        <v>6131</v>
      </c>
      <c r="E1894" s="2" t="s">
        <v>6132</v>
      </c>
      <c r="F1894" s="2" t="s">
        <v>6133</v>
      </c>
      <c r="G1894" s="2" t="s">
        <v>127</v>
      </c>
      <c r="H1894" s="2" t="s">
        <v>69</v>
      </c>
      <c r="I1894" s="2" t="s">
        <v>46</v>
      </c>
      <c r="J1894" s="2"/>
      <c r="K1894" s="2" t="s">
        <v>39</v>
      </c>
      <c r="L1894" s="2" t="s">
        <v>39</v>
      </c>
      <c r="M1894" s="2" t="s">
        <v>39</v>
      </c>
      <c r="N1894" s="2" t="s">
        <v>39</v>
      </c>
      <c r="O1894" s="2" t="s">
        <v>39</v>
      </c>
      <c r="P1894" s="2" t="s">
        <v>39</v>
      </c>
      <c r="Q1894" s="2" t="s">
        <v>39</v>
      </c>
      <c r="R1894" s="2" t="s">
        <v>39</v>
      </c>
      <c r="S1894" s="2" t="s">
        <v>39</v>
      </c>
      <c r="T1894" s="2" t="s">
        <v>39</v>
      </c>
      <c r="U1894" s="2" t="s">
        <v>39</v>
      </c>
      <c r="V1894" s="2" t="s">
        <v>39</v>
      </c>
      <c r="W1894" s="2" t="s">
        <v>39</v>
      </c>
      <c r="X1894" s="2" t="s">
        <v>39</v>
      </c>
      <c r="Y1894" s="2" t="s">
        <v>39</v>
      </c>
      <c r="Z1894" s="2" t="s">
        <v>39</v>
      </c>
      <c r="AA1894" s="2" t="s">
        <v>39</v>
      </c>
      <c r="AB1894" s="2" t="s">
        <v>39</v>
      </c>
      <c r="AC1894" s="2" t="s">
        <v>39</v>
      </c>
      <c r="AD1894" s="2" t="s">
        <v>39</v>
      </c>
      <c r="AE1894" s="2" t="s">
        <v>39</v>
      </c>
    </row>
    <row r="1895" spans="1:31" ht="409.5">
      <c r="A1895" s="2">
        <v>2728786</v>
      </c>
      <c r="B1895" s="2">
        <f>HYPERLINK("https://platform.v2.vetology.net/cases/2728786/screening-report/1?type=pdf&amp;v=v6&amp;scorecard=1&amp;secret_key=BX%25IJ%24%2F65ieZ%29f6", 2728786)</f>
        <v>2728786</v>
      </c>
      <c r="C1895" s="2">
        <f>HYPERLINK("https://platform.v2.vetology.net/report/v/final/"&amp;2728786, 2728786)</f>
        <v>2728786</v>
      </c>
      <c r="D1895" s="2" t="s">
        <v>6134</v>
      </c>
      <c r="E1895" s="2" t="s">
        <v>6135</v>
      </c>
      <c r="F1895" s="2"/>
      <c r="G1895" s="2" t="s">
        <v>81</v>
      </c>
      <c r="H1895" s="2" t="s">
        <v>6136</v>
      </c>
      <c r="I1895" s="2" t="s">
        <v>73</v>
      </c>
      <c r="J1895" s="2" t="s">
        <v>74</v>
      </c>
      <c r="K1895" s="2" t="s">
        <v>38</v>
      </c>
      <c r="L1895" s="2" t="s">
        <v>38</v>
      </c>
      <c r="M1895" s="2" t="s">
        <v>38</v>
      </c>
      <c r="N1895" s="2" t="s">
        <v>38</v>
      </c>
      <c r="O1895" s="2" t="s">
        <v>38</v>
      </c>
      <c r="P1895" s="2" t="s">
        <v>38</v>
      </c>
      <c r="Q1895" s="2" t="s">
        <v>38</v>
      </c>
      <c r="R1895" s="2" t="s">
        <v>38</v>
      </c>
      <c r="S1895" s="2" t="s">
        <v>38</v>
      </c>
      <c r="T1895" s="2" t="s">
        <v>38</v>
      </c>
      <c r="U1895" s="2" t="s">
        <v>38</v>
      </c>
      <c r="V1895" s="2" t="s">
        <v>38</v>
      </c>
      <c r="W1895" s="2" t="s">
        <v>38</v>
      </c>
      <c r="X1895" s="2" t="s">
        <v>38</v>
      </c>
      <c r="Y1895" s="2" t="s">
        <v>39</v>
      </c>
      <c r="Z1895" s="2" t="s">
        <v>38</v>
      </c>
      <c r="AA1895" s="2" t="s">
        <v>38</v>
      </c>
      <c r="AB1895" s="2" t="s">
        <v>38</v>
      </c>
      <c r="AC1895" s="2" t="s">
        <v>39</v>
      </c>
      <c r="AD1895" s="2" t="s">
        <v>38</v>
      </c>
      <c r="AE1895" s="2" t="s">
        <v>39</v>
      </c>
    </row>
    <row r="1896" spans="1:31" ht="409.5">
      <c r="A1896" s="2">
        <v>2728768</v>
      </c>
      <c r="B1896" s="2">
        <f>HYPERLINK("https://platform.v2.vetology.net/cases/2728768/screening-report/1?type=pdf&amp;v=v6&amp;scorecard=1&amp;secret_key=BX%25IJ%24%2F65ieZ%29f6", 2728768)</f>
        <v>2728768</v>
      </c>
      <c r="C1896" s="2">
        <f>HYPERLINK("https://platform.v2.vetology.net/report/v/final/"&amp;2728768, 2728768)</f>
        <v>2728768</v>
      </c>
      <c r="D1896" s="2" t="s">
        <v>6137</v>
      </c>
      <c r="E1896" s="2" t="s">
        <v>6138</v>
      </c>
      <c r="F1896" s="2" t="s">
        <v>6139</v>
      </c>
      <c r="G1896" s="2" t="s">
        <v>127</v>
      </c>
      <c r="H1896" s="2" t="s">
        <v>6140</v>
      </c>
      <c r="I1896" s="2" t="s">
        <v>36</v>
      </c>
      <c r="J1896" s="2" t="s">
        <v>37</v>
      </c>
      <c r="K1896" s="2" t="s">
        <v>39</v>
      </c>
      <c r="L1896" s="2" t="s">
        <v>38</v>
      </c>
      <c r="M1896" s="2" t="s">
        <v>39</v>
      </c>
      <c r="N1896" s="2" t="s">
        <v>38</v>
      </c>
      <c r="O1896" s="2" t="s">
        <v>38</v>
      </c>
      <c r="P1896" s="2" t="s">
        <v>38</v>
      </c>
      <c r="Q1896" s="2" t="s">
        <v>39</v>
      </c>
      <c r="R1896" s="2" t="s">
        <v>39</v>
      </c>
      <c r="S1896" s="2" t="s">
        <v>38</v>
      </c>
      <c r="T1896" s="2" t="s">
        <v>38</v>
      </c>
      <c r="U1896" s="2" t="s">
        <v>39</v>
      </c>
      <c r="V1896" s="2" t="s">
        <v>39</v>
      </c>
      <c r="W1896" s="2" t="s">
        <v>38</v>
      </c>
      <c r="X1896" s="2" t="s">
        <v>39</v>
      </c>
      <c r="Y1896" s="2" t="s">
        <v>39</v>
      </c>
      <c r="Z1896" s="2" t="s">
        <v>38</v>
      </c>
      <c r="AA1896" s="2" t="s">
        <v>39</v>
      </c>
      <c r="AB1896" s="2" t="s">
        <v>39</v>
      </c>
      <c r="AC1896" s="2" t="s">
        <v>38</v>
      </c>
      <c r="AD1896" s="2" t="s">
        <v>38</v>
      </c>
      <c r="AE1896" s="2"/>
    </row>
    <row r="1897" spans="1:31" ht="409.5">
      <c r="A1897" s="2">
        <v>2728766</v>
      </c>
      <c r="B1897" s="2">
        <f>HYPERLINK("https://platform.v2.vetology.net/cases/2728766/screening-report/1?type=pdf&amp;v=v6&amp;scorecard=1&amp;secret_key=BX%25IJ%24%2F65ieZ%29f6", 2728766)</f>
        <v>2728766</v>
      </c>
      <c r="C1897" s="2">
        <f>HYPERLINK("https://platform.v2.vetology.net/report/v/final/"&amp;2728766, 2728766)</f>
        <v>2728766</v>
      </c>
      <c r="D1897" s="2" t="s">
        <v>6141</v>
      </c>
      <c r="E1897" s="2" t="s">
        <v>4764</v>
      </c>
      <c r="F1897" s="2" t="s">
        <v>43</v>
      </c>
      <c r="G1897" s="2" t="s">
        <v>44</v>
      </c>
      <c r="H1897" s="2" t="s">
        <v>419</v>
      </c>
      <c r="I1897" s="2" t="s">
        <v>36</v>
      </c>
      <c r="J1897" s="2" t="s">
        <v>37</v>
      </c>
      <c r="K1897" s="2" t="s">
        <v>39</v>
      </c>
      <c r="L1897" s="2" t="s">
        <v>39</v>
      </c>
      <c r="M1897" s="2" t="s">
        <v>38</v>
      </c>
      <c r="N1897" s="2" t="s">
        <v>39</v>
      </c>
      <c r="O1897" s="2" t="s">
        <v>38</v>
      </c>
      <c r="P1897" s="2" t="s">
        <v>39</v>
      </c>
      <c r="Q1897" s="2" t="s">
        <v>39</v>
      </c>
      <c r="R1897" s="2" t="s">
        <v>38</v>
      </c>
      <c r="S1897" s="2" t="s">
        <v>39</v>
      </c>
      <c r="T1897" s="2" t="s">
        <v>39</v>
      </c>
      <c r="U1897" s="2" t="s">
        <v>39</v>
      </c>
      <c r="V1897" s="2" t="s">
        <v>39</v>
      </c>
      <c r="W1897" s="2" t="s">
        <v>39</v>
      </c>
      <c r="X1897" s="2" t="s">
        <v>39</v>
      </c>
      <c r="Y1897" s="2" t="s">
        <v>39</v>
      </c>
      <c r="Z1897" s="2" t="s">
        <v>38</v>
      </c>
      <c r="AA1897" s="2" t="s">
        <v>39</v>
      </c>
      <c r="AB1897" s="2" t="s">
        <v>39</v>
      </c>
      <c r="AC1897" s="2" t="s">
        <v>39</v>
      </c>
      <c r="AD1897" s="2" t="s">
        <v>39</v>
      </c>
      <c r="AE1897" s="2" t="s">
        <v>39</v>
      </c>
    </row>
    <row r="1898" spans="1:31" ht="409.5">
      <c r="A1898" s="2">
        <v>2728738</v>
      </c>
      <c r="B1898" s="2">
        <f>HYPERLINK("https://platform.v2.vetology.net/cases/2728738/screening-report/1?type=pdf&amp;v=v6&amp;scorecard=1&amp;secret_key=BX%25IJ%24%2F65ieZ%29f6", 2728738)</f>
        <v>2728738</v>
      </c>
      <c r="C1898" s="2">
        <f>HYPERLINK("https://platform.v2.vetology.net/report/v/final/"&amp;2728738, 2728738)</f>
        <v>2728738</v>
      </c>
      <c r="D1898" s="2" t="s">
        <v>853</v>
      </c>
      <c r="E1898" s="2" t="s">
        <v>6142</v>
      </c>
      <c r="F1898" s="2" t="s">
        <v>1737</v>
      </c>
      <c r="G1898" s="2" t="s">
        <v>111</v>
      </c>
      <c r="H1898" s="2" t="s">
        <v>69</v>
      </c>
      <c r="I1898" s="2" t="s">
        <v>46</v>
      </c>
      <c r="J1898" s="2"/>
      <c r="K1898" s="2" t="s">
        <v>39</v>
      </c>
      <c r="L1898" s="2" t="s">
        <v>39</v>
      </c>
      <c r="M1898" s="2" t="s">
        <v>39</v>
      </c>
      <c r="N1898" s="2" t="s">
        <v>39</v>
      </c>
      <c r="O1898" s="2" t="s">
        <v>39</v>
      </c>
      <c r="P1898" s="2" t="s">
        <v>39</v>
      </c>
      <c r="Q1898" s="2" t="s">
        <v>39</v>
      </c>
      <c r="R1898" s="2" t="s">
        <v>39</v>
      </c>
      <c r="S1898" s="2" t="s">
        <v>39</v>
      </c>
      <c r="T1898" s="2" t="s">
        <v>39</v>
      </c>
      <c r="U1898" s="2" t="s">
        <v>39</v>
      </c>
      <c r="V1898" s="2" t="s">
        <v>39</v>
      </c>
      <c r="W1898" s="2" t="s">
        <v>38</v>
      </c>
      <c r="X1898" s="2" t="s">
        <v>39</v>
      </c>
      <c r="Y1898" s="2" t="s">
        <v>39</v>
      </c>
      <c r="Z1898" s="2" t="s">
        <v>38</v>
      </c>
      <c r="AA1898" s="2" t="s">
        <v>39</v>
      </c>
      <c r="AB1898" s="2" t="s">
        <v>39</v>
      </c>
      <c r="AC1898" s="2" t="s">
        <v>39</v>
      </c>
      <c r="AD1898" s="2" t="s">
        <v>38</v>
      </c>
      <c r="AE1898" s="2" t="s">
        <v>40</v>
      </c>
    </row>
    <row r="1899" spans="1:31" ht="409.5">
      <c r="A1899" s="2">
        <v>2728705</v>
      </c>
      <c r="B1899" s="2">
        <f>HYPERLINK("https://platform.v2.vetology.net/cases/2728705/screening-report/1?type=pdf&amp;v=v6&amp;scorecard=1&amp;secret_key=BX%25IJ%24%2F65ieZ%29f6", 2728705)</f>
        <v>2728705</v>
      </c>
      <c r="C1899" s="2">
        <f>HYPERLINK("https://platform.v2.vetology.net/report/v/final/"&amp;2728705, 2728705)</f>
        <v>2728705</v>
      </c>
      <c r="D1899" s="2" t="s">
        <v>6143</v>
      </c>
      <c r="E1899" s="2" t="s">
        <v>6144</v>
      </c>
      <c r="F1899" s="2"/>
      <c r="G1899" s="2" t="s">
        <v>81</v>
      </c>
      <c r="H1899" s="2" t="s">
        <v>6145</v>
      </c>
      <c r="I1899" s="2" t="s">
        <v>73</v>
      </c>
      <c r="J1899" s="2" t="s">
        <v>74</v>
      </c>
      <c r="K1899" s="2" t="s">
        <v>38</v>
      </c>
      <c r="L1899" s="2" t="s">
        <v>38</v>
      </c>
      <c r="M1899" s="2" t="s">
        <v>38</v>
      </c>
      <c r="N1899" s="2" t="s">
        <v>38</v>
      </c>
      <c r="O1899" s="2" t="s">
        <v>38</v>
      </c>
      <c r="P1899" s="2" t="s">
        <v>38</v>
      </c>
      <c r="Q1899" s="2" t="s">
        <v>38</v>
      </c>
      <c r="R1899" s="2" t="s">
        <v>39</v>
      </c>
      <c r="S1899" s="2" t="s">
        <v>38</v>
      </c>
      <c r="T1899" s="2" t="s">
        <v>38</v>
      </c>
      <c r="U1899" s="2" t="s">
        <v>38</v>
      </c>
      <c r="V1899" s="2" t="s">
        <v>38</v>
      </c>
      <c r="W1899" s="2" t="s">
        <v>38</v>
      </c>
      <c r="X1899" s="2" t="s">
        <v>38</v>
      </c>
      <c r="Y1899" s="2" t="s">
        <v>38</v>
      </c>
      <c r="Z1899" s="2" t="s">
        <v>38</v>
      </c>
      <c r="AA1899" s="2" t="s">
        <v>38</v>
      </c>
      <c r="AB1899" s="2" t="s">
        <v>38</v>
      </c>
      <c r="AC1899" s="2" t="s">
        <v>38</v>
      </c>
      <c r="AD1899" s="2" t="s">
        <v>38</v>
      </c>
      <c r="AE1899" s="2" t="s">
        <v>40</v>
      </c>
    </row>
    <row r="1900" spans="1:31" ht="409.5">
      <c r="A1900" s="2">
        <v>2728689</v>
      </c>
      <c r="B1900" s="2">
        <f>HYPERLINK("https://platform.v2.vetology.net/cases/2728689/screening-report/1?type=pdf&amp;v=v6&amp;scorecard=1&amp;secret_key=BX%25IJ%24%2F65ieZ%29f6", 2728689)</f>
        <v>2728689</v>
      </c>
      <c r="C1900" s="2">
        <f>HYPERLINK("https://platform.v2.vetology.net/report/v/final/"&amp;2728689, 2728689)</f>
        <v>2728689</v>
      </c>
      <c r="D1900" s="2" t="s">
        <v>6146</v>
      </c>
      <c r="E1900" s="2" t="s">
        <v>6147</v>
      </c>
      <c r="F1900" s="2" t="s">
        <v>1897</v>
      </c>
      <c r="G1900" s="2" t="s">
        <v>81</v>
      </c>
      <c r="H1900" s="2" t="s">
        <v>6148</v>
      </c>
      <c r="I1900" s="2" t="s">
        <v>36</v>
      </c>
      <c r="J1900" s="2" t="s">
        <v>37</v>
      </c>
      <c r="K1900" s="2" t="s">
        <v>38</v>
      </c>
      <c r="L1900" s="2" t="s">
        <v>38</v>
      </c>
      <c r="M1900" s="2" t="s">
        <v>38</v>
      </c>
      <c r="N1900" s="2" t="s">
        <v>38</v>
      </c>
      <c r="O1900" s="2" t="s">
        <v>38</v>
      </c>
      <c r="P1900" s="2" t="s">
        <v>38</v>
      </c>
      <c r="Q1900" s="2" t="s">
        <v>39</v>
      </c>
      <c r="R1900" s="2" t="s">
        <v>38</v>
      </c>
      <c r="S1900" s="2" t="s">
        <v>38</v>
      </c>
      <c r="T1900" s="2" t="s">
        <v>38</v>
      </c>
      <c r="U1900" s="2" t="s">
        <v>38</v>
      </c>
      <c r="V1900" s="2" t="s">
        <v>38</v>
      </c>
      <c r="W1900" s="2" t="s">
        <v>38</v>
      </c>
      <c r="X1900" s="2" t="s">
        <v>39</v>
      </c>
      <c r="Y1900" s="2" t="s">
        <v>39</v>
      </c>
      <c r="Z1900" s="2" t="s">
        <v>38</v>
      </c>
      <c r="AA1900" s="2" t="s">
        <v>38</v>
      </c>
      <c r="AB1900" s="2" t="s">
        <v>39</v>
      </c>
      <c r="AC1900" s="2" t="s">
        <v>38</v>
      </c>
      <c r="AD1900" s="2" t="s">
        <v>38</v>
      </c>
      <c r="AE1900" s="2" t="s">
        <v>39</v>
      </c>
    </row>
    <row r="1901" spans="1:31" ht="409.5">
      <c r="A1901" s="2">
        <v>2728681</v>
      </c>
      <c r="B1901" s="2">
        <f>HYPERLINK("https://platform.v2.vetology.net/cases/2728681/screening-report/1?type=pdf&amp;v=v6&amp;scorecard=1&amp;secret_key=BX%25IJ%24%2F65ieZ%29f6", 2728681)</f>
        <v>2728681</v>
      </c>
      <c r="C1901" s="2">
        <f>HYPERLINK("https://platform.v2.vetology.net/report/v/final/"&amp;2728681, 2728681)</f>
        <v>2728681</v>
      </c>
      <c r="D1901" s="2" t="s">
        <v>6149</v>
      </c>
      <c r="E1901" s="2" t="s">
        <v>6150</v>
      </c>
      <c r="F1901" s="2" t="s">
        <v>422</v>
      </c>
      <c r="G1901" s="2" t="s">
        <v>34</v>
      </c>
      <c r="H1901" s="2" t="s">
        <v>6151</v>
      </c>
      <c r="I1901" s="2" t="s">
        <v>73</v>
      </c>
      <c r="J1901" s="2" t="s">
        <v>74</v>
      </c>
      <c r="K1901" s="2" t="s">
        <v>38</v>
      </c>
      <c r="L1901" s="2" t="s">
        <v>38</v>
      </c>
      <c r="M1901" s="2" t="s">
        <v>38</v>
      </c>
      <c r="N1901" s="2" t="s">
        <v>38</v>
      </c>
      <c r="O1901" s="2" t="s">
        <v>38</v>
      </c>
      <c r="P1901" s="2" t="s">
        <v>38</v>
      </c>
      <c r="Q1901" s="2" t="s">
        <v>38</v>
      </c>
      <c r="R1901" s="2" t="s">
        <v>38</v>
      </c>
      <c r="S1901" s="2" t="s">
        <v>38</v>
      </c>
      <c r="T1901" s="2" t="s">
        <v>38</v>
      </c>
      <c r="U1901" s="2" t="s">
        <v>38</v>
      </c>
      <c r="V1901" s="2" t="s">
        <v>38</v>
      </c>
      <c r="W1901" s="2" t="s">
        <v>38</v>
      </c>
      <c r="X1901" s="2" t="s">
        <v>38</v>
      </c>
      <c r="Y1901" s="2" t="s">
        <v>38</v>
      </c>
      <c r="Z1901" s="2" t="s">
        <v>38</v>
      </c>
      <c r="AA1901" s="2" t="s">
        <v>38</v>
      </c>
      <c r="AB1901" s="2" t="s">
        <v>38</v>
      </c>
      <c r="AC1901" s="2" t="s">
        <v>38</v>
      </c>
      <c r="AD1901" s="2" t="s">
        <v>38</v>
      </c>
      <c r="AE1901" s="2" t="s">
        <v>40</v>
      </c>
    </row>
    <row r="1902" spans="1:31" ht="409.5">
      <c r="A1902" s="2">
        <v>2728680</v>
      </c>
      <c r="B1902" s="2">
        <f>HYPERLINK("https://platform.v2.vetology.net/cases/2728680/screening-report/1?type=pdf&amp;v=v6&amp;scorecard=1&amp;secret_key=BX%25IJ%24%2F65ieZ%29f6", 2728680)</f>
        <v>2728680</v>
      </c>
      <c r="C1902" s="2">
        <f>HYPERLINK("https://platform.v2.vetology.net/report/v/final/"&amp;2728680, 2728680)</f>
        <v>2728680</v>
      </c>
      <c r="D1902" s="2" t="s">
        <v>302</v>
      </c>
      <c r="E1902" s="2" t="s">
        <v>99</v>
      </c>
      <c r="F1902" s="2" t="s">
        <v>3048</v>
      </c>
      <c r="G1902" s="2" t="s">
        <v>100</v>
      </c>
      <c r="H1902" s="2" t="s">
        <v>69</v>
      </c>
      <c r="I1902" s="2" t="s">
        <v>46</v>
      </c>
      <c r="J1902" s="2"/>
      <c r="K1902" s="2" t="s">
        <v>39</v>
      </c>
      <c r="L1902" s="2" t="s">
        <v>39</v>
      </c>
      <c r="M1902" s="2" t="s">
        <v>39</v>
      </c>
      <c r="N1902" s="2" t="s">
        <v>39</v>
      </c>
      <c r="O1902" s="2" t="s">
        <v>39</v>
      </c>
      <c r="P1902" s="2" t="s">
        <v>39</v>
      </c>
      <c r="Q1902" s="2" t="s">
        <v>39</v>
      </c>
      <c r="R1902" s="2" t="s">
        <v>39</v>
      </c>
      <c r="S1902" s="2" t="s">
        <v>39</v>
      </c>
      <c r="T1902" s="2" t="s">
        <v>39</v>
      </c>
      <c r="U1902" s="2" t="s">
        <v>39</v>
      </c>
      <c r="V1902" s="2" t="s">
        <v>39</v>
      </c>
      <c r="W1902" s="2" t="s">
        <v>38</v>
      </c>
      <c r="X1902" s="2" t="s">
        <v>39</v>
      </c>
      <c r="Y1902" s="2" t="s">
        <v>39</v>
      </c>
      <c r="Z1902" s="2" t="s">
        <v>39</v>
      </c>
      <c r="AA1902" s="2" t="s">
        <v>39</v>
      </c>
      <c r="AB1902" s="2" t="s">
        <v>39</v>
      </c>
      <c r="AC1902" s="2" t="s">
        <v>38</v>
      </c>
      <c r="AD1902" s="2" t="s">
        <v>38</v>
      </c>
      <c r="AE1902" s="2" t="s">
        <v>40</v>
      </c>
    </row>
    <row r="1903" spans="1:31" ht="409.5">
      <c r="A1903" s="2">
        <v>2728676</v>
      </c>
      <c r="B1903" s="2">
        <f>HYPERLINK("https://platform.v2.vetology.net/cases/2728676/screening-report/1?type=pdf&amp;v=v6&amp;scorecard=1&amp;secret_key=BX%25IJ%24%2F65ieZ%29f6", 2728676)</f>
        <v>2728676</v>
      </c>
      <c r="C1903" s="2">
        <f>HYPERLINK("https://platform.v2.vetology.net/report/v/final/"&amp;2728676, 2728676)</f>
        <v>2728676</v>
      </c>
      <c r="D1903" s="2" t="s">
        <v>6152</v>
      </c>
      <c r="E1903" s="2" t="s">
        <v>6153</v>
      </c>
      <c r="F1903" s="2" t="s">
        <v>6154</v>
      </c>
      <c r="G1903" s="2" t="s">
        <v>34</v>
      </c>
      <c r="H1903" s="2" t="s">
        <v>2816</v>
      </c>
      <c r="I1903" s="2" t="s">
        <v>36</v>
      </c>
      <c r="J1903" s="2" t="s">
        <v>37</v>
      </c>
      <c r="K1903" s="2" t="s">
        <v>39</v>
      </c>
      <c r="L1903" s="2" t="s">
        <v>38</v>
      </c>
      <c r="M1903" s="2" t="s">
        <v>39</v>
      </c>
      <c r="N1903" s="2" t="s">
        <v>39</v>
      </c>
      <c r="O1903" s="2" t="s">
        <v>39</v>
      </c>
      <c r="P1903" s="2" t="s">
        <v>39</v>
      </c>
      <c r="Q1903" s="2" t="s">
        <v>39</v>
      </c>
      <c r="R1903" s="2" t="s">
        <v>39</v>
      </c>
      <c r="S1903" s="2" t="s">
        <v>39</v>
      </c>
      <c r="T1903" s="2" t="s">
        <v>39</v>
      </c>
      <c r="U1903" s="2" t="s">
        <v>39</v>
      </c>
      <c r="V1903" s="2" t="s">
        <v>38</v>
      </c>
      <c r="W1903" s="2" t="s">
        <v>39</v>
      </c>
      <c r="X1903" s="2" t="s">
        <v>39</v>
      </c>
      <c r="Y1903" s="2" t="s">
        <v>39</v>
      </c>
      <c r="Z1903" s="2" t="s">
        <v>39</v>
      </c>
      <c r="AA1903" s="2" t="s">
        <v>39</v>
      </c>
      <c r="AB1903" s="2" t="s">
        <v>39</v>
      </c>
      <c r="AC1903" s="2" t="s">
        <v>38</v>
      </c>
      <c r="AD1903" s="2" t="s">
        <v>38</v>
      </c>
      <c r="AE1903" s="2" t="s">
        <v>40</v>
      </c>
    </row>
    <row r="1904" spans="1:31" ht="409.5">
      <c r="A1904" s="2">
        <v>2728656</v>
      </c>
      <c r="B1904" s="2">
        <f>HYPERLINK("https://platform.v2.vetology.net/cases/2728656/screening-report/1?type=pdf&amp;v=v6&amp;scorecard=1&amp;secret_key=BX%25IJ%24%2F65ieZ%29f6", 2728656)</f>
        <v>2728656</v>
      </c>
      <c r="C1904" s="2">
        <f>HYPERLINK("https://platform.v2.vetology.net/report/v/final/"&amp;2728656, 2728656)</f>
        <v>2728656</v>
      </c>
      <c r="D1904" s="2" t="s">
        <v>6155</v>
      </c>
      <c r="E1904" s="2" t="s">
        <v>6156</v>
      </c>
      <c r="F1904" s="2" t="s">
        <v>6157</v>
      </c>
      <c r="G1904" s="2" t="s">
        <v>170</v>
      </c>
      <c r="H1904" s="2" t="s">
        <v>6158</v>
      </c>
      <c r="I1904" s="2" t="s">
        <v>36</v>
      </c>
      <c r="J1904" s="2" t="s">
        <v>37</v>
      </c>
      <c r="K1904" s="2" t="s">
        <v>39</v>
      </c>
      <c r="L1904" s="2" t="s">
        <v>38</v>
      </c>
      <c r="M1904" s="2" t="s">
        <v>39</v>
      </c>
      <c r="N1904" s="2" t="s">
        <v>38</v>
      </c>
      <c r="O1904" s="2" t="s">
        <v>38</v>
      </c>
      <c r="P1904" s="2" t="s">
        <v>39</v>
      </c>
      <c r="Q1904" s="2" t="s">
        <v>39</v>
      </c>
      <c r="R1904" s="2" t="s">
        <v>38</v>
      </c>
      <c r="S1904" s="2" t="s">
        <v>38</v>
      </c>
      <c r="T1904" s="2" t="s">
        <v>39</v>
      </c>
      <c r="U1904" s="2" t="s">
        <v>39</v>
      </c>
      <c r="V1904" s="2" t="s">
        <v>39</v>
      </c>
      <c r="W1904" s="2" t="s">
        <v>38</v>
      </c>
      <c r="X1904" s="2" t="s">
        <v>39</v>
      </c>
      <c r="Y1904" s="2" t="s">
        <v>39</v>
      </c>
      <c r="Z1904" s="2" t="s">
        <v>38</v>
      </c>
      <c r="AA1904" s="2" t="s">
        <v>38</v>
      </c>
      <c r="AB1904" s="2" t="s">
        <v>39</v>
      </c>
      <c r="AC1904" s="2" t="s">
        <v>38</v>
      </c>
      <c r="AD1904" s="2" t="s">
        <v>38</v>
      </c>
      <c r="AE1904" s="2" t="s">
        <v>40</v>
      </c>
    </row>
    <row r="1905" spans="1:31" ht="409.5">
      <c r="A1905" s="2">
        <v>2728641</v>
      </c>
      <c r="B1905" s="2">
        <f>HYPERLINK("https://platform.v2.vetology.net/cases/2728641/screening-report/1?type=pdf&amp;v=v6&amp;scorecard=1&amp;secret_key=BX%25IJ%24%2F65ieZ%29f6", 2728641)</f>
        <v>2728641</v>
      </c>
      <c r="C1905" s="2">
        <f>HYPERLINK("https://platform.v2.vetology.net/report/v/final/"&amp;2728641, 2728641)</f>
        <v>2728641</v>
      </c>
      <c r="D1905" s="2" t="s">
        <v>6159</v>
      </c>
      <c r="E1905" s="2" t="s">
        <v>6160</v>
      </c>
      <c r="F1905" s="2" t="s">
        <v>6161</v>
      </c>
      <c r="G1905" s="2" t="s">
        <v>44</v>
      </c>
      <c r="H1905" s="2" t="s">
        <v>6162</v>
      </c>
      <c r="I1905" s="2" t="s">
        <v>73</v>
      </c>
      <c r="J1905" s="2" t="s">
        <v>74</v>
      </c>
      <c r="K1905" s="2" t="s">
        <v>38</v>
      </c>
      <c r="L1905" s="2" t="s">
        <v>38</v>
      </c>
      <c r="M1905" s="2" t="s">
        <v>38</v>
      </c>
      <c r="N1905" s="2" t="s">
        <v>38</v>
      </c>
      <c r="O1905" s="2" t="s">
        <v>38</v>
      </c>
      <c r="P1905" s="2" t="s">
        <v>38</v>
      </c>
      <c r="Q1905" s="2" t="s">
        <v>38</v>
      </c>
      <c r="R1905" s="2" t="s">
        <v>38</v>
      </c>
      <c r="S1905" s="2" t="s">
        <v>38</v>
      </c>
      <c r="T1905" s="2" t="s">
        <v>38</v>
      </c>
      <c r="U1905" s="2" t="s">
        <v>38</v>
      </c>
      <c r="V1905" s="2" t="s">
        <v>38</v>
      </c>
      <c r="W1905" s="2" t="s">
        <v>38</v>
      </c>
      <c r="X1905" s="2" t="s">
        <v>38</v>
      </c>
      <c r="Y1905" s="2" t="s">
        <v>38</v>
      </c>
      <c r="Z1905" s="2" t="s">
        <v>38</v>
      </c>
      <c r="AA1905" s="2" t="s">
        <v>38</v>
      </c>
      <c r="AB1905" s="2" t="s">
        <v>38</v>
      </c>
      <c r="AC1905" s="2" t="s">
        <v>38</v>
      </c>
      <c r="AD1905" s="2" t="s">
        <v>38</v>
      </c>
      <c r="AE1905" s="2" t="s">
        <v>40</v>
      </c>
    </row>
    <row r="1906" spans="1:31" ht="409.5">
      <c r="A1906" s="2">
        <v>2728624</v>
      </c>
      <c r="B1906" s="2">
        <f>HYPERLINK("https://platform.v2.vetology.net/cases/2728624/screening-report/1?type=pdf&amp;v=v6&amp;scorecard=1&amp;secret_key=BX%25IJ%24%2F65ieZ%29f6", 2728624)</f>
        <v>2728624</v>
      </c>
      <c r="C1906" s="2">
        <f>HYPERLINK("https://platform.v2.vetology.net/report/v/final/"&amp;2728624, 2728624)</f>
        <v>2728624</v>
      </c>
      <c r="D1906" s="2" t="s">
        <v>6163</v>
      </c>
      <c r="E1906" s="2" t="s">
        <v>6164</v>
      </c>
      <c r="F1906" s="2" t="s">
        <v>6165</v>
      </c>
      <c r="G1906" s="2" t="s">
        <v>127</v>
      </c>
      <c r="H1906" s="2" t="s">
        <v>6166</v>
      </c>
      <c r="I1906" s="2" t="s">
        <v>129</v>
      </c>
      <c r="J1906" s="2" t="s">
        <v>74</v>
      </c>
      <c r="K1906" s="2" t="s">
        <v>39</v>
      </c>
      <c r="L1906" s="2" t="s">
        <v>39</v>
      </c>
      <c r="M1906" s="2" t="s">
        <v>38</v>
      </c>
      <c r="N1906" s="2" t="s">
        <v>39</v>
      </c>
      <c r="O1906" s="2" t="s">
        <v>38</v>
      </c>
      <c r="P1906" s="2" t="s">
        <v>39</v>
      </c>
      <c r="Q1906" s="2" t="s">
        <v>38</v>
      </c>
      <c r="R1906" s="2" t="s">
        <v>39</v>
      </c>
      <c r="S1906" s="2" t="s">
        <v>39</v>
      </c>
      <c r="T1906" s="2" t="s">
        <v>38</v>
      </c>
      <c r="U1906" s="2" t="s">
        <v>39</v>
      </c>
      <c r="V1906" s="2" t="s">
        <v>38</v>
      </c>
      <c r="W1906" s="2" t="s">
        <v>38</v>
      </c>
      <c r="X1906" s="2" t="s">
        <v>38</v>
      </c>
      <c r="Y1906" s="2" t="s">
        <v>39</v>
      </c>
      <c r="Z1906" s="2" t="s">
        <v>39</v>
      </c>
      <c r="AA1906" s="2" t="s">
        <v>39</v>
      </c>
      <c r="AB1906" s="2" t="s">
        <v>38</v>
      </c>
      <c r="AC1906" s="2" t="s">
        <v>38</v>
      </c>
      <c r="AD1906" s="2" t="s">
        <v>39</v>
      </c>
      <c r="AE1906" s="2" t="s">
        <v>39</v>
      </c>
    </row>
    <row r="1907" spans="1:31" ht="409.5">
      <c r="A1907" s="2">
        <v>2728619</v>
      </c>
      <c r="B1907" s="2">
        <f>HYPERLINK("https://platform.v2.vetology.net/cases/2728619/screening-report/1?type=pdf&amp;v=v6&amp;scorecard=1&amp;secret_key=BX%25IJ%24%2F65ieZ%29f6", 2728619)</f>
        <v>2728619</v>
      </c>
      <c r="C1907" s="2">
        <f>HYPERLINK("https://platform.v2.vetology.net/report/v/final/"&amp;2728619, 2728619)</f>
        <v>2728619</v>
      </c>
      <c r="D1907" s="2" t="s">
        <v>6167</v>
      </c>
      <c r="E1907" s="2" t="s">
        <v>6168</v>
      </c>
      <c r="F1907" s="2" t="s">
        <v>422</v>
      </c>
      <c r="G1907" s="2" t="s">
        <v>34</v>
      </c>
      <c r="H1907" s="2" t="s">
        <v>6169</v>
      </c>
      <c r="I1907" s="2" t="s">
        <v>73</v>
      </c>
      <c r="J1907" s="2" t="s">
        <v>74</v>
      </c>
      <c r="K1907" s="2" t="s">
        <v>38</v>
      </c>
      <c r="L1907" s="2" t="s">
        <v>38</v>
      </c>
      <c r="M1907" s="2" t="s">
        <v>38</v>
      </c>
      <c r="N1907" s="2" t="s">
        <v>38</v>
      </c>
      <c r="O1907" s="2" t="s">
        <v>38</v>
      </c>
      <c r="P1907" s="2" t="s">
        <v>38</v>
      </c>
      <c r="Q1907" s="2" t="s">
        <v>38</v>
      </c>
      <c r="R1907" s="2" t="s">
        <v>38</v>
      </c>
      <c r="S1907" s="2" t="s">
        <v>38</v>
      </c>
      <c r="T1907" s="2" t="s">
        <v>38</v>
      </c>
      <c r="U1907" s="2" t="s">
        <v>39</v>
      </c>
      <c r="V1907" s="2" t="s">
        <v>38</v>
      </c>
      <c r="W1907" s="2" t="s">
        <v>38</v>
      </c>
      <c r="X1907" s="2" t="s">
        <v>38</v>
      </c>
      <c r="Y1907" s="2" t="s">
        <v>38</v>
      </c>
      <c r="Z1907" s="2" t="s">
        <v>38</v>
      </c>
      <c r="AA1907" s="2" t="s">
        <v>38</v>
      </c>
      <c r="AB1907" s="2" t="s">
        <v>38</v>
      </c>
      <c r="AC1907" s="2" t="s">
        <v>38</v>
      </c>
      <c r="AD1907" s="2" t="s">
        <v>39</v>
      </c>
      <c r="AE1907" s="2" t="s">
        <v>40</v>
      </c>
    </row>
    <row r="1908" spans="1:31" ht="409.5">
      <c r="A1908" s="2">
        <v>2728616</v>
      </c>
      <c r="B1908" s="2">
        <f>HYPERLINK("https://platform.v2.vetology.net/cases/2728616/screening-report/1?type=pdf&amp;v=v6&amp;scorecard=1&amp;secret_key=BX%25IJ%24%2F65ieZ%29f6", 2728616)</f>
        <v>2728616</v>
      </c>
      <c r="C1908" s="2">
        <f>HYPERLINK("https://platform.v2.vetology.net/report/v/final/"&amp;2728616, 2728616)</f>
        <v>2728616</v>
      </c>
      <c r="D1908" s="2" t="s">
        <v>6170</v>
      </c>
      <c r="E1908" s="2" t="s">
        <v>6171</v>
      </c>
      <c r="F1908" s="2" t="s">
        <v>43</v>
      </c>
      <c r="G1908" s="2" t="s">
        <v>100</v>
      </c>
      <c r="H1908" s="2" t="s">
        <v>69</v>
      </c>
      <c r="I1908" s="2" t="s">
        <v>46</v>
      </c>
      <c r="J1908" s="2"/>
      <c r="K1908" s="2" t="s">
        <v>39</v>
      </c>
      <c r="L1908" s="2" t="s">
        <v>39</v>
      </c>
      <c r="M1908" s="2" t="s">
        <v>39</v>
      </c>
      <c r="N1908" s="2" t="s">
        <v>39</v>
      </c>
      <c r="O1908" s="2" t="s">
        <v>38</v>
      </c>
      <c r="P1908" s="2" t="s">
        <v>39</v>
      </c>
      <c r="Q1908" s="2" t="s">
        <v>39</v>
      </c>
      <c r="R1908" s="2" t="s">
        <v>39</v>
      </c>
      <c r="S1908" s="2" t="s">
        <v>39</v>
      </c>
      <c r="T1908" s="2" t="s">
        <v>39</v>
      </c>
      <c r="U1908" s="2" t="s">
        <v>39</v>
      </c>
      <c r="V1908" s="2" t="s">
        <v>39</v>
      </c>
      <c r="W1908" s="2" t="s">
        <v>39</v>
      </c>
      <c r="X1908" s="2" t="s">
        <v>39</v>
      </c>
      <c r="Y1908" s="2" t="s">
        <v>39</v>
      </c>
      <c r="Z1908" s="2" t="s">
        <v>39</v>
      </c>
      <c r="AA1908" s="2" t="s">
        <v>39</v>
      </c>
      <c r="AB1908" s="2" t="s">
        <v>39</v>
      </c>
      <c r="AC1908" s="2" t="s">
        <v>38</v>
      </c>
      <c r="AD1908" s="2" t="s">
        <v>39</v>
      </c>
      <c r="AE1908" s="2" t="s">
        <v>39</v>
      </c>
    </row>
    <row r="1909" spans="1:31" ht="409.5">
      <c r="A1909" s="2">
        <v>2728596</v>
      </c>
      <c r="B1909" s="2">
        <f>HYPERLINK("https://platform.v2.vetology.net/cases/2728596/screening-report/1?type=pdf&amp;v=v6&amp;scorecard=1&amp;secret_key=BX%25IJ%24%2F65ieZ%29f6", 2728596)</f>
        <v>2728596</v>
      </c>
      <c r="C1909" s="2">
        <f>HYPERLINK("https://platform.v2.vetology.net/report/v/final/"&amp;2728596, 2728596)</f>
        <v>2728596</v>
      </c>
      <c r="D1909" s="2" t="s">
        <v>6172</v>
      </c>
      <c r="E1909" s="2" t="s">
        <v>6173</v>
      </c>
      <c r="F1909" s="2" t="s">
        <v>6174</v>
      </c>
      <c r="G1909" s="2" t="s">
        <v>556</v>
      </c>
      <c r="H1909" s="2" t="s">
        <v>2156</v>
      </c>
      <c r="I1909" s="2" t="s">
        <v>73</v>
      </c>
      <c r="J1909" s="2" t="s">
        <v>74</v>
      </c>
      <c r="K1909" s="2" t="s">
        <v>38</v>
      </c>
      <c r="L1909" s="2" t="s">
        <v>38</v>
      </c>
      <c r="M1909" s="2" t="s">
        <v>38</v>
      </c>
      <c r="N1909" s="2" t="s">
        <v>38</v>
      </c>
      <c r="O1909" s="2" t="s">
        <v>38</v>
      </c>
      <c r="P1909" s="2" t="s">
        <v>38</v>
      </c>
      <c r="Q1909" s="2" t="s">
        <v>38</v>
      </c>
      <c r="R1909" s="2" t="s">
        <v>38</v>
      </c>
      <c r="S1909" s="2" t="s">
        <v>38</v>
      </c>
      <c r="T1909" s="2" t="s">
        <v>38</v>
      </c>
      <c r="U1909" s="2" t="s">
        <v>38</v>
      </c>
      <c r="V1909" s="2" t="s">
        <v>38</v>
      </c>
      <c r="W1909" s="2" t="s">
        <v>39</v>
      </c>
      <c r="X1909" s="2" t="s">
        <v>38</v>
      </c>
      <c r="Y1909" s="2" t="s">
        <v>39</v>
      </c>
      <c r="Z1909" s="2" t="s">
        <v>38</v>
      </c>
      <c r="AA1909" s="2" t="s">
        <v>38</v>
      </c>
      <c r="AB1909" s="2" t="s">
        <v>38</v>
      </c>
      <c r="AC1909" s="2" t="s">
        <v>38</v>
      </c>
      <c r="AD1909" s="2" t="s">
        <v>38</v>
      </c>
      <c r="AE1909" s="2" t="s">
        <v>40</v>
      </c>
    </row>
    <row r="1910" spans="1:31" ht="409.5">
      <c r="A1910" s="2">
        <v>2728590</v>
      </c>
      <c r="B1910" s="2">
        <f>HYPERLINK("https://platform.v2.vetology.net/cases/2728590/screening-report/1?type=pdf&amp;v=v6&amp;scorecard=1&amp;secret_key=BX%25IJ%24%2F65ieZ%29f6", 2728590)</f>
        <v>2728590</v>
      </c>
      <c r="C1910" s="2">
        <f>HYPERLINK("https://platform.v2.vetology.net/report/v/final/"&amp;2728590, 2728590)</f>
        <v>2728590</v>
      </c>
      <c r="D1910" s="2" t="s">
        <v>6175</v>
      </c>
      <c r="E1910" s="2" t="s">
        <v>6176</v>
      </c>
      <c r="F1910" s="2" t="s">
        <v>6177</v>
      </c>
      <c r="G1910" s="2" t="s">
        <v>34</v>
      </c>
      <c r="H1910" s="2" t="s">
        <v>6178</v>
      </c>
      <c r="I1910" s="2" t="s">
        <v>73</v>
      </c>
      <c r="J1910" s="2" t="s">
        <v>74</v>
      </c>
      <c r="K1910" s="2" t="s">
        <v>38</v>
      </c>
      <c r="L1910" s="2" t="s">
        <v>38</v>
      </c>
      <c r="M1910" s="2" t="s">
        <v>38</v>
      </c>
      <c r="N1910" s="2" t="s">
        <v>38</v>
      </c>
      <c r="O1910" s="2" t="s">
        <v>38</v>
      </c>
      <c r="P1910" s="2" t="s">
        <v>38</v>
      </c>
      <c r="Q1910" s="2" t="s">
        <v>38</v>
      </c>
      <c r="R1910" s="2" t="s">
        <v>38</v>
      </c>
      <c r="S1910" s="2" t="s">
        <v>38</v>
      </c>
      <c r="T1910" s="2" t="s">
        <v>38</v>
      </c>
      <c r="U1910" s="2" t="s">
        <v>38</v>
      </c>
      <c r="V1910" s="2" t="s">
        <v>38</v>
      </c>
      <c r="W1910" s="2" t="s">
        <v>39</v>
      </c>
      <c r="X1910" s="2" t="s">
        <v>38</v>
      </c>
      <c r="Y1910" s="2" t="s">
        <v>39</v>
      </c>
      <c r="Z1910" s="2" t="s">
        <v>39</v>
      </c>
      <c r="AA1910" s="2" t="s">
        <v>38</v>
      </c>
      <c r="AB1910" s="2" t="s">
        <v>38</v>
      </c>
      <c r="AC1910" s="2" t="s">
        <v>38</v>
      </c>
      <c r="AD1910" s="2" t="s">
        <v>38</v>
      </c>
      <c r="AE1910" s="2" t="s">
        <v>39</v>
      </c>
    </row>
    <row r="1911" spans="1:31" ht="409.5">
      <c r="A1911" s="2">
        <v>2728583</v>
      </c>
      <c r="B1911" s="2">
        <f>HYPERLINK("https://platform.v2.vetology.net/cases/2728583/screening-report/1?type=pdf&amp;v=v6&amp;scorecard=1&amp;secret_key=BX%25IJ%24%2F65ieZ%29f6", 2728583)</f>
        <v>2728583</v>
      </c>
      <c r="C1911" s="2">
        <f>HYPERLINK("https://platform.v2.vetology.net/report/v/final/"&amp;2728583, 2728583)</f>
        <v>2728583</v>
      </c>
      <c r="D1911" s="2" t="s">
        <v>6179</v>
      </c>
      <c r="E1911" s="2" t="s">
        <v>6180</v>
      </c>
      <c r="F1911" s="2" t="s">
        <v>43</v>
      </c>
      <c r="G1911" s="2" t="s">
        <v>100</v>
      </c>
      <c r="H1911" s="2" t="s">
        <v>6181</v>
      </c>
      <c r="I1911" s="2" t="s">
        <v>36</v>
      </c>
      <c r="J1911" s="2" t="s">
        <v>37</v>
      </c>
      <c r="K1911" s="2" t="s">
        <v>38</v>
      </c>
      <c r="L1911" s="2" t="s">
        <v>38</v>
      </c>
      <c r="M1911" s="2" t="s">
        <v>38</v>
      </c>
      <c r="N1911" s="2" t="s">
        <v>38</v>
      </c>
      <c r="O1911" s="2" t="s">
        <v>38</v>
      </c>
      <c r="P1911" s="2" t="s">
        <v>39</v>
      </c>
      <c r="Q1911" s="2" t="s">
        <v>39</v>
      </c>
      <c r="R1911" s="2" t="s">
        <v>38</v>
      </c>
      <c r="S1911" s="2" t="s">
        <v>38</v>
      </c>
      <c r="T1911" s="2" t="s">
        <v>39</v>
      </c>
      <c r="U1911" s="2" t="s">
        <v>38</v>
      </c>
      <c r="V1911" s="2" t="s">
        <v>38</v>
      </c>
      <c r="W1911" s="2" t="s">
        <v>38</v>
      </c>
      <c r="X1911" s="2" t="s">
        <v>39</v>
      </c>
      <c r="Y1911" s="2" t="s">
        <v>39</v>
      </c>
      <c r="Z1911" s="2" t="s">
        <v>38</v>
      </c>
      <c r="AA1911" s="2" t="s">
        <v>38</v>
      </c>
      <c r="AB1911" s="2" t="s">
        <v>39</v>
      </c>
      <c r="AC1911" s="2" t="s">
        <v>38</v>
      </c>
      <c r="AD1911" s="2" t="s">
        <v>38</v>
      </c>
      <c r="AE1911" s="2" t="s">
        <v>40</v>
      </c>
    </row>
    <row r="1912" spans="1:31" ht="409.5">
      <c r="A1912" s="2">
        <v>2728533</v>
      </c>
      <c r="B1912" s="2">
        <f>HYPERLINK("https://platform.v2.vetology.net/cases/2728533/screening-report/1?type=pdf&amp;v=v6&amp;scorecard=1&amp;secret_key=BX%25IJ%24%2F65ieZ%29f6", 2728533)</f>
        <v>2728533</v>
      </c>
      <c r="C1912" s="2">
        <f>HYPERLINK("https://platform.v2.vetology.net/report/v/final/"&amp;2728533, 2728533)</f>
        <v>2728533</v>
      </c>
      <c r="D1912" s="2" t="s">
        <v>6182</v>
      </c>
      <c r="E1912" s="2" t="s">
        <v>3060</v>
      </c>
      <c r="F1912" s="2" t="s">
        <v>43</v>
      </c>
      <c r="G1912" s="2" t="s">
        <v>100</v>
      </c>
      <c r="H1912" s="2" t="s">
        <v>6183</v>
      </c>
      <c r="I1912" s="2" t="s">
        <v>129</v>
      </c>
      <c r="J1912" s="2" t="s">
        <v>74</v>
      </c>
      <c r="K1912" s="2" t="s">
        <v>39</v>
      </c>
      <c r="L1912" s="2" t="s">
        <v>39</v>
      </c>
      <c r="M1912" s="2" t="s">
        <v>38</v>
      </c>
      <c r="N1912" s="2" t="s">
        <v>38</v>
      </c>
      <c r="O1912" s="2" t="s">
        <v>38</v>
      </c>
      <c r="P1912" s="2" t="s">
        <v>39</v>
      </c>
      <c r="Q1912" s="2" t="s">
        <v>38</v>
      </c>
      <c r="R1912" s="2" t="s">
        <v>39</v>
      </c>
      <c r="S1912" s="2" t="s">
        <v>39</v>
      </c>
      <c r="T1912" s="2" t="s">
        <v>38</v>
      </c>
      <c r="U1912" s="2" t="s">
        <v>39</v>
      </c>
      <c r="V1912" s="2" t="s">
        <v>39</v>
      </c>
      <c r="W1912" s="2" t="s">
        <v>38</v>
      </c>
      <c r="X1912" s="2" t="s">
        <v>39</v>
      </c>
      <c r="Y1912" s="2" t="s">
        <v>39</v>
      </c>
      <c r="Z1912" s="2" t="s">
        <v>38</v>
      </c>
      <c r="AA1912" s="2" t="s">
        <v>39</v>
      </c>
      <c r="AB1912" s="2" t="s">
        <v>39</v>
      </c>
      <c r="AC1912" s="2" t="s">
        <v>38</v>
      </c>
      <c r="AD1912" s="2" t="s">
        <v>39</v>
      </c>
      <c r="AE1912" s="2" t="s">
        <v>39</v>
      </c>
    </row>
    <row r="1913" spans="1:31" ht="409.5">
      <c r="A1913" s="2">
        <v>2728531</v>
      </c>
      <c r="B1913" s="2">
        <f>HYPERLINK("https://platform.v2.vetology.net/cases/2728531/screening-report/1?type=pdf&amp;v=v6&amp;scorecard=1&amp;secret_key=BX%25IJ%24%2F65ieZ%29f6", 2728531)</f>
        <v>2728531</v>
      </c>
      <c r="C1913" s="2">
        <f>HYPERLINK("https://platform.v2.vetology.net/report/v/final/"&amp;2728531, 2728531)</f>
        <v>2728531</v>
      </c>
      <c r="D1913" s="2" t="s">
        <v>6184</v>
      </c>
      <c r="E1913" s="2" t="s">
        <v>6185</v>
      </c>
      <c r="F1913" s="2" t="s">
        <v>6186</v>
      </c>
      <c r="G1913" s="2" t="s">
        <v>127</v>
      </c>
      <c r="H1913" s="2" t="s">
        <v>6187</v>
      </c>
      <c r="I1913" s="2" t="s">
        <v>129</v>
      </c>
      <c r="J1913" s="2" t="s">
        <v>74</v>
      </c>
      <c r="K1913" s="2" t="s">
        <v>38</v>
      </c>
      <c r="L1913" s="2" t="s">
        <v>38</v>
      </c>
      <c r="M1913" s="2" t="s">
        <v>38</v>
      </c>
      <c r="N1913" s="2" t="s">
        <v>38</v>
      </c>
      <c r="O1913" s="2" t="s">
        <v>38</v>
      </c>
      <c r="P1913" s="2" t="s">
        <v>38</v>
      </c>
      <c r="Q1913" s="2" t="s">
        <v>38</v>
      </c>
      <c r="R1913" s="2" t="s">
        <v>39</v>
      </c>
      <c r="S1913" s="2" t="s">
        <v>39</v>
      </c>
      <c r="T1913" s="2" t="s">
        <v>38</v>
      </c>
      <c r="U1913" s="2" t="s">
        <v>38</v>
      </c>
      <c r="V1913" s="2" t="s">
        <v>38</v>
      </c>
      <c r="W1913" s="2" t="s">
        <v>38</v>
      </c>
      <c r="X1913" s="2" t="s">
        <v>38</v>
      </c>
      <c r="Y1913" s="2" t="s">
        <v>39</v>
      </c>
      <c r="Z1913" s="2" t="s">
        <v>38</v>
      </c>
      <c r="AA1913" s="2" t="s">
        <v>38</v>
      </c>
      <c r="AB1913" s="2" t="s">
        <v>38</v>
      </c>
      <c r="AC1913" s="2" t="s">
        <v>38</v>
      </c>
      <c r="AD1913" s="2" t="s">
        <v>39</v>
      </c>
      <c r="AE1913" s="2" t="s">
        <v>40</v>
      </c>
    </row>
    <row r="1914" spans="1:31" ht="409.5">
      <c r="A1914" s="2">
        <v>2728525</v>
      </c>
      <c r="B1914" s="2">
        <f>HYPERLINK("https://platform.v2.vetology.net/cases/2728525/screening-report/1?type=pdf&amp;v=v6&amp;scorecard=1&amp;secret_key=BX%25IJ%24%2F65ieZ%29f6", 2728525)</f>
        <v>2728525</v>
      </c>
      <c r="C1914" s="2">
        <f>HYPERLINK("https://platform.v2.vetology.net/report/v/final/"&amp;2728525, 2728525)</f>
        <v>2728525</v>
      </c>
      <c r="D1914" s="2" t="s">
        <v>302</v>
      </c>
      <c r="E1914" s="2" t="s">
        <v>99</v>
      </c>
      <c r="F1914" s="2"/>
      <c r="G1914" s="2" t="s">
        <v>100</v>
      </c>
      <c r="H1914" s="2" t="s">
        <v>45</v>
      </c>
      <c r="I1914" s="2" t="s">
        <v>46</v>
      </c>
      <c r="J1914" s="2"/>
      <c r="K1914" s="2" t="s">
        <v>39</v>
      </c>
      <c r="L1914" s="2" t="s">
        <v>39</v>
      </c>
      <c r="M1914" s="2" t="s">
        <v>39</v>
      </c>
      <c r="N1914" s="2" t="s">
        <v>39</v>
      </c>
      <c r="O1914" s="2" t="s">
        <v>39</v>
      </c>
      <c r="P1914" s="2" t="s">
        <v>39</v>
      </c>
      <c r="Q1914" s="2" t="s">
        <v>39</v>
      </c>
      <c r="R1914" s="2" t="s">
        <v>38</v>
      </c>
      <c r="S1914" s="2" t="s">
        <v>39</v>
      </c>
      <c r="T1914" s="2" t="s">
        <v>39</v>
      </c>
      <c r="U1914" s="2" t="s">
        <v>39</v>
      </c>
      <c r="V1914" s="2" t="s">
        <v>39</v>
      </c>
      <c r="W1914" s="2" t="s">
        <v>38</v>
      </c>
      <c r="X1914" s="2" t="s">
        <v>39</v>
      </c>
      <c r="Y1914" s="2" t="s">
        <v>39</v>
      </c>
      <c r="Z1914" s="2" t="s">
        <v>39</v>
      </c>
      <c r="AA1914" s="2" t="s">
        <v>39</v>
      </c>
      <c r="AB1914" s="2" t="s">
        <v>39</v>
      </c>
      <c r="AC1914" s="2" t="s">
        <v>38</v>
      </c>
      <c r="AD1914" s="2" t="s">
        <v>38</v>
      </c>
      <c r="AE1914" s="2" t="s">
        <v>39</v>
      </c>
    </row>
    <row r="1915" spans="1:31" ht="409.5">
      <c r="A1915" s="2">
        <v>2728517</v>
      </c>
      <c r="B1915" s="2">
        <f>HYPERLINK("https://platform.v2.vetology.net/cases/2728517/screening-report/1?type=pdf&amp;v=v6&amp;scorecard=1&amp;secret_key=BX%25IJ%24%2F65ieZ%29f6", 2728517)</f>
        <v>2728517</v>
      </c>
      <c r="C1915" s="2">
        <f>HYPERLINK("https://platform.v2.vetology.net/report/v/final/"&amp;2728517, 2728517)</f>
        <v>2728517</v>
      </c>
      <c r="D1915" s="2" t="s">
        <v>6188</v>
      </c>
      <c r="E1915" s="2" t="s">
        <v>6189</v>
      </c>
      <c r="F1915" s="2" t="s">
        <v>6190</v>
      </c>
      <c r="G1915" s="2" t="s">
        <v>170</v>
      </c>
      <c r="H1915" s="2" t="s">
        <v>1071</v>
      </c>
      <c r="I1915" s="2" t="s">
        <v>36</v>
      </c>
      <c r="J1915" s="2" t="s">
        <v>37</v>
      </c>
      <c r="K1915" s="2" t="s">
        <v>38</v>
      </c>
      <c r="L1915" s="2" t="s">
        <v>38</v>
      </c>
      <c r="M1915" s="2" t="s">
        <v>38</v>
      </c>
      <c r="N1915" s="2" t="s">
        <v>38</v>
      </c>
      <c r="O1915" s="2" t="s">
        <v>38</v>
      </c>
      <c r="P1915" s="2" t="s">
        <v>39</v>
      </c>
      <c r="Q1915" s="2" t="s">
        <v>39</v>
      </c>
      <c r="R1915" s="2" t="s">
        <v>38</v>
      </c>
      <c r="S1915" s="2" t="s">
        <v>38</v>
      </c>
      <c r="T1915" s="2" t="s">
        <v>38</v>
      </c>
      <c r="U1915" s="2" t="s">
        <v>38</v>
      </c>
      <c r="V1915" s="2" t="s">
        <v>38</v>
      </c>
      <c r="W1915" s="2" t="s">
        <v>38</v>
      </c>
      <c r="X1915" s="2" t="s">
        <v>39</v>
      </c>
      <c r="Y1915" s="2" t="s">
        <v>39</v>
      </c>
      <c r="Z1915" s="2" t="s">
        <v>38</v>
      </c>
      <c r="AA1915" s="2" t="s">
        <v>38</v>
      </c>
      <c r="AB1915" s="2" t="s">
        <v>39</v>
      </c>
      <c r="AC1915" s="2" t="s">
        <v>38</v>
      </c>
      <c r="AD1915" s="2" t="s">
        <v>38</v>
      </c>
      <c r="AE1915" s="2" t="s">
        <v>39</v>
      </c>
    </row>
    <row r="1916" spans="1:31" ht="409.5">
      <c r="A1916" s="2">
        <v>2728467</v>
      </c>
      <c r="B1916" s="2">
        <f>HYPERLINK("https://platform.v2.vetology.net/cases/2728467/screening-report/1?type=pdf&amp;v=v6&amp;scorecard=1&amp;secret_key=BX%25IJ%24%2F65ieZ%29f6", 2728467)</f>
        <v>2728467</v>
      </c>
      <c r="C1916" s="2">
        <f>HYPERLINK("https://platform.v2.vetology.net/report/v/final/"&amp;2728467, 2728467)</f>
        <v>2728467</v>
      </c>
      <c r="D1916" s="2" t="s">
        <v>6191</v>
      </c>
      <c r="E1916" s="2" t="s">
        <v>6192</v>
      </c>
      <c r="F1916" s="2" t="s">
        <v>6193</v>
      </c>
      <c r="G1916" s="2" t="s">
        <v>127</v>
      </c>
      <c r="H1916" s="2" t="s">
        <v>493</v>
      </c>
      <c r="I1916" s="2" t="s">
        <v>36</v>
      </c>
      <c r="J1916" s="2" t="s">
        <v>37</v>
      </c>
      <c r="K1916" s="2" t="s">
        <v>38</v>
      </c>
      <c r="L1916" s="2" t="s">
        <v>39</v>
      </c>
      <c r="M1916" s="2" t="s">
        <v>38</v>
      </c>
      <c r="N1916" s="2" t="s">
        <v>39</v>
      </c>
      <c r="O1916" s="2" t="s">
        <v>39</v>
      </c>
      <c r="P1916" s="2" t="s">
        <v>39</v>
      </c>
      <c r="Q1916" s="2" t="s">
        <v>39</v>
      </c>
      <c r="R1916" s="2" t="s">
        <v>39</v>
      </c>
      <c r="S1916" s="2" t="s">
        <v>39</v>
      </c>
      <c r="T1916" s="2" t="s">
        <v>38</v>
      </c>
      <c r="U1916" s="2" t="s">
        <v>38</v>
      </c>
      <c r="V1916" s="2" t="s">
        <v>38</v>
      </c>
      <c r="W1916" s="2" t="s">
        <v>38</v>
      </c>
      <c r="X1916" s="2" t="s">
        <v>39</v>
      </c>
      <c r="Y1916" s="2" t="s">
        <v>39</v>
      </c>
      <c r="Z1916" s="2" t="s">
        <v>38</v>
      </c>
      <c r="AA1916" s="2" t="s">
        <v>38</v>
      </c>
      <c r="AB1916" s="2" t="s">
        <v>39</v>
      </c>
      <c r="AC1916" s="2" t="s">
        <v>38</v>
      </c>
      <c r="AD1916" s="2" t="s">
        <v>39</v>
      </c>
      <c r="AE1916" s="2" t="s">
        <v>40</v>
      </c>
    </row>
    <row r="1917" spans="1:31" ht="409.5">
      <c r="A1917" s="2">
        <v>2728458</v>
      </c>
      <c r="B1917" s="2">
        <f>HYPERLINK("https://platform.v2.vetology.net/cases/2728458/screening-report/1?type=pdf&amp;v=v6&amp;scorecard=1&amp;secret_key=BX%25IJ%24%2F65ieZ%29f6", 2728458)</f>
        <v>2728458</v>
      </c>
      <c r="C1917" s="2">
        <f>HYPERLINK("https://platform.v2.vetology.net/report/v/final/"&amp;2728458, 2728458)</f>
        <v>2728458</v>
      </c>
      <c r="D1917" s="2" t="s">
        <v>6194</v>
      </c>
      <c r="E1917" s="2" t="s">
        <v>6195</v>
      </c>
      <c r="F1917" s="2" t="s">
        <v>43</v>
      </c>
      <c r="G1917" s="2" t="s">
        <v>100</v>
      </c>
      <c r="H1917" s="2" t="s">
        <v>6196</v>
      </c>
      <c r="I1917" s="2" t="s">
        <v>73</v>
      </c>
      <c r="J1917" s="2" t="s">
        <v>74</v>
      </c>
      <c r="K1917" s="2" t="s">
        <v>38</v>
      </c>
      <c r="L1917" s="2" t="s">
        <v>38</v>
      </c>
      <c r="M1917" s="2" t="s">
        <v>38</v>
      </c>
      <c r="N1917" s="2" t="s">
        <v>38</v>
      </c>
      <c r="O1917" s="2" t="s">
        <v>38</v>
      </c>
      <c r="P1917" s="2" t="s">
        <v>38</v>
      </c>
      <c r="Q1917" s="2" t="s">
        <v>38</v>
      </c>
      <c r="R1917" s="2" t="s">
        <v>38</v>
      </c>
      <c r="S1917" s="2" t="s">
        <v>38</v>
      </c>
      <c r="T1917" s="2" t="s">
        <v>38</v>
      </c>
      <c r="U1917" s="2" t="s">
        <v>38</v>
      </c>
      <c r="V1917" s="2" t="s">
        <v>38</v>
      </c>
      <c r="W1917" s="2" t="s">
        <v>38</v>
      </c>
      <c r="X1917" s="2" t="s">
        <v>38</v>
      </c>
      <c r="Y1917" s="2" t="s">
        <v>38</v>
      </c>
      <c r="Z1917" s="2" t="s">
        <v>38</v>
      </c>
      <c r="AA1917" s="2" t="s">
        <v>38</v>
      </c>
      <c r="AB1917" s="2" t="s">
        <v>38</v>
      </c>
      <c r="AC1917" s="2" t="s">
        <v>38</v>
      </c>
      <c r="AD1917" s="2" t="s">
        <v>38</v>
      </c>
      <c r="AE1917" s="2" t="s">
        <v>40</v>
      </c>
    </row>
    <row r="1918" spans="1:31" ht="409.5">
      <c r="A1918" s="2">
        <v>2728450</v>
      </c>
      <c r="B1918" s="2">
        <f>HYPERLINK("https://platform.v2.vetology.net/cases/2728450/screening-report/1?type=pdf&amp;v=v6&amp;scorecard=1&amp;secret_key=BX%25IJ%24%2F65ieZ%29f6", 2728450)</f>
        <v>2728450</v>
      </c>
      <c r="C1918" s="2">
        <f>HYPERLINK("https://platform.v2.vetology.net/report/v/final/"&amp;2728450, 2728450)</f>
        <v>2728450</v>
      </c>
      <c r="D1918" s="2" t="s">
        <v>302</v>
      </c>
      <c r="E1918" s="2" t="s">
        <v>99</v>
      </c>
      <c r="F1918" s="2"/>
      <c r="G1918" s="2" t="s">
        <v>100</v>
      </c>
      <c r="H1918" s="2" t="s">
        <v>394</v>
      </c>
      <c r="I1918" s="2" t="s">
        <v>59</v>
      </c>
      <c r="J1918" s="2" t="s">
        <v>37</v>
      </c>
      <c r="K1918" s="2" t="s">
        <v>38</v>
      </c>
      <c r="L1918" s="2" t="s">
        <v>39</v>
      </c>
      <c r="M1918" s="2" t="s">
        <v>39</v>
      </c>
      <c r="N1918" s="2" t="s">
        <v>39</v>
      </c>
      <c r="O1918" s="2" t="s">
        <v>39</v>
      </c>
      <c r="P1918" s="2" t="s">
        <v>39</v>
      </c>
      <c r="Q1918" s="2" t="s">
        <v>39</v>
      </c>
      <c r="R1918" s="2" t="s">
        <v>39</v>
      </c>
      <c r="S1918" s="2" t="s">
        <v>39</v>
      </c>
      <c r="T1918" s="2" t="s">
        <v>39</v>
      </c>
      <c r="U1918" s="2" t="s">
        <v>38</v>
      </c>
      <c r="V1918" s="2" t="s">
        <v>38</v>
      </c>
      <c r="W1918" s="2" t="s">
        <v>39</v>
      </c>
      <c r="X1918" s="2" t="s">
        <v>39</v>
      </c>
      <c r="Y1918" s="2" t="s">
        <v>39</v>
      </c>
      <c r="Z1918" s="2" t="s">
        <v>39</v>
      </c>
      <c r="AA1918" s="2" t="s">
        <v>39</v>
      </c>
      <c r="AB1918" s="2" t="s">
        <v>39</v>
      </c>
      <c r="AC1918" s="2" t="s">
        <v>39</v>
      </c>
      <c r="AD1918" s="2" t="s">
        <v>39</v>
      </c>
      <c r="AE1918" s="2" t="s">
        <v>40</v>
      </c>
    </row>
    <row r="1919" spans="1:31" ht="409.5">
      <c r="A1919" s="2">
        <v>2728410</v>
      </c>
      <c r="B1919" s="2">
        <f>HYPERLINK("https://platform.v2.vetology.net/cases/2728410/screening-report/1?type=pdf&amp;v=v6&amp;scorecard=1&amp;secret_key=BX%25IJ%24%2F65ieZ%29f6", 2728410)</f>
        <v>2728410</v>
      </c>
      <c r="C1919" s="2">
        <f>HYPERLINK("https://platform.v2.vetology.net/report/v/final/"&amp;2728410, 2728410)</f>
        <v>2728410</v>
      </c>
      <c r="D1919" s="2" t="s">
        <v>6197</v>
      </c>
      <c r="E1919" s="2" t="s">
        <v>6198</v>
      </c>
      <c r="F1919" s="2" t="s">
        <v>6199</v>
      </c>
      <c r="G1919" s="2" t="s">
        <v>34</v>
      </c>
      <c r="H1919" s="2" t="s">
        <v>6200</v>
      </c>
      <c r="I1919" s="2" t="s">
        <v>36</v>
      </c>
      <c r="J1919" s="2" t="s">
        <v>37</v>
      </c>
      <c r="K1919" s="2" t="s">
        <v>38</v>
      </c>
      <c r="L1919" s="2" t="s">
        <v>38</v>
      </c>
      <c r="M1919" s="2" t="s">
        <v>38</v>
      </c>
      <c r="N1919" s="2" t="s">
        <v>38</v>
      </c>
      <c r="O1919" s="2" t="s">
        <v>38</v>
      </c>
      <c r="P1919" s="2" t="s">
        <v>39</v>
      </c>
      <c r="Q1919" s="2" t="s">
        <v>39</v>
      </c>
      <c r="R1919" s="2" t="s">
        <v>38</v>
      </c>
      <c r="S1919" s="2" t="s">
        <v>38</v>
      </c>
      <c r="T1919" s="2" t="s">
        <v>39</v>
      </c>
      <c r="U1919" s="2" t="s">
        <v>39</v>
      </c>
      <c r="V1919" s="2" t="s">
        <v>39</v>
      </c>
      <c r="W1919" s="2" t="s">
        <v>39</v>
      </c>
      <c r="X1919" s="2" t="s">
        <v>38</v>
      </c>
      <c r="Y1919" s="2" t="s">
        <v>39</v>
      </c>
      <c r="Z1919" s="2" t="s">
        <v>38</v>
      </c>
      <c r="AA1919" s="2" t="s">
        <v>38</v>
      </c>
      <c r="AB1919" s="2" t="s">
        <v>39</v>
      </c>
      <c r="AC1919" s="2" t="s">
        <v>38</v>
      </c>
      <c r="AD1919" s="2" t="s">
        <v>38</v>
      </c>
      <c r="AE1919" s="2" t="s">
        <v>39</v>
      </c>
    </row>
    <row r="1920" spans="1:31" ht="409.5">
      <c r="A1920" s="2">
        <v>2728374</v>
      </c>
      <c r="B1920" s="2">
        <f>HYPERLINK("https://platform.v2.vetology.net/cases/2728374/screening-report/1?type=pdf&amp;v=v6&amp;scorecard=1&amp;secret_key=BX%25IJ%24%2F65ieZ%29f6", 2728374)</f>
        <v>2728374</v>
      </c>
      <c r="C1920" s="2">
        <f>HYPERLINK("https://platform.v2.vetology.net/report/v/final/"&amp;2728374, 2728374)</f>
        <v>2728374</v>
      </c>
      <c r="D1920" s="2" t="s">
        <v>6201</v>
      </c>
      <c r="E1920" s="2" t="s">
        <v>6202</v>
      </c>
      <c r="F1920" s="2" t="s">
        <v>6203</v>
      </c>
      <c r="G1920" s="2" t="s">
        <v>145</v>
      </c>
      <c r="H1920" s="2" t="s">
        <v>419</v>
      </c>
      <c r="I1920" s="2" t="s">
        <v>36</v>
      </c>
      <c r="J1920" s="2" t="s">
        <v>37</v>
      </c>
      <c r="K1920" s="2" t="s">
        <v>39</v>
      </c>
      <c r="L1920" s="2" t="s">
        <v>39</v>
      </c>
      <c r="M1920" s="2" t="s">
        <v>38</v>
      </c>
      <c r="N1920" s="2" t="s">
        <v>39</v>
      </c>
      <c r="O1920" s="2" t="s">
        <v>38</v>
      </c>
      <c r="P1920" s="2" t="s">
        <v>39</v>
      </c>
      <c r="Q1920" s="2" t="s">
        <v>39</v>
      </c>
      <c r="R1920" s="2" t="s">
        <v>38</v>
      </c>
      <c r="S1920" s="2" t="s">
        <v>39</v>
      </c>
      <c r="T1920" s="2" t="s">
        <v>39</v>
      </c>
      <c r="U1920" s="2" t="s">
        <v>39</v>
      </c>
      <c r="V1920" s="2" t="s">
        <v>38</v>
      </c>
      <c r="W1920" s="2" t="s">
        <v>39</v>
      </c>
      <c r="X1920" s="2" t="s">
        <v>39</v>
      </c>
      <c r="Y1920" s="2" t="s">
        <v>39</v>
      </c>
      <c r="Z1920" s="2" t="s">
        <v>39</v>
      </c>
      <c r="AA1920" s="2" t="s">
        <v>39</v>
      </c>
      <c r="AB1920" s="2" t="s">
        <v>39</v>
      </c>
      <c r="AC1920" s="2" t="s">
        <v>38</v>
      </c>
      <c r="AD1920" s="2" t="s">
        <v>39</v>
      </c>
      <c r="AE1920" s="2" t="s">
        <v>39</v>
      </c>
    </row>
    <row r="1921" spans="1:31" ht="409.5">
      <c r="A1921" s="2">
        <v>2728367</v>
      </c>
      <c r="B1921" s="2">
        <f>HYPERLINK("https://platform.v2.vetology.net/cases/2728367/screening-report/1?type=pdf&amp;v=v6&amp;scorecard=1&amp;secret_key=BX%25IJ%24%2F65ieZ%29f6", 2728367)</f>
        <v>2728367</v>
      </c>
      <c r="C1921" s="2">
        <f>HYPERLINK("https://platform.v2.vetology.net/report/v/final/"&amp;2728367, 2728367)</f>
        <v>2728367</v>
      </c>
      <c r="D1921" s="2" t="s">
        <v>6204</v>
      </c>
      <c r="E1921" s="2" t="s">
        <v>6205</v>
      </c>
      <c r="F1921" s="2" t="s">
        <v>6206</v>
      </c>
      <c r="G1921" s="2" t="s">
        <v>415</v>
      </c>
      <c r="H1921" s="2" t="s">
        <v>6207</v>
      </c>
      <c r="I1921" s="2" t="s">
        <v>36</v>
      </c>
      <c r="J1921" s="2" t="s">
        <v>37</v>
      </c>
      <c r="K1921" s="2" t="s">
        <v>38</v>
      </c>
      <c r="L1921" s="2" t="s">
        <v>38</v>
      </c>
      <c r="M1921" s="2" t="s">
        <v>38</v>
      </c>
      <c r="N1921" s="2" t="s">
        <v>38</v>
      </c>
      <c r="O1921" s="2" t="s">
        <v>38</v>
      </c>
      <c r="P1921" s="2" t="s">
        <v>39</v>
      </c>
      <c r="Q1921" s="2" t="s">
        <v>39</v>
      </c>
      <c r="R1921" s="2" t="s">
        <v>38</v>
      </c>
      <c r="S1921" s="2" t="s">
        <v>39</v>
      </c>
      <c r="T1921" s="2" t="s">
        <v>39</v>
      </c>
      <c r="U1921" s="2" t="s">
        <v>38</v>
      </c>
      <c r="V1921" s="2" t="s">
        <v>38</v>
      </c>
      <c r="W1921" s="2" t="s">
        <v>38</v>
      </c>
      <c r="X1921" s="2" t="s">
        <v>39</v>
      </c>
      <c r="Y1921" s="2" t="s">
        <v>39</v>
      </c>
      <c r="Z1921" s="2" t="s">
        <v>38</v>
      </c>
      <c r="AA1921" s="2" t="s">
        <v>38</v>
      </c>
      <c r="AB1921" s="2" t="s">
        <v>38</v>
      </c>
      <c r="AC1921" s="2" t="s">
        <v>38</v>
      </c>
      <c r="AD1921" s="2" t="s">
        <v>38</v>
      </c>
      <c r="AE1921" s="2" t="s">
        <v>40</v>
      </c>
    </row>
    <row r="1922" spans="1:31" ht="409.5">
      <c r="A1922" s="2">
        <v>2728346</v>
      </c>
      <c r="B1922" s="2">
        <f>HYPERLINK("https://platform.v2.vetology.net/cases/2728346/screening-report/1?type=pdf&amp;v=v6&amp;scorecard=1&amp;secret_key=BX%25IJ%24%2F65ieZ%29f6", 2728346)</f>
        <v>2728346</v>
      </c>
      <c r="C1922" s="2">
        <f>HYPERLINK("https://platform.v2.vetology.net/report/v/final/"&amp;2728346, 2728346)</f>
        <v>2728346</v>
      </c>
      <c r="D1922" s="2" t="s">
        <v>6208</v>
      </c>
      <c r="E1922" s="2" t="s">
        <v>359</v>
      </c>
      <c r="F1922" s="2"/>
      <c r="G1922" s="2" t="s">
        <v>100</v>
      </c>
      <c r="H1922" s="2" t="s">
        <v>69</v>
      </c>
      <c r="I1922" s="2" t="s">
        <v>46</v>
      </c>
      <c r="J1922" s="2"/>
      <c r="K1922" s="2" t="s">
        <v>39</v>
      </c>
      <c r="L1922" s="2" t="s">
        <v>39</v>
      </c>
      <c r="M1922" s="2" t="s">
        <v>39</v>
      </c>
      <c r="N1922" s="2" t="s">
        <v>39</v>
      </c>
      <c r="O1922" s="2" t="s">
        <v>39</v>
      </c>
      <c r="P1922" s="2" t="s">
        <v>39</v>
      </c>
      <c r="Q1922" s="2" t="s">
        <v>39</v>
      </c>
      <c r="R1922" s="2" t="s">
        <v>39</v>
      </c>
      <c r="S1922" s="2" t="s">
        <v>39</v>
      </c>
      <c r="T1922" s="2" t="s">
        <v>39</v>
      </c>
      <c r="U1922" s="2" t="s">
        <v>38</v>
      </c>
      <c r="V1922" s="2" t="s">
        <v>38</v>
      </c>
      <c r="W1922" s="2" t="s">
        <v>39</v>
      </c>
      <c r="X1922" s="2" t="s">
        <v>39</v>
      </c>
      <c r="Y1922" s="2" t="s">
        <v>39</v>
      </c>
      <c r="Z1922" s="2" t="s">
        <v>39</v>
      </c>
      <c r="AA1922" s="2" t="s">
        <v>39</v>
      </c>
      <c r="AB1922" s="2" t="s">
        <v>39</v>
      </c>
      <c r="AC1922" s="2" t="s">
        <v>39</v>
      </c>
      <c r="AD1922" s="2" t="s">
        <v>39</v>
      </c>
      <c r="AE1922" s="2" t="s">
        <v>40</v>
      </c>
    </row>
    <row r="1923" spans="1:31" ht="409.5">
      <c r="A1923" s="2">
        <v>2728345</v>
      </c>
      <c r="B1923" s="2">
        <f>HYPERLINK("https://platform.v2.vetology.net/cases/2728345/screening-report/1?type=pdf&amp;v=v6&amp;scorecard=1&amp;secret_key=BX%25IJ%24%2F65ieZ%29f6", 2728345)</f>
        <v>2728345</v>
      </c>
      <c r="C1923" s="2">
        <f>HYPERLINK("https://platform.v2.vetology.net/report/v/final/"&amp;2728345, 2728345)</f>
        <v>2728345</v>
      </c>
      <c r="D1923" s="2" t="s">
        <v>6209</v>
      </c>
      <c r="E1923" s="2" t="s">
        <v>6210</v>
      </c>
      <c r="F1923" s="2" t="s">
        <v>43</v>
      </c>
      <c r="G1923" s="2" t="s">
        <v>100</v>
      </c>
      <c r="H1923" s="2" t="s">
        <v>6211</v>
      </c>
      <c r="I1923" s="2" t="s">
        <v>73</v>
      </c>
      <c r="J1923" s="2" t="s">
        <v>74</v>
      </c>
      <c r="K1923" s="2" t="s">
        <v>38</v>
      </c>
      <c r="L1923" s="2" t="s">
        <v>38</v>
      </c>
      <c r="M1923" s="2" t="s">
        <v>38</v>
      </c>
      <c r="N1923" s="2" t="s">
        <v>38</v>
      </c>
      <c r="O1923" s="2" t="s">
        <v>38</v>
      </c>
      <c r="P1923" s="2" t="s">
        <v>38</v>
      </c>
      <c r="Q1923" s="2" t="s">
        <v>38</v>
      </c>
      <c r="R1923" s="2" t="s">
        <v>38</v>
      </c>
      <c r="S1923" s="2" t="s">
        <v>38</v>
      </c>
      <c r="T1923" s="2" t="s">
        <v>38</v>
      </c>
      <c r="U1923" s="2" t="s">
        <v>39</v>
      </c>
      <c r="V1923" s="2" t="s">
        <v>38</v>
      </c>
      <c r="W1923" s="2" t="s">
        <v>38</v>
      </c>
      <c r="X1923" s="2" t="s">
        <v>39</v>
      </c>
      <c r="Y1923" s="2" t="s">
        <v>38</v>
      </c>
      <c r="Z1923" s="2" t="s">
        <v>38</v>
      </c>
      <c r="AA1923" s="2" t="s">
        <v>38</v>
      </c>
      <c r="AB1923" s="2" t="s">
        <v>39</v>
      </c>
      <c r="AC1923" s="2" t="s">
        <v>38</v>
      </c>
      <c r="AD1923" s="2" t="s">
        <v>38</v>
      </c>
      <c r="AE1923" s="2" t="s">
        <v>40</v>
      </c>
    </row>
    <row r="1924" spans="1:31" ht="409.5">
      <c r="A1924" s="2">
        <v>2728316</v>
      </c>
      <c r="B1924" s="2">
        <f>HYPERLINK("https://platform.v2.vetology.net/cases/2728316/screening-report/1?type=pdf&amp;v=v6&amp;scorecard=1&amp;secret_key=BX%25IJ%24%2F65ieZ%29f6", 2728316)</f>
        <v>2728316</v>
      </c>
      <c r="C1924" s="2">
        <f>HYPERLINK("https://platform.v2.vetology.net/report/v/final/"&amp;2728316, 2728316)</f>
        <v>2728316</v>
      </c>
      <c r="D1924" s="2" t="s">
        <v>6212</v>
      </c>
      <c r="E1924" s="2" t="s">
        <v>6213</v>
      </c>
      <c r="F1924" s="2" t="s">
        <v>6214</v>
      </c>
      <c r="G1924" s="2" t="s">
        <v>170</v>
      </c>
      <c r="H1924" s="2" t="s">
        <v>394</v>
      </c>
      <c r="I1924" s="2" t="s">
        <v>59</v>
      </c>
      <c r="J1924" s="2" t="s">
        <v>37</v>
      </c>
      <c r="K1924" s="2" t="s">
        <v>38</v>
      </c>
      <c r="L1924" s="2" t="s">
        <v>39</v>
      </c>
      <c r="M1924" s="2" t="s">
        <v>39</v>
      </c>
      <c r="N1924" s="2" t="s">
        <v>39</v>
      </c>
      <c r="O1924" s="2" t="s">
        <v>39</v>
      </c>
      <c r="P1924" s="2" t="s">
        <v>39</v>
      </c>
      <c r="Q1924" s="2" t="s">
        <v>39</v>
      </c>
      <c r="R1924" s="2" t="s">
        <v>39</v>
      </c>
      <c r="S1924" s="2" t="s">
        <v>39</v>
      </c>
      <c r="T1924" s="2" t="s">
        <v>39</v>
      </c>
      <c r="U1924" s="2" t="s">
        <v>39</v>
      </c>
      <c r="V1924" s="2" t="s">
        <v>39</v>
      </c>
      <c r="W1924" s="2" t="s">
        <v>39</v>
      </c>
      <c r="X1924" s="2" t="s">
        <v>39</v>
      </c>
      <c r="Y1924" s="2" t="s">
        <v>39</v>
      </c>
      <c r="Z1924" s="2" t="s">
        <v>39</v>
      </c>
      <c r="AA1924" s="2" t="s">
        <v>39</v>
      </c>
      <c r="AB1924" s="2" t="s">
        <v>39</v>
      </c>
      <c r="AC1924" s="2" t="s">
        <v>38</v>
      </c>
      <c r="AD1924" s="2" t="s">
        <v>39</v>
      </c>
      <c r="AE1924" s="2" t="s">
        <v>39</v>
      </c>
    </row>
    <row r="1925" spans="1:31" ht="409.5">
      <c r="A1925" s="2">
        <v>2728237</v>
      </c>
      <c r="B1925" s="2">
        <f>HYPERLINK("https://platform.v2.vetology.net/cases/2728237/screening-report/1?type=pdf&amp;v=v6&amp;scorecard=1&amp;secret_key=BX%25IJ%24%2F65ieZ%29f6", 2728237)</f>
        <v>2728237</v>
      </c>
      <c r="C1925" s="2">
        <f>HYPERLINK("https://platform.v2.vetology.net/report/v/final/"&amp;2728237, 2728237)</f>
        <v>2728237</v>
      </c>
      <c r="D1925" s="2" t="s">
        <v>6215</v>
      </c>
      <c r="E1925" s="2" t="s">
        <v>6216</v>
      </c>
      <c r="F1925" s="2" t="s">
        <v>43</v>
      </c>
      <c r="G1925" s="2" t="s">
        <v>100</v>
      </c>
      <c r="H1925" s="2" t="s">
        <v>6217</v>
      </c>
      <c r="I1925" s="2" t="s">
        <v>36</v>
      </c>
      <c r="J1925" s="2" t="s">
        <v>37</v>
      </c>
      <c r="K1925" s="2" t="s">
        <v>38</v>
      </c>
      <c r="L1925" s="2" t="s">
        <v>38</v>
      </c>
      <c r="M1925" s="2" t="s">
        <v>38</v>
      </c>
      <c r="N1925" s="2" t="s">
        <v>38</v>
      </c>
      <c r="O1925" s="2" t="s">
        <v>38</v>
      </c>
      <c r="P1925" s="2" t="s">
        <v>38</v>
      </c>
      <c r="Q1925" s="2" t="s">
        <v>39</v>
      </c>
      <c r="R1925" s="2" t="s">
        <v>39</v>
      </c>
      <c r="S1925" s="2" t="s">
        <v>38</v>
      </c>
      <c r="T1925" s="2" t="s">
        <v>38</v>
      </c>
      <c r="U1925" s="2" t="s">
        <v>38</v>
      </c>
      <c r="V1925" s="2" t="s">
        <v>38</v>
      </c>
      <c r="W1925" s="2" t="s">
        <v>38</v>
      </c>
      <c r="X1925" s="2" t="s">
        <v>39</v>
      </c>
      <c r="Y1925" s="2" t="s">
        <v>39</v>
      </c>
      <c r="Z1925" s="2" t="s">
        <v>38</v>
      </c>
      <c r="AA1925" s="2" t="s">
        <v>38</v>
      </c>
      <c r="AB1925" s="2" t="s">
        <v>39</v>
      </c>
      <c r="AC1925" s="2" t="s">
        <v>38</v>
      </c>
      <c r="AD1925" s="2" t="s">
        <v>39</v>
      </c>
      <c r="AE1925" s="2" t="s">
        <v>40</v>
      </c>
    </row>
    <row r="1926" spans="1:31" ht="409.5">
      <c r="A1926" s="2">
        <v>2728223</v>
      </c>
      <c r="B1926" s="2">
        <f>HYPERLINK("https://platform.v2.vetology.net/cases/2728223/screening-report/1?type=pdf&amp;v=v6&amp;scorecard=1&amp;secret_key=BX%25IJ%24%2F65ieZ%29f6", 2728223)</f>
        <v>2728223</v>
      </c>
      <c r="C1926" s="2">
        <f>HYPERLINK("https://platform.v2.vetology.net/report/v/final/"&amp;2728223, 2728223)</f>
        <v>2728223</v>
      </c>
      <c r="D1926" s="2" t="s">
        <v>6218</v>
      </c>
      <c r="E1926" s="2" t="s">
        <v>6219</v>
      </c>
      <c r="F1926" s="2" t="s">
        <v>43</v>
      </c>
      <c r="G1926" s="2" t="s">
        <v>44</v>
      </c>
      <c r="H1926" s="2" t="s">
        <v>6220</v>
      </c>
      <c r="I1926" s="2" t="s">
        <v>36</v>
      </c>
      <c r="J1926" s="2" t="s">
        <v>37</v>
      </c>
      <c r="K1926" s="2" t="s">
        <v>38</v>
      </c>
      <c r="L1926" s="2" t="s">
        <v>38</v>
      </c>
      <c r="M1926" s="2" t="s">
        <v>38</v>
      </c>
      <c r="N1926" s="2" t="s">
        <v>39</v>
      </c>
      <c r="O1926" s="2" t="s">
        <v>38</v>
      </c>
      <c r="P1926" s="2" t="s">
        <v>39</v>
      </c>
      <c r="Q1926" s="2" t="s">
        <v>39</v>
      </c>
      <c r="R1926" s="2" t="s">
        <v>38</v>
      </c>
      <c r="S1926" s="2" t="s">
        <v>38</v>
      </c>
      <c r="T1926" s="2" t="s">
        <v>39</v>
      </c>
      <c r="U1926" s="2" t="s">
        <v>39</v>
      </c>
      <c r="V1926" s="2" t="s">
        <v>38</v>
      </c>
      <c r="W1926" s="2" t="s">
        <v>39</v>
      </c>
      <c r="X1926" s="2" t="s">
        <v>39</v>
      </c>
      <c r="Y1926" s="2" t="s">
        <v>39</v>
      </c>
      <c r="Z1926" s="2" t="s">
        <v>38</v>
      </c>
      <c r="AA1926" s="2" t="s">
        <v>39</v>
      </c>
      <c r="AB1926" s="2" t="s">
        <v>39</v>
      </c>
      <c r="AC1926" s="2" t="s">
        <v>39</v>
      </c>
      <c r="AD1926" s="2" t="s">
        <v>38</v>
      </c>
      <c r="AE1926" s="2" t="s">
        <v>39</v>
      </c>
    </row>
    <row r="1927" spans="1:31" ht="409.5">
      <c r="A1927" s="2">
        <v>2728222</v>
      </c>
      <c r="B1927" s="2">
        <f>HYPERLINK("https://platform.v2.vetology.net/cases/2728222/screening-report/1?type=pdf&amp;v=v6&amp;scorecard=1&amp;secret_key=BX%25IJ%24%2F65ieZ%29f6", 2728222)</f>
        <v>2728222</v>
      </c>
      <c r="C1927" s="2">
        <f>HYPERLINK("https://platform.v2.vetology.net/report/v/final/"&amp;2728222, 2728222)</f>
        <v>2728222</v>
      </c>
      <c r="D1927" s="2" t="s">
        <v>6221</v>
      </c>
      <c r="E1927" s="2" t="s">
        <v>6222</v>
      </c>
      <c r="F1927" s="2" t="s">
        <v>6223</v>
      </c>
      <c r="G1927" s="2" t="s">
        <v>127</v>
      </c>
      <c r="H1927" s="2" t="s">
        <v>277</v>
      </c>
      <c r="I1927" s="2" t="s">
        <v>46</v>
      </c>
      <c r="J1927" s="2"/>
      <c r="K1927" s="2" t="s">
        <v>39</v>
      </c>
      <c r="L1927" s="2" t="s">
        <v>38</v>
      </c>
      <c r="M1927" s="2" t="s">
        <v>39</v>
      </c>
      <c r="N1927" s="2" t="s">
        <v>39</v>
      </c>
      <c r="O1927" s="2" t="s">
        <v>39</v>
      </c>
      <c r="P1927" s="2" t="s">
        <v>39</v>
      </c>
      <c r="Q1927" s="2" t="s">
        <v>39</v>
      </c>
      <c r="R1927" s="2" t="s">
        <v>39</v>
      </c>
      <c r="S1927" s="2" t="s">
        <v>39</v>
      </c>
      <c r="T1927" s="2" t="s">
        <v>39</v>
      </c>
      <c r="U1927" s="2" t="s">
        <v>39</v>
      </c>
      <c r="V1927" s="2" t="s">
        <v>39</v>
      </c>
      <c r="W1927" s="2" t="s">
        <v>38</v>
      </c>
      <c r="X1927" s="2" t="s">
        <v>39</v>
      </c>
      <c r="Y1927" s="2" t="s">
        <v>39</v>
      </c>
      <c r="Z1927" s="2" t="s">
        <v>39</v>
      </c>
      <c r="AA1927" s="2" t="s">
        <v>39</v>
      </c>
      <c r="AB1927" s="2" t="s">
        <v>39</v>
      </c>
      <c r="AC1927" s="2" t="s">
        <v>38</v>
      </c>
      <c r="AD1927" s="2" t="s">
        <v>39</v>
      </c>
      <c r="AE1927" s="2" t="s">
        <v>40</v>
      </c>
    </row>
    <row r="1928" spans="1:31" ht="409.5">
      <c r="A1928" s="2">
        <v>2728220</v>
      </c>
      <c r="B1928" s="2">
        <f>HYPERLINK("https://platform.v2.vetology.net/cases/2728220/screening-report/1?type=pdf&amp;v=v6&amp;scorecard=1&amp;secret_key=BX%25IJ%24%2F65ieZ%29f6", 2728220)</f>
        <v>2728220</v>
      </c>
      <c r="C1928" s="2">
        <f>HYPERLINK("https://platform.v2.vetology.net/report/v/final/"&amp;2728220, 2728220)</f>
        <v>2728220</v>
      </c>
      <c r="D1928" s="2" t="s">
        <v>6224</v>
      </c>
      <c r="E1928" s="2" t="s">
        <v>6225</v>
      </c>
      <c r="F1928" s="2" t="s">
        <v>6226</v>
      </c>
      <c r="G1928" s="2" t="s">
        <v>44</v>
      </c>
      <c r="H1928" s="2" t="s">
        <v>277</v>
      </c>
      <c r="I1928" s="2" t="s">
        <v>46</v>
      </c>
      <c r="J1928" s="2"/>
      <c r="K1928" s="2" t="s">
        <v>39</v>
      </c>
      <c r="L1928" s="2" t="s">
        <v>38</v>
      </c>
      <c r="M1928" s="2" t="s">
        <v>39</v>
      </c>
      <c r="N1928" s="2" t="s">
        <v>39</v>
      </c>
      <c r="O1928" s="2" t="s">
        <v>39</v>
      </c>
      <c r="P1928" s="2" t="s">
        <v>39</v>
      </c>
      <c r="Q1928" s="2" t="s">
        <v>39</v>
      </c>
      <c r="R1928" s="2" t="s">
        <v>39</v>
      </c>
      <c r="S1928" s="2" t="s">
        <v>39</v>
      </c>
      <c r="T1928" s="2" t="s">
        <v>39</v>
      </c>
      <c r="U1928" s="2" t="s">
        <v>39</v>
      </c>
      <c r="V1928" s="2" t="s">
        <v>38</v>
      </c>
      <c r="W1928" s="2" t="s">
        <v>39</v>
      </c>
      <c r="X1928" s="2" t="s">
        <v>39</v>
      </c>
      <c r="Y1928" s="2" t="s">
        <v>39</v>
      </c>
      <c r="Z1928" s="2" t="s">
        <v>39</v>
      </c>
      <c r="AA1928" s="2" t="s">
        <v>39</v>
      </c>
      <c r="AB1928" s="2" t="s">
        <v>39</v>
      </c>
      <c r="AC1928" s="2" t="s">
        <v>39</v>
      </c>
      <c r="AD1928" s="2" t="s">
        <v>38</v>
      </c>
      <c r="AE1928" s="2" t="s">
        <v>39</v>
      </c>
    </row>
    <row r="1929" spans="1:31" ht="409.5">
      <c r="A1929" s="2">
        <v>2728217</v>
      </c>
      <c r="B1929" s="2">
        <f>HYPERLINK("https://platform.v2.vetology.net/cases/2728217/screening-report/1?type=pdf&amp;v=v6&amp;scorecard=1&amp;secret_key=BX%25IJ%24%2F65ieZ%29f6", 2728217)</f>
        <v>2728217</v>
      </c>
      <c r="C1929" s="2">
        <f>HYPERLINK("https://platform.v2.vetology.net/report/v/final/"&amp;2728217, 2728217)</f>
        <v>2728217</v>
      </c>
      <c r="D1929" s="2" t="s">
        <v>6227</v>
      </c>
      <c r="E1929" s="2" t="s">
        <v>6228</v>
      </c>
      <c r="F1929" s="2" t="s">
        <v>2226</v>
      </c>
      <c r="G1929" s="2" t="s">
        <v>100</v>
      </c>
      <c r="H1929" s="2" t="s">
        <v>6229</v>
      </c>
      <c r="I1929" s="2" t="s">
        <v>36</v>
      </c>
      <c r="J1929" s="2" t="s">
        <v>37</v>
      </c>
      <c r="K1929" s="2" t="s">
        <v>38</v>
      </c>
      <c r="L1929" s="2" t="s">
        <v>38</v>
      </c>
      <c r="M1929" s="2" t="s">
        <v>39</v>
      </c>
      <c r="N1929" s="2" t="s">
        <v>38</v>
      </c>
      <c r="O1929" s="2" t="s">
        <v>39</v>
      </c>
      <c r="P1929" s="2" t="s">
        <v>39</v>
      </c>
      <c r="Q1929" s="2" t="s">
        <v>39</v>
      </c>
      <c r="R1929" s="2" t="s">
        <v>38</v>
      </c>
      <c r="S1929" s="2" t="s">
        <v>38</v>
      </c>
      <c r="T1929" s="2" t="s">
        <v>39</v>
      </c>
      <c r="U1929" s="2" t="s">
        <v>38</v>
      </c>
      <c r="V1929" s="2" t="s">
        <v>38</v>
      </c>
      <c r="W1929" s="2" t="s">
        <v>38</v>
      </c>
      <c r="X1929" s="2" t="s">
        <v>39</v>
      </c>
      <c r="Y1929" s="2" t="s">
        <v>39</v>
      </c>
      <c r="Z1929" s="2" t="s">
        <v>39</v>
      </c>
      <c r="AA1929" s="2" t="s">
        <v>38</v>
      </c>
      <c r="AB1929" s="2" t="s">
        <v>39</v>
      </c>
      <c r="AC1929" s="2" t="s">
        <v>38</v>
      </c>
      <c r="AD1929" s="2" t="s">
        <v>38</v>
      </c>
      <c r="AE1929" s="2" t="s">
        <v>39</v>
      </c>
    </row>
    <row r="1930" spans="1:31" ht="409.5">
      <c r="A1930" s="2">
        <v>2728210</v>
      </c>
      <c r="B1930" s="2">
        <f>HYPERLINK("https://platform.v2.vetology.net/cases/2728210/screening-report/1?type=pdf&amp;v=v6&amp;scorecard=1&amp;secret_key=BX%25IJ%24%2F65ieZ%29f6", 2728210)</f>
        <v>2728210</v>
      </c>
      <c r="C1930" s="2">
        <f>HYPERLINK("https://platform.v2.vetology.net/report/v/final/"&amp;2728210, 2728210)</f>
        <v>2728210</v>
      </c>
      <c r="D1930" s="2" t="s">
        <v>6230</v>
      </c>
      <c r="E1930" s="2" t="s">
        <v>6231</v>
      </c>
      <c r="F1930" s="2" t="s">
        <v>6232</v>
      </c>
      <c r="G1930" s="2" t="s">
        <v>34</v>
      </c>
      <c r="H1930" s="2" t="s">
        <v>6233</v>
      </c>
      <c r="I1930" s="2" t="s">
        <v>36</v>
      </c>
      <c r="J1930" s="2" t="s">
        <v>37</v>
      </c>
      <c r="K1930" s="2" t="s">
        <v>38</v>
      </c>
      <c r="L1930" s="2" t="s">
        <v>39</v>
      </c>
      <c r="M1930" s="2" t="s">
        <v>38</v>
      </c>
      <c r="N1930" s="2" t="s">
        <v>38</v>
      </c>
      <c r="O1930" s="2" t="s">
        <v>38</v>
      </c>
      <c r="P1930" s="2" t="s">
        <v>39</v>
      </c>
      <c r="Q1930" s="2" t="s">
        <v>39</v>
      </c>
      <c r="R1930" s="2" t="s">
        <v>38</v>
      </c>
      <c r="S1930" s="2" t="s">
        <v>39</v>
      </c>
      <c r="T1930" s="2" t="s">
        <v>38</v>
      </c>
      <c r="U1930" s="2" t="s">
        <v>38</v>
      </c>
      <c r="V1930" s="2" t="s">
        <v>38</v>
      </c>
      <c r="W1930" s="2" t="s">
        <v>39</v>
      </c>
      <c r="X1930" s="2" t="s">
        <v>39</v>
      </c>
      <c r="Y1930" s="2" t="s">
        <v>39</v>
      </c>
      <c r="Z1930" s="2" t="s">
        <v>38</v>
      </c>
      <c r="AA1930" s="2" t="s">
        <v>39</v>
      </c>
      <c r="AB1930" s="2" t="s">
        <v>39</v>
      </c>
      <c r="AC1930" s="2" t="s">
        <v>38</v>
      </c>
      <c r="AD1930" s="2" t="s">
        <v>39</v>
      </c>
      <c r="AE1930" s="2" t="s">
        <v>40</v>
      </c>
    </row>
    <row r="1931" spans="1:31" ht="409.5">
      <c r="A1931" s="2">
        <v>2728198</v>
      </c>
      <c r="B1931" s="2">
        <f>HYPERLINK("https://platform.v2.vetology.net/cases/2728198/screening-report/1?type=pdf&amp;v=v6&amp;scorecard=1&amp;secret_key=BX%25IJ%24%2F65ieZ%29f6", 2728198)</f>
        <v>2728198</v>
      </c>
      <c r="C1931" s="2">
        <f>HYPERLINK("https://platform.v2.vetology.net/report/v/final/"&amp;2728198, 2728198)</f>
        <v>2728198</v>
      </c>
      <c r="D1931" s="2" t="s">
        <v>6234</v>
      </c>
      <c r="E1931" s="2" t="s">
        <v>6235</v>
      </c>
      <c r="F1931" s="2" t="s">
        <v>6236</v>
      </c>
      <c r="G1931" s="2" t="s">
        <v>53</v>
      </c>
      <c r="H1931" s="2" t="s">
        <v>1669</v>
      </c>
      <c r="I1931" s="2" t="s">
        <v>46</v>
      </c>
      <c r="J1931" s="2"/>
      <c r="K1931" s="2" t="s">
        <v>39</v>
      </c>
      <c r="L1931" s="2" t="s">
        <v>39</v>
      </c>
      <c r="M1931" s="2" t="s">
        <v>39</v>
      </c>
      <c r="N1931" s="2" t="s">
        <v>39</v>
      </c>
      <c r="O1931" s="2" t="s">
        <v>39</v>
      </c>
      <c r="P1931" s="2" t="s">
        <v>38</v>
      </c>
      <c r="Q1931" s="2" t="s">
        <v>39</v>
      </c>
      <c r="R1931" s="2" t="s">
        <v>39</v>
      </c>
      <c r="S1931" s="2" t="s">
        <v>39</v>
      </c>
      <c r="T1931" s="2" t="s">
        <v>39</v>
      </c>
      <c r="U1931" s="2" t="s">
        <v>39</v>
      </c>
      <c r="V1931" s="2" t="s">
        <v>38</v>
      </c>
      <c r="W1931" s="2" t="s">
        <v>39</v>
      </c>
      <c r="X1931" s="2" t="s">
        <v>39</v>
      </c>
      <c r="Y1931" s="2" t="s">
        <v>39</v>
      </c>
      <c r="Z1931" s="2" t="s">
        <v>39</v>
      </c>
      <c r="AA1931" s="2" t="s">
        <v>39</v>
      </c>
      <c r="AB1931" s="2" t="s">
        <v>39</v>
      </c>
      <c r="AC1931" s="2" t="s">
        <v>39</v>
      </c>
      <c r="AD1931" s="2" t="s">
        <v>39</v>
      </c>
      <c r="AE1931" s="2" t="s">
        <v>39</v>
      </c>
    </row>
    <row r="1932" spans="1:31" ht="409.5">
      <c r="A1932" s="2">
        <v>2728190</v>
      </c>
      <c r="B1932" s="2">
        <f>HYPERLINK("https://platform.v2.vetology.net/cases/2728190/screening-report/1?type=pdf&amp;v=v6&amp;scorecard=1&amp;secret_key=BX%25IJ%24%2F65ieZ%29f6", 2728190)</f>
        <v>2728190</v>
      </c>
      <c r="C1932" s="2">
        <f>HYPERLINK("https://platform.v2.vetology.net/report/v/final/"&amp;2728190, 2728190)</f>
        <v>2728190</v>
      </c>
      <c r="D1932" s="2" t="s">
        <v>6237</v>
      </c>
      <c r="E1932" s="2" t="s">
        <v>6238</v>
      </c>
      <c r="F1932" s="2" t="s">
        <v>2226</v>
      </c>
      <c r="G1932" s="2" t="s">
        <v>100</v>
      </c>
      <c r="H1932" s="2" t="s">
        <v>6239</v>
      </c>
      <c r="I1932" s="2" t="s">
        <v>36</v>
      </c>
      <c r="J1932" s="2" t="s">
        <v>37</v>
      </c>
      <c r="K1932" s="2" t="s">
        <v>38</v>
      </c>
      <c r="L1932" s="2" t="s">
        <v>39</v>
      </c>
      <c r="M1932" s="2" t="s">
        <v>38</v>
      </c>
      <c r="N1932" s="2" t="s">
        <v>39</v>
      </c>
      <c r="O1932" s="2" t="s">
        <v>39</v>
      </c>
      <c r="P1932" s="2" t="s">
        <v>39</v>
      </c>
      <c r="Q1932" s="2" t="s">
        <v>39</v>
      </c>
      <c r="R1932" s="2" t="s">
        <v>38</v>
      </c>
      <c r="S1932" s="2" t="s">
        <v>38</v>
      </c>
      <c r="T1932" s="2" t="s">
        <v>38</v>
      </c>
      <c r="U1932" s="2" t="s">
        <v>38</v>
      </c>
      <c r="V1932" s="2" t="s">
        <v>38</v>
      </c>
      <c r="W1932" s="2" t="s">
        <v>38</v>
      </c>
      <c r="X1932" s="2" t="s">
        <v>39</v>
      </c>
      <c r="Y1932" s="2" t="s">
        <v>38</v>
      </c>
      <c r="Z1932" s="2" t="s">
        <v>38</v>
      </c>
      <c r="AA1932" s="2" t="s">
        <v>39</v>
      </c>
      <c r="AB1932" s="2" t="s">
        <v>39</v>
      </c>
      <c r="AC1932" s="2" t="s">
        <v>38</v>
      </c>
      <c r="AD1932" s="2" t="s">
        <v>38</v>
      </c>
      <c r="AE1932" s="2" t="s">
        <v>39</v>
      </c>
    </row>
    <row r="1933" spans="1:31" ht="409.5">
      <c r="A1933" s="2">
        <v>2728173</v>
      </c>
      <c r="B1933" s="2">
        <f>HYPERLINK("https://platform.v2.vetology.net/cases/2728173/screening-report/1?type=pdf&amp;v=v6&amp;scorecard=1&amp;secret_key=BX%25IJ%24%2F65ieZ%29f6", 2728173)</f>
        <v>2728173</v>
      </c>
      <c r="C1933" s="2">
        <f>HYPERLINK("https://platform.v2.vetology.net/report/v/final/"&amp;2728173, 2728173)</f>
        <v>2728173</v>
      </c>
      <c r="D1933" s="2" t="s">
        <v>6240</v>
      </c>
      <c r="E1933" s="2" t="s">
        <v>6241</v>
      </c>
      <c r="F1933" s="2" t="s">
        <v>6242</v>
      </c>
      <c r="G1933" s="2" t="s">
        <v>44</v>
      </c>
      <c r="H1933" s="2" t="s">
        <v>69</v>
      </c>
      <c r="I1933" s="2" t="s">
        <v>46</v>
      </c>
      <c r="J1933" s="2"/>
      <c r="K1933" s="2" t="s">
        <v>39</v>
      </c>
      <c r="L1933" s="2" t="s">
        <v>39</v>
      </c>
      <c r="M1933" s="2" t="s">
        <v>39</v>
      </c>
      <c r="N1933" s="2" t="s">
        <v>39</v>
      </c>
      <c r="O1933" s="2" t="s">
        <v>39</v>
      </c>
      <c r="P1933" s="2" t="s">
        <v>39</v>
      </c>
      <c r="Q1933" s="2" t="s">
        <v>39</v>
      </c>
      <c r="R1933" s="2" t="s">
        <v>39</v>
      </c>
      <c r="S1933" s="2" t="s">
        <v>39</v>
      </c>
      <c r="T1933" s="2" t="s">
        <v>39</v>
      </c>
      <c r="U1933" s="2" t="s">
        <v>39</v>
      </c>
      <c r="V1933" s="2" t="s">
        <v>39</v>
      </c>
      <c r="W1933" s="2" t="s">
        <v>39</v>
      </c>
      <c r="X1933" s="2" t="s">
        <v>39</v>
      </c>
      <c r="Y1933" s="2" t="s">
        <v>39</v>
      </c>
      <c r="Z1933" s="2" t="s">
        <v>39</v>
      </c>
      <c r="AA1933" s="2" t="s">
        <v>39</v>
      </c>
      <c r="AB1933" s="2" t="s">
        <v>39</v>
      </c>
      <c r="AC1933" s="2" t="s">
        <v>39</v>
      </c>
      <c r="AD1933" s="2" t="s">
        <v>39</v>
      </c>
      <c r="AE1933" s="2" t="s">
        <v>39</v>
      </c>
    </row>
    <row r="1934" spans="1:31" ht="409.5">
      <c r="A1934" s="2">
        <v>2728170</v>
      </c>
      <c r="B1934" s="2">
        <f>HYPERLINK("https://platform.v2.vetology.net/cases/2728170/screening-report/1?type=pdf&amp;v=v6&amp;scorecard=1&amp;secret_key=BX%25IJ%24%2F65ieZ%29f6", 2728170)</f>
        <v>2728170</v>
      </c>
      <c r="C1934" s="2">
        <f>HYPERLINK("https://platform.v2.vetology.net/report/v/final/"&amp;2728170, 2728170)</f>
        <v>2728170</v>
      </c>
      <c r="D1934" s="2" t="s">
        <v>6243</v>
      </c>
      <c r="E1934" s="2" t="s">
        <v>6244</v>
      </c>
      <c r="F1934" s="2" t="s">
        <v>43</v>
      </c>
      <c r="G1934" s="2" t="s">
        <v>44</v>
      </c>
      <c r="H1934" s="2" t="s">
        <v>6245</v>
      </c>
      <c r="I1934" s="2" t="s">
        <v>73</v>
      </c>
      <c r="J1934" s="2" t="s">
        <v>74</v>
      </c>
      <c r="K1934" s="2" t="s">
        <v>38</v>
      </c>
      <c r="L1934" s="2" t="s">
        <v>38</v>
      </c>
      <c r="M1934" s="2" t="s">
        <v>38</v>
      </c>
      <c r="N1934" s="2" t="s">
        <v>38</v>
      </c>
      <c r="O1934" s="2" t="s">
        <v>38</v>
      </c>
      <c r="P1934" s="2" t="s">
        <v>38</v>
      </c>
      <c r="Q1934" s="2" t="s">
        <v>38</v>
      </c>
      <c r="R1934" s="2" t="s">
        <v>39</v>
      </c>
      <c r="S1934" s="2" t="s">
        <v>39</v>
      </c>
      <c r="T1934" s="2" t="s">
        <v>38</v>
      </c>
      <c r="U1934" s="2" t="s">
        <v>38</v>
      </c>
      <c r="V1934" s="2" t="s">
        <v>38</v>
      </c>
      <c r="W1934" s="2" t="s">
        <v>38</v>
      </c>
      <c r="X1934" s="2" t="s">
        <v>38</v>
      </c>
      <c r="Y1934" s="2" t="s">
        <v>39</v>
      </c>
      <c r="Z1934" s="2" t="s">
        <v>38</v>
      </c>
      <c r="AA1934" s="2" t="s">
        <v>39</v>
      </c>
      <c r="AB1934" s="2" t="s">
        <v>39</v>
      </c>
      <c r="AC1934" s="2" t="s">
        <v>39</v>
      </c>
      <c r="AD1934" s="2" t="s">
        <v>39</v>
      </c>
      <c r="AE1934" s="2" t="s">
        <v>40</v>
      </c>
    </row>
    <row r="1935" spans="1:31" ht="409.5">
      <c r="A1935" s="2">
        <v>2728169</v>
      </c>
      <c r="B1935" s="2">
        <f>HYPERLINK("https://platform.v2.vetology.net/cases/2728169/screening-report/1?type=pdf&amp;v=v6&amp;scorecard=1&amp;secret_key=BX%25IJ%24%2F65ieZ%29f6", 2728169)</f>
        <v>2728169</v>
      </c>
      <c r="C1935" s="2">
        <f>HYPERLINK("https://platform.v2.vetology.net/report/v/final/"&amp;2728169, 2728169)</f>
        <v>2728169</v>
      </c>
      <c r="D1935" s="2" t="s">
        <v>6246</v>
      </c>
      <c r="E1935" s="2" t="s">
        <v>6247</v>
      </c>
      <c r="F1935" s="2" t="s">
        <v>6248</v>
      </c>
      <c r="G1935" s="2" t="s">
        <v>34</v>
      </c>
      <c r="H1935" s="2" t="s">
        <v>6249</v>
      </c>
      <c r="I1935" s="2" t="s">
        <v>129</v>
      </c>
      <c r="J1935" s="2" t="s">
        <v>74</v>
      </c>
      <c r="K1935" s="2" t="s">
        <v>39</v>
      </c>
      <c r="L1935" s="2" t="s">
        <v>38</v>
      </c>
      <c r="M1935" s="2" t="s">
        <v>38</v>
      </c>
      <c r="N1935" s="2" t="s">
        <v>38</v>
      </c>
      <c r="O1935" s="2" t="s">
        <v>38</v>
      </c>
      <c r="P1935" s="2" t="s">
        <v>38</v>
      </c>
      <c r="Q1935" s="2" t="s">
        <v>38</v>
      </c>
      <c r="R1935" s="2" t="s">
        <v>38</v>
      </c>
      <c r="S1935" s="2" t="s">
        <v>38</v>
      </c>
      <c r="T1935" s="2" t="s">
        <v>38</v>
      </c>
      <c r="U1935" s="2" t="s">
        <v>39</v>
      </c>
      <c r="V1935" s="2" t="s">
        <v>39</v>
      </c>
      <c r="W1935" s="2" t="s">
        <v>38</v>
      </c>
      <c r="X1935" s="2" t="s">
        <v>38</v>
      </c>
      <c r="Y1935" s="2" t="s">
        <v>39</v>
      </c>
      <c r="Z1935" s="2" t="s">
        <v>38</v>
      </c>
      <c r="AA1935" s="2" t="s">
        <v>38</v>
      </c>
      <c r="AB1935" s="2" t="s">
        <v>38</v>
      </c>
      <c r="AC1935" s="2" t="s">
        <v>38</v>
      </c>
      <c r="AD1935" s="2" t="s">
        <v>39</v>
      </c>
      <c r="AE1935" s="2" t="s">
        <v>39</v>
      </c>
    </row>
    <row r="1936" spans="1:31" ht="409.5">
      <c r="A1936" s="2">
        <v>2728157</v>
      </c>
      <c r="B1936" s="2">
        <f>HYPERLINK("https://platform.v2.vetology.net/cases/2728157/screening-report/1?type=pdf&amp;v=v6&amp;scorecard=1&amp;secret_key=BX%25IJ%24%2F65ieZ%29f6", 2728157)</f>
        <v>2728157</v>
      </c>
      <c r="C1936" s="2">
        <f>HYPERLINK("https://platform.v2.vetology.net/report/v/final/"&amp;2728157, 2728157)</f>
        <v>2728157</v>
      </c>
      <c r="D1936" s="2" t="s">
        <v>6250</v>
      </c>
      <c r="E1936" s="2" t="s">
        <v>6251</v>
      </c>
      <c r="F1936" s="2" t="s">
        <v>6252</v>
      </c>
      <c r="G1936" s="2" t="s">
        <v>34</v>
      </c>
      <c r="H1936" s="2" t="s">
        <v>353</v>
      </c>
      <c r="I1936" s="2" t="s">
        <v>36</v>
      </c>
      <c r="J1936" s="2" t="s">
        <v>37</v>
      </c>
      <c r="K1936" s="2" t="s">
        <v>38</v>
      </c>
      <c r="L1936" s="2" t="s">
        <v>39</v>
      </c>
      <c r="M1936" s="2" t="s">
        <v>38</v>
      </c>
      <c r="N1936" s="2" t="s">
        <v>38</v>
      </c>
      <c r="O1936" s="2" t="s">
        <v>38</v>
      </c>
      <c r="P1936" s="2" t="s">
        <v>39</v>
      </c>
      <c r="Q1936" s="2" t="s">
        <v>39</v>
      </c>
      <c r="R1936" s="2" t="s">
        <v>39</v>
      </c>
      <c r="S1936" s="2" t="s">
        <v>38</v>
      </c>
      <c r="T1936" s="2" t="s">
        <v>39</v>
      </c>
      <c r="U1936" s="2" t="s">
        <v>39</v>
      </c>
      <c r="V1936" s="2" t="s">
        <v>39</v>
      </c>
      <c r="W1936" s="2" t="s">
        <v>38</v>
      </c>
      <c r="X1936" s="2" t="s">
        <v>39</v>
      </c>
      <c r="Y1936" s="2" t="s">
        <v>39</v>
      </c>
      <c r="Z1936" s="2" t="s">
        <v>39</v>
      </c>
      <c r="AA1936" s="2" t="s">
        <v>39</v>
      </c>
      <c r="AB1936" s="2" t="s">
        <v>39</v>
      </c>
      <c r="AC1936" s="2" t="s">
        <v>38</v>
      </c>
      <c r="AD1936" s="2" t="s">
        <v>39</v>
      </c>
      <c r="AE1936" s="2"/>
    </row>
    <row r="1937" spans="1:31" ht="409.5">
      <c r="A1937" s="2">
        <v>2728126</v>
      </c>
      <c r="B1937" s="2">
        <f>HYPERLINK("https://platform.v2.vetology.net/cases/2728126/screening-report/1?type=pdf&amp;v=v6&amp;scorecard=1&amp;secret_key=BX%25IJ%24%2F65ieZ%29f6", 2728126)</f>
        <v>2728126</v>
      </c>
      <c r="C1937" s="2">
        <f>HYPERLINK("https://platform.v2.vetology.net/report/v/final/"&amp;2728126, 2728126)</f>
        <v>2728126</v>
      </c>
      <c r="D1937" s="2" t="s">
        <v>6253</v>
      </c>
      <c r="E1937" s="2" t="s">
        <v>6254</v>
      </c>
      <c r="F1937" s="2" t="s">
        <v>6255</v>
      </c>
      <c r="G1937" s="2" t="s">
        <v>170</v>
      </c>
      <c r="H1937" s="2" t="s">
        <v>277</v>
      </c>
      <c r="I1937" s="2" t="s">
        <v>46</v>
      </c>
      <c r="J1937" s="2"/>
      <c r="K1937" s="2" t="s">
        <v>39</v>
      </c>
      <c r="L1937" s="2" t="s">
        <v>38</v>
      </c>
      <c r="M1937" s="2" t="s">
        <v>39</v>
      </c>
      <c r="N1937" s="2" t="s">
        <v>39</v>
      </c>
      <c r="O1937" s="2" t="s">
        <v>39</v>
      </c>
      <c r="P1937" s="2" t="s">
        <v>39</v>
      </c>
      <c r="Q1937" s="2" t="s">
        <v>39</v>
      </c>
      <c r="R1937" s="2" t="s">
        <v>39</v>
      </c>
      <c r="S1937" s="2" t="s">
        <v>39</v>
      </c>
      <c r="T1937" s="2" t="s">
        <v>38</v>
      </c>
      <c r="U1937" s="2" t="s">
        <v>39</v>
      </c>
      <c r="V1937" s="2" t="s">
        <v>39</v>
      </c>
      <c r="W1937" s="2" t="s">
        <v>39</v>
      </c>
      <c r="X1937" s="2" t="s">
        <v>39</v>
      </c>
      <c r="Y1937" s="2" t="s">
        <v>39</v>
      </c>
      <c r="Z1937" s="2" t="s">
        <v>39</v>
      </c>
      <c r="AA1937" s="2" t="s">
        <v>39</v>
      </c>
      <c r="AB1937" s="2" t="s">
        <v>39</v>
      </c>
      <c r="AC1937" s="2" t="s">
        <v>39</v>
      </c>
      <c r="AD1937" s="2" t="s">
        <v>39</v>
      </c>
      <c r="AE1937" s="2" t="s">
        <v>40</v>
      </c>
    </row>
    <row r="1938" spans="1:31" ht="409.5">
      <c r="A1938" s="2">
        <v>2728118</v>
      </c>
      <c r="B1938" s="2">
        <f>HYPERLINK("https://platform.v2.vetology.net/cases/2728118/screening-report/1?type=pdf&amp;v=v6&amp;scorecard=1&amp;secret_key=BX%25IJ%24%2F65ieZ%29f6", 2728118)</f>
        <v>2728118</v>
      </c>
      <c r="C1938" s="2">
        <f>HYPERLINK("https://platform.v2.vetology.net/report/v/final/"&amp;2728118, 2728118)</f>
        <v>2728118</v>
      </c>
      <c r="D1938" s="2" t="s">
        <v>6256</v>
      </c>
      <c r="E1938" s="2" t="s">
        <v>6257</v>
      </c>
      <c r="F1938" s="2"/>
      <c r="G1938" s="2" t="s">
        <v>44</v>
      </c>
      <c r="H1938" s="2" t="s">
        <v>6258</v>
      </c>
      <c r="I1938" s="2" t="s">
        <v>36</v>
      </c>
      <c r="J1938" s="2" t="s">
        <v>37</v>
      </c>
      <c r="K1938" s="2" t="s">
        <v>38</v>
      </c>
      <c r="L1938" s="2" t="s">
        <v>38</v>
      </c>
      <c r="M1938" s="2" t="s">
        <v>38</v>
      </c>
      <c r="N1938" s="2" t="s">
        <v>38</v>
      </c>
      <c r="O1938" s="2" t="s">
        <v>38</v>
      </c>
      <c r="P1938" s="2" t="s">
        <v>38</v>
      </c>
      <c r="Q1938" s="2" t="s">
        <v>39</v>
      </c>
      <c r="R1938" s="2" t="s">
        <v>38</v>
      </c>
      <c r="S1938" s="2" t="s">
        <v>38</v>
      </c>
      <c r="T1938" s="2" t="s">
        <v>39</v>
      </c>
      <c r="U1938" s="2" t="s">
        <v>39</v>
      </c>
      <c r="V1938" s="2" t="s">
        <v>38</v>
      </c>
      <c r="W1938" s="2" t="s">
        <v>38</v>
      </c>
      <c r="X1938" s="2" t="s">
        <v>39</v>
      </c>
      <c r="Y1938" s="2" t="s">
        <v>38</v>
      </c>
      <c r="Z1938" s="2" t="s">
        <v>38</v>
      </c>
      <c r="AA1938" s="2" t="s">
        <v>39</v>
      </c>
      <c r="AB1938" s="2" t="s">
        <v>39</v>
      </c>
      <c r="AC1938" s="2" t="s">
        <v>38</v>
      </c>
      <c r="AD1938" s="2" t="s">
        <v>38</v>
      </c>
      <c r="AE1938" s="2" t="s">
        <v>40</v>
      </c>
    </row>
    <row r="1939" spans="1:31" ht="409.5">
      <c r="A1939" s="2">
        <v>2728113</v>
      </c>
      <c r="B1939" s="2">
        <f>HYPERLINK("https://platform.v2.vetology.net/cases/2728113/screening-report/1?type=pdf&amp;v=v6&amp;scorecard=1&amp;secret_key=BX%25IJ%24%2F65ieZ%29f6", 2728113)</f>
        <v>2728113</v>
      </c>
      <c r="C1939" s="2">
        <f>HYPERLINK("https://platform.v2.vetology.net/report/v/final/"&amp;2728113, 2728113)</f>
        <v>2728113</v>
      </c>
      <c r="D1939" s="2" t="s">
        <v>6259</v>
      </c>
      <c r="E1939" s="2" t="s">
        <v>6260</v>
      </c>
      <c r="F1939" s="2" t="s">
        <v>6261</v>
      </c>
      <c r="G1939" s="2" t="s">
        <v>127</v>
      </c>
      <c r="H1939" s="2" t="s">
        <v>6262</v>
      </c>
      <c r="I1939" s="2" t="s">
        <v>73</v>
      </c>
      <c r="J1939" s="2" t="s">
        <v>74</v>
      </c>
      <c r="K1939" s="2" t="s">
        <v>38</v>
      </c>
      <c r="L1939" s="2" t="s">
        <v>38</v>
      </c>
      <c r="M1939" s="2" t="s">
        <v>38</v>
      </c>
      <c r="N1939" s="2" t="s">
        <v>38</v>
      </c>
      <c r="O1939" s="2" t="s">
        <v>38</v>
      </c>
      <c r="P1939" s="2" t="s">
        <v>38</v>
      </c>
      <c r="Q1939" s="2" t="s">
        <v>38</v>
      </c>
      <c r="R1939" s="2" t="s">
        <v>38</v>
      </c>
      <c r="S1939" s="2" t="s">
        <v>38</v>
      </c>
      <c r="T1939" s="2" t="s">
        <v>38</v>
      </c>
      <c r="U1939" s="2" t="s">
        <v>38</v>
      </c>
      <c r="V1939" s="2" t="s">
        <v>38</v>
      </c>
      <c r="W1939" s="2" t="s">
        <v>39</v>
      </c>
      <c r="X1939" s="2" t="s">
        <v>38</v>
      </c>
      <c r="Y1939" s="2" t="s">
        <v>39</v>
      </c>
      <c r="Z1939" s="2" t="s">
        <v>38</v>
      </c>
      <c r="AA1939" s="2" t="s">
        <v>38</v>
      </c>
      <c r="AB1939" s="2" t="s">
        <v>38</v>
      </c>
      <c r="AC1939" s="2" t="s">
        <v>38</v>
      </c>
      <c r="AD1939" s="2" t="s">
        <v>39</v>
      </c>
      <c r="AE1939" s="2" t="s">
        <v>40</v>
      </c>
    </row>
    <row r="1940" spans="1:31" ht="409.5">
      <c r="A1940" s="2">
        <v>2728111</v>
      </c>
      <c r="B1940" s="2">
        <f>HYPERLINK("https://platform.v2.vetology.net/cases/2728111/screening-report/1?type=pdf&amp;v=v6&amp;scorecard=1&amp;secret_key=BX%25IJ%24%2F65ieZ%29f6", 2728111)</f>
        <v>2728111</v>
      </c>
      <c r="C1940" s="2">
        <f>HYPERLINK("https://platform.v2.vetology.net/report/v/final/"&amp;2728111, 2728111)</f>
        <v>2728111</v>
      </c>
      <c r="D1940" s="2" t="s">
        <v>6263</v>
      </c>
      <c r="E1940" s="2" t="s">
        <v>6264</v>
      </c>
      <c r="F1940" s="2" t="s">
        <v>6265</v>
      </c>
      <c r="G1940" s="2" t="s">
        <v>34</v>
      </c>
      <c r="H1940" s="2" t="s">
        <v>66</v>
      </c>
      <c r="I1940" s="2" t="s">
        <v>36</v>
      </c>
      <c r="J1940" s="2" t="s">
        <v>37</v>
      </c>
      <c r="K1940" s="2" t="s">
        <v>39</v>
      </c>
      <c r="L1940" s="2" t="s">
        <v>39</v>
      </c>
      <c r="M1940" s="2" t="s">
        <v>38</v>
      </c>
      <c r="N1940" s="2" t="s">
        <v>39</v>
      </c>
      <c r="O1940" s="2" t="s">
        <v>39</v>
      </c>
      <c r="P1940" s="2" t="s">
        <v>39</v>
      </c>
      <c r="Q1940" s="2" t="s">
        <v>39</v>
      </c>
      <c r="R1940" s="2" t="s">
        <v>39</v>
      </c>
      <c r="S1940" s="2" t="s">
        <v>39</v>
      </c>
      <c r="T1940" s="2" t="s">
        <v>39</v>
      </c>
      <c r="U1940" s="2" t="s">
        <v>39</v>
      </c>
      <c r="V1940" s="2" t="s">
        <v>39</v>
      </c>
      <c r="W1940" s="2" t="s">
        <v>39</v>
      </c>
      <c r="X1940" s="2" t="s">
        <v>39</v>
      </c>
      <c r="Y1940" s="2" t="s">
        <v>39</v>
      </c>
      <c r="Z1940" s="2" t="s">
        <v>38</v>
      </c>
      <c r="AA1940" s="2" t="s">
        <v>39</v>
      </c>
      <c r="AB1940" s="2" t="s">
        <v>39</v>
      </c>
      <c r="AC1940" s="2" t="s">
        <v>39</v>
      </c>
      <c r="AD1940" s="2" t="s">
        <v>39</v>
      </c>
      <c r="AE1940" s="2" t="s">
        <v>39</v>
      </c>
    </row>
    <row r="1941" spans="1:31" ht="409.5">
      <c r="A1941" s="2">
        <v>2728080</v>
      </c>
      <c r="B1941" s="2">
        <f>HYPERLINK("https://platform.v2.vetology.net/cases/2728080/screening-report/1?type=pdf&amp;v=v6&amp;scorecard=1&amp;secret_key=BX%25IJ%24%2F65ieZ%29f6", 2728080)</f>
        <v>2728080</v>
      </c>
      <c r="C1941" s="2">
        <f>HYPERLINK("https://platform.v2.vetology.net/report/v/final/"&amp;2728080, 2728080)</f>
        <v>2728080</v>
      </c>
      <c r="D1941" s="2" t="s">
        <v>6266</v>
      </c>
      <c r="E1941" s="2" t="s">
        <v>6267</v>
      </c>
      <c r="F1941" s="2" t="s">
        <v>6268</v>
      </c>
      <c r="G1941" s="2" t="s">
        <v>127</v>
      </c>
      <c r="H1941" s="2" t="s">
        <v>6269</v>
      </c>
      <c r="I1941" s="2" t="s">
        <v>36</v>
      </c>
      <c r="J1941" s="2" t="s">
        <v>37</v>
      </c>
      <c r="K1941" s="2" t="s">
        <v>39</v>
      </c>
      <c r="L1941" s="2" t="s">
        <v>38</v>
      </c>
      <c r="M1941" s="2" t="s">
        <v>38</v>
      </c>
      <c r="N1941" s="2" t="s">
        <v>38</v>
      </c>
      <c r="O1941" s="2" t="s">
        <v>38</v>
      </c>
      <c r="P1941" s="2" t="s">
        <v>39</v>
      </c>
      <c r="Q1941" s="2" t="s">
        <v>39</v>
      </c>
      <c r="R1941" s="2" t="s">
        <v>38</v>
      </c>
      <c r="S1941" s="2" t="s">
        <v>38</v>
      </c>
      <c r="T1941" s="2" t="s">
        <v>38</v>
      </c>
      <c r="U1941" s="2" t="s">
        <v>39</v>
      </c>
      <c r="V1941" s="2" t="s">
        <v>38</v>
      </c>
      <c r="W1941" s="2" t="s">
        <v>38</v>
      </c>
      <c r="X1941" s="2" t="s">
        <v>39</v>
      </c>
      <c r="Y1941" s="2" t="s">
        <v>39</v>
      </c>
      <c r="Z1941" s="2" t="s">
        <v>38</v>
      </c>
      <c r="AA1941" s="2" t="s">
        <v>39</v>
      </c>
      <c r="AB1941" s="2" t="s">
        <v>39</v>
      </c>
      <c r="AC1941" s="2" t="s">
        <v>38</v>
      </c>
      <c r="AD1941" s="2" t="s">
        <v>38</v>
      </c>
      <c r="AE1941" s="2" t="s">
        <v>39</v>
      </c>
    </row>
    <row r="1942" spans="1:31" ht="409.5">
      <c r="A1942" s="2">
        <v>2728074</v>
      </c>
      <c r="B1942" s="2">
        <f>HYPERLINK("https://platform.v2.vetology.net/cases/2728074/screening-report/1?type=pdf&amp;v=v6&amp;scorecard=1&amp;secret_key=BX%25IJ%24%2F65ieZ%29f6", 2728074)</f>
        <v>2728074</v>
      </c>
      <c r="C1942" s="2">
        <f>HYPERLINK("https://platform.v2.vetology.net/report/v/final/"&amp;2728074, 2728074)</f>
        <v>2728074</v>
      </c>
      <c r="D1942" s="2" t="s">
        <v>6270</v>
      </c>
      <c r="E1942" s="2" t="s">
        <v>6271</v>
      </c>
      <c r="F1942" s="2" t="s">
        <v>6272</v>
      </c>
      <c r="G1942" s="2" t="s">
        <v>170</v>
      </c>
      <c r="H1942" s="2" t="s">
        <v>6273</v>
      </c>
      <c r="I1942" s="2" t="s">
        <v>73</v>
      </c>
      <c r="J1942" s="2" t="s">
        <v>74</v>
      </c>
      <c r="K1942" s="2" t="s">
        <v>38</v>
      </c>
      <c r="L1942" s="2" t="s">
        <v>39</v>
      </c>
      <c r="M1942" s="2" t="s">
        <v>38</v>
      </c>
      <c r="N1942" s="2" t="s">
        <v>38</v>
      </c>
      <c r="O1942" s="2" t="s">
        <v>38</v>
      </c>
      <c r="P1942" s="2" t="s">
        <v>38</v>
      </c>
      <c r="Q1942" s="2" t="s">
        <v>38</v>
      </c>
      <c r="R1942" s="2" t="s">
        <v>38</v>
      </c>
      <c r="S1942" s="2" t="s">
        <v>38</v>
      </c>
      <c r="T1942" s="2" t="s">
        <v>39</v>
      </c>
      <c r="U1942" s="2" t="s">
        <v>38</v>
      </c>
      <c r="V1942" s="2" t="s">
        <v>38</v>
      </c>
      <c r="W1942" s="2" t="s">
        <v>38</v>
      </c>
      <c r="X1942" s="2" t="s">
        <v>38</v>
      </c>
      <c r="Y1942" s="2" t="s">
        <v>39</v>
      </c>
      <c r="Z1942" s="2" t="s">
        <v>39</v>
      </c>
      <c r="AA1942" s="2" t="s">
        <v>38</v>
      </c>
      <c r="AB1942" s="2" t="s">
        <v>38</v>
      </c>
      <c r="AC1942" s="2" t="s">
        <v>38</v>
      </c>
      <c r="AD1942" s="2" t="s">
        <v>39</v>
      </c>
      <c r="AE1942" s="2" t="s">
        <v>40</v>
      </c>
    </row>
    <row r="1943" spans="1:31" ht="409.5">
      <c r="A1943" s="2">
        <v>2728069</v>
      </c>
      <c r="B1943" s="2">
        <f>HYPERLINK("https://platform.v2.vetology.net/cases/2728069/screening-report/1?type=pdf&amp;v=v6&amp;scorecard=1&amp;secret_key=BX%25IJ%24%2F65ieZ%29f6", 2728069)</f>
        <v>2728069</v>
      </c>
      <c r="C1943" s="2">
        <f>HYPERLINK("https://platform.v2.vetology.net/report/v/final/"&amp;2728069, 2728069)</f>
        <v>2728069</v>
      </c>
      <c r="D1943" s="2" t="s">
        <v>6274</v>
      </c>
      <c r="E1943" s="2" t="s">
        <v>6275</v>
      </c>
      <c r="F1943" s="2" t="s">
        <v>6276</v>
      </c>
      <c r="G1943" s="2" t="s">
        <v>170</v>
      </c>
      <c r="H1943" s="2" t="s">
        <v>6277</v>
      </c>
      <c r="I1943" s="2" t="s">
        <v>129</v>
      </c>
      <c r="J1943" s="2" t="s">
        <v>74</v>
      </c>
      <c r="K1943" s="2" t="s">
        <v>39</v>
      </c>
      <c r="L1943" s="2" t="s">
        <v>38</v>
      </c>
      <c r="M1943" s="2" t="s">
        <v>39</v>
      </c>
      <c r="N1943" s="2" t="s">
        <v>38</v>
      </c>
      <c r="O1943" s="2" t="s">
        <v>38</v>
      </c>
      <c r="P1943" s="2" t="s">
        <v>39</v>
      </c>
      <c r="Q1943" s="2" t="s">
        <v>38</v>
      </c>
      <c r="R1943" s="2" t="s">
        <v>38</v>
      </c>
      <c r="S1943" s="2" t="s">
        <v>39</v>
      </c>
      <c r="T1943" s="2" t="s">
        <v>39</v>
      </c>
      <c r="U1943" s="2" t="s">
        <v>39</v>
      </c>
      <c r="V1943" s="2" t="s">
        <v>39</v>
      </c>
      <c r="W1943" s="2" t="s">
        <v>38</v>
      </c>
      <c r="X1943" s="2" t="s">
        <v>38</v>
      </c>
      <c r="Y1943" s="2" t="s">
        <v>39</v>
      </c>
      <c r="Z1943" s="2" t="s">
        <v>38</v>
      </c>
      <c r="AA1943" s="2" t="s">
        <v>38</v>
      </c>
      <c r="AB1943" s="2" t="s">
        <v>38</v>
      </c>
      <c r="AC1943" s="2" t="s">
        <v>38</v>
      </c>
      <c r="AD1943" s="2" t="s">
        <v>39</v>
      </c>
      <c r="AE1943" s="2"/>
    </row>
    <row r="1944" spans="1:31" ht="409.5">
      <c r="A1944" s="2">
        <v>2728057</v>
      </c>
      <c r="B1944" s="2">
        <f>HYPERLINK("https://platform.v2.vetology.net/cases/2728057/screening-report/1?type=pdf&amp;v=v6&amp;scorecard=1&amp;secret_key=BX%25IJ%24%2F65ieZ%29f6", 2728057)</f>
        <v>2728057</v>
      </c>
      <c r="C1944" s="2">
        <f>HYPERLINK("https://platform.v2.vetology.net/report/v/final/"&amp;2728057, 2728057)</f>
        <v>2728057</v>
      </c>
      <c r="D1944" s="2" t="s">
        <v>6278</v>
      </c>
      <c r="E1944" s="2" t="s">
        <v>6279</v>
      </c>
      <c r="F1944" s="2"/>
      <c r="G1944" s="2" t="s">
        <v>81</v>
      </c>
      <c r="H1944" s="2" t="s">
        <v>6280</v>
      </c>
      <c r="I1944" s="2" t="s">
        <v>129</v>
      </c>
      <c r="J1944" s="2" t="s">
        <v>74</v>
      </c>
      <c r="K1944" s="2" t="s">
        <v>39</v>
      </c>
      <c r="L1944" s="2" t="s">
        <v>38</v>
      </c>
      <c r="M1944" s="2" t="s">
        <v>38</v>
      </c>
      <c r="N1944" s="2" t="s">
        <v>38</v>
      </c>
      <c r="O1944" s="2" t="s">
        <v>38</v>
      </c>
      <c r="P1944" s="2" t="s">
        <v>39</v>
      </c>
      <c r="Q1944" s="2" t="s">
        <v>38</v>
      </c>
      <c r="R1944" s="2" t="s">
        <v>39</v>
      </c>
      <c r="S1944" s="2" t="s">
        <v>38</v>
      </c>
      <c r="T1944" s="2" t="s">
        <v>38</v>
      </c>
      <c r="U1944" s="2" t="s">
        <v>39</v>
      </c>
      <c r="V1944" s="2" t="s">
        <v>39</v>
      </c>
      <c r="W1944" s="2" t="s">
        <v>38</v>
      </c>
      <c r="X1944" s="2" t="s">
        <v>38</v>
      </c>
      <c r="Y1944" s="2" t="s">
        <v>38</v>
      </c>
      <c r="Z1944" s="2" t="s">
        <v>38</v>
      </c>
      <c r="AA1944" s="2" t="s">
        <v>38</v>
      </c>
      <c r="AB1944" s="2" t="s">
        <v>38</v>
      </c>
      <c r="AC1944" s="2" t="s">
        <v>38</v>
      </c>
      <c r="AD1944" s="2" t="s">
        <v>38</v>
      </c>
      <c r="AE1944" s="2" t="s">
        <v>40</v>
      </c>
    </row>
    <row r="1945" spans="1:31" ht="409.5">
      <c r="A1945" s="2">
        <v>2728031</v>
      </c>
      <c r="B1945" s="2">
        <f>HYPERLINK("https://platform.v2.vetology.net/cases/2728031/screening-report/1?type=pdf&amp;v=v6&amp;scorecard=1&amp;secret_key=BX%25IJ%24%2F65ieZ%29f6", 2728031)</f>
        <v>2728031</v>
      </c>
      <c r="C1945" s="2">
        <f>HYPERLINK("https://platform.v2.vetology.net/report/v/final/"&amp;2728031, 2728031)</f>
        <v>2728031</v>
      </c>
      <c r="D1945" s="2" t="s">
        <v>6281</v>
      </c>
      <c r="E1945" s="2" t="s">
        <v>6282</v>
      </c>
      <c r="F1945" s="2" t="s">
        <v>43</v>
      </c>
      <c r="G1945" s="2" t="s">
        <v>44</v>
      </c>
      <c r="H1945" s="2" t="s">
        <v>5459</v>
      </c>
      <c r="I1945" s="2" t="s">
        <v>257</v>
      </c>
      <c r="J1945" s="2" t="s">
        <v>74</v>
      </c>
      <c r="K1945" s="2" t="s">
        <v>38</v>
      </c>
      <c r="L1945" s="2" t="s">
        <v>38</v>
      </c>
      <c r="M1945" s="2" t="s">
        <v>38</v>
      </c>
      <c r="N1945" s="2" t="s">
        <v>38</v>
      </c>
      <c r="O1945" s="2" t="s">
        <v>38</v>
      </c>
      <c r="P1945" s="2" t="s">
        <v>38</v>
      </c>
      <c r="Q1945" s="2" t="s">
        <v>38</v>
      </c>
      <c r="R1945" s="2" t="s">
        <v>38</v>
      </c>
      <c r="S1945" s="2" t="s">
        <v>38</v>
      </c>
      <c r="T1945" s="2" t="s">
        <v>38</v>
      </c>
      <c r="U1945" s="2" t="s">
        <v>38</v>
      </c>
      <c r="V1945" s="2" t="s">
        <v>38</v>
      </c>
      <c r="W1945" s="2" t="s">
        <v>38</v>
      </c>
      <c r="X1945" s="2" t="s">
        <v>38</v>
      </c>
      <c r="Y1945" s="2" t="s">
        <v>38</v>
      </c>
      <c r="Z1945" s="2" t="s">
        <v>38</v>
      </c>
      <c r="AA1945" s="2" t="s">
        <v>38</v>
      </c>
      <c r="AB1945" s="2" t="s">
        <v>38</v>
      </c>
      <c r="AC1945" s="2" t="s">
        <v>38</v>
      </c>
      <c r="AD1945" s="2" t="s">
        <v>38</v>
      </c>
      <c r="AE1945" s="2" t="s">
        <v>39</v>
      </c>
    </row>
    <row r="1946" spans="1:31" ht="409.5">
      <c r="A1946" s="2">
        <v>2728007</v>
      </c>
      <c r="B1946" s="2">
        <f>HYPERLINK("https://platform.v2.vetology.net/cases/2728007/screening-report/1?type=pdf&amp;v=v6&amp;scorecard=1&amp;secret_key=BX%25IJ%24%2F65ieZ%29f6", 2728007)</f>
        <v>2728007</v>
      </c>
      <c r="C1946" s="2">
        <f>HYPERLINK("https://platform.v2.vetology.net/report/v/final/"&amp;2728007, 2728007)</f>
        <v>2728007</v>
      </c>
      <c r="D1946" s="2" t="s">
        <v>6283</v>
      </c>
      <c r="E1946" s="2" t="s">
        <v>6284</v>
      </c>
      <c r="F1946" s="2" t="s">
        <v>6285</v>
      </c>
      <c r="G1946" s="2" t="s">
        <v>53</v>
      </c>
      <c r="H1946" s="2" t="s">
        <v>2816</v>
      </c>
      <c r="I1946" s="2" t="s">
        <v>36</v>
      </c>
      <c r="J1946" s="2" t="s">
        <v>37</v>
      </c>
      <c r="K1946" s="2" t="s">
        <v>39</v>
      </c>
      <c r="L1946" s="2" t="s">
        <v>38</v>
      </c>
      <c r="M1946" s="2" t="s">
        <v>39</v>
      </c>
      <c r="N1946" s="2" t="s">
        <v>39</v>
      </c>
      <c r="O1946" s="2" t="s">
        <v>39</v>
      </c>
      <c r="P1946" s="2" t="s">
        <v>39</v>
      </c>
      <c r="Q1946" s="2" t="s">
        <v>39</v>
      </c>
      <c r="R1946" s="2" t="s">
        <v>39</v>
      </c>
      <c r="S1946" s="2" t="s">
        <v>39</v>
      </c>
      <c r="T1946" s="2" t="s">
        <v>39</v>
      </c>
      <c r="U1946" s="2" t="s">
        <v>39</v>
      </c>
      <c r="V1946" s="2" t="s">
        <v>39</v>
      </c>
      <c r="W1946" s="2" t="s">
        <v>38</v>
      </c>
      <c r="X1946" s="2" t="s">
        <v>39</v>
      </c>
      <c r="Y1946" s="2" t="s">
        <v>38</v>
      </c>
      <c r="Z1946" s="2" t="s">
        <v>39</v>
      </c>
      <c r="AA1946" s="2" t="s">
        <v>39</v>
      </c>
      <c r="AB1946" s="2" t="s">
        <v>39</v>
      </c>
      <c r="AC1946" s="2" t="s">
        <v>38</v>
      </c>
      <c r="AD1946" s="2" t="s">
        <v>39</v>
      </c>
      <c r="AE1946" s="2" t="s">
        <v>39</v>
      </c>
    </row>
    <row r="1947" spans="1:31" ht="409.5">
      <c r="A1947" s="2">
        <v>2727995</v>
      </c>
      <c r="B1947" s="2">
        <f>HYPERLINK("https://platform.v2.vetology.net/cases/2727995/screening-report/1?type=pdf&amp;v=v6&amp;scorecard=1&amp;secret_key=BX%25IJ%24%2F65ieZ%29f6", 2727995)</f>
        <v>2727995</v>
      </c>
      <c r="C1947" s="2">
        <f>HYPERLINK("https://platform.v2.vetology.net/report/v/final/"&amp;2727995, 2727995)</f>
        <v>2727995</v>
      </c>
      <c r="D1947" s="2" t="s">
        <v>6286</v>
      </c>
      <c r="E1947" s="2" t="s">
        <v>6287</v>
      </c>
      <c r="F1947" s="2" t="s">
        <v>6288</v>
      </c>
      <c r="G1947" s="2" t="s">
        <v>251</v>
      </c>
      <c r="H1947" s="2" t="s">
        <v>6289</v>
      </c>
      <c r="I1947" s="2" t="s">
        <v>36</v>
      </c>
      <c r="J1947" s="2" t="s">
        <v>37</v>
      </c>
      <c r="K1947" s="2" t="s">
        <v>39</v>
      </c>
      <c r="L1947" s="2" t="s">
        <v>38</v>
      </c>
      <c r="M1947" s="2" t="s">
        <v>38</v>
      </c>
      <c r="N1947" s="2" t="s">
        <v>38</v>
      </c>
      <c r="O1947" s="2" t="s">
        <v>38</v>
      </c>
      <c r="P1947" s="2" t="s">
        <v>39</v>
      </c>
      <c r="Q1947" s="2" t="s">
        <v>39</v>
      </c>
      <c r="R1947" s="2" t="s">
        <v>38</v>
      </c>
      <c r="S1947" s="2" t="s">
        <v>38</v>
      </c>
      <c r="T1947" s="2" t="s">
        <v>38</v>
      </c>
      <c r="U1947" s="2" t="s">
        <v>39</v>
      </c>
      <c r="V1947" s="2" t="s">
        <v>39</v>
      </c>
      <c r="W1947" s="2" t="s">
        <v>38</v>
      </c>
      <c r="X1947" s="2" t="s">
        <v>39</v>
      </c>
      <c r="Y1947" s="2" t="s">
        <v>38</v>
      </c>
      <c r="Z1947" s="2" t="s">
        <v>38</v>
      </c>
      <c r="AA1947" s="2" t="s">
        <v>38</v>
      </c>
      <c r="AB1947" s="2" t="s">
        <v>39</v>
      </c>
      <c r="AC1947" s="2" t="s">
        <v>38</v>
      </c>
      <c r="AD1947" s="2" t="s">
        <v>38</v>
      </c>
      <c r="AE1947" s="2" t="s">
        <v>39</v>
      </c>
    </row>
    <row r="1948" spans="1:31" ht="409.5">
      <c r="A1948" s="2">
        <v>2727994</v>
      </c>
      <c r="B1948" s="2">
        <f>HYPERLINK("https://platform.v2.vetology.net/cases/2727994/screening-report/1?type=pdf&amp;v=v6&amp;scorecard=1&amp;secret_key=BX%25IJ%24%2F65ieZ%29f6", 2727994)</f>
        <v>2727994</v>
      </c>
      <c r="C1948" s="2">
        <f>HYPERLINK("https://platform.v2.vetology.net/report/v/final/"&amp;2727994, 2727994)</f>
        <v>2727994</v>
      </c>
      <c r="D1948" s="2" t="s">
        <v>6290</v>
      </c>
      <c r="E1948" s="2" t="s">
        <v>6291</v>
      </c>
      <c r="F1948" s="2" t="s">
        <v>6292</v>
      </c>
      <c r="G1948" s="2" t="s">
        <v>251</v>
      </c>
      <c r="H1948" s="2" t="s">
        <v>6293</v>
      </c>
      <c r="I1948" s="2" t="s">
        <v>129</v>
      </c>
      <c r="J1948" s="2" t="s">
        <v>74</v>
      </c>
      <c r="K1948" s="2" t="s">
        <v>38</v>
      </c>
      <c r="L1948" s="2" t="s">
        <v>38</v>
      </c>
      <c r="M1948" s="2" t="s">
        <v>38</v>
      </c>
      <c r="N1948" s="2" t="s">
        <v>38</v>
      </c>
      <c r="O1948" s="2" t="s">
        <v>38</v>
      </c>
      <c r="P1948" s="2" t="s">
        <v>39</v>
      </c>
      <c r="Q1948" s="2" t="s">
        <v>38</v>
      </c>
      <c r="R1948" s="2" t="s">
        <v>38</v>
      </c>
      <c r="S1948" s="2" t="s">
        <v>38</v>
      </c>
      <c r="T1948" s="2" t="s">
        <v>38</v>
      </c>
      <c r="U1948" s="2" t="s">
        <v>38</v>
      </c>
      <c r="V1948" s="2" t="s">
        <v>38</v>
      </c>
      <c r="W1948" s="2" t="s">
        <v>38</v>
      </c>
      <c r="X1948" s="2" t="s">
        <v>38</v>
      </c>
      <c r="Y1948" s="2" t="s">
        <v>39</v>
      </c>
      <c r="Z1948" s="2" t="s">
        <v>38</v>
      </c>
      <c r="AA1948" s="2" t="s">
        <v>38</v>
      </c>
      <c r="AB1948" s="2" t="s">
        <v>38</v>
      </c>
      <c r="AC1948" s="2" t="s">
        <v>38</v>
      </c>
      <c r="AD1948" s="2" t="s">
        <v>38</v>
      </c>
      <c r="AE1948" s="2"/>
    </row>
    <row r="1949" spans="1:31" ht="409.5">
      <c r="A1949" s="2">
        <v>2727986</v>
      </c>
      <c r="B1949" s="2">
        <f>HYPERLINK("https://platform.v2.vetology.net/cases/2727986/screening-report/1?type=pdf&amp;v=v6&amp;scorecard=1&amp;secret_key=BX%25IJ%24%2F65ieZ%29f6", 2727986)</f>
        <v>2727986</v>
      </c>
      <c r="C1949" s="2">
        <f>HYPERLINK("https://platform.v2.vetology.net/report/v/final/"&amp;2727986, 2727986)</f>
        <v>2727986</v>
      </c>
      <c r="D1949" s="2" t="s">
        <v>6294</v>
      </c>
      <c r="E1949" s="2" t="s">
        <v>6295</v>
      </c>
      <c r="F1949" s="2" t="s">
        <v>6296</v>
      </c>
      <c r="G1949" s="2" t="s">
        <v>34</v>
      </c>
      <c r="H1949" s="2" t="s">
        <v>45</v>
      </c>
      <c r="I1949" s="2" t="s">
        <v>46</v>
      </c>
      <c r="J1949" s="2"/>
      <c r="K1949" s="2" t="s">
        <v>39</v>
      </c>
      <c r="L1949" s="2" t="s">
        <v>39</v>
      </c>
      <c r="M1949" s="2" t="s">
        <v>39</v>
      </c>
      <c r="N1949" s="2" t="s">
        <v>39</v>
      </c>
      <c r="O1949" s="2" t="s">
        <v>39</v>
      </c>
      <c r="P1949" s="2" t="s">
        <v>39</v>
      </c>
      <c r="Q1949" s="2" t="s">
        <v>39</v>
      </c>
      <c r="R1949" s="2" t="s">
        <v>38</v>
      </c>
      <c r="S1949" s="2" t="s">
        <v>39</v>
      </c>
      <c r="T1949" s="2" t="s">
        <v>39</v>
      </c>
      <c r="U1949" s="2" t="s">
        <v>39</v>
      </c>
      <c r="V1949" s="2" t="s">
        <v>38</v>
      </c>
      <c r="W1949" s="2" t="s">
        <v>39</v>
      </c>
      <c r="X1949" s="2" t="s">
        <v>39</v>
      </c>
      <c r="Y1949" s="2" t="s">
        <v>39</v>
      </c>
      <c r="Z1949" s="2" t="s">
        <v>38</v>
      </c>
      <c r="AA1949" s="2" t="s">
        <v>39</v>
      </c>
      <c r="AB1949" s="2" t="s">
        <v>39</v>
      </c>
      <c r="AC1949" s="2" t="s">
        <v>38</v>
      </c>
      <c r="AD1949" s="2" t="s">
        <v>39</v>
      </c>
      <c r="AE1949" s="2" t="s">
        <v>39</v>
      </c>
    </row>
    <row r="1950" spans="1:31" ht="409.5">
      <c r="A1950" s="2">
        <v>2727979</v>
      </c>
      <c r="B1950" s="2">
        <f>HYPERLINK("https://platform.v2.vetology.net/cases/2727979/screening-report/1?type=pdf&amp;v=v6&amp;scorecard=1&amp;secret_key=BX%25IJ%24%2F65ieZ%29f6", 2727979)</f>
        <v>2727979</v>
      </c>
      <c r="C1950" s="2">
        <f>HYPERLINK("https://platform.v2.vetology.net/report/v/final/"&amp;2727979, 2727979)</f>
        <v>2727979</v>
      </c>
      <c r="D1950" s="2" t="s">
        <v>6297</v>
      </c>
      <c r="E1950" s="2" t="s">
        <v>6298</v>
      </c>
      <c r="F1950" s="2" t="s">
        <v>6299</v>
      </c>
      <c r="G1950" s="2" t="s">
        <v>53</v>
      </c>
      <c r="H1950" s="2" t="s">
        <v>2862</v>
      </c>
      <c r="I1950" s="2" t="s">
        <v>46</v>
      </c>
      <c r="J1950" s="2"/>
      <c r="K1950" s="2" t="s">
        <v>38</v>
      </c>
      <c r="L1950" s="2" t="s">
        <v>39</v>
      </c>
      <c r="M1950" s="2" t="s">
        <v>39</v>
      </c>
      <c r="N1950" s="2" t="s">
        <v>39</v>
      </c>
      <c r="O1950" s="2" t="s">
        <v>39</v>
      </c>
      <c r="P1950" s="2" t="s">
        <v>39</v>
      </c>
      <c r="Q1950" s="2" t="s">
        <v>39</v>
      </c>
      <c r="R1950" s="2" t="s">
        <v>38</v>
      </c>
      <c r="S1950" s="2" t="s">
        <v>38</v>
      </c>
      <c r="T1950" s="2" t="s">
        <v>39</v>
      </c>
      <c r="U1950" s="2" t="s">
        <v>39</v>
      </c>
      <c r="V1950" s="2" t="s">
        <v>38</v>
      </c>
      <c r="W1950" s="2" t="s">
        <v>39</v>
      </c>
      <c r="X1950" s="2" t="s">
        <v>39</v>
      </c>
      <c r="Y1950" s="2" t="s">
        <v>39</v>
      </c>
      <c r="Z1950" s="2" t="s">
        <v>39</v>
      </c>
      <c r="AA1950" s="2" t="s">
        <v>39</v>
      </c>
      <c r="AB1950" s="2" t="s">
        <v>39</v>
      </c>
      <c r="AC1950" s="2" t="s">
        <v>38</v>
      </c>
      <c r="AD1950" s="2" t="s">
        <v>38</v>
      </c>
      <c r="AE1950" s="2" t="s">
        <v>39</v>
      </c>
    </row>
    <row r="1951" spans="1:31" ht="409.5">
      <c r="A1951" s="2">
        <v>2727975</v>
      </c>
      <c r="B1951" s="2">
        <f>HYPERLINK("https://platform.v2.vetology.net/cases/2727975/screening-report/1?type=pdf&amp;v=v6&amp;scorecard=1&amp;secret_key=BX%25IJ%24%2F65ieZ%29f6", 2727975)</f>
        <v>2727975</v>
      </c>
      <c r="C1951" s="2">
        <f>HYPERLINK("https://platform.v2.vetology.net/report/v/final/"&amp;2727975, 2727975)</f>
        <v>2727975</v>
      </c>
      <c r="D1951" s="2" t="s">
        <v>6300</v>
      </c>
      <c r="E1951" s="2" t="s">
        <v>6301</v>
      </c>
      <c r="F1951" s="2" t="s">
        <v>6302</v>
      </c>
      <c r="G1951" s="2" t="s">
        <v>127</v>
      </c>
      <c r="H1951" s="2" t="s">
        <v>69</v>
      </c>
      <c r="I1951" s="2" t="s">
        <v>46</v>
      </c>
      <c r="J1951" s="2"/>
      <c r="K1951" s="2" t="s">
        <v>39</v>
      </c>
      <c r="L1951" s="2" t="s">
        <v>39</v>
      </c>
      <c r="M1951" s="2" t="s">
        <v>39</v>
      </c>
      <c r="N1951" s="2" t="s">
        <v>39</v>
      </c>
      <c r="O1951" s="2" t="s">
        <v>38</v>
      </c>
      <c r="P1951" s="2" t="s">
        <v>39</v>
      </c>
      <c r="Q1951" s="2" t="s">
        <v>39</v>
      </c>
      <c r="R1951" s="2" t="s">
        <v>39</v>
      </c>
      <c r="S1951" s="2" t="s">
        <v>39</v>
      </c>
      <c r="T1951" s="2" t="s">
        <v>39</v>
      </c>
      <c r="U1951" s="2" t="s">
        <v>39</v>
      </c>
      <c r="V1951" s="2" t="s">
        <v>39</v>
      </c>
      <c r="W1951" s="2" t="s">
        <v>38</v>
      </c>
      <c r="X1951" s="2" t="s">
        <v>39</v>
      </c>
      <c r="Y1951" s="2" t="s">
        <v>39</v>
      </c>
      <c r="Z1951" s="2" t="s">
        <v>39</v>
      </c>
      <c r="AA1951" s="2" t="s">
        <v>39</v>
      </c>
      <c r="AB1951" s="2" t="s">
        <v>39</v>
      </c>
      <c r="AC1951" s="2" t="s">
        <v>38</v>
      </c>
      <c r="AD1951" s="2" t="s">
        <v>38</v>
      </c>
      <c r="AE1951" s="2" t="s">
        <v>39</v>
      </c>
    </row>
    <row r="1952" spans="1:31" ht="409.5">
      <c r="A1952" s="2">
        <v>2727959</v>
      </c>
      <c r="B1952" s="2">
        <f>HYPERLINK("https://platform.v2.vetology.net/cases/2727959/screening-report/1?type=pdf&amp;v=v6&amp;scorecard=1&amp;secret_key=BX%25IJ%24%2F65ieZ%29f6", 2727959)</f>
        <v>2727959</v>
      </c>
      <c r="C1952" s="2">
        <f>HYPERLINK("https://platform.v2.vetology.net/report/v/final/"&amp;2727959, 2727959)</f>
        <v>2727959</v>
      </c>
      <c r="D1952" s="2" t="s">
        <v>6303</v>
      </c>
      <c r="E1952" s="2" t="s">
        <v>6304</v>
      </c>
      <c r="F1952" s="2" t="s">
        <v>6305</v>
      </c>
      <c r="G1952" s="2" t="s">
        <v>127</v>
      </c>
      <c r="H1952" s="2" t="s">
        <v>69</v>
      </c>
      <c r="I1952" s="2" t="s">
        <v>46</v>
      </c>
      <c r="J1952" s="2"/>
      <c r="K1952" s="2" t="s">
        <v>39</v>
      </c>
      <c r="L1952" s="2" t="s">
        <v>39</v>
      </c>
      <c r="M1952" s="2" t="s">
        <v>39</v>
      </c>
      <c r="N1952" s="2" t="s">
        <v>39</v>
      </c>
      <c r="O1952" s="2" t="s">
        <v>39</v>
      </c>
      <c r="P1952" s="2" t="s">
        <v>39</v>
      </c>
      <c r="Q1952" s="2" t="s">
        <v>39</v>
      </c>
      <c r="R1952" s="2" t="s">
        <v>39</v>
      </c>
      <c r="S1952" s="2" t="s">
        <v>39</v>
      </c>
      <c r="T1952" s="2" t="s">
        <v>39</v>
      </c>
      <c r="U1952" s="2" t="s">
        <v>39</v>
      </c>
      <c r="V1952" s="2" t="s">
        <v>39</v>
      </c>
      <c r="W1952" s="2" t="s">
        <v>39</v>
      </c>
      <c r="X1952" s="2" t="s">
        <v>39</v>
      </c>
      <c r="Y1952" s="2" t="s">
        <v>39</v>
      </c>
      <c r="Z1952" s="2" t="s">
        <v>39</v>
      </c>
      <c r="AA1952" s="2" t="s">
        <v>39</v>
      </c>
      <c r="AB1952" s="2" t="s">
        <v>39</v>
      </c>
      <c r="AC1952" s="2" t="s">
        <v>39</v>
      </c>
      <c r="AD1952" s="2" t="s">
        <v>38</v>
      </c>
      <c r="AE1952" s="2" t="s">
        <v>39</v>
      </c>
    </row>
    <row r="1953" spans="1:31" ht="409.5">
      <c r="A1953" s="2">
        <v>2727953</v>
      </c>
      <c r="B1953" s="2">
        <f>HYPERLINK("https://platform.v2.vetology.net/cases/2727953/screening-report/1?type=pdf&amp;v=v6&amp;scorecard=1&amp;secret_key=BX%25IJ%24%2F65ieZ%29f6", 2727953)</f>
        <v>2727953</v>
      </c>
      <c r="C1953" s="2">
        <f>HYPERLINK("https://platform.v2.vetology.net/report/v/final/"&amp;2727953, 2727953)</f>
        <v>2727953</v>
      </c>
      <c r="D1953" s="2" t="s">
        <v>6306</v>
      </c>
      <c r="E1953" s="2" t="s">
        <v>6307</v>
      </c>
      <c r="F1953" s="2" t="s">
        <v>6308</v>
      </c>
      <c r="G1953" s="2" t="s">
        <v>34</v>
      </c>
      <c r="H1953" s="2" t="s">
        <v>6309</v>
      </c>
      <c r="I1953" s="2" t="s">
        <v>36</v>
      </c>
      <c r="J1953" s="2" t="s">
        <v>37</v>
      </c>
      <c r="K1953" s="2" t="s">
        <v>38</v>
      </c>
      <c r="L1953" s="2" t="s">
        <v>38</v>
      </c>
      <c r="M1953" s="2" t="s">
        <v>38</v>
      </c>
      <c r="N1953" s="2" t="s">
        <v>38</v>
      </c>
      <c r="O1953" s="2" t="s">
        <v>38</v>
      </c>
      <c r="P1953" s="2" t="s">
        <v>38</v>
      </c>
      <c r="Q1953" s="2" t="s">
        <v>39</v>
      </c>
      <c r="R1953" s="2" t="s">
        <v>38</v>
      </c>
      <c r="S1953" s="2" t="s">
        <v>38</v>
      </c>
      <c r="T1953" s="2" t="s">
        <v>38</v>
      </c>
      <c r="U1953" s="2" t="s">
        <v>38</v>
      </c>
      <c r="V1953" s="2" t="s">
        <v>38</v>
      </c>
      <c r="W1953" s="2" t="s">
        <v>38</v>
      </c>
      <c r="X1953" s="2" t="s">
        <v>38</v>
      </c>
      <c r="Y1953" s="2" t="s">
        <v>38</v>
      </c>
      <c r="Z1953" s="2" t="s">
        <v>38</v>
      </c>
      <c r="AA1953" s="2" t="s">
        <v>38</v>
      </c>
      <c r="AB1953" s="2" t="s">
        <v>38</v>
      </c>
      <c r="AC1953" s="2" t="s">
        <v>38</v>
      </c>
      <c r="AD1953" s="2" t="s">
        <v>38</v>
      </c>
      <c r="AE1953" s="2"/>
    </row>
    <row r="1954" spans="1:31" ht="409.5">
      <c r="A1954" s="2">
        <v>2727906</v>
      </c>
      <c r="B1954" s="2">
        <f>HYPERLINK("https://platform.v2.vetology.net/cases/2727906/screening-report/1?type=pdf&amp;v=v6&amp;scorecard=1&amp;secret_key=BX%25IJ%24%2F65ieZ%29f6", 2727906)</f>
        <v>2727906</v>
      </c>
      <c r="C1954" s="2">
        <f>HYPERLINK("https://platform.v2.vetology.net/report/v/final/"&amp;2727906, 2727906)</f>
        <v>2727906</v>
      </c>
      <c r="D1954" s="2" t="s">
        <v>6310</v>
      </c>
      <c r="E1954" s="2" t="s">
        <v>6311</v>
      </c>
      <c r="F1954" s="2" t="s">
        <v>6312</v>
      </c>
      <c r="G1954" s="2" t="s">
        <v>53</v>
      </c>
      <c r="H1954" s="2" t="s">
        <v>6313</v>
      </c>
      <c r="I1954" s="2" t="s">
        <v>36</v>
      </c>
      <c r="J1954" s="2" t="s">
        <v>37</v>
      </c>
      <c r="K1954" s="2" t="s">
        <v>39</v>
      </c>
      <c r="L1954" s="2" t="s">
        <v>38</v>
      </c>
      <c r="M1954" s="2" t="s">
        <v>38</v>
      </c>
      <c r="N1954" s="2" t="s">
        <v>39</v>
      </c>
      <c r="O1954" s="2" t="s">
        <v>39</v>
      </c>
      <c r="P1954" s="2" t="s">
        <v>39</v>
      </c>
      <c r="Q1954" s="2" t="s">
        <v>39</v>
      </c>
      <c r="R1954" s="2" t="s">
        <v>38</v>
      </c>
      <c r="S1954" s="2" t="s">
        <v>38</v>
      </c>
      <c r="T1954" s="2" t="s">
        <v>39</v>
      </c>
      <c r="U1954" s="2" t="s">
        <v>39</v>
      </c>
      <c r="V1954" s="2" t="s">
        <v>39</v>
      </c>
      <c r="W1954" s="2" t="s">
        <v>39</v>
      </c>
      <c r="X1954" s="2" t="s">
        <v>39</v>
      </c>
      <c r="Y1954" s="2" t="s">
        <v>39</v>
      </c>
      <c r="Z1954" s="2" t="s">
        <v>39</v>
      </c>
      <c r="AA1954" s="2" t="s">
        <v>38</v>
      </c>
      <c r="AB1954" s="2" t="s">
        <v>39</v>
      </c>
      <c r="AC1954" s="2" t="s">
        <v>38</v>
      </c>
      <c r="AD1954" s="2" t="s">
        <v>39</v>
      </c>
      <c r="AE1954" s="2" t="s">
        <v>39</v>
      </c>
    </row>
    <row r="1955" spans="1:31" ht="409.5">
      <c r="A1955" s="2">
        <v>2727903</v>
      </c>
      <c r="B1955" s="2">
        <f>HYPERLINK("https://platform.v2.vetology.net/cases/2727903/screening-report/1?type=pdf&amp;v=v6&amp;scorecard=1&amp;secret_key=BX%25IJ%24%2F65ieZ%29f6", 2727903)</f>
        <v>2727903</v>
      </c>
      <c r="C1955" s="2">
        <f>HYPERLINK("https://platform.v2.vetology.net/report/v/final/"&amp;2727903, 2727903)</f>
        <v>2727903</v>
      </c>
      <c r="D1955" s="2" t="s">
        <v>6314</v>
      </c>
      <c r="E1955" s="2" t="s">
        <v>6315</v>
      </c>
      <c r="F1955" s="2" t="s">
        <v>43</v>
      </c>
      <c r="G1955" s="2" t="s">
        <v>100</v>
      </c>
      <c r="H1955" s="2" t="s">
        <v>6316</v>
      </c>
      <c r="I1955" s="2" t="s">
        <v>73</v>
      </c>
      <c r="J1955" s="2" t="s">
        <v>74</v>
      </c>
      <c r="K1955" s="2" t="s">
        <v>38</v>
      </c>
      <c r="L1955" s="2" t="s">
        <v>38</v>
      </c>
      <c r="M1955" s="2" t="s">
        <v>38</v>
      </c>
      <c r="N1955" s="2" t="s">
        <v>38</v>
      </c>
      <c r="O1955" s="2" t="s">
        <v>38</v>
      </c>
      <c r="P1955" s="2" t="s">
        <v>38</v>
      </c>
      <c r="Q1955" s="2" t="s">
        <v>38</v>
      </c>
      <c r="R1955" s="2" t="s">
        <v>38</v>
      </c>
      <c r="S1955" s="2" t="s">
        <v>38</v>
      </c>
      <c r="T1955" s="2" t="s">
        <v>38</v>
      </c>
      <c r="U1955" s="2" t="s">
        <v>38</v>
      </c>
      <c r="V1955" s="2" t="s">
        <v>38</v>
      </c>
      <c r="W1955" s="2" t="s">
        <v>38</v>
      </c>
      <c r="X1955" s="2" t="s">
        <v>38</v>
      </c>
      <c r="Y1955" s="2" t="s">
        <v>38</v>
      </c>
      <c r="Z1955" s="2" t="s">
        <v>38</v>
      </c>
      <c r="AA1955" s="2" t="s">
        <v>38</v>
      </c>
      <c r="AB1955" s="2" t="s">
        <v>38</v>
      </c>
      <c r="AC1955" s="2" t="s">
        <v>38</v>
      </c>
      <c r="AD1955" s="2" t="s">
        <v>38</v>
      </c>
      <c r="AE1955" s="2" t="s">
        <v>40</v>
      </c>
    </row>
    <row r="1956" spans="1:31" ht="409.5">
      <c r="A1956" s="2">
        <v>2727886</v>
      </c>
      <c r="B1956" s="2">
        <f>HYPERLINK("https://platform.v2.vetology.net/cases/2727886/screening-report/1?type=pdf&amp;v=v6&amp;scorecard=1&amp;secret_key=BX%25IJ%24%2F65ieZ%29f6", 2727886)</f>
        <v>2727886</v>
      </c>
      <c r="C1956" s="2">
        <f>HYPERLINK("https://platform.v2.vetology.net/report/v/final/"&amp;2727886, 2727886)</f>
        <v>2727886</v>
      </c>
      <c r="D1956" s="2" t="s">
        <v>6317</v>
      </c>
      <c r="E1956" s="2" t="s">
        <v>6318</v>
      </c>
      <c r="F1956" s="2" t="s">
        <v>931</v>
      </c>
      <c r="G1956" s="2" t="s">
        <v>53</v>
      </c>
      <c r="H1956" s="2" t="s">
        <v>273</v>
      </c>
      <c r="I1956" s="2" t="s">
        <v>46</v>
      </c>
      <c r="J1956" s="2"/>
      <c r="K1956" s="2" t="s">
        <v>39</v>
      </c>
      <c r="L1956" s="2" t="s">
        <v>39</v>
      </c>
      <c r="M1956" s="2" t="s">
        <v>39</v>
      </c>
      <c r="N1956" s="2" t="s">
        <v>39</v>
      </c>
      <c r="O1956" s="2" t="s">
        <v>39</v>
      </c>
      <c r="P1956" s="2" t="s">
        <v>39</v>
      </c>
      <c r="Q1956" s="2" t="s">
        <v>39</v>
      </c>
      <c r="R1956" s="2" t="s">
        <v>39</v>
      </c>
      <c r="S1956" s="2" t="s">
        <v>38</v>
      </c>
      <c r="T1956" s="2" t="s">
        <v>39</v>
      </c>
      <c r="U1956" s="2" t="s">
        <v>39</v>
      </c>
      <c r="V1956" s="2" t="s">
        <v>39</v>
      </c>
      <c r="W1956" s="2" t="s">
        <v>38</v>
      </c>
      <c r="X1956" s="2" t="s">
        <v>39</v>
      </c>
      <c r="Y1956" s="2" t="s">
        <v>39</v>
      </c>
      <c r="Z1956" s="2" t="s">
        <v>38</v>
      </c>
      <c r="AA1956" s="2" t="s">
        <v>38</v>
      </c>
      <c r="AB1956" s="2" t="s">
        <v>39</v>
      </c>
      <c r="AC1956" s="2" t="s">
        <v>38</v>
      </c>
      <c r="AD1956" s="2" t="s">
        <v>38</v>
      </c>
      <c r="AE1956" s="2" t="s">
        <v>40</v>
      </c>
    </row>
    <row r="1957" spans="1:31" ht="409.5">
      <c r="A1957" s="2">
        <v>2727884</v>
      </c>
      <c r="B1957" s="2">
        <f>HYPERLINK("https://platform.v2.vetology.net/cases/2727884/screening-report/1?type=pdf&amp;v=v6&amp;scorecard=1&amp;secret_key=BX%25IJ%24%2F65ieZ%29f6", 2727884)</f>
        <v>2727884</v>
      </c>
      <c r="C1957" s="2">
        <f>HYPERLINK("https://platform.v2.vetology.net/report/v/final/"&amp;2727884, 2727884)</f>
        <v>2727884</v>
      </c>
      <c r="D1957" s="2" t="s">
        <v>6319</v>
      </c>
      <c r="E1957" s="2" t="s">
        <v>6320</v>
      </c>
      <c r="F1957" s="2" t="s">
        <v>6321</v>
      </c>
      <c r="G1957" s="2" t="s">
        <v>34</v>
      </c>
      <c r="H1957" s="2" t="s">
        <v>6322</v>
      </c>
      <c r="I1957" s="2" t="s">
        <v>73</v>
      </c>
      <c r="J1957" s="2" t="s">
        <v>74</v>
      </c>
      <c r="K1957" s="2" t="s">
        <v>38</v>
      </c>
      <c r="L1957" s="2" t="s">
        <v>38</v>
      </c>
      <c r="M1957" s="2" t="s">
        <v>38</v>
      </c>
      <c r="N1957" s="2" t="s">
        <v>38</v>
      </c>
      <c r="O1957" s="2" t="s">
        <v>38</v>
      </c>
      <c r="P1957" s="2" t="s">
        <v>38</v>
      </c>
      <c r="Q1957" s="2" t="s">
        <v>38</v>
      </c>
      <c r="R1957" s="2" t="s">
        <v>38</v>
      </c>
      <c r="S1957" s="2" t="s">
        <v>38</v>
      </c>
      <c r="T1957" s="2" t="s">
        <v>38</v>
      </c>
      <c r="U1957" s="2" t="s">
        <v>38</v>
      </c>
      <c r="V1957" s="2" t="s">
        <v>38</v>
      </c>
      <c r="W1957" s="2" t="s">
        <v>38</v>
      </c>
      <c r="X1957" s="2" t="s">
        <v>38</v>
      </c>
      <c r="Y1957" s="2" t="s">
        <v>38</v>
      </c>
      <c r="Z1957" s="2" t="s">
        <v>38</v>
      </c>
      <c r="AA1957" s="2" t="s">
        <v>38</v>
      </c>
      <c r="AB1957" s="2" t="s">
        <v>38</v>
      </c>
      <c r="AC1957" s="2" t="s">
        <v>38</v>
      </c>
      <c r="AD1957" s="2" t="s">
        <v>39</v>
      </c>
      <c r="AE1957" s="2" t="s">
        <v>40</v>
      </c>
    </row>
    <row r="1958" spans="1:31" ht="409.5">
      <c r="A1958" s="2">
        <v>2727856</v>
      </c>
      <c r="B1958" s="2">
        <f>HYPERLINK("https://platform.v2.vetology.net/cases/2727856/screening-report/1?type=pdf&amp;v=v6&amp;scorecard=1&amp;secret_key=BX%25IJ%24%2F65ieZ%29f6", 2727856)</f>
        <v>2727856</v>
      </c>
      <c r="C1958" s="2">
        <f>HYPERLINK("https://platform.v2.vetology.net/report/v/final/"&amp;2727856, 2727856)</f>
        <v>2727856</v>
      </c>
      <c r="D1958" s="2" t="s">
        <v>6323</v>
      </c>
      <c r="E1958" s="2" t="s">
        <v>6324</v>
      </c>
      <c r="F1958" s="2" t="s">
        <v>3744</v>
      </c>
      <c r="G1958" s="2" t="s">
        <v>34</v>
      </c>
      <c r="H1958" s="2" t="s">
        <v>1665</v>
      </c>
      <c r="I1958" s="2" t="s">
        <v>36</v>
      </c>
      <c r="J1958" s="2" t="s">
        <v>37</v>
      </c>
      <c r="K1958" s="2" t="s">
        <v>38</v>
      </c>
      <c r="L1958" s="2" t="s">
        <v>39</v>
      </c>
      <c r="M1958" s="2" t="s">
        <v>39</v>
      </c>
      <c r="N1958" s="2" t="s">
        <v>38</v>
      </c>
      <c r="O1958" s="2" t="s">
        <v>38</v>
      </c>
      <c r="P1958" s="2" t="s">
        <v>39</v>
      </c>
      <c r="Q1958" s="2" t="s">
        <v>39</v>
      </c>
      <c r="R1958" s="2" t="s">
        <v>38</v>
      </c>
      <c r="S1958" s="2" t="s">
        <v>39</v>
      </c>
      <c r="T1958" s="2" t="s">
        <v>39</v>
      </c>
      <c r="U1958" s="2" t="s">
        <v>38</v>
      </c>
      <c r="V1958" s="2" t="s">
        <v>38</v>
      </c>
      <c r="W1958" s="2" t="s">
        <v>38</v>
      </c>
      <c r="X1958" s="2" t="s">
        <v>39</v>
      </c>
      <c r="Y1958" s="2" t="s">
        <v>38</v>
      </c>
      <c r="Z1958" s="2" t="s">
        <v>38</v>
      </c>
      <c r="AA1958" s="2" t="s">
        <v>38</v>
      </c>
      <c r="AB1958" s="2" t="s">
        <v>39</v>
      </c>
      <c r="AC1958" s="2" t="s">
        <v>38</v>
      </c>
      <c r="AD1958" s="2" t="s">
        <v>38</v>
      </c>
      <c r="AE1958" s="2"/>
    </row>
    <row r="1959" spans="1:31" ht="409.5">
      <c r="A1959" s="2">
        <v>2727836</v>
      </c>
      <c r="B1959" s="2">
        <f>HYPERLINK("https://platform.v2.vetology.net/cases/2727836/screening-report/1?type=pdf&amp;v=v6&amp;scorecard=1&amp;secret_key=BX%25IJ%24%2F65ieZ%29f6", 2727836)</f>
        <v>2727836</v>
      </c>
      <c r="C1959" s="2">
        <f>HYPERLINK("https://platform.v2.vetology.net/report/v/final/"&amp;2727836, 2727836)</f>
        <v>2727836</v>
      </c>
      <c r="D1959" s="2" t="s">
        <v>6325</v>
      </c>
      <c r="E1959" s="2" t="s">
        <v>6326</v>
      </c>
      <c r="F1959" s="2" t="s">
        <v>6327</v>
      </c>
      <c r="G1959" s="2" t="s">
        <v>251</v>
      </c>
      <c r="H1959" s="2" t="s">
        <v>45</v>
      </c>
      <c r="I1959" s="2" t="s">
        <v>46</v>
      </c>
      <c r="J1959" s="2"/>
      <c r="K1959" s="2" t="s">
        <v>39</v>
      </c>
      <c r="L1959" s="2" t="s">
        <v>39</v>
      </c>
      <c r="M1959" s="2" t="s">
        <v>39</v>
      </c>
      <c r="N1959" s="2" t="s">
        <v>39</v>
      </c>
      <c r="O1959" s="2" t="s">
        <v>39</v>
      </c>
      <c r="P1959" s="2" t="s">
        <v>39</v>
      </c>
      <c r="Q1959" s="2" t="s">
        <v>39</v>
      </c>
      <c r="R1959" s="2" t="s">
        <v>38</v>
      </c>
      <c r="S1959" s="2" t="s">
        <v>39</v>
      </c>
      <c r="T1959" s="2" t="s">
        <v>39</v>
      </c>
      <c r="U1959" s="2" t="s">
        <v>39</v>
      </c>
      <c r="V1959" s="2" t="s">
        <v>39</v>
      </c>
      <c r="W1959" s="2" t="s">
        <v>39</v>
      </c>
      <c r="X1959" s="2" t="s">
        <v>39</v>
      </c>
      <c r="Y1959" s="2" t="s">
        <v>39</v>
      </c>
      <c r="Z1959" s="2" t="s">
        <v>39</v>
      </c>
      <c r="AA1959" s="2" t="s">
        <v>39</v>
      </c>
      <c r="AB1959" s="2" t="s">
        <v>39</v>
      </c>
      <c r="AC1959" s="2" t="s">
        <v>38</v>
      </c>
      <c r="AD1959" s="2" t="s">
        <v>39</v>
      </c>
      <c r="AE1959" s="2" t="s">
        <v>39</v>
      </c>
    </row>
    <row r="1960" spans="1:31" ht="409.5">
      <c r="A1960" s="2">
        <v>2727827</v>
      </c>
      <c r="B1960" s="2">
        <f>HYPERLINK("https://platform.v2.vetology.net/cases/2727827/screening-report/1?type=pdf&amp;v=v6&amp;scorecard=1&amp;secret_key=BX%25IJ%24%2F65ieZ%29f6", 2727827)</f>
        <v>2727827</v>
      </c>
      <c r="C1960" s="2">
        <f>HYPERLINK("https://platform.v2.vetology.net/report/v/final/"&amp;2727827, 2727827)</f>
        <v>2727827</v>
      </c>
      <c r="D1960" s="2" t="s">
        <v>6328</v>
      </c>
      <c r="E1960" s="2" t="s">
        <v>6329</v>
      </c>
      <c r="F1960" s="2" t="s">
        <v>43</v>
      </c>
      <c r="G1960" s="2" t="s">
        <v>44</v>
      </c>
      <c r="H1960" s="2" t="s">
        <v>6330</v>
      </c>
      <c r="I1960" s="2" t="s">
        <v>36</v>
      </c>
      <c r="J1960" s="2" t="s">
        <v>37</v>
      </c>
      <c r="K1960" s="2" t="s">
        <v>38</v>
      </c>
      <c r="L1960" s="2" t="s">
        <v>38</v>
      </c>
      <c r="M1960" s="2" t="s">
        <v>38</v>
      </c>
      <c r="N1960" s="2" t="s">
        <v>38</v>
      </c>
      <c r="O1960" s="2" t="s">
        <v>38</v>
      </c>
      <c r="P1960" s="2" t="s">
        <v>38</v>
      </c>
      <c r="Q1960" s="2" t="s">
        <v>39</v>
      </c>
      <c r="R1960" s="2" t="s">
        <v>39</v>
      </c>
      <c r="S1960" s="2" t="s">
        <v>38</v>
      </c>
      <c r="T1960" s="2" t="s">
        <v>39</v>
      </c>
      <c r="U1960" s="2" t="s">
        <v>38</v>
      </c>
      <c r="V1960" s="2" t="s">
        <v>38</v>
      </c>
      <c r="W1960" s="2" t="s">
        <v>38</v>
      </c>
      <c r="X1960" s="2" t="s">
        <v>39</v>
      </c>
      <c r="Y1960" s="2" t="s">
        <v>39</v>
      </c>
      <c r="Z1960" s="2" t="s">
        <v>38</v>
      </c>
      <c r="AA1960" s="2" t="s">
        <v>38</v>
      </c>
      <c r="AB1960" s="2" t="s">
        <v>38</v>
      </c>
      <c r="AC1960" s="2" t="s">
        <v>38</v>
      </c>
      <c r="AD1960" s="2" t="s">
        <v>38</v>
      </c>
      <c r="AE1960" s="2" t="s">
        <v>39</v>
      </c>
    </row>
    <row r="1961" spans="1:31" ht="409.5">
      <c r="A1961" s="2">
        <v>2727817</v>
      </c>
      <c r="B1961" s="2">
        <f>HYPERLINK("https://platform.v2.vetology.net/cases/2727817/screening-report/1?type=pdf&amp;v=v6&amp;scorecard=1&amp;secret_key=BX%25IJ%24%2F65ieZ%29f6", 2727817)</f>
        <v>2727817</v>
      </c>
      <c r="C1961" s="2">
        <f>HYPERLINK("https://platform.v2.vetology.net/report/v/final/"&amp;2727817, 2727817)</f>
        <v>2727817</v>
      </c>
      <c r="D1961" s="2" t="s">
        <v>6331</v>
      </c>
      <c r="E1961" s="2" t="s">
        <v>6332</v>
      </c>
      <c r="F1961" s="2" t="s">
        <v>3185</v>
      </c>
      <c r="G1961" s="2" t="s">
        <v>44</v>
      </c>
      <c r="H1961" s="2" t="s">
        <v>5479</v>
      </c>
      <c r="I1961" s="2" t="s">
        <v>36</v>
      </c>
      <c r="J1961" s="2" t="s">
        <v>37</v>
      </c>
      <c r="K1961" s="2" t="s">
        <v>39</v>
      </c>
      <c r="L1961" s="2" t="s">
        <v>38</v>
      </c>
      <c r="M1961" s="2" t="s">
        <v>39</v>
      </c>
      <c r="N1961" s="2" t="s">
        <v>39</v>
      </c>
      <c r="O1961" s="2" t="s">
        <v>39</v>
      </c>
      <c r="P1961" s="2" t="s">
        <v>39</v>
      </c>
      <c r="Q1961" s="2" t="s">
        <v>39</v>
      </c>
      <c r="R1961" s="2" t="s">
        <v>39</v>
      </c>
      <c r="S1961" s="2" t="s">
        <v>38</v>
      </c>
      <c r="T1961" s="2" t="s">
        <v>39</v>
      </c>
      <c r="U1961" s="2" t="s">
        <v>39</v>
      </c>
      <c r="V1961" s="2" t="s">
        <v>38</v>
      </c>
      <c r="W1961" s="2" t="s">
        <v>39</v>
      </c>
      <c r="X1961" s="2" t="s">
        <v>39</v>
      </c>
      <c r="Y1961" s="2" t="s">
        <v>39</v>
      </c>
      <c r="Z1961" s="2" t="s">
        <v>38</v>
      </c>
      <c r="AA1961" s="2" t="s">
        <v>39</v>
      </c>
      <c r="AB1961" s="2" t="s">
        <v>39</v>
      </c>
      <c r="AC1961" s="2" t="s">
        <v>38</v>
      </c>
      <c r="AD1961" s="2" t="s">
        <v>38</v>
      </c>
      <c r="AE1961" s="2" t="s">
        <v>39</v>
      </c>
    </row>
    <row r="1962" spans="1:31" ht="409.5">
      <c r="A1962" s="2">
        <v>2727814</v>
      </c>
      <c r="B1962" s="2">
        <f>HYPERLINK("https://platform.v2.vetology.net/cases/2727814/screening-report/1?type=pdf&amp;v=v6&amp;scorecard=1&amp;secret_key=BX%25IJ%24%2F65ieZ%29f6", 2727814)</f>
        <v>2727814</v>
      </c>
      <c r="C1962" s="2">
        <f>HYPERLINK("https://platform.v2.vetology.net/report/v/final/"&amp;2727814, 2727814)</f>
        <v>2727814</v>
      </c>
      <c r="D1962" s="2" t="s">
        <v>6333</v>
      </c>
      <c r="E1962" s="2" t="s">
        <v>6334</v>
      </c>
      <c r="F1962" s="2" t="s">
        <v>43</v>
      </c>
      <c r="G1962" s="2" t="s">
        <v>44</v>
      </c>
      <c r="H1962" s="2" t="s">
        <v>6335</v>
      </c>
      <c r="I1962" s="2" t="s">
        <v>73</v>
      </c>
      <c r="J1962" s="2" t="s">
        <v>74</v>
      </c>
      <c r="K1962" s="2" t="s">
        <v>38</v>
      </c>
      <c r="L1962" s="2" t="s">
        <v>38</v>
      </c>
      <c r="M1962" s="2" t="s">
        <v>38</v>
      </c>
      <c r="N1962" s="2" t="s">
        <v>38</v>
      </c>
      <c r="O1962" s="2" t="s">
        <v>38</v>
      </c>
      <c r="P1962" s="2" t="s">
        <v>38</v>
      </c>
      <c r="Q1962" s="2" t="s">
        <v>38</v>
      </c>
      <c r="R1962" s="2" t="s">
        <v>38</v>
      </c>
      <c r="S1962" s="2" t="s">
        <v>38</v>
      </c>
      <c r="T1962" s="2" t="s">
        <v>38</v>
      </c>
      <c r="U1962" s="2" t="s">
        <v>38</v>
      </c>
      <c r="V1962" s="2" t="s">
        <v>38</v>
      </c>
      <c r="W1962" s="2" t="s">
        <v>38</v>
      </c>
      <c r="X1962" s="2" t="s">
        <v>38</v>
      </c>
      <c r="Y1962" s="2" t="s">
        <v>38</v>
      </c>
      <c r="Z1962" s="2" t="s">
        <v>38</v>
      </c>
      <c r="AA1962" s="2" t="s">
        <v>38</v>
      </c>
      <c r="AB1962" s="2" t="s">
        <v>38</v>
      </c>
      <c r="AC1962" s="2" t="s">
        <v>38</v>
      </c>
      <c r="AD1962" s="2" t="s">
        <v>38</v>
      </c>
      <c r="AE1962" s="2" t="s">
        <v>40</v>
      </c>
    </row>
    <row r="1963" spans="1:31" ht="409.5">
      <c r="A1963" s="2">
        <v>2727788</v>
      </c>
      <c r="B1963" s="2">
        <f>HYPERLINK("https://platform.v2.vetology.net/cases/2727788/screening-report/1?type=pdf&amp;v=v6&amp;scorecard=1&amp;secret_key=BX%25IJ%24%2F65ieZ%29f6", 2727788)</f>
        <v>2727788</v>
      </c>
      <c r="C1963" s="2">
        <f>HYPERLINK("https://platform.v2.vetology.net/report/v/final/"&amp;2727788, 2727788)</f>
        <v>2727788</v>
      </c>
      <c r="D1963" s="2" t="s">
        <v>6336</v>
      </c>
      <c r="E1963" s="2" t="s">
        <v>6337</v>
      </c>
      <c r="F1963" s="2" t="s">
        <v>914</v>
      </c>
      <c r="G1963" s="2" t="s">
        <v>170</v>
      </c>
      <c r="H1963" s="2" t="s">
        <v>611</v>
      </c>
      <c r="I1963" s="2" t="s">
        <v>46</v>
      </c>
      <c r="J1963" s="2"/>
      <c r="K1963" s="2" t="s">
        <v>39</v>
      </c>
      <c r="L1963" s="2" t="s">
        <v>39</v>
      </c>
      <c r="M1963" s="2" t="s">
        <v>39</v>
      </c>
      <c r="N1963" s="2" t="s">
        <v>39</v>
      </c>
      <c r="O1963" s="2" t="s">
        <v>39</v>
      </c>
      <c r="P1963" s="2" t="s">
        <v>39</v>
      </c>
      <c r="Q1963" s="2" t="s">
        <v>39</v>
      </c>
      <c r="R1963" s="2" t="s">
        <v>39</v>
      </c>
      <c r="S1963" s="2" t="s">
        <v>39</v>
      </c>
      <c r="T1963" s="2" t="s">
        <v>39</v>
      </c>
      <c r="U1963" s="2" t="s">
        <v>39</v>
      </c>
      <c r="V1963" s="2" t="s">
        <v>39</v>
      </c>
      <c r="W1963" s="2" t="s">
        <v>38</v>
      </c>
      <c r="X1963" s="2" t="s">
        <v>39</v>
      </c>
      <c r="Y1963" s="2" t="s">
        <v>39</v>
      </c>
      <c r="Z1963" s="2" t="s">
        <v>39</v>
      </c>
      <c r="AA1963" s="2" t="s">
        <v>39</v>
      </c>
      <c r="AB1963" s="2" t="s">
        <v>39</v>
      </c>
      <c r="AC1963" s="2" t="s">
        <v>38</v>
      </c>
      <c r="AD1963" s="2" t="s">
        <v>39</v>
      </c>
      <c r="AE1963" s="2" t="s">
        <v>39</v>
      </c>
    </row>
    <row r="1964" spans="1:31" ht="409.5">
      <c r="A1964" s="2">
        <v>2727783</v>
      </c>
      <c r="B1964" s="2">
        <f>HYPERLINK("https://platform.v2.vetology.net/cases/2727783/screening-report/1?type=pdf&amp;v=v6&amp;scorecard=1&amp;secret_key=BX%25IJ%24%2F65ieZ%29f6", 2727783)</f>
        <v>2727783</v>
      </c>
      <c r="C1964" s="2">
        <f>HYPERLINK("https://platform.v2.vetology.net/report/v/final/"&amp;2727783, 2727783)</f>
        <v>2727783</v>
      </c>
      <c r="D1964" s="2" t="s">
        <v>6338</v>
      </c>
      <c r="E1964" s="2" t="s">
        <v>6339</v>
      </c>
      <c r="F1964" s="2" t="s">
        <v>6340</v>
      </c>
      <c r="G1964" s="2" t="s">
        <v>170</v>
      </c>
      <c r="H1964" s="2" t="s">
        <v>6341</v>
      </c>
      <c r="I1964" s="2" t="s">
        <v>36</v>
      </c>
      <c r="J1964" s="2" t="s">
        <v>37</v>
      </c>
      <c r="K1964" s="2" t="s">
        <v>39</v>
      </c>
      <c r="L1964" s="2" t="s">
        <v>38</v>
      </c>
      <c r="M1964" s="2" t="s">
        <v>39</v>
      </c>
      <c r="N1964" s="2" t="s">
        <v>39</v>
      </c>
      <c r="O1964" s="2" t="s">
        <v>38</v>
      </c>
      <c r="P1964" s="2" t="s">
        <v>38</v>
      </c>
      <c r="Q1964" s="2" t="s">
        <v>39</v>
      </c>
      <c r="R1964" s="2" t="s">
        <v>39</v>
      </c>
      <c r="S1964" s="2" t="s">
        <v>38</v>
      </c>
      <c r="T1964" s="2" t="s">
        <v>39</v>
      </c>
      <c r="U1964" s="2" t="s">
        <v>39</v>
      </c>
      <c r="V1964" s="2" t="s">
        <v>39</v>
      </c>
      <c r="W1964" s="2" t="s">
        <v>38</v>
      </c>
      <c r="X1964" s="2" t="s">
        <v>39</v>
      </c>
      <c r="Y1964" s="2" t="s">
        <v>39</v>
      </c>
      <c r="Z1964" s="2" t="s">
        <v>39</v>
      </c>
      <c r="AA1964" s="2" t="s">
        <v>38</v>
      </c>
      <c r="AB1964" s="2" t="s">
        <v>39</v>
      </c>
      <c r="AC1964" s="2" t="s">
        <v>38</v>
      </c>
      <c r="AD1964" s="2" t="s">
        <v>38</v>
      </c>
      <c r="AE1964" s="2"/>
    </row>
    <row r="1965" spans="1:31" ht="409.5">
      <c r="A1965" s="2">
        <v>2727770</v>
      </c>
      <c r="B1965" s="2">
        <f>HYPERLINK("https://platform.v2.vetology.net/cases/2727770/screening-report/1?type=pdf&amp;v=v6&amp;scorecard=1&amp;secret_key=BX%25IJ%24%2F65ieZ%29f6", 2727770)</f>
        <v>2727770</v>
      </c>
      <c r="C1965" s="2">
        <f>HYPERLINK("https://platform.v2.vetology.net/report/v/final/"&amp;2727770, 2727770)</f>
        <v>2727770</v>
      </c>
      <c r="D1965" s="2" t="s">
        <v>6342</v>
      </c>
      <c r="E1965" s="2" t="s">
        <v>6343</v>
      </c>
      <c r="F1965" s="2" t="s">
        <v>6344</v>
      </c>
      <c r="G1965" s="2" t="s">
        <v>34</v>
      </c>
      <c r="H1965" s="2" t="s">
        <v>69</v>
      </c>
      <c r="I1965" s="2" t="s">
        <v>46</v>
      </c>
      <c r="J1965" s="2"/>
      <c r="K1965" s="2" t="s">
        <v>39</v>
      </c>
      <c r="L1965" s="2" t="s">
        <v>39</v>
      </c>
      <c r="M1965" s="2" t="s">
        <v>39</v>
      </c>
      <c r="N1965" s="2" t="s">
        <v>39</v>
      </c>
      <c r="O1965" s="2" t="s">
        <v>39</v>
      </c>
      <c r="P1965" s="2" t="s">
        <v>39</v>
      </c>
      <c r="Q1965" s="2" t="s">
        <v>39</v>
      </c>
      <c r="R1965" s="2" t="s">
        <v>39</v>
      </c>
      <c r="S1965" s="2" t="s">
        <v>39</v>
      </c>
      <c r="T1965" s="2" t="s">
        <v>39</v>
      </c>
      <c r="U1965" s="2" t="s">
        <v>39</v>
      </c>
      <c r="V1965" s="2" t="s">
        <v>39</v>
      </c>
      <c r="W1965" s="2" t="s">
        <v>38</v>
      </c>
      <c r="X1965" s="2" t="s">
        <v>39</v>
      </c>
      <c r="Y1965" s="2" t="s">
        <v>39</v>
      </c>
      <c r="Z1965" s="2" t="s">
        <v>39</v>
      </c>
      <c r="AA1965" s="2" t="s">
        <v>39</v>
      </c>
      <c r="AB1965" s="2" t="s">
        <v>39</v>
      </c>
      <c r="AC1965" s="2" t="s">
        <v>38</v>
      </c>
      <c r="AD1965" s="2" t="s">
        <v>38</v>
      </c>
      <c r="AE1965" s="2" t="s">
        <v>39</v>
      </c>
    </row>
    <row r="1966" spans="1:31" ht="409.5">
      <c r="A1966" s="2">
        <v>2727760</v>
      </c>
      <c r="B1966" s="2">
        <f>HYPERLINK("https://platform.v2.vetology.net/cases/2727760/screening-report/1?type=pdf&amp;v=v6&amp;scorecard=1&amp;secret_key=BX%25IJ%24%2F65ieZ%29f6", 2727760)</f>
        <v>2727760</v>
      </c>
      <c r="C1966" s="2">
        <f>HYPERLINK("https://platform.v2.vetology.net/report/v/final/"&amp;2727760, 2727760)</f>
        <v>2727760</v>
      </c>
      <c r="D1966" s="2" t="s">
        <v>6345</v>
      </c>
      <c r="E1966" s="2" t="s">
        <v>6346</v>
      </c>
      <c r="F1966" s="2" t="s">
        <v>6347</v>
      </c>
      <c r="G1966" s="2" t="s">
        <v>53</v>
      </c>
      <c r="H1966" s="2" t="s">
        <v>436</v>
      </c>
      <c r="I1966" s="2" t="s">
        <v>59</v>
      </c>
      <c r="J1966" s="2" t="s">
        <v>37</v>
      </c>
      <c r="K1966" s="2" t="s">
        <v>38</v>
      </c>
      <c r="L1966" s="2" t="s">
        <v>39</v>
      </c>
      <c r="M1966" s="2" t="s">
        <v>39</v>
      </c>
      <c r="N1966" s="2" t="s">
        <v>39</v>
      </c>
      <c r="O1966" s="2" t="s">
        <v>38</v>
      </c>
      <c r="P1966" s="2" t="s">
        <v>39</v>
      </c>
      <c r="Q1966" s="2" t="s">
        <v>39</v>
      </c>
      <c r="R1966" s="2" t="s">
        <v>38</v>
      </c>
      <c r="S1966" s="2" t="s">
        <v>39</v>
      </c>
      <c r="T1966" s="2" t="s">
        <v>39</v>
      </c>
      <c r="U1966" s="2" t="s">
        <v>39</v>
      </c>
      <c r="V1966" s="2" t="s">
        <v>39</v>
      </c>
      <c r="W1966" s="2" t="s">
        <v>38</v>
      </c>
      <c r="X1966" s="2" t="s">
        <v>39</v>
      </c>
      <c r="Y1966" s="2" t="s">
        <v>39</v>
      </c>
      <c r="Z1966" s="2" t="s">
        <v>38</v>
      </c>
      <c r="AA1966" s="2" t="s">
        <v>39</v>
      </c>
      <c r="AB1966" s="2" t="s">
        <v>39</v>
      </c>
      <c r="AC1966" s="2" t="s">
        <v>38</v>
      </c>
      <c r="AD1966" s="2" t="s">
        <v>38</v>
      </c>
      <c r="AE1966" s="2" t="s">
        <v>39</v>
      </c>
    </row>
    <row r="1967" spans="1:31" ht="409.5">
      <c r="A1967" s="2">
        <v>2727757</v>
      </c>
      <c r="B1967" s="2">
        <f>HYPERLINK("https://platform.v2.vetology.net/cases/2727757/screening-report/1?type=pdf&amp;v=v6&amp;scorecard=1&amp;secret_key=BX%25IJ%24%2F65ieZ%29f6", 2727757)</f>
        <v>2727757</v>
      </c>
      <c r="C1967" s="2">
        <f>HYPERLINK("https://platform.v2.vetology.net/report/v/final/"&amp;2727757, 2727757)</f>
        <v>2727757</v>
      </c>
      <c r="D1967" s="2" t="s">
        <v>6348</v>
      </c>
      <c r="E1967" s="2" t="s">
        <v>6349</v>
      </c>
      <c r="F1967" s="2"/>
      <c r="G1967" s="2" t="s">
        <v>81</v>
      </c>
      <c r="H1967" s="2" t="s">
        <v>6350</v>
      </c>
      <c r="I1967" s="2" t="s">
        <v>73</v>
      </c>
      <c r="J1967" s="2" t="s">
        <v>74</v>
      </c>
      <c r="K1967" s="2" t="s">
        <v>38</v>
      </c>
      <c r="L1967" s="2" t="s">
        <v>38</v>
      </c>
      <c r="M1967" s="2" t="s">
        <v>39</v>
      </c>
      <c r="N1967" s="2" t="s">
        <v>38</v>
      </c>
      <c r="O1967" s="2" t="s">
        <v>38</v>
      </c>
      <c r="P1967" s="2" t="s">
        <v>38</v>
      </c>
      <c r="Q1967" s="2" t="s">
        <v>38</v>
      </c>
      <c r="R1967" s="2" t="s">
        <v>39</v>
      </c>
      <c r="S1967" s="2" t="s">
        <v>38</v>
      </c>
      <c r="T1967" s="2" t="s">
        <v>39</v>
      </c>
      <c r="U1967" s="2" t="s">
        <v>39</v>
      </c>
      <c r="V1967" s="2" t="s">
        <v>38</v>
      </c>
      <c r="W1967" s="2" t="s">
        <v>38</v>
      </c>
      <c r="X1967" s="2" t="s">
        <v>38</v>
      </c>
      <c r="Y1967" s="2" t="s">
        <v>38</v>
      </c>
      <c r="Z1967" s="2" t="s">
        <v>39</v>
      </c>
      <c r="AA1967" s="2" t="s">
        <v>38</v>
      </c>
      <c r="AB1967" s="2" t="s">
        <v>38</v>
      </c>
      <c r="AC1967" s="2" t="s">
        <v>39</v>
      </c>
      <c r="AD1967" s="2" t="s">
        <v>39</v>
      </c>
      <c r="AE1967" s="2" t="s">
        <v>40</v>
      </c>
    </row>
    <row r="1968" spans="1:31" ht="409.5">
      <c r="A1968" s="2">
        <v>2727744</v>
      </c>
      <c r="B1968" s="2">
        <f>HYPERLINK("https://platform.v2.vetology.net/cases/2727744/screening-report/1?type=pdf&amp;v=v6&amp;scorecard=1&amp;secret_key=BX%25IJ%24%2F65ieZ%29f6", 2727744)</f>
        <v>2727744</v>
      </c>
      <c r="C1968" s="2">
        <f>HYPERLINK("https://platform.v2.vetology.net/report/v/final/"&amp;2727744, 2727744)</f>
        <v>2727744</v>
      </c>
      <c r="D1968" s="2" t="s">
        <v>6351</v>
      </c>
      <c r="E1968" s="2" t="s">
        <v>6352</v>
      </c>
      <c r="F1968" s="2" t="s">
        <v>6353</v>
      </c>
      <c r="G1968" s="2" t="s">
        <v>170</v>
      </c>
      <c r="H1968" s="2" t="s">
        <v>3951</v>
      </c>
      <c r="I1968" s="2" t="s">
        <v>36</v>
      </c>
      <c r="J1968" s="2" t="s">
        <v>37</v>
      </c>
      <c r="K1968" s="2" t="s">
        <v>38</v>
      </c>
      <c r="L1968" s="2" t="s">
        <v>39</v>
      </c>
      <c r="M1968" s="2" t="s">
        <v>38</v>
      </c>
      <c r="N1968" s="2" t="s">
        <v>38</v>
      </c>
      <c r="O1968" s="2" t="s">
        <v>39</v>
      </c>
      <c r="P1968" s="2" t="s">
        <v>39</v>
      </c>
      <c r="Q1968" s="2" t="s">
        <v>39</v>
      </c>
      <c r="R1968" s="2" t="s">
        <v>39</v>
      </c>
      <c r="S1968" s="2" t="s">
        <v>39</v>
      </c>
      <c r="T1968" s="2" t="s">
        <v>39</v>
      </c>
      <c r="U1968" s="2" t="s">
        <v>38</v>
      </c>
      <c r="V1968" s="2" t="s">
        <v>38</v>
      </c>
      <c r="W1968" s="2" t="s">
        <v>38</v>
      </c>
      <c r="X1968" s="2" t="s">
        <v>38</v>
      </c>
      <c r="Y1968" s="2" t="s">
        <v>39</v>
      </c>
      <c r="Z1968" s="2" t="s">
        <v>39</v>
      </c>
      <c r="AA1968" s="2" t="s">
        <v>39</v>
      </c>
      <c r="AB1968" s="2" t="s">
        <v>38</v>
      </c>
      <c r="AC1968" s="2" t="s">
        <v>38</v>
      </c>
      <c r="AD1968" s="2" t="s">
        <v>39</v>
      </c>
      <c r="AE1968" s="2" t="s">
        <v>39</v>
      </c>
    </row>
    <row r="1969" spans="1:31" ht="409.5">
      <c r="A1969" s="2">
        <v>2727737</v>
      </c>
      <c r="B1969" s="2">
        <f>HYPERLINK("https://platform.v2.vetology.net/cases/2727737/screening-report/1?type=pdf&amp;v=v6&amp;scorecard=1&amp;secret_key=BX%25IJ%24%2F65ieZ%29f6", 2727737)</f>
        <v>2727737</v>
      </c>
      <c r="C1969" s="2">
        <f>HYPERLINK("https://platform.v2.vetology.net/report/v/final/"&amp;2727737, 2727737)</f>
        <v>2727737</v>
      </c>
      <c r="D1969" s="2" t="s">
        <v>6354</v>
      </c>
      <c r="E1969" s="2" t="s">
        <v>6355</v>
      </c>
      <c r="F1969" s="2" t="s">
        <v>6356</v>
      </c>
      <c r="G1969" s="2" t="s">
        <v>251</v>
      </c>
      <c r="H1969" s="2" t="s">
        <v>6357</v>
      </c>
      <c r="I1969" s="2" t="s">
        <v>73</v>
      </c>
      <c r="J1969" s="2" t="s">
        <v>74</v>
      </c>
      <c r="K1969" s="2" t="s">
        <v>38</v>
      </c>
      <c r="L1969" s="2" t="s">
        <v>38</v>
      </c>
      <c r="M1969" s="2" t="s">
        <v>38</v>
      </c>
      <c r="N1969" s="2" t="s">
        <v>38</v>
      </c>
      <c r="O1969" s="2" t="s">
        <v>38</v>
      </c>
      <c r="P1969" s="2" t="s">
        <v>38</v>
      </c>
      <c r="Q1969" s="2" t="s">
        <v>38</v>
      </c>
      <c r="R1969" s="2" t="s">
        <v>38</v>
      </c>
      <c r="S1969" s="2" t="s">
        <v>38</v>
      </c>
      <c r="T1969" s="2" t="s">
        <v>38</v>
      </c>
      <c r="U1969" s="2" t="s">
        <v>38</v>
      </c>
      <c r="V1969" s="2" t="s">
        <v>38</v>
      </c>
      <c r="W1969" s="2" t="s">
        <v>38</v>
      </c>
      <c r="X1969" s="2" t="s">
        <v>38</v>
      </c>
      <c r="Y1969" s="2" t="s">
        <v>38</v>
      </c>
      <c r="Z1969" s="2" t="s">
        <v>38</v>
      </c>
      <c r="AA1969" s="2" t="s">
        <v>38</v>
      </c>
      <c r="AB1969" s="2" t="s">
        <v>38</v>
      </c>
      <c r="AC1969" s="2" t="s">
        <v>38</v>
      </c>
      <c r="AD1969" s="2" t="s">
        <v>39</v>
      </c>
      <c r="AE1969" s="2" t="s">
        <v>40</v>
      </c>
    </row>
    <row r="1970" spans="1:31" ht="409.5">
      <c r="A1970" s="2">
        <v>2727712</v>
      </c>
      <c r="B1970" s="2">
        <f>HYPERLINK("https://platform.v2.vetology.net/cases/2727712/screening-report/1?type=pdf&amp;v=v6&amp;scorecard=1&amp;secret_key=BX%25IJ%24%2F65ieZ%29f6", 2727712)</f>
        <v>2727712</v>
      </c>
      <c r="C1970" s="2">
        <f>HYPERLINK("https://platform.v2.vetology.net/report/v/final/"&amp;2727712, 2727712)</f>
        <v>2727712</v>
      </c>
      <c r="D1970" s="2" t="s">
        <v>853</v>
      </c>
      <c r="E1970" s="2" t="s">
        <v>854</v>
      </c>
      <c r="F1970" s="2" t="s">
        <v>6358</v>
      </c>
      <c r="G1970" s="2" t="s">
        <v>111</v>
      </c>
      <c r="H1970" s="2" t="s">
        <v>3121</v>
      </c>
      <c r="I1970" s="2" t="s">
        <v>36</v>
      </c>
      <c r="J1970" s="2" t="s">
        <v>37</v>
      </c>
      <c r="K1970" s="2" t="s">
        <v>38</v>
      </c>
      <c r="L1970" s="2" t="s">
        <v>38</v>
      </c>
      <c r="M1970" s="2" t="s">
        <v>39</v>
      </c>
      <c r="N1970" s="2" t="s">
        <v>38</v>
      </c>
      <c r="O1970" s="2" t="s">
        <v>38</v>
      </c>
      <c r="P1970" s="2" t="s">
        <v>39</v>
      </c>
      <c r="Q1970" s="2" t="s">
        <v>39</v>
      </c>
      <c r="R1970" s="2" t="s">
        <v>38</v>
      </c>
      <c r="S1970" s="2" t="s">
        <v>38</v>
      </c>
      <c r="T1970" s="2" t="s">
        <v>38</v>
      </c>
      <c r="U1970" s="2" t="s">
        <v>39</v>
      </c>
      <c r="V1970" s="2" t="s">
        <v>38</v>
      </c>
      <c r="W1970" s="2" t="s">
        <v>38</v>
      </c>
      <c r="X1970" s="2" t="s">
        <v>38</v>
      </c>
      <c r="Y1970" s="2" t="s">
        <v>39</v>
      </c>
      <c r="Z1970" s="2" t="s">
        <v>38</v>
      </c>
      <c r="AA1970" s="2" t="s">
        <v>38</v>
      </c>
      <c r="AB1970" s="2" t="s">
        <v>39</v>
      </c>
      <c r="AC1970" s="2" t="s">
        <v>38</v>
      </c>
      <c r="AD1970" s="2" t="s">
        <v>38</v>
      </c>
      <c r="AE1970" s="2" t="s">
        <v>40</v>
      </c>
    </row>
    <row r="1971" spans="1:31" ht="409.5">
      <c r="A1971" s="2">
        <v>2727697</v>
      </c>
      <c r="B1971" s="2">
        <f>HYPERLINK("https://platform.v2.vetology.net/cases/2727697/screening-report/1?type=pdf&amp;v=v6&amp;scorecard=1&amp;secret_key=BX%25IJ%24%2F65ieZ%29f6", 2727697)</f>
        <v>2727697</v>
      </c>
      <c r="C1971" s="2">
        <f>HYPERLINK("https://platform.v2.vetology.net/report/v/final/"&amp;2727697, 2727697)</f>
        <v>2727697</v>
      </c>
      <c r="D1971" s="2" t="s">
        <v>6359</v>
      </c>
      <c r="E1971" s="2" t="s">
        <v>6360</v>
      </c>
      <c r="F1971" s="2" t="s">
        <v>6361</v>
      </c>
      <c r="G1971" s="2" t="s">
        <v>170</v>
      </c>
      <c r="H1971" s="2" t="s">
        <v>6362</v>
      </c>
      <c r="I1971" s="2" t="s">
        <v>36</v>
      </c>
      <c r="J1971" s="2" t="s">
        <v>37</v>
      </c>
      <c r="K1971" s="2" t="s">
        <v>39</v>
      </c>
      <c r="L1971" s="2" t="s">
        <v>38</v>
      </c>
      <c r="M1971" s="2" t="s">
        <v>38</v>
      </c>
      <c r="N1971" s="2" t="s">
        <v>38</v>
      </c>
      <c r="O1971" s="2" t="s">
        <v>38</v>
      </c>
      <c r="P1971" s="2" t="s">
        <v>39</v>
      </c>
      <c r="Q1971" s="2" t="s">
        <v>39</v>
      </c>
      <c r="R1971" s="2" t="s">
        <v>38</v>
      </c>
      <c r="S1971" s="2" t="s">
        <v>38</v>
      </c>
      <c r="T1971" s="2" t="s">
        <v>39</v>
      </c>
      <c r="U1971" s="2" t="s">
        <v>38</v>
      </c>
      <c r="V1971" s="2" t="s">
        <v>39</v>
      </c>
      <c r="W1971" s="2" t="s">
        <v>38</v>
      </c>
      <c r="X1971" s="2" t="s">
        <v>39</v>
      </c>
      <c r="Y1971" s="2" t="s">
        <v>39</v>
      </c>
      <c r="Z1971" s="2" t="s">
        <v>38</v>
      </c>
      <c r="AA1971" s="2" t="s">
        <v>38</v>
      </c>
      <c r="AB1971" s="2" t="s">
        <v>39</v>
      </c>
      <c r="AC1971" s="2" t="s">
        <v>38</v>
      </c>
      <c r="AD1971" s="2" t="s">
        <v>38</v>
      </c>
      <c r="AE1971" s="2"/>
    </row>
    <row r="1972" spans="1:31" ht="409.5">
      <c r="A1972" s="2">
        <v>2727661</v>
      </c>
      <c r="B1972" s="2">
        <f>HYPERLINK("https://platform.v2.vetology.net/cases/2727661/screening-report/1?type=pdf&amp;v=v6&amp;scorecard=1&amp;secret_key=BX%25IJ%24%2F65ieZ%29f6", 2727661)</f>
        <v>2727661</v>
      </c>
      <c r="C1972" s="2">
        <f>HYPERLINK("https://platform.v2.vetology.net/report/v/final/"&amp;2727661, 2727661)</f>
        <v>2727661</v>
      </c>
      <c r="D1972" s="2" t="s">
        <v>6363</v>
      </c>
      <c r="E1972" s="2" t="s">
        <v>359</v>
      </c>
      <c r="F1972" s="2"/>
      <c r="G1972" s="2" t="s">
        <v>100</v>
      </c>
      <c r="H1972" s="2" t="s">
        <v>6056</v>
      </c>
      <c r="I1972" s="2" t="s">
        <v>36</v>
      </c>
      <c r="J1972" s="2" t="s">
        <v>37</v>
      </c>
      <c r="K1972" s="2" t="s">
        <v>38</v>
      </c>
      <c r="L1972" s="2" t="s">
        <v>38</v>
      </c>
      <c r="M1972" s="2" t="s">
        <v>39</v>
      </c>
      <c r="N1972" s="2" t="s">
        <v>38</v>
      </c>
      <c r="O1972" s="2" t="s">
        <v>38</v>
      </c>
      <c r="P1972" s="2" t="s">
        <v>39</v>
      </c>
      <c r="Q1972" s="2" t="s">
        <v>39</v>
      </c>
      <c r="R1972" s="2" t="s">
        <v>38</v>
      </c>
      <c r="S1972" s="2" t="s">
        <v>38</v>
      </c>
      <c r="T1972" s="2" t="s">
        <v>39</v>
      </c>
      <c r="U1972" s="2" t="s">
        <v>38</v>
      </c>
      <c r="V1972" s="2" t="s">
        <v>38</v>
      </c>
      <c r="W1972" s="2" t="s">
        <v>38</v>
      </c>
      <c r="X1972" s="2" t="s">
        <v>39</v>
      </c>
      <c r="Y1972" s="2" t="s">
        <v>39</v>
      </c>
      <c r="Z1972" s="2" t="s">
        <v>38</v>
      </c>
      <c r="AA1972" s="2" t="s">
        <v>39</v>
      </c>
      <c r="AB1972" s="2" t="s">
        <v>39</v>
      </c>
      <c r="AC1972" s="2" t="s">
        <v>38</v>
      </c>
      <c r="AD1972" s="2" t="s">
        <v>38</v>
      </c>
      <c r="AE1972" s="2" t="s">
        <v>40</v>
      </c>
    </row>
    <row r="1973" spans="1:31" ht="409.5">
      <c r="A1973" s="2">
        <v>2727660</v>
      </c>
      <c r="B1973" s="2">
        <f>HYPERLINK("https://platform.v2.vetology.net/cases/2727660/screening-report/1?type=pdf&amp;v=v6&amp;scorecard=1&amp;secret_key=BX%25IJ%24%2F65ieZ%29f6", 2727660)</f>
        <v>2727660</v>
      </c>
      <c r="C1973" s="2">
        <f>HYPERLINK("https://platform.v2.vetology.net/report/v/final/"&amp;2727660, 2727660)</f>
        <v>2727660</v>
      </c>
      <c r="D1973" s="2" t="s">
        <v>6364</v>
      </c>
      <c r="E1973" s="2" t="s">
        <v>6365</v>
      </c>
      <c r="F1973" s="2" t="s">
        <v>6366</v>
      </c>
      <c r="G1973" s="2" t="s">
        <v>170</v>
      </c>
      <c r="H1973" s="2" t="s">
        <v>6367</v>
      </c>
      <c r="I1973" s="2" t="s">
        <v>36</v>
      </c>
      <c r="J1973" s="2" t="s">
        <v>37</v>
      </c>
      <c r="K1973" s="2" t="s">
        <v>39</v>
      </c>
      <c r="L1973" s="2" t="s">
        <v>38</v>
      </c>
      <c r="M1973" s="2" t="s">
        <v>39</v>
      </c>
      <c r="N1973" s="2" t="s">
        <v>39</v>
      </c>
      <c r="O1973" s="2" t="s">
        <v>38</v>
      </c>
      <c r="P1973" s="2" t="s">
        <v>39</v>
      </c>
      <c r="Q1973" s="2" t="s">
        <v>39</v>
      </c>
      <c r="R1973" s="2" t="s">
        <v>38</v>
      </c>
      <c r="S1973" s="2" t="s">
        <v>39</v>
      </c>
      <c r="T1973" s="2" t="s">
        <v>38</v>
      </c>
      <c r="U1973" s="2" t="s">
        <v>39</v>
      </c>
      <c r="V1973" s="2" t="s">
        <v>39</v>
      </c>
      <c r="W1973" s="2" t="s">
        <v>39</v>
      </c>
      <c r="X1973" s="2" t="s">
        <v>39</v>
      </c>
      <c r="Y1973" s="2" t="s">
        <v>39</v>
      </c>
      <c r="Z1973" s="2" t="s">
        <v>39</v>
      </c>
      <c r="AA1973" s="2" t="s">
        <v>39</v>
      </c>
      <c r="AB1973" s="2" t="s">
        <v>39</v>
      </c>
      <c r="AC1973" s="2" t="s">
        <v>38</v>
      </c>
      <c r="AD1973" s="2" t="s">
        <v>38</v>
      </c>
      <c r="AE1973" s="2" t="s">
        <v>39</v>
      </c>
    </row>
    <row r="1974" spans="1:31" ht="409.5">
      <c r="A1974" s="2">
        <v>2727658</v>
      </c>
      <c r="B1974" s="2">
        <f>HYPERLINK("https://platform.v2.vetology.net/cases/2727658/screening-report/1?type=pdf&amp;v=v6&amp;scorecard=1&amp;secret_key=BX%25IJ%24%2F65ieZ%29f6", 2727658)</f>
        <v>2727658</v>
      </c>
      <c r="C1974" s="2">
        <f>HYPERLINK("https://platform.v2.vetology.net/report/v/final/"&amp;2727658, 2727658)</f>
        <v>2727658</v>
      </c>
      <c r="D1974" s="2" t="s">
        <v>6368</v>
      </c>
      <c r="E1974" s="2" t="s">
        <v>6369</v>
      </c>
      <c r="F1974" s="2" t="s">
        <v>6370</v>
      </c>
      <c r="G1974" s="2" t="s">
        <v>170</v>
      </c>
      <c r="H1974" s="2" t="s">
        <v>66</v>
      </c>
      <c r="I1974" s="2" t="s">
        <v>36</v>
      </c>
      <c r="J1974" s="2" t="s">
        <v>37</v>
      </c>
      <c r="K1974" s="2" t="s">
        <v>39</v>
      </c>
      <c r="L1974" s="2" t="s">
        <v>39</v>
      </c>
      <c r="M1974" s="2" t="s">
        <v>38</v>
      </c>
      <c r="N1974" s="2" t="s">
        <v>39</v>
      </c>
      <c r="O1974" s="2" t="s">
        <v>38</v>
      </c>
      <c r="P1974" s="2" t="s">
        <v>39</v>
      </c>
      <c r="Q1974" s="2" t="s">
        <v>39</v>
      </c>
      <c r="R1974" s="2" t="s">
        <v>39</v>
      </c>
      <c r="S1974" s="2" t="s">
        <v>39</v>
      </c>
      <c r="T1974" s="2" t="s">
        <v>39</v>
      </c>
      <c r="U1974" s="2" t="s">
        <v>39</v>
      </c>
      <c r="V1974" s="2" t="s">
        <v>39</v>
      </c>
      <c r="W1974" s="2" t="s">
        <v>39</v>
      </c>
      <c r="X1974" s="2" t="s">
        <v>39</v>
      </c>
      <c r="Y1974" s="2" t="s">
        <v>39</v>
      </c>
      <c r="Z1974" s="2" t="s">
        <v>39</v>
      </c>
      <c r="AA1974" s="2" t="s">
        <v>38</v>
      </c>
      <c r="AB1974" s="2" t="s">
        <v>39</v>
      </c>
      <c r="AC1974" s="2" t="s">
        <v>39</v>
      </c>
      <c r="AD1974" s="2" t="s">
        <v>39</v>
      </c>
      <c r="AE1974" s="2" t="s">
        <v>40</v>
      </c>
    </row>
    <row r="1975" spans="1:31" ht="409.5">
      <c r="A1975" s="2">
        <v>2727629</v>
      </c>
      <c r="B1975" s="2">
        <f>HYPERLINK("https://platform.v2.vetology.net/cases/2727629/screening-report/1?type=pdf&amp;v=v6&amp;scorecard=1&amp;secret_key=BX%25IJ%24%2F65ieZ%29f6", 2727629)</f>
        <v>2727629</v>
      </c>
      <c r="C1975" s="2">
        <f>HYPERLINK("https://platform.v2.vetology.net/report/v/final/"&amp;2727629, 2727629)</f>
        <v>2727629</v>
      </c>
      <c r="D1975" s="2" t="s">
        <v>6371</v>
      </c>
      <c r="E1975" s="2" t="s">
        <v>6372</v>
      </c>
      <c r="F1975" s="2" t="s">
        <v>6373</v>
      </c>
      <c r="G1975" s="2" t="s">
        <v>44</v>
      </c>
      <c r="H1975" s="2" t="s">
        <v>394</v>
      </c>
      <c r="I1975" s="2" t="s">
        <v>59</v>
      </c>
      <c r="J1975" s="2" t="s">
        <v>37</v>
      </c>
      <c r="K1975" s="2" t="s">
        <v>38</v>
      </c>
      <c r="L1975" s="2" t="s">
        <v>39</v>
      </c>
      <c r="M1975" s="2" t="s">
        <v>39</v>
      </c>
      <c r="N1975" s="2" t="s">
        <v>39</v>
      </c>
      <c r="O1975" s="2" t="s">
        <v>39</v>
      </c>
      <c r="P1975" s="2" t="s">
        <v>39</v>
      </c>
      <c r="Q1975" s="2" t="s">
        <v>39</v>
      </c>
      <c r="R1975" s="2" t="s">
        <v>39</v>
      </c>
      <c r="S1975" s="2" t="s">
        <v>39</v>
      </c>
      <c r="T1975" s="2" t="s">
        <v>39</v>
      </c>
      <c r="U1975" s="2" t="s">
        <v>38</v>
      </c>
      <c r="V1975" s="2" t="s">
        <v>38</v>
      </c>
      <c r="W1975" s="2" t="s">
        <v>39</v>
      </c>
      <c r="X1975" s="2" t="s">
        <v>39</v>
      </c>
      <c r="Y1975" s="2" t="s">
        <v>39</v>
      </c>
      <c r="Z1975" s="2" t="s">
        <v>39</v>
      </c>
      <c r="AA1975" s="2" t="s">
        <v>39</v>
      </c>
      <c r="AB1975" s="2" t="s">
        <v>39</v>
      </c>
      <c r="AC1975" s="2" t="s">
        <v>39</v>
      </c>
      <c r="AD1975" s="2" t="s">
        <v>39</v>
      </c>
      <c r="AE1975" s="2" t="s">
        <v>39</v>
      </c>
    </row>
    <row r="1976" spans="1:31" ht="409.5">
      <c r="A1976" s="2">
        <v>2727622</v>
      </c>
      <c r="B1976" s="2">
        <f>HYPERLINK("https://platform.v2.vetology.net/cases/2727622/screening-report/1?type=pdf&amp;v=v6&amp;scorecard=1&amp;secret_key=BX%25IJ%24%2F65ieZ%29f6", 2727622)</f>
        <v>2727622</v>
      </c>
      <c r="C1976" s="2">
        <f>HYPERLINK("https://platform.v2.vetology.net/report/v/final/"&amp;2727622, 2727622)</f>
        <v>2727622</v>
      </c>
      <c r="D1976" s="2" t="s">
        <v>6374</v>
      </c>
      <c r="E1976" s="2" t="s">
        <v>6375</v>
      </c>
      <c r="F1976" s="2" t="s">
        <v>6376</v>
      </c>
      <c r="G1976" s="2" t="s">
        <v>170</v>
      </c>
      <c r="H1976" s="2" t="s">
        <v>6377</v>
      </c>
      <c r="I1976" s="2" t="s">
        <v>36</v>
      </c>
      <c r="J1976" s="2" t="s">
        <v>37</v>
      </c>
      <c r="K1976" s="2" t="s">
        <v>38</v>
      </c>
      <c r="L1976" s="2" t="s">
        <v>38</v>
      </c>
      <c r="M1976" s="2" t="s">
        <v>38</v>
      </c>
      <c r="N1976" s="2" t="s">
        <v>38</v>
      </c>
      <c r="O1976" s="2" t="s">
        <v>38</v>
      </c>
      <c r="P1976" s="2" t="s">
        <v>39</v>
      </c>
      <c r="Q1976" s="2" t="s">
        <v>39</v>
      </c>
      <c r="R1976" s="2" t="s">
        <v>38</v>
      </c>
      <c r="S1976" s="2" t="s">
        <v>38</v>
      </c>
      <c r="T1976" s="2" t="s">
        <v>38</v>
      </c>
      <c r="U1976" s="2" t="s">
        <v>38</v>
      </c>
      <c r="V1976" s="2" t="s">
        <v>38</v>
      </c>
      <c r="W1976" s="2" t="s">
        <v>38</v>
      </c>
      <c r="X1976" s="2" t="s">
        <v>39</v>
      </c>
      <c r="Y1976" s="2" t="s">
        <v>39</v>
      </c>
      <c r="Z1976" s="2" t="s">
        <v>38</v>
      </c>
      <c r="AA1976" s="2" t="s">
        <v>39</v>
      </c>
      <c r="AB1976" s="2" t="s">
        <v>39</v>
      </c>
      <c r="AC1976" s="2" t="s">
        <v>38</v>
      </c>
      <c r="AD1976" s="2" t="s">
        <v>39</v>
      </c>
      <c r="AE1976" s="2" t="s">
        <v>39</v>
      </c>
    </row>
    <row r="1977" spans="1:31" ht="409.5">
      <c r="A1977" s="2">
        <v>2727596</v>
      </c>
      <c r="B1977" s="2">
        <f>HYPERLINK("https://platform.v2.vetology.net/cases/2727596/screening-report/1?type=pdf&amp;v=v6&amp;scorecard=1&amp;secret_key=BX%25IJ%24%2F65ieZ%29f6", 2727596)</f>
        <v>2727596</v>
      </c>
      <c r="C1977" s="2">
        <f>HYPERLINK("https://platform.v2.vetology.net/report/v/final/"&amp;2727596, 2727596)</f>
        <v>2727596</v>
      </c>
      <c r="D1977" s="2" t="s">
        <v>6378</v>
      </c>
      <c r="E1977" s="2" t="s">
        <v>6379</v>
      </c>
      <c r="F1977" s="2" t="s">
        <v>6380</v>
      </c>
      <c r="G1977" s="2" t="s">
        <v>170</v>
      </c>
      <c r="H1977" s="2" t="s">
        <v>951</v>
      </c>
      <c r="I1977" s="2" t="s">
        <v>36</v>
      </c>
      <c r="J1977" s="2" t="s">
        <v>37</v>
      </c>
      <c r="K1977" s="2" t="s">
        <v>39</v>
      </c>
      <c r="L1977" s="2" t="s">
        <v>39</v>
      </c>
      <c r="M1977" s="2" t="s">
        <v>39</v>
      </c>
      <c r="N1977" s="2" t="s">
        <v>38</v>
      </c>
      <c r="O1977" s="2" t="s">
        <v>38</v>
      </c>
      <c r="P1977" s="2" t="s">
        <v>38</v>
      </c>
      <c r="Q1977" s="2" t="s">
        <v>39</v>
      </c>
      <c r="R1977" s="2" t="s">
        <v>39</v>
      </c>
      <c r="S1977" s="2" t="s">
        <v>39</v>
      </c>
      <c r="T1977" s="2" t="s">
        <v>39</v>
      </c>
      <c r="U1977" s="2" t="s">
        <v>39</v>
      </c>
      <c r="V1977" s="2" t="s">
        <v>39</v>
      </c>
      <c r="W1977" s="2" t="s">
        <v>39</v>
      </c>
      <c r="X1977" s="2" t="s">
        <v>39</v>
      </c>
      <c r="Y1977" s="2" t="s">
        <v>39</v>
      </c>
      <c r="Z1977" s="2" t="s">
        <v>39</v>
      </c>
      <c r="AA1977" s="2" t="s">
        <v>39</v>
      </c>
      <c r="AB1977" s="2" t="s">
        <v>39</v>
      </c>
      <c r="AC1977" s="2" t="s">
        <v>39</v>
      </c>
      <c r="AD1977" s="2" t="s">
        <v>39</v>
      </c>
      <c r="AE1977" s="2" t="s">
        <v>40</v>
      </c>
    </row>
    <row r="1978" spans="1:31" ht="409.5">
      <c r="A1978" s="2">
        <v>2727595</v>
      </c>
      <c r="B1978" s="2">
        <f>HYPERLINK("https://platform.v2.vetology.net/cases/2727595/screening-report/1?type=pdf&amp;v=v6&amp;scorecard=1&amp;secret_key=BX%25IJ%24%2F65ieZ%29f6", 2727595)</f>
        <v>2727595</v>
      </c>
      <c r="C1978" s="2">
        <f>HYPERLINK("https://platform.v2.vetology.net/report/v/final/"&amp;2727595, 2727595)</f>
        <v>2727595</v>
      </c>
      <c r="D1978" s="2" t="s">
        <v>6381</v>
      </c>
      <c r="E1978" s="2" t="s">
        <v>6382</v>
      </c>
      <c r="F1978" s="2" t="s">
        <v>43</v>
      </c>
      <c r="G1978" s="2" t="s">
        <v>44</v>
      </c>
      <c r="H1978" s="2" t="s">
        <v>6383</v>
      </c>
      <c r="I1978" s="2" t="s">
        <v>36</v>
      </c>
      <c r="J1978" s="2" t="s">
        <v>37</v>
      </c>
      <c r="K1978" s="2" t="s">
        <v>39</v>
      </c>
      <c r="L1978" s="2" t="s">
        <v>38</v>
      </c>
      <c r="M1978" s="2" t="s">
        <v>39</v>
      </c>
      <c r="N1978" s="2" t="s">
        <v>39</v>
      </c>
      <c r="O1978" s="2" t="s">
        <v>38</v>
      </c>
      <c r="P1978" s="2" t="s">
        <v>39</v>
      </c>
      <c r="Q1978" s="2" t="s">
        <v>39</v>
      </c>
      <c r="R1978" s="2" t="s">
        <v>38</v>
      </c>
      <c r="S1978" s="2" t="s">
        <v>38</v>
      </c>
      <c r="T1978" s="2" t="s">
        <v>39</v>
      </c>
      <c r="U1978" s="2" t="s">
        <v>39</v>
      </c>
      <c r="V1978" s="2" t="s">
        <v>39</v>
      </c>
      <c r="W1978" s="2" t="s">
        <v>39</v>
      </c>
      <c r="X1978" s="2" t="s">
        <v>39</v>
      </c>
      <c r="Y1978" s="2" t="s">
        <v>39</v>
      </c>
      <c r="Z1978" s="2" t="s">
        <v>38</v>
      </c>
      <c r="AA1978" s="2" t="s">
        <v>39</v>
      </c>
      <c r="AB1978" s="2" t="s">
        <v>39</v>
      </c>
      <c r="AC1978" s="2" t="s">
        <v>39</v>
      </c>
      <c r="AD1978" s="2" t="s">
        <v>38</v>
      </c>
      <c r="AE1978" s="2" t="s">
        <v>39</v>
      </c>
    </row>
    <row r="1979" spans="1:31" ht="409.5">
      <c r="A1979" s="2">
        <v>2727591</v>
      </c>
      <c r="B1979" s="2">
        <f>HYPERLINK("https://platform.v2.vetology.net/cases/2727591/screening-report/1?type=pdf&amp;v=v6&amp;scorecard=1&amp;secret_key=BX%25IJ%24%2F65ieZ%29f6", 2727591)</f>
        <v>2727591</v>
      </c>
      <c r="C1979" s="2">
        <f>HYPERLINK("https://platform.v2.vetology.net/report/v/final/"&amp;2727591, 2727591)</f>
        <v>2727591</v>
      </c>
      <c r="D1979" s="2" t="s">
        <v>6384</v>
      </c>
      <c r="E1979" s="2" t="s">
        <v>6385</v>
      </c>
      <c r="F1979" s="2" t="s">
        <v>6386</v>
      </c>
      <c r="G1979" s="2" t="s">
        <v>127</v>
      </c>
      <c r="H1979" s="2" t="s">
        <v>6387</v>
      </c>
      <c r="I1979" s="2" t="s">
        <v>36</v>
      </c>
      <c r="J1979" s="2" t="s">
        <v>37</v>
      </c>
      <c r="K1979" s="2" t="s">
        <v>38</v>
      </c>
      <c r="L1979" s="2" t="s">
        <v>38</v>
      </c>
      <c r="M1979" s="2" t="s">
        <v>38</v>
      </c>
      <c r="N1979" s="2" t="s">
        <v>38</v>
      </c>
      <c r="O1979" s="2" t="s">
        <v>38</v>
      </c>
      <c r="P1979" s="2" t="s">
        <v>39</v>
      </c>
      <c r="Q1979" s="2" t="s">
        <v>39</v>
      </c>
      <c r="R1979" s="2" t="s">
        <v>38</v>
      </c>
      <c r="S1979" s="2" t="s">
        <v>38</v>
      </c>
      <c r="T1979" s="2" t="s">
        <v>39</v>
      </c>
      <c r="U1979" s="2" t="s">
        <v>38</v>
      </c>
      <c r="V1979" s="2" t="s">
        <v>38</v>
      </c>
      <c r="W1979" s="2" t="s">
        <v>38</v>
      </c>
      <c r="X1979" s="2" t="s">
        <v>39</v>
      </c>
      <c r="Y1979" s="2" t="s">
        <v>38</v>
      </c>
      <c r="Z1979" s="2" t="s">
        <v>38</v>
      </c>
      <c r="AA1979" s="2" t="s">
        <v>38</v>
      </c>
      <c r="AB1979" s="2" t="s">
        <v>39</v>
      </c>
      <c r="AC1979" s="2" t="s">
        <v>38</v>
      </c>
      <c r="AD1979" s="2" t="s">
        <v>38</v>
      </c>
      <c r="AE1979" s="2" t="s">
        <v>40</v>
      </c>
    </row>
    <row r="1980" spans="1:31" ht="409.5">
      <c r="A1980" s="2">
        <v>2727588</v>
      </c>
      <c r="B1980" s="2">
        <f>HYPERLINK("https://platform.v2.vetology.net/cases/2727588/screening-report/1?type=pdf&amp;v=v6&amp;scorecard=1&amp;secret_key=BX%25IJ%24%2F65ieZ%29f6", 2727588)</f>
        <v>2727588</v>
      </c>
      <c r="C1980" s="2">
        <f>HYPERLINK("https://platform.v2.vetology.net/report/v/final/"&amp;2727588, 2727588)</f>
        <v>2727588</v>
      </c>
      <c r="D1980" s="2" t="s">
        <v>6388</v>
      </c>
      <c r="E1980" s="2" t="s">
        <v>6389</v>
      </c>
      <c r="F1980" s="2" t="s">
        <v>6390</v>
      </c>
      <c r="G1980" s="2" t="s">
        <v>170</v>
      </c>
      <c r="H1980" s="2" t="s">
        <v>69</v>
      </c>
      <c r="I1980" s="2" t="s">
        <v>46</v>
      </c>
      <c r="J1980" s="2"/>
      <c r="K1980" s="2" t="s">
        <v>39</v>
      </c>
      <c r="L1980" s="2" t="s">
        <v>39</v>
      </c>
      <c r="M1980" s="2" t="s">
        <v>39</v>
      </c>
      <c r="N1980" s="2" t="s">
        <v>39</v>
      </c>
      <c r="O1980" s="2" t="s">
        <v>39</v>
      </c>
      <c r="P1980" s="2" t="s">
        <v>39</v>
      </c>
      <c r="Q1980" s="2" t="s">
        <v>39</v>
      </c>
      <c r="R1980" s="2" t="s">
        <v>39</v>
      </c>
      <c r="S1980" s="2" t="s">
        <v>39</v>
      </c>
      <c r="T1980" s="2" t="s">
        <v>39</v>
      </c>
      <c r="U1980" s="2" t="s">
        <v>39</v>
      </c>
      <c r="V1980" s="2" t="s">
        <v>39</v>
      </c>
      <c r="W1980" s="2" t="s">
        <v>39</v>
      </c>
      <c r="X1980" s="2" t="s">
        <v>39</v>
      </c>
      <c r="Y1980" s="2" t="s">
        <v>39</v>
      </c>
      <c r="Z1980" s="2" t="s">
        <v>39</v>
      </c>
      <c r="AA1980" s="2" t="s">
        <v>38</v>
      </c>
      <c r="AB1980" s="2" t="s">
        <v>39</v>
      </c>
      <c r="AC1980" s="2" t="s">
        <v>38</v>
      </c>
      <c r="AD1980" s="2" t="s">
        <v>38</v>
      </c>
      <c r="AE1980" s="2" t="s">
        <v>39</v>
      </c>
    </row>
    <row r="1981" spans="1:31" ht="409.5">
      <c r="A1981" s="2">
        <v>2727577</v>
      </c>
      <c r="B1981" s="2">
        <f>HYPERLINK("https://platform.v2.vetology.net/cases/2727577/screening-report/1?type=pdf&amp;v=v6&amp;scorecard=1&amp;secret_key=BX%25IJ%24%2F65ieZ%29f6", 2727577)</f>
        <v>2727577</v>
      </c>
      <c r="C1981" s="2">
        <f>HYPERLINK("https://platform.v2.vetology.net/report/v/final/"&amp;2727577, 2727577)</f>
        <v>2727577</v>
      </c>
      <c r="D1981" s="2" t="s">
        <v>6391</v>
      </c>
      <c r="E1981" s="2" t="s">
        <v>6392</v>
      </c>
      <c r="F1981" s="2" t="s">
        <v>6393</v>
      </c>
      <c r="G1981" s="2" t="s">
        <v>34</v>
      </c>
      <c r="H1981" s="2" t="s">
        <v>1434</v>
      </c>
      <c r="I1981" s="2" t="s">
        <v>36</v>
      </c>
      <c r="J1981" s="2" t="s">
        <v>37</v>
      </c>
      <c r="K1981" s="2" t="s">
        <v>38</v>
      </c>
      <c r="L1981" s="2" t="s">
        <v>38</v>
      </c>
      <c r="M1981" s="2" t="s">
        <v>38</v>
      </c>
      <c r="N1981" s="2" t="s">
        <v>38</v>
      </c>
      <c r="O1981" s="2" t="s">
        <v>38</v>
      </c>
      <c r="P1981" s="2" t="s">
        <v>39</v>
      </c>
      <c r="Q1981" s="2" t="s">
        <v>39</v>
      </c>
      <c r="R1981" s="2" t="s">
        <v>38</v>
      </c>
      <c r="S1981" s="2" t="s">
        <v>38</v>
      </c>
      <c r="T1981" s="2" t="s">
        <v>38</v>
      </c>
      <c r="U1981" s="2" t="s">
        <v>38</v>
      </c>
      <c r="V1981" s="2" t="s">
        <v>38</v>
      </c>
      <c r="W1981" s="2" t="s">
        <v>38</v>
      </c>
      <c r="X1981" s="2" t="s">
        <v>39</v>
      </c>
      <c r="Y1981" s="2" t="s">
        <v>38</v>
      </c>
      <c r="Z1981" s="2" t="s">
        <v>38</v>
      </c>
      <c r="AA1981" s="2" t="s">
        <v>38</v>
      </c>
      <c r="AB1981" s="2" t="s">
        <v>39</v>
      </c>
      <c r="AC1981" s="2" t="s">
        <v>38</v>
      </c>
      <c r="AD1981" s="2" t="s">
        <v>38</v>
      </c>
      <c r="AE1981" s="2" t="s">
        <v>39</v>
      </c>
    </row>
    <row r="1982" spans="1:31" ht="409.5">
      <c r="A1982" s="2">
        <v>2727573</v>
      </c>
      <c r="B1982" s="2">
        <f>HYPERLINK("https://platform.v2.vetology.net/cases/2727573/screening-report/1?type=pdf&amp;v=v6&amp;scorecard=1&amp;secret_key=BX%25IJ%24%2F65ieZ%29f6", 2727573)</f>
        <v>2727573</v>
      </c>
      <c r="C1982" s="2">
        <f>HYPERLINK("https://platform.v2.vetology.net/report/v/final/"&amp;2727573, 2727573)</f>
        <v>2727573</v>
      </c>
      <c r="D1982" s="2" t="s">
        <v>6394</v>
      </c>
      <c r="E1982" s="2" t="s">
        <v>6395</v>
      </c>
      <c r="F1982" s="2" t="s">
        <v>6396</v>
      </c>
      <c r="G1982" s="2" t="s">
        <v>251</v>
      </c>
      <c r="H1982" s="2" t="s">
        <v>6397</v>
      </c>
      <c r="I1982" s="2" t="s">
        <v>73</v>
      </c>
      <c r="J1982" s="2" t="s">
        <v>74</v>
      </c>
      <c r="K1982" s="2" t="s">
        <v>38</v>
      </c>
      <c r="L1982" s="2" t="s">
        <v>38</v>
      </c>
      <c r="M1982" s="2" t="s">
        <v>38</v>
      </c>
      <c r="N1982" s="2" t="s">
        <v>38</v>
      </c>
      <c r="O1982" s="2" t="s">
        <v>38</v>
      </c>
      <c r="P1982" s="2" t="s">
        <v>38</v>
      </c>
      <c r="Q1982" s="2" t="s">
        <v>38</v>
      </c>
      <c r="R1982" s="2" t="s">
        <v>38</v>
      </c>
      <c r="S1982" s="2" t="s">
        <v>38</v>
      </c>
      <c r="T1982" s="2" t="s">
        <v>38</v>
      </c>
      <c r="U1982" s="2" t="s">
        <v>38</v>
      </c>
      <c r="V1982" s="2" t="s">
        <v>38</v>
      </c>
      <c r="W1982" s="2" t="s">
        <v>38</v>
      </c>
      <c r="X1982" s="2" t="s">
        <v>38</v>
      </c>
      <c r="Y1982" s="2" t="s">
        <v>38</v>
      </c>
      <c r="Z1982" s="2" t="s">
        <v>38</v>
      </c>
      <c r="AA1982" s="2" t="s">
        <v>38</v>
      </c>
      <c r="AB1982" s="2" t="s">
        <v>38</v>
      </c>
      <c r="AC1982" s="2" t="s">
        <v>38</v>
      </c>
      <c r="AD1982" s="2" t="s">
        <v>39</v>
      </c>
      <c r="AE1982" s="2" t="s">
        <v>40</v>
      </c>
    </row>
    <row r="1983" spans="1:31" ht="409.5">
      <c r="A1983" s="2">
        <v>2727554</v>
      </c>
      <c r="B1983" s="2">
        <f>HYPERLINK("https://platform.v2.vetology.net/cases/2727554/screening-report/1?type=pdf&amp;v=v6&amp;scorecard=1&amp;secret_key=BX%25IJ%24%2F65ieZ%29f6", 2727554)</f>
        <v>2727554</v>
      </c>
      <c r="C1983" s="2">
        <f>HYPERLINK("https://platform.v2.vetology.net/report/v/final/"&amp;2727554, 2727554)</f>
        <v>2727554</v>
      </c>
      <c r="D1983" s="2" t="s">
        <v>6398</v>
      </c>
      <c r="E1983" s="2" t="s">
        <v>6399</v>
      </c>
      <c r="F1983" s="2"/>
      <c r="G1983" s="2" t="s">
        <v>100</v>
      </c>
      <c r="H1983" s="2" t="s">
        <v>45</v>
      </c>
      <c r="I1983" s="2" t="s">
        <v>46</v>
      </c>
      <c r="J1983" s="2"/>
      <c r="K1983" s="2" t="s">
        <v>39</v>
      </c>
      <c r="L1983" s="2" t="s">
        <v>39</v>
      </c>
      <c r="M1983" s="2" t="s">
        <v>39</v>
      </c>
      <c r="N1983" s="2" t="s">
        <v>39</v>
      </c>
      <c r="O1983" s="2" t="s">
        <v>39</v>
      </c>
      <c r="P1983" s="2" t="s">
        <v>39</v>
      </c>
      <c r="Q1983" s="2" t="s">
        <v>39</v>
      </c>
      <c r="R1983" s="2" t="s">
        <v>38</v>
      </c>
      <c r="S1983" s="2" t="s">
        <v>39</v>
      </c>
      <c r="T1983" s="2" t="s">
        <v>39</v>
      </c>
      <c r="U1983" s="2" t="s">
        <v>39</v>
      </c>
      <c r="V1983" s="2" t="s">
        <v>39</v>
      </c>
      <c r="W1983" s="2" t="s">
        <v>38</v>
      </c>
      <c r="X1983" s="2" t="s">
        <v>39</v>
      </c>
      <c r="Y1983" s="2" t="s">
        <v>39</v>
      </c>
      <c r="Z1983" s="2" t="s">
        <v>38</v>
      </c>
      <c r="AA1983" s="2" t="s">
        <v>39</v>
      </c>
      <c r="AB1983" s="2" t="s">
        <v>39</v>
      </c>
      <c r="AC1983" s="2" t="s">
        <v>38</v>
      </c>
      <c r="AD1983" s="2" t="s">
        <v>38</v>
      </c>
      <c r="AE1983" s="2" t="s">
        <v>39</v>
      </c>
    </row>
    <row r="1984" spans="1:31" ht="409.5">
      <c r="A1984" s="2">
        <v>2727546</v>
      </c>
      <c r="B1984" s="2">
        <f>HYPERLINK("https://platform.v2.vetology.net/cases/2727546/screening-report/1?type=pdf&amp;v=v6&amp;scorecard=1&amp;secret_key=BX%25IJ%24%2F65ieZ%29f6", 2727546)</f>
        <v>2727546</v>
      </c>
      <c r="C1984" s="2">
        <f>HYPERLINK("https://platform.v2.vetology.net/report/v/final/"&amp;2727546, 2727546)</f>
        <v>2727546</v>
      </c>
      <c r="D1984" s="2" t="s">
        <v>6400</v>
      </c>
      <c r="E1984" s="2" t="s">
        <v>6401</v>
      </c>
      <c r="F1984" s="2" t="s">
        <v>2270</v>
      </c>
      <c r="G1984" s="2" t="s">
        <v>170</v>
      </c>
      <c r="H1984" s="2" t="s">
        <v>6402</v>
      </c>
      <c r="I1984" s="2" t="s">
        <v>36</v>
      </c>
      <c r="J1984" s="2" t="s">
        <v>37</v>
      </c>
      <c r="K1984" s="2" t="s">
        <v>38</v>
      </c>
      <c r="L1984" s="2" t="s">
        <v>39</v>
      </c>
      <c r="M1984" s="2" t="s">
        <v>38</v>
      </c>
      <c r="N1984" s="2" t="s">
        <v>38</v>
      </c>
      <c r="O1984" s="2" t="s">
        <v>38</v>
      </c>
      <c r="P1984" s="2" t="s">
        <v>38</v>
      </c>
      <c r="Q1984" s="2" t="s">
        <v>39</v>
      </c>
      <c r="R1984" s="2" t="s">
        <v>39</v>
      </c>
      <c r="S1984" s="2" t="s">
        <v>39</v>
      </c>
      <c r="T1984" s="2" t="s">
        <v>38</v>
      </c>
      <c r="U1984" s="2" t="s">
        <v>38</v>
      </c>
      <c r="V1984" s="2" t="s">
        <v>38</v>
      </c>
      <c r="W1984" s="2" t="s">
        <v>39</v>
      </c>
      <c r="X1984" s="2" t="s">
        <v>39</v>
      </c>
      <c r="Y1984" s="2" t="s">
        <v>39</v>
      </c>
      <c r="Z1984" s="2" t="s">
        <v>39</v>
      </c>
      <c r="AA1984" s="2" t="s">
        <v>39</v>
      </c>
      <c r="AB1984" s="2" t="s">
        <v>39</v>
      </c>
      <c r="AC1984" s="2" t="s">
        <v>38</v>
      </c>
      <c r="AD1984" s="2" t="s">
        <v>38</v>
      </c>
      <c r="AE1984" s="2" t="s">
        <v>40</v>
      </c>
    </row>
    <row r="1985" spans="1:31" ht="409.5">
      <c r="A1985" s="2">
        <v>2727492</v>
      </c>
      <c r="B1985" s="2">
        <f>HYPERLINK("https://platform.v2.vetology.net/cases/2727492/screening-report/1?type=pdf&amp;v=v6&amp;scorecard=1&amp;secret_key=BX%25IJ%24%2F65ieZ%29f6", 2727492)</f>
        <v>2727492</v>
      </c>
      <c r="C1985" s="2">
        <f>HYPERLINK("https://platform.v2.vetology.net/report/v/final/"&amp;2727492, 2727492)</f>
        <v>2727492</v>
      </c>
      <c r="D1985" s="2" t="s">
        <v>6403</v>
      </c>
      <c r="E1985" s="2" t="s">
        <v>6404</v>
      </c>
      <c r="F1985" s="2" t="s">
        <v>229</v>
      </c>
      <c r="G1985" s="2" t="s">
        <v>170</v>
      </c>
      <c r="H1985" s="2" t="s">
        <v>69</v>
      </c>
      <c r="I1985" s="2" t="s">
        <v>46</v>
      </c>
      <c r="J1985" s="2"/>
      <c r="K1985" s="2" t="s">
        <v>39</v>
      </c>
      <c r="L1985" s="2" t="s">
        <v>39</v>
      </c>
      <c r="M1985" s="2" t="s">
        <v>39</v>
      </c>
      <c r="N1985" s="2" t="s">
        <v>39</v>
      </c>
      <c r="O1985" s="2" t="s">
        <v>39</v>
      </c>
      <c r="P1985" s="2" t="s">
        <v>39</v>
      </c>
      <c r="Q1985" s="2" t="s">
        <v>39</v>
      </c>
      <c r="R1985" s="2" t="s">
        <v>39</v>
      </c>
      <c r="S1985" s="2" t="s">
        <v>39</v>
      </c>
      <c r="T1985" s="2" t="s">
        <v>39</v>
      </c>
      <c r="U1985" s="2" t="s">
        <v>39</v>
      </c>
      <c r="V1985" s="2" t="s">
        <v>39</v>
      </c>
      <c r="W1985" s="2" t="s">
        <v>38</v>
      </c>
      <c r="X1985" s="2" t="s">
        <v>39</v>
      </c>
      <c r="Y1985" s="2" t="s">
        <v>39</v>
      </c>
      <c r="Z1985" s="2" t="s">
        <v>39</v>
      </c>
      <c r="AA1985" s="2" t="s">
        <v>39</v>
      </c>
      <c r="AB1985" s="2" t="s">
        <v>39</v>
      </c>
      <c r="AC1985" s="2" t="s">
        <v>39</v>
      </c>
      <c r="AD1985" s="2" t="s">
        <v>39</v>
      </c>
      <c r="AE1985" s="2" t="s">
        <v>39</v>
      </c>
    </row>
    <row r="1986" spans="1:31" ht="409.5">
      <c r="A1986" s="2">
        <v>2727460</v>
      </c>
      <c r="B1986" s="2">
        <f>HYPERLINK("https://platform.v2.vetology.net/cases/2727460/screening-report/1?type=pdf&amp;v=v6&amp;scorecard=1&amp;secret_key=BX%25IJ%24%2F65ieZ%29f6", 2727460)</f>
        <v>2727460</v>
      </c>
      <c r="C1986" s="2">
        <f>HYPERLINK("https://platform.v2.vetology.net/report/v/final/"&amp;2727460, 2727460)</f>
        <v>2727460</v>
      </c>
      <c r="D1986" s="2" t="s">
        <v>6405</v>
      </c>
      <c r="E1986" s="2" t="s">
        <v>6406</v>
      </c>
      <c r="F1986" s="2" t="s">
        <v>6407</v>
      </c>
      <c r="G1986" s="2" t="s">
        <v>127</v>
      </c>
      <c r="H1986" s="2" t="s">
        <v>6408</v>
      </c>
      <c r="I1986" s="2" t="s">
        <v>257</v>
      </c>
      <c r="J1986" s="2" t="s">
        <v>74</v>
      </c>
      <c r="K1986" s="2" t="s">
        <v>38</v>
      </c>
      <c r="L1986" s="2" t="s">
        <v>38</v>
      </c>
      <c r="M1986" s="2" t="s">
        <v>38</v>
      </c>
      <c r="N1986" s="2" t="s">
        <v>38</v>
      </c>
      <c r="O1986" s="2" t="s">
        <v>38</v>
      </c>
      <c r="P1986" s="2" t="s">
        <v>38</v>
      </c>
      <c r="Q1986" s="2" t="s">
        <v>38</v>
      </c>
      <c r="R1986" s="2" t="s">
        <v>38</v>
      </c>
      <c r="S1986" s="2" t="s">
        <v>38</v>
      </c>
      <c r="T1986" s="2" t="s">
        <v>38</v>
      </c>
      <c r="U1986" s="2" t="s">
        <v>38</v>
      </c>
      <c r="V1986" s="2" t="s">
        <v>38</v>
      </c>
      <c r="W1986" s="2" t="s">
        <v>38</v>
      </c>
      <c r="X1986" s="2" t="s">
        <v>38</v>
      </c>
      <c r="Y1986" s="2" t="s">
        <v>38</v>
      </c>
      <c r="Z1986" s="2" t="s">
        <v>38</v>
      </c>
      <c r="AA1986" s="2" t="s">
        <v>38</v>
      </c>
      <c r="AB1986" s="2" t="s">
        <v>38</v>
      </c>
      <c r="AC1986" s="2" t="s">
        <v>38</v>
      </c>
      <c r="AD1986" s="2" t="s">
        <v>38</v>
      </c>
      <c r="AE1986" s="2" t="s">
        <v>39</v>
      </c>
    </row>
    <row r="1987" spans="1:31" ht="409.5">
      <c r="A1987" s="2">
        <v>2727458</v>
      </c>
      <c r="B1987" s="2">
        <f>HYPERLINK("https://platform.v2.vetology.net/cases/2727458/screening-report/1?type=pdf&amp;v=v6&amp;scorecard=1&amp;secret_key=BX%25IJ%24%2F65ieZ%29f6", 2727458)</f>
        <v>2727458</v>
      </c>
      <c r="C1987" s="2">
        <f>HYPERLINK("https://platform.v2.vetology.net/report/v/final/"&amp;2727458, 2727458)</f>
        <v>2727458</v>
      </c>
      <c r="D1987" s="2" t="s">
        <v>6409</v>
      </c>
      <c r="E1987" s="2" t="s">
        <v>6410</v>
      </c>
      <c r="F1987" s="2" t="s">
        <v>6411</v>
      </c>
      <c r="G1987" s="2" t="s">
        <v>170</v>
      </c>
      <c r="H1987" s="2" t="s">
        <v>6412</v>
      </c>
      <c r="I1987" s="2" t="s">
        <v>73</v>
      </c>
      <c r="J1987" s="2" t="s">
        <v>74</v>
      </c>
      <c r="K1987" s="2" t="s">
        <v>38</v>
      </c>
      <c r="L1987" s="2" t="s">
        <v>38</v>
      </c>
      <c r="M1987" s="2" t="s">
        <v>38</v>
      </c>
      <c r="N1987" s="2" t="s">
        <v>38</v>
      </c>
      <c r="O1987" s="2" t="s">
        <v>38</v>
      </c>
      <c r="P1987" s="2" t="s">
        <v>38</v>
      </c>
      <c r="Q1987" s="2" t="s">
        <v>38</v>
      </c>
      <c r="R1987" s="2" t="s">
        <v>38</v>
      </c>
      <c r="S1987" s="2" t="s">
        <v>38</v>
      </c>
      <c r="T1987" s="2" t="s">
        <v>38</v>
      </c>
      <c r="U1987" s="2" t="s">
        <v>38</v>
      </c>
      <c r="V1987" s="2" t="s">
        <v>38</v>
      </c>
      <c r="W1987" s="2" t="s">
        <v>38</v>
      </c>
      <c r="X1987" s="2" t="s">
        <v>38</v>
      </c>
      <c r="Y1987" s="2" t="s">
        <v>39</v>
      </c>
      <c r="Z1987" s="2" t="s">
        <v>38</v>
      </c>
      <c r="AA1987" s="2" t="s">
        <v>38</v>
      </c>
      <c r="AB1987" s="2" t="s">
        <v>38</v>
      </c>
      <c r="AC1987" s="2" t="s">
        <v>38</v>
      </c>
      <c r="AD1987" s="2" t="s">
        <v>38</v>
      </c>
      <c r="AE1987" s="2" t="s">
        <v>40</v>
      </c>
    </row>
    <row r="1988" spans="1:31" ht="409.5">
      <c r="A1988" s="2">
        <v>2727358</v>
      </c>
      <c r="B1988" s="2">
        <f>HYPERLINK("https://platform.v2.vetology.net/cases/2727358/screening-report/1?type=pdf&amp;v=v6&amp;scorecard=1&amp;secret_key=BX%25IJ%24%2F65ieZ%29f6", 2727358)</f>
        <v>2727358</v>
      </c>
      <c r="C1988" s="2">
        <f>HYPERLINK("https://platform.v2.vetology.net/report/v/final/"&amp;2727358, 2727358)</f>
        <v>2727358</v>
      </c>
      <c r="D1988" s="2" t="s">
        <v>6413</v>
      </c>
      <c r="E1988" s="2" t="s">
        <v>6414</v>
      </c>
      <c r="F1988" s="2" t="s">
        <v>6415</v>
      </c>
      <c r="G1988" s="2" t="s">
        <v>34</v>
      </c>
      <c r="H1988" s="2" t="s">
        <v>6416</v>
      </c>
      <c r="I1988" s="2" t="s">
        <v>36</v>
      </c>
      <c r="J1988" s="2" t="s">
        <v>37</v>
      </c>
      <c r="K1988" s="2" t="s">
        <v>39</v>
      </c>
      <c r="L1988" s="2" t="s">
        <v>38</v>
      </c>
      <c r="M1988" s="2" t="s">
        <v>39</v>
      </c>
      <c r="N1988" s="2" t="s">
        <v>38</v>
      </c>
      <c r="O1988" s="2" t="s">
        <v>38</v>
      </c>
      <c r="P1988" s="2" t="s">
        <v>39</v>
      </c>
      <c r="Q1988" s="2" t="s">
        <v>39</v>
      </c>
      <c r="R1988" s="2" t="s">
        <v>38</v>
      </c>
      <c r="S1988" s="2" t="s">
        <v>38</v>
      </c>
      <c r="T1988" s="2" t="s">
        <v>39</v>
      </c>
      <c r="U1988" s="2" t="s">
        <v>39</v>
      </c>
      <c r="V1988" s="2" t="s">
        <v>39</v>
      </c>
      <c r="W1988" s="2" t="s">
        <v>38</v>
      </c>
      <c r="X1988" s="2" t="s">
        <v>39</v>
      </c>
      <c r="Y1988" s="2" t="s">
        <v>39</v>
      </c>
      <c r="Z1988" s="2" t="s">
        <v>38</v>
      </c>
      <c r="AA1988" s="2" t="s">
        <v>38</v>
      </c>
      <c r="AB1988" s="2" t="s">
        <v>39</v>
      </c>
      <c r="AC1988" s="2" t="s">
        <v>38</v>
      </c>
      <c r="AD1988" s="2" t="s">
        <v>38</v>
      </c>
      <c r="AE1988" s="2" t="s">
        <v>39</v>
      </c>
    </row>
    <row r="1989" spans="1:31" ht="409.5">
      <c r="A1989" s="2">
        <v>2727341</v>
      </c>
      <c r="B1989" s="2">
        <f>HYPERLINK("https://platform.v2.vetology.net/cases/2727341/screening-report/1?type=pdf&amp;v=v6&amp;scorecard=1&amp;secret_key=BX%25IJ%24%2F65ieZ%29f6", 2727341)</f>
        <v>2727341</v>
      </c>
      <c r="C1989" s="2">
        <f>HYPERLINK("https://platform.v2.vetology.net/report/v/final/"&amp;2727341, 2727341)</f>
        <v>2727341</v>
      </c>
      <c r="D1989" s="2" t="s">
        <v>6417</v>
      </c>
      <c r="E1989" s="2" t="s">
        <v>6418</v>
      </c>
      <c r="F1989" s="2" t="s">
        <v>6419</v>
      </c>
      <c r="G1989" s="2" t="s">
        <v>824</v>
      </c>
      <c r="H1989" s="2" t="s">
        <v>69</v>
      </c>
      <c r="I1989" s="2" t="s">
        <v>46</v>
      </c>
      <c r="J1989" s="2"/>
      <c r="K1989" s="2" t="s">
        <v>39</v>
      </c>
      <c r="L1989" s="2" t="s">
        <v>39</v>
      </c>
      <c r="M1989" s="2" t="s">
        <v>39</v>
      </c>
      <c r="N1989" s="2" t="s">
        <v>39</v>
      </c>
      <c r="O1989" s="2" t="s">
        <v>39</v>
      </c>
      <c r="P1989" s="2" t="s">
        <v>39</v>
      </c>
      <c r="Q1989" s="2" t="s">
        <v>39</v>
      </c>
      <c r="R1989" s="2" t="s">
        <v>39</v>
      </c>
      <c r="S1989" s="2" t="s">
        <v>39</v>
      </c>
      <c r="T1989" s="2" t="s">
        <v>39</v>
      </c>
      <c r="U1989" s="2" t="s">
        <v>39</v>
      </c>
      <c r="V1989" s="2" t="s">
        <v>39</v>
      </c>
      <c r="W1989" s="2" t="s">
        <v>38</v>
      </c>
      <c r="X1989" s="2" t="s">
        <v>39</v>
      </c>
      <c r="Y1989" s="2" t="s">
        <v>39</v>
      </c>
      <c r="Z1989" s="2" t="s">
        <v>39</v>
      </c>
      <c r="AA1989" s="2" t="s">
        <v>39</v>
      </c>
      <c r="AB1989" s="2" t="s">
        <v>39</v>
      </c>
      <c r="AC1989" s="2" t="s">
        <v>38</v>
      </c>
      <c r="AD1989" s="2" t="s">
        <v>39</v>
      </c>
      <c r="AE1989" s="2" t="s">
        <v>39</v>
      </c>
    </row>
    <row r="1990" spans="1:31" ht="409.5">
      <c r="A1990" s="2">
        <v>2727329</v>
      </c>
      <c r="B1990" s="2">
        <f>HYPERLINK("https://platform.v2.vetology.net/cases/2727329/screening-report/1?type=pdf&amp;v=v6&amp;scorecard=1&amp;secret_key=BX%25IJ%24%2F65ieZ%29f6", 2727329)</f>
        <v>2727329</v>
      </c>
      <c r="C1990" s="2">
        <f>HYPERLINK("https://platform.v2.vetology.net/report/v/final/"&amp;2727329, 2727329)</f>
        <v>2727329</v>
      </c>
      <c r="D1990" s="2" t="s">
        <v>6420</v>
      </c>
      <c r="E1990" s="2" t="s">
        <v>6421</v>
      </c>
      <c r="F1990" s="2" t="s">
        <v>6422</v>
      </c>
      <c r="G1990" s="2" t="s">
        <v>53</v>
      </c>
      <c r="H1990" s="2" t="s">
        <v>6423</v>
      </c>
      <c r="I1990" s="2" t="s">
        <v>36</v>
      </c>
      <c r="J1990" s="2" t="s">
        <v>37</v>
      </c>
      <c r="K1990" s="2" t="s">
        <v>38</v>
      </c>
      <c r="L1990" s="2" t="s">
        <v>38</v>
      </c>
      <c r="M1990" s="2" t="s">
        <v>38</v>
      </c>
      <c r="N1990" s="2" t="s">
        <v>38</v>
      </c>
      <c r="O1990" s="2" t="s">
        <v>38</v>
      </c>
      <c r="P1990" s="2" t="s">
        <v>39</v>
      </c>
      <c r="Q1990" s="2" t="s">
        <v>39</v>
      </c>
      <c r="R1990" s="2" t="s">
        <v>38</v>
      </c>
      <c r="S1990" s="2" t="s">
        <v>38</v>
      </c>
      <c r="T1990" s="2" t="s">
        <v>39</v>
      </c>
      <c r="U1990" s="2" t="s">
        <v>38</v>
      </c>
      <c r="V1990" s="2" t="s">
        <v>38</v>
      </c>
      <c r="W1990" s="2" t="s">
        <v>38</v>
      </c>
      <c r="X1990" s="2" t="s">
        <v>39</v>
      </c>
      <c r="Y1990" s="2" t="s">
        <v>39</v>
      </c>
      <c r="Z1990" s="2" t="s">
        <v>38</v>
      </c>
      <c r="AA1990" s="2" t="s">
        <v>38</v>
      </c>
      <c r="AB1990" s="2" t="s">
        <v>39</v>
      </c>
      <c r="AC1990" s="2" t="s">
        <v>38</v>
      </c>
      <c r="AD1990" s="2" t="s">
        <v>38</v>
      </c>
      <c r="AE1990" s="2" t="s">
        <v>39</v>
      </c>
    </row>
    <row r="1991" spans="1:31" ht="409.5">
      <c r="A1991" s="2">
        <v>2727285</v>
      </c>
      <c r="B1991" s="2">
        <f>HYPERLINK("https://platform.v2.vetology.net/cases/2727285/screening-report/1?type=pdf&amp;v=v6&amp;scorecard=1&amp;secret_key=BX%25IJ%24%2F65ieZ%29f6", 2727285)</f>
        <v>2727285</v>
      </c>
      <c r="C1991" s="2">
        <f>HYPERLINK("https://platform.v2.vetology.net/report/v/final/"&amp;2727285, 2727285)</f>
        <v>2727285</v>
      </c>
      <c r="D1991" s="2" t="s">
        <v>6424</v>
      </c>
      <c r="E1991" s="2" t="s">
        <v>6425</v>
      </c>
      <c r="F1991" s="2" t="s">
        <v>6426</v>
      </c>
      <c r="G1991" s="2" t="s">
        <v>34</v>
      </c>
      <c r="H1991" s="2" t="s">
        <v>6427</v>
      </c>
      <c r="I1991" s="2" t="s">
        <v>36</v>
      </c>
      <c r="J1991" s="2" t="s">
        <v>37</v>
      </c>
      <c r="K1991" s="2" t="s">
        <v>38</v>
      </c>
      <c r="L1991" s="2" t="s">
        <v>39</v>
      </c>
      <c r="M1991" s="2" t="s">
        <v>38</v>
      </c>
      <c r="N1991" s="2" t="s">
        <v>39</v>
      </c>
      <c r="O1991" s="2" t="s">
        <v>38</v>
      </c>
      <c r="P1991" s="2" t="s">
        <v>39</v>
      </c>
      <c r="Q1991" s="2" t="s">
        <v>39</v>
      </c>
      <c r="R1991" s="2" t="s">
        <v>39</v>
      </c>
      <c r="S1991" s="2" t="s">
        <v>39</v>
      </c>
      <c r="T1991" s="2" t="s">
        <v>39</v>
      </c>
      <c r="U1991" s="2" t="s">
        <v>39</v>
      </c>
      <c r="V1991" s="2" t="s">
        <v>38</v>
      </c>
      <c r="W1991" s="2" t="s">
        <v>38</v>
      </c>
      <c r="X1991" s="2" t="s">
        <v>39</v>
      </c>
      <c r="Y1991" s="2" t="s">
        <v>39</v>
      </c>
      <c r="Z1991" s="2" t="s">
        <v>38</v>
      </c>
      <c r="AA1991" s="2" t="s">
        <v>39</v>
      </c>
      <c r="AB1991" s="2" t="s">
        <v>39</v>
      </c>
      <c r="AC1991" s="2" t="s">
        <v>39</v>
      </c>
      <c r="AD1991" s="2" t="s">
        <v>38</v>
      </c>
      <c r="AE1991" s="2" t="s">
        <v>39</v>
      </c>
    </row>
    <row r="1992" spans="1:31" ht="409.5">
      <c r="A1992" s="2">
        <v>2727268</v>
      </c>
      <c r="B1992" s="2">
        <f>HYPERLINK("https://platform.v2.vetology.net/cases/2727268/screening-report/1?type=pdf&amp;v=v6&amp;scorecard=1&amp;secret_key=BX%25IJ%24%2F65ieZ%29f6", 2727268)</f>
        <v>2727268</v>
      </c>
      <c r="C1992" s="2">
        <f>HYPERLINK("https://platform.v2.vetology.net/report/v/final/"&amp;2727268, 2727268)</f>
        <v>2727268</v>
      </c>
      <c r="D1992" s="2" t="s">
        <v>6428</v>
      </c>
      <c r="E1992" s="2" t="s">
        <v>6429</v>
      </c>
      <c r="F1992" s="2" t="s">
        <v>43</v>
      </c>
      <c r="G1992" s="2" t="s">
        <v>44</v>
      </c>
      <c r="H1992" s="2" t="s">
        <v>6430</v>
      </c>
      <c r="I1992" s="2" t="s">
        <v>73</v>
      </c>
      <c r="J1992" s="2" t="s">
        <v>74</v>
      </c>
      <c r="K1992" s="2" t="s">
        <v>38</v>
      </c>
      <c r="L1992" s="2" t="s">
        <v>38</v>
      </c>
      <c r="M1992" s="2" t="s">
        <v>38</v>
      </c>
      <c r="N1992" s="2" t="s">
        <v>38</v>
      </c>
      <c r="O1992" s="2" t="s">
        <v>38</v>
      </c>
      <c r="P1992" s="2" t="s">
        <v>38</v>
      </c>
      <c r="Q1992" s="2" t="s">
        <v>38</v>
      </c>
      <c r="R1992" s="2" t="s">
        <v>38</v>
      </c>
      <c r="S1992" s="2" t="s">
        <v>38</v>
      </c>
      <c r="T1992" s="2" t="s">
        <v>38</v>
      </c>
      <c r="U1992" s="2" t="s">
        <v>38</v>
      </c>
      <c r="V1992" s="2" t="s">
        <v>38</v>
      </c>
      <c r="W1992" s="2" t="s">
        <v>38</v>
      </c>
      <c r="X1992" s="2" t="s">
        <v>38</v>
      </c>
      <c r="Y1992" s="2" t="s">
        <v>38</v>
      </c>
      <c r="Z1992" s="2" t="s">
        <v>38</v>
      </c>
      <c r="AA1992" s="2" t="s">
        <v>38</v>
      </c>
      <c r="AB1992" s="2" t="s">
        <v>38</v>
      </c>
      <c r="AC1992" s="2" t="s">
        <v>38</v>
      </c>
      <c r="AD1992" s="2" t="s">
        <v>38</v>
      </c>
      <c r="AE1992" s="2" t="s">
        <v>39</v>
      </c>
    </row>
    <row r="1993" spans="1:31" ht="409.5">
      <c r="A1993" s="2">
        <v>2727184</v>
      </c>
      <c r="B1993" s="2">
        <f>HYPERLINK("https://platform.v2.vetology.net/cases/2727184/screening-report/1?type=pdf&amp;v=v6&amp;scorecard=1&amp;secret_key=BX%25IJ%24%2F65ieZ%29f6", 2727184)</f>
        <v>2727184</v>
      </c>
      <c r="C1993" s="2">
        <f>HYPERLINK("https://platform.v2.vetology.net/report/v/final/"&amp;2727184, 2727184)</f>
        <v>2727184</v>
      </c>
      <c r="D1993" s="2" t="s">
        <v>6431</v>
      </c>
      <c r="E1993" s="2" t="s">
        <v>6432</v>
      </c>
      <c r="F1993" s="2" t="s">
        <v>6433</v>
      </c>
      <c r="G1993" s="2" t="s">
        <v>34</v>
      </c>
      <c r="H1993" s="2" t="s">
        <v>69</v>
      </c>
      <c r="I1993" s="2" t="s">
        <v>46</v>
      </c>
      <c r="J1993" s="2"/>
      <c r="K1993" s="2" t="s">
        <v>39</v>
      </c>
      <c r="L1993" s="2" t="s">
        <v>39</v>
      </c>
      <c r="M1993" s="2" t="s">
        <v>39</v>
      </c>
      <c r="N1993" s="2" t="s">
        <v>39</v>
      </c>
      <c r="O1993" s="2" t="s">
        <v>39</v>
      </c>
      <c r="P1993" s="2" t="s">
        <v>39</v>
      </c>
      <c r="Q1993" s="2" t="s">
        <v>39</v>
      </c>
      <c r="R1993" s="2" t="s">
        <v>39</v>
      </c>
      <c r="S1993" s="2" t="s">
        <v>39</v>
      </c>
      <c r="T1993" s="2" t="s">
        <v>39</v>
      </c>
      <c r="U1993" s="2" t="s">
        <v>39</v>
      </c>
      <c r="V1993" s="2" t="s">
        <v>39</v>
      </c>
      <c r="W1993" s="2" t="s">
        <v>39</v>
      </c>
      <c r="X1993" s="2" t="s">
        <v>39</v>
      </c>
      <c r="Y1993" s="2" t="s">
        <v>39</v>
      </c>
      <c r="Z1993" s="2" t="s">
        <v>39</v>
      </c>
      <c r="AA1993" s="2" t="s">
        <v>39</v>
      </c>
      <c r="AB1993" s="2" t="s">
        <v>39</v>
      </c>
      <c r="AC1993" s="2" t="s">
        <v>38</v>
      </c>
      <c r="AD1993" s="2" t="s">
        <v>38</v>
      </c>
      <c r="AE1993" s="2" t="s">
        <v>40</v>
      </c>
    </row>
    <row r="1994" spans="1:31" ht="409.5">
      <c r="A1994" s="2">
        <v>2727183</v>
      </c>
      <c r="B1994" s="2">
        <f>HYPERLINK("https://platform.v2.vetology.net/cases/2727183/screening-report/1?type=pdf&amp;v=v6&amp;scorecard=1&amp;secret_key=BX%25IJ%24%2F65ieZ%29f6", 2727183)</f>
        <v>2727183</v>
      </c>
      <c r="C1994" s="2">
        <f>HYPERLINK("https://platform.v2.vetology.net/report/v/final/"&amp;2727183, 2727183)</f>
        <v>2727183</v>
      </c>
      <c r="D1994" s="2" t="s">
        <v>6434</v>
      </c>
      <c r="E1994" s="2" t="s">
        <v>6435</v>
      </c>
      <c r="F1994" s="2" t="s">
        <v>6436</v>
      </c>
      <c r="G1994" s="2" t="s">
        <v>34</v>
      </c>
      <c r="H1994" s="2" t="s">
        <v>6437</v>
      </c>
      <c r="I1994" s="2" t="s">
        <v>813</v>
      </c>
      <c r="J1994" s="2" t="s">
        <v>37</v>
      </c>
      <c r="K1994" s="2" t="s">
        <v>39</v>
      </c>
      <c r="L1994" s="2" t="s">
        <v>39</v>
      </c>
      <c r="M1994" s="2" t="s">
        <v>39</v>
      </c>
      <c r="N1994" s="2" t="s">
        <v>39</v>
      </c>
      <c r="O1994" s="2" t="s">
        <v>38</v>
      </c>
      <c r="P1994" s="2" t="s">
        <v>39</v>
      </c>
      <c r="Q1994" s="2" t="s">
        <v>39</v>
      </c>
      <c r="R1994" s="2" t="s">
        <v>38</v>
      </c>
      <c r="S1994" s="2" t="s">
        <v>38</v>
      </c>
      <c r="T1994" s="2" t="s">
        <v>38</v>
      </c>
      <c r="U1994" s="2" t="s">
        <v>39</v>
      </c>
      <c r="V1994" s="2" t="s">
        <v>39</v>
      </c>
      <c r="W1994" s="2" t="s">
        <v>38</v>
      </c>
      <c r="X1994" s="2" t="s">
        <v>39</v>
      </c>
      <c r="Y1994" s="2" t="s">
        <v>39</v>
      </c>
      <c r="Z1994" s="2" t="s">
        <v>38</v>
      </c>
      <c r="AA1994" s="2" t="s">
        <v>39</v>
      </c>
      <c r="AB1994" s="2" t="s">
        <v>39</v>
      </c>
      <c r="AC1994" s="2" t="s">
        <v>38</v>
      </c>
      <c r="AD1994" s="2" t="s">
        <v>38</v>
      </c>
      <c r="AE1994" s="2" t="s">
        <v>39</v>
      </c>
    </row>
    <row r="1995" spans="1:31" ht="409.5">
      <c r="A1995" s="2">
        <v>2727182</v>
      </c>
      <c r="B1995" s="2">
        <f>HYPERLINK("https://platform.v2.vetology.net/cases/2727182/screening-report/1?type=pdf&amp;v=v6&amp;scorecard=1&amp;secret_key=BX%25IJ%24%2F65ieZ%29f6", 2727182)</f>
        <v>2727182</v>
      </c>
      <c r="C1995" s="2">
        <f>HYPERLINK("https://platform.v2.vetology.net/report/v/final/"&amp;2727182, 2727182)</f>
        <v>2727182</v>
      </c>
      <c r="D1995" s="2" t="s">
        <v>6438</v>
      </c>
      <c r="E1995" s="2" t="s">
        <v>6439</v>
      </c>
      <c r="F1995" s="2" t="s">
        <v>6440</v>
      </c>
      <c r="G1995" s="2" t="s">
        <v>34</v>
      </c>
      <c r="H1995" s="2" t="s">
        <v>273</v>
      </c>
      <c r="I1995" s="2" t="s">
        <v>46</v>
      </c>
      <c r="J1995" s="2"/>
      <c r="K1995" s="2" t="s">
        <v>39</v>
      </c>
      <c r="L1995" s="2" t="s">
        <v>39</v>
      </c>
      <c r="M1995" s="2" t="s">
        <v>39</v>
      </c>
      <c r="N1995" s="2" t="s">
        <v>39</v>
      </c>
      <c r="O1995" s="2" t="s">
        <v>39</v>
      </c>
      <c r="P1995" s="2" t="s">
        <v>39</v>
      </c>
      <c r="Q1995" s="2" t="s">
        <v>39</v>
      </c>
      <c r="R1995" s="2" t="s">
        <v>39</v>
      </c>
      <c r="S1995" s="2" t="s">
        <v>38</v>
      </c>
      <c r="T1995" s="2" t="s">
        <v>39</v>
      </c>
      <c r="U1995" s="2" t="s">
        <v>39</v>
      </c>
      <c r="V1995" s="2" t="s">
        <v>39</v>
      </c>
      <c r="W1995" s="2" t="s">
        <v>38</v>
      </c>
      <c r="X1995" s="2" t="s">
        <v>39</v>
      </c>
      <c r="Y1995" s="2" t="s">
        <v>39</v>
      </c>
      <c r="Z1995" s="2" t="s">
        <v>39</v>
      </c>
      <c r="AA1995" s="2" t="s">
        <v>39</v>
      </c>
      <c r="AB1995" s="2" t="s">
        <v>39</v>
      </c>
      <c r="AC1995" s="2" t="s">
        <v>38</v>
      </c>
      <c r="AD1995" s="2" t="s">
        <v>38</v>
      </c>
      <c r="AE1995" s="2" t="s">
        <v>39</v>
      </c>
    </row>
    <row r="1996" spans="1:31" ht="409.5">
      <c r="A1996" s="2">
        <v>2727169</v>
      </c>
      <c r="B1996" s="2">
        <f>HYPERLINK("https://platform.v2.vetology.net/cases/2727169/screening-report/1?type=pdf&amp;v=v6&amp;scorecard=1&amp;secret_key=BX%25IJ%24%2F65ieZ%29f6", 2727169)</f>
        <v>2727169</v>
      </c>
      <c r="C1996" s="2">
        <f>HYPERLINK("https://platform.v2.vetology.net/report/v/final/"&amp;2727169, 2727169)</f>
        <v>2727169</v>
      </c>
      <c r="D1996" s="2" t="s">
        <v>6441</v>
      </c>
      <c r="E1996" s="2" t="s">
        <v>6442</v>
      </c>
      <c r="F1996" s="2" t="s">
        <v>6443</v>
      </c>
      <c r="G1996" s="2" t="s">
        <v>100</v>
      </c>
      <c r="H1996" s="2" t="s">
        <v>6444</v>
      </c>
      <c r="I1996" s="2" t="s">
        <v>36</v>
      </c>
      <c r="J1996" s="2" t="s">
        <v>37</v>
      </c>
      <c r="K1996" s="2" t="s">
        <v>39</v>
      </c>
      <c r="L1996" s="2" t="s">
        <v>38</v>
      </c>
      <c r="M1996" s="2" t="s">
        <v>38</v>
      </c>
      <c r="N1996" s="2" t="s">
        <v>38</v>
      </c>
      <c r="O1996" s="2" t="s">
        <v>39</v>
      </c>
      <c r="P1996" s="2" t="s">
        <v>39</v>
      </c>
      <c r="Q1996" s="2" t="s">
        <v>39</v>
      </c>
      <c r="R1996" s="2" t="s">
        <v>39</v>
      </c>
      <c r="S1996" s="2" t="s">
        <v>38</v>
      </c>
      <c r="T1996" s="2" t="s">
        <v>38</v>
      </c>
      <c r="U1996" s="2" t="s">
        <v>39</v>
      </c>
      <c r="V1996" s="2" t="s">
        <v>39</v>
      </c>
      <c r="W1996" s="2" t="s">
        <v>38</v>
      </c>
      <c r="X1996" s="2" t="s">
        <v>39</v>
      </c>
      <c r="Y1996" s="2" t="s">
        <v>39</v>
      </c>
      <c r="Z1996" s="2" t="s">
        <v>38</v>
      </c>
      <c r="AA1996" s="2" t="s">
        <v>38</v>
      </c>
      <c r="AB1996" s="2" t="s">
        <v>39</v>
      </c>
      <c r="AC1996" s="2" t="s">
        <v>38</v>
      </c>
      <c r="AD1996" s="2" t="s">
        <v>38</v>
      </c>
      <c r="AE1996" s="2" t="s">
        <v>39</v>
      </c>
    </row>
    <row r="1997" spans="1:31" ht="409.5">
      <c r="A1997" s="2">
        <v>2727163</v>
      </c>
      <c r="B1997" s="2">
        <f>HYPERLINK("https://platform.v2.vetology.net/cases/2727163/screening-report/1?type=pdf&amp;v=v6&amp;scorecard=1&amp;secret_key=BX%25IJ%24%2F65ieZ%29f6", 2727163)</f>
        <v>2727163</v>
      </c>
      <c r="C1997" s="2">
        <f>HYPERLINK("https://platform.v2.vetology.net/report/v/final/"&amp;2727163, 2727163)</f>
        <v>2727163</v>
      </c>
      <c r="D1997" s="2" t="s">
        <v>6445</v>
      </c>
      <c r="E1997" s="2" t="s">
        <v>6446</v>
      </c>
      <c r="F1997" s="2" t="s">
        <v>6447</v>
      </c>
      <c r="G1997" s="2" t="s">
        <v>100</v>
      </c>
      <c r="H1997" s="2" t="s">
        <v>888</v>
      </c>
      <c r="I1997" s="2" t="s">
        <v>36</v>
      </c>
      <c r="J1997" s="2" t="s">
        <v>37</v>
      </c>
      <c r="K1997" s="2" t="s">
        <v>39</v>
      </c>
      <c r="L1997" s="2" t="s">
        <v>39</v>
      </c>
      <c r="M1997" s="2" t="s">
        <v>38</v>
      </c>
      <c r="N1997" s="2" t="s">
        <v>38</v>
      </c>
      <c r="O1997" s="2" t="s">
        <v>38</v>
      </c>
      <c r="P1997" s="2" t="s">
        <v>39</v>
      </c>
      <c r="Q1997" s="2" t="s">
        <v>39</v>
      </c>
      <c r="R1997" s="2" t="s">
        <v>38</v>
      </c>
      <c r="S1997" s="2" t="s">
        <v>39</v>
      </c>
      <c r="T1997" s="2" t="s">
        <v>39</v>
      </c>
      <c r="U1997" s="2" t="s">
        <v>39</v>
      </c>
      <c r="V1997" s="2" t="s">
        <v>39</v>
      </c>
      <c r="W1997" s="2" t="s">
        <v>38</v>
      </c>
      <c r="X1997" s="2" t="s">
        <v>39</v>
      </c>
      <c r="Y1997" s="2" t="s">
        <v>39</v>
      </c>
      <c r="Z1997" s="2" t="s">
        <v>38</v>
      </c>
      <c r="AA1997" s="2" t="s">
        <v>38</v>
      </c>
      <c r="AB1997" s="2" t="s">
        <v>39</v>
      </c>
      <c r="AC1997" s="2" t="s">
        <v>38</v>
      </c>
      <c r="AD1997" s="2" t="s">
        <v>38</v>
      </c>
      <c r="AE1997" s="2" t="s">
        <v>39</v>
      </c>
    </row>
    <row r="1998" spans="1:31" ht="409.5">
      <c r="A1998" s="2">
        <v>2727147</v>
      </c>
      <c r="B1998" s="2">
        <f>HYPERLINK("https://platform.v2.vetology.net/cases/2727147/screening-report/1?type=pdf&amp;v=v6&amp;scorecard=1&amp;secret_key=BX%25IJ%24%2F65ieZ%29f6", 2727147)</f>
        <v>2727147</v>
      </c>
      <c r="C1998" s="2">
        <f>HYPERLINK("https://platform.v2.vetology.net/report/v/final/"&amp;2727147, 2727147)</f>
        <v>2727147</v>
      </c>
      <c r="D1998" s="2" t="s">
        <v>6448</v>
      </c>
      <c r="E1998" s="2" t="s">
        <v>578</v>
      </c>
      <c r="F1998" s="2" t="s">
        <v>579</v>
      </c>
      <c r="G1998" s="2" t="s">
        <v>34</v>
      </c>
      <c r="H1998" s="2" t="s">
        <v>530</v>
      </c>
      <c r="I1998" s="2" t="s">
        <v>59</v>
      </c>
      <c r="J1998" s="2" t="s">
        <v>37</v>
      </c>
      <c r="K1998" s="2" t="s">
        <v>38</v>
      </c>
      <c r="L1998" s="2" t="s">
        <v>39</v>
      </c>
      <c r="M1998" s="2" t="s">
        <v>39</v>
      </c>
      <c r="N1998" s="2" t="s">
        <v>39</v>
      </c>
      <c r="O1998" s="2" t="s">
        <v>39</v>
      </c>
      <c r="P1998" s="2" t="s">
        <v>39</v>
      </c>
      <c r="Q1998" s="2" t="s">
        <v>39</v>
      </c>
      <c r="R1998" s="2" t="s">
        <v>39</v>
      </c>
      <c r="S1998" s="2" t="s">
        <v>39</v>
      </c>
      <c r="T1998" s="2" t="s">
        <v>38</v>
      </c>
      <c r="U1998" s="2" t="s">
        <v>38</v>
      </c>
      <c r="V1998" s="2" t="s">
        <v>38</v>
      </c>
      <c r="W1998" s="2" t="s">
        <v>39</v>
      </c>
      <c r="X1998" s="2" t="s">
        <v>39</v>
      </c>
      <c r="Y1998" s="2" t="s">
        <v>39</v>
      </c>
      <c r="Z1998" s="2" t="s">
        <v>39</v>
      </c>
      <c r="AA1998" s="2" t="s">
        <v>39</v>
      </c>
      <c r="AB1998" s="2" t="s">
        <v>39</v>
      </c>
      <c r="AC1998" s="2" t="s">
        <v>39</v>
      </c>
      <c r="AD1998" s="2" t="s">
        <v>39</v>
      </c>
      <c r="AE1998" s="2" t="s">
        <v>39</v>
      </c>
    </row>
    <row r="1999" spans="1:31" ht="409.5">
      <c r="A1999" s="2">
        <v>2727055</v>
      </c>
      <c r="B1999" s="2">
        <f>HYPERLINK("https://platform.v2.vetology.net/cases/2727055/screening-report/1?type=pdf&amp;v=v6&amp;scorecard=1&amp;secret_key=BX%25IJ%24%2F65ieZ%29f6", 2727055)</f>
        <v>2727055</v>
      </c>
      <c r="C1999" s="2">
        <f>HYPERLINK("https://platform.v2.vetology.net/report/v/final/"&amp;2727055, 2727055)</f>
        <v>2727055</v>
      </c>
      <c r="D1999" s="2" t="s">
        <v>6449</v>
      </c>
      <c r="E1999" s="2" t="s">
        <v>6450</v>
      </c>
      <c r="F1999" s="2"/>
      <c r="G1999" s="2" t="s">
        <v>81</v>
      </c>
      <c r="H1999" s="2" t="s">
        <v>273</v>
      </c>
      <c r="I1999" s="2" t="s">
        <v>46</v>
      </c>
      <c r="J1999" s="2"/>
      <c r="K1999" s="2" t="s">
        <v>39</v>
      </c>
      <c r="L1999" s="2" t="s">
        <v>39</v>
      </c>
      <c r="M1999" s="2" t="s">
        <v>39</v>
      </c>
      <c r="N1999" s="2" t="s">
        <v>39</v>
      </c>
      <c r="O1999" s="2" t="s">
        <v>39</v>
      </c>
      <c r="P1999" s="2" t="s">
        <v>39</v>
      </c>
      <c r="Q1999" s="2" t="s">
        <v>39</v>
      </c>
      <c r="R1999" s="2" t="s">
        <v>39</v>
      </c>
      <c r="S1999" s="2" t="s">
        <v>38</v>
      </c>
      <c r="T1999" s="2" t="s">
        <v>39</v>
      </c>
      <c r="U1999" s="2" t="s">
        <v>39</v>
      </c>
      <c r="V1999" s="2" t="s">
        <v>39</v>
      </c>
      <c r="W1999" s="2" t="s">
        <v>39</v>
      </c>
      <c r="X1999" s="2" t="s">
        <v>39</v>
      </c>
      <c r="Y1999" s="2" t="s">
        <v>39</v>
      </c>
      <c r="Z1999" s="2" t="s">
        <v>38</v>
      </c>
      <c r="AA1999" s="2" t="s">
        <v>39</v>
      </c>
      <c r="AB1999" s="2" t="s">
        <v>39</v>
      </c>
      <c r="AC1999" s="2" t="s">
        <v>39</v>
      </c>
      <c r="AD1999" s="2" t="s">
        <v>39</v>
      </c>
      <c r="AE1999" s="2" t="s">
        <v>39</v>
      </c>
    </row>
    <row r="2000" spans="1:31" ht="409.5">
      <c r="A2000" s="2">
        <v>2727037</v>
      </c>
      <c r="B2000" s="2">
        <f>HYPERLINK("https://platform.v2.vetology.net/cases/2727037/screening-report/1?type=pdf&amp;v=v6&amp;scorecard=1&amp;secret_key=BX%25IJ%24%2F65ieZ%29f6", 2727037)</f>
        <v>2727037</v>
      </c>
      <c r="C2000" s="2">
        <f>HYPERLINK("https://platform.v2.vetology.net/report/v/final/"&amp;2727037, 2727037)</f>
        <v>2727037</v>
      </c>
      <c r="D2000" s="2" t="s">
        <v>6451</v>
      </c>
      <c r="E2000" s="2" t="s">
        <v>6452</v>
      </c>
      <c r="F2000" s="2" t="s">
        <v>43</v>
      </c>
      <c r="G2000" s="2" t="s">
        <v>44</v>
      </c>
      <c r="H2000" s="2" t="s">
        <v>6453</v>
      </c>
      <c r="I2000" s="2" t="s">
        <v>73</v>
      </c>
      <c r="J2000" s="2" t="s">
        <v>74</v>
      </c>
      <c r="K2000" s="2" t="s">
        <v>38</v>
      </c>
      <c r="L2000" s="2" t="s">
        <v>39</v>
      </c>
      <c r="M2000" s="2" t="s">
        <v>38</v>
      </c>
      <c r="N2000" s="2" t="s">
        <v>39</v>
      </c>
      <c r="O2000" s="2" t="s">
        <v>39</v>
      </c>
      <c r="P2000" s="2" t="s">
        <v>39</v>
      </c>
      <c r="Q2000" s="2" t="s">
        <v>38</v>
      </c>
      <c r="R2000" s="2" t="s">
        <v>38</v>
      </c>
      <c r="S2000" s="2" t="s">
        <v>38</v>
      </c>
      <c r="T2000" s="2" t="s">
        <v>39</v>
      </c>
      <c r="U2000" s="2" t="s">
        <v>38</v>
      </c>
      <c r="V2000" s="2" t="s">
        <v>38</v>
      </c>
      <c r="W2000" s="2" t="s">
        <v>39</v>
      </c>
      <c r="X2000" s="2" t="s">
        <v>38</v>
      </c>
      <c r="Y2000" s="2" t="s">
        <v>39</v>
      </c>
      <c r="Z2000" s="2" t="s">
        <v>39</v>
      </c>
      <c r="AA2000" s="2" t="s">
        <v>39</v>
      </c>
      <c r="AB2000" s="2" t="s">
        <v>39</v>
      </c>
      <c r="AC2000" s="2" t="s">
        <v>38</v>
      </c>
      <c r="AD2000" s="2" t="s">
        <v>39</v>
      </c>
      <c r="AE2000" s="2" t="s">
        <v>39</v>
      </c>
    </row>
    <row r="2001" spans="1:31" ht="409.5">
      <c r="A2001" s="2">
        <v>2727003</v>
      </c>
      <c r="B2001" s="2">
        <f>HYPERLINK("https://platform.v2.vetology.net/cases/2727003/screening-report/1?type=pdf&amp;v=v6&amp;scorecard=1&amp;secret_key=BX%25IJ%24%2F65ieZ%29f6", 2727003)</f>
        <v>2727003</v>
      </c>
      <c r="C2001" s="2">
        <f>HYPERLINK("https://platform.v2.vetology.net/report/v/final/"&amp;2727003, 2727003)</f>
        <v>2727003</v>
      </c>
      <c r="D2001" s="2" t="s">
        <v>6454</v>
      </c>
      <c r="E2001" s="2" t="s">
        <v>6455</v>
      </c>
      <c r="F2001" s="2" t="s">
        <v>6456</v>
      </c>
      <c r="G2001" s="2" t="s">
        <v>44</v>
      </c>
      <c r="H2001" s="2" t="s">
        <v>6457</v>
      </c>
      <c r="I2001" s="2" t="s">
        <v>73</v>
      </c>
      <c r="J2001" s="2" t="s">
        <v>74</v>
      </c>
      <c r="K2001" s="2" t="s">
        <v>38</v>
      </c>
      <c r="L2001" s="2" t="s">
        <v>38</v>
      </c>
      <c r="M2001" s="2" t="s">
        <v>38</v>
      </c>
      <c r="N2001" s="2" t="s">
        <v>38</v>
      </c>
      <c r="O2001" s="2" t="s">
        <v>38</v>
      </c>
      <c r="P2001" s="2" t="s">
        <v>38</v>
      </c>
      <c r="Q2001" s="2" t="s">
        <v>38</v>
      </c>
      <c r="R2001" s="2" t="s">
        <v>38</v>
      </c>
      <c r="S2001" s="2" t="s">
        <v>38</v>
      </c>
      <c r="T2001" s="2" t="s">
        <v>38</v>
      </c>
      <c r="U2001" s="2" t="s">
        <v>38</v>
      </c>
      <c r="V2001" s="2" t="s">
        <v>38</v>
      </c>
      <c r="W2001" s="2" t="s">
        <v>38</v>
      </c>
      <c r="X2001" s="2" t="s">
        <v>38</v>
      </c>
      <c r="Y2001" s="2" t="s">
        <v>38</v>
      </c>
      <c r="Z2001" s="2" t="s">
        <v>38</v>
      </c>
      <c r="AA2001" s="2" t="s">
        <v>38</v>
      </c>
      <c r="AB2001" s="2" t="s">
        <v>38</v>
      </c>
      <c r="AC2001" s="2" t="s">
        <v>38</v>
      </c>
      <c r="AD2001" s="2" t="s">
        <v>38</v>
      </c>
      <c r="AE2001" s="2" t="s">
        <v>39</v>
      </c>
    </row>
    <row r="2002" spans="1:31" ht="409.5">
      <c r="A2002" s="2">
        <v>2726997</v>
      </c>
      <c r="B2002" s="2">
        <f>HYPERLINK("https://platform.v2.vetology.net/cases/2726997/screening-report/1?type=pdf&amp;v=v6&amp;scorecard=1&amp;secret_key=BX%25IJ%24%2F65ieZ%29f6", 2726997)</f>
        <v>2726997</v>
      </c>
      <c r="C2002" s="2">
        <f>HYPERLINK("https://platform.v2.vetology.net/report/v/final/"&amp;2726997, 2726997)</f>
        <v>2726997</v>
      </c>
      <c r="D2002" s="2" t="s">
        <v>6458</v>
      </c>
      <c r="E2002" s="2" t="s">
        <v>6459</v>
      </c>
      <c r="F2002" s="2" t="s">
        <v>6460</v>
      </c>
      <c r="G2002" s="2" t="s">
        <v>251</v>
      </c>
      <c r="H2002" s="2" t="s">
        <v>69</v>
      </c>
      <c r="I2002" s="2" t="s">
        <v>46</v>
      </c>
      <c r="J2002" s="2"/>
      <c r="K2002" s="2" t="s">
        <v>39</v>
      </c>
      <c r="L2002" s="2" t="s">
        <v>39</v>
      </c>
      <c r="M2002" s="2" t="s">
        <v>39</v>
      </c>
      <c r="N2002" s="2" t="s">
        <v>39</v>
      </c>
      <c r="O2002" s="2" t="s">
        <v>39</v>
      </c>
      <c r="P2002" s="2" t="s">
        <v>39</v>
      </c>
      <c r="Q2002" s="2" t="s">
        <v>39</v>
      </c>
      <c r="R2002" s="2" t="s">
        <v>39</v>
      </c>
      <c r="S2002" s="2" t="s">
        <v>39</v>
      </c>
      <c r="T2002" s="2" t="s">
        <v>39</v>
      </c>
      <c r="U2002" s="2" t="s">
        <v>39</v>
      </c>
      <c r="V2002" s="2" t="s">
        <v>39</v>
      </c>
      <c r="W2002" s="2" t="s">
        <v>38</v>
      </c>
      <c r="X2002" s="2" t="s">
        <v>39</v>
      </c>
      <c r="Y2002" s="2" t="s">
        <v>39</v>
      </c>
      <c r="Z2002" s="2" t="s">
        <v>39</v>
      </c>
      <c r="AA2002" s="2" t="s">
        <v>39</v>
      </c>
      <c r="AB2002" s="2" t="s">
        <v>39</v>
      </c>
      <c r="AC2002" s="2" t="s">
        <v>38</v>
      </c>
      <c r="AD2002" s="2" t="s">
        <v>38</v>
      </c>
      <c r="AE2002" s="2" t="s">
        <v>40</v>
      </c>
    </row>
    <row r="2003" spans="1:31" ht="409.5">
      <c r="A2003" s="2">
        <v>2726975</v>
      </c>
      <c r="B2003" s="2">
        <f>HYPERLINK("https://platform.v2.vetology.net/cases/2726975/screening-report/1?type=pdf&amp;v=v6&amp;scorecard=1&amp;secret_key=BX%25IJ%24%2F65ieZ%29f6", 2726975)</f>
        <v>2726975</v>
      </c>
      <c r="C2003" s="2">
        <f>HYPERLINK("https://platform.v2.vetology.net/report/v/final/"&amp;2726975, 2726975)</f>
        <v>2726975</v>
      </c>
      <c r="D2003" s="2" t="s">
        <v>6461</v>
      </c>
      <c r="E2003" s="2" t="s">
        <v>6462</v>
      </c>
      <c r="F2003" s="2" t="s">
        <v>6463</v>
      </c>
      <c r="G2003" s="2" t="s">
        <v>34</v>
      </c>
      <c r="H2003" s="2" t="s">
        <v>6464</v>
      </c>
      <c r="I2003" s="2" t="s">
        <v>36</v>
      </c>
      <c r="J2003" s="2" t="s">
        <v>37</v>
      </c>
      <c r="K2003" s="2" t="s">
        <v>38</v>
      </c>
      <c r="L2003" s="2" t="s">
        <v>38</v>
      </c>
      <c r="M2003" s="2" t="s">
        <v>39</v>
      </c>
      <c r="N2003" s="2" t="s">
        <v>38</v>
      </c>
      <c r="O2003" s="2" t="s">
        <v>38</v>
      </c>
      <c r="P2003" s="2" t="s">
        <v>38</v>
      </c>
      <c r="Q2003" s="2" t="s">
        <v>38</v>
      </c>
      <c r="R2003" s="2" t="s">
        <v>39</v>
      </c>
      <c r="S2003" s="2" t="s">
        <v>38</v>
      </c>
      <c r="T2003" s="2" t="s">
        <v>38</v>
      </c>
      <c r="U2003" s="2" t="s">
        <v>39</v>
      </c>
      <c r="V2003" s="2" t="s">
        <v>38</v>
      </c>
      <c r="W2003" s="2" t="s">
        <v>38</v>
      </c>
      <c r="X2003" s="2" t="s">
        <v>39</v>
      </c>
      <c r="Y2003" s="2" t="s">
        <v>39</v>
      </c>
      <c r="Z2003" s="2" t="s">
        <v>38</v>
      </c>
      <c r="AA2003" s="2" t="s">
        <v>38</v>
      </c>
      <c r="AB2003" s="2" t="s">
        <v>38</v>
      </c>
      <c r="AC2003" s="2" t="s">
        <v>38</v>
      </c>
      <c r="AD2003" s="2" t="s">
        <v>39</v>
      </c>
      <c r="AE2003" s="2" t="s">
        <v>39</v>
      </c>
    </row>
    <row r="2004" spans="1:31" ht="409.5">
      <c r="A2004" s="2">
        <v>2726955</v>
      </c>
      <c r="B2004" s="2">
        <f>HYPERLINK("https://platform.v2.vetology.net/cases/2726955/screening-report/1?type=pdf&amp;v=v6&amp;scorecard=1&amp;secret_key=BX%25IJ%24%2F65ieZ%29f6", 2726955)</f>
        <v>2726955</v>
      </c>
      <c r="C2004" s="2">
        <f>HYPERLINK("https://platform.v2.vetology.net/report/v/final/"&amp;2726955, 2726955)</f>
        <v>2726955</v>
      </c>
      <c r="D2004" s="2" t="s">
        <v>6465</v>
      </c>
      <c r="E2004" s="2" t="s">
        <v>6466</v>
      </c>
      <c r="F2004" s="2" t="s">
        <v>43</v>
      </c>
      <c r="G2004" s="2" t="s">
        <v>507</v>
      </c>
      <c r="H2004" s="2" t="s">
        <v>6467</v>
      </c>
      <c r="I2004" s="2" t="s">
        <v>36</v>
      </c>
      <c r="J2004" s="2" t="s">
        <v>37</v>
      </c>
      <c r="K2004" s="2" t="s">
        <v>38</v>
      </c>
      <c r="L2004" s="2" t="s">
        <v>39</v>
      </c>
      <c r="M2004" s="2" t="s">
        <v>38</v>
      </c>
      <c r="N2004" s="2" t="s">
        <v>38</v>
      </c>
      <c r="O2004" s="2" t="s">
        <v>38</v>
      </c>
      <c r="P2004" s="2" t="s">
        <v>39</v>
      </c>
      <c r="Q2004" s="2" t="s">
        <v>39</v>
      </c>
      <c r="R2004" s="2" t="s">
        <v>38</v>
      </c>
      <c r="S2004" s="2" t="s">
        <v>38</v>
      </c>
      <c r="T2004" s="2" t="s">
        <v>39</v>
      </c>
      <c r="U2004" s="2" t="s">
        <v>39</v>
      </c>
      <c r="V2004" s="2" t="s">
        <v>39</v>
      </c>
      <c r="W2004" s="2" t="s">
        <v>38</v>
      </c>
      <c r="X2004" s="2" t="s">
        <v>39</v>
      </c>
      <c r="Y2004" s="2" t="s">
        <v>39</v>
      </c>
      <c r="Z2004" s="2" t="s">
        <v>38</v>
      </c>
      <c r="AA2004" s="2" t="s">
        <v>39</v>
      </c>
      <c r="AB2004" s="2" t="s">
        <v>39</v>
      </c>
      <c r="AC2004" s="2" t="s">
        <v>38</v>
      </c>
      <c r="AD2004" s="2" t="s">
        <v>39</v>
      </c>
      <c r="AE2004" s="2" t="s">
        <v>40</v>
      </c>
    </row>
    <row r="2005" spans="1:31" ht="409.5">
      <c r="A2005" s="2">
        <v>2726947</v>
      </c>
      <c r="B2005" s="2">
        <f>HYPERLINK("https://platform.v2.vetology.net/cases/2726947/screening-report/1?type=pdf&amp;v=v6&amp;scorecard=1&amp;secret_key=BX%25IJ%24%2F65ieZ%29f6", 2726947)</f>
        <v>2726947</v>
      </c>
      <c r="C2005" s="2">
        <f>HYPERLINK("https://platform.v2.vetology.net/report/v/final/"&amp;2726947, 2726947)</f>
        <v>2726947</v>
      </c>
      <c r="D2005" s="2" t="s">
        <v>6468</v>
      </c>
      <c r="E2005" s="2" t="s">
        <v>6469</v>
      </c>
      <c r="F2005" s="2" t="s">
        <v>6470</v>
      </c>
      <c r="G2005" s="2" t="s">
        <v>34</v>
      </c>
      <c r="H2005" s="2" t="s">
        <v>6471</v>
      </c>
      <c r="I2005" s="2" t="s">
        <v>36</v>
      </c>
      <c r="J2005" s="2" t="s">
        <v>37</v>
      </c>
      <c r="K2005" s="2" t="s">
        <v>38</v>
      </c>
      <c r="L2005" s="2" t="s">
        <v>39</v>
      </c>
      <c r="M2005" s="2" t="s">
        <v>38</v>
      </c>
      <c r="N2005" s="2" t="s">
        <v>38</v>
      </c>
      <c r="O2005" s="2" t="s">
        <v>38</v>
      </c>
      <c r="P2005" s="2" t="s">
        <v>38</v>
      </c>
      <c r="Q2005" s="2" t="s">
        <v>39</v>
      </c>
      <c r="R2005" s="2" t="s">
        <v>38</v>
      </c>
      <c r="S2005" s="2" t="s">
        <v>38</v>
      </c>
      <c r="T2005" s="2" t="s">
        <v>38</v>
      </c>
      <c r="U2005" s="2" t="s">
        <v>39</v>
      </c>
      <c r="V2005" s="2" t="s">
        <v>38</v>
      </c>
      <c r="W2005" s="2" t="s">
        <v>38</v>
      </c>
      <c r="X2005" s="2" t="s">
        <v>39</v>
      </c>
      <c r="Y2005" s="2" t="s">
        <v>38</v>
      </c>
      <c r="Z2005" s="2" t="s">
        <v>38</v>
      </c>
      <c r="AA2005" s="2" t="s">
        <v>38</v>
      </c>
      <c r="AB2005" s="2" t="s">
        <v>38</v>
      </c>
      <c r="AC2005" s="2" t="s">
        <v>38</v>
      </c>
      <c r="AD2005" s="2" t="s">
        <v>38</v>
      </c>
      <c r="AE2005" s="2" t="s">
        <v>40</v>
      </c>
    </row>
    <row r="2006" spans="1:31" ht="409.5">
      <c r="A2006" s="2">
        <v>2726931</v>
      </c>
      <c r="B2006" s="2">
        <f>HYPERLINK("https://platform.v2.vetology.net/cases/2726931/screening-report/1?type=pdf&amp;v=v6&amp;scorecard=1&amp;secret_key=BX%25IJ%24%2F65ieZ%29f6", 2726931)</f>
        <v>2726931</v>
      </c>
      <c r="C2006" s="2">
        <f>HYPERLINK("https://platform.v2.vetology.net/report/v/final/"&amp;2726931, 2726931)</f>
        <v>2726931</v>
      </c>
      <c r="D2006" s="2" t="s">
        <v>6472</v>
      </c>
      <c r="E2006" s="2" t="s">
        <v>6473</v>
      </c>
      <c r="F2006" s="2" t="s">
        <v>43</v>
      </c>
      <c r="G2006" s="2" t="s">
        <v>44</v>
      </c>
      <c r="H2006" s="2" t="s">
        <v>6474</v>
      </c>
      <c r="I2006" s="2" t="s">
        <v>36</v>
      </c>
      <c r="J2006" s="2" t="s">
        <v>37</v>
      </c>
      <c r="K2006" s="2" t="s">
        <v>38</v>
      </c>
      <c r="L2006" s="2" t="s">
        <v>38</v>
      </c>
      <c r="M2006" s="2" t="s">
        <v>38</v>
      </c>
      <c r="N2006" s="2" t="s">
        <v>38</v>
      </c>
      <c r="O2006" s="2" t="s">
        <v>38</v>
      </c>
      <c r="P2006" s="2" t="s">
        <v>38</v>
      </c>
      <c r="Q2006" s="2" t="s">
        <v>39</v>
      </c>
      <c r="R2006" s="2" t="s">
        <v>39</v>
      </c>
      <c r="S2006" s="2" t="s">
        <v>38</v>
      </c>
      <c r="T2006" s="2" t="s">
        <v>39</v>
      </c>
      <c r="U2006" s="2" t="s">
        <v>38</v>
      </c>
      <c r="V2006" s="2" t="s">
        <v>38</v>
      </c>
      <c r="W2006" s="2" t="s">
        <v>38</v>
      </c>
      <c r="X2006" s="2" t="s">
        <v>39</v>
      </c>
      <c r="Y2006" s="2" t="s">
        <v>39</v>
      </c>
      <c r="Z2006" s="2" t="s">
        <v>38</v>
      </c>
      <c r="AA2006" s="2" t="s">
        <v>38</v>
      </c>
      <c r="AB2006" s="2" t="s">
        <v>39</v>
      </c>
      <c r="AC2006" s="2" t="s">
        <v>38</v>
      </c>
      <c r="AD2006" s="2" t="s">
        <v>38</v>
      </c>
      <c r="AE2006" s="2" t="s">
        <v>40</v>
      </c>
    </row>
    <row r="2007" spans="1:31" ht="409.5">
      <c r="A2007" s="2">
        <v>2726909</v>
      </c>
      <c r="B2007" s="2">
        <f>HYPERLINK("https://platform.v2.vetology.net/cases/2726909/screening-report/1?type=pdf&amp;v=v6&amp;scorecard=1&amp;secret_key=BX%25IJ%24%2F65ieZ%29f6", 2726909)</f>
        <v>2726909</v>
      </c>
      <c r="C2007" s="2">
        <f>HYPERLINK("https://platform.v2.vetology.net/report/v/final/"&amp;2726909, 2726909)</f>
        <v>2726909</v>
      </c>
      <c r="D2007" s="2" t="s">
        <v>6475</v>
      </c>
      <c r="E2007" s="2" t="s">
        <v>6476</v>
      </c>
      <c r="F2007" s="2" t="s">
        <v>43</v>
      </c>
      <c r="G2007" s="2" t="s">
        <v>100</v>
      </c>
      <c r="H2007" s="2" t="s">
        <v>1685</v>
      </c>
      <c r="I2007" s="2" t="s">
        <v>59</v>
      </c>
      <c r="J2007" s="2" t="s">
        <v>37</v>
      </c>
      <c r="K2007" s="2" t="s">
        <v>38</v>
      </c>
      <c r="L2007" s="2" t="s">
        <v>39</v>
      </c>
      <c r="M2007" s="2" t="s">
        <v>39</v>
      </c>
      <c r="N2007" s="2" t="s">
        <v>39</v>
      </c>
      <c r="O2007" s="2" t="s">
        <v>38</v>
      </c>
      <c r="P2007" s="2" t="s">
        <v>39</v>
      </c>
      <c r="Q2007" s="2" t="s">
        <v>39</v>
      </c>
      <c r="R2007" s="2" t="s">
        <v>38</v>
      </c>
      <c r="S2007" s="2" t="s">
        <v>39</v>
      </c>
      <c r="T2007" s="2" t="s">
        <v>39</v>
      </c>
      <c r="U2007" s="2" t="s">
        <v>38</v>
      </c>
      <c r="V2007" s="2" t="s">
        <v>38</v>
      </c>
      <c r="W2007" s="2" t="s">
        <v>38</v>
      </c>
      <c r="X2007" s="2" t="s">
        <v>39</v>
      </c>
      <c r="Y2007" s="2" t="s">
        <v>39</v>
      </c>
      <c r="Z2007" s="2" t="s">
        <v>38</v>
      </c>
      <c r="AA2007" s="2" t="s">
        <v>38</v>
      </c>
      <c r="AB2007" s="2" t="s">
        <v>39</v>
      </c>
      <c r="AC2007" s="2" t="s">
        <v>38</v>
      </c>
      <c r="AD2007" s="2" t="s">
        <v>38</v>
      </c>
      <c r="AE2007" s="2" t="s">
        <v>40</v>
      </c>
    </row>
    <row r="2008" spans="1:31" ht="409.5">
      <c r="A2008" s="2">
        <v>2726878</v>
      </c>
      <c r="B2008" s="2">
        <f>HYPERLINK("https://platform.v2.vetology.net/cases/2726878/screening-report/1?type=pdf&amp;v=v6&amp;scorecard=1&amp;secret_key=BX%25IJ%24%2F65ieZ%29f6", 2726878)</f>
        <v>2726878</v>
      </c>
      <c r="C2008" s="2">
        <f>HYPERLINK("https://platform.v2.vetology.net/report/v/final/"&amp;2726878, 2726878)</f>
        <v>2726878</v>
      </c>
      <c r="D2008" s="2" t="s">
        <v>6477</v>
      </c>
      <c r="E2008" s="2" t="s">
        <v>6478</v>
      </c>
      <c r="F2008" s="2" t="s">
        <v>6479</v>
      </c>
      <c r="G2008" s="2" t="s">
        <v>170</v>
      </c>
      <c r="H2008" s="2" t="s">
        <v>1351</v>
      </c>
      <c r="I2008" s="2" t="s">
        <v>59</v>
      </c>
      <c r="J2008" s="2" t="s">
        <v>37</v>
      </c>
      <c r="K2008" s="2" t="s">
        <v>38</v>
      </c>
      <c r="L2008" s="2" t="s">
        <v>39</v>
      </c>
      <c r="M2008" s="2" t="s">
        <v>39</v>
      </c>
      <c r="N2008" s="2" t="s">
        <v>39</v>
      </c>
      <c r="O2008" s="2" t="s">
        <v>39</v>
      </c>
      <c r="P2008" s="2" t="s">
        <v>39</v>
      </c>
      <c r="Q2008" s="2" t="s">
        <v>39</v>
      </c>
      <c r="R2008" s="2" t="s">
        <v>39</v>
      </c>
      <c r="S2008" s="2" t="s">
        <v>38</v>
      </c>
      <c r="T2008" s="2" t="s">
        <v>38</v>
      </c>
      <c r="U2008" s="2" t="s">
        <v>38</v>
      </c>
      <c r="V2008" s="2" t="s">
        <v>38</v>
      </c>
      <c r="W2008" s="2" t="s">
        <v>39</v>
      </c>
      <c r="X2008" s="2" t="s">
        <v>39</v>
      </c>
      <c r="Y2008" s="2" t="s">
        <v>39</v>
      </c>
      <c r="Z2008" s="2" t="s">
        <v>39</v>
      </c>
      <c r="AA2008" s="2" t="s">
        <v>39</v>
      </c>
      <c r="AB2008" s="2" t="s">
        <v>39</v>
      </c>
      <c r="AC2008" s="2" t="s">
        <v>39</v>
      </c>
      <c r="AD2008" s="2" t="s">
        <v>39</v>
      </c>
      <c r="AE2008" s="2" t="s">
        <v>39</v>
      </c>
    </row>
    <row r="2009" spans="1:31" ht="409.5">
      <c r="A2009" s="2">
        <v>2726869</v>
      </c>
      <c r="B2009" s="2">
        <f>HYPERLINK("https://platform.v2.vetology.net/cases/2726869/screening-report/1?type=pdf&amp;v=v6&amp;scorecard=1&amp;secret_key=BX%25IJ%24%2F65ieZ%29f6", 2726869)</f>
        <v>2726869</v>
      </c>
      <c r="C2009" s="2">
        <f>HYPERLINK("https://platform.v2.vetology.net/report/v/final/"&amp;2726869, 2726869)</f>
        <v>2726869</v>
      </c>
      <c r="D2009" s="2" t="s">
        <v>6480</v>
      </c>
      <c r="E2009" s="2" t="s">
        <v>6481</v>
      </c>
      <c r="F2009" s="2" t="s">
        <v>43</v>
      </c>
      <c r="G2009" s="2" t="s">
        <v>507</v>
      </c>
      <c r="H2009" s="2" t="s">
        <v>3331</v>
      </c>
      <c r="I2009" s="2" t="s">
        <v>36</v>
      </c>
      <c r="J2009" s="2" t="s">
        <v>37</v>
      </c>
      <c r="K2009" s="2" t="s">
        <v>39</v>
      </c>
      <c r="L2009" s="2" t="s">
        <v>38</v>
      </c>
      <c r="M2009" s="2" t="s">
        <v>39</v>
      </c>
      <c r="N2009" s="2" t="s">
        <v>39</v>
      </c>
      <c r="O2009" s="2" t="s">
        <v>39</v>
      </c>
      <c r="P2009" s="2" t="s">
        <v>39</v>
      </c>
      <c r="Q2009" s="2" t="s">
        <v>39</v>
      </c>
      <c r="R2009" s="2" t="s">
        <v>38</v>
      </c>
      <c r="S2009" s="2" t="s">
        <v>38</v>
      </c>
      <c r="T2009" s="2" t="s">
        <v>39</v>
      </c>
      <c r="U2009" s="2" t="s">
        <v>39</v>
      </c>
      <c r="V2009" s="2" t="s">
        <v>39</v>
      </c>
      <c r="W2009" s="2" t="s">
        <v>38</v>
      </c>
      <c r="X2009" s="2" t="s">
        <v>39</v>
      </c>
      <c r="Y2009" s="2" t="s">
        <v>39</v>
      </c>
      <c r="Z2009" s="2" t="s">
        <v>39</v>
      </c>
      <c r="AA2009" s="2" t="s">
        <v>39</v>
      </c>
      <c r="AB2009" s="2" t="s">
        <v>39</v>
      </c>
      <c r="AC2009" s="2" t="s">
        <v>38</v>
      </c>
      <c r="AD2009" s="2" t="s">
        <v>38</v>
      </c>
      <c r="AE2009" s="2" t="s">
        <v>39</v>
      </c>
    </row>
    <row r="2010" spans="1:31" ht="409.5">
      <c r="A2010" s="2">
        <v>2726843</v>
      </c>
      <c r="B2010" s="2">
        <f>HYPERLINK("https://platform.v2.vetology.net/cases/2726843/screening-report/1?type=pdf&amp;v=v6&amp;scorecard=1&amp;secret_key=BX%25IJ%24%2F65ieZ%29f6", 2726843)</f>
        <v>2726843</v>
      </c>
      <c r="C2010" s="2">
        <f>HYPERLINK("https://platform.v2.vetology.net/report/v/final/"&amp;2726843, 2726843)</f>
        <v>2726843</v>
      </c>
      <c r="D2010" s="2" t="s">
        <v>6482</v>
      </c>
      <c r="E2010" s="2" t="s">
        <v>6483</v>
      </c>
      <c r="F2010" s="2" t="s">
        <v>43</v>
      </c>
      <c r="G2010" s="2" t="s">
        <v>44</v>
      </c>
      <c r="H2010" s="2" t="s">
        <v>378</v>
      </c>
      <c r="I2010" s="2" t="s">
        <v>36</v>
      </c>
      <c r="J2010" s="2" t="s">
        <v>37</v>
      </c>
      <c r="K2010" s="2" t="s">
        <v>39</v>
      </c>
      <c r="L2010" s="2" t="s">
        <v>39</v>
      </c>
      <c r="M2010" s="2" t="s">
        <v>38</v>
      </c>
      <c r="N2010" s="2" t="s">
        <v>39</v>
      </c>
      <c r="O2010" s="2" t="s">
        <v>39</v>
      </c>
      <c r="P2010" s="2" t="s">
        <v>39</v>
      </c>
      <c r="Q2010" s="2" t="s">
        <v>39</v>
      </c>
      <c r="R2010" s="2" t="s">
        <v>39</v>
      </c>
      <c r="S2010" s="2" t="s">
        <v>38</v>
      </c>
      <c r="T2010" s="2" t="s">
        <v>38</v>
      </c>
      <c r="U2010" s="2" t="s">
        <v>39</v>
      </c>
      <c r="V2010" s="2" t="s">
        <v>39</v>
      </c>
      <c r="W2010" s="2" t="s">
        <v>38</v>
      </c>
      <c r="X2010" s="2" t="s">
        <v>39</v>
      </c>
      <c r="Y2010" s="2" t="s">
        <v>39</v>
      </c>
      <c r="Z2010" s="2" t="s">
        <v>38</v>
      </c>
      <c r="AA2010" s="2" t="s">
        <v>38</v>
      </c>
      <c r="AB2010" s="2" t="s">
        <v>39</v>
      </c>
      <c r="AC2010" s="2" t="s">
        <v>38</v>
      </c>
      <c r="AD2010" s="2" t="s">
        <v>38</v>
      </c>
      <c r="AE2010" s="2" t="s">
        <v>39</v>
      </c>
    </row>
    <row r="2011" spans="1:31" ht="409.5">
      <c r="A2011" s="2">
        <v>2726837</v>
      </c>
      <c r="B2011" s="2">
        <f>HYPERLINK("https://platform.v2.vetology.net/cases/2726837/screening-report/1?type=pdf&amp;v=v6&amp;scorecard=1&amp;secret_key=BX%25IJ%24%2F65ieZ%29f6", 2726837)</f>
        <v>2726837</v>
      </c>
      <c r="C2011" s="2">
        <f>HYPERLINK("https://platform.v2.vetology.net/report/v/final/"&amp;2726837, 2726837)</f>
        <v>2726837</v>
      </c>
      <c r="D2011" s="2" t="s">
        <v>6484</v>
      </c>
      <c r="E2011" s="2" t="s">
        <v>6485</v>
      </c>
      <c r="F2011" s="2" t="s">
        <v>6486</v>
      </c>
      <c r="G2011" s="2" t="s">
        <v>170</v>
      </c>
      <c r="H2011" s="2" t="s">
        <v>6487</v>
      </c>
      <c r="I2011" s="2" t="s">
        <v>73</v>
      </c>
      <c r="J2011" s="2" t="s">
        <v>74</v>
      </c>
      <c r="K2011" s="2" t="s">
        <v>38</v>
      </c>
      <c r="L2011" s="2" t="s">
        <v>38</v>
      </c>
      <c r="M2011" s="2" t="s">
        <v>38</v>
      </c>
      <c r="N2011" s="2" t="s">
        <v>38</v>
      </c>
      <c r="O2011" s="2" t="s">
        <v>38</v>
      </c>
      <c r="P2011" s="2" t="s">
        <v>38</v>
      </c>
      <c r="Q2011" s="2" t="s">
        <v>38</v>
      </c>
      <c r="R2011" s="2" t="s">
        <v>38</v>
      </c>
      <c r="S2011" s="2" t="s">
        <v>38</v>
      </c>
      <c r="T2011" s="2" t="s">
        <v>38</v>
      </c>
      <c r="U2011" s="2" t="s">
        <v>38</v>
      </c>
      <c r="V2011" s="2" t="s">
        <v>38</v>
      </c>
      <c r="W2011" s="2" t="s">
        <v>38</v>
      </c>
      <c r="X2011" s="2" t="s">
        <v>38</v>
      </c>
      <c r="Y2011" s="2" t="s">
        <v>38</v>
      </c>
      <c r="Z2011" s="2" t="s">
        <v>38</v>
      </c>
      <c r="AA2011" s="2" t="s">
        <v>38</v>
      </c>
      <c r="AB2011" s="2" t="s">
        <v>38</v>
      </c>
      <c r="AC2011" s="2" t="s">
        <v>38</v>
      </c>
      <c r="AD2011" s="2" t="s">
        <v>39</v>
      </c>
      <c r="AE2011" s="2" t="s">
        <v>39</v>
      </c>
    </row>
    <row r="2012" spans="1:31" ht="409.5">
      <c r="A2012" s="2">
        <v>2726813</v>
      </c>
      <c r="B2012" s="2">
        <f>HYPERLINK("https://platform.v2.vetology.net/cases/2726813/screening-report/1?type=pdf&amp;v=v6&amp;scorecard=1&amp;secret_key=BX%25IJ%24%2F65ieZ%29f6", 2726813)</f>
        <v>2726813</v>
      </c>
      <c r="C2012" s="2">
        <f>HYPERLINK("https://platform.v2.vetology.net/report/v/final/"&amp;2726813, 2726813)</f>
        <v>2726813</v>
      </c>
      <c r="D2012" s="2" t="s">
        <v>6488</v>
      </c>
      <c r="E2012" s="2" t="s">
        <v>6489</v>
      </c>
      <c r="F2012" s="2" t="s">
        <v>914</v>
      </c>
      <c r="G2012" s="2" t="s">
        <v>170</v>
      </c>
      <c r="H2012" s="2" t="s">
        <v>62</v>
      </c>
      <c r="I2012" s="2" t="s">
        <v>46</v>
      </c>
      <c r="J2012" s="2"/>
      <c r="K2012" s="2" t="s">
        <v>39</v>
      </c>
      <c r="L2012" s="2" t="s">
        <v>39</v>
      </c>
      <c r="M2012" s="2" t="s">
        <v>39</v>
      </c>
      <c r="N2012" s="2" t="s">
        <v>39</v>
      </c>
      <c r="O2012" s="2" t="s">
        <v>38</v>
      </c>
      <c r="P2012" s="2" t="s">
        <v>39</v>
      </c>
      <c r="Q2012" s="2" t="s">
        <v>39</v>
      </c>
      <c r="R2012" s="2" t="s">
        <v>38</v>
      </c>
      <c r="S2012" s="2" t="s">
        <v>38</v>
      </c>
      <c r="T2012" s="2" t="s">
        <v>39</v>
      </c>
      <c r="U2012" s="2" t="s">
        <v>39</v>
      </c>
      <c r="V2012" s="2" t="s">
        <v>39</v>
      </c>
      <c r="W2012" s="2" t="s">
        <v>38</v>
      </c>
      <c r="X2012" s="2" t="s">
        <v>39</v>
      </c>
      <c r="Y2012" s="2" t="s">
        <v>39</v>
      </c>
      <c r="Z2012" s="2" t="s">
        <v>38</v>
      </c>
      <c r="AA2012" s="2" t="s">
        <v>39</v>
      </c>
      <c r="AB2012" s="2" t="s">
        <v>39</v>
      </c>
      <c r="AC2012" s="2" t="s">
        <v>38</v>
      </c>
      <c r="AD2012" s="2" t="s">
        <v>38</v>
      </c>
      <c r="AE2012" s="2" t="s">
        <v>39</v>
      </c>
    </row>
    <row r="2013" spans="1:31" ht="409.5">
      <c r="A2013" s="2">
        <v>2726767</v>
      </c>
      <c r="B2013" s="2">
        <f>HYPERLINK("https://platform.v2.vetology.net/cases/2726767/screening-report/1?type=pdf&amp;v=v6&amp;scorecard=1&amp;secret_key=BX%25IJ%24%2F65ieZ%29f6", 2726767)</f>
        <v>2726767</v>
      </c>
      <c r="C2013" s="2">
        <f>HYPERLINK("https://platform.v2.vetology.net/report/v/final/"&amp;2726767, 2726767)</f>
        <v>2726767</v>
      </c>
      <c r="D2013" s="2" t="s">
        <v>6490</v>
      </c>
      <c r="E2013" s="2" t="s">
        <v>6491</v>
      </c>
      <c r="F2013" s="2" t="s">
        <v>2270</v>
      </c>
      <c r="G2013" s="2" t="s">
        <v>170</v>
      </c>
      <c r="H2013" s="2" t="s">
        <v>6492</v>
      </c>
      <c r="I2013" s="2" t="s">
        <v>129</v>
      </c>
      <c r="J2013" s="2" t="s">
        <v>74</v>
      </c>
      <c r="K2013" s="2" t="s">
        <v>39</v>
      </c>
      <c r="L2013" s="2" t="s">
        <v>38</v>
      </c>
      <c r="M2013" s="2" t="s">
        <v>38</v>
      </c>
      <c r="N2013" s="2" t="s">
        <v>38</v>
      </c>
      <c r="O2013" s="2" t="s">
        <v>38</v>
      </c>
      <c r="P2013" s="2" t="s">
        <v>38</v>
      </c>
      <c r="Q2013" s="2" t="s">
        <v>38</v>
      </c>
      <c r="R2013" s="2" t="s">
        <v>38</v>
      </c>
      <c r="S2013" s="2" t="s">
        <v>38</v>
      </c>
      <c r="T2013" s="2" t="s">
        <v>38</v>
      </c>
      <c r="U2013" s="2" t="s">
        <v>39</v>
      </c>
      <c r="V2013" s="2" t="s">
        <v>39</v>
      </c>
      <c r="W2013" s="2" t="s">
        <v>38</v>
      </c>
      <c r="X2013" s="2" t="s">
        <v>38</v>
      </c>
      <c r="Y2013" s="2" t="s">
        <v>39</v>
      </c>
      <c r="Z2013" s="2" t="s">
        <v>38</v>
      </c>
      <c r="AA2013" s="2" t="s">
        <v>38</v>
      </c>
      <c r="AB2013" s="2" t="s">
        <v>38</v>
      </c>
      <c r="AC2013" s="2" t="s">
        <v>39</v>
      </c>
      <c r="AD2013" s="2" t="s">
        <v>38</v>
      </c>
      <c r="AE2013" s="2" t="s">
        <v>39</v>
      </c>
    </row>
    <row r="2014" spans="1:31" ht="409.5">
      <c r="A2014" s="2">
        <v>2726684</v>
      </c>
      <c r="B2014" s="2">
        <f>HYPERLINK("https://platform.v2.vetology.net/cases/2726684/screening-report/1?type=pdf&amp;v=v6&amp;scorecard=1&amp;secret_key=BX%25IJ%24%2F65ieZ%29f6", 2726684)</f>
        <v>2726684</v>
      </c>
      <c r="C2014" s="2">
        <f>HYPERLINK("https://platform.v2.vetology.net/report/v/final/"&amp;2726684, 2726684)</f>
        <v>2726684</v>
      </c>
      <c r="D2014" s="2" t="s">
        <v>6493</v>
      </c>
      <c r="E2014" s="2" t="s">
        <v>5773</v>
      </c>
      <c r="F2014" s="2" t="s">
        <v>6494</v>
      </c>
      <c r="G2014" s="2" t="s">
        <v>111</v>
      </c>
      <c r="H2014" s="2" t="s">
        <v>6495</v>
      </c>
      <c r="I2014" s="2" t="s">
        <v>129</v>
      </c>
      <c r="J2014" s="2" t="s">
        <v>74</v>
      </c>
      <c r="K2014" s="2" t="s">
        <v>39</v>
      </c>
      <c r="L2014" s="2" t="s">
        <v>39</v>
      </c>
      <c r="M2014" s="2" t="s">
        <v>38</v>
      </c>
      <c r="N2014" s="2" t="s">
        <v>38</v>
      </c>
      <c r="O2014" s="2" t="s">
        <v>38</v>
      </c>
      <c r="P2014" s="2" t="s">
        <v>38</v>
      </c>
      <c r="Q2014" s="2" t="s">
        <v>38</v>
      </c>
      <c r="R2014" s="2" t="s">
        <v>39</v>
      </c>
      <c r="S2014" s="2" t="s">
        <v>38</v>
      </c>
      <c r="T2014" s="2" t="s">
        <v>38</v>
      </c>
      <c r="U2014" s="2" t="s">
        <v>39</v>
      </c>
      <c r="V2014" s="2" t="s">
        <v>38</v>
      </c>
      <c r="W2014" s="2" t="s">
        <v>38</v>
      </c>
      <c r="X2014" s="2" t="s">
        <v>38</v>
      </c>
      <c r="Y2014" s="2" t="s">
        <v>39</v>
      </c>
      <c r="Z2014" s="2" t="s">
        <v>38</v>
      </c>
      <c r="AA2014" s="2" t="s">
        <v>38</v>
      </c>
      <c r="AB2014" s="2" t="s">
        <v>38</v>
      </c>
      <c r="AC2014" s="2" t="s">
        <v>38</v>
      </c>
      <c r="AD2014" s="2" t="s">
        <v>39</v>
      </c>
      <c r="AE2014" s="2" t="s">
        <v>40</v>
      </c>
    </row>
    <row r="2015" spans="1:31" ht="409.5">
      <c r="A2015" s="2">
        <v>2726675</v>
      </c>
      <c r="B2015" s="2">
        <f>HYPERLINK("https://platform.v2.vetology.net/cases/2726675/screening-report/1?type=pdf&amp;v=v6&amp;scorecard=1&amp;secret_key=BX%25IJ%24%2F65ieZ%29f6", 2726675)</f>
        <v>2726675</v>
      </c>
      <c r="C2015" s="2">
        <f>HYPERLINK("https://platform.v2.vetology.net/report/v/final/"&amp;2726675, 2726675)</f>
        <v>2726675</v>
      </c>
      <c r="D2015" s="2" t="s">
        <v>6496</v>
      </c>
      <c r="E2015" s="2" t="s">
        <v>6497</v>
      </c>
      <c r="F2015" s="2" t="s">
        <v>6498</v>
      </c>
      <c r="G2015" s="2" t="s">
        <v>111</v>
      </c>
      <c r="H2015" s="2" t="s">
        <v>6499</v>
      </c>
      <c r="I2015" s="2" t="s">
        <v>36</v>
      </c>
      <c r="J2015" s="2" t="s">
        <v>37</v>
      </c>
      <c r="K2015" s="2" t="s">
        <v>38</v>
      </c>
      <c r="L2015" s="2" t="s">
        <v>38</v>
      </c>
      <c r="M2015" s="2" t="s">
        <v>38</v>
      </c>
      <c r="N2015" s="2" t="s">
        <v>38</v>
      </c>
      <c r="O2015" s="2" t="s">
        <v>38</v>
      </c>
      <c r="P2015" s="2" t="s">
        <v>39</v>
      </c>
      <c r="Q2015" s="2" t="s">
        <v>39</v>
      </c>
      <c r="R2015" s="2" t="s">
        <v>39</v>
      </c>
      <c r="S2015" s="2" t="s">
        <v>39</v>
      </c>
      <c r="T2015" s="2" t="s">
        <v>39</v>
      </c>
      <c r="U2015" s="2" t="s">
        <v>38</v>
      </c>
      <c r="V2015" s="2" t="s">
        <v>38</v>
      </c>
      <c r="W2015" s="2" t="s">
        <v>38</v>
      </c>
      <c r="X2015" s="2" t="s">
        <v>38</v>
      </c>
      <c r="Y2015" s="2" t="s">
        <v>39</v>
      </c>
      <c r="Z2015" s="2" t="s">
        <v>38</v>
      </c>
      <c r="AA2015" s="2" t="s">
        <v>38</v>
      </c>
      <c r="AB2015" s="2" t="s">
        <v>38</v>
      </c>
      <c r="AC2015" s="2" t="s">
        <v>38</v>
      </c>
      <c r="AD2015" s="2" t="s">
        <v>38</v>
      </c>
      <c r="AE2015" s="2" t="s">
        <v>39</v>
      </c>
    </row>
    <row r="2016" spans="1:31" ht="409.5">
      <c r="A2016" s="2">
        <v>2726656</v>
      </c>
      <c r="B2016" s="2">
        <f>HYPERLINK("https://platform.v2.vetology.net/cases/2726656/screening-report/1?type=pdf&amp;v=v6&amp;scorecard=1&amp;secret_key=BX%25IJ%24%2F65ieZ%29f6", 2726656)</f>
        <v>2726656</v>
      </c>
      <c r="C2016" s="2">
        <f>HYPERLINK("https://platform.v2.vetology.net/report/v/final/"&amp;2726656, 2726656)</f>
        <v>2726656</v>
      </c>
      <c r="D2016" s="2" t="s">
        <v>6500</v>
      </c>
      <c r="E2016" s="2" t="s">
        <v>118</v>
      </c>
      <c r="F2016" s="2" t="s">
        <v>1498</v>
      </c>
      <c r="G2016" s="2" t="s">
        <v>111</v>
      </c>
      <c r="H2016" s="2" t="s">
        <v>265</v>
      </c>
      <c r="I2016" s="2" t="s">
        <v>36</v>
      </c>
      <c r="J2016" s="2" t="s">
        <v>37</v>
      </c>
      <c r="K2016" s="2" t="s">
        <v>39</v>
      </c>
      <c r="L2016" s="2" t="s">
        <v>39</v>
      </c>
      <c r="M2016" s="2" t="s">
        <v>38</v>
      </c>
      <c r="N2016" s="2" t="s">
        <v>39</v>
      </c>
      <c r="O2016" s="2" t="s">
        <v>39</v>
      </c>
      <c r="P2016" s="2" t="s">
        <v>39</v>
      </c>
      <c r="Q2016" s="2" t="s">
        <v>39</v>
      </c>
      <c r="R2016" s="2" t="s">
        <v>39</v>
      </c>
      <c r="S2016" s="2" t="s">
        <v>39</v>
      </c>
      <c r="T2016" s="2" t="s">
        <v>39</v>
      </c>
      <c r="U2016" s="2" t="s">
        <v>39</v>
      </c>
      <c r="V2016" s="2" t="s">
        <v>39</v>
      </c>
      <c r="W2016" s="2" t="s">
        <v>38</v>
      </c>
      <c r="X2016" s="2" t="s">
        <v>39</v>
      </c>
      <c r="Y2016" s="2" t="s">
        <v>39</v>
      </c>
      <c r="Z2016" s="2" t="s">
        <v>39</v>
      </c>
      <c r="AA2016" s="2" t="s">
        <v>39</v>
      </c>
      <c r="AB2016" s="2" t="s">
        <v>39</v>
      </c>
      <c r="AC2016" s="2" t="s">
        <v>38</v>
      </c>
      <c r="AD2016" s="2" t="s">
        <v>39</v>
      </c>
      <c r="AE2016" s="2" t="s">
        <v>39</v>
      </c>
    </row>
    <row r="2017" spans="1:31" ht="409.5">
      <c r="A2017" s="2">
        <v>2726608</v>
      </c>
      <c r="B2017" s="2">
        <f>HYPERLINK("https://platform.v2.vetology.net/cases/2726608/screening-report/1?type=pdf&amp;v=v6&amp;scorecard=1&amp;secret_key=BX%25IJ%24%2F65ieZ%29f6", 2726608)</f>
        <v>2726608</v>
      </c>
      <c r="C2017" s="2">
        <f>HYPERLINK("https://platform.v2.vetology.net/report/v/final/"&amp;2726608, 2726608)</f>
        <v>2726608</v>
      </c>
      <c r="D2017" s="2" t="s">
        <v>6501</v>
      </c>
      <c r="E2017" s="2" t="s">
        <v>6502</v>
      </c>
      <c r="F2017" s="2" t="s">
        <v>43</v>
      </c>
      <c r="G2017" s="2" t="s">
        <v>100</v>
      </c>
      <c r="H2017" s="2" t="s">
        <v>493</v>
      </c>
      <c r="I2017" s="2" t="s">
        <v>36</v>
      </c>
      <c r="J2017" s="2" t="s">
        <v>37</v>
      </c>
      <c r="K2017" s="2" t="s">
        <v>38</v>
      </c>
      <c r="L2017" s="2" t="s">
        <v>39</v>
      </c>
      <c r="M2017" s="2" t="s">
        <v>38</v>
      </c>
      <c r="N2017" s="2" t="s">
        <v>39</v>
      </c>
      <c r="O2017" s="2" t="s">
        <v>38</v>
      </c>
      <c r="P2017" s="2" t="s">
        <v>39</v>
      </c>
      <c r="Q2017" s="2" t="s">
        <v>39</v>
      </c>
      <c r="R2017" s="2" t="s">
        <v>39</v>
      </c>
      <c r="S2017" s="2" t="s">
        <v>39</v>
      </c>
      <c r="T2017" s="2" t="s">
        <v>39</v>
      </c>
      <c r="U2017" s="2" t="s">
        <v>38</v>
      </c>
      <c r="V2017" s="2" t="s">
        <v>38</v>
      </c>
      <c r="W2017" s="2" t="s">
        <v>39</v>
      </c>
      <c r="X2017" s="2" t="s">
        <v>39</v>
      </c>
      <c r="Y2017" s="2" t="s">
        <v>39</v>
      </c>
      <c r="Z2017" s="2" t="s">
        <v>39</v>
      </c>
      <c r="AA2017" s="2" t="s">
        <v>39</v>
      </c>
      <c r="AB2017" s="2" t="s">
        <v>39</v>
      </c>
      <c r="AC2017" s="2" t="s">
        <v>39</v>
      </c>
      <c r="AD2017" s="2" t="s">
        <v>38</v>
      </c>
      <c r="AE2017" s="2" t="s">
        <v>40</v>
      </c>
    </row>
    <row r="2018" spans="1:31" ht="409.5">
      <c r="A2018" s="2">
        <v>2726604</v>
      </c>
      <c r="B2018" s="2">
        <f>HYPERLINK("https://platform.v2.vetology.net/cases/2726604/screening-report/1?type=pdf&amp;v=v6&amp;scorecard=1&amp;secret_key=BX%25IJ%24%2F65ieZ%29f6", 2726604)</f>
        <v>2726604</v>
      </c>
      <c r="C2018" s="2">
        <f>HYPERLINK("https://platform.v2.vetology.net/report/v/final/"&amp;2726604, 2726604)</f>
        <v>2726604</v>
      </c>
      <c r="D2018" s="2" t="s">
        <v>6503</v>
      </c>
      <c r="E2018" s="2" t="s">
        <v>6504</v>
      </c>
      <c r="F2018" s="2" t="s">
        <v>43</v>
      </c>
      <c r="G2018" s="2" t="s">
        <v>100</v>
      </c>
      <c r="H2018" s="2" t="s">
        <v>1846</v>
      </c>
      <c r="I2018" s="2" t="s">
        <v>36</v>
      </c>
      <c r="J2018" s="2" t="s">
        <v>37</v>
      </c>
      <c r="K2018" s="2" t="s">
        <v>39</v>
      </c>
      <c r="L2018" s="2" t="s">
        <v>38</v>
      </c>
      <c r="M2018" s="2" t="s">
        <v>38</v>
      </c>
      <c r="N2018" s="2" t="s">
        <v>39</v>
      </c>
      <c r="O2018" s="2" t="s">
        <v>38</v>
      </c>
      <c r="P2018" s="2" t="s">
        <v>39</v>
      </c>
      <c r="Q2018" s="2" t="s">
        <v>39</v>
      </c>
      <c r="R2018" s="2" t="s">
        <v>38</v>
      </c>
      <c r="S2018" s="2" t="s">
        <v>38</v>
      </c>
      <c r="T2018" s="2" t="s">
        <v>39</v>
      </c>
      <c r="U2018" s="2" t="s">
        <v>39</v>
      </c>
      <c r="V2018" s="2" t="s">
        <v>39</v>
      </c>
      <c r="W2018" s="2" t="s">
        <v>39</v>
      </c>
      <c r="X2018" s="2" t="s">
        <v>39</v>
      </c>
      <c r="Y2018" s="2" t="s">
        <v>39</v>
      </c>
      <c r="Z2018" s="2" t="s">
        <v>39</v>
      </c>
      <c r="AA2018" s="2" t="s">
        <v>39</v>
      </c>
      <c r="AB2018" s="2" t="s">
        <v>39</v>
      </c>
      <c r="AC2018" s="2" t="s">
        <v>39</v>
      </c>
      <c r="AD2018" s="2" t="s">
        <v>39</v>
      </c>
      <c r="AE2018" s="2" t="s">
        <v>39</v>
      </c>
    </row>
    <row r="2019" spans="1:31" ht="409.5">
      <c r="A2019" s="2">
        <v>2726593</v>
      </c>
      <c r="B2019" s="2">
        <f>HYPERLINK("https://platform.v2.vetology.net/cases/2726593/screening-report/1?type=pdf&amp;v=v6&amp;scorecard=1&amp;secret_key=BX%25IJ%24%2F65ieZ%29f6", 2726593)</f>
        <v>2726593</v>
      </c>
      <c r="C2019" s="2">
        <f>HYPERLINK("https://platform.v2.vetology.net/report/v/final/"&amp;2726593, 2726593)</f>
        <v>2726593</v>
      </c>
      <c r="D2019" s="2" t="s">
        <v>6505</v>
      </c>
      <c r="E2019" s="2" t="s">
        <v>6506</v>
      </c>
      <c r="F2019" s="2" t="s">
        <v>6507</v>
      </c>
      <c r="G2019" s="2" t="s">
        <v>111</v>
      </c>
      <c r="H2019" s="2" t="s">
        <v>6508</v>
      </c>
      <c r="I2019" s="2" t="s">
        <v>129</v>
      </c>
      <c r="J2019" s="2" t="s">
        <v>74</v>
      </c>
      <c r="K2019" s="2" t="s">
        <v>39</v>
      </c>
      <c r="L2019" s="2" t="s">
        <v>38</v>
      </c>
      <c r="M2019" s="2" t="s">
        <v>38</v>
      </c>
      <c r="N2019" s="2" t="s">
        <v>38</v>
      </c>
      <c r="O2019" s="2" t="s">
        <v>38</v>
      </c>
      <c r="P2019" s="2" t="s">
        <v>38</v>
      </c>
      <c r="Q2019" s="2" t="s">
        <v>38</v>
      </c>
      <c r="R2019" s="2" t="s">
        <v>38</v>
      </c>
      <c r="S2019" s="2" t="s">
        <v>38</v>
      </c>
      <c r="T2019" s="2" t="s">
        <v>38</v>
      </c>
      <c r="U2019" s="2" t="s">
        <v>39</v>
      </c>
      <c r="V2019" s="2" t="s">
        <v>39</v>
      </c>
      <c r="W2019" s="2" t="s">
        <v>38</v>
      </c>
      <c r="X2019" s="2" t="s">
        <v>39</v>
      </c>
      <c r="Y2019" s="2" t="s">
        <v>38</v>
      </c>
      <c r="Z2019" s="2" t="s">
        <v>38</v>
      </c>
      <c r="AA2019" s="2" t="s">
        <v>38</v>
      </c>
      <c r="AB2019" s="2" t="s">
        <v>39</v>
      </c>
      <c r="AC2019" s="2" t="s">
        <v>38</v>
      </c>
      <c r="AD2019" s="2" t="s">
        <v>38</v>
      </c>
      <c r="AE2019" s="2" t="s">
        <v>39</v>
      </c>
    </row>
    <row r="2020" spans="1:31" ht="409.5">
      <c r="A2020" s="2">
        <v>2726538</v>
      </c>
      <c r="B2020" s="2">
        <f>HYPERLINK("https://platform.v2.vetology.net/cases/2726538/screening-report/1?type=pdf&amp;v=v6&amp;scorecard=1&amp;secret_key=BX%25IJ%24%2F65ieZ%29f6", 2726538)</f>
        <v>2726538</v>
      </c>
      <c r="C2020" s="2">
        <f>HYPERLINK("https://platform.v2.vetology.net/report/v/final/"&amp;2726538, 2726538)</f>
        <v>2726538</v>
      </c>
      <c r="D2020" s="2" t="s">
        <v>6509</v>
      </c>
      <c r="E2020" s="2" t="s">
        <v>6510</v>
      </c>
      <c r="F2020" s="2" t="s">
        <v>6511</v>
      </c>
      <c r="G2020" s="2" t="s">
        <v>53</v>
      </c>
      <c r="H2020" s="2" t="s">
        <v>3066</v>
      </c>
      <c r="I2020" s="2" t="s">
        <v>36</v>
      </c>
      <c r="J2020" s="2" t="s">
        <v>37</v>
      </c>
      <c r="K2020" s="2" t="s">
        <v>39</v>
      </c>
      <c r="L2020" s="2" t="s">
        <v>38</v>
      </c>
      <c r="M2020" s="2" t="s">
        <v>39</v>
      </c>
      <c r="N2020" s="2" t="s">
        <v>38</v>
      </c>
      <c r="O2020" s="2" t="s">
        <v>38</v>
      </c>
      <c r="P2020" s="2" t="s">
        <v>39</v>
      </c>
      <c r="Q2020" s="2" t="s">
        <v>39</v>
      </c>
      <c r="R2020" s="2" t="s">
        <v>38</v>
      </c>
      <c r="S2020" s="2" t="s">
        <v>38</v>
      </c>
      <c r="T2020" s="2" t="s">
        <v>39</v>
      </c>
      <c r="U2020" s="2" t="s">
        <v>39</v>
      </c>
      <c r="V2020" s="2" t="s">
        <v>39</v>
      </c>
      <c r="W2020" s="2" t="s">
        <v>38</v>
      </c>
      <c r="X2020" s="2" t="s">
        <v>39</v>
      </c>
      <c r="Y2020" s="2" t="s">
        <v>39</v>
      </c>
      <c r="Z2020" s="2" t="s">
        <v>38</v>
      </c>
      <c r="AA2020" s="2" t="s">
        <v>39</v>
      </c>
      <c r="AB2020" s="2" t="s">
        <v>39</v>
      </c>
      <c r="AC2020" s="2" t="s">
        <v>38</v>
      </c>
      <c r="AD2020" s="2" t="s">
        <v>38</v>
      </c>
      <c r="AE2020" s="2" t="s">
        <v>39</v>
      </c>
    </row>
    <row r="2021" spans="1:31" ht="409.5">
      <c r="A2021" s="2">
        <v>2726536</v>
      </c>
      <c r="B2021" s="2">
        <f>HYPERLINK("https://platform.v2.vetology.net/cases/2726536/screening-report/1?type=pdf&amp;v=v6&amp;scorecard=1&amp;secret_key=BX%25IJ%24%2F65ieZ%29f6", 2726536)</f>
        <v>2726536</v>
      </c>
      <c r="C2021" s="2">
        <f>HYPERLINK("https://platform.v2.vetology.net/report/v/final/"&amp;2726536, 2726536)</f>
        <v>2726536</v>
      </c>
      <c r="D2021" s="2" t="s">
        <v>6512</v>
      </c>
      <c r="E2021" s="2" t="s">
        <v>6513</v>
      </c>
      <c r="F2021" s="2"/>
      <c r="G2021" s="2" t="s">
        <v>81</v>
      </c>
      <c r="H2021" s="2" t="s">
        <v>3838</v>
      </c>
      <c r="I2021" s="2" t="s">
        <v>129</v>
      </c>
      <c r="J2021" s="2" t="s">
        <v>74</v>
      </c>
      <c r="K2021" s="2" t="s">
        <v>39</v>
      </c>
      <c r="L2021" s="2" t="s">
        <v>38</v>
      </c>
      <c r="M2021" s="2" t="s">
        <v>38</v>
      </c>
      <c r="N2021" s="2" t="s">
        <v>38</v>
      </c>
      <c r="O2021" s="2" t="s">
        <v>38</v>
      </c>
      <c r="P2021" s="2" t="s">
        <v>38</v>
      </c>
      <c r="Q2021" s="2" t="s">
        <v>38</v>
      </c>
      <c r="R2021" s="2" t="s">
        <v>38</v>
      </c>
      <c r="S2021" s="2" t="s">
        <v>38</v>
      </c>
      <c r="T2021" s="2" t="s">
        <v>38</v>
      </c>
      <c r="U2021" s="2" t="s">
        <v>39</v>
      </c>
      <c r="V2021" s="2" t="s">
        <v>38</v>
      </c>
      <c r="W2021" s="2" t="s">
        <v>38</v>
      </c>
      <c r="X2021" s="2" t="s">
        <v>38</v>
      </c>
      <c r="Y2021" s="2" t="s">
        <v>38</v>
      </c>
      <c r="Z2021" s="2" t="s">
        <v>38</v>
      </c>
      <c r="AA2021" s="2" t="s">
        <v>38</v>
      </c>
      <c r="AB2021" s="2" t="s">
        <v>38</v>
      </c>
      <c r="AC2021" s="2" t="s">
        <v>38</v>
      </c>
      <c r="AD2021" s="2" t="s">
        <v>38</v>
      </c>
      <c r="AE2021" s="2" t="s">
        <v>40</v>
      </c>
    </row>
    <row r="2022" spans="1:31" ht="409.5">
      <c r="A2022" s="2">
        <v>2726529</v>
      </c>
      <c r="B2022" s="2">
        <f>HYPERLINK("https://platform.v2.vetology.net/cases/2726529/screening-report/1?type=pdf&amp;v=v6&amp;scorecard=1&amp;secret_key=BX%25IJ%24%2F65ieZ%29f6", 2726529)</f>
        <v>2726529</v>
      </c>
      <c r="C2022" s="2">
        <f>HYPERLINK("https://platform.v2.vetology.net/report/v/final/"&amp;2726529, 2726529)</f>
        <v>2726529</v>
      </c>
      <c r="D2022" s="2" t="s">
        <v>6514</v>
      </c>
      <c r="E2022" s="2" t="s">
        <v>6515</v>
      </c>
      <c r="F2022" s="2" t="s">
        <v>4810</v>
      </c>
      <c r="G2022" s="2" t="s">
        <v>170</v>
      </c>
      <c r="H2022" s="2" t="s">
        <v>6516</v>
      </c>
      <c r="I2022" s="2" t="s">
        <v>73</v>
      </c>
      <c r="J2022" s="2" t="s">
        <v>74</v>
      </c>
      <c r="K2022" s="2" t="s">
        <v>38</v>
      </c>
      <c r="L2022" s="2" t="s">
        <v>38</v>
      </c>
      <c r="M2022" s="2" t="s">
        <v>38</v>
      </c>
      <c r="N2022" s="2" t="s">
        <v>38</v>
      </c>
      <c r="O2022" s="2" t="s">
        <v>38</v>
      </c>
      <c r="P2022" s="2" t="s">
        <v>38</v>
      </c>
      <c r="Q2022" s="2" t="s">
        <v>38</v>
      </c>
      <c r="R2022" s="2" t="s">
        <v>39</v>
      </c>
      <c r="S2022" s="2" t="s">
        <v>38</v>
      </c>
      <c r="T2022" s="2" t="s">
        <v>38</v>
      </c>
      <c r="U2022" s="2" t="s">
        <v>38</v>
      </c>
      <c r="V2022" s="2" t="s">
        <v>38</v>
      </c>
      <c r="W2022" s="2" t="s">
        <v>38</v>
      </c>
      <c r="X2022" s="2" t="s">
        <v>38</v>
      </c>
      <c r="Y2022" s="2" t="s">
        <v>39</v>
      </c>
      <c r="Z2022" s="2" t="s">
        <v>38</v>
      </c>
      <c r="AA2022" s="2" t="s">
        <v>38</v>
      </c>
      <c r="AB2022" s="2" t="s">
        <v>38</v>
      </c>
      <c r="AC2022" s="2" t="s">
        <v>38</v>
      </c>
      <c r="AD2022" s="2" t="s">
        <v>38</v>
      </c>
      <c r="AE2022" s="2" t="s">
        <v>40</v>
      </c>
    </row>
    <row r="2023" spans="1:31" ht="409.5">
      <c r="A2023" s="2">
        <v>2726525</v>
      </c>
      <c r="B2023" s="2">
        <f>HYPERLINK("https://platform.v2.vetology.net/cases/2726525/screening-report/1?type=pdf&amp;v=v6&amp;scorecard=1&amp;secret_key=BX%25IJ%24%2F65ieZ%29f6", 2726525)</f>
        <v>2726525</v>
      </c>
      <c r="C2023" s="2">
        <f>HYPERLINK("https://platform.v2.vetology.net/report/v/final/"&amp;2726525, 2726525)</f>
        <v>2726525</v>
      </c>
      <c r="D2023" s="2" t="s">
        <v>6517</v>
      </c>
      <c r="E2023" s="2" t="s">
        <v>6518</v>
      </c>
      <c r="F2023" s="2" t="s">
        <v>6519</v>
      </c>
      <c r="G2023" s="2" t="s">
        <v>145</v>
      </c>
      <c r="H2023" s="2" t="s">
        <v>394</v>
      </c>
      <c r="I2023" s="2" t="s">
        <v>59</v>
      </c>
      <c r="J2023" s="2" t="s">
        <v>37</v>
      </c>
      <c r="K2023" s="2" t="s">
        <v>38</v>
      </c>
      <c r="L2023" s="2" t="s">
        <v>39</v>
      </c>
      <c r="M2023" s="2" t="s">
        <v>39</v>
      </c>
      <c r="N2023" s="2" t="s">
        <v>39</v>
      </c>
      <c r="O2023" s="2" t="s">
        <v>39</v>
      </c>
      <c r="P2023" s="2" t="s">
        <v>39</v>
      </c>
      <c r="Q2023" s="2" t="s">
        <v>39</v>
      </c>
      <c r="R2023" s="2" t="s">
        <v>39</v>
      </c>
      <c r="S2023" s="2" t="s">
        <v>39</v>
      </c>
      <c r="T2023" s="2" t="s">
        <v>39</v>
      </c>
      <c r="U2023" s="2" t="s">
        <v>38</v>
      </c>
      <c r="V2023" s="2" t="s">
        <v>38</v>
      </c>
      <c r="W2023" s="2" t="s">
        <v>39</v>
      </c>
      <c r="X2023" s="2" t="s">
        <v>39</v>
      </c>
      <c r="Y2023" s="2" t="s">
        <v>39</v>
      </c>
      <c r="Z2023" s="2" t="s">
        <v>39</v>
      </c>
      <c r="AA2023" s="2" t="s">
        <v>39</v>
      </c>
      <c r="AB2023" s="2" t="s">
        <v>39</v>
      </c>
      <c r="AC2023" s="2" t="s">
        <v>38</v>
      </c>
      <c r="AD2023" s="2" t="s">
        <v>39</v>
      </c>
      <c r="AE2023" s="2" t="s">
        <v>39</v>
      </c>
    </row>
    <row r="2024" spans="1:31" ht="409.5">
      <c r="A2024" s="2">
        <v>2726494</v>
      </c>
      <c r="B2024" s="2">
        <f>HYPERLINK("https://platform.v2.vetology.net/cases/2726494/screening-report/1?type=pdf&amp;v=v6&amp;scorecard=1&amp;secret_key=BX%25IJ%24%2F65ieZ%29f6", 2726494)</f>
        <v>2726494</v>
      </c>
      <c r="C2024" s="2">
        <f>HYPERLINK("https://platform.v2.vetology.net/report/v/final/"&amp;2726494, 2726494)</f>
        <v>2726494</v>
      </c>
      <c r="D2024" s="2" t="s">
        <v>6520</v>
      </c>
      <c r="E2024" s="2" t="s">
        <v>6521</v>
      </c>
      <c r="F2024" s="2" t="s">
        <v>43</v>
      </c>
      <c r="G2024" s="2" t="s">
        <v>44</v>
      </c>
      <c r="H2024" s="2" t="s">
        <v>6522</v>
      </c>
      <c r="I2024" s="2" t="s">
        <v>73</v>
      </c>
      <c r="J2024" s="2" t="s">
        <v>74</v>
      </c>
      <c r="K2024" s="2" t="s">
        <v>38</v>
      </c>
      <c r="L2024" s="2" t="s">
        <v>38</v>
      </c>
      <c r="M2024" s="2" t="s">
        <v>38</v>
      </c>
      <c r="N2024" s="2" t="s">
        <v>38</v>
      </c>
      <c r="O2024" s="2" t="s">
        <v>38</v>
      </c>
      <c r="P2024" s="2" t="s">
        <v>38</v>
      </c>
      <c r="Q2024" s="2" t="s">
        <v>38</v>
      </c>
      <c r="R2024" s="2" t="s">
        <v>38</v>
      </c>
      <c r="S2024" s="2" t="s">
        <v>38</v>
      </c>
      <c r="T2024" s="2" t="s">
        <v>38</v>
      </c>
      <c r="U2024" s="2" t="s">
        <v>38</v>
      </c>
      <c r="V2024" s="2" t="s">
        <v>38</v>
      </c>
      <c r="W2024" s="2" t="s">
        <v>38</v>
      </c>
      <c r="X2024" s="2" t="s">
        <v>38</v>
      </c>
      <c r="Y2024" s="2" t="s">
        <v>38</v>
      </c>
      <c r="Z2024" s="2" t="s">
        <v>38</v>
      </c>
      <c r="AA2024" s="2" t="s">
        <v>38</v>
      </c>
      <c r="AB2024" s="2" t="s">
        <v>38</v>
      </c>
      <c r="AC2024" s="2" t="s">
        <v>38</v>
      </c>
      <c r="AD2024" s="2" t="s">
        <v>38</v>
      </c>
      <c r="AE2024" s="2" t="s">
        <v>39</v>
      </c>
    </row>
    <row r="2025" spans="1:31" ht="409.5">
      <c r="A2025" s="2">
        <v>2726448</v>
      </c>
      <c r="B2025" s="2">
        <f>HYPERLINK("https://platform.v2.vetology.net/cases/2726448/screening-report/1?type=pdf&amp;v=v6&amp;scorecard=1&amp;secret_key=BX%25IJ%24%2F65ieZ%29f6", 2726448)</f>
        <v>2726448</v>
      </c>
      <c r="C2025" s="2">
        <f>HYPERLINK("https://platform.v2.vetology.net/report/v/final/"&amp;2726448, 2726448)</f>
        <v>2726448</v>
      </c>
      <c r="D2025" s="2" t="s">
        <v>6523</v>
      </c>
      <c r="E2025" s="2" t="s">
        <v>6524</v>
      </c>
      <c r="F2025" s="2" t="s">
        <v>6525</v>
      </c>
      <c r="G2025" s="2" t="s">
        <v>111</v>
      </c>
      <c r="H2025" s="2" t="s">
        <v>69</v>
      </c>
      <c r="I2025" s="2" t="s">
        <v>46</v>
      </c>
      <c r="J2025" s="2"/>
      <c r="K2025" s="2" t="s">
        <v>39</v>
      </c>
      <c r="L2025" s="2" t="s">
        <v>39</v>
      </c>
      <c r="M2025" s="2" t="s">
        <v>39</v>
      </c>
      <c r="N2025" s="2" t="s">
        <v>39</v>
      </c>
      <c r="O2025" s="2" t="s">
        <v>39</v>
      </c>
      <c r="P2025" s="2" t="s">
        <v>39</v>
      </c>
      <c r="Q2025" s="2" t="s">
        <v>39</v>
      </c>
      <c r="R2025" s="2" t="s">
        <v>39</v>
      </c>
      <c r="S2025" s="2" t="s">
        <v>39</v>
      </c>
      <c r="T2025" s="2" t="s">
        <v>39</v>
      </c>
      <c r="U2025" s="2" t="s">
        <v>39</v>
      </c>
      <c r="V2025" s="2" t="s">
        <v>39</v>
      </c>
      <c r="W2025" s="2" t="s">
        <v>39</v>
      </c>
      <c r="X2025" s="2" t="s">
        <v>39</v>
      </c>
      <c r="Y2025" s="2" t="s">
        <v>39</v>
      </c>
      <c r="Z2025" s="2" t="s">
        <v>39</v>
      </c>
      <c r="AA2025" s="2" t="s">
        <v>39</v>
      </c>
      <c r="AB2025" s="2" t="s">
        <v>39</v>
      </c>
      <c r="AC2025" s="2" t="s">
        <v>38</v>
      </c>
      <c r="AD2025" s="2" t="s">
        <v>38</v>
      </c>
      <c r="AE2025" s="2" t="s">
        <v>39</v>
      </c>
    </row>
    <row r="2026" spans="1:31" ht="409.5">
      <c r="A2026" s="2">
        <v>2726441</v>
      </c>
      <c r="B2026" s="2">
        <f>HYPERLINK("https://platform.v2.vetology.net/cases/2726441/screening-report/1?type=pdf&amp;v=v6&amp;scorecard=1&amp;secret_key=BX%25IJ%24%2F65ieZ%29f6", 2726441)</f>
        <v>2726441</v>
      </c>
      <c r="C2026" s="2">
        <f>HYPERLINK("https://platform.v2.vetology.net/report/v/final/"&amp;2726441, 2726441)</f>
        <v>2726441</v>
      </c>
      <c r="D2026" s="2" t="s">
        <v>6526</v>
      </c>
      <c r="E2026" s="2" t="s">
        <v>6527</v>
      </c>
      <c r="F2026" s="2"/>
      <c r="G2026" s="2" t="s">
        <v>81</v>
      </c>
      <c r="H2026" s="2" t="s">
        <v>45</v>
      </c>
      <c r="I2026" s="2" t="s">
        <v>46</v>
      </c>
      <c r="J2026" s="2"/>
      <c r="K2026" s="2" t="s">
        <v>39</v>
      </c>
      <c r="L2026" s="2" t="s">
        <v>39</v>
      </c>
      <c r="M2026" s="2" t="s">
        <v>39</v>
      </c>
      <c r="N2026" s="2" t="s">
        <v>39</v>
      </c>
      <c r="O2026" s="2" t="s">
        <v>39</v>
      </c>
      <c r="P2026" s="2" t="s">
        <v>39</v>
      </c>
      <c r="Q2026" s="2" t="s">
        <v>39</v>
      </c>
      <c r="R2026" s="2" t="s">
        <v>38</v>
      </c>
      <c r="S2026" s="2" t="s">
        <v>39</v>
      </c>
      <c r="T2026" s="2" t="s">
        <v>39</v>
      </c>
      <c r="U2026" s="2" t="s">
        <v>39</v>
      </c>
      <c r="V2026" s="2" t="s">
        <v>39</v>
      </c>
      <c r="W2026" s="2" t="s">
        <v>38</v>
      </c>
      <c r="X2026" s="2" t="s">
        <v>39</v>
      </c>
      <c r="Y2026" s="2" t="s">
        <v>39</v>
      </c>
      <c r="Z2026" s="2" t="s">
        <v>38</v>
      </c>
      <c r="AA2026" s="2" t="s">
        <v>39</v>
      </c>
      <c r="AB2026" s="2" t="s">
        <v>39</v>
      </c>
      <c r="AC2026" s="2" t="s">
        <v>38</v>
      </c>
      <c r="AD2026" s="2" t="s">
        <v>39</v>
      </c>
      <c r="AE2026" s="2" t="s">
        <v>39</v>
      </c>
    </row>
    <row r="2027" spans="1:31" ht="409.5">
      <c r="A2027" s="2">
        <v>2726432</v>
      </c>
      <c r="B2027" s="2">
        <f>HYPERLINK("https://platform.v2.vetology.net/cases/2726432/screening-report/1?type=pdf&amp;v=v6&amp;scorecard=1&amp;secret_key=BX%25IJ%24%2F65ieZ%29f6", 2726432)</f>
        <v>2726432</v>
      </c>
      <c r="C2027" s="2">
        <f>HYPERLINK("https://platform.v2.vetology.net/report/v/final/"&amp;2726432, 2726432)</f>
        <v>2726432</v>
      </c>
      <c r="D2027" s="2" t="s">
        <v>6528</v>
      </c>
      <c r="E2027" s="2" t="s">
        <v>6529</v>
      </c>
      <c r="F2027" s="2" t="s">
        <v>6530</v>
      </c>
      <c r="G2027" s="2" t="s">
        <v>170</v>
      </c>
      <c r="H2027" s="2" t="s">
        <v>45</v>
      </c>
      <c r="I2027" s="2" t="s">
        <v>46</v>
      </c>
      <c r="J2027" s="2"/>
      <c r="K2027" s="2" t="s">
        <v>39</v>
      </c>
      <c r="L2027" s="2" t="s">
        <v>39</v>
      </c>
      <c r="M2027" s="2" t="s">
        <v>39</v>
      </c>
      <c r="N2027" s="2" t="s">
        <v>39</v>
      </c>
      <c r="O2027" s="2" t="s">
        <v>39</v>
      </c>
      <c r="P2027" s="2" t="s">
        <v>39</v>
      </c>
      <c r="Q2027" s="2" t="s">
        <v>39</v>
      </c>
      <c r="R2027" s="2" t="s">
        <v>38</v>
      </c>
      <c r="S2027" s="2" t="s">
        <v>39</v>
      </c>
      <c r="T2027" s="2" t="s">
        <v>39</v>
      </c>
      <c r="U2027" s="2" t="s">
        <v>39</v>
      </c>
      <c r="V2027" s="2" t="s">
        <v>39</v>
      </c>
      <c r="W2027" s="2" t="s">
        <v>38</v>
      </c>
      <c r="X2027" s="2" t="s">
        <v>39</v>
      </c>
      <c r="Y2027" s="2" t="s">
        <v>39</v>
      </c>
      <c r="Z2027" s="2" t="s">
        <v>38</v>
      </c>
      <c r="AA2027" s="2" t="s">
        <v>39</v>
      </c>
      <c r="AB2027" s="2" t="s">
        <v>39</v>
      </c>
      <c r="AC2027" s="2" t="s">
        <v>38</v>
      </c>
      <c r="AD2027" s="2" t="s">
        <v>38</v>
      </c>
      <c r="AE2027" s="2" t="s">
        <v>39</v>
      </c>
    </row>
    <row r="2028" spans="1:31" ht="409.5">
      <c r="A2028" s="2">
        <v>2726354</v>
      </c>
      <c r="B2028" s="2">
        <f>HYPERLINK("https://platform.v2.vetology.net/cases/2726354/screening-report/1?type=pdf&amp;v=v6&amp;scorecard=1&amp;secret_key=BX%25IJ%24%2F65ieZ%29f6", 2726354)</f>
        <v>2726354</v>
      </c>
      <c r="C2028" s="2">
        <f>HYPERLINK("https://platform.v2.vetology.net/report/v/final/"&amp;2726354, 2726354)</f>
        <v>2726354</v>
      </c>
      <c r="D2028" s="2" t="s">
        <v>6531</v>
      </c>
      <c r="E2028" s="2" t="s">
        <v>6532</v>
      </c>
      <c r="F2028" s="2" t="s">
        <v>43</v>
      </c>
      <c r="G2028" s="2" t="s">
        <v>44</v>
      </c>
      <c r="H2028" s="2" t="s">
        <v>6533</v>
      </c>
      <c r="I2028" s="2" t="s">
        <v>36</v>
      </c>
      <c r="J2028" s="2" t="s">
        <v>37</v>
      </c>
      <c r="K2028" s="2" t="s">
        <v>38</v>
      </c>
      <c r="L2028" s="2" t="s">
        <v>38</v>
      </c>
      <c r="M2028" s="2" t="s">
        <v>39</v>
      </c>
      <c r="N2028" s="2" t="s">
        <v>38</v>
      </c>
      <c r="O2028" s="2" t="s">
        <v>38</v>
      </c>
      <c r="P2028" s="2" t="s">
        <v>39</v>
      </c>
      <c r="Q2028" s="2" t="s">
        <v>39</v>
      </c>
      <c r="R2028" s="2" t="s">
        <v>39</v>
      </c>
      <c r="S2028" s="2" t="s">
        <v>39</v>
      </c>
      <c r="T2028" s="2" t="s">
        <v>39</v>
      </c>
      <c r="U2028" s="2" t="s">
        <v>38</v>
      </c>
      <c r="V2028" s="2" t="s">
        <v>38</v>
      </c>
      <c r="W2028" s="2" t="s">
        <v>39</v>
      </c>
      <c r="X2028" s="2" t="s">
        <v>39</v>
      </c>
      <c r="Y2028" s="2" t="s">
        <v>39</v>
      </c>
      <c r="Z2028" s="2" t="s">
        <v>39</v>
      </c>
      <c r="AA2028" s="2" t="s">
        <v>39</v>
      </c>
      <c r="AB2028" s="2" t="s">
        <v>39</v>
      </c>
      <c r="AC2028" s="2" t="s">
        <v>39</v>
      </c>
      <c r="AD2028" s="2" t="s">
        <v>39</v>
      </c>
      <c r="AE2028" s="2" t="s">
        <v>39</v>
      </c>
    </row>
    <row r="2029" spans="1:31" ht="409.5">
      <c r="A2029" s="2">
        <v>2726340</v>
      </c>
      <c r="B2029" s="2">
        <f>HYPERLINK("https://platform.v2.vetology.net/cases/2726340/screening-report/1?type=pdf&amp;v=v6&amp;scorecard=1&amp;secret_key=BX%25IJ%24%2F65ieZ%29f6", 2726340)</f>
        <v>2726340</v>
      </c>
      <c r="C2029" s="2">
        <f>HYPERLINK("https://platform.v2.vetology.net/report/v/final/"&amp;2726340, 2726340)</f>
        <v>2726340</v>
      </c>
      <c r="D2029" s="2" t="s">
        <v>6534</v>
      </c>
      <c r="E2029" s="2" t="s">
        <v>6535</v>
      </c>
      <c r="F2029" s="2" t="s">
        <v>6536</v>
      </c>
      <c r="G2029" s="2" t="s">
        <v>53</v>
      </c>
      <c r="H2029" s="2" t="s">
        <v>6537</v>
      </c>
      <c r="I2029" s="2" t="s">
        <v>129</v>
      </c>
      <c r="J2029" s="2" t="s">
        <v>74</v>
      </c>
      <c r="K2029" s="2" t="s">
        <v>39</v>
      </c>
      <c r="L2029" s="2" t="s">
        <v>39</v>
      </c>
      <c r="M2029" s="2" t="s">
        <v>38</v>
      </c>
      <c r="N2029" s="2" t="s">
        <v>39</v>
      </c>
      <c r="O2029" s="2" t="s">
        <v>38</v>
      </c>
      <c r="P2029" s="2" t="s">
        <v>38</v>
      </c>
      <c r="Q2029" s="2" t="s">
        <v>38</v>
      </c>
      <c r="R2029" s="2" t="s">
        <v>38</v>
      </c>
      <c r="S2029" s="2" t="s">
        <v>38</v>
      </c>
      <c r="T2029" s="2" t="s">
        <v>38</v>
      </c>
      <c r="U2029" s="2" t="s">
        <v>39</v>
      </c>
      <c r="V2029" s="2" t="s">
        <v>39</v>
      </c>
      <c r="W2029" s="2" t="s">
        <v>38</v>
      </c>
      <c r="X2029" s="2" t="s">
        <v>39</v>
      </c>
      <c r="Y2029" s="2" t="s">
        <v>39</v>
      </c>
      <c r="Z2029" s="2" t="s">
        <v>38</v>
      </c>
      <c r="AA2029" s="2" t="s">
        <v>38</v>
      </c>
      <c r="AB2029" s="2" t="s">
        <v>38</v>
      </c>
      <c r="AC2029" s="2" t="s">
        <v>38</v>
      </c>
      <c r="AD2029" s="2" t="s">
        <v>39</v>
      </c>
      <c r="AE2029" s="2"/>
    </row>
    <row r="2030" spans="1:31" ht="409.5">
      <c r="A2030" s="2">
        <v>2726326</v>
      </c>
      <c r="B2030" s="2">
        <f>HYPERLINK("https://platform.v2.vetology.net/cases/2726326/screening-report/1?type=pdf&amp;v=v6&amp;scorecard=1&amp;secret_key=BX%25IJ%24%2F65ieZ%29f6", 2726326)</f>
        <v>2726326</v>
      </c>
      <c r="C2030" s="2">
        <f>HYPERLINK("https://platform.v2.vetology.net/report/v/final/"&amp;2726326, 2726326)</f>
        <v>2726326</v>
      </c>
      <c r="D2030" s="2" t="s">
        <v>6538</v>
      </c>
      <c r="E2030" s="2" t="s">
        <v>6539</v>
      </c>
      <c r="F2030" s="2" t="s">
        <v>6540</v>
      </c>
      <c r="G2030" s="2" t="s">
        <v>170</v>
      </c>
      <c r="H2030" s="2" t="s">
        <v>489</v>
      </c>
      <c r="I2030" s="2" t="s">
        <v>73</v>
      </c>
      <c r="J2030" s="2" t="s">
        <v>74</v>
      </c>
      <c r="K2030" s="2" t="s">
        <v>38</v>
      </c>
      <c r="L2030" s="2" t="s">
        <v>38</v>
      </c>
      <c r="M2030" s="2" t="s">
        <v>38</v>
      </c>
      <c r="N2030" s="2" t="s">
        <v>38</v>
      </c>
      <c r="O2030" s="2" t="s">
        <v>38</v>
      </c>
      <c r="P2030" s="2" t="s">
        <v>38</v>
      </c>
      <c r="Q2030" s="2" t="s">
        <v>38</v>
      </c>
      <c r="R2030" s="2" t="s">
        <v>39</v>
      </c>
      <c r="S2030" s="2" t="s">
        <v>38</v>
      </c>
      <c r="T2030" s="2" t="s">
        <v>38</v>
      </c>
      <c r="U2030" s="2" t="s">
        <v>38</v>
      </c>
      <c r="V2030" s="2" t="s">
        <v>38</v>
      </c>
      <c r="W2030" s="2" t="s">
        <v>39</v>
      </c>
      <c r="X2030" s="2" t="s">
        <v>38</v>
      </c>
      <c r="Y2030" s="2" t="s">
        <v>38</v>
      </c>
      <c r="Z2030" s="2" t="s">
        <v>38</v>
      </c>
      <c r="AA2030" s="2" t="s">
        <v>38</v>
      </c>
      <c r="AB2030" s="2" t="s">
        <v>38</v>
      </c>
      <c r="AC2030" s="2" t="s">
        <v>38</v>
      </c>
      <c r="AD2030" s="2" t="s">
        <v>38</v>
      </c>
      <c r="AE2030" s="2" t="s">
        <v>39</v>
      </c>
    </row>
    <row r="2031" spans="1:31" ht="409.5">
      <c r="A2031" s="2">
        <v>2726307</v>
      </c>
      <c r="B2031" s="2">
        <f>HYPERLINK("https://platform.v2.vetology.net/cases/2726307/screening-report/1?type=pdf&amp;v=v6&amp;scorecard=1&amp;secret_key=BX%25IJ%24%2F65ieZ%29f6", 2726307)</f>
        <v>2726307</v>
      </c>
      <c r="C2031" s="2">
        <f>HYPERLINK("https://platform.v2.vetology.net/report/v/final/"&amp;2726307, 2726307)</f>
        <v>2726307</v>
      </c>
      <c r="D2031" s="2" t="s">
        <v>6541</v>
      </c>
      <c r="E2031" s="2" t="s">
        <v>6542</v>
      </c>
      <c r="F2031" s="2"/>
      <c r="G2031" s="2" t="s">
        <v>81</v>
      </c>
      <c r="H2031" s="2" t="s">
        <v>6543</v>
      </c>
      <c r="I2031" s="2" t="s">
        <v>36</v>
      </c>
      <c r="J2031" s="2" t="s">
        <v>37</v>
      </c>
      <c r="K2031" s="2" t="s">
        <v>39</v>
      </c>
      <c r="L2031" s="2" t="s">
        <v>38</v>
      </c>
      <c r="M2031" s="2" t="s">
        <v>39</v>
      </c>
      <c r="N2031" s="2" t="s">
        <v>39</v>
      </c>
      <c r="O2031" s="2" t="s">
        <v>39</v>
      </c>
      <c r="P2031" s="2" t="s">
        <v>39</v>
      </c>
      <c r="Q2031" s="2" t="s">
        <v>39</v>
      </c>
      <c r="R2031" s="2" t="s">
        <v>38</v>
      </c>
      <c r="S2031" s="2" t="s">
        <v>38</v>
      </c>
      <c r="T2031" s="2" t="s">
        <v>39</v>
      </c>
      <c r="U2031" s="2" t="s">
        <v>39</v>
      </c>
      <c r="V2031" s="2" t="s">
        <v>39</v>
      </c>
      <c r="W2031" s="2" t="s">
        <v>38</v>
      </c>
      <c r="X2031" s="2" t="s">
        <v>39</v>
      </c>
      <c r="Y2031" s="2" t="s">
        <v>39</v>
      </c>
      <c r="Z2031" s="2" t="s">
        <v>39</v>
      </c>
      <c r="AA2031" s="2" t="s">
        <v>38</v>
      </c>
      <c r="AB2031" s="2" t="s">
        <v>39</v>
      </c>
      <c r="AC2031" s="2" t="s">
        <v>38</v>
      </c>
      <c r="AD2031" s="2" t="s">
        <v>38</v>
      </c>
      <c r="AE2031" s="2"/>
    </row>
    <row r="2032" spans="1:31" ht="409.5">
      <c r="A2032" s="2">
        <v>2726292</v>
      </c>
      <c r="B2032" s="2">
        <f>HYPERLINK("https://platform.v2.vetology.net/cases/2726292/screening-report/1?type=pdf&amp;v=v6&amp;scorecard=1&amp;secret_key=BX%25IJ%24%2F65ieZ%29f6", 2726292)</f>
        <v>2726292</v>
      </c>
      <c r="C2032" s="2">
        <f>HYPERLINK("https://platform.v2.vetology.net/report/v/final/"&amp;2726292, 2726292)</f>
        <v>2726292</v>
      </c>
      <c r="D2032" s="2" t="s">
        <v>6544</v>
      </c>
      <c r="E2032" s="2" t="s">
        <v>6545</v>
      </c>
      <c r="F2032" s="2" t="s">
        <v>1433</v>
      </c>
      <c r="G2032" s="2" t="s">
        <v>100</v>
      </c>
      <c r="H2032" s="2" t="s">
        <v>6546</v>
      </c>
      <c r="I2032" s="2" t="s">
        <v>73</v>
      </c>
      <c r="J2032" s="2" t="s">
        <v>74</v>
      </c>
      <c r="K2032" s="2" t="s">
        <v>38</v>
      </c>
      <c r="L2032" s="2" t="s">
        <v>38</v>
      </c>
      <c r="M2032" s="2" t="s">
        <v>38</v>
      </c>
      <c r="N2032" s="2" t="s">
        <v>38</v>
      </c>
      <c r="O2032" s="2" t="s">
        <v>38</v>
      </c>
      <c r="P2032" s="2" t="s">
        <v>38</v>
      </c>
      <c r="Q2032" s="2" t="s">
        <v>38</v>
      </c>
      <c r="R2032" s="2" t="s">
        <v>39</v>
      </c>
      <c r="S2032" s="2" t="s">
        <v>38</v>
      </c>
      <c r="T2032" s="2" t="s">
        <v>38</v>
      </c>
      <c r="U2032" s="2" t="s">
        <v>38</v>
      </c>
      <c r="V2032" s="2" t="s">
        <v>38</v>
      </c>
      <c r="W2032" s="2" t="s">
        <v>38</v>
      </c>
      <c r="X2032" s="2" t="s">
        <v>38</v>
      </c>
      <c r="Y2032" s="2" t="s">
        <v>38</v>
      </c>
      <c r="Z2032" s="2" t="s">
        <v>38</v>
      </c>
      <c r="AA2032" s="2" t="s">
        <v>38</v>
      </c>
      <c r="AB2032" s="2" t="s">
        <v>38</v>
      </c>
      <c r="AC2032" s="2" t="s">
        <v>38</v>
      </c>
      <c r="AD2032" s="2" t="s">
        <v>38</v>
      </c>
      <c r="AE2032" s="2" t="s">
        <v>40</v>
      </c>
    </row>
    <row r="2033" spans="1:31" ht="409.5">
      <c r="A2033" s="2">
        <v>2726273</v>
      </c>
      <c r="B2033" s="2">
        <f>HYPERLINK("https://platform.v2.vetology.net/cases/2726273/screening-report/1?type=pdf&amp;v=v6&amp;scorecard=1&amp;secret_key=BX%25IJ%24%2F65ieZ%29f6", 2726273)</f>
        <v>2726273</v>
      </c>
      <c r="C2033" s="2">
        <f>HYPERLINK("https://platform.v2.vetology.net/report/v/final/"&amp;2726273, 2726273)</f>
        <v>2726273</v>
      </c>
      <c r="D2033" s="2" t="s">
        <v>6547</v>
      </c>
      <c r="E2033" s="2" t="s">
        <v>6548</v>
      </c>
      <c r="F2033" s="2" t="s">
        <v>6549</v>
      </c>
      <c r="G2033" s="2" t="s">
        <v>170</v>
      </c>
      <c r="H2033" s="2" t="s">
        <v>6550</v>
      </c>
      <c r="I2033" s="2" t="s">
        <v>36</v>
      </c>
      <c r="J2033" s="2" t="s">
        <v>37</v>
      </c>
      <c r="K2033" s="2" t="s">
        <v>39</v>
      </c>
      <c r="L2033" s="2" t="s">
        <v>38</v>
      </c>
      <c r="M2033" s="2" t="s">
        <v>38</v>
      </c>
      <c r="N2033" s="2" t="s">
        <v>39</v>
      </c>
      <c r="O2033" s="2" t="s">
        <v>38</v>
      </c>
      <c r="P2033" s="2" t="s">
        <v>39</v>
      </c>
      <c r="Q2033" s="2" t="s">
        <v>39</v>
      </c>
      <c r="R2033" s="2" t="s">
        <v>38</v>
      </c>
      <c r="S2033" s="2" t="s">
        <v>38</v>
      </c>
      <c r="T2033" s="2" t="s">
        <v>39</v>
      </c>
      <c r="U2033" s="2" t="s">
        <v>39</v>
      </c>
      <c r="V2033" s="2" t="s">
        <v>39</v>
      </c>
      <c r="W2033" s="2" t="s">
        <v>38</v>
      </c>
      <c r="X2033" s="2" t="s">
        <v>39</v>
      </c>
      <c r="Y2033" s="2" t="s">
        <v>39</v>
      </c>
      <c r="Z2033" s="2" t="s">
        <v>38</v>
      </c>
      <c r="AA2033" s="2" t="s">
        <v>38</v>
      </c>
      <c r="AB2033" s="2" t="s">
        <v>39</v>
      </c>
      <c r="AC2033" s="2" t="s">
        <v>38</v>
      </c>
      <c r="AD2033" s="2" t="s">
        <v>38</v>
      </c>
      <c r="AE2033" s="2" t="s">
        <v>39</v>
      </c>
    </row>
    <row r="2034" spans="1:31" ht="409.5">
      <c r="A2034" s="2">
        <v>2726259</v>
      </c>
      <c r="B2034" s="2">
        <f>HYPERLINK("https://platform.v2.vetology.net/cases/2726259/screening-report/1?type=pdf&amp;v=v6&amp;scorecard=1&amp;secret_key=BX%25IJ%24%2F65ieZ%29f6", 2726259)</f>
        <v>2726259</v>
      </c>
      <c r="C2034" s="2">
        <f>HYPERLINK("https://platform.v2.vetology.net/report/v/final/"&amp;2726259, 2726259)</f>
        <v>2726259</v>
      </c>
      <c r="D2034" s="2" t="s">
        <v>6551</v>
      </c>
      <c r="E2034" s="2" t="s">
        <v>6552</v>
      </c>
      <c r="F2034" s="2" t="s">
        <v>43</v>
      </c>
      <c r="G2034" s="2" t="s">
        <v>507</v>
      </c>
      <c r="H2034" s="2" t="s">
        <v>201</v>
      </c>
      <c r="I2034" s="2" t="s">
        <v>36</v>
      </c>
      <c r="J2034" s="2" t="s">
        <v>37</v>
      </c>
      <c r="K2034" s="2" t="s">
        <v>39</v>
      </c>
      <c r="L2034" s="2" t="s">
        <v>39</v>
      </c>
      <c r="M2034" s="2" t="s">
        <v>38</v>
      </c>
      <c r="N2034" s="2" t="s">
        <v>38</v>
      </c>
      <c r="O2034" s="2" t="s">
        <v>38</v>
      </c>
      <c r="P2034" s="2" t="s">
        <v>39</v>
      </c>
      <c r="Q2034" s="2" t="s">
        <v>39</v>
      </c>
      <c r="R2034" s="2" t="s">
        <v>39</v>
      </c>
      <c r="S2034" s="2" t="s">
        <v>39</v>
      </c>
      <c r="T2034" s="2" t="s">
        <v>39</v>
      </c>
      <c r="U2034" s="2" t="s">
        <v>39</v>
      </c>
      <c r="V2034" s="2" t="s">
        <v>39</v>
      </c>
      <c r="W2034" s="2" t="s">
        <v>38</v>
      </c>
      <c r="X2034" s="2" t="s">
        <v>39</v>
      </c>
      <c r="Y2034" s="2" t="s">
        <v>39</v>
      </c>
      <c r="Z2034" s="2" t="s">
        <v>38</v>
      </c>
      <c r="AA2034" s="2" t="s">
        <v>38</v>
      </c>
      <c r="AB2034" s="2" t="s">
        <v>39</v>
      </c>
      <c r="AC2034" s="2" t="s">
        <v>38</v>
      </c>
      <c r="AD2034" s="2" t="s">
        <v>39</v>
      </c>
      <c r="AE2034" s="2" t="s">
        <v>39</v>
      </c>
    </row>
    <row r="2035" spans="1:31" ht="409.5">
      <c r="A2035" s="2">
        <v>2726256</v>
      </c>
      <c r="B2035" s="2">
        <f>HYPERLINK("https://platform.v2.vetology.net/cases/2726256/screening-report/1?type=pdf&amp;v=v6&amp;scorecard=1&amp;secret_key=BX%25IJ%24%2F65ieZ%29f6", 2726256)</f>
        <v>2726256</v>
      </c>
      <c r="C2035" s="2">
        <f>HYPERLINK("https://platform.v2.vetology.net/report/v/final/"&amp;2726256, 2726256)</f>
        <v>2726256</v>
      </c>
      <c r="D2035" s="2" t="s">
        <v>6553</v>
      </c>
      <c r="E2035" s="2" t="s">
        <v>6554</v>
      </c>
      <c r="F2035" s="2" t="s">
        <v>43</v>
      </c>
      <c r="G2035" s="2" t="s">
        <v>100</v>
      </c>
      <c r="H2035" s="2" t="s">
        <v>6555</v>
      </c>
      <c r="I2035" s="2" t="s">
        <v>36</v>
      </c>
      <c r="J2035" s="2" t="s">
        <v>37</v>
      </c>
      <c r="K2035" s="2" t="s">
        <v>38</v>
      </c>
      <c r="L2035" s="2" t="s">
        <v>38</v>
      </c>
      <c r="M2035" s="2" t="s">
        <v>38</v>
      </c>
      <c r="N2035" s="2" t="s">
        <v>38</v>
      </c>
      <c r="O2035" s="2" t="s">
        <v>39</v>
      </c>
      <c r="P2035" s="2" t="s">
        <v>39</v>
      </c>
      <c r="Q2035" s="2" t="s">
        <v>38</v>
      </c>
      <c r="R2035" s="2" t="s">
        <v>38</v>
      </c>
      <c r="S2035" s="2" t="s">
        <v>38</v>
      </c>
      <c r="T2035" s="2" t="s">
        <v>38</v>
      </c>
      <c r="U2035" s="2" t="s">
        <v>38</v>
      </c>
      <c r="V2035" s="2" t="s">
        <v>38</v>
      </c>
      <c r="W2035" s="2" t="s">
        <v>38</v>
      </c>
      <c r="X2035" s="2" t="s">
        <v>38</v>
      </c>
      <c r="Y2035" s="2" t="s">
        <v>38</v>
      </c>
      <c r="Z2035" s="2" t="s">
        <v>39</v>
      </c>
      <c r="AA2035" s="2" t="s">
        <v>38</v>
      </c>
      <c r="AB2035" s="2" t="s">
        <v>38</v>
      </c>
      <c r="AC2035" s="2" t="s">
        <v>38</v>
      </c>
      <c r="AD2035" s="2" t="s">
        <v>39</v>
      </c>
      <c r="AE2035" s="2" t="s">
        <v>40</v>
      </c>
    </row>
    <row r="2036" spans="1:31" ht="409.5">
      <c r="A2036" s="2">
        <v>2726244</v>
      </c>
      <c r="B2036" s="2">
        <f>HYPERLINK("https://platform.v2.vetology.net/cases/2726244/screening-report/1?type=pdf&amp;v=v6&amp;scorecard=1&amp;secret_key=BX%25IJ%24%2F65ieZ%29f6", 2726244)</f>
        <v>2726244</v>
      </c>
      <c r="C2036" s="2">
        <f>HYPERLINK("https://platform.v2.vetology.net/report/v/final/"&amp;2726244, 2726244)</f>
        <v>2726244</v>
      </c>
      <c r="D2036" s="2" t="s">
        <v>6556</v>
      </c>
      <c r="E2036" s="2" t="s">
        <v>6557</v>
      </c>
      <c r="F2036" s="2" t="s">
        <v>6558</v>
      </c>
      <c r="G2036" s="2" t="s">
        <v>53</v>
      </c>
      <c r="H2036" s="2" t="s">
        <v>69</v>
      </c>
      <c r="I2036" s="2" t="s">
        <v>46</v>
      </c>
      <c r="J2036" s="2"/>
      <c r="K2036" s="2" t="s">
        <v>39</v>
      </c>
      <c r="L2036" s="2" t="s">
        <v>39</v>
      </c>
      <c r="M2036" s="2" t="s">
        <v>39</v>
      </c>
      <c r="N2036" s="2" t="s">
        <v>39</v>
      </c>
      <c r="O2036" s="2" t="s">
        <v>39</v>
      </c>
      <c r="P2036" s="2" t="s">
        <v>39</v>
      </c>
      <c r="Q2036" s="2" t="s">
        <v>39</v>
      </c>
      <c r="R2036" s="2" t="s">
        <v>39</v>
      </c>
      <c r="S2036" s="2" t="s">
        <v>39</v>
      </c>
      <c r="T2036" s="2" t="s">
        <v>38</v>
      </c>
      <c r="U2036" s="2" t="s">
        <v>39</v>
      </c>
      <c r="V2036" s="2" t="s">
        <v>39</v>
      </c>
      <c r="W2036" s="2" t="s">
        <v>39</v>
      </c>
      <c r="X2036" s="2" t="s">
        <v>39</v>
      </c>
      <c r="Y2036" s="2" t="s">
        <v>39</v>
      </c>
      <c r="Z2036" s="2" t="s">
        <v>38</v>
      </c>
      <c r="AA2036" s="2" t="s">
        <v>38</v>
      </c>
      <c r="AB2036" s="2" t="s">
        <v>39</v>
      </c>
      <c r="AC2036" s="2" t="s">
        <v>39</v>
      </c>
      <c r="AD2036" s="2" t="s">
        <v>38</v>
      </c>
      <c r="AE2036" s="2" t="s">
        <v>39</v>
      </c>
    </row>
    <row r="2037" spans="1:31" ht="409.5">
      <c r="A2037" s="2">
        <v>2726237</v>
      </c>
      <c r="B2037" s="2">
        <f>HYPERLINK("https://platform.v2.vetology.net/cases/2726237/screening-report/1?type=pdf&amp;v=v6&amp;scorecard=1&amp;secret_key=BX%25IJ%24%2F65ieZ%29f6", 2726237)</f>
        <v>2726237</v>
      </c>
      <c r="C2037" s="2">
        <f>HYPERLINK("https://platform.v2.vetology.net/report/v/final/"&amp;2726237, 2726237)</f>
        <v>2726237</v>
      </c>
      <c r="D2037" s="2" t="s">
        <v>6559</v>
      </c>
      <c r="E2037" s="2" t="s">
        <v>6560</v>
      </c>
      <c r="F2037" s="2" t="s">
        <v>6561</v>
      </c>
      <c r="G2037" s="2" t="s">
        <v>53</v>
      </c>
      <c r="H2037" s="2" t="s">
        <v>6562</v>
      </c>
      <c r="I2037" s="2" t="s">
        <v>36</v>
      </c>
      <c r="J2037" s="2" t="s">
        <v>37</v>
      </c>
      <c r="K2037" s="2" t="s">
        <v>39</v>
      </c>
      <c r="L2037" s="2" t="s">
        <v>38</v>
      </c>
      <c r="M2037" s="2" t="s">
        <v>38</v>
      </c>
      <c r="N2037" s="2" t="s">
        <v>38</v>
      </c>
      <c r="O2037" s="2" t="s">
        <v>38</v>
      </c>
      <c r="P2037" s="2" t="s">
        <v>38</v>
      </c>
      <c r="Q2037" s="2" t="s">
        <v>39</v>
      </c>
      <c r="R2037" s="2" t="s">
        <v>38</v>
      </c>
      <c r="S2037" s="2" t="s">
        <v>38</v>
      </c>
      <c r="T2037" s="2" t="s">
        <v>38</v>
      </c>
      <c r="U2037" s="2" t="s">
        <v>39</v>
      </c>
      <c r="V2037" s="2" t="s">
        <v>39</v>
      </c>
      <c r="W2037" s="2" t="s">
        <v>38</v>
      </c>
      <c r="X2037" s="2" t="s">
        <v>39</v>
      </c>
      <c r="Y2037" s="2" t="s">
        <v>39</v>
      </c>
      <c r="Z2037" s="2" t="s">
        <v>38</v>
      </c>
      <c r="AA2037" s="2" t="s">
        <v>38</v>
      </c>
      <c r="AB2037" s="2" t="s">
        <v>38</v>
      </c>
      <c r="AC2037" s="2" t="s">
        <v>38</v>
      </c>
      <c r="AD2037" s="2" t="s">
        <v>38</v>
      </c>
      <c r="AE2037" s="2" t="s">
        <v>40</v>
      </c>
    </row>
    <row r="2038" spans="1:31" ht="409.5">
      <c r="A2038" s="2">
        <v>2726236</v>
      </c>
      <c r="B2038" s="2">
        <f>HYPERLINK("https://platform.v2.vetology.net/cases/2726236/screening-report/1?type=pdf&amp;v=v6&amp;scorecard=1&amp;secret_key=BX%25IJ%24%2F65ieZ%29f6", 2726236)</f>
        <v>2726236</v>
      </c>
      <c r="C2038" s="2">
        <f>HYPERLINK("https://platform.v2.vetology.net/report/v/final/"&amp;2726236, 2726236)</f>
        <v>2726236</v>
      </c>
      <c r="D2038" s="2" t="s">
        <v>6563</v>
      </c>
      <c r="E2038" s="2" t="s">
        <v>6564</v>
      </c>
      <c r="F2038" s="2" t="s">
        <v>6565</v>
      </c>
      <c r="G2038" s="2" t="s">
        <v>170</v>
      </c>
      <c r="H2038" s="2" t="s">
        <v>4395</v>
      </c>
      <c r="I2038" s="2" t="s">
        <v>59</v>
      </c>
      <c r="J2038" s="2" t="s">
        <v>37</v>
      </c>
      <c r="K2038" s="2" t="s">
        <v>39</v>
      </c>
      <c r="L2038" s="2" t="s">
        <v>39</v>
      </c>
      <c r="M2038" s="2" t="s">
        <v>39</v>
      </c>
      <c r="N2038" s="2" t="s">
        <v>38</v>
      </c>
      <c r="O2038" s="2" t="s">
        <v>39</v>
      </c>
      <c r="P2038" s="2" t="s">
        <v>39</v>
      </c>
      <c r="Q2038" s="2" t="s">
        <v>39</v>
      </c>
      <c r="R2038" s="2" t="s">
        <v>39</v>
      </c>
      <c r="S2038" s="2" t="s">
        <v>38</v>
      </c>
      <c r="T2038" s="2" t="s">
        <v>39</v>
      </c>
      <c r="U2038" s="2" t="s">
        <v>39</v>
      </c>
      <c r="V2038" s="2" t="s">
        <v>38</v>
      </c>
      <c r="W2038" s="2" t="s">
        <v>38</v>
      </c>
      <c r="X2038" s="2" t="s">
        <v>39</v>
      </c>
      <c r="Y2038" s="2" t="s">
        <v>39</v>
      </c>
      <c r="Z2038" s="2" t="s">
        <v>38</v>
      </c>
      <c r="AA2038" s="2" t="s">
        <v>39</v>
      </c>
      <c r="AB2038" s="2" t="s">
        <v>39</v>
      </c>
      <c r="AC2038" s="2" t="s">
        <v>38</v>
      </c>
      <c r="AD2038" s="2" t="s">
        <v>38</v>
      </c>
      <c r="AE2038" s="2" t="s">
        <v>40</v>
      </c>
    </row>
    <row r="2039" spans="1:31" ht="409.5">
      <c r="A2039" s="2">
        <v>2726221</v>
      </c>
      <c r="B2039" s="2">
        <f>HYPERLINK("https://platform.v2.vetology.net/cases/2726221/screening-report/1?type=pdf&amp;v=v6&amp;scorecard=1&amp;secret_key=BX%25IJ%24%2F65ieZ%29f6", 2726221)</f>
        <v>2726221</v>
      </c>
      <c r="C2039" s="2">
        <f>HYPERLINK("https://platform.v2.vetology.net/report/v/final/"&amp;2726221, 2726221)</f>
        <v>2726221</v>
      </c>
      <c r="D2039" s="2" t="s">
        <v>6566</v>
      </c>
      <c r="E2039" s="2" t="s">
        <v>6567</v>
      </c>
      <c r="F2039" s="2" t="s">
        <v>6568</v>
      </c>
      <c r="G2039" s="2" t="s">
        <v>100</v>
      </c>
      <c r="H2039" s="2" t="s">
        <v>45</v>
      </c>
      <c r="I2039" s="2" t="s">
        <v>46</v>
      </c>
      <c r="J2039" s="2"/>
      <c r="K2039" s="2" t="s">
        <v>39</v>
      </c>
      <c r="L2039" s="2" t="s">
        <v>39</v>
      </c>
      <c r="M2039" s="2" t="s">
        <v>39</v>
      </c>
      <c r="N2039" s="2" t="s">
        <v>39</v>
      </c>
      <c r="O2039" s="2" t="s">
        <v>39</v>
      </c>
      <c r="P2039" s="2" t="s">
        <v>39</v>
      </c>
      <c r="Q2039" s="2" t="s">
        <v>39</v>
      </c>
      <c r="R2039" s="2" t="s">
        <v>38</v>
      </c>
      <c r="S2039" s="2" t="s">
        <v>39</v>
      </c>
      <c r="T2039" s="2" t="s">
        <v>39</v>
      </c>
      <c r="U2039" s="2" t="s">
        <v>39</v>
      </c>
      <c r="V2039" s="2" t="s">
        <v>39</v>
      </c>
      <c r="W2039" s="2" t="s">
        <v>39</v>
      </c>
      <c r="X2039" s="2" t="s">
        <v>39</v>
      </c>
      <c r="Y2039" s="2" t="s">
        <v>39</v>
      </c>
      <c r="Z2039" s="2" t="s">
        <v>39</v>
      </c>
      <c r="AA2039" s="2" t="s">
        <v>39</v>
      </c>
      <c r="AB2039" s="2" t="s">
        <v>39</v>
      </c>
      <c r="AC2039" s="2" t="s">
        <v>39</v>
      </c>
      <c r="AD2039" s="2" t="s">
        <v>38</v>
      </c>
      <c r="AE2039" s="2" t="s">
        <v>39</v>
      </c>
    </row>
    <row r="2040" spans="1:31" ht="409.5">
      <c r="A2040" s="2">
        <v>2726196</v>
      </c>
      <c r="B2040" s="2">
        <f>HYPERLINK("https://platform.v2.vetology.net/cases/2726196/screening-report/1?type=pdf&amp;v=v6&amp;scorecard=1&amp;secret_key=BX%25IJ%24%2F65ieZ%29f6", 2726196)</f>
        <v>2726196</v>
      </c>
      <c r="C2040" s="2">
        <f>HYPERLINK("https://platform.v2.vetology.net/report/v/final/"&amp;2726196, 2726196)</f>
        <v>2726196</v>
      </c>
      <c r="D2040" s="2" t="s">
        <v>6569</v>
      </c>
      <c r="E2040" s="2" t="s">
        <v>4540</v>
      </c>
      <c r="F2040" s="2" t="s">
        <v>43</v>
      </c>
      <c r="G2040" s="2" t="s">
        <v>100</v>
      </c>
      <c r="H2040" s="2" t="s">
        <v>1669</v>
      </c>
      <c r="I2040" s="2" t="s">
        <v>46</v>
      </c>
      <c r="J2040" s="2"/>
      <c r="K2040" s="2" t="s">
        <v>39</v>
      </c>
      <c r="L2040" s="2" t="s">
        <v>39</v>
      </c>
      <c r="M2040" s="2" t="s">
        <v>39</v>
      </c>
      <c r="N2040" s="2" t="s">
        <v>39</v>
      </c>
      <c r="O2040" s="2" t="s">
        <v>39</v>
      </c>
      <c r="P2040" s="2" t="s">
        <v>38</v>
      </c>
      <c r="Q2040" s="2" t="s">
        <v>38</v>
      </c>
      <c r="R2040" s="2" t="s">
        <v>39</v>
      </c>
      <c r="S2040" s="2" t="s">
        <v>39</v>
      </c>
      <c r="T2040" s="2" t="s">
        <v>38</v>
      </c>
      <c r="U2040" s="2" t="s">
        <v>39</v>
      </c>
      <c r="V2040" s="2" t="s">
        <v>39</v>
      </c>
      <c r="W2040" s="2" t="s">
        <v>38</v>
      </c>
      <c r="X2040" s="2" t="s">
        <v>38</v>
      </c>
      <c r="Y2040" s="2" t="s">
        <v>39</v>
      </c>
      <c r="Z2040" s="2" t="s">
        <v>38</v>
      </c>
      <c r="AA2040" s="2" t="s">
        <v>38</v>
      </c>
      <c r="AB2040" s="2" t="s">
        <v>38</v>
      </c>
      <c r="AC2040" s="2" t="s">
        <v>38</v>
      </c>
      <c r="AD2040" s="2" t="s">
        <v>39</v>
      </c>
      <c r="AE2040" s="2" t="s">
        <v>39</v>
      </c>
    </row>
    <row r="2041" spans="1:31" ht="409.5">
      <c r="A2041" s="2">
        <v>2726193</v>
      </c>
      <c r="B2041" s="2">
        <f>HYPERLINK("https://platform.v2.vetology.net/cases/2726193/screening-report/1?type=pdf&amp;v=v6&amp;scorecard=1&amp;secret_key=BX%25IJ%24%2F65ieZ%29f6", 2726193)</f>
        <v>2726193</v>
      </c>
      <c r="C2041" s="2">
        <f>HYPERLINK("https://platform.v2.vetology.net/report/v/final/"&amp;2726193, 2726193)</f>
        <v>2726193</v>
      </c>
      <c r="D2041" s="2" t="s">
        <v>6570</v>
      </c>
      <c r="E2041" s="2" t="s">
        <v>6571</v>
      </c>
      <c r="F2041" s="2" t="s">
        <v>6572</v>
      </c>
      <c r="G2041" s="2" t="s">
        <v>127</v>
      </c>
      <c r="H2041" s="2" t="s">
        <v>6573</v>
      </c>
      <c r="I2041" s="2" t="s">
        <v>36</v>
      </c>
      <c r="J2041" s="2" t="s">
        <v>37</v>
      </c>
      <c r="K2041" s="2" t="s">
        <v>38</v>
      </c>
      <c r="L2041" s="2" t="s">
        <v>38</v>
      </c>
      <c r="M2041" s="2" t="s">
        <v>38</v>
      </c>
      <c r="N2041" s="2" t="s">
        <v>38</v>
      </c>
      <c r="O2041" s="2" t="s">
        <v>38</v>
      </c>
      <c r="P2041" s="2" t="s">
        <v>38</v>
      </c>
      <c r="Q2041" s="2" t="s">
        <v>38</v>
      </c>
      <c r="R2041" s="2" t="s">
        <v>38</v>
      </c>
      <c r="S2041" s="2" t="s">
        <v>38</v>
      </c>
      <c r="T2041" s="2" t="s">
        <v>38</v>
      </c>
      <c r="U2041" s="2" t="s">
        <v>38</v>
      </c>
      <c r="V2041" s="2" t="s">
        <v>38</v>
      </c>
      <c r="W2041" s="2" t="s">
        <v>38</v>
      </c>
      <c r="X2041" s="2" t="s">
        <v>38</v>
      </c>
      <c r="Y2041" s="2" t="s">
        <v>38</v>
      </c>
      <c r="Z2041" s="2" t="s">
        <v>38</v>
      </c>
      <c r="AA2041" s="2" t="s">
        <v>38</v>
      </c>
      <c r="AB2041" s="2" t="s">
        <v>39</v>
      </c>
      <c r="AC2041" s="2" t="s">
        <v>38</v>
      </c>
      <c r="AD2041" s="2" t="s">
        <v>38</v>
      </c>
      <c r="AE2041" s="2" t="s">
        <v>40</v>
      </c>
    </row>
    <row r="2042" spans="1:31" ht="409.5">
      <c r="A2042" s="2">
        <v>2726181</v>
      </c>
      <c r="B2042" s="2">
        <f>HYPERLINK("https://platform.v2.vetology.net/cases/2726181/screening-report/1?type=pdf&amp;v=v6&amp;scorecard=1&amp;secret_key=BX%25IJ%24%2F65ieZ%29f6", 2726181)</f>
        <v>2726181</v>
      </c>
      <c r="C2042" s="2">
        <f>HYPERLINK("https://platform.v2.vetology.net/report/v/final/"&amp;2726181, 2726181)</f>
        <v>2726181</v>
      </c>
      <c r="D2042" s="2" t="s">
        <v>6574</v>
      </c>
      <c r="E2042" s="2" t="s">
        <v>6575</v>
      </c>
      <c r="F2042" s="2" t="s">
        <v>851</v>
      </c>
      <c r="G2042" s="2" t="s">
        <v>111</v>
      </c>
      <c r="H2042" s="2" t="s">
        <v>6576</v>
      </c>
      <c r="I2042" s="2" t="s">
        <v>36</v>
      </c>
      <c r="J2042" s="2" t="s">
        <v>37</v>
      </c>
      <c r="K2042" s="2" t="s">
        <v>38</v>
      </c>
      <c r="L2042" s="2" t="s">
        <v>38</v>
      </c>
      <c r="M2042" s="2" t="s">
        <v>38</v>
      </c>
      <c r="N2042" s="2" t="s">
        <v>38</v>
      </c>
      <c r="O2042" s="2" t="s">
        <v>38</v>
      </c>
      <c r="P2042" s="2" t="s">
        <v>39</v>
      </c>
      <c r="Q2042" s="2" t="s">
        <v>39</v>
      </c>
      <c r="R2042" s="2" t="s">
        <v>38</v>
      </c>
      <c r="S2042" s="2" t="s">
        <v>38</v>
      </c>
      <c r="T2042" s="2" t="s">
        <v>39</v>
      </c>
      <c r="U2042" s="2" t="s">
        <v>38</v>
      </c>
      <c r="V2042" s="2" t="s">
        <v>38</v>
      </c>
      <c r="W2042" s="2" t="s">
        <v>38</v>
      </c>
      <c r="X2042" s="2" t="s">
        <v>39</v>
      </c>
      <c r="Y2042" s="2" t="s">
        <v>39</v>
      </c>
      <c r="Z2042" s="2" t="s">
        <v>38</v>
      </c>
      <c r="AA2042" s="2" t="s">
        <v>38</v>
      </c>
      <c r="AB2042" s="2" t="s">
        <v>39</v>
      </c>
      <c r="AC2042" s="2" t="s">
        <v>38</v>
      </c>
      <c r="AD2042" s="2" t="s">
        <v>38</v>
      </c>
      <c r="AE2042" s="2" t="s">
        <v>40</v>
      </c>
    </row>
    <row r="2043" spans="1:31" ht="409.5">
      <c r="A2043" s="2">
        <v>2726151</v>
      </c>
      <c r="B2043" s="2">
        <f>HYPERLINK("https://platform.v2.vetology.net/cases/2726151/screening-report/1?type=pdf&amp;v=v6&amp;scorecard=1&amp;secret_key=BX%25IJ%24%2F65ieZ%29f6", 2726151)</f>
        <v>2726151</v>
      </c>
      <c r="C2043" s="2">
        <f>HYPERLINK("https://platform.v2.vetology.net/report/v/final/"&amp;2726151, 2726151)</f>
        <v>2726151</v>
      </c>
      <c r="D2043" s="2" t="s">
        <v>6577</v>
      </c>
      <c r="E2043" s="2" t="s">
        <v>6578</v>
      </c>
      <c r="F2043" s="2" t="s">
        <v>43</v>
      </c>
      <c r="G2043" s="2" t="s">
        <v>44</v>
      </c>
      <c r="H2043" s="2" t="s">
        <v>69</v>
      </c>
      <c r="I2043" s="2" t="s">
        <v>46</v>
      </c>
      <c r="J2043" s="2"/>
      <c r="K2043" s="2" t="s">
        <v>39</v>
      </c>
      <c r="L2043" s="2" t="s">
        <v>39</v>
      </c>
      <c r="M2043" s="2" t="s">
        <v>39</v>
      </c>
      <c r="N2043" s="2" t="s">
        <v>39</v>
      </c>
      <c r="O2043" s="2" t="s">
        <v>38</v>
      </c>
      <c r="P2043" s="2" t="s">
        <v>39</v>
      </c>
      <c r="Q2043" s="2" t="s">
        <v>39</v>
      </c>
      <c r="R2043" s="2" t="s">
        <v>39</v>
      </c>
      <c r="S2043" s="2" t="s">
        <v>39</v>
      </c>
      <c r="T2043" s="2" t="s">
        <v>39</v>
      </c>
      <c r="U2043" s="2" t="s">
        <v>39</v>
      </c>
      <c r="V2043" s="2" t="s">
        <v>39</v>
      </c>
      <c r="W2043" s="2" t="s">
        <v>39</v>
      </c>
      <c r="X2043" s="2" t="s">
        <v>39</v>
      </c>
      <c r="Y2043" s="2" t="s">
        <v>39</v>
      </c>
      <c r="Z2043" s="2" t="s">
        <v>39</v>
      </c>
      <c r="AA2043" s="2" t="s">
        <v>39</v>
      </c>
      <c r="AB2043" s="2" t="s">
        <v>39</v>
      </c>
      <c r="AC2043" s="2" t="s">
        <v>38</v>
      </c>
      <c r="AD2043" s="2" t="s">
        <v>39</v>
      </c>
      <c r="AE2043" s="2" t="s">
        <v>39</v>
      </c>
    </row>
    <row r="2044" spans="1:31" ht="409.5">
      <c r="A2044" s="2">
        <v>2726135</v>
      </c>
      <c r="B2044" s="2">
        <f>HYPERLINK("https://platform.v2.vetology.net/cases/2726135/screening-report/1?type=pdf&amp;v=v6&amp;scorecard=1&amp;secret_key=BX%25IJ%24%2F65ieZ%29f6", 2726135)</f>
        <v>2726135</v>
      </c>
      <c r="C2044" s="2">
        <f>HYPERLINK("https://platform.v2.vetology.net/report/v/final/"&amp;2726135, 2726135)</f>
        <v>2726135</v>
      </c>
      <c r="D2044" s="2" t="s">
        <v>6579</v>
      </c>
      <c r="E2044" s="2" t="s">
        <v>6580</v>
      </c>
      <c r="F2044" s="2" t="s">
        <v>6581</v>
      </c>
      <c r="G2044" s="2" t="s">
        <v>53</v>
      </c>
      <c r="H2044" s="2" t="s">
        <v>6582</v>
      </c>
      <c r="I2044" s="2" t="s">
        <v>73</v>
      </c>
      <c r="J2044" s="2" t="s">
        <v>74</v>
      </c>
      <c r="K2044" s="2" t="s">
        <v>38</v>
      </c>
      <c r="L2044" s="2" t="s">
        <v>38</v>
      </c>
      <c r="M2044" s="2" t="s">
        <v>39</v>
      </c>
      <c r="N2044" s="2" t="s">
        <v>38</v>
      </c>
      <c r="O2044" s="2" t="s">
        <v>38</v>
      </c>
      <c r="P2044" s="2" t="s">
        <v>39</v>
      </c>
      <c r="Q2044" s="2" t="s">
        <v>38</v>
      </c>
      <c r="R2044" s="2" t="s">
        <v>38</v>
      </c>
      <c r="S2044" s="2" t="s">
        <v>38</v>
      </c>
      <c r="T2044" s="2" t="s">
        <v>38</v>
      </c>
      <c r="U2044" s="2" t="s">
        <v>38</v>
      </c>
      <c r="V2044" s="2" t="s">
        <v>38</v>
      </c>
      <c r="W2044" s="2" t="s">
        <v>38</v>
      </c>
      <c r="X2044" s="2" t="s">
        <v>38</v>
      </c>
      <c r="Y2044" s="2" t="s">
        <v>39</v>
      </c>
      <c r="Z2044" s="2" t="s">
        <v>39</v>
      </c>
      <c r="AA2044" s="2" t="s">
        <v>38</v>
      </c>
      <c r="AB2044" s="2" t="s">
        <v>38</v>
      </c>
      <c r="AC2044" s="2" t="s">
        <v>39</v>
      </c>
      <c r="AD2044" s="2" t="s">
        <v>39</v>
      </c>
      <c r="AE2044" s="2" t="s">
        <v>39</v>
      </c>
    </row>
    <row r="2045" spans="1:31" ht="409.5">
      <c r="A2045" s="2">
        <v>2726133</v>
      </c>
      <c r="B2045" s="2">
        <f>HYPERLINK("https://platform.v2.vetology.net/cases/2726133/screening-report/1?type=pdf&amp;v=v6&amp;scorecard=1&amp;secret_key=BX%25IJ%24%2F65ieZ%29f6", 2726133)</f>
        <v>2726133</v>
      </c>
      <c r="C2045" s="2">
        <f>HYPERLINK("https://platform.v2.vetology.net/report/v/final/"&amp;2726133, 2726133)</f>
        <v>2726133</v>
      </c>
      <c r="D2045" s="2" t="s">
        <v>6583</v>
      </c>
      <c r="E2045" s="2" t="s">
        <v>6584</v>
      </c>
      <c r="F2045" s="2" t="s">
        <v>6585</v>
      </c>
      <c r="G2045" s="2" t="s">
        <v>170</v>
      </c>
      <c r="H2045" s="2" t="s">
        <v>530</v>
      </c>
      <c r="I2045" s="2" t="s">
        <v>59</v>
      </c>
      <c r="J2045" s="2" t="s">
        <v>37</v>
      </c>
      <c r="K2045" s="2" t="s">
        <v>38</v>
      </c>
      <c r="L2045" s="2" t="s">
        <v>39</v>
      </c>
      <c r="M2045" s="2" t="s">
        <v>39</v>
      </c>
      <c r="N2045" s="2" t="s">
        <v>39</v>
      </c>
      <c r="O2045" s="2" t="s">
        <v>39</v>
      </c>
      <c r="P2045" s="2" t="s">
        <v>39</v>
      </c>
      <c r="Q2045" s="2" t="s">
        <v>39</v>
      </c>
      <c r="R2045" s="2" t="s">
        <v>39</v>
      </c>
      <c r="S2045" s="2" t="s">
        <v>39</v>
      </c>
      <c r="T2045" s="2" t="s">
        <v>39</v>
      </c>
      <c r="U2045" s="2" t="s">
        <v>38</v>
      </c>
      <c r="V2045" s="2" t="s">
        <v>38</v>
      </c>
      <c r="W2045" s="2" t="s">
        <v>39</v>
      </c>
      <c r="X2045" s="2" t="s">
        <v>39</v>
      </c>
      <c r="Y2045" s="2" t="s">
        <v>39</v>
      </c>
      <c r="Z2045" s="2" t="s">
        <v>39</v>
      </c>
      <c r="AA2045" s="2" t="s">
        <v>39</v>
      </c>
      <c r="AB2045" s="2" t="s">
        <v>39</v>
      </c>
      <c r="AC2045" s="2" t="s">
        <v>38</v>
      </c>
      <c r="AD2045" s="2" t="s">
        <v>38</v>
      </c>
      <c r="AE2045" s="2" t="s">
        <v>40</v>
      </c>
    </row>
    <row r="2046" spans="1:31" ht="409.5">
      <c r="A2046" s="2">
        <v>2726103</v>
      </c>
      <c r="B2046" s="2">
        <f>HYPERLINK("https://platform.v2.vetology.net/cases/2726103/screening-report/1?type=pdf&amp;v=v6&amp;scorecard=1&amp;secret_key=BX%25IJ%24%2F65ieZ%29f6", 2726103)</f>
        <v>2726103</v>
      </c>
      <c r="C2046" s="2">
        <f>HYPERLINK("https://platform.v2.vetology.net/report/v/final/"&amp;2726103, 2726103)</f>
        <v>2726103</v>
      </c>
      <c r="D2046" s="2" t="s">
        <v>6586</v>
      </c>
      <c r="E2046" s="2" t="s">
        <v>6587</v>
      </c>
      <c r="F2046" s="2" t="s">
        <v>6588</v>
      </c>
      <c r="G2046" s="2" t="s">
        <v>170</v>
      </c>
      <c r="H2046" s="2" t="s">
        <v>69</v>
      </c>
      <c r="I2046" s="2" t="s">
        <v>46</v>
      </c>
      <c r="J2046" s="2"/>
      <c r="K2046" s="2" t="s">
        <v>39</v>
      </c>
      <c r="L2046" s="2" t="s">
        <v>39</v>
      </c>
      <c r="M2046" s="2" t="s">
        <v>39</v>
      </c>
      <c r="N2046" s="2" t="s">
        <v>39</v>
      </c>
      <c r="O2046" s="2" t="s">
        <v>39</v>
      </c>
      <c r="P2046" s="2" t="s">
        <v>39</v>
      </c>
      <c r="Q2046" s="2" t="s">
        <v>39</v>
      </c>
      <c r="R2046" s="2" t="s">
        <v>39</v>
      </c>
      <c r="S2046" s="2" t="s">
        <v>39</v>
      </c>
      <c r="T2046" s="2" t="s">
        <v>39</v>
      </c>
      <c r="U2046" s="2" t="s">
        <v>39</v>
      </c>
      <c r="V2046" s="2" t="s">
        <v>39</v>
      </c>
      <c r="W2046" s="2" t="s">
        <v>38</v>
      </c>
      <c r="X2046" s="2" t="s">
        <v>39</v>
      </c>
      <c r="Y2046" s="2" t="s">
        <v>39</v>
      </c>
      <c r="Z2046" s="2" t="s">
        <v>39</v>
      </c>
      <c r="AA2046" s="2" t="s">
        <v>39</v>
      </c>
      <c r="AB2046" s="2" t="s">
        <v>39</v>
      </c>
      <c r="AC2046" s="2" t="s">
        <v>39</v>
      </c>
      <c r="AD2046" s="2" t="s">
        <v>39</v>
      </c>
      <c r="AE2046" s="2" t="s">
        <v>40</v>
      </c>
    </row>
    <row r="2047" spans="1:31" ht="409.5">
      <c r="A2047" s="2">
        <v>2726099</v>
      </c>
      <c r="B2047" s="2">
        <f>HYPERLINK("https://platform.v2.vetology.net/cases/2726099/screening-report/1?type=pdf&amp;v=v6&amp;scorecard=1&amp;secret_key=BX%25IJ%24%2F65ieZ%29f6", 2726099)</f>
        <v>2726099</v>
      </c>
      <c r="C2047" s="2">
        <f>HYPERLINK("https://platform.v2.vetology.net/report/v/final/"&amp;2726099, 2726099)</f>
        <v>2726099</v>
      </c>
      <c r="D2047" s="2" t="s">
        <v>6589</v>
      </c>
      <c r="E2047" s="2" t="s">
        <v>6590</v>
      </c>
      <c r="F2047" s="2" t="s">
        <v>6591</v>
      </c>
      <c r="G2047" s="2" t="s">
        <v>145</v>
      </c>
      <c r="H2047" s="2" t="s">
        <v>6592</v>
      </c>
      <c r="I2047" s="2" t="s">
        <v>73</v>
      </c>
      <c r="J2047" s="2" t="s">
        <v>74</v>
      </c>
      <c r="K2047" s="2" t="s">
        <v>38</v>
      </c>
      <c r="L2047" s="2" t="s">
        <v>38</v>
      </c>
      <c r="M2047" s="2" t="s">
        <v>38</v>
      </c>
      <c r="N2047" s="2" t="s">
        <v>38</v>
      </c>
      <c r="O2047" s="2" t="s">
        <v>38</v>
      </c>
      <c r="P2047" s="2" t="s">
        <v>38</v>
      </c>
      <c r="Q2047" s="2" t="s">
        <v>38</v>
      </c>
      <c r="R2047" s="2" t="s">
        <v>39</v>
      </c>
      <c r="S2047" s="2" t="s">
        <v>38</v>
      </c>
      <c r="T2047" s="2" t="s">
        <v>38</v>
      </c>
      <c r="U2047" s="2" t="s">
        <v>38</v>
      </c>
      <c r="V2047" s="2" t="s">
        <v>38</v>
      </c>
      <c r="W2047" s="2" t="s">
        <v>39</v>
      </c>
      <c r="X2047" s="2" t="s">
        <v>38</v>
      </c>
      <c r="Y2047" s="2" t="s">
        <v>38</v>
      </c>
      <c r="Z2047" s="2" t="s">
        <v>38</v>
      </c>
      <c r="AA2047" s="2" t="s">
        <v>38</v>
      </c>
      <c r="AB2047" s="2" t="s">
        <v>38</v>
      </c>
      <c r="AC2047" s="2" t="s">
        <v>38</v>
      </c>
      <c r="AD2047" s="2" t="s">
        <v>39</v>
      </c>
      <c r="AE2047" s="2" t="s">
        <v>40</v>
      </c>
    </row>
    <row r="2048" spans="1:31" ht="409.5">
      <c r="A2048" s="2">
        <v>2726043</v>
      </c>
      <c r="B2048" s="2">
        <f>HYPERLINK("https://platform.v2.vetology.net/cases/2726043/screening-report/1?type=pdf&amp;v=v6&amp;scorecard=1&amp;secret_key=BX%25IJ%24%2F65ieZ%29f6", 2726043)</f>
        <v>2726043</v>
      </c>
      <c r="C2048" s="2">
        <f>HYPERLINK("https://platform.v2.vetology.net/report/v/final/"&amp;2726043, 2726043)</f>
        <v>2726043</v>
      </c>
      <c r="D2048" s="2" t="s">
        <v>6593</v>
      </c>
      <c r="E2048" s="2" t="s">
        <v>6594</v>
      </c>
      <c r="F2048" s="2" t="s">
        <v>6595</v>
      </c>
      <c r="G2048" s="2" t="s">
        <v>127</v>
      </c>
      <c r="H2048" s="2" t="s">
        <v>69</v>
      </c>
      <c r="I2048" s="2" t="s">
        <v>46</v>
      </c>
      <c r="J2048" s="2"/>
      <c r="K2048" s="2" t="s">
        <v>39</v>
      </c>
      <c r="L2048" s="2" t="s">
        <v>39</v>
      </c>
      <c r="M2048" s="2" t="s">
        <v>39</v>
      </c>
      <c r="N2048" s="2" t="s">
        <v>39</v>
      </c>
      <c r="O2048" s="2" t="s">
        <v>39</v>
      </c>
      <c r="P2048" s="2" t="s">
        <v>39</v>
      </c>
      <c r="Q2048" s="2" t="s">
        <v>39</v>
      </c>
      <c r="R2048" s="2" t="s">
        <v>39</v>
      </c>
      <c r="S2048" s="2" t="s">
        <v>39</v>
      </c>
      <c r="T2048" s="2" t="s">
        <v>39</v>
      </c>
      <c r="U2048" s="2" t="s">
        <v>39</v>
      </c>
      <c r="V2048" s="2" t="s">
        <v>39</v>
      </c>
      <c r="W2048" s="2" t="s">
        <v>38</v>
      </c>
      <c r="X2048" s="2" t="s">
        <v>39</v>
      </c>
      <c r="Y2048" s="2" t="s">
        <v>39</v>
      </c>
      <c r="Z2048" s="2" t="s">
        <v>39</v>
      </c>
      <c r="AA2048" s="2" t="s">
        <v>39</v>
      </c>
      <c r="AB2048" s="2" t="s">
        <v>39</v>
      </c>
      <c r="AC2048" s="2" t="s">
        <v>39</v>
      </c>
      <c r="AD2048" s="2" t="s">
        <v>39</v>
      </c>
      <c r="AE2048" s="2" t="s">
        <v>40</v>
      </c>
    </row>
    <row r="2049" spans="1:31" ht="409.5">
      <c r="A2049" s="2">
        <v>2726007</v>
      </c>
      <c r="B2049" s="2">
        <f>HYPERLINK("https://platform.v2.vetology.net/cases/2726007/screening-report/1?type=pdf&amp;v=v6&amp;scorecard=1&amp;secret_key=BX%25IJ%24%2F65ieZ%29f6", 2726007)</f>
        <v>2726007</v>
      </c>
      <c r="C2049" s="2">
        <f>HYPERLINK("https://platform.v2.vetology.net/report/v/final/"&amp;2726007, 2726007)</f>
        <v>2726007</v>
      </c>
      <c r="D2049" s="2" t="s">
        <v>6596</v>
      </c>
      <c r="E2049" s="2" t="s">
        <v>6597</v>
      </c>
      <c r="F2049" s="2" t="s">
        <v>6598</v>
      </c>
      <c r="G2049" s="2" t="s">
        <v>111</v>
      </c>
      <c r="H2049" s="2" t="s">
        <v>6599</v>
      </c>
      <c r="I2049" s="2" t="s">
        <v>73</v>
      </c>
      <c r="J2049" s="2" t="s">
        <v>74</v>
      </c>
      <c r="K2049" s="2" t="s">
        <v>38</v>
      </c>
      <c r="L2049" s="2" t="s">
        <v>38</v>
      </c>
      <c r="M2049" s="2" t="s">
        <v>38</v>
      </c>
      <c r="N2049" s="2" t="s">
        <v>38</v>
      </c>
      <c r="O2049" s="2" t="s">
        <v>38</v>
      </c>
      <c r="P2049" s="2" t="s">
        <v>38</v>
      </c>
      <c r="Q2049" s="2" t="s">
        <v>38</v>
      </c>
      <c r="R2049" s="2" t="s">
        <v>38</v>
      </c>
      <c r="S2049" s="2" t="s">
        <v>38</v>
      </c>
      <c r="T2049" s="2" t="s">
        <v>38</v>
      </c>
      <c r="U2049" s="2" t="s">
        <v>38</v>
      </c>
      <c r="V2049" s="2" t="s">
        <v>38</v>
      </c>
      <c r="W2049" s="2" t="s">
        <v>38</v>
      </c>
      <c r="X2049" s="2" t="s">
        <v>38</v>
      </c>
      <c r="Y2049" s="2" t="s">
        <v>38</v>
      </c>
      <c r="Z2049" s="2" t="s">
        <v>38</v>
      </c>
      <c r="AA2049" s="2" t="s">
        <v>38</v>
      </c>
      <c r="AB2049" s="2" t="s">
        <v>38</v>
      </c>
      <c r="AC2049" s="2" t="s">
        <v>38</v>
      </c>
      <c r="AD2049" s="2" t="s">
        <v>38</v>
      </c>
      <c r="AE2049" s="2" t="s">
        <v>39</v>
      </c>
    </row>
    <row r="2050" spans="1:31" ht="409.5">
      <c r="A2050" s="2">
        <v>2725981</v>
      </c>
      <c r="B2050" s="2">
        <f>HYPERLINK("https://platform.v2.vetology.net/cases/2725981/screening-report/1?type=pdf&amp;v=v6&amp;scorecard=1&amp;secret_key=BX%25IJ%24%2F65ieZ%29f6", 2725981)</f>
        <v>2725981</v>
      </c>
      <c r="C2050" s="2">
        <f>HYPERLINK("https://platform.v2.vetology.net/report/v/final/"&amp;2725981, 2725981)</f>
        <v>2725981</v>
      </c>
      <c r="D2050" s="2" t="s">
        <v>6600</v>
      </c>
      <c r="E2050" s="2" t="s">
        <v>6601</v>
      </c>
      <c r="F2050" s="2" t="s">
        <v>6602</v>
      </c>
      <c r="G2050" s="2" t="s">
        <v>111</v>
      </c>
      <c r="H2050" s="2" t="s">
        <v>6603</v>
      </c>
      <c r="I2050" s="2" t="s">
        <v>257</v>
      </c>
      <c r="J2050" s="2" t="s">
        <v>74</v>
      </c>
      <c r="K2050" s="2" t="s">
        <v>38</v>
      </c>
      <c r="L2050" s="2" t="s">
        <v>38</v>
      </c>
      <c r="M2050" s="2" t="s">
        <v>38</v>
      </c>
      <c r="N2050" s="2" t="s">
        <v>38</v>
      </c>
      <c r="O2050" s="2" t="s">
        <v>38</v>
      </c>
      <c r="P2050" s="2" t="s">
        <v>38</v>
      </c>
      <c r="Q2050" s="2" t="s">
        <v>38</v>
      </c>
      <c r="R2050" s="2" t="s">
        <v>38</v>
      </c>
      <c r="S2050" s="2" t="s">
        <v>38</v>
      </c>
      <c r="T2050" s="2" t="s">
        <v>38</v>
      </c>
      <c r="U2050" s="2" t="s">
        <v>38</v>
      </c>
      <c r="V2050" s="2" t="s">
        <v>38</v>
      </c>
      <c r="W2050" s="2" t="s">
        <v>38</v>
      </c>
      <c r="X2050" s="2" t="s">
        <v>38</v>
      </c>
      <c r="Y2050" s="2" t="s">
        <v>38</v>
      </c>
      <c r="Z2050" s="2" t="s">
        <v>38</v>
      </c>
      <c r="AA2050" s="2" t="s">
        <v>38</v>
      </c>
      <c r="AB2050" s="2" t="s">
        <v>38</v>
      </c>
      <c r="AC2050" s="2" t="s">
        <v>38</v>
      </c>
      <c r="AD2050" s="2" t="s">
        <v>38</v>
      </c>
      <c r="AE2050" s="2" t="s">
        <v>40</v>
      </c>
    </row>
    <row r="2051" spans="1:31" ht="409.5">
      <c r="A2051" s="2">
        <v>2725947</v>
      </c>
      <c r="B2051" s="2">
        <f>HYPERLINK("https://platform.v2.vetology.net/cases/2725947/screening-report/1?type=pdf&amp;v=v6&amp;scorecard=1&amp;secret_key=BX%25IJ%24%2F65ieZ%29f6", 2725947)</f>
        <v>2725947</v>
      </c>
      <c r="C2051" s="2">
        <f>HYPERLINK("https://platform.v2.vetology.net/report/v/final/"&amp;2725947, 2725947)</f>
        <v>2725947</v>
      </c>
      <c r="D2051" s="2" t="s">
        <v>6604</v>
      </c>
      <c r="E2051" s="2" t="s">
        <v>6605</v>
      </c>
      <c r="F2051" s="2" t="s">
        <v>6606</v>
      </c>
      <c r="G2051" s="2" t="s">
        <v>53</v>
      </c>
      <c r="H2051" s="2" t="s">
        <v>1099</v>
      </c>
      <c r="I2051" s="2" t="s">
        <v>36</v>
      </c>
      <c r="J2051" s="2" t="s">
        <v>37</v>
      </c>
      <c r="K2051" s="2" t="s">
        <v>39</v>
      </c>
      <c r="L2051" s="2" t="s">
        <v>38</v>
      </c>
      <c r="M2051" s="2" t="s">
        <v>38</v>
      </c>
      <c r="N2051" s="2" t="s">
        <v>38</v>
      </c>
      <c r="O2051" s="2" t="s">
        <v>38</v>
      </c>
      <c r="P2051" s="2" t="s">
        <v>39</v>
      </c>
      <c r="Q2051" s="2" t="s">
        <v>39</v>
      </c>
      <c r="R2051" s="2" t="s">
        <v>38</v>
      </c>
      <c r="S2051" s="2" t="s">
        <v>38</v>
      </c>
      <c r="T2051" s="2" t="s">
        <v>39</v>
      </c>
      <c r="U2051" s="2" t="s">
        <v>39</v>
      </c>
      <c r="V2051" s="2" t="s">
        <v>39</v>
      </c>
      <c r="W2051" s="2" t="s">
        <v>38</v>
      </c>
      <c r="X2051" s="2" t="s">
        <v>39</v>
      </c>
      <c r="Y2051" s="2" t="s">
        <v>39</v>
      </c>
      <c r="Z2051" s="2" t="s">
        <v>38</v>
      </c>
      <c r="AA2051" s="2" t="s">
        <v>39</v>
      </c>
      <c r="AB2051" s="2" t="s">
        <v>39</v>
      </c>
      <c r="AC2051" s="2" t="s">
        <v>38</v>
      </c>
      <c r="AD2051" s="2" t="s">
        <v>38</v>
      </c>
      <c r="AE2051" s="2" t="s">
        <v>39</v>
      </c>
    </row>
    <row r="2052" spans="1:31" ht="409.5">
      <c r="A2052" s="2">
        <v>2725895</v>
      </c>
      <c r="B2052" s="2">
        <f>HYPERLINK("https://platform.v2.vetology.net/cases/2725895/screening-report/1?type=pdf&amp;v=v6&amp;scorecard=1&amp;secret_key=BX%25IJ%24%2F65ieZ%29f6", 2725895)</f>
        <v>2725895</v>
      </c>
      <c r="C2052" s="2">
        <f>HYPERLINK("https://platform.v2.vetology.net/report/v/final/"&amp;2725895, 2725895)</f>
        <v>2725895</v>
      </c>
      <c r="D2052" s="2" t="s">
        <v>6607</v>
      </c>
      <c r="E2052" s="2" t="s">
        <v>6608</v>
      </c>
      <c r="F2052" s="2" t="s">
        <v>6609</v>
      </c>
      <c r="G2052" s="2" t="s">
        <v>53</v>
      </c>
      <c r="H2052" s="2" t="s">
        <v>6610</v>
      </c>
      <c r="I2052" s="2" t="s">
        <v>36</v>
      </c>
      <c r="J2052" s="2" t="s">
        <v>37</v>
      </c>
      <c r="K2052" s="2" t="s">
        <v>39</v>
      </c>
      <c r="L2052" s="2" t="s">
        <v>39</v>
      </c>
      <c r="M2052" s="2" t="s">
        <v>39</v>
      </c>
      <c r="N2052" s="2" t="s">
        <v>39</v>
      </c>
      <c r="O2052" s="2" t="s">
        <v>38</v>
      </c>
      <c r="P2052" s="2" t="s">
        <v>38</v>
      </c>
      <c r="Q2052" s="2" t="s">
        <v>39</v>
      </c>
      <c r="R2052" s="2" t="s">
        <v>38</v>
      </c>
      <c r="S2052" s="2" t="s">
        <v>39</v>
      </c>
      <c r="T2052" s="2" t="s">
        <v>38</v>
      </c>
      <c r="U2052" s="2" t="s">
        <v>39</v>
      </c>
      <c r="V2052" s="2" t="s">
        <v>39</v>
      </c>
      <c r="W2052" s="2" t="s">
        <v>38</v>
      </c>
      <c r="X2052" s="2" t="s">
        <v>39</v>
      </c>
      <c r="Y2052" s="2" t="s">
        <v>39</v>
      </c>
      <c r="Z2052" s="2" t="s">
        <v>38</v>
      </c>
      <c r="AA2052" s="2" t="s">
        <v>39</v>
      </c>
      <c r="AB2052" s="2" t="s">
        <v>39</v>
      </c>
      <c r="AC2052" s="2" t="s">
        <v>38</v>
      </c>
      <c r="AD2052" s="2" t="s">
        <v>39</v>
      </c>
      <c r="AE2052" s="2" t="s">
        <v>39</v>
      </c>
    </row>
    <row r="2053" spans="1:31" ht="409.5">
      <c r="A2053" s="2">
        <v>2725869</v>
      </c>
      <c r="B2053" s="2">
        <f>HYPERLINK("https://platform.v2.vetology.net/cases/2725869/screening-report/1?type=pdf&amp;v=v6&amp;scorecard=1&amp;secret_key=BX%25IJ%24%2F65ieZ%29f6", 2725869)</f>
        <v>2725869</v>
      </c>
      <c r="C2053" s="2">
        <f>HYPERLINK("https://platform.v2.vetology.net/report/v/final/"&amp;2725869, 2725869)</f>
        <v>2725869</v>
      </c>
      <c r="D2053" s="2" t="s">
        <v>6611</v>
      </c>
      <c r="E2053" s="2" t="s">
        <v>6612</v>
      </c>
      <c r="F2053" s="2" t="s">
        <v>851</v>
      </c>
      <c r="G2053" s="2" t="s">
        <v>111</v>
      </c>
      <c r="H2053" s="2" t="s">
        <v>6613</v>
      </c>
      <c r="I2053" s="2" t="s">
        <v>36</v>
      </c>
      <c r="J2053" s="2" t="s">
        <v>37</v>
      </c>
      <c r="K2053" s="2" t="s">
        <v>38</v>
      </c>
      <c r="L2053" s="2" t="s">
        <v>38</v>
      </c>
      <c r="M2053" s="2" t="s">
        <v>38</v>
      </c>
      <c r="N2053" s="2" t="s">
        <v>38</v>
      </c>
      <c r="O2053" s="2" t="s">
        <v>38</v>
      </c>
      <c r="P2053" s="2" t="s">
        <v>39</v>
      </c>
      <c r="Q2053" s="2" t="s">
        <v>39</v>
      </c>
      <c r="R2053" s="2" t="s">
        <v>38</v>
      </c>
      <c r="S2053" s="2" t="s">
        <v>38</v>
      </c>
      <c r="T2053" s="2" t="s">
        <v>39</v>
      </c>
      <c r="U2053" s="2" t="s">
        <v>38</v>
      </c>
      <c r="V2053" s="2" t="s">
        <v>38</v>
      </c>
      <c r="W2053" s="2" t="s">
        <v>39</v>
      </c>
      <c r="X2053" s="2" t="s">
        <v>39</v>
      </c>
      <c r="Y2053" s="2" t="s">
        <v>39</v>
      </c>
      <c r="Z2053" s="2" t="s">
        <v>38</v>
      </c>
      <c r="AA2053" s="2" t="s">
        <v>38</v>
      </c>
      <c r="AB2053" s="2" t="s">
        <v>39</v>
      </c>
      <c r="AC2053" s="2" t="s">
        <v>38</v>
      </c>
      <c r="AD2053" s="2" t="s">
        <v>38</v>
      </c>
      <c r="AE2053" s="2" t="s">
        <v>39</v>
      </c>
    </row>
    <row r="2054" spans="1:31" ht="409.5">
      <c r="A2054" s="2">
        <v>2725761</v>
      </c>
      <c r="B2054" s="2">
        <f>HYPERLINK("https://platform.v2.vetology.net/cases/2725761/screening-report/1?type=pdf&amp;v=v6&amp;scorecard=1&amp;secret_key=BX%25IJ%24%2F65ieZ%29f6", 2725761)</f>
        <v>2725761</v>
      </c>
      <c r="C2054" s="2">
        <f>HYPERLINK("https://platform.v2.vetology.net/report/v/final/"&amp;2725761, 2725761)</f>
        <v>2725761</v>
      </c>
      <c r="D2054" s="2" t="s">
        <v>6614</v>
      </c>
      <c r="E2054" s="2" t="s">
        <v>6615</v>
      </c>
      <c r="F2054" s="2" t="s">
        <v>6616</v>
      </c>
      <c r="G2054" s="2" t="s">
        <v>127</v>
      </c>
      <c r="H2054" s="2" t="s">
        <v>6617</v>
      </c>
      <c r="I2054" s="2" t="s">
        <v>257</v>
      </c>
      <c r="J2054" s="2" t="s">
        <v>74</v>
      </c>
      <c r="K2054" s="2" t="s">
        <v>38</v>
      </c>
      <c r="L2054" s="2" t="s">
        <v>38</v>
      </c>
      <c r="M2054" s="2" t="s">
        <v>38</v>
      </c>
      <c r="N2054" s="2" t="s">
        <v>38</v>
      </c>
      <c r="O2054" s="2" t="s">
        <v>38</v>
      </c>
      <c r="P2054" s="2" t="s">
        <v>38</v>
      </c>
      <c r="Q2054" s="2" t="s">
        <v>38</v>
      </c>
      <c r="R2054" s="2" t="s">
        <v>38</v>
      </c>
      <c r="S2054" s="2" t="s">
        <v>38</v>
      </c>
      <c r="T2054" s="2" t="s">
        <v>38</v>
      </c>
      <c r="U2054" s="2" t="s">
        <v>38</v>
      </c>
      <c r="V2054" s="2" t="s">
        <v>38</v>
      </c>
      <c r="W2054" s="2" t="s">
        <v>38</v>
      </c>
      <c r="X2054" s="2" t="s">
        <v>38</v>
      </c>
      <c r="Y2054" s="2" t="s">
        <v>38</v>
      </c>
      <c r="Z2054" s="2" t="s">
        <v>38</v>
      </c>
      <c r="AA2054" s="2" t="s">
        <v>38</v>
      </c>
      <c r="AB2054" s="2" t="s">
        <v>38</v>
      </c>
      <c r="AC2054" s="2" t="s">
        <v>38</v>
      </c>
      <c r="AD2054" s="2" t="s">
        <v>38</v>
      </c>
      <c r="AE2054" s="2" t="s">
        <v>40</v>
      </c>
    </row>
    <row r="2055" spans="1:31" ht="409.5">
      <c r="A2055" s="2">
        <v>2725757</v>
      </c>
      <c r="B2055" s="2">
        <f>HYPERLINK("https://platform.v2.vetology.net/cases/2725757/screening-report/1?type=pdf&amp;v=v6&amp;scorecard=1&amp;secret_key=BX%25IJ%24%2F65ieZ%29f6", 2725757)</f>
        <v>2725757</v>
      </c>
      <c r="C2055" s="2">
        <f>HYPERLINK("https://platform.v2.vetology.net/report/v/final/"&amp;2725757, 2725757)</f>
        <v>2725757</v>
      </c>
      <c r="D2055" s="2" t="s">
        <v>6618</v>
      </c>
      <c r="E2055" s="2" t="s">
        <v>6619</v>
      </c>
      <c r="F2055" s="2" t="s">
        <v>43</v>
      </c>
      <c r="G2055" s="2" t="s">
        <v>44</v>
      </c>
      <c r="H2055" s="2" t="s">
        <v>6620</v>
      </c>
      <c r="I2055" s="2" t="s">
        <v>73</v>
      </c>
      <c r="J2055" s="2" t="s">
        <v>74</v>
      </c>
      <c r="K2055" s="2" t="s">
        <v>38</v>
      </c>
      <c r="L2055" s="2" t="s">
        <v>38</v>
      </c>
      <c r="M2055" s="2" t="s">
        <v>38</v>
      </c>
      <c r="N2055" s="2" t="s">
        <v>38</v>
      </c>
      <c r="O2055" s="2" t="s">
        <v>38</v>
      </c>
      <c r="P2055" s="2" t="s">
        <v>38</v>
      </c>
      <c r="Q2055" s="2" t="s">
        <v>38</v>
      </c>
      <c r="R2055" s="2" t="s">
        <v>39</v>
      </c>
      <c r="S2055" s="2" t="s">
        <v>38</v>
      </c>
      <c r="T2055" s="2" t="s">
        <v>38</v>
      </c>
      <c r="U2055" s="2" t="s">
        <v>38</v>
      </c>
      <c r="V2055" s="2" t="s">
        <v>38</v>
      </c>
      <c r="W2055" s="2" t="s">
        <v>38</v>
      </c>
      <c r="X2055" s="2" t="s">
        <v>38</v>
      </c>
      <c r="Y2055" s="2" t="s">
        <v>38</v>
      </c>
      <c r="Z2055" s="2" t="s">
        <v>38</v>
      </c>
      <c r="AA2055" s="2" t="s">
        <v>38</v>
      </c>
      <c r="AB2055" s="2" t="s">
        <v>38</v>
      </c>
      <c r="AC2055" s="2" t="s">
        <v>38</v>
      </c>
      <c r="AD2055" s="2" t="s">
        <v>39</v>
      </c>
      <c r="AE2055" s="2" t="s">
        <v>40</v>
      </c>
    </row>
    <row r="2056" spans="1:31" ht="409.5">
      <c r="A2056" s="2">
        <v>2725743</v>
      </c>
      <c r="B2056" s="2">
        <f>HYPERLINK("https://platform.v2.vetology.net/cases/2725743/screening-report/1?type=pdf&amp;v=v6&amp;scorecard=1&amp;secret_key=BX%25IJ%24%2F65ieZ%29f6", 2725743)</f>
        <v>2725743</v>
      </c>
      <c r="C2056" s="2">
        <f>HYPERLINK("https://platform.v2.vetology.net/report/v/final/"&amp;2725743, 2725743)</f>
        <v>2725743</v>
      </c>
      <c r="D2056" s="2" t="s">
        <v>6621</v>
      </c>
      <c r="E2056" s="2" t="s">
        <v>6622</v>
      </c>
      <c r="F2056" s="2" t="s">
        <v>6623</v>
      </c>
      <c r="G2056" s="2" t="s">
        <v>81</v>
      </c>
      <c r="H2056" s="2" t="s">
        <v>69</v>
      </c>
      <c r="I2056" s="2" t="s">
        <v>46</v>
      </c>
      <c r="J2056" s="2"/>
      <c r="K2056" s="2" t="s">
        <v>39</v>
      </c>
      <c r="L2056" s="2" t="s">
        <v>39</v>
      </c>
      <c r="M2056" s="2" t="s">
        <v>39</v>
      </c>
      <c r="N2056" s="2" t="s">
        <v>39</v>
      </c>
      <c r="O2056" s="2" t="s">
        <v>39</v>
      </c>
      <c r="P2056" s="2" t="s">
        <v>39</v>
      </c>
      <c r="Q2056" s="2" t="s">
        <v>39</v>
      </c>
      <c r="R2056" s="2" t="s">
        <v>39</v>
      </c>
      <c r="S2056" s="2" t="s">
        <v>39</v>
      </c>
      <c r="T2056" s="2" t="s">
        <v>39</v>
      </c>
      <c r="U2056" s="2" t="s">
        <v>39</v>
      </c>
      <c r="V2056" s="2" t="s">
        <v>39</v>
      </c>
      <c r="W2056" s="2" t="s">
        <v>39</v>
      </c>
      <c r="X2056" s="2" t="s">
        <v>39</v>
      </c>
      <c r="Y2056" s="2" t="s">
        <v>39</v>
      </c>
      <c r="Z2056" s="2" t="s">
        <v>39</v>
      </c>
      <c r="AA2056" s="2" t="s">
        <v>39</v>
      </c>
      <c r="AB2056" s="2" t="s">
        <v>39</v>
      </c>
      <c r="AC2056" s="2" t="s">
        <v>39</v>
      </c>
      <c r="AD2056" s="2" t="s">
        <v>39</v>
      </c>
      <c r="AE2056" s="2" t="s">
        <v>40</v>
      </c>
    </row>
    <row r="2057" spans="1:31" ht="409.5">
      <c r="A2057" s="2">
        <v>2725710</v>
      </c>
      <c r="B2057" s="2">
        <f>HYPERLINK("https://platform.v2.vetology.net/cases/2725710/screening-report/1?type=pdf&amp;v=v6&amp;scorecard=1&amp;secret_key=BX%25IJ%24%2F65ieZ%29f6", 2725710)</f>
        <v>2725710</v>
      </c>
      <c r="C2057" s="2">
        <f>HYPERLINK("https://platform.v2.vetology.net/report/v/final/"&amp;2725710, 2725710)</f>
        <v>2725710</v>
      </c>
      <c r="D2057" s="2" t="s">
        <v>6624</v>
      </c>
      <c r="E2057" s="2" t="s">
        <v>6625</v>
      </c>
      <c r="F2057" s="2" t="s">
        <v>43</v>
      </c>
      <c r="G2057" s="2" t="s">
        <v>507</v>
      </c>
      <c r="H2057" s="2" t="s">
        <v>515</v>
      </c>
      <c r="I2057" s="2" t="s">
        <v>36</v>
      </c>
      <c r="J2057" s="2" t="s">
        <v>37</v>
      </c>
      <c r="K2057" s="2" t="s">
        <v>39</v>
      </c>
      <c r="L2057" s="2" t="s">
        <v>39</v>
      </c>
      <c r="M2057" s="2" t="s">
        <v>38</v>
      </c>
      <c r="N2057" s="2" t="s">
        <v>39</v>
      </c>
      <c r="O2057" s="2" t="s">
        <v>39</v>
      </c>
      <c r="P2057" s="2" t="s">
        <v>39</v>
      </c>
      <c r="Q2057" s="2" t="s">
        <v>39</v>
      </c>
      <c r="R2057" s="2" t="s">
        <v>39</v>
      </c>
      <c r="S2057" s="2" t="s">
        <v>39</v>
      </c>
      <c r="T2057" s="2" t="s">
        <v>38</v>
      </c>
      <c r="U2057" s="2" t="s">
        <v>39</v>
      </c>
      <c r="V2057" s="2" t="s">
        <v>39</v>
      </c>
      <c r="W2057" s="2" t="s">
        <v>38</v>
      </c>
      <c r="X2057" s="2" t="s">
        <v>39</v>
      </c>
      <c r="Y2057" s="2" t="s">
        <v>39</v>
      </c>
      <c r="Z2057" s="2" t="s">
        <v>39</v>
      </c>
      <c r="AA2057" s="2" t="s">
        <v>39</v>
      </c>
      <c r="AB2057" s="2" t="s">
        <v>39</v>
      </c>
      <c r="AC2057" s="2" t="s">
        <v>38</v>
      </c>
      <c r="AD2057" s="2" t="s">
        <v>38</v>
      </c>
      <c r="AE2057" s="2" t="s">
        <v>39</v>
      </c>
    </row>
    <row r="2058" spans="1:31" ht="409.5">
      <c r="A2058" s="2">
        <v>2725696</v>
      </c>
      <c r="B2058" s="2">
        <f>HYPERLINK("https://platform.v2.vetology.net/cases/2725696/screening-report/1?type=pdf&amp;v=v6&amp;scorecard=1&amp;secret_key=BX%25IJ%24%2F65ieZ%29f6", 2725696)</f>
        <v>2725696</v>
      </c>
      <c r="C2058" s="2">
        <f>HYPERLINK("https://platform.v2.vetology.net/report/v/final/"&amp;2725696, 2725696)</f>
        <v>2725696</v>
      </c>
      <c r="D2058" s="2" t="s">
        <v>6626</v>
      </c>
      <c r="E2058" s="2" t="s">
        <v>6627</v>
      </c>
      <c r="F2058" s="2" t="s">
        <v>6628</v>
      </c>
      <c r="G2058" s="2" t="s">
        <v>44</v>
      </c>
      <c r="H2058" s="2" t="s">
        <v>6629</v>
      </c>
      <c r="I2058" s="2" t="s">
        <v>129</v>
      </c>
      <c r="J2058" s="2" t="s">
        <v>74</v>
      </c>
      <c r="K2058" s="2" t="s">
        <v>39</v>
      </c>
      <c r="L2058" s="2" t="s">
        <v>38</v>
      </c>
      <c r="M2058" s="2" t="s">
        <v>39</v>
      </c>
      <c r="N2058" s="2" t="s">
        <v>39</v>
      </c>
      <c r="O2058" s="2" t="s">
        <v>38</v>
      </c>
      <c r="P2058" s="2" t="s">
        <v>38</v>
      </c>
      <c r="Q2058" s="2" t="s">
        <v>38</v>
      </c>
      <c r="R2058" s="2" t="s">
        <v>38</v>
      </c>
      <c r="S2058" s="2" t="s">
        <v>38</v>
      </c>
      <c r="T2058" s="2" t="s">
        <v>38</v>
      </c>
      <c r="U2058" s="2" t="s">
        <v>39</v>
      </c>
      <c r="V2058" s="2" t="s">
        <v>39</v>
      </c>
      <c r="W2058" s="2" t="s">
        <v>38</v>
      </c>
      <c r="X2058" s="2" t="s">
        <v>39</v>
      </c>
      <c r="Y2058" s="2" t="s">
        <v>39</v>
      </c>
      <c r="Z2058" s="2" t="s">
        <v>38</v>
      </c>
      <c r="AA2058" s="2" t="s">
        <v>39</v>
      </c>
      <c r="AB2058" s="2" t="s">
        <v>39</v>
      </c>
      <c r="AC2058" s="2" t="s">
        <v>38</v>
      </c>
      <c r="AD2058" s="2" t="s">
        <v>39</v>
      </c>
      <c r="AE2058" s="2" t="s">
        <v>39</v>
      </c>
    </row>
    <row r="2059" spans="1:31" ht="409.5">
      <c r="A2059" s="2">
        <v>2725692</v>
      </c>
      <c r="B2059" s="2">
        <f>HYPERLINK("https://platform.v2.vetology.net/cases/2725692/screening-report/1?type=pdf&amp;v=v6&amp;scorecard=1&amp;secret_key=BX%25IJ%24%2F65ieZ%29f6", 2725692)</f>
        <v>2725692</v>
      </c>
      <c r="C2059" s="2">
        <f>HYPERLINK("https://platform.v2.vetology.net/report/v/final/"&amp;2725692, 2725692)</f>
        <v>2725692</v>
      </c>
      <c r="D2059" s="2" t="s">
        <v>6630</v>
      </c>
      <c r="E2059" s="2" t="s">
        <v>6631</v>
      </c>
      <c r="F2059" s="2" t="s">
        <v>43</v>
      </c>
      <c r="G2059" s="2" t="s">
        <v>44</v>
      </c>
      <c r="H2059" s="2" t="s">
        <v>6632</v>
      </c>
      <c r="I2059" s="2" t="s">
        <v>36</v>
      </c>
      <c r="J2059" s="2" t="s">
        <v>37</v>
      </c>
      <c r="K2059" s="2" t="s">
        <v>39</v>
      </c>
      <c r="L2059" s="2" t="s">
        <v>38</v>
      </c>
      <c r="M2059" s="2" t="s">
        <v>38</v>
      </c>
      <c r="N2059" s="2" t="s">
        <v>38</v>
      </c>
      <c r="O2059" s="2" t="s">
        <v>38</v>
      </c>
      <c r="P2059" s="2" t="s">
        <v>38</v>
      </c>
      <c r="Q2059" s="2" t="s">
        <v>39</v>
      </c>
      <c r="R2059" s="2" t="s">
        <v>39</v>
      </c>
      <c r="S2059" s="2" t="s">
        <v>38</v>
      </c>
      <c r="T2059" s="2" t="s">
        <v>38</v>
      </c>
      <c r="U2059" s="2" t="s">
        <v>39</v>
      </c>
      <c r="V2059" s="2" t="s">
        <v>38</v>
      </c>
      <c r="W2059" s="2" t="s">
        <v>38</v>
      </c>
      <c r="X2059" s="2" t="s">
        <v>39</v>
      </c>
      <c r="Y2059" s="2" t="s">
        <v>39</v>
      </c>
      <c r="Z2059" s="2" t="s">
        <v>38</v>
      </c>
      <c r="AA2059" s="2" t="s">
        <v>38</v>
      </c>
      <c r="AB2059" s="2" t="s">
        <v>39</v>
      </c>
      <c r="AC2059" s="2" t="s">
        <v>38</v>
      </c>
      <c r="AD2059" s="2" t="s">
        <v>38</v>
      </c>
      <c r="AE2059" s="2" t="s">
        <v>39</v>
      </c>
    </row>
    <row r="2060" spans="1:31" ht="409.5">
      <c r="A2060" s="2">
        <v>2725680</v>
      </c>
      <c r="B2060" s="2">
        <f>HYPERLINK("https://platform.v2.vetology.net/cases/2725680/screening-report/1?type=pdf&amp;v=v6&amp;scorecard=1&amp;secret_key=BX%25IJ%24%2F65ieZ%29f6", 2725680)</f>
        <v>2725680</v>
      </c>
      <c r="C2060" s="2">
        <f>HYPERLINK("https://platform.v2.vetology.net/report/v/final/"&amp;2725680, 2725680)</f>
        <v>2725680</v>
      </c>
      <c r="D2060" s="2" t="s">
        <v>6633</v>
      </c>
      <c r="E2060" s="2" t="s">
        <v>6634</v>
      </c>
      <c r="F2060" s="2" t="s">
        <v>43</v>
      </c>
      <c r="G2060" s="2" t="s">
        <v>100</v>
      </c>
      <c r="H2060" s="2" t="s">
        <v>828</v>
      </c>
      <c r="I2060" s="2" t="s">
        <v>36</v>
      </c>
      <c r="J2060" s="2" t="s">
        <v>37</v>
      </c>
      <c r="K2060" s="2" t="s">
        <v>39</v>
      </c>
      <c r="L2060" s="2" t="s">
        <v>38</v>
      </c>
      <c r="M2060" s="2" t="s">
        <v>39</v>
      </c>
      <c r="N2060" s="2" t="s">
        <v>39</v>
      </c>
      <c r="O2060" s="2" t="s">
        <v>38</v>
      </c>
      <c r="P2060" s="2" t="s">
        <v>39</v>
      </c>
      <c r="Q2060" s="2" t="s">
        <v>39</v>
      </c>
      <c r="R2060" s="2" t="s">
        <v>39</v>
      </c>
      <c r="S2060" s="2" t="s">
        <v>39</v>
      </c>
      <c r="T2060" s="2" t="s">
        <v>38</v>
      </c>
      <c r="U2060" s="2" t="s">
        <v>39</v>
      </c>
      <c r="V2060" s="2" t="s">
        <v>38</v>
      </c>
      <c r="W2060" s="2" t="s">
        <v>39</v>
      </c>
      <c r="X2060" s="2" t="s">
        <v>39</v>
      </c>
      <c r="Y2060" s="2" t="s">
        <v>39</v>
      </c>
      <c r="Z2060" s="2" t="s">
        <v>39</v>
      </c>
      <c r="AA2060" s="2" t="s">
        <v>39</v>
      </c>
      <c r="AB2060" s="2" t="s">
        <v>39</v>
      </c>
      <c r="AC2060" s="2" t="s">
        <v>39</v>
      </c>
      <c r="AD2060" s="2" t="s">
        <v>38</v>
      </c>
      <c r="AE2060" s="2" t="s">
        <v>39</v>
      </c>
    </row>
    <row r="2061" spans="1:31" ht="409.5">
      <c r="A2061" s="2">
        <v>2725677</v>
      </c>
      <c r="B2061" s="2">
        <f>HYPERLINK("https://platform.v2.vetology.net/cases/2725677/screening-report/1?type=pdf&amp;v=v6&amp;scorecard=1&amp;secret_key=BX%25IJ%24%2F65ieZ%29f6", 2725677)</f>
        <v>2725677</v>
      </c>
      <c r="C2061" s="2">
        <f>HYPERLINK("https://platform.v2.vetology.net/report/v/final/"&amp;2725677, 2725677)</f>
        <v>2725677</v>
      </c>
      <c r="D2061" s="2" t="s">
        <v>6635</v>
      </c>
      <c r="E2061" s="2" t="s">
        <v>854</v>
      </c>
      <c r="F2061" s="2" t="s">
        <v>6636</v>
      </c>
      <c r="G2061" s="2" t="s">
        <v>111</v>
      </c>
      <c r="H2061" s="2" t="s">
        <v>45</v>
      </c>
      <c r="I2061" s="2" t="s">
        <v>46</v>
      </c>
      <c r="J2061" s="2"/>
      <c r="K2061" s="2" t="s">
        <v>39</v>
      </c>
      <c r="L2061" s="2" t="s">
        <v>39</v>
      </c>
      <c r="M2061" s="2" t="s">
        <v>39</v>
      </c>
      <c r="N2061" s="2" t="s">
        <v>39</v>
      </c>
      <c r="O2061" s="2" t="s">
        <v>39</v>
      </c>
      <c r="P2061" s="2" t="s">
        <v>39</v>
      </c>
      <c r="Q2061" s="2" t="s">
        <v>39</v>
      </c>
      <c r="R2061" s="2" t="s">
        <v>38</v>
      </c>
      <c r="S2061" s="2" t="s">
        <v>39</v>
      </c>
      <c r="T2061" s="2" t="s">
        <v>39</v>
      </c>
      <c r="U2061" s="2" t="s">
        <v>39</v>
      </c>
      <c r="V2061" s="2" t="s">
        <v>39</v>
      </c>
      <c r="W2061" s="2" t="s">
        <v>39</v>
      </c>
      <c r="X2061" s="2" t="s">
        <v>39</v>
      </c>
      <c r="Y2061" s="2" t="s">
        <v>39</v>
      </c>
      <c r="Z2061" s="2" t="s">
        <v>39</v>
      </c>
      <c r="AA2061" s="2" t="s">
        <v>39</v>
      </c>
      <c r="AB2061" s="2" t="s">
        <v>39</v>
      </c>
      <c r="AC2061" s="2" t="s">
        <v>38</v>
      </c>
      <c r="AD2061" s="2" t="s">
        <v>38</v>
      </c>
      <c r="AE2061" s="2" t="s">
        <v>39</v>
      </c>
    </row>
    <row r="2062" spans="1:31" ht="409.5">
      <c r="A2062" s="2">
        <v>2725642</v>
      </c>
      <c r="B2062" s="2">
        <f>HYPERLINK("https://platform.v2.vetology.net/cases/2725642/screening-report/1?type=pdf&amp;v=v6&amp;scorecard=1&amp;secret_key=BX%25IJ%24%2F65ieZ%29f6", 2725642)</f>
        <v>2725642</v>
      </c>
      <c r="C2062" s="2">
        <f>HYPERLINK("https://platform.v2.vetology.net/report/v/final/"&amp;2725642, 2725642)</f>
        <v>2725642</v>
      </c>
      <c r="D2062" s="2" t="s">
        <v>6637</v>
      </c>
      <c r="E2062" s="2" t="s">
        <v>6638</v>
      </c>
      <c r="F2062" s="2" t="s">
        <v>43</v>
      </c>
      <c r="G2062" s="2" t="s">
        <v>44</v>
      </c>
      <c r="H2062" s="2" t="s">
        <v>182</v>
      </c>
      <c r="I2062" s="2" t="s">
        <v>46</v>
      </c>
      <c r="J2062" s="2"/>
      <c r="K2062" s="2" t="s">
        <v>38</v>
      </c>
      <c r="L2062" s="2" t="s">
        <v>39</v>
      </c>
      <c r="M2062" s="2" t="s">
        <v>39</v>
      </c>
      <c r="N2062" s="2" t="s">
        <v>39</v>
      </c>
      <c r="O2062" s="2" t="s">
        <v>39</v>
      </c>
      <c r="P2062" s="2" t="s">
        <v>39</v>
      </c>
      <c r="Q2062" s="2" t="s">
        <v>39</v>
      </c>
      <c r="R2062" s="2" t="s">
        <v>38</v>
      </c>
      <c r="S2062" s="2" t="s">
        <v>39</v>
      </c>
      <c r="T2062" s="2" t="s">
        <v>39</v>
      </c>
      <c r="U2062" s="2" t="s">
        <v>39</v>
      </c>
      <c r="V2062" s="2" t="s">
        <v>38</v>
      </c>
      <c r="W2062" s="2" t="s">
        <v>38</v>
      </c>
      <c r="X2062" s="2" t="s">
        <v>39</v>
      </c>
      <c r="Y2062" s="2" t="s">
        <v>39</v>
      </c>
      <c r="Z2062" s="2" t="s">
        <v>39</v>
      </c>
      <c r="AA2062" s="2" t="s">
        <v>39</v>
      </c>
      <c r="AB2062" s="2" t="s">
        <v>39</v>
      </c>
      <c r="AC2062" s="2" t="s">
        <v>38</v>
      </c>
      <c r="AD2062" s="2" t="s">
        <v>38</v>
      </c>
      <c r="AE2062" s="2" t="s">
        <v>39</v>
      </c>
    </row>
    <row r="2063" spans="1:31" ht="409.5">
      <c r="A2063" s="2">
        <v>2725631</v>
      </c>
      <c r="B2063" s="2">
        <f>HYPERLINK("https://platform.v2.vetology.net/cases/2725631/screening-report/1?type=pdf&amp;v=v6&amp;scorecard=1&amp;secret_key=BX%25IJ%24%2F65ieZ%29f6", 2725631)</f>
        <v>2725631</v>
      </c>
      <c r="C2063" s="2">
        <f>HYPERLINK("https://platform.v2.vetology.net/report/v/final/"&amp;2725631, 2725631)</f>
        <v>2725631</v>
      </c>
      <c r="D2063" s="2" t="s">
        <v>6639</v>
      </c>
      <c r="E2063" s="2" t="s">
        <v>6640</v>
      </c>
      <c r="F2063" s="2" t="s">
        <v>6641</v>
      </c>
      <c r="G2063" s="2" t="s">
        <v>127</v>
      </c>
      <c r="H2063" s="2" t="s">
        <v>419</v>
      </c>
      <c r="I2063" s="2" t="s">
        <v>36</v>
      </c>
      <c r="J2063" s="2" t="s">
        <v>37</v>
      </c>
      <c r="K2063" s="2" t="s">
        <v>39</v>
      </c>
      <c r="L2063" s="2" t="s">
        <v>39</v>
      </c>
      <c r="M2063" s="2" t="s">
        <v>38</v>
      </c>
      <c r="N2063" s="2" t="s">
        <v>39</v>
      </c>
      <c r="O2063" s="2" t="s">
        <v>39</v>
      </c>
      <c r="P2063" s="2" t="s">
        <v>39</v>
      </c>
      <c r="Q2063" s="2" t="s">
        <v>39</v>
      </c>
      <c r="R2063" s="2" t="s">
        <v>38</v>
      </c>
      <c r="S2063" s="2" t="s">
        <v>39</v>
      </c>
      <c r="T2063" s="2" t="s">
        <v>39</v>
      </c>
      <c r="U2063" s="2" t="s">
        <v>39</v>
      </c>
      <c r="V2063" s="2" t="s">
        <v>39</v>
      </c>
      <c r="W2063" s="2" t="s">
        <v>39</v>
      </c>
      <c r="X2063" s="2" t="s">
        <v>39</v>
      </c>
      <c r="Y2063" s="2" t="s">
        <v>39</v>
      </c>
      <c r="Z2063" s="2" t="s">
        <v>39</v>
      </c>
      <c r="AA2063" s="2" t="s">
        <v>39</v>
      </c>
      <c r="AB2063" s="2" t="s">
        <v>39</v>
      </c>
      <c r="AC2063" s="2" t="s">
        <v>38</v>
      </c>
      <c r="AD2063" s="2" t="s">
        <v>38</v>
      </c>
      <c r="AE2063" s="2" t="s">
        <v>40</v>
      </c>
    </row>
    <row r="2064" spans="1:31" ht="409.5">
      <c r="A2064" s="2">
        <v>2725623</v>
      </c>
      <c r="B2064" s="2">
        <f>HYPERLINK("https://platform.v2.vetology.net/cases/2725623/screening-report/1?type=pdf&amp;v=v6&amp;scorecard=1&amp;secret_key=BX%25IJ%24%2F65ieZ%29f6", 2725623)</f>
        <v>2725623</v>
      </c>
      <c r="C2064" s="2">
        <f>HYPERLINK("https://platform.v2.vetology.net/report/v/final/"&amp;2725623, 2725623)</f>
        <v>2725623</v>
      </c>
      <c r="D2064" s="2" t="s">
        <v>6642</v>
      </c>
      <c r="E2064" s="2" t="s">
        <v>6643</v>
      </c>
      <c r="F2064" s="2" t="s">
        <v>6644</v>
      </c>
      <c r="G2064" s="2" t="s">
        <v>556</v>
      </c>
      <c r="H2064" s="2" t="s">
        <v>1846</v>
      </c>
      <c r="I2064" s="2" t="s">
        <v>36</v>
      </c>
      <c r="J2064" s="2" t="s">
        <v>37</v>
      </c>
      <c r="K2064" s="2" t="s">
        <v>39</v>
      </c>
      <c r="L2064" s="2" t="s">
        <v>38</v>
      </c>
      <c r="M2064" s="2" t="s">
        <v>38</v>
      </c>
      <c r="N2064" s="2" t="s">
        <v>39</v>
      </c>
      <c r="O2064" s="2" t="s">
        <v>39</v>
      </c>
      <c r="P2064" s="2" t="s">
        <v>39</v>
      </c>
      <c r="Q2064" s="2" t="s">
        <v>39</v>
      </c>
      <c r="R2064" s="2" t="s">
        <v>38</v>
      </c>
      <c r="S2064" s="2" t="s">
        <v>38</v>
      </c>
      <c r="T2064" s="2" t="s">
        <v>39</v>
      </c>
      <c r="U2064" s="2" t="s">
        <v>39</v>
      </c>
      <c r="V2064" s="2" t="s">
        <v>39</v>
      </c>
      <c r="W2064" s="2" t="s">
        <v>38</v>
      </c>
      <c r="X2064" s="2" t="s">
        <v>39</v>
      </c>
      <c r="Y2064" s="2" t="s">
        <v>39</v>
      </c>
      <c r="Z2064" s="2" t="s">
        <v>38</v>
      </c>
      <c r="AA2064" s="2" t="s">
        <v>39</v>
      </c>
      <c r="AB2064" s="2" t="s">
        <v>39</v>
      </c>
      <c r="AC2064" s="2" t="s">
        <v>38</v>
      </c>
      <c r="AD2064" s="2" t="s">
        <v>38</v>
      </c>
      <c r="AE2064" s="2" t="s">
        <v>39</v>
      </c>
    </row>
    <row r="2065" spans="1:31" ht="409.5">
      <c r="A2065" s="2">
        <v>2725622</v>
      </c>
      <c r="B2065" s="2">
        <f>HYPERLINK("https://platform.v2.vetology.net/cases/2725622/screening-report/1?type=pdf&amp;v=v6&amp;scorecard=1&amp;secret_key=BX%25IJ%24%2F65ieZ%29f6", 2725622)</f>
        <v>2725622</v>
      </c>
      <c r="C2065" s="2">
        <f>HYPERLINK("https://platform.v2.vetology.net/report/v/final/"&amp;2725622, 2725622)</f>
        <v>2725622</v>
      </c>
      <c r="D2065" s="2" t="s">
        <v>6645</v>
      </c>
      <c r="E2065" s="2" t="s">
        <v>6646</v>
      </c>
      <c r="F2065" s="2" t="s">
        <v>43</v>
      </c>
      <c r="G2065" s="2" t="s">
        <v>44</v>
      </c>
      <c r="H2065" s="2" t="s">
        <v>6647</v>
      </c>
      <c r="I2065" s="2" t="s">
        <v>36</v>
      </c>
      <c r="J2065" s="2" t="s">
        <v>37</v>
      </c>
      <c r="K2065" s="2" t="s">
        <v>39</v>
      </c>
      <c r="L2065" s="2" t="s">
        <v>38</v>
      </c>
      <c r="M2065" s="2" t="s">
        <v>38</v>
      </c>
      <c r="N2065" s="2" t="s">
        <v>38</v>
      </c>
      <c r="O2065" s="2" t="s">
        <v>38</v>
      </c>
      <c r="P2065" s="2" t="s">
        <v>38</v>
      </c>
      <c r="Q2065" s="2" t="s">
        <v>39</v>
      </c>
      <c r="R2065" s="2" t="s">
        <v>39</v>
      </c>
      <c r="S2065" s="2" t="s">
        <v>39</v>
      </c>
      <c r="T2065" s="2" t="s">
        <v>39</v>
      </c>
      <c r="U2065" s="2" t="s">
        <v>38</v>
      </c>
      <c r="V2065" s="2" t="s">
        <v>38</v>
      </c>
      <c r="W2065" s="2" t="s">
        <v>38</v>
      </c>
      <c r="X2065" s="2" t="s">
        <v>39</v>
      </c>
      <c r="Y2065" s="2" t="s">
        <v>39</v>
      </c>
      <c r="Z2065" s="2" t="s">
        <v>38</v>
      </c>
      <c r="AA2065" s="2" t="s">
        <v>38</v>
      </c>
      <c r="AB2065" s="2" t="s">
        <v>39</v>
      </c>
      <c r="AC2065" s="2" t="s">
        <v>38</v>
      </c>
      <c r="AD2065" s="2" t="s">
        <v>38</v>
      </c>
      <c r="AE2065" s="2" t="s">
        <v>39</v>
      </c>
    </row>
    <row r="2066" spans="1:31" ht="409.5">
      <c r="A2066" s="2">
        <v>2725618</v>
      </c>
      <c r="B2066" s="2">
        <f>HYPERLINK("https://platform.v2.vetology.net/cases/2725618/screening-report/1?type=pdf&amp;v=v6&amp;scorecard=1&amp;secret_key=BX%25IJ%24%2F65ieZ%29f6", 2725618)</f>
        <v>2725618</v>
      </c>
      <c r="C2066" s="2">
        <f>HYPERLINK("https://platform.v2.vetology.net/report/v/final/"&amp;2725618, 2725618)</f>
        <v>2725618</v>
      </c>
      <c r="D2066" s="2" t="s">
        <v>6648</v>
      </c>
      <c r="E2066" s="2" t="s">
        <v>6649</v>
      </c>
      <c r="F2066" s="2" t="s">
        <v>43</v>
      </c>
      <c r="G2066" s="2" t="s">
        <v>44</v>
      </c>
      <c r="H2066" s="2" t="s">
        <v>6650</v>
      </c>
      <c r="I2066" s="2" t="s">
        <v>36</v>
      </c>
      <c r="J2066" s="2" t="s">
        <v>37</v>
      </c>
      <c r="K2066" s="2" t="s">
        <v>38</v>
      </c>
      <c r="L2066" s="2" t="s">
        <v>38</v>
      </c>
      <c r="M2066" s="2" t="s">
        <v>38</v>
      </c>
      <c r="N2066" s="2" t="s">
        <v>38</v>
      </c>
      <c r="O2066" s="2" t="s">
        <v>38</v>
      </c>
      <c r="P2066" s="2" t="s">
        <v>39</v>
      </c>
      <c r="Q2066" s="2" t="s">
        <v>39</v>
      </c>
      <c r="R2066" s="2" t="s">
        <v>38</v>
      </c>
      <c r="S2066" s="2" t="s">
        <v>38</v>
      </c>
      <c r="T2066" s="2" t="s">
        <v>38</v>
      </c>
      <c r="U2066" s="2" t="s">
        <v>38</v>
      </c>
      <c r="V2066" s="2" t="s">
        <v>38</v>
      </c>
      <c r="W2066" s="2" t="s">
        <v>38</v>
      </c>
      <c r="X2066" s="2" t="s">
        <v>39</v>
      </c>
      <c r="Y2066" s="2" t="s">
        <v>39</v>
      </c>
      <c r="Z2066" s="2" t="s">
        <v>38</v>
      </c>
      <c r="AA2066" s="2" t="s">
        <v>38</v>
      </c>
      <c r="AB2066" s="2" t="s">
        <v>39</v>
      </c>
      <c r="AC2066" s="2" t="s">
        <v>38</v>
      </c>
      <c r="AD2066" s="2" t="s">
        <v>38</v>
      </c>
      <c r="AE2066" s="2"/>
    </row>
    <row r="2067" spans="1:31" ht="409.5">
      <c r="A2067" s="2">
        <v>2725582</v>
      </c>
      <c r="B2067" s="2">
        <f>HYPERLINK("https://platform.v2.vetology.net/cases/2725582/screening-report/1?type=pdf&amp;v=v6&amp;scorecard=1&amp;secret_key=BX%25IJ%24%2F65ieZ%29f6", 2725582)</f>
        <v>2725582</v>
      </c>
      <c r="C2067" s="2">
        <f>HYPERLINK("https://platform.v2.vetology.net/report/v/final/"&amp;2725582, 2725582)</f>
        <v>2725582</v>
      </c>
      <c r="D2067" s="2" t="s">
        <v>6651</v>
      </c>
      <c r="E2067" s="2" t="s">
        <v>6652</v>
      </c>
      <c r="F2067" s="2" t="s">
        <v>6653</v>
      </c>
      <c r="G2067" s="2" t="s">
        <v>127</v>
      </c>
      <c r="H2067" s="2" t="s">
        <v>6654</v>
      </c>
      <c r="I2067" s="2" t="s">
        <v>36</v>
      </c>
      <c r="J2067" s="2" t="s">
        <v>37</v>
      </c>
      <c r="K2067" s="2" t="s">
        <v>38</v>
      </c>
      <c r="L2067" s="2" t="s">
        <v>39</v>
      </c>
      <c r="M2067" s="2" t="s">
        <v>38</v>
      </c>
      <c r="N2067" s="2" t="s">
        <v>39</v>
      </c>
      <c r="O2067" s="2" t="s">
        <v>38</v>
      </c>
      <c r="P2067" s="2" t="s">
        <v>39</v>
      </c>
      <c r="Q2067" s="2" t="s">
        <v>39</v>
      </c>
      <c r="R2067" s="2" t="s">
        <v>38</v>
      </c>
      <c r="S2067" s="2" t="s">
        <v>38</v>
      </c>
      <c r="T2067" s="2" t="s">
        <v>38</v>
      </c>
      <c r="U2067" s="2" t="s">
        <v>38</v>
      </c>
      <c r="V2067" s="2" t="s">
        <v>38</v>
      </c>
      <c r="W2067" s="2" t="s">
        <v>38</v>
      </c>
      <c r="X2067" s="2" t="s">
        <v>39</v>
      </c>
      <c r="Y2067" s="2" t="s">
        <v>39</v>
      </c>
      <c r="Z2067" s="2" t="s">
        <v>38</v>
      </c>
      <c r="AA2067" s="2" t="s">
        <v>39</v>
      </c>
      <c r="AB2067" s="2" t="s">
        <v>39</v>
      </c>
      <c r="AC2067" s="2" t="s">
        <v>38</v>
      </c>
      <c r="AD2067" s="2" t="s">
        <v>38</v>
      </c>
      <c r="AE2067" s="2" t="s">
        <v>40</v>
      </c>
    </row>
    <row r="2068" spans="1:31" ht="409.5">
      <c r="A2068" s="2">
        <v>2725575</v>
      </c>
      <c r="B2068" s="2">
        <f>HYPERLINK("https://platform.v2.vetology.net/cases/2725575/screening-report/1?type=pdf&amp;v=v6&amp;scorecard=1&amp;secret_key=BX%25IJ%24%2F65ieZ%29f6", 2725575)</f>
        <v>2725575</v>
      </c>
      <c r="C2068" s="2">
        <f>HYPERLINK("https://platform.v2.vetology.net/report/v/final/"&amp;2725575, 2725575)</f>
        <v>2725575</v>
      </c>
      <c r="D2068" s="2" t="s">
        <v>6655</v>
      </c>
      <c r="E2068" s="2" t="s">
        <v>6656</v>
      </c>
      <c r="F2068" s="2" t="s">
        <v>6657</v>
      </c>
      <c r="G2068" s="2" t="s">
        <v>100</v>
      </c>
      <c r="H2068" s="2" t="s">
        <v>6658</v>
      </c>
      <c r="I2068" s="2" t="s">
        <v>36</v>
      </c>
      <c r="J2068" s="2" t="s">
        <v>37</v>
      </c>
      <c r="K2068" s="2" t="s">
        <v>38</v>
      </c>
      <c r="L2068" s="2" t="s">
        <v>38</v>
      </c>
      <c r="M2068" s="2" t="s">
        <v>39</v>
      </c>
      <c r="N2068" s="2" t="s">
        <v>38</v>
      </c>
      <c r="O2068" s="2" t="s">
        <v>39</v>
      </c>
      <c r="P2068" s="2" t="s">
        <v>39</v>
      </c>
      <c r="Q2068" s="2" t="s">
        <v>39</v>
      </c>
      <c r="R2068" s="2" t="s">
        <v>39</v>
      </c>
      <c r="S2068" s="2" t="s">
        <v>39</v>
      </c>
      <c r="T2068" s="2" t="s">
        <v>39</v>
      </c>
      <c r="U2068" s="2" t="s">
        <v>38</v>
      </c>
      <c r="V2068" s="2" t="s">
        <v>38</v>
      </c>
      <c r="W2068" s="2" t="s">
        <v>39</v>
      </c>
      <c r="X2068" s="2" t="s">
        <v>39</v>
      </c>
      <c r="Y2068" s="2" t="s">
        <v>39</v>
      </c>
      <c r="Z2068" s="2" t="s">
        <v>39</v>
      </c>
      <c r="AA2068" s="2" t="s">
        <v>39</v>
      </c>
      <c r="AB2068" s="2" t="s">
        <v>39</v>
      </c>
      <c r="AC2068" s="2" t="s">
        <v>39</v>
      </c>
      <c r="AD2068" s="2" t="s">
        <v>38</v>
      </c>
      <c r="AE2068" s="2" t="s">
        <v>39</v>
      </c>
    </row>
    <row r="2069" spans="1:31" ht="409.5">
      <c r="A2069" s="2">
        <v>2725573</v>
      </c>
      <c r="B2069" s="2">
        <f>HYPERLINK("https://platform.v2.vetology.net/cases/2725573/screening-report/1?type=pdf&amp;v=v6&amp;scorecard=1&amp;secret_key=BX%25IJ%24%2F65ieZ%29f6", 2725573)</f>
        <v>2725573</v>
      </c>
      <c r="C2069" s="2">
        <f>HYPERLINK("https://platform.v2.vetology.net/report/v/final/"&amp;2725573, 2725573)</f>
        <v>2725573</v>
      </c>
      <c r="D2069" s="2" t="s">
        <v>6659</v>
      </c>
      <c r="E2069" s="2" t="s">
        <v>6660</v>
      </c>
      <c r="F2069" s="2" t="s">
        <v>43</v>
      </c>
      <c r="G2069" s="2" t="s">
        <v>44</v>
      </c>
      <c r="H2069" s="2" t="s">
        <v>3564</v>
      </c>
      <c r="I2069" s="2" t="s">
        <v>59</v>
      </c>
      <c r="J2069" s="2" t="s">
        <v>37</v>
      </c>
      <c r="K2069" s="2" t="s">
        <v>38</v>
      </c>
      <c r="L2069" s="2" t="s">
        <v>38</v>
      </c>
      <c r="M2069" s="2" t="s">
        <v>39</v>
      </c>
      <c r="N2069" s="2" t="s">
        <v>39</v>
      </c>
      <c r="O2069" s="2" t="s">
        <v>39</v>
      </c>
      <c r="P2069" s="2" t="s">
        <v>39</v>
      </c>
      <c r="Q2069" s="2" t="s">
        <v>39</v>
      </c>
      <c r="R2069" s="2" t="s">
        <v>39</v>
      </c>
      <c r="S2069" s="2" t="s">
        <v>39</v>
      </c>
      <c r="T2069" s="2" t="s">
        <v>39</v>
      </c>
      <c r="U2069" s="2" t="s">
        <v>38</v>
      </c>
      <c r="V2069" s="2" t="s">
        <v>38</v>
      </c>
      <c r="W2069" s="2" t="s">
        <v>39</v>
      </c>
      <c r="X2069" s="2" t="s">
        <v>39</v>
      </c>
      <c r="Y2069" s="2" t="s">
        <v>39</v>
      </c>
      <c r="Z2069" s="2" t="s">
        <v>39</v>
      </c>
      <c r="AA2069" s="2" t="s">
        <v>39</v>
      </c>
      <c r="AB2069" s="2" t="s">
        <v>39</v>
      </c>
      <c r="AC2069" s="2" t="s">
        <v>38</v>
      </c>
      <c r="AD2069" s="2" t="s">
        <v>38</v>
      </c>
      <c r="AE2069" s="2" t="s">
        <v>39</v>
      </c>
    </row>
    <row r="2070" spans="1:31" ht="409.5">
      <c r="A2070" s="2">
        <v>2725550</v>
      </c>
      <c r="B2070" s="2">
        <f>HYPERLINK("https://platform.v2.vetology.net/cases/2725550/screening-report/1?type=pdf&amp;v=v6&amp;scorecard=1&amp;secret_key=BX%25IJ%24%2F65ieZ%29f6", 2725550)</f>
        <v>2725550</v>
      </c>
      <c r="C2070" s="2">
        <f>HYPERLINK("https://platform.v2.vetology.net/report/v/final/"&amp;2725550, 2725550)</f>
        <v>2725550</v>
      </c>
      <c r="D2070" s="2" t="s">
        <v>6661</v>
      </c>
      <c r="E2070" s="2" t="s">
        <v>6662</v>
      </c>
      <c r="F2070" s="2" t="s">
        <v>6663</v>
      </c>
      <c r="G2070" s="2" t="s">
        <v>53</v>
      </c>
      <c r="H2070" s="2" t="s">
        <v>6664</v>
      </c>
      <c r="I2070" s="2" t="s">
        <v>73</v>
      </c>
      <c r="J2070" s="2" t="s">
        <v>74</v>
      </c>
      <c r="K2070" s="2" t="s">
        <v>38</v>
      </c>
      <c r="L2070" s="2" t="s">
        <v>38</v>
      </c>
      <c r="M2070" s="2" t="s">
        <v>39</v>
      </c>
      <c r="N2070" s="2" t="s">
        <v>38</v>
      </c>
      <c r="O2070" s="2" t="s">
        <v>38</v>
      </c>
      <c r="P2070" s="2" t="s">
        <v>38</v>
      </c>
      <c r="Q2070" s="2" t="s">
        <v>38</v>
      </c>
      <c r="R2070" s="2" t="s">
        <v>38</v>
      </c>
      <c r="S2070" s="2" t="s">
        <v>38</v>
      </c>
      <c r="T2070" s="2" t="s">
        <v>39</v>
      </c>
      <c r="U2070" s="2" t="s">
        <v>38</v>
      </c>
      <c r="V2070" s="2" t="s">
        <v>38</v>
      </c>
      <c r="W2070" s="2" t="s">
        <v>38</v>
      </c>
      <c r="X2070" s="2" t="s">
        <v>38</v>
      </c>
      <c r="Y2070" s="2" t="s">
        <v>38</v>
      </c>
      <c r="Z2070" s="2" t="s">
        <v>39</v>
      </c>
      <c r="AA2070" s="2" t="s">
        <v>38</v>
      </c>
      <c r="AB2070" s="2" t="s">
        <v>38</v>
      </c>
      <c r="AC2070" s="2" t="s">
        <v>38</v>
      </c>
      <c r="AD2070" s="2" t="s">
        <v>39</v>
      </c>
      <c r="AE2070" s="2" t="s">
        <v>40</v>
      </c>
    </row>
    <row r="2071" spans="1:31" ht="409.5">
      <c r="A2071" s="2">
        <v>2725542</v>
      </c>
      <c r="B2071" s="2">
        <f>HYPERLINK("https://platform.v2.vetology.net/cases/2725542/screening-report/1?type=pdf&amp;v=v6&amp;scorecard=1&amp;secret_key=BX%25IJ%24%2F65ieZ%29f6", 2725542)</f>
        <v>2725542</v>
      </c>
      <c r="C2071" s="2">
        <f>HYPERLINK("https://platform.v2.vetology.net/report/v/final/"&amp;2725542, 2725542)</f>
        <v>2725542</v>
      </c>
      <c r="D2071" s="2" t="s">
        <v>6665</v>
      </c>
      <c r="E2071" s="2" t="s">
        <v>6666</v>
      </c>
      <c r="F2071" s="2" t="s">
        <v>6667</v>
      </c>
      <c r="G2071" s="2" t="s">
        <v>53</v>
      </c>
      <c r="H2071" s="2" t="s">
        <v>530</v>
      </c>
      <c r="I2071" s="2" t="s">
        <v>59</v>
      </c>
      <c r="J2071" s="2" t="s">
        <v>37</v>
      </c>
      <c r="K2071" s="2" t="s">
        <v>38</v>
      </c>
      <c r="L2071" s="2" t="s">
        <v>39</v>
      </c>
      <c r="M2071" s="2" t="s">
        <v>39</v>
      </c>
      <c r="N2071" s="2" t="s">
        <v>39</v>
      </c>
      <c r="O2071" s="2" t="s">
        <v>39</v>
      </c>
      <c r="P2071" s="2" t="s">
        <v>39</v>
      </c>
      <c r="Q2071" s="2" t="s">
        <v>39</v>
      </c>
      <c r="R2071" s="2" t="s">
        <v>39</v>
      </c>
      <c r="S2071" s="2" t="s">
        <v>39</v>
      </c>
      <c r="T2071" s="2" t="s">
        <v>39</v>
      </c>
      <c r="U2071" s="2" t="s">
        <v>38</v>
      </c>
      <c r="V2071" s="2" t="s">
        <v>38</v>
      </c>
      <c r="W2071" s="2" t="s">
        <v>39</v>
      </c>
      <c r="X2071" s="2" t="s">
        <v>39</v>
      </c>
      <c r="Y2071" s="2" t="s">
        <v>39</v>
      </c>
      <c r="Z2071" s="2" t="s">
        <v>39</v>
      </c>
      <c r="AA2071" s="2" t="s">
        <v>39</v>
      </c>
      <c r="AB2071" s="2" t="s">
        <v>39</v>
      </c>
      <c r="AC2071" s="2" t="s">
        <v>39</v>
      </c>
      <c r="AD2071" s="2" t="s">
        <v>39</v>
      </c>
      <c r="AE2071" s="2" t="s">
        <v>39</v>
      </c>
    </row>
    <row r="2072" spans="1:31" ht="409.5">
      <c r="A2072" s="2">
        <v>2725530</v>
      </c>
      <c r="B2072" s="2">
        <f>HYPERLINK("https://platform.v2.vetology.net/cases/2725530/screening-report/1?type=pdf&amp;v=v6&amp;scorecard=1&amp;secret_key=BX%25IJ%24%2F65ieZ%29f6", 2725530)</f>
        <v>2725530</v>
      </c>
      <c r="C2072" s="2">
        <f>HYPERLINK("https://platform.v2.vetology.net/report/v/final/"&amp;2725530, 2725530)</f>
        <v>2725530</v>
      </c>
      <c r="D2072" s="2" t="s">
        <v>6668</v>
      </c>
      <c r="E2072" s="2" t="s">
        <v>6669</v>
      </c>
      <c r="F2072" s="2" t="s">
        <v>43</v>
      </c>
      <c r="G2072" s="2" t="s">
        <v>44</v>
      </c>
      <c r="H2072" s="2" t="s">
        <v>1056</v>
      </c>
      <c r="I2072" s="2" t="s">
        <v>59</v>
      </c>
      <c r="J2072" s="2" t="s">
        <v>37</v>
      </c>
      <c r="K2072" s="2" t="s">
        <v>39</v>
      </c>
      <c r="L2072" s="2" t="s">
        <v>39</v>
      </c>
      <c r="M2072" s="2" t="s">
        <v>39</v>
      </c>
      <c r="N2072" s="2" t="s">
        <v>38</v>
      </c>
      <c r="O2072" s="2" t="s">
        <v>39</v>
      </c>
      <c r="P2072" s="2" t="s">
        <v>39</v>
      </c>
      <c r="Q2072" s="2" t="s">
        <v>39</v>
      </c>
      <c r="R2072" s="2" t="s">
        <v>39</v>
      </c>
      <c r="S2072" s="2" t="s">
        <v>39</v>
      </c>
      <c r="T2072" s="2" t="s">
        <v>38</v>
      </c>
      <c r="U2072" s="2" t="s">
        <v>39</v>
      </c>
      <c r="V2072" s="2" t="s">
        <v>39</v>
      </c>
      <c r="W2072" s="2" t="s">
        <v>39</v>
      </c>
      <c r="X2072" s="2" t="s">
        <v>39</v>
      </c>
      <c r="Y2072" s="2" t="s">
        <v>39</v>
      </c>
      <c r="Z2072" s="2" t="s">
        <v>38</v>
      </c>
      <c r="AA2072" s="2" t="s">
        <v>39</v>
      </c>
      <c r="AB2072" s="2" t="s">
        <v>39</v>
      </c>
      <c r="AC2072" s="2" t="s">
        <v>39</v>
      </c>
      <c r="AD2072" s="2" t="s">
        <v>39</v>
      </c>
      <c r="AE2072" s="2" t="s">
        <v>39</v>
      </c>
    </row>
    <row r="2073" spans="1:31" ht="409.5">
      <c r="A2073" s="2">
        <v>2725458</v>
      </c>
      <c r="B2073" s="2">
        <f>HYPERLINK("https://platform.v2.vetology.net/cases/2725458/screening-report/1?type=pdf&amp;v=v6&amp;scorecard=1&amp;secret_key=BX%25IJ%24%2F65ieZ%29f6", 2725458)</f>
        <v>2725458</v>
      </c>
      <c r="C2073" s="2">
        <f>HYPERLINK("https://platform.v2.vetology.net/report/v/final/"&amp;2725458, 2725458)</f>
        <v>2725458</v>
      </c>
      <c r="D2073" s="2" t="s">
        <v>6670</v>
      </c>
      <c r="E2073" s="2" t="s">
        <v>6671</v>
      </c>
      <c r="F2073" s="2" t="s">
        <v>6672</v>
      </c>
      <c r="G2073" s="2" t="s">
        <v>170</v>
      </c>
      <c r="H2073" s="2" t="s">
        <v>69</v>
      </c>
      <c r="I2073" s="2" t="s">
        <v>46</v>
      </c>
      <c r="J2073" s="2"/>
      <c r="K2073" s="2" t="s">
        <v>39</v>
      </c>
      <c r="L2073" s="2" t="s">
        <v>39</v>
      </c>
      <c r="M2073" s="2" t="s">
        <v>39</v>
      </c>
      <c r="N2073" s="2" t="s">
        <v>39</v>
      </c>
      <c r="O2073" s="2" t="s">
        <v>39</v>
      </c>
      <c r="P2073" s="2" t="s">
        <v>39</v>
      </c>
      <c r="Q2073" s="2" t="s">
        <v>39</v>
      </c>
      <c r="R2073" s="2" t="s">
        <v>39</v>
      </c>
      <c r="S2073" s="2" t="s">
        <v>39</v>
      </c>
      <c r="T2073" s="2" t="s">
        <v>39</v>
      </c>
      <c r="U2073" s="2" t="s">
        <v>39</v>
      </c>
      <c r="V2073" s="2" t="s">
        <v>39</v>
      </c>
      <c r="W2073" s="2" t="s">
        <v>39</v>
      </c>
      <c r="X2073" s="2" t="s">
        <v>39</v>
      </c>
      <c r="Y2073" s="2" t="s">
        <v>39</v>
      </c>
      <c r="Z2073" s="2" t="s">
        <v>39</v>
      </c>
      <c r="AA2073" s="2" t="s">
        <v>39</v>
      </c>
      <c r="AB2073" s="2" t="s">
        <v>39</v>
      </c>
      <c r="AC2073" s="2" t="s">
        <v>39</v>
      </c>
      <c r="AD2073" s="2" t="s">
        <v>38</v>
      </c>
      <c r="AE2073" s="2" t="s">
        <v>39</v>
      </c>
    </row>
    <row r="2074" spans="1:31" ht="409.5">
      <c r="A2074" s="2">
        <v>2725453</v>
      </c>
      <c r="B2074" s="2">
        <f>HYPERLINK("https://platform.v2.vetology.net/cases/2725453/screening-report/1?type=pdf&amp;v=v6&amp;scorecard=1&amp;secret_key=BX%25IJ%24%2F65ieZ%29f6", 2725453)</f>
        <v>2725453</v>
      </c>
      <c r="C2074" s="2">
        <f>HYPERLINK("https://platform.v2.vetology.net/report/v/final/"&amp;2725453, 2725453)</f>
        <v>2725453</v>
      </c>
      <c r="D2074" s="2" t="s">
        <v>6673</v>
      </c>
      <c r="E2074" s="2" t="s">
        <v>6674</v>
      </c>
      <c r="F2074" s="2" t="s">
        <v>6675</v>
      </c>
      <c r="G2074" s="2" t="s">
        <v>127</v>
      </c>
      <c r="H2074" s="2" t="s">
        <v>6676</v>
      </c>
      <c r="I2074" s="2" t="s">
        <v>36</v>
      </c>
      <c r="J2074" s="2" t="s">
        <v>37</v>
      </c>
      <c r="K2074" s="2" t="s">
        <v>38</v>
      </c>
      <c r="L2074" s="2" t="s">
        <v>39</v>
      </c>
      <c r="M2074" s="2" t="s">
        <v>38</v>
      </c>
      <c r="N2074" s="2" t="s">
        <v>38</v>
      </c>
      <c r="O2074" s="2" t="s">
        <v>38</v>
      </c>
      <c r="P2074" s="2" t="s">
        <v>39</v>
      </c>
      <c r="Q2074" s="2" t="s">
        <v>39</v>
      </c>
      <c r="R2074" s="2" t="s">
        <v>38</v>
      </c>
      <c r="S2074" s="2" t="s">
        <v>38</v>
      </c>
      <c r="T2074" s="2" t="s">
        <v>38</v>
      </c>
      <c r="U2074" s="2" t="s">
        <v>39</v>
      </c>
      <c r="V2074" s="2" t="s">
        <v>39</v>
      </c>
      <c r="W2074" s="2" t="s">
        <v>38</v>
      </c>
      <c r="X2074" s="2" t="s">
        <v>39</v>
      </c>
      <c r="Y2074" s="2" t="s">
        <v>39</v>
      </c>
      <c r="Z2074" s="2" t="s">
        <v>38</v>
      </c>
      <c r="AA2074" s="2" t="s">
        <v>38</v>
      </c>
      <c r="AB2074" s="2" t="s">
        <v>39</v>
      </c>
      <c r="AC2074" s="2" t="s">
        <v>38</v>
      </c>
      <c r="AD2074" s="2" t="s">
        <v>38</v>
      </c>
      <c r="AE2074" s="2" t="s">
        <v>39</v>
      </c>
    </row>
    <row r="2075" spans="1:31" ht="409.5">
      <c r="A2075" s="2">
        <v>2725413</v>
      </c>
      <c r="B2075" s="2">
        <f>HYPERLINK("https://platform.v2.vetology.net/cases/2725413/screening-report/1?type=pdf&amp;v=v6&amp;scorecard=1&amp;secret_key=BX%25IJ%24%2F65ieZ%29f6", 2725413)</f>
        <v>2725413</v>
      </c>
      <c r="C2075" s="2">
        <f>HYPERLINK("https://platform.v2.vetology.net/report/v/final/"&amp;2725413, 2725413)</f>
        <v>2725413</v>
      </c>
      <c r="D2075" s="2" t="s">
        <v>6677</v>
      </c>
      <c r="E2075" s="2" t="s">
        <v>6678</v>
      </c>
      <c r="F2075" s="2" t="s">
        <v>6679</v>
      </c>
      <c r="G2075" s="2" t="s">
        <v>53</v>
      </c>
      <c r="H2075" s="2" t="s">
        <v>265</v>
      </c>
      <c r="I2075" s="2" t="s">
        <v>36</v>
      </c>
      <c r="J2075" s="2" t="s">
        <v>37</v>
      </c>
      <c r="K2075" s="2" t="s">
        <v>39</v>
      </c>
      <c r="L2075" s="2" t="s">
        <v>39</v>
      </c>
      <c r="M2075" s="2" t="s">
        <v>38</v>
      </c>
      <c r="N2075" s="2" t="s">
        <v>39</v>
      </c>
      <c r="O2075" s="2" t="s">
        <v>38</v>
      </c>
      <c r="P2075" s="2" t="s">
        <v>39</v>
      </c>
      <c r="Q2075" s="2" t="s">
        <v>39</v>
      </c>
      <c r="R2075" s="2" t="s">
        <v>39</v>
      </c>
      <c r="S2075" s="2" t="s">
        <v>39</v>
      </c>
      <c r="T2075" s="2" t="s">
        <v>39</v>
      </c>
      <c r="U2075" s="2" t="s">
        <v>39</v>
      </c>
      <c r="V2075" s="2" t="s">
        <v>39</v>
      </c>
      <c r="W2075" s="2" t="s">
        <v>39</v>
      </c>
      <c r="X2075" s="2" t="s">
        <v>39</v>
      </c>
      <c r="Y2075" s="2" t="s">
        <v>39</v>
      </c>
      <c r="Z2075" s="2" t="s">
        <v>39</v>
      </c>
      <c r="AA2075" s="2" t="s">
        <v>39</v>
      </c>
      <c r="AB2075" s="2" t="s">
        <v>39</v>
      </c>
      <c r="AC2075" s="2" t="s">
        <v>38</v>
      </c>
      <c r="AD2075" s="2" t="s">
        <v>38</v>
      </c>
      <c r="AE2075" s="2" t="s">
        <v>40</v>
      </c>
    </row>
    <row r="2076" spans="1:31" ht="409.5">
      <c r="A2076" s="2">
        <v>2725412</v>
      </c>
      <c r="B2076" s="2">
        <f>HYPERLINK("https://platform.v2.vetology.net/cases/2725412/screening-report/1?type=pdf&amp;v=v6&amp;scorecard=1&amp;secret_key=BX%25IJ%24%2F65ieZ%29f6", 2725412)</f>
        <v>2725412</v>
      </c>
      <c r="C2076" s="2">
        <f>HYPERLINK("https://platform.v2.vetology.net/report/v/final/"&amp;2725412, 2725412)</f>
        <v>2725412</v>
      </c>
      <c r="D2076" s="2" t="s">
        <v>6680</v>
      </c>
      <c r="E2076" s="2" t="s">
        <v>6681</v>
      </c>
      <c r="F2076" s="2" t="s">
        <v>43</v>
      </c>
      <c r="G2076" s="2" t="s">
        <v>507</v>
      </c>
      <c r="H2076" s="2" t="s">
        <v>3093</v>
      </c>
      <c r="I2076" s="2" t="s">
        <v>36</v>
      </c>
      <c r="J2076" s="2" t="s">
        <v>37</v>
      </c>
      <c r="K2076" s="2" t="s">
        <v>38</v>
      </c>
      <c r="L2076" s="2" t="s">
        <v>39</v>
      </c>
      <c r="M2076" s="2" t="s">
        <v>38</v>
      </c>
      <c r="N2076" s="2" t="s">
        <v>38</v>
      </c>
      <c r="O2076" s="2" t="s">
        <v>38</v>
      </c>
      <c r="P2076" s="2" t="s">
        <v>39</v>
      </c>
      <c r="Q2076" s="2" t="s">
        <v>39</v>
      </c>
      <c r="R2076" s="2" t="s">
        <v>39</v>
      </c>
      <c r="S2076" s="2" t="s">
        <v>39</v>
      </c>
      <c r="T2076" s="2" t="s">
        <v>39</v>
      </c>
      <c r="U2076" s="2" t="s">
        <v>39</v>
      </c>
      <c r="V2076" s="2" t="s">
        <v>39</v>
      </c>
      <c r="W2076" s="2" t="s">
        <v>38</v>
      </c>
      <c r="X2076" s="2" t="s">
        <v>39</v>
      </c>
      <c r="Y2076" s="2" t="s">
        <v>39</v>
      </c>
      <c r="Z2076" s="2" t="s">
        <v>38</v>
      </c>
      <c r="AA2076" s="2" t="s">
        <v>39</v>
      </c>
      <c r="AB2076" s="2" t="s">
        <v>39</v>
      </c>
      <c r="AC2076" s="2" t="s">
        <v>38</v>
      </c>
      <c r="AD2076" s="2" t="s">
        <v>39</v>
      </c>
      <c r="AE2076" s="2" t="s">
        <v>39</v>
      </c>
    </row>
    <row r="2077" spans="1:31" ht="409.5">
      <c r="A2077" s="2">
        <v>2725394</v>
      </c>
      <c r="B2077" s="2">
        <f>HYPERLINK("https://platform.v2.vetology.net/cases/2725394/screening-report/1?type=pdf&amp;v=v6&amp;scorecard=1&amp;secret_key=BX%25IJ%24%2F65ieZ%29f6", 2725394)</f>
        <v>2725394</v>
      </c>
      <c r="C2077" s="2">
        <f>HYPERLINK("https://platform.v2.vetology.net/report/v/final/"&amp;2725394, 2725394)</f>
        <v>2725394</v>
      </c>
      <c r="D2077" s="2" t="s">
        <v>6682</v>
      </c>
      <c r="E2077" s="2" t="s">
        <v>6683</v>
      </c>
      <c r="F2077" s="2" t="s">
        <v>43</v>
      </c>
      <c r="G2077" s="2" t="s">
        <v>507</v>
      </c>
      <c r="H2077" s="2" t="s">
        <v>6684</v>
      </c>
      <c r="I2077" s="2" t="s">
        <v>73</v>
      </c>
      <c r="J2077" s="2" t="s">
        <v>74</v>
      </c>
      <c r="K2077" s="2" t="s">
        <v>38</v>
      </c>
      <c r="L2077" s="2" t="s">
        <v>38</v>
      </c>
      <c r="M2077" s="2" t="s">
        <v>38</v>
      </c>
      <c r="N2077" s="2" t="s">
        <v>38</v>
      </c>
      <c r="O2077" s="2" t="s">
        <v>38</v>
      </c>
      <c r="P2077" s="2" t="s">
        <v>38</v>
      </c>
      <c r="Q2077" s="2" t="s">
        <v>38</v>
      </c>
      <c r="R2077" s="2" t="s">
        <v>38</v>
      </c>
      <c r="S2077" s="2" t="s">
        <v>38</v>
      </c>
      <c r="T2077" s="2" t="s">
        <v>38</v>
      </c>
      <c r="U2077" s="2" t="s">
        <v>38</v>
      </c>
      <c r="V2077" s="2" t="s">
        <v>38</v>
      </c>
      <c r="W2077" s="2" t="s">
        <v>38</v>
      </c>
      <c r="X2077" s="2" t="s">
        <v>38</v>
      </c>
      <c r="Y2077" s="2" t="s">
        <v>39</v>
      </c>
      <c r="Z2077" s="2" t="s">
        <v>38</v>
      </c>
      <c r="AA2077" s="2" t="s">
        <v>38</v>
      </c>
      <c r="AB2077" s="2" t="s">
        <v>38</v>
      </c>
      <c r="AC2077" s="2" t="s">
        <v>38</v>
      </c>
      <c r="AD2077" s="2" t="s">
        <v>38</v>
      </c>
      <c r="AE2077" s="2" t="s">
        <v>40</v>
      </c>
    </row>
    <row r="2078" spans="1:31" ht="409.5">
      <c r="A2078" s="2">
        <v>2725392</v>
      </c>
      <c r="B2078" s="2">
        <f>HYPERLINK("https://platform.v2.vetology.net/cases/2725392/screening-report/1?type=pdf&amp;v=v6&amp;scorecard=1&amp;secret_key=BX%25IJ%24%2F65ieZ%29f6", 2725392)</f>
        <v>2725392</v>
      </c>
      <c r="C2078" s="2">
        <f>HYPERLINK("https://platform.v2.vetology.net/report/v/final/"&amp;2725392, 2725392)</f>
        <v>2725392</v>
      </c>
      <c r="D2078" s="2" t="s">
        <v>6685</v>
      </c>
      <c r="E2078" s="2" t="s">
        <v>6686</v>
      </c>
      <c r="F2078" s="2" t="s">
        <v>6687</v>
      </c>
      <c r="G2078" s="2" t="s">
        <v>53</v>
      </c>
      <c r="H2078" s="2" t="s">
        <v>6688</v>
      </c>
      <c r="I2078" s="2" t="s">
        <v>36</v>
      </c>
      <c r="J2078" s="2" t="s">
        <v>37</v>
      </c>
      <c r="K2078" s="2" t="s">
        <v>38</v>
      </c>
      <c r="L2078" s="2" t="s">
        <v>39</v>
      </c>
      <c r="M2078" s="2" t="s">
        <v>38</v>
      </c>
      <c r="N2078" s="2" t="s">
        <v>39</v>
      </c>
      <c r="O2078" s="2" t="s">
        <v>38</v>
      </c>
      <c r="P2078" s="2" t="s">
        <v>39</v>
      </c>
      <c r="Q2078" s="2" t="s">
        <v>39</v>
      </c>
      <c r="R2078" s="2" t="s">
        <v>38</v>
      </c>
      <c r="S2078" s="2" t="s">
        <v>39</v>
      </c>
      <c r="T2078" s="2" t="s">
        <v>39</v>
      </c>
      <c r="U2078" s="2" t="s">
        <v>39</v>
      </c>
      <c r="V2078" s="2" t="s">
        <v>38</v>
      </c>
      <c r="W2078" s="2" t="s">
        <v>38</v>
      </c>
      <c r="X2078" s="2" t="s">
        <v>39</v>
      </c>
      <c r="Y2078" s="2" t="s">
        <v>39</v>
      </c>
      <c r="Z2078" s="2" t="s">
        <v>38</v>
      </c>
      <c r="AA2078" s="2" t="s">
        <v>39</v>
      </c>
      <c r="AB2078" s="2" t="s">
        <v>39</v>
      </c>
      <c r="AC2078" s="2" t="s">
        <v>38</v>
      </c>
      <c r="AD2078" s="2" t="s">
        <v>39</v>
      </c>
      <c r="AE2078" s="2" t="s">
        <v>40</v>
      </c>
    </row>
    <row r="2079" spans="1:31" ht="409.5">
      <c r="A2079" s="2">
        <v>2725349</v>
      </c>
      <c r="B2079" s="2">
        <f>HYPERLINK("https://platform.v2.vetology.net/cases/2725349/screening-report/1?type=pdf&amp;v=v6&amp;scorecard=1&amp;secret_key=BX%25IJ%24%2F65ieZ%29f6", 2725349)</f>
        <v>2725349</v>
      </c>
      <c r="C2079" s="2">
        <f>HYPERLINK("https://platform.v2.vetology.net/report/v/final/"&amp;2725349, 2725349)</f>
        <v>2725349</v>
      </c>
      <c r="D2079" s="2" t="s">
        <v>6689</v>
      </c>
      <c r="E2079" s="2" t="s">
        <v>6690</v>
      </c>
      <c r="F2079" s="2" t="s">
        <v>6691</v>
      </c>
      <c r="G2079" s="2" t="s">
        <v>53</v>
      </c>
      <c r="H2079" s="2" t="s">
        <v>6692</v>
      </c>
      <c r="I2079" s="2" t="s">
        <v>36</v>
      </c>
      <c r="J2079" s="2" t="s">
        <v>37</v>
      </c>
      <c r="K2079" s="2" t="s">
        <v>38</v>
      </c>
      <c r="L2079" s="2" t="s">
        <v>39</v>
      </c>
      <c r="M2079" s="2" t="s">
        <v>38</v>
      </c>
      <c r="N2079" s="2" t="s">
        <v>38</v>
      </c>
      <c r="O2079" s="2" t="s">
        <v>38</v>
      </c>
      <c r="P2079" s="2" t="s">
        <v>39</v>
      </c>
      <c r="Q2079" s="2" t="s">
        <v>39</v>
      </c>
      <c r="R2079" s="2" t="s">
        <v>38</v>
      </c>
      <c r="S2079" s="2" t="s">
        <v>38</v>
      </c>
      <c r="T2079" s="2" t="s">
        <v>39</v>
      </c>
      <c r="U2079" s="2" t="s">
        <v>38</v>
      </c>
      <c r="V2079" s="2" t="s">
        <v>38</v>
      </c>
      <c r="W2079" s="2" t="s">
        <v>38</v>
      </c>
      <c r="X2079" s="2" t="s">
        <v>38</v>
      </c>
      <c r="Y2079" s="2" t="s">
        <v>39</v>
      </c>
      <c r="Z2079" s="2" t="s">
        <v>38</v>
      </c>
      <c r="AA2079" s="2" t="s">
        <v>38</v>
      </c>
      <c r="AB2079" s="2" t="s">
        <v>38</v>
      </c>
      <c r="AC2079" s="2" t="s">
        <v>38</v>
      </c>
      <c r="AD2079" s="2" t="s">
        <v>38</v>
      </c>
      <c r="AE2079" s="2" t="s">
        <v>39</v>
      </c>
    </row>
    <row r="2080" spans="1:31" ht="409.5">
      <c r="A2080" s="2">
        <v>2725303</v>
      </c>
      <c r="B2080" s="2">
        <f>HYPERLINK("https://platform.v2.vetology.net/cases/2725303/screening-report/1?type=pdf&amp;v=v6&amp;scorecard=1&amp;secret_key=BX%25IJ%24%2F65ieZ%29f6", 2725303)</f>
        <v>2725303</v>
      </c>
      <c r="C2080" s="2">
        <f>HYPERLINK("https://platform.v2.vetology.net/report/v/final/"&amp;2725303, 2725303)</f>
        <v>2725303</v>
      </c>
      <c r="D2080" s="2" t="s">
        <v>6693</v>
      </c>
      <c r="E2080" s="2" t="s">
        <v>6694</v>
      </c>
      <c r="F2080" s="2" t="s">
        <v>6695</v>
      </c>
      <c r="G2080" s="2" t="s">
        <v>53</v>
      </c>
      <c r="H2080" s="2" t="s">
        <v>69</v>
      </c>
      <c r="I2080" s="2" t="s">
        <v>46</v>
      </c>
      <c r="J2080" s="2"/>
      <c r="K2080" s="2" t="s">
        <v>39</v>
      </c>
      <c r="L2080" s="2" t="s">
        <v>39</v>
      </c>
      <c r="M2080" s="2" t="s">
        <v>39</v>
      </c>
      <c r="N2080" s="2" t="s">
        <v>39</v>
      </c>
      <c r="O2080" s="2" t="s">
        <v>39</v>
      </c>
      <c r="P2080" s="2" t="s">
        <v>39</v>
      </c>
      <c r="Q2080" s="2" t="s">
        <v>39</v>
      </c>
      <c r="R2080" s="2" t="s">
        <v>39</v>
      </c>
      <c r="S2080" s="2" t="s">
        <v>39</v>
      </c>
      <c r="T2080" s="2" t="s">
        <v>39</v>
      </c>
      <c r="U2080" s="2" t="s">
        <v>39</v>
      </c>
      <c r="V2080" s="2" t="s">
        <v>39</v>
      </c>
      <c r="W2080" s="2" t="s">
        <v>39</v>
      </c>
      <c r="X2080" s="2" t="s">
        <v>39</v>
      </c>
      <c r="Y2080" s="2" t="s">
        <v>39</v>
      </c>
      <c r="Z2080" s="2" t="s">
        <v>38</v>
      </c>
      <c r="AA2080" s="2" t="s">
        <v>39</v>
      </c>
      <c r="AB2080" s="2" t="s">
        <v>39</v>
      </c>
      <c r="AC2080" s="2" t="s">
        <v>38</v>
      </c>
      <c r="AD2080" s="2" t="s">
        <v>38</v>
      </c>
      <c r="AE2080" s="2" t="s">
        <v>39</v>
      </c>
    </row>
    <row r="2081" spans="1:31" ht="409.5">
      <c r="A2081" s="2">
        <v>2725299</v>
      </c>
      <c r="B2081" s="2">
        <f>HYPERLINK("https://platform.v2.vetology.net/cases/2725299/screening-report/1?type=pdf&amp;v=v6&amp;scorecard=1&amp;secret_key=BX%25IJ%24%2F65ieZ%29f6", 2725299)</f>
        <v>2725299</v>
      </c>
      <c r="C2081" s="2">
        <f>HYPERLINK("https://platform.v2.vetology.net/report/v/final/"&amp;2725299, 2725299)</f>
        <v>2725299</v>
      </c>
      <c r="D2081" s="2" t="s">
        <v>6696</v>
      </c>
      <c r="E2081" s="2" t="s">
        <v>6697</v>
      </c>
      <c r="F2081" s="2" t="s">
        <v>6698</v>
      </c>
      <c r="G2081" s="2" t="s">
        <v>127</v>
      </c>
      <c r="H2081" s="2" t="s">
        <v>1824</v>
      </c>
      <c r="I2081" s="2" t="s">
        <v>36</v>
      </c>
      <c r="J2081" s="2" t="s">
        <v>37</v>
      </c>
      <c r="K2081" s="2" t="s">
        <v>38</v>
      </c>
      <c r="L2081" s="2" t="s">
        <v>38</v>
      </c>
      <c r="M2081" s="2" t="s">
        <v>39</v>
      </c>
      <c r="N2081" s="2" t="s">
        <v>38</v>
      </c>
      <c r="O2081" s="2" t="s">
        <v>38</v>
      </c>
      <c r="P2081" s="2" t="s">
        <v>39</v>
      </c>
      <c r="Q2081" s="2" t="s">
        <v>39</v>
      </c>
      <c r="R2081" s="2" t="s">
        <v>38</v>
      </c>
      <c r="S2081" s="2" t="s">
        <v>38</v>
      </c>
      <c r="T2081" s="2" t="s">
        <v>39</v>
      </c>
      <c r="U2081" s="2" t="s">
        <v>38</v>
      </c>
      <c r="V2081" s="2" t="s">
        <v>38</v>
      </c>
      <c r="W2081" s="2" t="s">
        <v>39</v>
      </c>
      <c r="X2081" s="2" t="s">
        <v>39</v>
      </c>
      <c r="Y2081" s="2" t="s">
        <v>39</v>
      </c>
      <c r="Z2081" s="2" t="s">
        <v>38</v>
      </c>
      <c r="AA2081" s="2" t="s">
        <v>38</v>
      </c>
      <c r="AB2081" s="2" t="s">
        <v>39</v>
      </c>
      <c r="AC2081" s="2" t="s">
        <v>38</v>
      </c>
      <c r="AD2081" s="2" t="s">
        <v>39</v>
      </c>
      <c r="AE2081" s="2" t="s">
        <v>39</v>
      </c>
    </row>
    <row r="2082" spans="1:31" ht="409.5">
      <c r="A2082" s="2">
        <v>2725271</v>
      </c>
      <c r="B2082" s="2">
        <f>HYPERLINK("https://platform.v2.vetology.net/cases/2725271/screening-report/1?type=pdf&amp;v=v6&amp;scorecard=1&amp;secret_key=BX%25IJ%24%2F65ieZ%29f6", 2725271)</f>
        <v>2725271</v>
      </c>
      <c r="C2082" s="2">
        <f>HYPERLINK("https://platform.v2.vetology.net/report/v/final/"&amp;2725271, 2725271)</f>
        <v>2725271</v>
      </c>
      <c r="D2082" s="2" t="s">
        <v>6699</v>
      </c>
      <c r="E2082" s="2" t="s">
        <v>6700</v>
      </c>
      <c r="F2082" s="2" t="s">
        <v>6701</v>
      </c>
      <c r="G2082" s="2" t="s">
        <v>53</v>
      </c>
      <c r="H2082" s="2" t="s">
        <v>6702</v>
      </c>
      <c r="I2082" s="2" t="s">
        <v>257</v>
      </c>
      <c r="J2082" s="2" t="s">
        <v>74</v>
      </c>
      <c r="K2082" s="2" t="s">
        <v>38</v>
      </c>
      <c r="L2082" s="2" t="s">
        <v>38</v>
      </c>
      <c r="M2082" s="2" t="s">
        <v>38</v>
      </c>
      <c r="N2082" s="2" t="s">
        <v>38</v>
      </c>
      <c r="O2082" s="2" t="s">
        <v>38</v>
      </c>
      <c r="P2082" s="2" t="s">
        <v>38</v>
      </c>
      <c r="Q2082" s="2" t="s">
        <v>38</v>
      </c>
      <c r="R2082" s="2" t="s">
        <v>38</v>
      </c>
      <c r="S2082" s="2" t="s">
        <v>38</v>
      </c>
      <c r="T2082" s="2" t="s">
        <v>38</v>
      </c>
      <c r="U2082" s="2" t="s">
        <v>38</v>
      </c>
      <c r="V2082" s="2" t="s">
        <v>38</v>
      </c>
      <c r="W2082" s="2" t="s">
        <v>38</v>
      </c>
      <c r="X2082" s="2" t="s">
        <v>38</v>
      </c>
      <c r="Y2082" s="2" t="s">
        <v>38</v>
      </c>
      <c r="Z2082" s="2" t="s">
        <v>38</v>
      </c>
      <c r="AA2082" s="2" t="s">
        <v>38</v>
      </c>
      <c r="AB2082" s="2" t="s">
        <v>38</v>
      </c>
      <c r="AC2082" s="2" t="s">
        <v>38</v>
      </c>
      <c r="AD2082" s="2" t="s">
        <v>38</v>
      </c>
      <c r="AE2082" s="2" t="s">
        <v>40</v>
      </c>
    </row>
    <row r="2083" spans="1:31" ht="409.5">
      <c r="A2083" s="2">
        <v>2725249</v>
      </c>
      <c r="B2083" s="2">
        <f>HYPERLINK("https://platform.v2.vetology.net/cases/2725249/screening-report/1?type=pdf&amp;v=v6&amp;scorecard=1&amp;secret_key=BX%25IJ%24%2F65ieZ%29f6", 2725249)</f>
        <v>2725249</v>
      </c>
      <c r="C2083" s="2">
        <f>HYPERLINK("https://platform.v2.vetology.net/report/v/final/"&amp;2725249, 2725249)</f>
        <v>2725249</v>
      </c>
      <c r="D2083" s="2" t="s">
        <v>6703</v>
      </c>
      <c r="E2083" s="2" t="s">
        <v>6704</v>
      </c>
      <c r="F2083" s="2" t="s">
        <v>43</v>
      </c>
      <c r="G2083" s="2" t="s">
        <v>507</v>
      </c>
      <c r="H2083" s="2" t="s">
        <v>6705</v>
      </c>
      <c r="I2083" s="2" t="s">
        <v>36</v>
      </c>
      <c r="J2083" s="2" t="s">
        <v>37</v>
      </c>
      <c r="K2083" s="2" t="s">
        <v>38</v>
      </c>
      <c r="L2083" s="2" t="s">
        <v>39</v>
      </c>
      <c r="M2083" s="2" t="s">
        <v>39</v>
      </c>
      <c r="N2083" s="2" t="s">
        <v>39</v>
      </c>
      <c r="O2083" s="2" t="s">
        <v>38</v>
      </c>
      <c r="P2083" s="2" t="s">
        <v>39</v>
      </c>
      <c r="Q2083" s="2" t="s">
        <v>39</v>
      </c>
      <c r="R2083" s="2" t="s">
        <v>38</v>
      </c>
      <c r="S2083" s="2" t="s">
        <v>39</v>
      </c>
      <c r="T2083" s="2" t="s">
        <v>39</v>
      </c>
      <c r="U2083" s="2" t="s">
        <v>38</v>
      </c>
      <c r="V2083" s="2" t="s">
        <v>38</v>
      </c>
      <c r="W2083" s="2" t="s">
        <v>39</v>
      </c>
      <c r="X2083" s="2" t="s">
        <v>39</v>
      </c>
      <c r="Y2083" s="2" t="s">
        <v>39</v>
      </c>
      <c r="Z2083" s="2" t="s">
        <v>39</v>
      </c>
      <c r="AA2083" s="2" t="s">
        <v>39</v>
      </c>
      <c r="AB2083" s="2" t="s">
        <v>39</v>
      </c>
      <c r="AC2083" s="2" t="s">
        <v>38</v>
      </c>
      <c r="AD2083" s="2" t="s">
        <v>38</v>
      </c>
      <c r="AE2083" s="2" t="s">
        <v>39</v>
      </c>
    </row>
    <row r="2084" spans="1:31" ht="409.5">
      <c r="A2084" s="2">
        <v>2725246</v>
      </c>
      <c r="B2084" s="2">
        <f>HYPERLINK("https://platform.v2.vetology.net/cases/2725246/screening-report/1?type=pdf&amp;v=v6&amp;scorecard=1&amp;secret_key=BX%25IJ%24%2F65ieZ%29f6", 2725246)</f>
        <v>2725246</v>
      </c>
      <c r="C2084" s="2">
        <f>HYPERLINK("https://platform.v2.vetology.net/report/v/final/"&amp;2725246, 2725246)</f>
        <v>2725246</v>
      </c>
      <c r="D2084" s="2" t="s">
        <v>6706</v>
      </c>
      <c r="E2084" s="2" t="s">
        <v>6707</v>
      </c>
      <c r="F2084" s="2" t="s">
        <v>6708</v>
      </c>
      <c r="G2084" s="2" t="s">
        <v>145</v>
      </c>
      <c r="H2084" s="2" t="s">
        <v>6709</v>
      </c>
      <c r="I2084" s="2" t="s">
        <v>73</v>
      </c>
      <c r="J2084" s="2" t="s">
        <v>74</v>
      </c>
      <c r="K2084" s="2" t="s">
        <v>38</v>
      </c>
      <c r="L2084" s="2" t="s">
        <v>38</v>
      </c>
      <c r="M2084" s="2" t="s">
        <v>38</v>
      </c>
      <c r="N2084" s="2" t="s">
        <v>38</v>
      </c>
      <c r="O2084" s="2" t="s">
        <v>38</v>
      </c>
      <c r="P2084" s="2" t="s">
        <v>38</v>
      </c>
      <c r="Q2084" s="2" t="s">
        <v>38</v>
      </c>
      <c r="R2084" s="2" t="s">
        <v>38</v>
      </c>
      <c r="S2084" s="2" t="s">
        <v>38</v>
      </c>
      <c r="T2084" s="2" t="s">
        <v>38</v>
      </c>
      <c r="U2084" s="2" t="s">
        <v>38</v>
      </c>
      <c r="V2084" s="2" t="s">
        <v>38</v>
      </c>
      <c r="W2084" s="2" t="s">
        <v>38</v>
      </c>
      <c r="X2084" s="2" t="s">
        <v>38</v>
      </c>
      <c r="Y2084" s="2" t="s">
        <v>38</v>
      </c>
      <c r="Z2084" s="2" t="s">
        <v>38</v>
      </c>
      <c r="AA2084" s="2" t="s">
        <v>38</v>
      </c>
      <c r="AB2084" s="2" t="s">
        <v>38</v>
      </c>
      <c r="AC2084" s="2" t="s">
        <v>38</v>
      </c>
      <c r="AD2084" s="2" t="s">
        <v>38</v>
      </c>
      <c r="AE2084" s="2"/>
    </row>
    <row r="2085" spans="1:31" ht="409.5">
      <c r="A2085" s="2">
        <v>2725244</v>
      </c>
      <c r="B2085" s="2">
        <f>HYPERLINK("https://platform.v2.vetology.net/cases/2725244/screening-report/1?type=pdf&amp;v=v6&amp;scorecard=1&amp;secret_key=BX%25IJ%24%2F65ieZ%29f6", 2725244)</f>
        <v>2725244</v>
      </c>
      <c r="C2085" s="2">
        <f>HYPERLINK("https://platform.v2.vetology.net/report/v/final/"&amp;2725244, 2725244)</f>
        <v>2725244</v>
      </c>
      <c r="D2085" s="2" t="s">
        <v>6710</v>
      </c>
      <c r="E2085" s="2" t="s">
        <v>6711</v>
      </c>
      <c r="F2085" s="2" t="s">
        <v>6712</v>
      </c>
      <c r="G2085" s="2" t="s">
        <v>53</v>
      </c>
      <c r="H2085" s="2" t="s">
        <v>93</v>
      </c>
      <c r="I2085" s="2" t="s">
        <v>59</v>
      </c>
      <c r="J2085" s="2" t="s">
        <v>37</v>
      </c>
      <c r="K2085" s="2" t="s">
        <v>38</v>
      </c>
      <c r="L2085" s="2" t="s">
        <v>39</v>
      </c>
      <c r="M2085" s="2" t="s">
        <v>39</v>
      </c>
      <c r="N2085" s="2" t="s">
        <v>38</v>
      </c>
      <c r="O2085" s="2" t="s">
        <v>39</v>
      </c>
      <c r="P2085" s="2" t="s">
        <v>39</v>
      </c>
      <c r="Q2085" s="2" t="s">
        <v>39</v>
      </c>
      <c r="R2085" s="2" t="s">
        <v>39</v>
      </c>
      <c r="S2085" s="2" t="s">
        <v>39</v>
      </c>
      <c r="T2085" s="2" t="s">
        <v>39</v>
      </c>
      <c r="U2085" s="2" t="s">
        <v>38</v>
      </c>
      <c r="V2085" s="2" t="s">
        <v>38</v>
      </c>
      <c r="W2085" s="2" t="s">
        <v>39</v>
      </c>
      <c r="X2085" s="2" t="s">
        <v>39</v>
      </c>
      <c r="Y2085" s="2" t="s">
        <v>39</v>
      </c>
      <c r="Z2085" s="2" t="s">
        <v>39</v>
      </c>
      <c r="AA2085" s="2" t="s">
        <v>39</v>
      </c>
      <c r="AB2085" s="2" t="s">
        <v>39</v>
      </c>
      <c r="AC2085" s="2" t="s">
        <v>38</v>
      </c>
      <c r="AD2085" s="2" t="s">
        <v>39</v>
      </c>
      <c r="AE2085" s="2" t="s">
        <v>39</v>
      </c>
    </row>
    <row r="2086" spans="1:31" ht="409.5">
      <c r="A2086" s="2">
        <v>2725210</v>
      </c>
      <c r="B2086" s="2">
        <f>HYPERLINK("https://platform.v2.vetology.net/cases/2725210/screening-report/1?type=pdf&amp;v=v6&amp;scorecard=1&amp;secret_key=BX%25IJ%24%2F65ieZ%29f6", 2725210)</f>
        <v>2725210</v>
      </c>
      <c r="C2086" s="2">
        <f>HYPERLINK("https://platform.v2.vetology.net/report/v/final/"&amp;2725210, 2725210)</f>
        <v>2725210</v>
      </c>
      <c r="D2086" s="2" t="s">
        <v>6713</v>
      </c>
      <c r="E2086" s="2" t="s">
        <v>6714</v>
      </c>
      <c r="F2086" s="2" t="s">
        <v>6715</v>
      </c>
      <c r="G2086" s="2" t="s">
        <v>251</v>
      </c>
      <c r="H2086" s="2" t="s">
        <v>69</v>
      </c>
      <c r="I2086" s="2" t="s">
        <v>46</v>
      </c>
      <c r="J2086" s="2"/>
      <c r="K2086" s="2" t="s">
        <v>39</v>
      </c>
      <c r="L2086" s="2" t="s">
        <v>39</v>
      </c>
      <c r="M2086" s="2" t="s">
        <v>39</v>
      </c>
      <c r="N2086" s="2" t="s">
        <v>39</v>
      </c>
      <c r="O2086" s="2" t="s">
        <v>39</v>
      </c>
      <c r="P2086" s="2" t="s">
        <v>39</v>
      </c>
      <c r="Q2086" s="2" t="s">
        <v>39</v>
      </c>
      <c r="R2086" s="2" t="s">
        <v>39</v>
      </c>
      <c r="S2086" s="2" t="s">
        <v>39</v>
      </c>
      <c r="T2086" s="2" t="s">
        <v>39</v>
      </c>
      <c r="U2086" s="2" t="s">
        <v>39</v>
      </c>
      <c r="V2086" s="2" t="s">
        <v>39</v>
      </c>
      <c r="W2086" s="2" t="s">
        <v>39</v>
      </c>
      <c r="X2086" s="2" t="s">
        <v>39</v>
      </c>
      <c r="Y2086" s="2" t="s">
        <v>39</v>
      </c>
      <c r="Z2086" s="2" t="s">
        <v>39</v>
      </c>
      <c r="AA2086" s="2" t="s">
        <v>39</v>
      </c>
      <c r="AB2086" s="2" t="s">
        <v>39</v>
      </c>
      <c r="AC2086" s="2" t="s">
        <v>39</v>
      </c>
      <c r="AD2086" s="2" t="s">
        <v>39</v>
      </c>
      <c r="AE2086" s="2" t="s">
        <v>39</v>
      </c>
    </row>
    <row r="2087" spans="1:31" ht="409.5">
      <c r="A2087" s="2">
        <v>2725203</v>
      </c>
      <c r="B2087" s="2">
        <f>HYPERLINK("https://platform.v2.vetology.net/cases/2725203/screening-report/1?type=pdf&amp;v=v6&amp;scorecard=1&amp;secret_key=BX%25IJ%24%2F65ieZ%29f6", 2725203)</f>
        <v>2725203</v>
      </c>
      <c r="C2087" s="2">
        <f>HYPERLINK("https://platform.v2.vetology.net/report/v/final/"&amp;2725203, 2725203)</f>
        <v>2725203</v>
      </c>
      <c r="D2087" s="2" t="s">
        <v>6716</v>
      </c>
      <c r="E2087" s="2" t="s">
        <v>6717</v>
      </c>
      <c r="F2087" s="2" t="s">
        <v>6718</v>
      </c>
      <c r="G2087" s="2" t="s">
        <v>53</v>
      </c>
      <c r="H2087" s="2" t="s">
        <v>6719</v>
      </c>
      <c r="I2087" s="2" t="s">
        <v>36</v>
      </c>
      <c r="J2087" s="2" t="s">
        <v>37</v>
      </c>
      <c r="K2087" s="2" t="s">
        <v>38</v>
      </c>
      <c r="L2087" s="2" t="s">
        <v>39</v>
      </c>
      <c r="M2087" s="2" t="s">
        <v>39</v>
      </c>
      <c r="N2087" s="2" t="s">
        <v>39</v>
      </c>
      <c r="O2087" s="2" t="s">
        <v>38</v>
      </c>
      <c r="P2087" s="2" t="s">
        <v>38</v>
      </c>
      <c r="Q2087" s="2" t="s">
        <v>39</v>
      </c>
      <c r="R2087" s="2" t="s">
        <v>39</v>
      </c>
      <c r="S2087" s="2" t="s">
        <v>39</v>
      </c>
      <c r="T2087" s="2" t="s">
        <v>38</v>
      </c>
      <c r="U2087" s="2" t="s">
        <v>39</v>
      </c>
      <c r="V2087" s="2" t="s">
        <v>38</v>
      </c>
      <c r="W2087" s="2" t="s">
        <v>38</v>
      </c>
      <c r="X2087" s="2" t="s">
        <v>39</v>
      </c>
      <c r="Y2087" s="2" t="s">
        <v>39</v>
      </c>
      <c r="Z2087" s="2" t="s">
        <v>39</v>
      </c>
      <c r="AA2087" s="2" t="s">
        <v>38</v>
      </c>
      <c r="AB2087" s="2" t="s">
        <v>39</v>
      </c>
      <c r="AC2087" s="2" t="s">
        <v>38</v>
      </c>
      <c r="AD2087" s="2" t="s">
        <v>39</v>
      </c>
      <c r="AE2087" s="2" t="s">
        <v>40</v>
      </c>
    </row>
    <row r="2088" spans="1:31" ht="409.5">
      <c r="A2088" s="2">
        <v>2725191</v>
      </c>
      <c r="B2088" s="2">
        <f>HYPERLINK("https://platform.v2.vetology.net/cases/2725191/screening-report/1?type=pdf&amp;v=v6&amp;scorecard=1&amp;secret_key=BX%25IJ%24%2F65ieZ%29f6", 2725191)</f>
        <v>2725191</v>
      </c>
      <c r="C2088" s="2">
        <f>HYPERLINK("https://platform.v2.vetology.net/report/v/final/"&amp;2725191, 2725191)</f>
        <v>2725191</v>
      </c>
      <c r="D2088" s="2" t="s">
        <v>6720</v>
      </c>
      <c r="E2088" s="2" t="s">
        <v>6721</v>
      </c>
      <c r="F2088" s="2" t="s">
        <v>6722</v>
      </c>
      <c r="G2088" s="2" t="s">
        <v>53</v>
      </c>
      <c r="H2088" s="2" t="s">
        <v>6723</v>
      </c>
      <c r="I2088" s="2" t="s">
        <v>36</v>
      </c>
      <c r="J2088" s="2" t="s">
        <v>37</v>
      </c>
      <c r="K2088" s="2" t="s">
        <v>38</v>
      </c>
      <c r="L2088" s="2" t="s">
        <v>38</v>
      </c>
      <c r="M2088" s="2" t="s">
        <v>38</v>
      </c>
      <c r="N2088" s="2" t="s">
        <v>38</v>
      </c>
      <c r="O2088" s="2" t="s">
        <v>38</v>
      </c>
      <c r="P2088" s="2" t="s">
        <v>39</v>
      </c>
      <c r="Q2088" s="2" t="s">
        <v>39</v>
      </c>
      <c r="R2088" s="2" t="s">
        <v>38</v>
      </c>
      <c r="S2088" s="2" t="s">
        <v>38</v>
      </c>
      <c r="T2088" s="2" t="s">
        <v>39</v>
      </c>
      <c r="U2088" s="2" t="s">
        <v>38</v>
      </c>
      <c r="V2088" s="2" t="s">
        <v>38</v>
      </c>
      <c r="W2088" s="2" t="s">
        <v>38</v>
      </c>
      <c r="X2088" s="2" t="s">
        <v>38</v>
      </c>
      <c r="Y2088" s="2" t="s">
        <v>39</v>
      </c>
      <c r="Z2088" s="2" t="s">
        <v>38</v>
      </c>
      <c r="AA2088" s="2" t="s">
        <v>38</v>
      </c>
      <c r="AB2088" s="2" t="s">
        <v>39</v>
      </c>
      <c r="AC2088" s="2" t="s">
        <v>38</v>
      </c>
      <c r="AD2088" s="2" t="s">
        <v>38</v>
      </c>
      <c r="AE2088" s="2"/>
    </row>
    <row r="2089" spans="1:31" ht="409.5">
      <c r="A2089" s="2">
        <v>2725166</v>
      </c>
      <c r="B2089" s="2">
        <f>HYPERLINK("https://platform.v2.vetology.net/cases/2725166/screening-report/1?type=pdf&amp;v=v6&amp;scorecard=1&amp;secret_key=BX%25IJ%24%2F65ieZ%29f6", 2725166)</f>
        <v>2725166</v>
      </c>
      <c r="C2089" s="2">
        <f>HYPERLINK("https://platform.v2.vetology.net/report/v/final/"&amp;2725166, 2725166)</f>
        <v>2725166</v>
      </c>
      <c r="D2089" s="2" t="s">
        <v>6724</v>
      </c>
      <c r="E2089" s="2" t="s">
        <v>6725</v>
      </c>
      <c r="F2089" s="2" t="s">
        <v>6726</v>
      </c>
      <c r="G2089" s="2" t="s">
        <v>127</v>
      </c>
      <c r="H2089" s="2" t="s">
        <v>1681</v>
      </c>
      <c r="I2089" s="2" t="s">
        <v>59</v>
      </c>
      <c r="J2089" s="2" t="s">
        <v>37</v>
      </c>
      <c r="K2089" s="2" t="s">
        <v>38</v>
      </c>
      <c r="L2089" s="2" t="s">
        <v>39</v>
      </c>
      <c r="M2089" s="2" t="s">
        <v>39</v>
      </c>
      <c r="N2089" s="2" t="s">
        <v>39</v>
      </c>
      <c r="O2089" s="2" t="s">
        <v>39</v>
      </c>
      <c r="P2089" s="2" t="s">
        <v>39</v>
      </c>
      <c r="Q2089" s="2" t="s">
        <v>39</v>
      </c>
      <c r="R2089" s="2" t="s">
        <v>39</v>
      </c>
      <c r="S2089" s="2" t="s">
        <v>38</v>
      </c>
      <c r="T2089" s="2" t="s">
        <v>39</v>
      </c>
      <c r="U2089" s="2" t="s">
        <v>39</v>
      </c>
      <c r="V2089" s="2" t="s">
        <v>38</v>
      </c>
      <c r="W2089" s="2" t="s">
        <v>39</v>
      </c>
      <c r="X2089" s="2" t="s">
        <v>39</v>
      </c>
      <c r="Y2089" s="2" t="s">
        <v>39</v>
      </c>
      <c r="Z2089" s="2" t="s">
        <v>39</v>
      </c>
      <c r="AA2089" s="2" t="s">
        <v>39</v>
      </c>
      <c r="AB2089" s="2" t="s">
        <v>39</v>
      </c>
      <c r="AC2089" s="2" t="s">
        <v>39</v>
      </c>
      <c r="AD2089" s="2" t="s">
        <v>38</v>
      </c>
      <c r="AE2089" s="2" t="s">
        <v>40</v>
      </c>
    </row>
    <row r="2090" spans="1:31" ht="409.5">
      <c r="A2090" s="2">
        <v>2725160</v>
      </c>
      <c r="B2090" s="2">
        <f>HYPERLINK("https://platform.v2.vetology.net/cases/2725160/screening-report/1?type=pdf&amp;v=v6&amp;scorecard=1&amp;secret_key=BX%25IJ%24%2F65ieZ%29f6", 2725160)</f>
        <v>2725160</v>
      </c>
      <c r="C2090" s="2">
        <f>HYPERLINK("https://platform.v2.vetology.net/report/v/final/"&amp;2725160, 2725160)</f>
        <v>2725160</v>
      </c>
      <c r="D2090" s="2" t="s">
        <v>6727</v>
      </c>
      <c r="E2090" s="2" t="s">
        <v>6728</v>
      </c>
      <c r="F2090" s="2" t="s">
        <v>6729</v>
      </c>
      <c r="G2090" s="2" t="s">
        <v>53</v>
      </c>
      <c r="H2090" s="2" t="s">
        <v>6730</v>
      </c>
      <c r="I2090" s="2" t="s">
        <v>129</v>
      </c>
      <c r="J2090" s="2" t="s">
        <v>74</v>
      </c>
      <c r="K2090" s="2" t="s">
        <v>39</v>
      </c>
      <c r="L2090" s="2" t="s">
        <v>38</v>
      </c>
      <c r="M2090" s="2" t="s">
        <v>38</v>
      </c>
      <c r="N2090" s="2" t="s">
        <v>38</v>
      </c>
      <c r="O2090" s="2" t="s">
        <v>38</v>
      </c>
      <c r="P2090" s="2" t="s">
        <v>38</v>
      </c>
      <c r="Q2090" s="2" t="s">
        <v>38</v>
      </c>
      <c r="R2090" s="2" t="s">
        <v>39</v>
      </c>
      <c r="S2090" s="2" t="s">
        <v>38</v>
      </c>
      <c r="T2090" s="2" t="s">
        <v>38</v>
      </c>
      <c r="U2090" s="2" t="s">
        <v>39</v>
      </c>
      <c r="V2090" s="2" t="s">
        <v>39</v>
      </c>
      <c r="W2090" s="2" t="s">
        <v>38</v>
      </c>
      <c r="X2090" s="2" t="s">
        <v>38</v>
      </c>
      <c r="Y2090" s="2" t="s">
        <v>38</v>
      </c>
      <c r="Z2090" s="2" t="s">
        <v>38</v>
      </c>
      <c r="AA2090" s="2" t="s">
        <v>38</v>
      </c>
      <c r="AB2090" s="2" t="s">
        <v>38</v>
      </c>
      <c r="AC2090" s="2" t="s">
        <v>38</v>
      </c>
      <c r="AD2090" s="2" t="s">
        <v>38</v>
      </c>
      <c r="AE2090" s="2" t="s">
        <v>39</v>
      </c>
    </row>
    <row r="2091" spans="1:31" ht="409.5">
      <c r="A2091" s="2">
        <v>2725159</v>
      </c>
      <c r="B2091" s="2">
        <f>HYPERLINK("https://platform.v2.vetology.net/cases/2725159/screening-report/1?type=pdf&amp;v=v6&amp;scorecard=1&amp;secret_key=BX%25IJ%24%2F65ieZ%29f6", 2725159)</f>
        <v>2725159</v>
      </c>
      <c r="C2091" s="2">
        <f>HYPERLINK("https://platform.v2.vetology.net/report/v/final/"&amp;2725159, 2725159)</f>
        <v>2725159</v>
      </c>
      <c r="D2091" s="2" t="s">
        <v>6731</v>
      </c>
      <c r="E2091" s="2" t="s">
        <v>6732</v>
      </c>
      <c r="F2091" s="2" t="s">
        <v>6733</v>
      </c>
      <c r="G2091" s="2" t="s">
        <v>53</v>
      </c>
      <c r="H2091" s="2" t="s">
        <v>69</v>
      </c>
      <c r="I2091" s="2" t="s">
        <v>46</v>
      </c>
      <c r="J2091" s="2"/>
      <c r="K2091" s="2" t="s">
        <v>39</v>
      </c>
      <c r="L2091" s="2" t="s">
        <v>39</v>
      </c>
      <c r="M2091" s="2" t="s">
        <v>39</v>
      </c>
      <c r="N2091" s="2" t="s">
        <v>39</v>
      </c>
      <c r="O2091" s="2" t="s">
        <v>39</v>
      </c>
      <c r="P2091" s="2" t="s">
        <v>39</v>
      </c>
      <c r="Q2091" s="2" t="s">
        <v>39</v>
      </c>
      <c r="R2091" s="2" t="s">
        <v>39</v>
      </c>
      <c r="S2091" s="2" t="s">
        <v>39</v>
      </c>
      <c r="T2091" s="2" t="s">
        <v>39</v>
      </c>
      <c r="U2091" s="2" t="s">
        <v>39</v>
      </c>
      <c r="V2091" s="2" t="s">
        <v>39</v>
      </c>
      <c r="W2091" s="2" t="s">
        <v>39</v>
      </c>
      <c r="X2091" s="2" t="s">
        <v>39</v>
      </c>
      <c r="Y2091" s="2" t="s">
        <v>39</v>
      </c>
      <c r="Z2091" s="2" t="s">
        <v>39</v>
      </c>
      <c r="AA2091" s="2" t="s">
        <v>39</v>
      </c>
      <c r="AB2091" s="2" t="s">
        <v>39</v>
      </c>
      <c r="AC2091" s="2" t="s">
        <v>38</v>
      </c>
      <c r="AD2091" s="2" t="s">
        <v>39</v>
      </c>
      <c r="AE2091" s="2" t="s">
        <v>39</v>
      </c>
    </row>
    <row r="2092" spans="1:31" ht="409.5">
      <c r="A2092" s="2">
        <v>2725138</v>
      </c>
      <c r="B2092" s="2">
        <f>HYPERLINK("https://platform.v2.vetology.net/cases/2725138/screening-report/1?type=pdf&amp;v=v6&amp;scorecard=1&amp;secret_key=BX%25IJ%24%2F65ieZ%29f6", 2725138)</f>
        <v>2725138</v>
      </c>
      <c r="C2092" s="2">
        <f>HYPERLINK("https://platform.v2.vetology.net/report/v/final/"&amp;2725138, 2725138)</f>
        <v>2725138</v>
      </c>
      <c r="D2092" s="2" t="s">
        <v>6734</v>
      </c>
      <c r="E2092" s="2" t="s">
        <v>5126</v>
      </c>
      <c r="F2092" s="2" t="s">
        <v>3931</v>
      </c>
      <c r="G2092" s="2" t="s">
        <v>44</v>
      </c>
      <c r="H2092" s="2" t="s">
        <v>6735</v>
      </c>
      <c r="I2092" s="2" t="s">
        <v>36</v>
      </c>
      <c r="J2092" s="2" t="s">
        <v>37</v>
      </c>
      <c r="K2092" s="2" t="s">
        <v>38</v>
      </c>
      <c r="L2092" s="2" t="s">
        <v>38</v>
      </c>
      <c r="M2092" s="2" t="s">
        <v>38</v>
      </c>
      <c r="N2092" s="2" t="s">
        <v>38</v>
      </c>
      <c r="O2092" s="2" t="s">
        <v>38</v>
      </c>
      <c r="P2092" s="2" t="s">
        <v>39</v>
      </c>
      <c r="Q2092" s="2" t="s">
        <v>39</v>
      </c>
      <c r="R2092" s="2" t="s">
        <v>38</v>
      </c>
      <c r="S2092" s="2" t="s">
        <v>38</v>
      </c>
      <c r="T2092" s="2" t="s">
        <v>38</v>
      </c>
      <c r="U2092" s="2" t="s">
        <v>39</v>
      </c>
      <c r="V2092" s="2" t="s">
        <v>38</v>
      </c>
      <c r="W2092" s="2" t="s">
        <v>38</v>
      </c>
      <c r="X2092" s="2" t="s">
        <v>39</v>
      </c>
      <c r="Y2092" s="2" t="s">
        <v>39</v>
      </c>
      <c r="Z2092" s="2" t="s">
        <v>38</v>
      </c>
      <c r="AA2092" s="2" t="s">
        <v>39</v>
      </c>
      <c r="AB2092" s="2" t="s">
        <v>39</v>
      </c>
      <c r="AC2092" s="2" t="s">
        <v>38</v>
      </c>
      <c r="AD2092" s="2" t="s">
        <v>38</v>
      </c>
      <c r="AE2092" s="2" t="s">
        <v>39</v>
      </c>
    </row>
    <row r="2093" spans="1:31" ht="409.5">
      <c r="A2093" s="2">
        <v>2725126</v>
      </c>
      <c r="B2093" s="2">
        <f>HYPERLINK("https://platform.v2.vetology.net/cases/2725126/screening-report/1?type=pdf&amp;v=v6&amp;scorecard=1&amp;secret_key=BX%25IJ%24%2F65ieZ%29f6", 2725126)</f>
        <v>2725126</v>
      </c>
      <c r="C2093" s="2">
        <f>HYPERLINK("https://platform.v2.vetology.net/report/v/final/"&amp;2725126, 2725126)</f>
        <v>2725126</v>
      </c>
      <c r="D2093" s="2" t="s">
        <v>6736</v>
      </c>
      <c r="E2093" s="2" t="s">
        <v>6737</v>
      </c>
      <c r="F2093" s="2" t="s">
        <v>43</v>
      </c>
      <c r="G2093" s="2" t="s">
        <v>507</v>
      </c>
      <c r="H2093" s="2" t="s">
        <v>45</v>
      </c>
      <c r="I2093" s="2" t="s">
        <v>46</v>
      </c>
      <c r="J2093" s="2"/>
      <c r="K2093" s="2" t="s">
        <v>39</v>
      </c>
      <c r="L2093" s="2" t="s">
        <v>39</v>
      </c>
      <c r="M2093" s="2" t="s">
        <v>39</v>
      </c>
      <c r="N2093" s="2" t="s">
        <v>39</v>
      </c>
      <c r="O2093" s="2" t="s">
        <v>39</v>
      </c>
      <c r="P2093" s="2" t="s">
        <v>39</v>
      </c>
      <c r="Q2093" s="2" t="s">
        <v>39</v>
      </c>
      <c r="R2093" s="2" t="s">
        <v>38</v>
      </c>
      <c r="S2093" s="2" t="s">
        <v>39</v>
      </c>
      <c r="T2093" s="2" t="s">
        <v>39</v>
      </c>
      <c r="U2093" s="2" t="s">
        <v>39</v>
      </c>
      <c r="V2093" s="2" t="s">
        <v>39</v>
      </c>
      <c r="W2093" s="2" t="s">
        <v>38</v>
      </c>
      <c r="X2093" s="2" t="s">
        <v>38</v>
      </c>
      <c r="Y2093" s="2" t="s">
        <v>39</v>
      </c>
      <c r="Z2093" s="2" t="s">
        <v>38</v>
      </c>
      <c r="AA2093" s="2" t="s">
        <v>38</v>
      </c>
      <c r="AB2093" s="2" t="s">
        <v>38</v>
      </c>
      <c r="AC2093" s="2" t="s">
        <v>38</v>
      </c>
      <c r="AD2093" s="2" t="s">
        <v>39</v>
      </c>
      <c r="AE2093" s="2" t="s">
        <v>39</v>
      </c>
    </row>
    <row r="2094" spans="1:31" ht="409.5">
      <c r="A2094" s="2">
        <v>2725054</v>
      </c>
      <c r="B2094" s="2">
        <f>HYPERLINK("https://platform.v2.vetology.net/cases/2725054/screening-report/1?type=pdf&amp;v=v6&amp;scorecard=1&amp;secret_key=BX%25IJ%24%2F65ieZ%29f6", 2725054)</f>
        <v>2725054</v>
      </c>
      <c r="C2094" s="2">
        <f>HYPERLINK("https://platform.v2.vetology.net/report/v/final/"&amp;2725054, 2725054)</f>
        <v>2725054</v>
      </c>
      <c r="D2094" s="2" t="s">
        <v>6738</v>
      </c>
      <c r="E2094" s="2" t="s">
        <v>6739</v>
      </c>
      <c r="F2094" s="2"/>
      <c r="G2094" s="2" t="s">
        <v>100</v>
      </c>
      <c r="H2094" s="2" t="s">
        <v>530</v>
      </c>
      <c r="I2094" s="2" t="s">
        <v>59</v>
      </c>
      <c r="J2094" s="2" t="s">
        <v>37</v>
      </c>
      <c r="K2094" s="2" t="s">
        <v>38</v>
      </c>
      <c r="L2094" s="2" t="s">
        <v>39</v>
      </c>
      <c r="M2094" s="2" t="s">
        <v>39</v>
      </c>
      <c r="N2094" s="2" t="s">
        <v>39</v>
      </c>
      <c r="O2094" s="2" t="s">
        <v>39</v>
      </c>
      <c r="P2094" s="2" t="s">
        <v>39</v>
      </c>
      <c r="Q2094" s="2" t="s">
        <v>39</v>
      </c>
      <c r="R2094" s="2" t="s">
        <v>39</v>
      </c>
      <c r="S2094" s="2" t="s">
        <v>39</v>
      </c>
      <c r="T2094" s="2" t="s">
        <v>39</v>
      </c>
      <c r="U2094" s="2" t="s">
        <v>38</v>
      </c>
      <c r="V2094" s="2" t="s">
        <v>38</v>
      </c>
      <c r="W2094" s="2" t="s">
        <v>39</v>
      </c>
      <c r="X2094" s="2" t="s">
        <v>39</v>
      </c>
      <c r="Y2094" s="2" t="s">
        <v>39</v>
      </c>
      <c r="Z2094" s="2" t="s">
        <v>39</v>
      </c>
      <c r="AA2094" s="2" t="s">
        <v>39</v>
      </c>
      <c r="AB2094" s="2" t="s">
        <v>39</v>
      </c>
      <c r="AC2094" s="2" t="s">
        <v>39</v>
      </c>
      <c r="AD2094" s="2" t="s">
        <v>39</v>
      </c>
      <c r="AE2094" s="2" t="s">
        <v>39</v>
      </c>
    </row>
    <row r="2095" spans="1:31" ht="409.5">
      <c r="A2095" s="2">
        <v>2725033</v>
      </c>
      <c r="B2095" s="2">
        <f>HYPERLINK("https://platform.v2.vetology.net/cases/2725033/screening-report/1?type=pdf&amp;v=v6&amp;scorecard=1&amp;secret_key=BX%25IJ%24%2F65ieZ%29f6", 2725033)</f>
        <v>2725033</v>
      </c>
      <c r="C2095" s="2">
        <f>HYPERLINK("https://platform.v2.vetology.net/report/v/final/"&amp;2725033, 2725033)</f>
        <v>2725033</v>
      </c>
      <c r="D2095" s="2" t="s">
        <v>6740</v>
      </c>
      <c r="E2095" s="2" t="s">
        <v>6741</v>
      </c>
      <c r="F2095" s="2" t="s">
        <v>6742</v>
      </c>
      <c r="G2095" s="2" t="s">
        <v>170</v>
      </c>
      <c r="H2095" s="2" t="s">
        <v>1685</v>
      </c>
      <c r="I2095" s="2" t="s">
        <v>59</v>
      </c>
      <c r="J2095" s="2" t="s">
        <v>37</v>
      </c>
      <c r="K2095" s="2" t="s">
        <v>38</v>
      </c>
      <c r="L2095" s="2" t="s">
        <v>39</v>
      </c>
      <c r="M2095" s="2" t="s">
        <v>39</v>
      </c>
      <c r="N2095" s="2" t="s">
        <v>39</v>
      </c>
      <c r="O2095" s="2" t="s">
        <v>39</v>
      </c>
      <c r="P2095" s="2" t="s">
        <v>39</v>
      </c>
      <c r="Q2095" s="2" t="s">
        <v>39</v>
      </c>
      <c r="R2095" s="2" t="s">
        <v>38</v>
      </c>
      <c r="S2095" s="2" t="s">
        <v>39</v>
      </c>
      <c r="T2095" s="2" t="s">
        <v>39</v>
      </c>
      <c r="U2095" s="2" t="s">
        <v>38</v>
      </c>
      <c r="V2095" s="2" t="s">
        <v>38</v>
      </c>
      <c r="W2095" s="2" t="s">
        <v>38</v>
      </c>
      <c r="X2095" s="2" t="s">
        <v>39</v>
      </c>
      <c r="Y2095" s="2" t="s">
        <v>39</v>
      </c>
      <c r="Z2095" s="2" t="s">
        <v>39</v>
      </c>
      <c r="AA2095" s="2" t="s">
        <v>39</v>
      </c>
      <c r="AB2095" s="2" t="s">
        <v>39</v>
      </c>
      <c r="AC2095" s="2" t="s">
        <v>38</v>
      </c>
      <c r="AD2095" s="2" t="s">
        <v>38</v>
      </c>
      <c r="AE2095" s="2" t="s">
        <v>39</v>
      </c>
    </row>
    <row r="2096" spans="1:31" ht="409.5">
      <c r="A2096" s="2">
        <v>2724944</v>
      </c>
      <c r="B2096" s="2">
        <f>HYPERLINK("https://platform.v2.vetology.net/cases/2724944/screening-report/1?type=pdf&amp;v=v6&amp;scorecard=1&amp;secret_key=BX%25IJ%24%2F65ieZ%29f6", 2724944)</f>
        <v>2724944</v>
      </c>
      <c r="C2096" s="2">
        <f>HYPERLINK("https://platform.v2.vetology.net/report/v/final/"&amp;2724944, 2724944)</f>
        <v>2724944</v>
      </c>
      <c r="D2096" s="2" t="s">
        <v>6743</v>
      </c>
      <c r="E2096" s="2" t="s">
        <v>6744</v>
      </c>
      <c r="F2096" s="2" t="s">
        <v>6745</v>
      </c>
      <c r="G2096" s="2" t="s">
        <v>53</v>
      </c>
      <c r="H2096" s="2" t="s">
        <v>6746</v>
      </c>
      <c r="I2096" s="2" t="s">
        <v>36</v>
      </c>
      <c r="J2096" s="2" t="s">
        <v>37</v>
      </c>
      <c r="K2096" s="2" t="s">
        <v>39</v>
      </c>
      <c r="L2096" s="2" t="s">
        <v>38</v>
      </c>
      <c r="M2096" s="2" t="s">
        <v>39</v>
      </c>
      <c r="N2096" s="2" t="s">
        <v>38</v>
      </c>
      <c r="O2096" s="2" t="s">
        <v>39</v>
      </c>
      <c r="P2096" s="2" t="s">
        <v>39</v>
      </c>
      <c r="Q2096" s="2" t="s">
        <v>39</v>
      </c>
      <c r="R2096" s="2" t="s">
        <v>38</v>
      </c>
      <c r="S2096" s="2" t="s">
        <v>38</v>
      </c>
      <c r="T2096" s="2" t="s">
        <v>38</v>
      </c>
      <c r="U2096" s="2" t="s">
        <v>39</v>
      </c>
      <c r="V2096" s="2" t="s">
        <v>39</v>
      </c>
      <c r="W2096" s="2" t="s">
        <v>38</v>
      </c>
      <c r="X2096" s="2" t="s">
        <v>39</v>
      </c>
      <c r="Y2096" s="2" t="s">
        <v>39</v>
      </c>
      <c r="Z2096" s="2" t="s">
        <v>38</v>
      </c>
      <c r="AA2096" s="2" t="s">
        <v>38</v>
      </c>
      <c r="AB2096" s="2" t="s">
        <v>39</v>
      </c>
      <c r="AC2096" s="2" t="s">
        <v>38</v>
      </c>
      <c r="AD2096" s="2" t="s">
        <v>38</v>
      </c>
      <c r="AE2096" s="2" t="s">
        <v>39</v>
      </c>
    </row>
    <row r="2097" spans="1:31" ht="409.5">
      <c r="A2097" s="2">
        <v>2724930</v>
      </c>
      <c r="B2097" s="2">
        <f>HYPERLINK("https://platform.v2.vetology.net/cases/2724930/screening-report/1?type=pdf&amp;v=v6&amp;scorecard=1&amp;secret_key=BX%25IJ%24%2F65ieZ%29f6", 2724930)</f>
        <v>2724930</v>
      </c>
      <c r="C2097" s="2">
        <f>HYPERLINK("https://platform.v2.vetology.net/report/v/final/"&amp;2724930, 2724930)</f>
        <v>2724930</v>
      </c>
      <c r="D2097" s="2" t="s">
        <v>6747</v>
      </c>
      <c r="E2097" s="2" t="s">
        <v>6748</v>
      </c>
      <c r="F2097" s="2" t="s">
        <v>229</v>
      </c>
      <c r="G2097" s="2" t="s">
        <v>170</v>
      </c>
      <c r="H2097" s="2" t="s">
        <v>6749</v>
      </c>
      <c r="I2097" s="2" t="s">
        <v>36</v>
      </c>
      <c r="J2097" s="2" t="s">
        <v>37</v>
      </c>
      <c r="K2097" s="2" t="s">
        <v>38</v>
      </c>
      <c r="L2097" s="2" t="s">
        <v>38</v>
      </c>
      <c r="M2097" s="2" t="s">
        <v>38</v>
      </c>
      <c r="N2097" s="2" t="s">
        <v>39</v>
      </c>
      <c r="O2097" s="2" t="s">
        <v>38</v>
      </c>
      <c r="P2097" s="2" t="s">
        <v>39</v>
      </c>
      <c r="Q2097" s="2" t="s">
        <v>39</v>
      </c>
      <c r="R2097" s="2" t="s">
        <v>38</v>
      </c>
      <c r="S2097" s="2" t="s">
        <v>38</v>
      </c>
      <c r="T2097" s="2" t="s">
        <v>38</v>
      </c>
      <c r="U2097" s="2" t="s">
        <v>39</v>
      </c>
      <c r="V2097" s="2" t="s">
        <v>38</v>
      </c>
      <c r="W2097" s="2" t="s">
        <v>38</v>
      </c>
      <c r="X2097" s="2" t="s">
        <v>39</v>
      </c>
      <c r="Y2097" s="2" t="s">
        <v>38</v>
      </c>
      <c r="Z2097" s="2" t="s">
        <v>38</v>
      </c>
      <c r="AA2097" s="2" t="s">
        <v>39</v>
      </c>
      <c r="AB2097" s="2" t="s">
        <v>39</v>
      </c>
      <c r="AC2097" s="2" t="s">
        <v>38</v>
      </c>
      <c r="AD2097" s="2" t="s">
        <v>38</v>
      </c>
      <c r="AE2097" s="2" t="s">
        <v>40</v>
      </c>
    </row>
    <row r="2098" spans="1:31" ht="409.5">
      <c r="A2098" s="2">
        <v>2724926</v>
      </c>
      <c r="B2098" s="2">
        <f>HYPERLINK("https://platform.v2.vetology.net/cases/2724926/screening-report/1?type=pdf&amp;v=v6&amp;scorecard=1&amp;secret_key=BX%25IJ%24%2F65ieZ%29f6", 2724926)</f>
        <v>2724926</v>
      </c>
      <c r="C2098" s="2">
        <f>HYPERLINK("https://platform.v2.vetology.net/report/v/final/"&amp;2724926, 2724926)</f>
        <v>2724926</v>
      </c>
      <c r="D2098" s="2" t="s">
        <v>6750</v>
      </c>
      <c r="E2098" s="2" t="s">
        <v>6751</v>
      </c>
      <c r="F2098" s="2"/>
      <c r="G2098" s="2" t="s">
        <v>100</v>
      </c>
      <c r="H2098" s="2" t="s">
        <v>1241</v>
      </c>
      <c r="I2098" s="2" t="s">
        <v>36</v>
      </c>
      <c r="J2098" s="2" t="s">
        <v>37</v>
      </c>
      <c r="K2098" s="2" t="s">
        <v>39</v>
      </c>
      <c r="L2098" s="2" t="s">
        <v>39</v>
      </c>
      <c r="M2098" s="2" t="s">
        <v>38</v>
      </c>
      <c r="N2098" s="2" t="s">
        <v>39</v>
      </c>
      <c r="O2098" s="2" t="s">
        <v>38</v>
      </c>
      <c r="P2098" s="2" t="s">
        <v>39</v>
      </c>
      <c r="Q2098" s="2" t="s">
        <v>39</v>
      </c>
      <c r="R2098" s="2" t="s">
        <v>39</v>
      </c>
      <c r="S2098" s="2" t="s">
        <v>39</v>
      </c>
      <c r="T2098" s="2" t="s">
        <v>39</v>
      </c>
      <c r="U2098" s="2" t="s">
        <v>39</v>
      </c>
      <c r="V2098" s="2" t="s">
        <v>39</v>
      </c>
      <c r="W2098" s="2" t="s">
        <v>38</v>
      </c>
      <c r="X2098" s="2" t="s">
        <v>39</v>
      </c>
      <c r="Y2098" s="2" t="s">
        <v>39</v>
      </c>
      <c r="Z2098" s="2" t="s">
        <v>39</v>
      </c>
      <c r="AA2098" s="2" t="s">
        <v>39</v>
      </c>
      <c r="AB2098" s="2" t="s">
        <v>39</v>
      </c>
      <c r="AC2098" s="2" t="s">
        <v>39</v>
      </c>
      <c r="AD2098" s="2" t="s">
        <v>39</v>
      </c>
      <c r="AE2098" s="2" t="s">
        <v>40</v>
      </c>
    </row>
    <row r="2099" spans="1:31" ht="409.5">
      <c r="A2099" s="2">
        <v>2724886</v>
      </c>
      <c r="B2099" s="2">
        <f>HYPERLINK("https://platform.v2.vetology.net/cases/2724886/screening-report/1?type=pdf&amp;v=v6&amp;scorecard=1&amp;secret_key=BX%25IJ%24%2F65ieZ%29f6", 2724886)</f>
        <v>2724886</v>
      </c>
      <c r="C2099" s="2">
        <f>HYPERLINK("https://platform.v2.vetology.net/report/v/final/"&amp;2724886, 2724886)</f>
        <v>2724886</v>
      </c>
      <c r="D2099" s="2" t="s">
        <v>6752</v>
      </c>
      <c r="E2099" s="2" t="s">
        <v>6753</v>
      </c>
      <c r="F2099" s="2" t="s">
        <v>6754</v>
      </c>
      <c r="G2099" s="2" t="s">
        <v>170</v>
      </c>
      <c r="H2099" s="2" t="s">
        <v>62</v>
      </c>
      <c r="I2099" s="2" t="s">
        <v>46</v>
      </c>
      <c r="J2099" s="2"/>
      <c r="K2099" s="2" t="s">
        <v>39</v>
      </c>
      <c r="L2099" s="2" t="s">
        <v>39</v>
      </c>
      <c r="M2099" s="2" t="s">
        <v>39</v>
      </c>
      <c r="N2099" s="2" t="s">
        <v>39</v>
      </c>
      <c r="O2099" s="2" t="s">
        <v>39</v>
      </c>
      <c r="P2099" s="2" t="s">
        <v>39</v>
      </c>
      <c r="Q2099" s="2" t="s">
        <v>39</v>
      </c>
      <c r="R2099" s="2" t="s">
        <v>38</v>
      </c>
      <c r="S2099" s="2" t="s">
        <v>38</v>
      </c>
      <c r="T2099" s="2" t="s">
        <v>39</v>
      </c>
      <c r="U2099" s="2" t="s">
        <v>39</v>
      </c>
      <c r="V2099" s="2" t="s">
        <v>39</v>
      </c>
      <c r="W2099" s="2" t="s">
        <v>39</v>
      </c>
      <c r="X2099" s="2" t="s">
        <v>39</v>
      </c>
      <c r="Y2099" s="2" t="s">
        <v>39</v>
      </c>
      <c r="Z2099" s="2" t="s">
        <v>39</v>
      </c>
      <c r="AA2099" s="2" t="s">
        <v>39</v>
      </c>
      <c r="AB2099" s="2" t="s">
        <v>39</v>
      </c>
      <c r="AC2099" s="2" t="s">
        <v>39</v>
      </c>
      <c r="AD2099" s="2" t="s">
        <v>39</v>
      </c>
      <c r="AE2099" s="2"/>
    </row>
    <row r="2100" spans="1:31" ht="409.5">
      <c r="A2100" s="2">
        <v>2724767</v>
      </c>
      <c r="B2100" s="2">
        <f>HYPERLINK("https://platform.v2.vetology.net/cases/2724767/screening-report/1?type=pdf&amp;v=v6&amp;scorecard=1&amp;secret_key=BX%25IJ%24%2F65ieZ%29f6", 2724767)</f>
        <v>2724767</v>
      </c>
      <c r="C2100" s="2">
        <f>HYPERLINK("https://platform.v2.vetology.net/report/v/final/"&amp;2724767, 2724767)</f>
        <v>2724767</v>
      </c>
      <c r="D2100" s="2" t="s">
        <v>6755</v>
      </c>
      <c r="E2100" s="2" t="s">
        <v>6756</v>
      </c>
      <c r="F2100" s="2" t="s">
        <v>43</v>
      </c>
      <c r="G2100" s="2" t="s">
        <v>507</v>
      </c>
      <c r="H2100" s="2" t="s">
        <v>6757</v>
      </c>
      <c r="I2100" s="2" t="s">
        <v>129</v>
      </c>
      <c r="J2100" s="2" t="s">
        <v>74</v>
      </c>
      <c r="K2100" s="2" t="s">
        <v>39</v>
      </c>
      <c r="L2100" s="2" t="s">
        <v>39</v>
      </c>
      <c r="M2100" s="2" t="s">
        <v>38</v>
      </c>
      <c r="N2100" s="2" t="s">
        <v>38</v>
      </c>
      <c r="O2100" s="2" t="s">
        <v>38</v>
      </c>
      <c r="P2100" s="2" t="s">
        <v>38</v>
      </c>
      <c r="Q2100" s="2" t="s">
        <v>38</v>
      </c>
      <c r="R2100" s="2" t="s">
        <v>39</v>
      </c>
      <c r="S2100" s="2" t="s">
        <v>39</v>
      </c>
      <c r="T2100" s="2" t="s">
        <v>38</v>
      </c>
      <c r="U2100" s="2" t="s">
        <v>39</v>
      </c>
      <c r="V2100" s="2" t="s">
        <v>39</v>
      </c>
      <c r="W2100" s="2" t="s">
        <v>38</v>
      </c>
      <c r="X2100" s="2" t="s">
        <v>39</v>
      </c>
      <c r="Y2100" s="2" t="s">
        <v>39</v>
      </c>
      <c r="Z2100" s="2" t="s">
        <v>38</v>
      </c>
      <c r="AA2100" s="2" t="s">
        <v>38</v>
      </c>
      <c r="AB2100" s="2" t="s">
        <v>39</v>
      </c>
      <c r="AC2100" s="2" t="s">
        <v>38</v>
      </c>
      <c r="AD2100" s="2" t="s">
        <v>39</v>
      </c>
      <c r="AE2100" s="2" t="s">
        <v>40</v>
      </c>
    </row>
    <row r="2101" spans="1:31" ht="409.5">
      <c r="A2101" s="2">
        <v>2724743</v>
      </c>
      <c r="B2101" s="2">
        <f>HYPERLINK("https://platform.v2.vetology.net/cases/2724743/screening-report/1?type=pdf&amp;v=v6&amp;scorecard=1&amp;secret_key=BX%25IJ%24%2F65ieZ%29f6", 2724743)</f>
        <v>2724743</v>
      </c>
      <c r="C2101" s="2">
        <f>HYPERLINK("https://platform.v2.vetology.net/report/v/final/"&amp;2724743, 2724743)</f>
        <v>2724743</v>
      </c>
      <c r="D2101" s="2" t="s">
        <v>6758</v>
      </c>
      <c r="E2101" s="2" t="s">
        <v>4764</v>
      </c>
      <c r="F2101" s="2" t="s">
        <v>43</v>
      </c>
      <c r="G2101" s="2" t="s">
        <v>44</v>
      </c>
      <c r="H2101" s="2" t="s">
        <v>69</v>
      </c>
      <c r="I2101" s="2" t="s">
        <v>46</v>
      </c>
      <c r="J2101" s="2"/>
      <c r="K2101" s="2" t="s">
        <v>39</v>
      </c>
      <c r="L2101" s="2" t="s">
        <v>39</v>
      </c>
      <c r="M2101" s="2" t="s">
        <v>39</v>
      </c>
      <c r="N2101" s="2" t="s">
        <v>39</v>
      </c>
      <c r="O2101" s="2" t="s">
        <v>39</v>
      </c>
      <c r="P2101" s="2" t="s">
        <v>39</v>
      </c>
      <c r="Q2101" s="2" t="s">
        <v>39</v>
      </c>
      <c r="R2101" s="2" t="s">
        <v>39</v>
      </c>
      <c r="S2101" s="2" t="s">
        <v>39</v>
      </c>
      <c r="T2101" s="2" t="s">
        <v>39</v>
      </c>
      <c r="U2101" s="2" t="s">
        <v>39</v>
      </c>
      <c r="V2101" s="2" t="s">
        <v>39</v>
      </c>
      <c r="W2101" s="2" t="s">
        <v>39</v>
      </c>
      <c r="X2101" s="2" t="s">
        <v>39</v>
      </c>
      <c r="Y2101" s="2" t="s">
        <v>39</v>
      </c>
      <c r="Z2101" s="2" t="s">
        <v>39</v>
      </c>
      <c r="AA2101" s="2" t="s">
        <v>39</v>
      </c>
      <c r="AB2101" s="2" t="s">
        <v>39</v>
      </c>
      <c r="AC2101" s="2" t="s">
        <v>39</v>
      </c>
      <c r="AD2101" s="2" t="s">
        <v>39</v>
      </c>
      <c r="AE2101" s="2" t="s">
        <v>39</v>
      </c>
    </row>
    <row r="2102" spans="1:31" ht="409.5">
      <c r="A2102" s="2">
        <v>2724724</v>
      </c>
      <c r="B2102" s="2">
        <f>HYPERLINK("https://platform.v2.vetology.net/cases/2724724/screening-report/1?type=pdf&amp;v=v6&amp;scorecard=1&amp;secret_key=BX%25IJ%24%2F65ieZ%29f6", 2724724)</f>
        <v>2724724</v>
      </c>
      <c r="C2102" s="2">
        <f>HYPERLINK("https://platform.v2.vetology.net/report/v/final/"&amp;2724724, 2724724)</f>
        <v>2724724</v>
      </c>
      <c r="D2102" s="2" t="s">
        <v>6759</v>
      </c>
      <c r="E2102" s="2" t="s">
        <v>6760</v>
      </c>
      <c r="F2102" s="2" t="s">
        <v>2259</v>
      </c>
      <c r="G2102" s="2" t="s">
        <v>111</v>
      </c>
      <c r="H2102" s="2" t="s">
        <v>6761</v>
      </c>
      <c r="I2102" s="2" t="s">
        <v>73</v>
      </c>
      <c r="J2102" s="2" t="s">
        <v>74</v>
      </c>
      <c r="K2102" s="2" t="s">
        <v>38</v>
      </c>
      <c r="L2102" s="2" t="s">
        <v>38</v>
      </c>
      <c r="M2102" s="2" t="s">
        <v>38</v>
      </c>
      <c r="N2102" s="2" t="s">
        <v>38</v>
      </c>
      <c r="O2102" s="2" t="s">
        <v>38</v>
      </c>
      <c r="P2102" s="2" t="s">
        <v>38</v>
      </c>
      <c r="Q2102" s="2" t="s">
        <v>38</v>
      </c>
      <c r="R2102" s="2" t="s">
        <v>38</v>
      </c>
      <c r="S2102" s="2" t="s">
        <v>38</v>
      </c>
      <c r="T2102" s="2" t="s">
        <v>38</v>
      </c>
      <c r="U2102" s="2" t="s">
        <v>38</v>
      </c>
      <c r="V2102" s="2" t="s">
        <v>38</v>
      </c>
      <c r="W2102" s="2" t="s">
        <v>38</v>
      </c>
      <c r="X2102" s="2" t="s">
        <v>38</v>
      </c>
      <c r="Y2102" s="2" t="s">
        <v>38</v>
      </c>
      <c r="Z2102" s="2" t="s">
        <v>38</v>
      </c>
      <c r="AA2102" s="2" t="s">
        <v>38</v>
      </c>
      <c r="AB2102" s="2" t="s">
        <v>38</v>
      </c>
      <c r="AC2102" s="2" t="s">
        <v>38</v>
      </c>
      <c r="AD2102" s="2" t="s">
        <v>38</v>
      </c>
      <c r="AE2102" s="2" t="s">
        <v>39</v>
      </c>
    </row>
    <row r="2103" spans="1:31" ht="409.5">
      <c r="A2103" s="2">
        <v>2724714</v>
      </c>
      <c r="B2103" s="2">
        <f>HYPERLINK("https://platform.v2.vetology.net/cases/2724714/screening-report/1?type=pdf&amp;v=v6&amp;scorecard=1&amp;secret_key=BX%25IJ%24%2F65ieZ%29f6", 2724714)</f>
        <v>2724714</v>
      </c>
      <c r="C2103" s="2">
        <f>HYPERLINK("https://platform.v2.vetology.net/report/v/final/"&amp;2724714, 2724714)</f>
        <v>2724714</v>
      </c>
      <c r="D2103" s="2" t="s">
        <v>6762</v>
      </c>
      <c r="E2103" s="2" t="s">
        <v>6763</v>
      </c>
      <c r="F2103" s="2" t="s">
        <v>6764</v>
      </c>
      <c r="G2103" s="2" t="s">
        <v>111</v>
      </c>
      <c r="H2103" s="2" t="s">
        <v>6765</v>
      </c>
      <c r="I2103" s="2" t="s">
        <v>73</v>
      </c>
      <c r="J2103" s="2" t="s">
        <v>74</v>
      </c>
      <c r="K2103" s="2" t="s">
        <v>38</v>
      </c>
      <c r="L2103" s="2" t="s">
        <v>38</v>
      </c>
      <c r="M2103" s="2" t="s">
        <v>38</v>
      </c>
      <c r="N2103" s="2" t="s">
        <v>38</v>
      </c>
      <c r="O2103" s="2" t="s">
        <v>38</v>
      </c>
      <c r="P2103" s="2" t="s">
        <v>38</v>
      </c>
      <c r="Q2103" s="2" t="s">
        <v>38</v>
      </c>
      <c r="R2103" s="2" t="s">
        <v>38</v>
      </c>
      <c r="S2103" s="2" t="s">
        <v>38</v>
      </c>
      <c r="T2103" s="2" t="s">
        <v>38</v>
      </c>
      <c r="U2103" s="2" t="s">
        <v>39</v>
      </c>
      <c r="V2103" s="2" t="s">
        <v>38</v>
      </c>
      <c r="W2103" s="2" t="s">
        <v>38</v>
      </c>
      <c r="X2103" s="2" t="s">
        <v>38</v>
      </c>
      <c r="Y2103" s="2" t="s">
        <v>38</v>
      </c>
      <c r="Z2103" s="2" t="s">
        <v>38</v>
      </c>
      <c r="AA2103" s="2" t="s">
        <v>38</v>
      </c>
      <c r="AB2103" s="2" t="s">
        <v>38</v>
      </c>
      <c r="AC2103" s="2" t="s">
        <v>38</v>
      </c>
      <c r="AD2103" s="2" t="s">
        <v>39</v>
      </c>
      <c r="AE2103" s="2" t="s">
        <v>39</v>
      </c>
    </row>
    <row r="2104" spans="1:31" ht="409.5">
      <c r="A2104" s="2">
        <v>2724672</v>
      </c>
      <c r="B2104" s="2">
        <f>HYPERLINK("https://platform.v2.vetology.net/cases/2724672/screening-report/1?type=pdf&amp;v=v6&amp;scorecard=1&amp;secret_key=BX%25IJ%24%2F65ieZ%29f6", 2724672)</f>
        <v>2724672</v>
      </c>
      <c r="C2104" s="2">
        <f>HYPERLINK("https://platform.v2.vetology.net/report/v/final/"&amp;2724672, 2724672)</f>
        <v>2724672</v>
      </c>
      <c r="D2104" s="2" t="s">
        <v>6766</v>
      </c>
      <c r="E2104" s="2" t="s">
        <v>6767</v>
      </c>
      <c r="F2104" s="2" t="s">
        <v>43</v>
      </c>
      <c r="G2104" s="2" t="s">
        <v>44</v>
      </c>
      <c r="H2104" s="2" t="s">
        <v>6768</v>
      </c>
      <c r="I2104" s="2" t="s">
        <v>73</v>
      </c>
      <c r="J2104" s="2" t="s">
        <v>74</v>
      </c>
      <c r="K2104" s="2" t="s">
        <v>38</v>
      </c>
      <c r="L2104" s="2" t="s">
        <v>38</v>
      </c>
      <c r="M2104" s="2" t="s">
        <v>38</v>
      </c>
      <c r="N2104" s="2" t="s">
        <v>38</v>
      </c>
      <c r="O2104" s="2" t="s">
        <v>38</v>
      </c>
      <c r="P2104" s="2" t="s">
        <v>38</v>
      </c>
      <c r="Q2104" s="2" t="s">
        <v>38</v>
      </c>
      <c r="R2104" s="2" t="s">
        <v>38</v>
      </c>
      <c r="S2104" s="2" t="s">
        <v>38</v>
      </c>
      <c r="T2104" s="2" t="s">
        <v>38</v>
      </c>
      <c r="U2104" s="2" t="s">
        <v>38</v>
      </c>
      <c r="V2104" s="2" t="s">
        <v>38</v>
      </c>
      <c r="W2104" s="2" t="s">
        <v>38</v>
      </c>
      <c r="X2104" s="2" t="s">
        <v>38</v>
      </c>
      <c r="Y2104" s="2" t="s">
        <v>39</v>
      </c>
      <c r="Z2104" s="2" t="s">
        <v>38</v>
      </c>
      <c r="AA2104" s="2" t="s">
        <v>38</v>
      </c>
      <c r="AB2104" s="2" t="s">
        <v>38</v>
      </c>
      <c r="AC2104" s="2" t="s">
        <v>38</v>
      </c>
      <c r="AD2104" s="2" t="s">
        <v>38</v>
      </c>
      <c r="AE2104" s="2" t="s">
        <v>39</v>
      </c>
    </row>
    <row r="2105" spans="1:31" ht="409.5">
      <c r="A2105" s="2">
        <v>2724646</v>
      </c>
      <c r="B2105" s="2">
        <f>HYPERLINK("https://platform.v2.vetology.net/cases/2724646/screening-report/1?type=pdf&amp;v=v6&amp;scorecard=1&amp;secret_key=BX%25IJ%24%2F65ieZ%29f6", 2724646)</f>
        <v>2724646</v>
      </c>
      <c r="C2105" s="2">
        <f>HYPERLINK("https://platform.v2.vetology.net/report/v/final/"&amp;2724646, 2724646)</f>
        <v>2724646</v>
      </c>
      <c r="D2105" s="2" t="s">
        <v>6769</v>
      </c>
      <c r="E2105" s="2" t="s">
        <v>6770</v>
      </c>
      <c r="F2105" s="2" t="s">
        <v>694</v>
      </c>
      <c r="G2105" s="2" t="s">
        <v>34</v>
      </c>
      <c r="H2105" s="2" t="s">
        <v>6771</v>
      </c>
      <c r="I2105" s="2" t="s">
        <v>73</v>
      </c>
      <c r="J2105" s="2" t="s">
        <v>74</v>
      </c>
      <c r="K2105" s="2" t="s">
        <v>38</v>
      </c>
      <c r="L2105" s="2" t="s">
        <v>38</v>
      </c>
      <c r="M2105" s="2" t="s">
        <v>38</v>
      </c>
      <c r="N2105" s="2" t="s">
        <v>38</v>
      </c>
      <c r="O2105" s="2" t="s">
        <v>38</v>
      </c>
      <c r="P2105" s="2" t="s">
        <v>38</v>
      </c>
      <c r="Q2105" s="2" t="s">
        <v>38</v>
      </c>
      <c r="R2105" s="2" t="s">
        <v>38</v>
      </c>
      <c r="S2105" s="2" t="s">
        <v>38</v>
      </c>
      <c r="T2105" s="2" t="s">
        <v>38</v>
      </c>
      <c r="U2105" s="2" t="s">
        <v>38</v>
      </c>
      <c r="V2105" s="2" t="s">
        <v>38</v>
      </c>
      <c r="W2105" s="2" t="s">
        <v>38</v>
      </c>
      <c r="X2105" s="2" t="s">
        <v>38</v>
      </c>
      <c r="Y2105" s="2" t="s">
        <v>38</v>
      </c>
      <c r="Z2105" s="2" t="s">
        <v>38</v>
      </c>
      <c r="AA2105" s="2" t="s">
        <v>38</v>
      </c>
      <c r="AB2105" s="2" t="s">
        <v>38</v>
      </c>
      <c r="AC2105" s="2" t="s">
        <v>38</v>
      </c>
      <c r="AD2105" s="2" t="s">
        <v>38</v>
      </c>
      <c r="AE2105" s="2" t="s">
        <v>40</v>
      </c>
    </row>
    <row r="2106" spans="1:31" ht="409.5">
      <c r="A2106" s="2">
        <v>2724622</v>
      </c>
      <c r="B2106" s="2">
        <f>HYPERLINK("https://platform.v2.vetology.net/cases/2724622/screening-report/1?type=pdf&amp;v=v6&amp;scorecard=1&amp;secret_key=BX%25IJ%24%2F65ieZ%29f6", 2724622)</f>
        <v>2724622</v>
      </c>
      <c r="C2106" s="2">
        <f>HYPERLINK("https://platform.v2.vetology.net/report/v/final/"&amp;2724622, 2724622)</f>
        <v>2724622</v>
      </c>
      <c r="D2106" s="2" t="s">
        <v>6772</v>
      </c>
      <c r="E2106" s="2" t="s">
        <v>6773</v>
      </c>
      <c r="F2106" s="2" t="s">
        <v>6774</v>
      </c>
      <c r="G2106" s="2" t="s">
        <v>34</v>
      </c>
      <c r="H2106" s="2" t="s">
        <v>6775</v>
      </c>
      <c r="I2106" s="2" t="s">
        <v>73</v>
      </c>
      <c r="J2106" s="2" t="s">
        <v>74</v>
      </c>
      <c r="K2106" s="2" t="s">
        <v>38</v>
      </c>
      <c r="L2106" s="2" t="s">
        <v>38</v>
      </c>
      <c r="M2106" s="2" t="s">
        <v>38</v>
      </c>
      <c r="N2106" s="2" t="s">
        <v>38</v>
      </c>
      <c r="O2106" s="2" t="s">
        <v>38</v>
      </c>
      <c r="P2106" s="2" t="s">
        <v>38</v>
      </c>
      <c r="Q2106" s="2" t="s">
        <v>38</v>
      </c>
      <c r="R2106" s="2" t="s">
        <v>38</v>
      </c>
      <c r="S2106" s="2" t="s">
        <v>38</v>
      </c>
      <c r="T2106" s="2" t="s">
        <v>38</v>
      </c>
      <c r="U2106" s="2" t="s">
        <v>38</v>
      </c>
      <c r="V2106" s="2" t="s">
        <v>38</v>
      </c>
      <c r="W2106" s="2" t="s">
        <v>38</v>
      </c>
      <c r="X2106" s="2" t="s">
        <v>38</v>
      </c>
      <c r="Y2106" s="2" t="s">
        <v>38</v>
      </c>
      <c r="Z2106" s="2" t="s">
        <v>38</v>
      </c>
      <c r="AA2106" s="2" t="s">
        <v>38</v>
      </c>
      <c r="AB2106" s="2" t="s">
        <v>38</v>
      </c>
      <c r="AC2106" s="2" t="s">
        <v>38</v>
      </c>
      <c r="AD2106" s="2" t="s">
        <v>38</v>
      </c>
      <c r="AE2106" s="2" t="s">
        <v>40</v>
      </c>
    </row>
    <row r="2107" spans="1:31" ht="409.5">
      <c r="A2107" s="2">
        <v>2724620</v>
      </c>
      <c r="B2107" s="2">
        <f>HYPERLINK("https://platform.v2.vetology.net/cases/2724620/screening-report/1?type=pdf&amp;v=v6&amp;scorecard=1&amp;secret_key=BX%25IJ%24%2F65ieZ%29f6", 2724620)</f>
        <v>2724620</v>
      </c>
      <c r="C2107" s="2">
        <f>HYPERLINK("https://platform.v2.vetology.net/report/v/final/"&amp;2724620, 2724620)</f>
        <v>2724620</v>
      </c>
      <c r="D2107" s="2" t="s">
        <v>6776</v>
      </c>
      <c r="E2107" s="2" t="s">
        <v>6777</v>
      </c>
      <c r="F2107" s="2" t="s">
        <v>6778</v>
      </c>
      <c r="G2107" s="2" t="s">
        <v>53</v>
      </c>
      <c r="H2107" s="2" t="s">
        <v>3263</v>
      </c>
      <c r="I2107" s="2" t="s">
        <v>36</v>
      </c>
      <c r="J2107" s="2" t="s">
        <v>37</v>
      </c>
      <c r="K2107" s="2" t="s">
        <v>38</v>
      </c>
      <c r="L2107" s="2" t="s">
        <v>38</v>
      </c>
      <c r="M2107" s="2" t="s">
        <v>39</v>
      </c>
      <c r="N2107" s="2" t="s">
        <v>38</v>
      </c>
      <c r="O2107" s="2" t="s">
        <v>39</v>
      </c>
      <c r="P2107" s="2" t="s">
        <v>39</v>
      </c>
      <c r="Q2107" s="2" t="s">
        <v>39</v>
      </c>
      <c r="R2107" s="2" t="s">
        <v>38</v>
      </c>
      <c r="S2107" s="2" t="s">
        <v>38</v>
      </c>
      <c r="T2107" s="2" t="s">
        <v>38</v>
      </c>
      <c r="U2107" s="2" t="s">
        <v>39</v>
      </c>
      <c r="V2107" s="2" t="s">
        <v>38</v>
      </c>
      <c r="W2107" s="2" t="s">
        <v>38</v>
      </c>
      <c r="X2107" s="2" t="s">
        <v>39</v>
      </c>
      <c r="Y2107" s="2" t="s">
        <v>38</v>
      </c>
      <c r="Z2107" s="2" t="s">
        <v>38</v>
      </c>
      <c r="AA2107" s="2" t="s">
        <v>39</v>
      </c>
      <c r="AB2107" s="2" t="s">
        <v>39</v>
      </c>
      <c r="AC2107" s="2" t="s">
        <v>38</v>
      </c>
      <c r="AD2107" s="2" t="s">
        <v>39</v>
      </c>
      <c r="AE2107" s="2" t="s">
        <v>39</v>
      </c>
    </row>
    <row r="2108" spans="1:31" ht="409.5">
      <c r="A2108" s="2">
        <v>2724617</v>
      </c>
      <c r="B2108" s="2">
        <f>HYPERLINK("https://platform.v2.vetology.net/cases/2724617/screening-report/1?type=pdf&amp;v=v6&amp;scorecard=1&amp;secret_key=BX%25IJ%24%2F65ieZ%29f6", 2724617)</f>
        <v>2724617</v>
      </c>
      <c r="C2108" s="2">
        <f>HYPERLINK("https://platform.v2.vetology.net/report/v/final/"&amp;2724617, 2724617)</f>
        <v>2724617</v>
      </c>
      <c r="D2108" s="2" t="s">
        <v>6779</v>
      </c>
      <c r="E2108" s="2" t="s">
        <v>6780</v>
      </c>
      <c r="F2108" s="2" t="s">
        <v>43</v>
      </c>
      <c r="G2108" s="2" t="s">
        <v>44</v>
      </c>
      <c r="H2108" s="2" t="s">
        <v>6781</v>
      </c>
      <c r="I2108" s="2" t="s">
        <v>73</v>
      </c>
      <c r="J2108" s="2" t="s">
        <v>74</v>
      </c>
      <c r="K2108" s="2" t="s">
        <v>38</v>
      </c>
      <c r="L2108" s="2" t="s">
        <v>38</v>
      </c>
      <c r="M2108" s="2" t="s">
        <v>38</v>
      </c>
      <c r="N2108" s="2" t="s">
        <v>38</v>
      </c>
      <c r="O2108" s="2" t="s">
        <v>38</v>
      </c>
      <c r="P2108" s="2" t="s">
        <v>38</v>
      </c>
      <c r="Q2108" s="2" t="s">
        <v>38</v>
      </c>
      <c r="R2108" s="2" t="s">
        <v>38</v>
      </c>
      <c r="S2108" s="2" t="s">
        <v>38</v>
      </c>
      <c r="T2108" s="2" t="s">
        <v>38</v>
      </c>
      <c r="U2108" s="2" t="s">
        <v>38</v>
      </c>
      <c r="V2108" s="2" t="s">
        <v>38</v>
      </c>
      <c r="W2108" s="2" t="s">
        <v>38</v>
      </c>
      <c r="X2108" s="2" t="s">
        <v>38</v>
      </c>
      <c r="Y2108" s="2" t="s">
        <v>38</v>
      </c>
      <c r="Z2108" s="2" t="s">
        <v>38</v>
      </c>
      <c r="AA2108" s="2" t="s">
        <v>38</v>
      </c>
      <c r="AB2108" s="2" t="s">
        <v>38</v>
      </c>
      <c r="AC2108" s="2" t="s">
        <v>38</v>
      </c>
      <c r="AD2108" s="2" t="s">
        <v>38</v>
      </c>
      <c r="AE2108" s="2" t="s">
        <v>40</v>
      </c>
    </row>
    <row r="2109" spans="1:31" ht="409.5">
      <c r="A2109" s="2">
        <v>2724614</v>
      </c>
      <c r="B2109" s="2">
        <f>HYPERLINK("https://platform.v2.vetology.net/cases/2724614/screening-report/1?type=pdf&amp;v=v6&amp;scorecard=1&amp;secret_key=BX%25IJ%24%2F65ieZ%29f6", 2724614)</f>
        <v>2724614</v>
      </c>
      <c r="C2109" s="2">
        <f>HYPERLINK("https://platform.v2.vetology.net/report/v/final/"&amp;2724614, 2724614)</f>
        <v>2724614</v>
      </c>
      <c r="D2109" s="2" t="s">
        <v>6782</v>
      </c>
      <c r="E2109" s="2" t="s">
        <v>6783</v>
      </c>
      <c r="F2109" s="2" t="s">
        <v>2082</v>
      </c>
      <c r="G2109" s="2" t="s">
        <v>170</v>
      </c>
      <c r="H2109" s="2" t="s">
        <v>3108</v>
      </c>
      <c r="I2109" s="2" t="s">
        <v>59</v>
      </c>
      <c r="J2109" s="2" t="s">
        <v>37</v>
      </c>
      <c r="K2109" s="2" t="s">
        <v>38</v>
      </c>
      <c r="L2109" s="2" t="s">
        <v>39</v>
      </c>
      <c r="M2109" s="2" t="s">
        <v>39</v>
      </c>
      <c r="N2109" s="2" t="s">
        <v>39</v>
      </c>
      <c r="O2109" s="2" t="s">
        <v>38</v>
      </c>
      <c r="P2109" s="2" t="s">
        <v>39</v>
      </c>
      <c r="Q2109" s="2" t="s">
        <v>39</v>
      </c>
      <c r="R2109" s="2" t="s">
        <v>38</v>
      </c>
      <c r="S2109" s="2" t="s">
        <v>38</v>
      </c>
      <c r="T2109" s="2" t="s">
        <v>39</v>
      </c>
      <c r="U2109" s="2" t="s">
        <v>39</v>
      </c>
      <c r="V2109" s="2" t="s">
        <v>38</v>
      </c>
      <c r="W2109" s="2" t="s">
        <v>38</v>
      </c>
      <c r="X2109" s="2" t="s">
        <v>39</v>
      </c>
      <c r="Y2109" s="2" t="s">
        <v>39</v>
      </c>
      <c r="Z2109" s="2" t="s">
        <v>38</v>
      </c>
      <c r="AA2109" s="2" t="s">
        <v>39</v>
      </c>
      <c r="AB2109" s="2" t="s">
        <v>39</v>
      </c>
      <c r="AC2109" s="2" t="s">
        <v>38</v>
      </c>
      <c r="AD2109" s="2" t="s">
        <v>38</v>
      </c>
      <c r="AE2109" s="2" t="s">
        <v>39</v>
      </c>
    </row>
    <row r="2110" spans="1:31" ht="409.5">
      <c r="A2110" s="2">
        <v>2724612</v>
      </c>
      <c r="B2110" s="2">
        <f>HYPERLINK("https://platform.v2.vetology.net/cases/2724612/screening-report/1?type=pdf&amp;v=v6&amp;scorecard=1&amp;secret_key=BX%25IJ%24%2F65ieZ%29f6", 2724612)</f>
        <v>2724612</v>
      </c>
      <c r="C2110" s="2">
        <f>HYPERLINK("https://platform.v2.vetology.net/report/v/final/"&amp;2724612, 2724612)</f>
        <v>2724612</v>
      </c>
      <c r="D2110" s="2" t="s">
        <v>6784</v>
      </c>
      <c r="E2110" s="2" t="s">
        <v>6785</v>
      </c>
      <c r="F2110" s="2" t="s">
        <v>6786</v>
      </c>
      <c r="G2110" s="2" t="s">
        <v>170</v>
      </c>
      <c r="H2110" s="2" t="s">
        <v>6787</v>
      </c>
      <c r="I2110" s="2" t="s">
        <v>129</v>
      </c>
      <c r="J2110" s="2" t="s">
        <v>74</v>
      </c>
      <c r="K2110" s="2" t="s">
        <v>39</v>
      </c>
      <c r="L2110" s="2" t="s">
        <v>39</v>
      </c>
      <c r="M2110" s="2" t="s">
        <v>38</v>
      </c>
      <c r="N2110" s="2" t="s">
        <v>39</v>
      </c>
      <c r="O2110" s="2" t="s">
        <v>38</v>
      </c>
      <c r="P2110" s="2" t="s">
        <v>38</v>
      </c>
      <c r="Q2110" s="2" t="s">
        <v>38</v>
      </c>
      <c r="R2110" s="2" t="s">
        <v>38</v>
      </c>
      <c r="S2110" s="2" t="s">
        <v>39</v>
      </c>
      <c r="T2110" s="2" t="s">
        <v>38</v>
      </c>
      <c r="U2110" s="2" t="s">
        <v>39</v>
      </c>
      <c r="V2110" s="2" t="s">
        <v>39</v>
      </c>
      <c r="W2110" s="2" t="s">
        <v>38</v>
      </c>
      <c r="X2110" s="2" t="s">
        <v>38</v>
      </c>
      <c r="Y2110" s="2" t="s">
        <v>39</v>
      </c>
      <c r="Z2110" s="2" t="s">
        <v>38</v>
      </c>
      <c r="AA2110" s="2" t="s">
        <v>38</v>
      </c>
      <c r="AB2110" s="2" t="s">
        <v>38</v>
      </c>
      <c r="AC2110" s="2" t="s">
        <v>38</v>
      </c>
      <c r="AD2110" s="2" t="s">
        <v>39</v>
      </c>
      <c r="AE2110" s="2" t="s">
        <v>39</v>
      </c>
    </row>
    <row r="2111" spans="1:31" ht="409.5">
      <c r="A2111" s="2">
        <v>2724544</v>
      </c>
      <c r="B2111" s="2">
        <f>HYPERLINK("https://platform.v2.vetology.net/cases/2724544/screening-report/1?type=pdf&amp;v=v6&amp;scorecard=1&amp;secret_key=BX%25IJ%24%2F65ieZ%29f6", 2724544)</f>
        <v>2724544</v>
      </c>
      <c r="C2111" s="2">
        <f>HYPERLINK("https://platform.v2.vetology.net/report/v/final/"&amp;2724544, 2724544)</f>
        <v>2724544</v>
      </c>
      <c r="D2111" s="2" t="s">
        <v>6788</v>
      </c>
      <c r="E2111" s="2" t="s">
        <v>6789</v>
      </c>
      <c r="F2111" s="2" t="s">
        <v>6790</v>
      </c>
      <c r="G2111" s="2" t="s">
        <v>44</v>
      </c>
      <c r="H2111" s="2" t="s">
        <v>6791</v>
      </c>
      <c r="I2111" s="2" t="s">
        <v>36</v>
      </c>
      <c r="J2111" s="2" t="s">
        <v>37</v>
      </c>
      <c r="K2111" s="2" t="s">
        <v>39</v>
      </c>
      <c r="L2111" s="2" t="s">
        <v>38</v>
      </c>
      <c r="M2111" s="2" t="s">
        <v>38</v>
      </c>
      <c r="N2111" s="2" t="s">
        <v>38</v>
      </c>
      <c r="O2111" s="2" t="s">
        <v>38</v>
      </c>
      <c r="P2111" s="2" t="s">
        <v>38</v>
      </c>
      <c r="Q2111" s="2" t="s">
        <v>39</v>
      </c>
      <c r="R2111" s="2" t="s">
        <v>39</v>
      </c>
      <c r="S2111" s="2" t="s">
        <v>39</v>
      </c>
      <c r="T2111" s="2" t="s">
        <v>38</v>
      </c>
      <c r="U2111" s="2" t="s">
        <v>38</v>
      </c>
      <c r="V2111" s="2" t="s">
        <v>38</v>
      </c>
      <c r="W2111" s="2" t="s">
        <v>38</v>
      </c>
      <c r="X2111" s="2" t="s">
        <v>39</v>
      </c>
      <c r="Y2111" s="2" t="s">
        <v>39</v>
      </c>
      <c r="Z2111" s="2" t="s">
        <v>38</v>
      </c>
      <c r="AA2111" s="2" t="s">
        <v>38</v>
      </c>
      <c r="AB2111" s="2" t="s">
        <v>39</v>
      </c>
      <c r="AC2111" s="2" t="s">
        <v>38</v>
      </c>
      <c r="AD2111" s="2" t="s">
        <v>39</v>
      </c>
      <c r="AE2111" s="2" t="s">
        <v>40</v>
      </c>
    </row>
    <row r="2112" spans="1:31" ht="409.5">
      <c r="A2112" s="2">
        <v>2724531</v>
      </c>
      <c r="B2112" s="2">
        <f>HYPERLINK("https://platform.v2.vetology.net/cases/2724531/screening-report/1?type=pdf&amp;v=v6&amp;scorecard=1&amp;secret_key=BX%25IJ%24%2F65ieZ%29f6", 2724531)</f>
        <v>2724531</v>
      </c>
      <c r="C2112" s="2">
        <f>HYPERLINK("https://platform.v2.vetology.net/report/v/final/"&amp;2724531, 2724531)</f>
        <v>2724531</v>
      </c>
      <c r="D2112" s="2" t="s">
        <v>6792</v>
      </c>
      <c r="E2112" s="2" t="s">
        <v>6793</v>
      </c>
      <c r="F2112" s="2" t="s">
        <v>6794</v>
      </c>
      <c r="G2112" s="2" t="s">
        <v>53</v>
      </c>
      <c r="H2112" s="2" t="s">
        <v>6550</v>
      </c>
      <c r="I2112" s="2" t="s">
        <v>36</v>
      </c>
      <c r="J2112" s="2" t="s">
        <v>37</v>
      </c>
      <c r="K2112" s="2" t="s">
        <v>39</v>
      </c>
      <c r="L2112" s="2" t="s">
        <v>38</v>
      </c>
      <c r="M2112" s="2" t="s">
        <v>38</v>
      </c>
      <c r="N2112" s="2" t="s">
        <v>39</v>
      </c>
      <c r="O2112" s="2" t="s">
        <v>39</v>
      </c>
      <c r="P2112" s="2" t="s">
        <v>39</v>
      </c>
      <c r="Q2112" s="2" t="s">
        <v>39</v>
      </c>
      <c r="R2112" s="2" t="s">
        <v>38</v>
      </c>
      <c r="S2112" s="2" t="s">
        <v>38</v>
      </c>
      <c r="T2112" s="2" t="s">
        <v>39</v>
      </c>
      <c r="U2112" s="2" t="s">
        <v>39</v>
      </c>
      <c r="V2112" s="2" t="s">
        <v>39</v>
      </c>
      <c r="W2112" s="2" t="s">
        <v>39</v>
      </c>
      <c r="X2112" s="2" t="s">
        <v>39</v>
      </c>
      <c r="Y2112" s="2" t="s">
        <v>39</v>
      </c>
      <c r="Z2112" s="2" t="s">
        <v>38</v>
      </c>
      <c r="AA2112" s="2" t="s">
        <v>39</v>
      </c>
      <c r="AB2112" s="2" t="s">
        <v>39</v>
      </c>
      <c r="AC2112" s="2" t="s">
        <v>39</v>
      </c>
      <c r="AD2112" s="2" t="s">
        <v>39</v>
      </c>
      <c r="AE2112" s="2"/>
    </row>
    <row r="2113" spans="1:31" ht="409.5">
      <c r="A2113" s="2">
        <v>2724529</v>
      </c>
      <c r="B2113" s="2">
        <f>HYPERLINK("https://platform.v2.vetology.net/cases/2724529/screening-report/1?type=pdf&amp;v=v6&amp;scorecard=1&amp;secret_key=BX%25IJ%24%2F65ieZ%29f6", 2724529)</f>
        <v>2724529</v>
      </c>
      <c r="C2113" s="2">
        <f>HYPERLINK("https://platform.v2.vetology.net/report/v/final/"&amp;2724529, 2724529)</f>
        <v>2724529</v>
      </c>
      <c r="D2113" s="2" t="s">
        <v>6795</v>
      </c>
      <c r="E2113" s="2" t="s">
        <v>6796</v>
      </c>
      <c r="F2113" s="2" t="s">
        <v>43</v>
      </c>
      <c r="G2113" s="2" t="s">
        <v>44</v>
      </c>
      <c r="H2113" s="2" t="s">
        <v>6797</v>
      </c>
      <c r="I2113" s="2" t="s">
        <v>73</v>
      </c>
      <c r="J2113" s="2" t="s">
        <v>74</v>
      </c>
      <c r="K2113" s="2" t="s">
        <v>38</v>
      </c>
      <c r="L2113" s="2" t="s">
        <v>38</v>
      </c>
      <c r="M2113" s="2" t="s">
        <v>38</v>
      </c>
      <c r="N2113" s="2" t="s">
        <v>38</v>
      </c>
      <c r="O2113" s="2" t="s">
        <v>38</v>
      </c>
      <c r="P2113" s="2" t="s">
        <v>38</v>
      </c>
      <c r="Q2113" s="2" t="s">
        <v>38</v>
      </c>
      <c r="R2113" s="2" t="s">
        <v>38</v>
      </c>
      <c r="S2113" s="2" t="s">
        <v>38</v>
      </c>
      <c r="T2113" s="2" t="s">
        <v>38</v>
      </c>
      <c r="U2113" s="2" t="s">
        <v>38</v>
      </c>
      <c r="V2113" s="2" t="s">
        <v>38</v>
      </c>
      <c r="W2113" s="2" t="s">
        <v>38</v>
      </c>
      <c r="X2113" s="2" t="s">
        <v>38</v>
      </c>
      <c r="Y2113" s="2" t="s">
        <v>38</v>
      </c>
      <c r="Z2113" s="2" t="s">
        <v>38</v>
      </c>
      <c r="AA2113" s="2" t="s">
        <v>38</v>
      </c>
      <c r="AB2113" s="2" t="s">
        <v>38</v>
      </c>
      <c r="AC2113" s="2" t="s">
        <v>38</v>
      </c>
      <c r="AD2113" s="2" t="s">
        <v>39</v>
      </c>
      <c r="AE2113" s="2" t="s">
        <v>39</v>
      </c>
    </row>
    <row r="2114" spans="1:31" ht="409.5">
      <c r="A2114" s="2">
        <v>2724460</v>
      </c>
      <c r="B2114" s="2">
        <f>HYPERLINK("https://platform.v2.vetology.net/cases/2724460/screening-report/1?type=pdf&amp;v=v6&amp;scorecard=1&amp;secret_key=BX%25IJ%24%2F65ieZ%29f6", 2724460)</f>
        <v>2724460</v>
      </c>
      <c r="C2114" s="2">
        <f>HYPERLINK("https://platform.v2.vetology.net/report/v/final/"&amp;2724460, 2724460)</f>
        <v>2724460</v>
      </c>
      <c r="D2114" s="2" t="s">
        <v>6798</v>
      </c>
      <c r="E2114" s="2" t="s">
        <v>6799</v>
      </c>
      <c r="F2114" s="2" t="s">
        <v>6800</v>
      </c>
      <c r="G2114" s="2" t="s">
        <v>127</v>
      </c>
      <c r="H2114" s="2" t="s">
        <v>6801</v>
      </c>
      <c r="I2114" s="2" t="s">
        <v>36</v>
      </c>
      <c r="J2114" s="2" t="s">
        <v>37</v>
      </c>
      <c r="K2114" s="2" t="s">
        <v>39</v>
      </c>
      <c r="L2114" s="2" t="s">
        <v>38</v>
      </c>
      <c r="M2114" s="2" t="s">
        <v>38</v>
      </c>
      <c r="N2114" s="2" t="s">
        <v>38</v>
      </c>
      <c r="O2114" s="2" t="s">
        <v>38</v>
      </c>
      <c r="P2114" s="2" t="s">
        <v>39</v>
      </c>
      <c r="Q2114" s="2" t="s">
        <v>39</v>
      </c>
      <c r="R2114" s="2" t="s">
        <v>38</v>
      </c>
      <c r="S2114" s="2" t="s">
        <v>38</v>
      </c>
      <c r="T2114" s="2" t="s">
        <v>39</v>
      </c>
      <c r="U2114" s="2" t="s">
        <v>39</v>
      </c>
      <c r="V2114" s="2" t="s">
        <v>39</v>
      </c>
      <c r="W2114" s="2" t="s">
        <v>38</v>
      </c>
      <c r="X2114" s="2" t="s">
        <v>39</v>
      </c>
      <c r="Y2114" s="2" t="s">
        <v>39</v>
      </c>
      <c r="Z2114" s="2" t="s">
        <v>38</v>
      </c>
      <c r="AA2114" s="2" t="s">
        <v>38</v>
      </c>
      <c r="AB2114" s="2" t="s">
        <v>39</v>
      </c>
      <c r="AC2114" s="2" t="s">
        <v>38</v>
      </c>
      <c r="AD2114" s="2" t="s">
        <v>38</v>
      </c>
      <c r="AE2114" s="2" t="s">
        <v>39</v>
      </c>
    </row>
    <row r="2115" spans="1:31" ht="409.5">
      <c r="A2115" s="2">
        <v>2724445</v>
      </c>
      <c r="B2115" s="2">
        <f>HYPERLINK("https://platform.v2.vetology.net/cases/2724445/screening-report/1?type=pdf&amp;v=v6&amp;scorecard=1&amp;secret_key=BX%25IJ%24%2F65ieZ%29f6", 2724445)</f>
        <v>2724445</v>
      </c>
      <c r="C2115" s="2">
        <f>HYPERLINK("https://platform.v2.vetology.net/report/v/final/"&amp;2724445, 2724445)</f>
        <v>2724445</v>
      </c>
      <c r="D2115" s="2" t="s">
        <v>6802</v>
      </c>
      <c r="E2115" s="2" t="s">
        <v>6803</v>
      </c>
      <c r="F2115" s="2" t="s">
        <v>6804</v>
      </c>
      <c r="G2115" s="2" t="s">
        <v>170</v>
      </c>
      <c r="H2115" s="2" t="s">
        <v>6805</v>
      </c>
      <c r="I2115" s="2" t="s">
        <v>73</v>
      </c>
      <c r="J2115" s="2" t="s">
        <v>74</v>
      </c>
      <c r="K2115" s="2" t="s">
        <v>38</v>
      </c>
      <c r="L2115" s="2" t="s">
        <v>38</v>
      </c>
      <c r="M2115" s="2" t="s">
        <v>38</v>
      </c>
      <c r="N2115" s="2" t="s">
        <v>38</v>
      </c>
      <c r="O2115" s="2" t="s">
        <v>38</v>
      </c>
      <c r="P2115" s="2" t="s">
        <v>38</v>
      </c>
      <c r="Q2115" s="2" t="s">
        <v>38</v>
      </c>
      <c r="R2115" s="2" t="s">
        <v>39</v>
      </c>
      <c r="S2115" s="2" t="s">
        <v>39</v>
      </c>
      <c r="T2115" s="2" t="s">
        <v>38</v>
      </c>
      <c r="U2115" s="2" t="s">
        <v>39</v>
      </c>
      <c r="V2115" s="2" t="s">
        <v>38</v>
      </c>
      <c r="W2115" s="2" t="s">
        <v>38</v>
      </c>
      <c r="X2115" s="2" t="s">
        <v>38</v>
      </c>
      <c r="Y2115" s="2" t="s">
        <v>39</v>
      </c>
      <c r="Z2115" s="2" t="s">
        <v>38</v>
      </c>
      <c r="AA2115" s="2" t="s">
        <v>38</v>
      </c>
      <c r="AB2115" s="2" t="s">
        <v>38</v>
      </c>
      <c r="AC2115" s="2" t="s">
        <v>39</v>
      </c>
      <c r="AD2115" s="2" t="s">
        <v>38</v>
      </c>
      <c r="AE2115" s="2" t="s">
        <v>39</v>
      </c>
    </row>
    <row r="2116" spans="1:31" ht="409.5">
      <c r="A2116" s="2">
        <v>2724437</v>
      </c>
      <c r="B2116" s="2">
        <f>HYPERLINK("https://platform.v2.vetology.net/cases/2724437/screening-report/1?type=pdf&amp;v=v6&amp;scorecard=1&amp;secret_key=BX%25IJ%24%2F65ieZ%29f6", 2724437)</f>
        <v>2724437</v>
      </c>
      <c r="C2116" s="2">
        <f>HYPERLINK("https://platform.v2.vetology.net/report/v/final/"&amp;2724437, 2724437)</f>
        <v>2724437</v>
      </c>
      <c r="D2116" s="2" t="s">
        <v>6806</v>
      </c>
      <c r="E2116" s="2" t="s">
        <v>6807</v>
      </c>
      <c r="F2116" s="2" t="s">
        <v>4238</v>
      </c>
      <c r="G2116" s="2" t="s">
        <v>53</v>
      </c>
      <c r="H2116" s="2" t="s">
        <v>69</v>
      </c>
      <c r="I2116" s="2" t="s">
        <v>46</v>
      </c>
      <c r="J2116" s="2"/>
      <c r="K2116" s="2" t="s">
        <v>39</v>
      </c>
      <c r="L2116" s="2" t="s">
        <v>39</v>
      </c>
      <c r="M2116" s="2" t="s">
        <v>39</v>
      </c>
      <c r="N2116" s="2" t="s">
        <v>39</v>
      </c>
      <c r="O2116" s="2" t="s">
        <v>39</v>
      </c>
      <c r="P2116" s="2" t="s">
        <v>39</v>
      </c>
      <c r="Q2116" s="2" t="s">
        <v>39</v>
      </c>
      <c r="R2116" s="2" t="s">
        <v>39</v>
      </c>
      <c r="S2116" s="2" t="s">
        <v>39</v>
      </c>
      <c r="T2116" s="2" t="s">
        <v>39</v>
      </c>
      <c r="U2116" s="2" t="s">
        <v>39</v>
      </c>
      <c r="V2116" s="2" t="s">
        <v>39</v>
      </c>
      <c r="W2116" s="2" t="s">
        <v>39</v>
      </c>
      <c r="X2116" s="2" t="s">
        <v>39</v>
      </c>
      <c r="Y2116" s="2" t="s">
        <v>39</v>
      </c>
      <c r="Z2116" s="2" t="s">
        <v>39</v>
      </c>
      <c r="AA2116" s="2" t="s">
        <v>39</v>
      </c>
      <c r="AB2116" s="2" t="s">
        <v>39</v>
      </c>
      <c r="AC2116" s="2" t="s">
        <v>39</v>
      </c>
      <c r="AD2116" s="2" t="s">
        <v>39</v>
      </c>
      <c r="AE2116" s="2" t="s">
        <v>39</v>
      </c>
    </row>
    <row r="2117" spans="1:31" ht="409.5">
      <c r="A2117" s="2">
        <v>2724424</v>
      </c>
      <c r="B2117" s="2">
        <f>HYPERLINK("https://platform.v2.vetology.net/cases/2724424/screening-report/1?type=pdf&amp;v=v6&amp;scorecard=1&amp;secret_key=BX%25IJ%24%2F65ieZ%29f6", 2724424)</f>
        <v>2724424</v>
      </c>
      <c r="C2117" s="2">
        <f>HYPERLINK("https://platform.v2.vetology.net/report/v/final/"&amp;2724424, 2724424)</f>
        <v>2724424</v>
      </c>
      <c r="D2117" s="2" t="s">
        <v>6808</v>
      </c>
      <c r="E2117" s="2" t="s">
        <v>6809</v>
      </c>
      <c r="F2117" s="2" t="s">
        <v>6810</v>
      </c>
      <c r="G2117" s="2" t="s">
        <v>53</v>
      </c>
      <c r="H2117" s="2" t="s">
        <v>6811</v>
      </c>
      <c r="I2117" s="2" t="s">
        <v>36</v>
      </c>
      <c r="J2117" s="2" t="s">
        <v>37</v>
      </c>
      <c r="K2117" s="2" t="s">
        <v>38</v>
      </c>
      <c r="L2117" s="2" t="s">
        <v>38</v>
      </c>
      <c r="M2117" s="2" t="s">
        <v>39</v>
      </c>
      <c r="N2117" s="2" t="s">
        <v>38</v>
      </c>
      <c r="O2117" s="2" t="s">
        <v>38</v>
      </c>
      <c r="P2117" s="2" t="s">
        <v>39</v>
      </c>
      <c r="Q2117" s="2" t="s">
        <v>39</v>
      </c>
      <c r="R2117" s="2" t="s">
        <v>38</v>
      </c>
      <c r="S2117" s="2" t="s">
        <v>38</v>
      </c>
      <c r="T2117" s="2" t="s">
        <v>39</v>
      </c>
      <c r="U2117" s="2" t="s">
        <v>38</v>
      </c>
      <c r="V2117" s="2" t="s">
        <v>39</v>
      </c>
      <c r="W2117" s="2" t="s">
        <v>38</v>
      </c>
      <c r="X2117" s="2" t="s">
        <v>39</v>
      </c>
      <c r="Y2117" s="2" t="s">
        <v>39</v>
      </c>
      <c r="Z2117" s="2" t="s">
        <v>39</v>
      </c>
      <c r="AA2117" s="2" t="s">
        <v>38</v>
      </c>
      <c r="AB2117" s="2" t="s">
        <v>39</v>
      </c>
      <c r="AC2117" s="2" t="s">
        <v>38</v>
      </c>
      <c r="AD2117" s="2" t="s">
        <v>39</v>
      </c>
      <c r="AE2117" s="2" t="s">
        <v>39</v>
      </c>
    </row>
    <row r="2118" spans="1:31" ht="409.5">
      <c r="A2118" s="2">
        <v>2724388</v>
      </c>
      <c r="B2118" s="2">
        <f>HYPERLINK("https://platform.v2.vetology.net/cases/2724388/screening-report/1?type=pdf&amp;v=v6&amp;scorecard=1&amp;secret_key=BX%25IJ%24%2F65ieZ%29f6", 2724388)</f>
        <v>2724388</v>
      </c>
      <c r="C2118" s="2">
        <f>HYPERLINK("https://platform.v2.vetology.net/report/v/final/"&amp;2724388, 2724388)</f>
        <v>2724388</v>
      </c>
      <c r="D2118" s="2" t="s">
        <v>6812</v>
      </c>
      <c r="E2118" s="2" t="s">
        <v>6813</v>
      </c>
      <c r="F2118" s="2" t="s">
        <v>1866</v>
      </c>
      <c r="G2118" s="2" t="s">
        <v>81</v>
      </c>
      <c r="H2118" s="2" t="s">
        <v>6814</v>
      </c>
      <c r="I2118" s="2" t="s">
        <v>36</v>
      </c>
      <c r="J2118" s="2" t="s">
        <v>37</v>
      </c>
      <c r="K2118" s="2" t="s">
        <v>39</v>
      </c>
      <c r="L2118" s="2" t="s">
        <v>38</v>
      </c>
      <c r="M2118" s="2" t="s">
        <v>39</v>
      </c>
      <c r="N2118" s="2" t="s">
        <v>38</v>
      </c>
      <c r="O2118" s="2" t="s">
        <v>38</v>
      </c>
      <c r="P2118" s="2" t="s">
        <v>39</v>
      </c>
      <c r="Q2118" s="2" t="s">
        <v>39</v>
      </c>
      <c r="R2118" s="2" t="s">
        <v>38</v>
      </c>
      <c r="S2118" s="2" t="s">
        <v>38</v>
      </c>
      <c r="T2118" s="2" t="s">
        <v>38</v>
      </c>
      <c r="U2118" s="2" t="s">
        <v>39</v>
      </c>
      <c r="V2118" s="2" t="s">
        <v>39</v>
      </c>
      <c r="W2118" s="2" t="s">
        <v>39</v>
      </c>
      <c r="X2118" s="2" t="s">
        <v>39</v>
      </c>
      <c r="Y2118" s="2" t="s">
        <v>39</v>
      </c>
      <c r="Z2118" s="2" t="s">
        <v>38</v>
      </c>
      <c r="AA2118" s="2" t="s">
        <v>38</v>
      </c>
      <c r="AB2118" s="2" t="s">
        <v>39</v>
      </c>
      <c r="AC2118" s="2" t="s">
        <v>38</v>
      </c>
      <c r="AD2118" s="2" t="s">
        <v>38</v>
      </c>
      <c r="AE2118" s="2" t="s">
        <v>39</v>
      </c>
    </row>
    <row r="2119" spans="1:31" ht="409.5">
      <c r="A2119" s="2">
        <v>2724386</v>
      </c>
      <c r="B2119" s="2">
        <f>HYPERLINK("https://platform.v2.vetology.net/cases/2724386/screening-report/1?type=pdf&amp;v=v6&amp;scorecard=1&amp;secret_key=BX%25IJ%24%2F65ieZ%29f6", 2724386)</f>
        <v>2724386</v>
      </c>
      <c r="C2119" s="2">
        <f>HYPERLINK("https://platform.v2.vetology.net/report/v/final/"&amp;2724386, 2724386)</f>
        <v>2724386</v>
      </c>
      <c r="D2119" s="2" t="s">
        <v>6815</v>
      </c>
      <c r="E2119" s="2" t="s">
        <v>6816</v>
      </c>
      <c r="F2119" s="2" t="s">
        <v>6817</v>
      </c>
      <c r="G2119" s="2" t="s">
        <v>127</v>
      </c>
      <c r="H2119" s="2" t="s">
        <v>1526</v>
      </c>
      <c r="I2119" s="2" t="s">
        <v>36</v>
      </c>
      <c r="J2119" s="2" t="s">
        <v>37</v>
      </c>
      <c r="K2119" s="2" t="s">
        <v>39</v>
      </c>
      <c r="L2119" s="2" t="s">
        <v>38</v>
      </c>
      <c r="M2119" s="2" t="s">
        <v>39</v>
      </c>
      <c r="N2119" s="2" t="s">
        <v>38</v>
      </c>
      <c r="O2119" s="2" t="s">
        <v>38</v>
      </c>
      <c r="P2119" s="2" t="s">
        <v>39</v>
      </c>
      <c r="Q2119" s="2" t="s">
        <v>39</v>
      </c>
      <c r="R2119" s="2" t="s">
        <v>38</v>
      </c>
      <c r="S2119" s="2" t="s">
        <v>38</v>
      </c>
      <c r="T2119" s="2" t="s">
        <v>39</v>
      </c>
      <c r="U2119" s="2" t="s">
        <v>38</v>
      </c>
      <c r="V2119" s="2" t="s">
        <v>39</v>
      </c>
      <c r="W2119" s="2" t="s">
        <v>38</v>
      </c>
      <c r="X2119" s="2" t="s">
        <v>39</v>
      </c>
      <c r="Y2119" s="2" t="s">
        <v>39</v>
      </c>
      <c r="Z2119" s="2" t="s">
        <v>38</v>
      </c>
      <c r="AA2119" s="2" t="s">
        <v>38</v>
      </c>
      <c r="AB2119" s="2" t="s">
        <v>39</v>
      </c>
      <c r="AC2119" s="2" t="s">
        <v>38</v>
      </c>
      <c r="AD2119" s="2" t="s">
        <v>38</v>
      </c>
      <c r="AE2119" s="2"/>
    </row>
    <row r="2120" spans="1:31" ht="409.5">
      <c r="A2120" s="2">
        <v>2724371</v>
      </c>
      <c r="B2120" s="2">
        <f>HYPERLINK("https://platform.v2.vetology.net/cases/2724371/screening-report/1?type=pdf&amp;v=v6&amp;scorecard=1&amp;secret_key=BX%25IJ%24%2F65ieZ%29f6", 2724371)</f>
        <v>2724371</v>
      </c>
      <c r="C2120" s="2">
        <f>HYPERLINK("https://platform.v2.vetology.net/report/v/final/"&amp;2724371, 2724371)</f>
        <v>2724371</v>
      </c>
      <c r="D2120" s="2" t="s">
        <v>6818</v>
      </c>
      <c r="E2120" s="2" t="s">
        <v>6819</v>
      </c>
      <c r="F2120" s="2" t="s">
        <v>6820</v>
      </c>
      <c r="G2120" s="2" t="s">
        <v>170</v>
      </c>
      <c r="H2120" s="2" t="s">
        <v>6821</v>
      </c>
      <c r="I2120" s="2" t="s">
        <v>73</v>
      </c>
      <c r="J2120" s="2" t="s">
        <v>74</v>
      </c>
      <c r="K2120" s="2" t="s">
        <v>38</v>
      </c>
      <c r="L2120" s="2" t="s">
        <v>38</v>
      </c>
      <c r="M2120" s="2" t="s">
        <v>38</v>
      </c>
      <c r="N2120" s="2" t="s">
        <v>38</v>
      </c>
      <c r="O2120" s="2" t="s">
        <v>38</v>
      </c>
      <c r="P2120" s="2" t="s">
        <v>38</v>
      </c>
      <c r="Q2120" s="2" t="s">
        <v>38</v>
      </c>
      <c r="R2120" s="2" t="s">
        <v>38</v>
      </c>
      <c r="S2120" s="2" t="s">
        <v>38</v>
      </c>
      <c r="T2120" s="2" t="s">
        <v>38</v>
      </c>
      <c r="U2120" s="2" t="s">
        <v>38</v>
      </c>
      <c r="V2120" s="2" t="s">
        <v>38</v>
      </c>
      <c r="W2120" s="2" t="s">
        <v>38</v>
      </c>
      <c r="X2120" s="2" t="s">
        <v>38</v>
      </c>
      <c r="Y2120" s="2" t="s">
        <v>38</v>
      </c>
      <c r="Z2120" s="2" t="s">
        <v>38</v>
      </c>
      <c r="AA2120" s="2" t="s">
        <v>38</v>
      </c>
      <c r="AB2120" s="2" t="s">
        <v>38</v>
      </c>
      <c r="AC2120" s="2" t="s">
        <v>38</v>
      </c>
      <c r="AD2120" s="2" t="s">
        <v>38</v>
      </c>
      <c r="AE2120" s="2" t="s">
        <v>39</v>
      </c>
    </row>
    <row r="2121" spans="1:31" ht="409.5">
      <c r="A2121" s="2">
        <v>2724364</v>
      </c>
      <c r="B2121" s="2">
        <f>HYPERLINK("https://platform.v2.vetology.net/cases/2724364/screening-report/1?type=pdf&amp;v=v6&amp;scorecard=1&amp;secret_key=BX%25IJ%24%2F65ieZ%29f6", 2724364)</f>
        <v>2724364</v>
      </c>
      <c r="C2121" s="2">
        <f>HYPERLINK("https://platform.v2.vetology.net/report/v/final/"&amp;2724364, 2724364)</f>
        <v>2724364</v>
      </c>
      <c r="D2121" s="2" t="s">
        <v>6822</v>
      </c>
      <c r="E2121" s="2" t="s">
        <v>6823</v>
      </c>
      <c r="F2121" s="2" t="s">
        <v>43</v>
      </c>
      <c r="G2121" s="2" t="s">
        <v>44</v>
      </c>
      <c r="H2121" s="2" t="s">
        <v>6824</v>
      </c>
      <c r="I2121" s="2" t="s">
        <v>73</v>
      </c>
      <c r="J2121" s="2" t="s">
        <v>74</v>
      </c>
      <c r="K2121" s="2" t="s">
        <v>38</v>
      </c>
      <c r="L2121" s="2" t="s">
        <v>38</v>
      </c>
      <c r="M2121" s="2" t="s">
        <v>38</v>
      </c>
      <c r="N2121" s="2" t="s">
        <v>38</v>
      </c>
      <c r="O2121" s="2" t="s">
        <v>38</v>
      </c>
      <c r="P2121" s="2" t="s">
        <v>38</v>
      </c>
      <c r="Q2121" s="2" t="s">
        <v>38</v>
      </c>
      <c r="R2121" s="2" t="s">
        <v>38</v>
      </c>
      <c r="S2121" s="2" t="s">
        <v>38</v>
      </c>
      <c r="T2121" s="2" t="s">
        <v>38</v>
      </c>
      <c r="U2121" s="2" t="s">
        <v>38</v>
      </c>
      <c r="V2121" s="2" t="s">
        <v>38</v>
      </c>
      <c r="W2121" s="2" t="s">
        <v>38</v>
      </c>
      <c r="X2121" s="2" t="s">
        <v>39</v>
      </c>
      <c r="Y2121" s="2" t="s">
        <v>39</v>
      </c>
      <c r="Z2121" s="2" t="s">
        <v>38</v>
      </c>
      <c r="AA2121" s="2" t="s">
        <v>38</v>
      </c>
      <c r="AB2121" s="2" t="s">
        <v>39</v>
      </c>
      <c r="AC2121" s="2" t="s">
        <v>38</v>
      </c>
      <c r="AD2121" s="2" t="s">
        <v>38</v>
      </c>
      <c r="AE2121" s="2" t="s">
        <v>40</v>
      </c>
    </row>
    <row r="2122" spans="1:31" ht="409.5">
      <c r="A2122" s="2">
        <v>2724326</v>
      </c>
      <c r="B2122" s="2">
        <f>HYPERLINK("https://platform.v2.vetology.net/cases/2724326/screening-report/1?type=pdf&amp;v=v6&amp;scorecard=1&amp;secret_key=BX%25IJ%24%2F65ieZ%29f6", 2724326)</f>
        <v>2724326</v>
      </c>
      <c r="C2122" s="2">
        <f>HYPERLINK("https://platform.v2.vetology.net/report/v/final/"&amp;2724326, 2724326)</f>
        <v>2724326</v>
      </c>
      <c r="D2122" s="2" t="s">
        <v>6825</v>
      </c>
      <c r="E2122" s="2" t="s">
        <v>6826</v>
      </c>
      <c r="F2122" s="2" t="s">
        <v>6827</v>
      </c>
      <c r="G2122" s="2" t="s">
        <v>415</v>
      </c>
      <c r="H2122" s="2" t="s">
        <v>6828</v>
      </c>
      <c r="I2122" s="2" t="s">
        <v>36</v>
      </c>
      <c r="J2122" s="2" t="s">
        <v>37</v>
      </c>
      <c r="K2122" s="2" t="s">
        <v>38</v>
      </c>
      <c r="L2122" s="2" t="s">
        <v>39</v>
      </c>
      <c r="M2122" s="2" t="s">
        <v>38</v>
      </c>
      <c r="N2122" s="2" t="s">
        <v>39</v>
      </c>
      <c r="O2122" s="2" t="s">
        <v>39</v>
      </c>
      <c r="P2122" s="2" t="s">
        <v>39</v>
      </c>
      <c r="Q2122" s="2" t="s">
        <v>39</v>
      </c>
      <c r="R2122" s="2" t="s">
        <v>38</v>
      </c>
      <c r="S2122" s="2" t="s">
        <v>39</v>
      </c>
      <c r="T2122" s="2" t="s">
        <v>39</v>
      </c>
      <c r="U2122" s="2" t="s">
        <v>39</v>
      </c>
      <c r="V2122" s="2" t="s">
        <v>39</v>
      </c>
      <c r="W2122" s="2" t="s">
        <v>39</v>
      </c>
      <c r="X2122" s="2" t="s">
        <v>39</v>
      </c>
      <c r="Y2122" s="2" t="s">
        <v>39</v>
      </c>
      <c r="Z2122" s="2" t="s">
        <v>38</v>
      </c>
      <c r="AA2122" s="2" t="s">
        <v>39</v>
      </c>
      <c r="AB2122" s="2" t="s">
        <v>39</v>
      </c>
      <c r="AC2122" s="2" t="s">
        <v>39</v>
      </c>
      <c r="AD2122" s="2" t="s">
        <v>39</v>
      </c>
      <c r="AE2122" s="2" t="s">
        <v>39</v>
      </c>
    </row>
    <row r="2123" spans="1:31" ht="409.5">
      <c r="A2123" s="2">
        <v>2724289</v>
      </c>
      <c r="B2123" s="2">
        <f>HYPERLINK("https://platform.v2.vetology.net/cases/2724289/screening-report/1?type=pdf&amp;v=v6&amp;scorecard=1&amp;secret_key=BX%25IJ%24%2F65ieZ%29f6", 2724289)</f>
        <v>2724289</v>
      </c>
      <c r="C2123" s="2">
        <f>HYPERLINK("https://platform.v2.vetology.net/report/v/final/"&amp;2724289, 2724289)</f>
        <v>2724289</v>
      </c>
      <c r="D2123" s="2" t="s">
        <v>6829</v>
      </c>
      <c r="E2123" s="2" t="s">
        <v>6830</v>
      </c>
      <c r="F2123" s="2" t="s">
        <v>851</v>
      </c>
      <c r="G2123" s="2" t="s">
        <v>111</v>
      </c>
      <c r="H2123" s="2" t="s">
        <v>6831</v>
      </c>
      <c r="I2123" s="2" t="s">
        <v>36</v>
      </c>
      <c r="J2123" s="2" t="s">
        <v>37</v>
      </c>
      <c r="K2123" s="2" t="s">
        <v>38</v>
      </c>
      <c r="L2123" s="2" t="s">
        <v>38</v>
      </c>
      <c r="M2123" s="2" t="s">
        <v>38</v>
      </c>
      <c r="N2123" s="2" t="s">
        <v>38</v>
      </c>
      <c r="O2123" s="2" t="s">
        <v>38</v>
      </c>
      <c r="P2123" s="2" t="s">
        <v>38</v>
      </c>
      <c r="Q2123" s="2" t="s">
        <v>39</v>
      </c>
      <c r="R2123" s="2" t="s">
        <v>38</v>
      </c>
      <c r="S2123" s="2" t="s">
        <v>38</v>
      </c>
      <c r="T2123" s="2" t="s">
        <v>38</v>
      </c>
      <c r="U2123" s="2" t="s">
        <v>38</v>
      </c>
      <c r="V2123" s="2" t="s">
        <v>38</v>
      </c>
      <c r="W2123" s="2" t="s">
        <v>38</v>
      </c>
      <c r="X2123" s="2" t="s">
        <v>38</v>
      </c>
      <c r="Y2123" s="2" t="s">
        <v>38</v>
      </c>
      <c r="Z2123" s="2" t="s">
        <v>38</v>
      </c>
      <c r="AA2123" s="2" t="s">
        <v>38</v>
      </c>
      <c r="AB2123" s="2" t="s">
        <v>39</v>
      </c>
      <c r="AC2123" s="2" t="s">
        <v>38</v>
      </c>
      <c r="AD2123" s="2" t="s">
        <v>38</v>
      </c>
      <c r="AE2123" s="2" t="s">
        <v>40</v>
      </c>
    </row>
    <row r="2124" spans="1:31" ht="409.5">
      <c r="A2124" s="2">
        <v>2724269</v>
      </c>
      <c r="B2124" s="2">
        <f>HYPERLINK("https://platform.v2.vetology.net/cases/2724269/screening-report/1?type=pdf&amp;v=v6&amp;scorecard=1&amp;secret_key=BX%25IJ%24%2F65ieZ%29f6", 2724269)</f>
        <v>2724269</v>
      </c>
      <c r="C2124" s="2">
        <f>HYPERLINK("https://platform.v2.vetology.net/report/v/final/"&amp;2724269, 2724269)</f>
        <v>2724269</v>
      </c>
      <c r="D2124" s="2" t="s">
        <v>6832</v>
      </c>
      <c r="E2124" s="2" t="s">
        <v>6833</v>
      </c>
      <c r="F2124" s="2" t="s">
        <v>6834</v>
      </c>
      <c r="G2124" s="2" t="s">
        <v>415</v>
      </c>
      <c r="H2124" s="2" t="s">
        <v>6835</v>
      </c>
      <c r="I2124" s="2" t="s">
        <v>129</v>
      </c>
      <c r="J2124" s="2" t="s">
        <v>74</v>
      </c>
      <c r="K2124" s="2" t="s">
        <v>38</v>
      </c>
      <c r="L2124" s="2" t="s">
        <v>38</v>
      </c>
      <c r="M2124" s="2" t="s">
        <v>38</v>
      </c>
      <c r="N2124" s="2" t="s">
        <v>38</v>
      </c>
      <c r="O2124" s="2" t="s">
        <v>38</v>
      </c>
      <c r="P2124" s="2" t="s">
        <v>38</v>
      </c>
      <c r="Q2124" s="2" t="s">
        <v>38</v>
      </c>
      <c r="R2124" s="2" t="s">
        <v>39</v>
      </c>
      <c r="S2124" s="2" t="s">
        <v>38</v>
      </c>
      <c r="T2124" s="2" t="s">
        <v>38</v>
      </c>
      <c r="U2124" s="2" t="s">
        <v>39</v>
      </c>
      <c r="V2124" s="2" t="s">
        <v>38</v>
      </c>
      <c r="W2124" s="2" t="s">
        <v>38</v>
      </c>
      <c r="X2124" s="2" t="s">
        <v>38</v>
      </c>
      <c r="Y2124" s="2" t="s">
        <v>38</v>
      </c>
      <c r="Z2124" s="2" t="s">
        <v>38</v>
      </c>
      <c r="AA2124" s="2" t="s">
        <v>38</v>
      </c>
      <c r="AB2124" s="2" t="s">
        <v>38</v>
      </c>
      <c r="AC2124" s="2" t="s">
        <v>38</v>
      </c>
      <c r="AD2124" s="2" t="s">
        <v>38</v>
      </c>
      <c r="AE2124" s="2" t="s">
        <v>39</v>
      </c>
    </row>
    <row r="2125" spans="1:31" ht="409.5">
      <c r="A2125" s="2">
        <v>2724253</v>
      </c>
      <c r="B2125" s="2">
        <f>HYPERLINK("https://platform.v2.vetology.net/cases/2724253/screening-report/1?type=pdf&amp;v=v6&amp;scorecard=1&amp;secret_key=BX%25IJ%24%2F65ieZ%29f6", 2724253)</f>
        <v>2724253</v>
      </c>
      <c r="C2125" s="2">
        <f>HYPERLINK("https://platform.v2.vetology.net/report/v/final/"&amp;2724253, 2724253)</f>
        <v>2724253</v>
      </c>
      <c r="D2125" s="2" t="s">
        <v>6836</v>
      </c>
      <c r="E2125" s="2" t="s">
        <v>6837</v>
      </c>
      <c r="F2125" s="2" t="s">
        <v>6838</v>
      </c>
      <c r="G2125" s="2" t="s">
        <v>170</v>
      </c>
      <c r="H2125" s="2" t="s">
        <v>605</v>
      </c>
      <c r="I2125" s="2" t="s">
        <v>36</v>
      </c>
      <c r="J2125" s="2" t="s">
        <v>37</v>
      </c>
      <c r="K2125" s="2" t="s">
        <v>39</v>
      </c>
      <c r="L2125" s="2" t="s">
        <v>39</v>
      </c>
      <c r="M2125" s="2" t="s">
        <v>38</v>
      </c>
      <c r="N2125" s="2" t="s">
        <v>39</v>
      </c>
      <c r="O2125" s="2" t="s">
        <v>38</v>
      </c>
      <c r="P2125" s="2" t="s">
        <v>38</v>
      </c>
      <c r="Q2125" s="2" t="s">
        <v>38</v>
      </c>
      <c r="R2125" s="2" t="s">
        <v>39</v>
      </c>
      <c r="S2125" s="2" t="s">
        <v>39</v>
      </c>
      <c r="T2125" s="2" t="s">
        <v>39</v>
      </c>
      <c r="U2125" s="2" t="s">
        <v>39</v>
      </c>
      <c r="V2125" s="2" t="s">
        <v>38</v>
      </c>
      <c r="W2125" s="2" t="s">
        <v>38</v>
      </c>
      <c r="X2125" s="2" t="s">
        <v>38</v>
      </c>
      <c r="Y2125" s="2" t="s">
        <v>39</v>
      </c>
      <c r="Z2125" s="2" t="s">
        <v>39</v>
      </c>
      <c r="AA2125" s="2" t="s">
        <v>38</v>
      </c>
      <c r="AB2125" s="2" t="s">
        <v>39</v>
      </c>
      <c r="AC2125" s="2" t="s">
        <v>38</v>
      </c>
      <c r="AD2125" s="2" t="s">
        <v>39</v>
      </c>
      <c r="AE2125" s="2" t="s">
        <v>39</v>
      </c>
    </row>
    <row r="2126" spans="1:31" ht="409.5">
      <c r="A2126" s="2">
        <v>2724243</v>
      </c>
      <c r="B2126" s="2">
        <f>HYPERLINK("https://platform.v2.vetology.net/cases/2724243/screening-report/1?type=pdf&amp;v=v6&amp;scorecard=1&amp;secret_key=BX%25IJ%24%2F65ieZ%29f6", 2724243)</f>
        <v>2724243</v>
      </c>
      <c r="C2126" s="2">
        <f>HYPERLINK("https://platform.v2.vetology.net/report/v/final/"&amp;2724243, 2724243)</f>
        <v>2724243</v>
      </c>
      <c r="D2126" s="2" t="s">
        <v>6839</v>
      </c>
      <c r="E2126" s="2" t="s">
        <v>6840</v>
      </c>
      <c r="F2126" s="2" t="s">
        <v>6841</v>
      </c>
      <c r="G2126" s="2" t="s">
        <v>170</v>
      </c>
      <c r="H2126" s="2" t="s">
        <v>69</v>
      </c>
      <c r="I2126" s="2" t="s">
        <v>46</v>
      </c>
      <c r="J2126" s="2"/>
      <c r="K2126" s="2" t="s">
        <v>39</v>
      </c>
      <c r="L2126" s="2" t="s">
        <v>39</v>
      </c>
      <c r="M2126" s="2" t="s">
        <v>39</v>
      </c>
      <c r="N2126" s="2" t="s">
        <v>39</v>
      </c>
      <c r="O2126" s="2" t="s">
        <v>39</v>
      </c>
      <c r="P2126" s="2" t="s">
        <v>39</v>
      </c>
      <c r="Q2126" s="2" t="s">
        <v>39</v>
      </c>
      <c r="R2126" s="2" t="s">
        <v>39</v>
      </c>
      <c r="S2126" s="2" t="s">
        <v>39</v>
      </c>
      <c r="T2126" s="2" t="s">
        <v>39</v>
      </c>
      <c r="U2126" s="2" t="s">
        <v>39</v>
      </c>
      <c r="V2126" s="2" t="s">
        <v>39</v>
      </c>
      <c r="W2126" s="2" t="s">
        <v>39</v>
      </c>
      <c r="X2126" s="2" t="s">
        <v>39</v>
      </c>
      <c r="Y2126" s="2" t="s">
        <v>39</v>
      </c>
      <c r="Z2126" s="2" t="s">
        <v>39</v>
      </c>
      <c r="AA2126" s="2" t="s">
        <v>39</v>
      </c>
      <c r="AB2126" s="2" t="s">
        <v>39</v>
      </c>
      <c r="AC2126" s="2" t="s">
        <v>39</v>
      </c>
      <c r="AD2126" s="2" t="s">
        <v>39</v>
      </c>
      <c r="AE2126" s="2" t="s">
        <v>40</v>
      </c>
    </row>
    <row r="2127" spans="1:31" ht="409.5">
      <c r="A2127" s="2">
        <v>2724241</v>
      </c>
      <c r="B2127" s="2">
        <f>HYPERLINK("https://platform.v2.vetology.net/cases/2724241/screening-report/1?type=pdf&amp;v=v6&amp;scorecard=1&amp;secret_key=BX%25IJ%24%2F65ieZ%29f6", 2724241)</f>
        <v>2724241</v>
      </c>
      <c r="C2127" s="2">
        <f>HYPERLINK("https://platform.v2.vetology.net/report/v/final/"&amp;2724241, 2724241)</f>
        <v>2724241</v>
      </c>
      <c r="D2127" s="2" t="s">
        <v>6842</v>
      </c>
      <c r="E2127" s="2" t="s">
        <v>6843</v>
      </c>
      <c r="F2127" s="2" t="s">
        <v>6844</v>
      </c>
      <c r="G2127" s="2" t="s">
        <v>34</v>
      </c>
      <c r="H2127" s="2" t="s">
        <v>6845</v>
      </c>
      <c r="I2127" s="2" t="s">
        <v>36</v>
      </c>
      <c r="J2127" s="2" t="s">
        <v>37</v>
      </c>
      <c r="K2127" s="2" t="s">
        <v>38</v>
      </c>
      <c r="L2127" s="2" t="s">
        <v>39</v>
      </c>
      <c r="M2127" s="2" t="s">
        <v>39</v>
      </c>
      <c r="N2127" s="2" t="s">
        <v>39</v>
      </c>
      <c r="O2127" s="2" t="s">
        <v>39</v>
      </c>
      <c r="P2127" s="2" t="s">
        <v>38</v>
      </c>
      <c r="Q2127" s="2" t="s">
        <v>39</v>
      </c>
      <c r="R2127" s="2" t="s">
        <v>39</v>
      </c>
      <c r="S2127" s="2" t="s">
        <v>39</v>
      </c>
      <c r="T2127" s="2" t="s">
        <v>38</v>
      </c>
      <c r="U2127" s="2" t="s">
        <v>39</v>
      </c>
      <c r="V2127" s="2" t="s">
        <v>39</v>
      </c>
      <c r="W2127" s="2" t="s">
        <v>39</v>
      </c>
      <c r="X2127" s="2" t="s">
        <v>39</v>
      </c>
      <c r="Y2127" s="2" t="s">
        <v>39</v>
      </c>
      <c r="Z2127" s="2" t="s">
        <v>38</v>
      </c>
      <c r="AA2127" s="2" t="s">
        <v>39</v>
      </c>
      <c r="AB2127" s="2" t="s">
        <v>39</v>
      </c>
      <c r="AC2127" s="2" t="s">
        <v>38</v>
      </c>
      <c r="AD2127" s="2" t="s">
        <v>38</v>
      </c>
      <c r="AE2127" s="2" t="s">
        <v>40</v>
      </c>
    </row>
    <row r="2128" spans="1:31" ht="409.5">
      <c r="A2128" s="2">
        <v>2724235</v>
      </c>
      <c r="B2128" s="2">
        <f>HYPERLINK("https://platform.v2.vetology.net/cases/2724235/screening-report/1?type=pdf&amp;v=v6&amp;scorecard=1&amp;secret_key=BX%25IJ%24%2F65ieZ%29f6", 2724235)</f>
        <v>2724235</v>
      </c>
      <c r="C2128" s="2">
        <f>HYPERLINK("https://platform.v2.vetology.net/report/v/final/"&amp;2724235, 2724235)</f>
        <v>2724235</v>
      </c>
      <c r="D2128" s="2" t="s">
        <v>6846</v>
      </c>
      <c r="E2128" s="2" t="s">
        <v>6847</v>
      </c>
      <c r="F2128" s="2" t="s">
        <v>6848</v>
      </c>
      <c r="G2128" s="2" t="s">
        <v>127</v>
      </c>
      <c r="H2128" s="2" t="s">
        <v>6849</v>
      </c>
      <c r="I2128" s="2" t="s">
        <v>36</v>
      </c>
      <c r="J2128" s="2" t="s">
        <v>37</v>
      </c>
      <c r="K2128" s="2" t="s">
        <v>39</v>
      </c>
      <c r="L2128" s="2" t="s">
        <v>38</v>
      </c>
      <c r="M2128" s="2" t="s">
        <v>39</v>
      </c>
      <c r="N2128" s="2" t="s">
        <v>39</v>
      </c>
      <c r="O2128" s="2" t="s">
        <v>39</v>
      </c>
      <c r="P2128" s="2" t="s">
        <v>39</v>
      </c>
      <c r="Q2128" s="2" t="s">
        <v>39</v>
      </c>
      <c r="R2128" s="2" t="s">
        <v>38</v>
      </c>
      <c r="S2128" s="2" t="s">
        <v>38</v>
      </c>
      <c r="T2128" s="2" t="s">
        <v>39</v>
      </c>
      <c r="U2128" s="2" t="s">
        <v>39</v>
      </c>
      <c r="V2128" s="2" t="s">
        <v>39</v>
      </c>
      <c r="W2128" s="2" t="s">
        <v>38</v>
      </c>
      <c r="X2128" s="2" t="s">
        <v>39</v>
      </c>
      <c r="Y2128" s="2" t="s">
        <v>39</v>
      </c>
      <c r="Z2128" s="2" t="s">
        <v>38</v>
      </c>
      <c r="AA2128" s="2" t="s">
        <v>38</v>
      </c>
      <c r="AB2128" s="2" t="s">
        <v>39</v>
      </c>
      <c r="AC2128" s="2" t="s">
        <v>38</v>
      </c>
      <c r="AD2128" s="2" t="s">
        <v>38</v>
      </c>
      <c r="AE2128" s="2" t="s">
        <v>40</v>
      </c>
    </row>
    <row r="2129" spans="1:31" ht="409.5">
      <c r="A2129" s="2">
        <v>2724234</v>
      </c>
      <c r="B2129" s="2">
        <f>HYPERLINK("https://platform.v2.vetology.net/cases/2724234/screening-report/1?type=pdf&amp;v=v6&amp;scorecard=1&amp;secret_key=BX%25IJ%24%2F65ieZ%29f6", 2724234)</f>
        <v>2724234</v>
      </c>
      <c r="C2129" s="2">
        <f>HYPERLINK("https://platform.v2.vetology.net/report/v/final/"&amp;2724234, 2724234)</f>
        <v>2724234</v>
      </c>
      <c r="D2129" s="2" t="s">
        <v>6850</v>
      </c>
      <c r="E2129" s="2" t="s">
        <v>6851</v>
      </c>
      <c r="F2129" s="2" t="s">
        <v>6852</v>
      </c>
      <c r="G2129" s="2" t="s">
        <v>170</v>
      </c>
      <c r="H2129" s="2" t="s">
        <v>398</v>
      </c>
      <c r="I2129" s="2" t="s">
        <v>46</v>
      </c>
      <c r="J2129" s="2"/>
      <c r="K2129" s="2" t="s">
        <v>38</v>
      </c>
      <c r="L2129" s="2" t="s">
        <v>39</v>
      </c>
      <c r="M2129" s="2" t="s">
        <v>39</v>
      </c>
      <c r="N2129" s="2" t="s">
        <v>39</v>
      </c>
      <c r="O2129" s="2" t="s">
        <v>39</v>
      </c>
      <c r="P2129" s="2" t="s">
        <v>39</v>
      </c>
      <c r="Q2129" s="2" t="s">
        <v>39</v>
      </c>
      <c r="R2129" s="2" t="s">
        <v>39</v>
      </c>
      <c r="S2129" s="2" t="s">
        <v>39</v>
      </c>
      <c r="T2129" s="2" t="s">
        <v>39</v>
      </c>
      <c r="U2129" s="2" t="s">
        <v>38</v>
      </c>
      <c r="V2129" s="2" t="s">
        <v>38</v>
      </c>
      <c r="W2129" s="2" t="s">
        <v>39</v>
      </c>
      <c r="X2129" s="2" t="s">
        <v>39</v>
      </c>
      <c r="Y2129" s="2" t="s">
        <v>39</v>
      </c>
      <c r="Z2129" s="2" t="s">
        <v>39</v>
      </c>
      <c r="AA2129" s="2" t="s">
        <v>39</v>
      </c>
      <c r="AB2129" s="2" t="s">
        <v>39</v>
      </c>
      <c r="AC2129" s="2" t="s">
        <v>39</v>
      </c>
      <c r="AD2129" s="2" t="s">
        <v>39</v>
      </c>
      <c r="AE2129" s="2" t="s">
        <v>39</v>
      </c>
    </row>
    <row r="2130" spans="1:31" ht="409.5">
      <c r="A2130" s="2">
        <v>2724229</v>
      </c>
      <c r="B2130" s="2">
        <f>HYPERLINK("https://platform.v2.vetology.net/cases/2724229/screening-report/1?type=pdf&amp;v=v6&amp;scorecard=1&amp;secret_key=BX%25IJ%24%2F65ieZ%29f6", 2724229)</f>
        <v>2724229</v>
      </c>
      <c r="C2130" s="2">
        <f>HYPERLINK("https://platform.v2.vetology.net/report/v/final/"&amp;2724229, 2724229)</f>
        <v>2724229</v>
      </c>
      <c r="D2130" s="2" t="s">
        <v>6853</v>
      </c>
      <c r="E2130" s="2" t="s">
        <v>6854</v>
      </c>
      <c r="F2130" s="2" t="s">
        <v>6855</v>
      </c>
      <c r="G2130" s="2" t="s">
        <v>170</v>
      </c>
      <c r="H2130" s="2" t="s">
        <v>6856</v>
      </c>
      <c r="I2130" s="2" t="s">
        <v>129</v>
      </c>
      <c r="J2130" s="2" t="s">
        <v>74</v>
      </c>
      <c r="K2130" s="2" t="s">
        <v>38</v>
      </c>
      <c r="L2130" s="2" t="s">
        <v>38</v>
      </c>
      <c r="M2130" s="2" t="s">
        <v>38</v>
      </c>
      <c r="N2130" s="2" t="s">
        <v>38</v>
      </c>
      <c r="O2130" s="2" t="s">
        <v>38</v>
      </c>
      <c r="P2130" s="2" t="s">
        <v>38</v>
      </c>
      <c r="Q2130" s="2" t="s">
        <v>38</v>
      </c>
      <c r="R2130" s="2" t="s">
        <v>38</v>
      </c>
      <c r="S2130" s="2" t="s">
        <v>38</v>
      </c>
      <c r="T2130" s="2" t="s">
        <v>38</v>
      </c>
      <c r="U2130" s="2" t="s">
        <v>38</v>
      </c>
      <c r="V2130" s="2" t="s">
        <v>38</v>
      </c>
      <c r="W2130" s="2" t="s">
        <v>38</v>
      </c>
      <c r="X2130" s="2" t="s">
        <v>38</v>
      </c>
      <c r="Y2130" s="2" t="s">
        <v>39</v>
      </c>
      <c r="Z2130" s="2" t="s">
        <v>38</v>
      </c>
      <c r="AA2130" s="2" t="s">
        <v>38</v>
      </c>
      <c r="AB2130" s="2" t="s">
        <v>38</v>
      </c>
      <c r="AC2130" s="2" t="s">
        <v>39</v>
      </c>
      <c r="AD2130" s="2" t="s">
        <v>38</v>
      </c>
      <c r="AE2130" s="2" t="s">
        <v>40</v>
      </c>
    </row>
    <row r="2131" spans="1:31" ht="409.5">
      <c r="A2131" s="2">
        <v>2724218</v>
      </c>
      <c r="B2131" s="2">
        <f>HYPERLINK("https://platform.v2.vetology.net/cases/2724218/screening-report/1?type=pdf&amp;v=v6&amp;scorecard=1&amp;secret_key=BX%25IJ%24%2F65ieZ%29f6", 2724218)</f>
        <v>2724218</v>
      </c>
      <c r="C2131" s="2">
        <f>HYPERLINK("https://platform.v2.vetology.net/report/v/final/"&amp;2724218, 2724218)</f>
        <v>2724218</v>
      </c>
      <c r="D2131" s="2" t="s">
        <v>6857</v>
      </c>
      <c r="E2131" s="2" t="s">
        <v>6858</v>
      </c>
      <c r="F2131" s="2" t="s">
        <v>6859</v>
      </c>
      <c r="G2131" s="2" t="s">
        <v>170</v>
      </c>
      <c r="H2131" s="2" t="s">
        <v>6860</v>
      </c>
      <c r="I2131" s="2" t="s">
        <v>36</v>
      </c>
      <c r="J2131" s="2" t="s">
        <v>37</v>
      </c>
      <c r="K2131" s="2" t="s">
        <v>39</v>
      </c>
      <c r="L2131" s="2" t="s">
        <v>38</v>
      </c>
      <c r="M2131" s="2" t="s">
        <v>38</v>
      </c>
      <c r="N2131" s="2" t="s">
        <v>38</v>
      </c>
      <c r="O2131" s="2" t="s">
        <v>38</v>
      </c>
      <c r="P2131" s="2" t="s">
        <v>39</v>
      </c>
      <c r="Q2131" s="2" t="s">
        <v>39</v>
      </c>
      <c r="R2131" s="2" t="s">
        <v>39</v>
      </c>
      <c r="S2131" s="2" t="s">
        <v>38</v>
      </c>
      <c r="T2131" s="2" t="s">
        <v>39</v>
      </c>
      <c r="U2131" s="2" t="s">
        <v>39</v>
      </c>
      <c r="V2131" s="2" t="s">
        <v>39</v>
      </c>
      <c r="W2131" s="2" t="s">
        <v>39</v>
      </c>
      <c r="X2131" s="2" t="s">
        <v>39</v>
      </c>
      <c r="Y2131" s="2" t="s">
        <v>39</v>
      </c>
      <c r="Z2131" s="2" t="s">
        <v>39</v>
      </c>
      <c r="AA2131" s="2" t="s">
        <v>39</v>
      </c>
      <c r="AB2131" s="2" t="s">
        <v>39</v>
      </c>
      <c r="AC2131" s="2" t="s">
        <v>38</v>
      </c>
      <c r="AD2131" s="2" t="s">
        <v>39</v>
      </c>
      <c r="AE2131" s="2" t="s">
        <v>39</v>
      </c>
    </row>
    <row r="2132" spans="1:31" ht="409.5">
      <c r="A2132" s="2">
        <v>2724207</v>
      </c>
      <c r="B2132" s="2">
        <f>HYPERLINK("https://platform.v2.vetology.net/cases/2724207/screening-report/1?type=pdf&amp;v=v6&amp;scorecard=1&amp;secret_key=BX%25IJ%24%2F65ieZ%29f6", 2724207)</f>
        <v>2724207</v>
      </c>
      <c r="C2132" s="2">
        <f>HYPERLINK("https://platform.v2.vetology.net/report/v/final/"&amp;2724207, 2724207)</f>
        <v>2724207</v>
      </c>
      <c r="D2132" s="2" t="s">
        <v>6861</v>
      </c>
      <c r="E2132" s="2" t="s">
        <v>6862</v>
      </c>
      <c r="F2132" s="2" t="s">
        <v>6863</v>
      </c>
      <c r="G2132" s="2" t="s">
        <v>170</v>
      </c>
      <c r="H2132" s="2" t="s">
        <v>6864</v>
      </c>
      <c r="I2132" s="2" t="s">
        <v>36</v>
      </c>
      <c r="J2132" s="2" t="s">
        <v>37</v>
      </c>
      <c r="K2132" s="2" t="s">
        <v>39</v>
      </c>
      <c r="L2132" s="2" t="s">
        <v>38</v>
      </c>
      <c r="M2132" s="2" t="s">
        <v>38</v>
      </c>
      <c r="N2132" s="2" t="s">
        <v>38</v>
      </c>
      <c r="O2132" s="2" t="s">
        <v>38</v>
      </c>
      <c r="P2132" s="2" t="s">
        <v>38</v>
      </c>
      <c r="Q2132" s="2" t="s">
        <v>39</v>
      </c>
      <c r="R2132" s="2" t="s">
        <v>38</v>
      </c>
      <c r="S2132" s="2" t="s">
        <v>39</v>
      </c>
      <c r="T2132" s="2" t="s">
        <v>38</v>
      </c>
      <c r="U2132" s="2" t="s">
        <v>39</v>
      </c>
      <c r="V2132" s="2" t="s">
        <v>39</v>
      </c>
      <c r="W2132" s="2" t="s">
        <v>38</v>
      </c>
      <c r="X2132" s="2" t="s">
        <v>39</v>
      </c>
      <c r="Y2132" s="2" t="s">
        <v>39</v>
      </c>
      <c r="Z2132" s="2" t="s">
        <v>38</v>
      </c>
      <c r="AA2132" s="2" t="s">
        <v>38</v>
      </c>
      <c r="AB2132" s="2" t="s">
        <v>39</v>
      </c>
      <c r="AC2132" s="2" t="s">
        <v>38</v>
      </c>
      <c r="AD2132" s="2" t="s">
        <v>39</v>
      </c>
      <c r="AE2132" s="2"/>
    </row>
    <row r="2133" spans="1:31" ht="409.5">
      <c r="A2133" s="2">
        <v>2724198</v>
      </c>
      <c r="B2133" s="2">
        <f>HYPERLINK("https://platform.v2.vetology.net/cases/2724198/screening-report/1?type=pdf&amp;v=v6&amp;scorecard=1&amp;secret_key=BX%25IJ%24%2F65ieZ%29f6", 2724198)</f>
        <v>2724198</v>
      </c>
      <c r="C2133" s="2">
        <f>HYPERLINK("https://platform.v2.vetology.net/report/v/final/"&amp;2724198, 2724198)</f>
        <v>2724198</v>
      </c>
      <c r="D2133" s="2" t="s">
        <v>6865</v>
      </c>
      <c r="E2133" s="2" t="s">
        <v>6866</v>
      </c>
      <c r="F2133" s="2" t="s">
        <v>6867</v>
      </c>
      <c r="G2133" s="2" t="s">
        <v>170</v>
      </c>
      <c r="H2133" s="2" t="s">
        <v>6868</v>
      </c>
      <c r="I2133" s="2" t="s">
        <v>36</v>
      </c>
      <c r="J2133" s="2" t="s">
        <v>37</v>
      </c>
      <c r="K2133" s="2" t="s">
        <v>38</v>
      </c>
      <c r="L2133" s="2" t="s">
        <v>38</v>
      </c>
      <c r="M2133" s="2" t="s">
        <v>38</v>
      </c>
      <c r="N2133" s="2" t="s">
        <v>38</v>
      </c>
      <c r="O2133" s="2" t="s">
        <v>38</v>
      </c>
      <c r="P2133" s="2" t="s">
        <v>39</v>
      </c>
      <c r="Q2133" s="2" t="s">
        <v>39</v>
      </c>
      <c r="R2133" s="2" t="s">
        <v>38</v>
      </c>
      <c r="S2133" s="2" t="s">
        <v>38</v>
      </c>
      <c r="T2133" s="2" t="s">
        <v>38</v>
      </c>
      <c r="U2133" s="2" t="s">
        <v>38</v>
      </c>
      <c r="V2133" s="2" t="s">
        <v>38</v>
      </c>
      <c r="W2133" s="2" t="s">
        <v>38</v>
      </c>
      <c r="X2133" s="2" t="s">
        <v>39</v>
      </c>
      <c r="Y2133" s="2" t="s">
        <v>38</v>
      </c>
      <c r="Z2133" s="2" t="s">
        <v>38</v>
      </c>
      <c r="AA2133" s="2" t="s">
        <v>38</v>
      </c>
      <c r="AB2133" s="2" t="s">
        <v>39</v>
      </c>
      <c r="AC2133" s="2" t="s">
        <v>38</v>
      </c>
      <c r="AD2133" s="2" t="s">
        <v>38</v>
      </c>
      <c r="AE2133" s="2" t="s">
        <v>40</v>
      </c>
    </row>
    <row r="2134" spans="1:31" ht="409.5">
      <c r="A2134" s="2">
        <v>2724011</v>
      </c>
      <c r="B2134" s="2">
        <f>HYPERLINK("https://platform.v2.vetology.net/cases/2724011/screening-report/1?type=pdf&amp;v=v6&amp;scorecard=1&amp;secret_key=BX%25IJ%24%2F65ieZ%29f6", 2724011)</f>
        <v>2724011</v>
      </c>
      <c r="C2134" s="2">
        <f>HYPERLINK("https://platform.v2.vetology.net/report/v/final/"&amp;2724011, 2724011)</f>
        <v>2724011</v>
      </c>
      <c r="D2134" s="2" t="s">
        <v>6869</v>
      </c>
      <c r="E2134" s="2" t="s">
        <v>6870</v>
      </c>
      <c r="F2134" s="2" t="s">
        <v>6871</v>
      </c>
      <c r="G2134" s="2" t="s">
        <v>251</v>
      </c>
      <c r="H2134" s="2" t="s">
        <v>1322</v>
      </c>
      <c r="I2134" s="2" t="s">
        <v>36</v>
      </c>
      <c r="J2134" s="2" t="s">
        <v>37</v>
      </c>
      <c r="K2134" s="2" t="s">
        <v>39</v>
      </c>
      <c r="L2134" s="2" t="s">
        <v>38</v>
      </c>
      <c r="M2134" s="2" t="s">
        <v>39</v>
      </c>
      <c r="N2134" s="2" t="s">
        <v>39</v>
      </c>
      <c r="O2134" s="2" t="s">
        <v>39</v>
      </c>
      <c r="P2134" s="2" t="s">
        <v>39</v>
      </c>
      <c r="Q2134" s="2" t="s">
        <v>39</v>
      </c>
      <c r="R2134" s="2" t="s">
        <v>39</v>
      </c>
      <c r="S2134" s="2" t="s">
        <v>39</v>
      </c>
      <c r="T2134" s="2" t="s">
        <v>39</v>
      </c>
      <c r="U2134" s="2" t="s">
        <v>39</v>
      </c>
      <c r="V2134" s="2" t="s">
        <v>39</v>
      </c>
      <c r="W2134" s="2" t="s">
        <v>38</v>
      </c>
      <c r="X2134" s="2" t="s">
        <v>39</v>
      </c>
      <c r="Y2134" s="2" t="s">
        <v>39</v>
      </c>
      <c r="Z2134" s="2" t="s">
        <v>38</v>
      </c>
      <c r="AA2134" s="2" t="s">
        <v>38</v>
      </c>
      <c r="AB2134" s="2" t="s">
        <v>39</v>
      </c>
      <c r="AC2134" s="2" t="s">
        <v>38</v>
      </c>
      <c r="AD2134" s="2" t="s">
        <v>39</v>
      </c>
      <c r="AE2134" s="2" t="s">
        <v>39</v>
      </c>
    </row>
    <row r="2135" spans="1:31" ht="409.5">
      <c r="A2135" s="2">
        <v>2724009</v>
      </c>
      <c r="B2135" s="2">
        <f>HYPERLINK("https://platform.v2.vetology.net/cases/2724009/screening-report/1?type=pdf&amp;v=v6&amp;scorecard=1&amp;secret_key=BX%25IJ%24%2F65ieZ%29f6", 2724009)</f>
        <v>2724009</v>
      </c>
      <c r="C2135" s="2">
        <f>HYPERLINK("https://platform.v2.vetology.net/report/v/final/"&amp;2724009, 2724009)</f>
        <v>2724009</v>
      </c>
      <c r="D2135" s="2" t="s">
        <v>6872</v>
      </c>
      <c r="E2135" s="2" t="s">
        <v>2593</v>
      </c>
      <c r="F2135" s="2" t="s">
        <v>229</v>
      </c>
      <c r="G2135" s="2" t="s">
        <v>170</v>
      </c>
      <c r="H2135" s="2" t="s">
        <v>6873</v>
      </c>
      <c r="I2135" s="2" t="s">
        <v>59</v>
      </c>
      <c r="J2135" s="2" t="s">
        <v>37</v>
      </c>
      <c r="K2135" s="2" t="s">
        <v>39</v>
      </c>
      <c r="L2135" s="2" t="s">
        <v>39</v>
      </c>
      <c r="M2135" s="2" t="s">
        <v>39</v>
      </c>
      <c r="N2135" s="2" t="s">
        <v>38</v>
      </c>
      <c r="O2135" s="2" t="s">
        <v>39</v>
      </c>
      <c r="P2135" s="2" t="s">
        <v>39</v>
      </c>
      <c r="Q2135" s="2" t="s">
        <v>39</v>
      </c>
      <c r="R2135" s="2" t="s">
        <v>38</v>
      </c>
      <c r="S2135" s="2" t="s">
        <v>39</v>
      </c>
      <c r="T2135" s="2" t="s">
        <v>39</v>
      </c>
      <c r="U2135" s="2" t="s">
        <v>39</v>
      </c>
      <c r="V2135" s="2" t="s">
        <v>38</v>
      </c>
      <c r="W2135" s="2" t="s">
        <v>38</v>
      </c>
      <c r="X2135" s="2" t="s">
        <v>39</v>
      </c>
      <c r="Y2135" s="2" t="s">
        <v>39</v>
      </c>
      <c r="Z2135" s="2" t="s">
        <v>38</v>
      </c>
      <c r="AA2135" s="2" t="s">
        <v>38</v>
      </c>
      <c r="AB2135" s="2" t="s">
        <v>39</v>
      </c>
      <c r="AC2135" s="2" t="s">
        <v>38</v>
      </c>
      <c r="AD2135" s="2" t="s">
        <v>38</v>
      </c>
      <c r="AE2135" s="2" t="s">
        <v>40</v>
      </c>
    </row>
    <row r="2136" spans="1:31" ht="409.5">
      <c r="A2136" s="2">
        <v>2723978</v>
      </c>
      <c r="B2136" s="2">
        <f>HYPERLINK("https://platform.v2.vetology.net/cases/2723978/screening-report/1?type=pdf&amp;v=v6&amp;scorecard=1&amp;secret_key=BX%25IJ%24%2F65ieZ%29f6", 2723978)</f>
        <v>2723978</v>
      </c>
      <c r="C2136" s="2">
        <f>HYPERLINK("https://platform.v2.vetology.net/report/v/final/"&amp;2723978, 2723978)</f>
        <v>2723978</v>
      </c>
      <c r="D2136" s="2" t="s">
        <v>6874</v>
      </c>
      <c r="E2136" s="2" t="s">
        <v>6875</v>
      </c>
      <c r="F2136" s="2" t="s">
        <v>6876</v>
      </c>
      <c r="G2136" s="2" t="s">
        <v>170</v>
      </c>
      <c r="H2136" s="2" t="s">
        <v>222</v>
      </c>
      <c r="I2136" s="2" t="s">
        <v>36</v>
      </c>
      <c r="J2136" s="2" t="s">
        <v>37</v>
      </c>
      <c r="K2136" s="2" t="s">
        <v>39</v>
      </c>
      <c r="L2136" s="2" t="s">
        <v>39</v>
      </c>
      <c r="M2136" s="2" t="s">
        <v>38</v>
      </c>
      <c r="N2136" s="2" t="s">
        <v>38</v>
      </c>
      <c r="O2136" s="2" t="s">
        <v>38</v>
      </c>
      <c r="P2136" s="2" t="s">
        <v>39</v>
      </c>
      <c r="Q2136" s="2" t="s">
        <v>39</v>
      </c>
      <c r="R2136" s="2" t="s">
        <v>38</v>
      </c>
      <c r="S2136" s="2" t="s">
        <v>38</v>
      </c>
      <c r="T2136" s="2" t="s">
        <v>38</v>
      </c>
      <c r="U2136" s="2" t="s">
        <v>39</v>
      </c>
      <c r="V2136" s="2" t="s">
        <v>39</v>
      </c>
      <c r="W2136" s="2" t="s">
        <v>38</v>
      </c>
      <c r="X2136" s="2" t="s">
        <v>39</v>
      </c>
      <c r="Y2136" s="2" t="s">
        <v>39</v>
      </c>
      <c r="Z2136" s="2" t="s">
        <v>38</v>
      </c>
      <c r="AA2136" s="2" t="s">
        <v>38</v>
      </c>
      <c r="AB2136" s="2" t="s">
        <v>39</v>
      </c>
      <c r="AC2136" s="2" t="s">
        <v>38</v>
      </c>
      <c r="AD2136" s="2" t="s">
        <v>38</v>
      </c>
      <c r="AE2136" s="2" t="s">
        <v>39</v>
      </c>
    </row>
    <row r="2137" spans="1:31" ht="409.5">
      <c r="A2137" s="2">
        <v>2723977</v>
      </c>
      <c r="B2137" s="2">
        <f>HYPERLINK("https://platform.v2.vetology.net/cases/2723977/screening-report/1?type=pdf&amp;v=v6&amp;scorecard=1&amp;secret_key=BX%25IJ%24%2F65ieZ%29f6", 2723977)</f>
        <v>2723977</v>
      </c>
      <c r="C2137" s="2">
        <f>HYPERLINK("https://platform.v2.vetology.net/report/v/final/"&amp;2723977, 2723977)</f>
        <v>2723977</v>
      </c>
      <c r="D2137" s="2" t="s">
        <v>6877</v>
      </c>
      <c r="E2137" s="2" t="s">
        <v>6878</v>
      </c>
      <c r="F2137" s="2" t="s">
        <v>6879</v>
      </c>
      <c r="G2137" s="2" t="s">
        <v>170</v>
      </c>
      <c r="H2137" s="2" t="s">
        <v>6880</v>
      </c>
      <c r="I2137" s="2" t="s">
        <v>73</v>
      </c>
      <c r="J2137" s="2" t="s">
        <v>74</v>
      </c>
      <c r="K2137" s="2" t="s">
        <v>38</v>
      </c>
      <c r="L2137" s="2" t="s">
        <v>38</v>
      </c>
      <c r="M2137" s="2" t="s">
        <v>38</v>
      </c>
      <c r="N2137" s="2" t="s">
        <v>38</v>
      </c>
      <c r="O2137" s="2" t="s">
        <v>38</v>
      </c>
      <c r="P2137" s="2" t="s">
        <v>38</v>
      </c>
      <c r="Q2137" s="2" t="s">
        <v>38</v>
      </c>
      <c r="R2137" s="2" t="s">
        <v>38</v>
      </c>
      <c r="S2137" s="2" t="s">
        <v>38</v>
      </c>
      <c r="T2137" s="2" t="s">
        <v>38</v>
      </c>
      <c r="U2137" s="2" t="s">
        <v>38</v>
      </c>
      <c r="V2137" s="2" t="s">
        <v>38</v>
      </c>
      <c r="W2137" s="2" t="s">
        <v>38</v>
      </c>
      <c r="X2137" s="2" t="s">
        <v>38</v>
      </c>
      <c r="Y2137" s="2" t="s">
        <v>39</v>
      </c>
      <c r="Z2137" s="2" t="s">
        <v>38</v>
      </c>
      <c r="AA2137" s="2" t="s">
        <v>38</v>
      </c>
      <c r="AB2137" s="2" t="s">
        <v>38</v>
      </c>
      <c r="AC2137" s="2" t="s">
        <v>38</v>
      </c>
      <c r="AD2137" s="2" t="s">
        <v>38</v>
      </c>
      <c r="AE2137" s="2" t="s">
        <v>39</v>
      </c>
    </row>
    <row r="2138" spans="1:31" ht="409.5">
      <c r="A2138" s="2">
        <v>2723956</v>
      </c>
      <c r="B2138" s="2">
        <f>HYPERLINK("https://platform.v2.vetology.net/cases/2723956/screening-report/1?type=pdf&amp;v=v6&amp;scorecard=1&amp;secret_key=BX%25IJ%24%2F65ieZ%29f6", 2723956)</f>
        <v>2723956</v>
      </c>
      <c r="C2138" s="2">
        <f>HYPERLINK("https://platform.v2.vetology.net/report/v/final/"&amp;2723956, 2723956)</f>
        <v>2723956</v>
      </c>
      <c r="D2138" s="2" t="s">
        <v>6881</v>
      </c>
      <c r="E2138" s="2" t="s">
        <v>6882</v>
      </c>
      <c r="F2138" s="2" t="s">
        <v>6883</v>
      </c>
      <c r="G2138" s="2" t="s">
        <v>53</v>
      </c>
      <c r="H2138" s="2" t="s">
        <v>62</v>
      </c>
      <c r="I2138" s="2" t="s">
        <v>46</v>
      </c>
      <c r="J2138" s="2"/>
      <c r="K2138" s="2" t="s">
        <v>39</v>
      </c>
      <c r="L2138" s="2" t="s">
        <v>39</v>
      </c>
      <c r="M2138" s="2" t="s">
        <v>39</v>
      </c>
      <c r="N2138" s="2" t="s">
        <v>39</v>
      </c>
      <c r="O2138" s="2" t="s">
        <v>39</v>
      </c>
      <c r="P2138" s="2" t="s">
        <v>39</v>
      </c>
      <c r="Q2138" s="2" t="s">
        <v>39</v>
      </c>
      <c r="R2138" s="2" t="s">
        <v>38</v>
      </c>
      <c r="S2138" s="2" t="s">
        <v>38</v>
      </c>
      <c r="T2138" s="2" t="s">
        <v>39</v>
      </c>
      <c r="U2138" s="2" t="s">
        <v>38</v>
      </c>
      <c r="V2138" s="2" t="s">
        <v>38</v>
      </c>
      <c r="W2138" s="2" t="s">
        <v>38</v>
      </c>
      <c r="X2138" s="2" t="s">
        <v>39</v>
      </c>
      <c r="Y2138" s="2" t="s">
        <v>39</v>
      </c>
      <c r="Z2138" s="2" t="s">
        <v>38</v>
      </c>
      <c r="AA2138" s="2" t="s">
        <v>39</v>
      </c>
      <c r="AB2138" s="2" t="s">
        <v>39</v>
      </c>
      <c r="AC2138" s="2" t="s">
        <v>38</v>
      </c>
      <c r="AD2138" s="2" t="s">
        <v>38</v>
      </c>
      <c r="AE2138" s="2" t="s">
        <v>39</v>
      </c>
    </row>
    <row r="2139" spans="1:31" ht="409.5">
      <c r="A2139" s="2">
        <v>2723950</v>
      </c>
      <c r="B2139" s="2">
        <f>HYPERLINK("https://platform.v2.vetology.net/cases/2723950/screening-report/1?type=pdf&amp;v=v6&amp;scorecard=1&amp;secret_key=BX%25IJ%24%2F65ieZ%29f6", 2723950)</f>
        <v>2723950</v>
      </c>
      <c r="C2139" s="2">
        <f>HYPERLINK("https://platform.v2.vetology.net/report/v/final/"&amp;2723950, 2723950)</f>
        <v>2723950</v>
      </c>
      <c r="D2139" s="2" t="s">
        <v>6884</v>
      </c>
      <c r="E2139" s="2" t="s">
        <v>6885</v>
      </c>
      <c r="F2139" s="2" t="s">
        <v>6886</v>
      </c>
      <c r="G2139" s="2" t="s">
        <v>170</v>
      </c>
      <c r="H2139" s="2" t="s">
        <v>449</v>
      </c>
      <c r="I2139" s="2" t="s">
        <v>59</v>
      </c>
      <c r="J2139" s="2" t="s">
        <v>37</v>
      </c>
      <c r="K2139" s="2" t="s">
        <v>39</v>
      </c>
      <c r="L2139" s="2" t="s">
        <v>38</v>
      </c>
      <c r="M2139" s="2" t="s">
        <v>39</v>
      </c>
      <c r="N2139" s="2" t="s">
        <v>38</v>
      </c>
      <c r="O2139" s="2" t="s">
        <v>39</v>
      </c>
      <c r="P2139" s="2" t="s">
        <v>39</v>
      </c>
      <c r="Q2139" s="2" t="s">
        <v>39</v>
      </c>
      <c r="R2139" s="2" t="s">
        <v>38</v>
      </c>
      <c r="S2139" s="2" t="s">
        <v>38</v>
      </c>
      <c r="T2139" s="2" t="s">
        <v>38</v>
      </c>
      <c r="U2139" s="2" t="s">
        <v>39</v>
      </c>
      <c r="V2139" s="2" t="s">
        <v>39</v>
      </c>
      <c r="W2139" s="2" t="s">
        <v>38</v>
      </c>
      <c r="X2139" s="2" t="s">
        <v>39</v>
      </c>
      <c r="Y2139" s="2" t="s">
        <v>39</v>
      </c>
      <c r="Z2139" s="2" t="s">
        <v>38</v>
      </c>
      <c r="AA2139" s="2" t="s">
        <v>38</v>
      </c>
      <c r="AB2139" s="2" t="s">
        <v>38</v>
      </c>
      <c r="AC2139" s="2" t="s">
        <v>39</v>
      </c>
      <c r="AD2139" s="2" t="s">
        <v>38</v>
      </c>
      <c r="AE2139" s="2" t="s">
        <v>39</v>
      </c>
    </row>
    <row r="2140" spans="1:31" ht="409.5">
      <c r="A2140" s="2">
        <v>2723936</v>
      </c>
      <c r="B2140" s="2">
        <f>HYPERLINK("https://platform.v2.vetology.net/cases/2723936/screening-report/1?type=pdf&amp;v=v6&amp;scorecard=1&amp;secret_key=BX%25IJ%24%2F65ieZ%29f6", 2723936)</f>
        <v>2723936</v>
      </c>
      <c r="C2140" s="2">
        <f>HYPERLINK("https://platform.v2.vetology.net/report/v/final/"&amp;2723936, 2723936)</f>
        <v>2723936</v>
      </c>
      <c r="D2140" s="2" t="s">
        <v>6887</v>
      </c>
      <c r="E2140" s="2" t="s">
        <v>502</v>
      </c>
      <c r="F2140" s="2" t="s">
        <v>6888</v>
      </c>
      <c r="G2140" s="2" t="s">
        <v>111</v>
      </c>
      <c r="H2140" s="2" t="s">
        <v>6889</v>
      </c>
      <c r="I2140" s="2" t="s">
        <v>129</v>
      </c>
      <c r="J2140" s="2" t="s">
        <v>74</v>
      </c>
      <c r="K2140" s="2" t="s">
        <v>39</v>
      </c>
      <c r="L2140" s="2" t="s">
        <v>39</v>
      </c>
      <c r="M2140" s="2" t="s">
        <v>39</v>
      </c>
      <c r="N2140" s="2" t="s">
        <v>39</v>
      </c>
      <c r="O2140" s="2" t="s">
        <v>39</v>
      </c>
      <c r="P2140" s="2" t="s">
        <v>38</v>
      </c>
      <c r="Q2140" s="2" t="s">
        <v>38</v>
      </c>
      <c r="R2140" s="2" t="s">
        <v>38</v>
      </c>
      <c r="S2140" s="2" t="s">
        <v>39</v>
      </c>
      <c r="T2140" s="2" t="s">
        <v>38</v>
      </c>
      <c r="U2140" s="2" t="s">
        <v>39</v>
      </c>
      <c r="V2140" s="2" t="s">
        <v>39</v>
      </c>
      <c r="W2140" s="2" t="s">
        <v>38</v>
      </c>
      <c r="X2140" s="2" t="s">
        <v>39</v>
      </c>
      <c r="Y2140" s="2" t="s">
        <v>39</v>
      </c>
      <c r="Z2140" s="2" t="s">
        <v>38</v>
      </c>
      <c r="AA2140" s="2" t="s">
        <v>38</v>
      </c>
      <c r="AB2140" s="2" t="s">
        <v>39</v>
      </c>
      <c r="AC2140" s="2" t="s">
        <v>39</v>
      </c>
      <c r="AD2140" s="2" t="s">
        <v>39</v>
      </c>
      <c r="AE2140" s="2"/>
    </row>
    <row r="2141" spans="1:31" ht="409.5">
      <c r="A2141" s="2">
        <v>2723912</v>
      </c>
      <c r="B2141" s="2">
        <f>HYPERLINK("https://platform.v2.vetology.net/cases/2723912/screening-report/1?type=pdf&amp;v=v6&amp;scorecard=1&amp;secret_key=BX%25IJ%24%2F65ieZ%29f6", 2723912)</f>
        <v>2723912</v>
      </c>
      <c r="C2141" s="2">
        <f>HYPERLINK("https://platform.v2.vetology.net/report/v/final/"&amp;2723912, 2723912)</f>
        <v>2723912</v>
      </c>
      <c r="D2141" s="2" t="s">
        <v>6890</v>
      </c>
      <c r="E2141" s="2" t="s">
        <v>6891</v>
      </c>
      <c r="F2141" s="2" t="s">
        <v>6892</v>
      </c>
      <c r="G2141" s="2" t="s">
        <v>53</v>
      </c>
      <c r="H2141" s="2" t="s">
        <v>6893</v>
      </c>
      <c r="I2141" s="2" t="s">
        <v>36</v>
      </c>
      <c r="J2141" s="2" t="s">
        <v>37</v>
      </c>
      <c r="K2141" s="2" t="s">
        <v>39</v>
      </c>
      <c r="L2141" s="2" t="s">
        <v>39</v>
      </c>
      <c r="M2141" s="2" t="s">
        <v>38</v>
      </c>
      <c r="N2141" s="2" t="s">
        <v>38</v>
      </c>
      <c r="O2141" s="2" t="s">
        <v>39</v>
      </c>
      <c r="P2141" s="2" t="s">
        <v>39</v>
      </c>
      <c r="Q2141" s="2" t="s">
        <v>39</v>
      </c>
      <c r="R2141" s="2" t="s">
        <v>38</v>
      </c>
      <c r="S2141" s="2" t="s">
        <v>38</v>
      </c>
      <c r="T2141" s="2" t="s">
        <v>39</v>
      </c>
      <c r="U2141" s="2" t="s">
        <v>39</v>
      </c>
      <c r="V2141" s="2" t="s">
        <v>38</v>
      </c>
      <c r="W2141" s="2" t="s">
        <v>39</v>
      </c>
      <c r="X2141" s="2" t="s">
        <v>39</v>
      </c>
      <c r="Y2141" s="2" t="s">
        <v>39</v>
      </c>
      <c r="Z2141" s="2" t="s">
        <v>38</v>
      </c>
      <c r="AA2141" s="2" t="s">
        <v>38</v>
      </c>
      <c r="AB2141" s="2" t="s">
        <v>39</v>
      </c>
      <c r="AC2141" s="2" t="s">
        <v>38</v>
      </c>
      <c r="AD2141" s="2" t="s">
        <v>38</v>
      </c>
      <c r="AE2141" s="2" t="s">
        <v>39</v>
      </c>
    </row>
    <row r="2142" spans="1:31" ht="409.5">
      <c r="A2142" s="2">
        <v>2723896</v>
      </c>
      <c r="B2142" s="2">
        <f>HYPERLINK("https://platform.v2.vetology.net/cases/2723896/screening-report/1?type=pdf&amp;v=v6&amp;scorecard=1&amp;secret_key=BX%25IJ%24%2F65ieZ%29f6", 2723896)</f>
        <v>2723896</v>
      </c>
      <c r="C2142" s="2">
        <f>HYPERLINK("https://platform.v2.vetology.net/report/v/final/"&amp;2723896, 2723896)</f>
        <v>2723896</v>
      </c>
      <c r="D2142" s="2" t="s">
        <v>6894</v>
      </c>
      <c r="E2142" s="2" t="s">
        <v>6895</v>
      </c>
      <c r="F2142" s="2" t="s">
        <v>6896</v>
      </c>
      <c r="G2142" s="2" t="s">
        <v>53</v>
      </c>
      <c r="H2142" s="2" t="s">
        <v>1168</v>
      </c>
      <c r="I2142" s="2" t="s">
        <v>36</v>
      </c>
      <c r="J2142" s="2" t="s">
        <v>37</v>
      </c>
      <c r="K2142" s="2" t="s">
        <v>38</v>
      </c>
      <c r="L2142" s="2" t="s">
        <v>38</v>
      </c>
      <c r="M2142" s="2" t="s">
        <v>38</v>
      </c>
      <c r="N2142" s="2" t="s">
        <v>38</v>
      </c>
      <c r="O2142" s="2" t="s">
        <v>38</v>
      </c>
      <c r="P2142" s="2" t="s">
        <v>39</v>
      </c>
      <c r="Q2142" s="2" t="s">
        <v>39</v>
      </c>
      <c r="R2142" s="2" t="s">
        <v>38</v>
      </c>
      <c r="S2142" s="2" t="s">
        <v>38</v>
      </c>
      <c r="T2142" s="2" t="s">
        <v>38</v>
      </c>
      <c r="U2142" s="2" t="s">
        <v>38</v>
      </c>
      <c r="V2142" s="2" t="s">
        <v>38</v>
      </c>
      <c r="W2142" s="2" t="s">
        <v>38</v>
      </c>
      <c r="X2142" s="2" t="s">
        <v>38</v>
      </c>
      <c r="Y2142" s="2" t="s">
        <v>38</v>
      </c>
      <c r="Z2142" s="2" t="s">
        <v>38</v>
      </c>
      <c r="AA2142" s="2" t="s">
        <v>38</v>
      </c>
      <c r="AB2142" s="2" t="s">
        <v>39</v>
      </c>
      <c r="AC2142" s="2" t="s">
        <v>38</v>
      </c>
      <c r="AD2142" s="2" t="s">
        <v>38</v>
      </c>
      <c r="AE2142" s="2" t="s">
        <v>40</v>
      </c>
    </row>
    <row r="2143" spans="1:31" ht="409.5">
      <c r="A2143" s="2">
        <v>2723884</v>
      </c>
      <c r="B2143" s="2">
        <f>HYPERLINK("https://platform.v2.vetology.net/cases/2723884/screening-report/1?type=pdf&amp;v=v6&amp;scorecard=1&amp;secret_key=BX%25IJ%24%2F65ieZ%29f6", 2723884)</f>
        <v>2723884</v>
      </c>
      <c r="C2143" s="2">
        <f>HYPERLINK("https://platform.v2.vetology.net/report/v/final/"&amp;2723884, 2723884)</f>
        <v>2723884</v>
      </c>
      <c r="D2143" s="2" t="s">
        <v>6897</v>
      </c>
      <c r="E2143" s="2" t="s">
        <v>6898</v>
      </c>
      <c r="F2143" s="2" t="s">
        <v>6899</v>
      </c>
      <c r="G2143" s="2" t="s">
        <v>111</v>
      </c>
      <c r="H2143" s="2" t="s">
        <v>6900</v>
      </c>
      <c r="I2143" s="2" t="s">
        <v>36</v>
      </c>
      <c r="J2143" s="2" t="s">
        <v>37</v>
      </c>
      <c r="K2143" s="2" t="s">
        <v>39</v>
      </c>
      <c r="L2143" s="2" t="s">
        <v>38</v>
      </c>
      <c r="M2143" s="2" t="s">
        <v>38</v>
      </c>
      <c r="N2143" s="2" t="s">
        <v>38</v>
      </c>
      <c r="O2143" s="2" t="s">
        <v>38</v>
      </c>
      <c r="P2143" s="2" t="s">
        <v>39</v>
      </c>
      <c r="Q2143" s="2" t="s">
        <v>39</v>
      </c>
      <c r="R2143" s="2" t="s">
        <v>38</v>
      </c>
      <c r="S2143" s="2" t="s">
        <v>38</v>
      </c>
      <c r="T2143" s="2" t="s">
        <v>39</v>
      </c>
      <c r="U2143" s="2" t="s">
        <v>39</v>
      </c>
      <c r="V2143" s="2" t="s">
        <v>39</v>
      </c>
      <c r="W2143" s="2" t="s">
        <v>38</v>
      </c>
      <c r="X2143" s="2" t="s">
        <v>39</v>
      </c>
      <c r="Y2143" s="2" t="s">
        <v>39</v>
      </c>
      <c r="Z2143" s="2" t="s">
        <v>38</v>
      </c>
      <c r="AA2143" s="2" t="s">
        <v>38</v>
      </c>
      <c r="AB2143" s="2" t="s">
        <v>39</v>
      </c>
      <c r="AC2143" s="2" t="s">
        <v>38</v>
      </c>
      <c r="AD2143" s="2" t="s">
        <v>38</v>
      </c>
      <c r="AE2143" s="2"/>
    </row>
    <row r="2144" spans="1:31" ht="409.5">
      <c r="A2144" s="2">
        <v>2723792</v>
      </c>
      <c r="B2144" s="2">
        <f>HYPERLINK("https://platform.v2.vetology.net/cases/2723792/screening-report/1?type=pdf&amp;v=v6&amp;scorecard=1&amp;secret_key=BX%25IJ%24%2F65ieZ%29f6", 2723792)</f>
        <v>2723792</v>
      </c>
      <c r="C2144" s="2">
        <f>HYPERLINK("https://platform.v2.vetology.net/report/v/final/"&amp;2723792, 2723792)</f>
        <v>2723792</v>
      </c>
      <c r="D2144" s="2" t="s">
        <v>6901</v>
      </c>
      <c r="E2144" s="2" t="s">
        <v>6902</v>
      </c>
      <c r="F2144" s="2" t="s">
        <v>43</v>
      </c>
      <c r="G2144" s="2" t="s">
        <v>44</v>
      </c>
      <c r="H2144" s="2" t="s">
        <v>6903</v>
      </c>
      <c r="I2144" s="2" t="s">
        <v>257</v>
      </c>
      <c r="J2144" s="2" t="s">
        <v>74</v>
      </c>
      <c r="K2144" s="2" t="s">
        <v>38</v>
      </c>
      <c r="L2144" s="2" t="s">
        <v>38</v>
      </c>
      <c r="M2144" s="2" t="s">
        <v>38</v>
      </c>
      <c r="N2144" s="2" t="s">
        <v>38</v>
      </c>
      <c r="O2144" s="2" t="s">
        <v>38</v>
      </c>
      <c r="P2144" s="2" t="s">
        <v>38</v>
      </c>
      <c r="Q2144" s="2" t="s">
        <v>38</v>
      </c>
      <c r="R2144" s="2" t="s">
        <v>38</v>
      </c>
      <c r="S2144" s="2" t="s">
        <v>38</v>
      </c>
      <c r="T2144" s="2" t="s">
        <v>38</v>
      </c>
      <c r="U2144" s="2" t="s">
        <v>38</v>
      </c>
      <c r="V2144" s="2" t="s">
        <v>38</v>
      </c>
      <c r="W2144" s="2" t="s">
        <v>38</v>
      </c>
      <c r="X2144" s="2" t="s">
        <v>38</v>
      </c>
      <c r="Y2144" s="2" t="s">
        <v>39</v>
      </c>
      <c r="Z2144" s="2" t="s">
        <v>38</v>
      </c>
      <c r="AA2144" s="2" t="s">
        <v>38</v>
      </c>
      <c r="AB2144" s="2" t="s">
        <v>38</v>
      </c>
      <c r="AC2144" s="2" t="s">
        <v>38</v>
      </c>
      <c r="AD2144" s="2" t="s">
        <v>38</v>
      </c>
      <c r="AE2144" s="2"/>
    </row>
    <row r="2145" spans="1:31" ht="409.5">
      <c r="A2145" s="2">
        <v>2723765</v>
      </c>
      <c r="B2145" s="2">
        <f>HYPERLINK("https://platform.v2.vetology.net/cases/2723765/screening-report/1?type=pdf&amp;v=v6&amp;scorecard=1&amp;secret_key=BX%25IJ%24%2F65ieZ%29f6", 2723765)</f>
        <v>2723765</v>
      </c>
      <c r="C2145" s="2">
        <f>HYPERLINK("https://platform.v2.vetology.net/report/v/final/"&amp;2723765, 2723765)</f>
        <v>2723765</v>
      </c>
      <c r="D2145" s="2" t="s">
        <v>6904</v>
      </c>
      <c r="E2145" s="2" t="s">
        <v>6905</v>
      </c>
      <c r="F2145" s="2"/>
      <c r="G2145" s="2" t="s">
        <v>507</v>
      </c>
      <c r="H2145" s="2" t="s">
        <v>6906</v>
      </c>
      <c r="I2145" s="2" t="s">
        <v>129</v>
      </c>
      <c r="J2145" s="2" t="s">
        <v>74</v>
      </c>
      <c r="K2145" s="2" t="s">
        <v>39</v>
      </c>
      <c r="L2145" s="2" t="s">
        <v>39</v>
      </c>
      <c r="M2145" s="2" t="s">
        <v>38</v>
      </c>
      <c r="N2145" s="2" t="s">
        <v>38</v>
      </c>
      <c r="O2145" s="2" t="s">
        <v>38</v>
      </c>
      <c r="P2145" s="2" t="s">
        <v>38</v>
      </c>
      <c r="Q2145" s="2" t="s">
        <v>38</v>
      </c>
      <c r="R2145" s="2" t="s">
        <v>38</v>
      </c>
      <c r="S2145" s="2" t="s">
        <v>39</v>
      </c>
      <c r="T2145" s="2" t="s">
        <v>38</v>
      </c>
      <c r="U2145" s="2" t="s">
        <v>39</v>
      </c>
      <c r="V2145" s="2" t="s">
        <v>39</v>
      </c>
      <c r="W2145" s="2" t="s">
        <v>38</v>
      </c>
      <c r="X2145" s="2" t="s">
        <v>38</v>
      </c>
      <c r="Y2145" s="2" t="s">
        <v>39</v>
      </c>
      <c r="Z2145" s="2" t="s">
        <v>38</v>
      </c>
      <c r="AA2145" s="2" t="s">
        <v>39</v>
      </c>
      <c r="AB2145" s="2" t="s">
        <v>38</v>
      </c>
      <c r="AC2145" s="2" t="s">
        <v>39</v>
      </c>
      <c r="AD2145" s="2" t="s">
        <v>39</v>
      </c>
      <c r="AE2145" s="2" t="s">
        <v>40</v>
      </c>
    </row>
    <row r="2146" spans="1:31" ht="409.5">
      <c r="A2146" s="2">
        <v>2723740</v>
      </c>
      <c r="B2146" s="2">
        <f>HYPERLINK("https://platform.v2.vetology.net/cases/2723740/screening-report/1?type=pdf&amp;v=v6&amp;scorecard=1&amp;secret_key=BX%25IJ%24%2F65ieZ%29f6", 2723740)</f>
        <v>2723740</v>
      </c>
      <c r="C2146" s="2">
        <f>HYPERLINK("https://platform.v2.vetology.net/report/v/final/"&amp;2723740, 2723740)</f>
        <v>2723740</v>
      </c>
      <c r="D2146" s="2" t="s">
        <v>6907</v>
      </c>
      <c r="E2146" s="2" t="s">
        <v>6908</v>
      </c>
      <c r="F2146" s="2"/>
      <c r="G2146" s="2" t="s">
        <v>507</v>
      </c>
      <c r="H2146" s="2" t="s">
        <v>69</v>
      </c>
      <c r="I2146" s="2" t="s">
        <v>46</v>
      </c>
      <c r="J2146" s="2"/>
      <c r="K2146" s="2" t="s">
        <v>39</v>
      </c>
      <c r="L2146" s="2" t="s">
        <v>39</v>
      </c>
      <c r="M2146" s="2" t="s">
        <v>39</v>
      </c>
      <c r="N2146" s="2" t="s">
        <v>39</v>
      </c>
      <c r="O2146" s="2" t="s">
        <v>39</v>
      </c>
      <c r="P2146" s="2" t="s">
        <v>39</v>
      </c>
      <c r="Q2146" s="2" t="s">
        <v>39</v>
      </c>
      <c r="R2146" s="2" t="s">
        <v>39</v>
      </c>
      <c r="S2146" s="2" t="s">
        <v>39</v>
      </c>
      <c r="T2146" s="2" t="s">
        <v>39</v>
      </c>
      <c r="U2146" s="2" t="s">
        <v>39</v>
      </c>
      <c r="V2146" s="2" t="s">
        <v>39</v>
      </c>
      <c r="W2146" s="2" t="s">
        <v>39</v>
      </c>
      <c r="X2146" s="2" t="s">
        <v>39</v>
      </c>
      <c r="Y2146" s="2" t="s">
        <v>39</v>
      </c>
      <c r="Z2146" s="2" t="s">
        <v>39</v>
      </c>
      <c r="AA2146" s="2" t="s">
        <v>39</v>
      </c>
      <c r="AB2146" s="2" t="s">
        <v>39</v>
      </c>
      <c r="AC2146" s="2" t="s">
        <v>38</v>
      </c>
      <c r="AD2146" s="2" t="s">
        <v>38</v>
      </c>
      <c r="AE2146" s="2" t="s">
        <v>39</v>
      </c>
    </row>
    <row r="2147" spans="1:31" ht="409.5">
      <c r="A2147" s="2">
        <v>2723731</v>
      </c>
      <c r="B2147" s="2">
        <f>HYPERLINK("https://platform.v2.vetology.net/cases/2723731/screening-report/1?type=pdf&amp;v=v6&amp;scorecard=1&amp;secret_key=BX%25IJ%24%2F65ieZ%29f6", 2723731)</f>
        <v>2723731</v>
      </c>
      <c r="C2147" s="2">
        <f>HYPERLINK("https://platform.v2.vetology.net/report/v/final/"&amp;2723731, 2723731)</f>
        <v>2723731</v>
      </c>
      <c r="D2147" s="2" t="s">
        <v>6909</v>
      </c>
      <c r="E2147" s="2" t="s">
        <v>6910</v>
      </c>
      <c r="F2147" s="2" t="s">
        <v>43</v>
      </c>
      <c r="G2147" s="2" t="s">
        <v>44</v>
      </c>
      <c r="H2147" s="2" t="s">
        <v>6911</v>
      </c>
      <c r="I2147" s="2" t="s">
        <v>73</v>
      </c>
      <c r="J2147" s="2" t="s">
        <v>74</v>
      </c>
      <c r="K2147" s="2" t="s">
        <v>38</v>
      </c>
      <c r="L2147" s="2" t="s">
        <v>38</v>
      </c>
      <c r="M2147" s="2" t="s">
        <v>38</v>
      </c>
      <c r="N2147" s="2" t="s">
        <v>38</v>
      </c>
      <c r="O2147" s="2" t="s">
        <v>38</v>
      </c>
      <c r="P2147" s="2" t="s">
        <v>38</v>
      </c>
      <c r="Q2147" s="2" t="s">
        <v>38</v>
      </c>
      <c r="R2147" s="2" t="s">
        <v>38</v>
      </c>
      <c r="S2147" s="2" t="s">
        <v>38</v>
      </c>
      <c r="T2147" s="2" t="s">
        <v>38</v>
      </c>
      <c r="U2147" s="2" t="s">
        <v>38</v>
      </c>
      <c r="V2147" s="2" t="s">
        <v>38</v>
      </c>
      <c r="W2147" s="2" t="s">
        <v>38</v>
      </c>
      <c r="X2147" s="2" t="s">
        <v>38</v>
      </c>
      <c r="Y2147" s="2" t="s">
        <v>39</v>
      </c>
      <c r="Z2147" s="2" t="s">
        <v>38</v>
      </c>
      <c r="AA2147" s="2" t="s">
        <v>38</v>
      </c>
      <c r="AB2147" s="2" t="s">
        <v>38</v>
      </c>
      <c r="AC2147" s="2" t="s">
        <v>38</v>
      </c>
      <c r="AD2147" s="2" t="s">
        <v>38</v>
      </c>
      <c r="AE2147" s="2"/>
    </row>
    <row r="2148" spans="1:31" ht="409.5">
      <c r="A2148" s="2">
        <v>2723728</v>
      </c>
      <c r="B2148" s="2">
        <f>HYPERLINK("https://platform.v2.vetology.net/cases/2723728/screening-report/1?type=pdf&amp;v=v6&amp;scorecard=1&amp;secret_key=BX%25IJ%24%2F65ieZ%29f6", 2723728)</f>
        <v>2723728</v>
      </c>
      <c r="C2148" s="2">
        <f>HYPERLINK("https://platform.v2.vetology.net/report/v/final/"&amp;2723728, 2723728)</f>
        <v>2723728</v>
      </c>
      <c r="D2148" s="2" t="s">
        <v>6912</v>
      </c>
      <c r="E2148" s="2" t="s">
        <v>6913</v>
      </c>
      <c r="F2148" s="2"/>
      <c r="G2148" s="2" t="s">
        <v>81</v>
      </c>
      <c r="H2148" s="2" t="s">
        <v>1099</v>
      </c>
      <c r="I2148" s="2" t="s">
        <v>36</v>
      </c>
      <c r="J2148" s="2" t="s">
        <v>37</v>
      </c>
      <c r="K2148" s="2" t="s">
        <v>39</v>
      </c>
      <c r="L2148" s="2" t="s">
        <v>38</v>
      </c>
      <c r="M2148" s="2" t="s">
        <v>38</v>
      </c>
      <c r="N2148" s="2" t="s">
        <v>38</v>
      </c>
      <c r="O2148" s="2" t="s">
        <v>39</v>
      </c>
      <c r="P2148" s="2" t="s">
        <v>39</v>
      </c>
      <c r="Q2148" s="2" t="s">
        <v>39</v>
      </c>
      <c r="R2148" s="2" t="s">
        <v>38</v>
      </c>
      <c r="S2148" s="2" t="s">
        <v>38</v>
      </c>
      <c r="T2148" s="2" t="s">
        <v>39</v>
      </c>
      <c r="U2148" s="2" t="s">
        <v>39</v>
      </c>
      <c r="V2148" s="2" t="s">
        <v>39</v>
      </c>
      <c r="W2148" s="2" t="s">
        <v>38</v>
      </c>
      <c r="X2148" s="2" t="s">
        <v>39</v>
      </c>
      <c r="Y2148" s="2" t="s">
        <v>39</v>
      </c>
      <c r="Z2148" s="2" t="s">
        <v>38</v>
      </c>
      <c r="AA2148" s="2" t="s">
        <v>39</v>
      </c>
      <c r="AB2148" s="2" t="s">
        <v>39</v>
      </c>
      <c r="AC2148" s="2" t="s">
        <v>38</v>
      </c>
      <c r="AD2148" s="2" t="s">
        <v>39</v>
      </c>
      <c r="AE2148" s="2" t="s">
        <v>39</v>
      </c>
    </row>
    <row r="2149" spans="1:31" ht="409.5">
      <c r="A2149" s="2">
        <v>2723722</v>
      </c>
      <c r="B2149" s="2">
        <f>HYPERLINK("https://platform.v2.vetology.net/cases/2723722/screening-report/1?type=pdf&amp;v=v6&amp;scorecard=1&amp;secret_key=BX%25IJ%24%2F65ieZ%29f6", 2723722)</f>
        <v>2723722</v>
      </c>
      <c r="C2149" s="2">
        <f>HYPERLINK("https://platform.v2.vetology.net/report/v/final/"&amp;2723722, 2723722)</f>
        <v>2723722</v>
      </c>
      <c r="D2149" s="2" t="s">
        <v>6914</v>
      </c>
      <c r="E2149" s="2" t="s">
        <v>6915</v>
      </c>
      <c r="F2149" s="2"/>
      <c r="G2149" s="2" t="s">
        <v>81</v>
      </c>
      <c r="H2149" s="2" t="s">
        <v>6916</v>
      </c>
      <c r="I2149" s="2" t="s">
        <v>36</v>
      </c>
      <c r="J2149" s="2" t="s">
        <v>37</v>
      </c>
      <c r="K2149" s="2" t="s">
        <v>38</v>
      </c>
      <c r="L2149" s="2" t="s">
        <v>38</v>
      </c>
      <c r="M2149" s="2" t="s">
        <v>39</v>
      </c>
      <c r="N2149" s="2" t="s">
        <v>38</v>
      </c>
      <c r="O2149" s="2" t="s">
        <v>38</v>
      </c>
      <c r="P2149" s="2" t="s">
        <v>39</v>
      </c>
      <c r="Q2149" s="2" t="s">
        <v>39</v>
      </c>
      <c r="R2149" s="2" t="s">
        <v>38</v>
      </c>
      <c r="S2149" s="2" t="s">
        <v>38</v>
      </c>
      <c r="T2149" s="2" t="s">
        <v>39</v>
      </c>
      <c r="U2149" s="2" t="s">
        <v>38</v>
      </c>
      <c r="V2149" s="2" t="s">
        <v>38</v>
      </c>
      <c r="W2149" s="2" t="s">
        <v>39</v>
      </c>
      <c r="X2149" s="2" t="s">
        <v>39</v>
      </c>
      <c r="Y2149" s="2" t="s">
        <v>39</v>
      </c>
      <c r="Z2149" s="2" t="s">
        <v>38</v>
      </c>
      <c r="AA2149" s="2" t="s">
        <v>38</v>
      </c>
      <c r="AB2149" s="2" t="s">
        <v>39</v>
      </c>
      <c r="AC2149" s="2" t="s">
        <v>38</v>
      </c>
      <c r="AD2149" s="2" t="s">
        <v>38</v>
      </c>
      <c r="AE2149" s="2" t="s">
        <v>39</v>
      </c>
    </row>
    <row r="2150" spans="1:31" ht="409.5">
      <c r="A2150" s="2">
        <v>2723710</v>
      </c>
      <c r="B2150" s="2">
        <f>HYPERLINK("https://platform.v2.vetology.net/cases/2723710/screening-report/1?type=pdf&amp;v=v6&amp;scorecard=1&amp;secret_key=BX%25IJ%24%2F65ieZ%29f6", 2723710)</f>
        <v>2723710</v>
      </c>
      <c r="C2150" s="2">
        <f>HYPERLINK("https://platform.v2.vetology.net/report/v/final/"&amp;2723710, 2723710)</f>
        <v>2723710</v>
      </c>
      <c r="D2150" s="2" t="s">
        <v>6917</v>
      </c>
      <c r="E2150" s="2" t="s">
        <v>6918</v>
      </c>
      <c r="F2150" s="2" t="s">
        <v>43</v>
      </c>
      <c r="G2150" s="2" t="s">
        <v>44</v>
      </c>
      <c r="H2150" s="2" t="s">
        <v>6919</v>
      </c>
      <c r="I2150" s="2" t="s">
        <v>73</v>
      </c>
      <c r="J2150" s="2" t="s">
        <v>74</v>
      </c>
      <c r="K2150" s="2" t="s">
        <v>38</v>
      </c>
      <c r="L2150" s="2" t="s">
        <v>39</v>
      </c>
      <c r="M2150" s="2" t="s">
        <v>38</v>
      </c>
      <c r="N2150" s="2" t="s">
        <v>38</v>
      </c>
      <c r="O2150" s="2" t="s">
        <v>38</v>
      </c>
      <c r="P2150" s="2" t="s">
        <v>38</v>
      </c>
      <c r="Q2150" s="2" t="s">
        <v>38</v>
      </c>
      <c r="R2150" s="2" t="s">
        <v>39</v>
      </c>
      <c r="S2150" s="2" t="s">
        <v>39</v>
      </c>
      <c r="T2150" s="2" t="s">
        <v>38</v>
      </c>
      <c r="U2150" s="2" t="s">
        <v>38</v>
      </c>
      <c r="V2150" s="2" t="s">
        <v>38</v>
      </c>
      <c r="W2150" s="2" t="s">
        <v>38</v>
      </c>
      <c r="X2150" s="2" t="s">
        <v>38</v>
      </c>
      <c r="Y2150" s="2" t="s">
        <v>39</v>
      </c>
      <c r="Z2150" s="2" t="s">
        <v>39</v>
      </c>
      <c r="AA2150" s="2" t="s">
        <v>38</v>
      </c>
      <c r="AB2150" s="2" t="s">
        <v>38</v>
      </c>
      <c r="AC2150" s="2" t="s">
        <v>38</v>
      </c>
      <c r="AD2150" s="2" t="s">
        <v>38</v>
      </c>
      <c r="AE2150" s="2" t="s">
        <v>39</v>
      </c>
    </row>
    <row r="2151" spans="1:31" ht="409.5">
      <c r="A2151" s="2">
        <v>2723709</v>
      </c>
      <c r="B2151" s="2">
        <f>HYPERLINK("https://platform.v2.vetology.net/cases/2723709/screening-report/1?type=pdf&amp;v=v6&amp;scorecard=1&amp;secret_key=BX%25IJ%24%2F65ieZ%29f6", 2723709)</f>
        <v>2723709</v>
      </c>
      <c r="C2151" s="2">
        <f>HYPERLINK("https://platform.v2.vetology.net/report/v/final/"&amp;2723709, 2723709)</f>
        <v>2723709</v>
      </c>
      <c r="D2151" s="2" t="s">
        <v>6920</v>
      </c>
      <c r="E2151" s="2" t="s">
        <v>6921</v>
      </c>
      <c r="F2151" s="2" t="s">
        <v>6922</v>
      </c>
      <c r="G2151" s="2" t="s">
        <v>53</v>
      </c>
      <c r="H2151" s="2" t="s">
        <v>436</v>
      </c>
      <c r="I2151" s="2" t="s">
        <v>59</v>
      </c>
      <c r="J2151" s="2" t="s">
        <v>37</v>
      </c>
      <c r="K2151" s="2" t="s">
        <v>38</v>
      </c>
      <c r="L2151" s="2" t="s">
        <v>39</v>
      </c>
      <c r="M2151" s="2" t="s">
        <v>39</v>
      </c>
      <c r="N2151" s="2" t="s">
        <v>39</v>
      </c>
      <c r="O2151" s="2" t="s">
        <v>39</v>
      </c>
      <c r="P2151" s="2" t="s">
        <v>39</v>
      </c>
      <c r="Q2151" s="2" t="s">
        <v>39</v>
      </c>
      <c r="R2151" s="2" t="s">
        <v>38</v>
      </c>
      <c r="S2151" s="2" t="s">
        <v>39</v>
      </c>
      <c r="T2151" s="2" t="s">
        <v>39</v>
      </c>
      <c r="U2151" s="2" t="s">
        <v>38</v>
      </c>
      <c r="V2151" s="2" t="s">
        <v>38</v>
      </c>
      <c r="W2151" s="2" t="s">
        <v>39</v>
      </c>
      <c r="X2151" s="2" t="s">
        <v>39</v>
      </c>
      <c r="Y2151" s="2" t="s">
        <v>39</v>
      </c>
      <c r="Z2151" s="2" t="s">
        <v>39</v>
      </c>
      <c r="AA2151" s="2" t="s">
        <v>39</v>
      </c>
      <c r="AB2151" s="2" t="s">
        <v>39</v>
      </c>
      <c r="AC2151" s="2" t="s">
        <v>39</v>
      </c>
      <c r="AD2151" s="2" t="s">
        <v>38</v>
      </c>
      <c r="AE2151" s="2" t="s">
        <v>39</v>
      </c>
    </row>
    <row r="2152" spans="1:31" ht="409.5">
      <c r="A2152" s="2">
        <v>2723708</v>
      </c>
      <c r="B2152" s="2">
        <f>HYPERLINK("https://platform.v2.vetology.net/cases/2723708/screening-report/1?type=pdf&amp;v=v6&amp;scorecard=1&amp;secret_key=BX%25IJ%24%2F65ieZ%29f6", 2723708)</f>
        <v>2723708</v>
      </c>
      <c r="C2152" s="2">
        <f>HYPERLINK("https://platform.v2.vetology.net/report/v/final/"&amp;2723708, 2723708)</f>
        <v>2723708</v>
      </c>
      <c r="D2152" s="2" t="s">
        <v>6923</v>
      </c>
      <c r="E2152" s="2" t="s">
        <v>6924</v>
      </c>
      <c r="F2152" s="2" t="s">
        <v>6925</v>
      </c>
      <c r="G2152" s="2" t="s">
        <v>44</v>
      </c>
      <c r="H2152" s="2" t="s">
        <v>6926</v>
      </c>
      <c r="I2152" s="2" t="s">
        <v>73</v>
      </c>
      <c r="J2152" s="2" t="s">
        <v>74</v>
      </c>
      <c r="K2152" s="2" t="s">
        <v>38</v>
      </c>
      <c r="L2152" s="2" t="s">
        <v>38</v>
      </c>
      <c r="M2152" s="2" t="s">
        <v>38</v>
      </c>
      <c r="N2152" s="2" t="s">
        <v>38</v>
      </c>
      <c r="O2152" s="2" t="s">
        <v>38</v>
      </c>
      <c r="P2152" s="2" t="s">
        <v>38</v>
      </c>
      <c r="Q2152" s="2" t="s">
        <v>38</v>
      </c>
      <c r="R2152" s="2" t="s">
        <v>38</v>
      </c>
      <c r="S2152" s="2" t="s">
        <v>38</v>
      </c>
      <c r="T2152" s="2" t="s">
        <v>38</v>
      </c>
      <c r="U2152" s="2" t="s">
        <v>38</v>
      </c>
      <c r="V2152" s="2" t="s">
        <v>38</v>
      </c>
      <c r="W2152" s="2" t="s">
        <v>38</v>
      </c>
      <c r="X2152" s="2" t="s">
        <v>38</v>
      </c>
      <c r="Y2152" s="2" t="s">
        <v>38</v>
      </c>
      <c r="Z2152" s="2" t="s">
        <v>38</v>
      </c>
      <c r="AA2152" s="2" t="s">
        <v>38</v>
      </c>
      <c r="AB2152" s="2" t="s">
        <v>38</v>
      </c>
      <c r="AC2152" s="2" t="s">
        <v>38</v>
      </c>
      <c r="AD2152" s="2" t="s">
        <v>38</v>
      </c>
      <c r="AE2152" s="2" t="s">
        <v>40</v>
      </c>
    </row>
    <row r="2153" spans="1:31" ht="409.5">
      <c r="A2153" s="2">
        <v>2723707</v>
      </c>
      <c r="B2153" s="2">
        <f>HYPERLINK("https://platform.v2.vetology.net/cases/2723707/screening-report/1?type=pdf&amp;v=v6&amp;scorecard=1&amp;secret_key=BX%25IJ%24%2F65ieZ%29f6", 2723707)</f>
        <v>2723707</v>
      </c>
      <c r="C2153" s="2">
        <f>HYPERLINK("https://platform.v2.vetology.net/report/v/final/"&amp;2723707, 2723707)</f>
        <v>2723707</v>
      </c>
      <c r="D2153" s="2" t="s">
        <v>6927</v>
      </c>
      <c r="E2153" s="2" t="s">
        <v>6928</v>
      </c>
      <c r="F2153" s="2" t="s">
        <v>43</v>
      </c>
      <c r="G2153" s="2" t="s">
        <v>44</v>
      </c>
      <c r="H2153" s="2" t="s">
        <v>6929</v>
      </c>
      <c r="I2153" s="2" t="s">
        <v>73</v>
      </c>
      <c r="J2153" s="2" t="s">
        <v>74</v>
      </c>
      <c r="K2153" s="2" t="s">
        <v>38</v>
      </c>
      <c r="L2153" s="2" t="s">
        <v>38</v>
      </c>
      <c r="M2153" s="2" t="s">
        <v>38</v>
      </c>
      <c r="N2153" s="2" t="s">
        <v>38</v>
      </c>
      <c r="O2153" s="2" t="s">
        <v>38</v>
      </c>
      <c r="P2153" s="2" t="s">
        <v>38</v>
      </c>
      <c r="Q2153" s="2" t="s">
        <v>38</v>
      </c>
      <c r="R2153" s="2" t="s">
        <v>38</v>
      </c>
      <c r="S2153" s="2" t="s">
        <v>38</v>
      </c>
      <c r="T2153" s="2" t="s">
        <v>38</v>
      </c>
      <c r="U2153" s="2" t="s">
        <v>38</v>
      </c>
      <c r="V2153" s="2" t="s">
        <v>38</v>
      </c>
      <c r="W2153" s="2" t="s">
        <v>38</v>
      </c>
      <c r="X2153" s="2" t="s">
        <v>38</v>
      </c>
      <c r="Y2153" s="2" t="s">
        <v>38</v>
      </c>
      <c r="Z2153" s="2" t="s">
        <v>38</v>
      </c>
      <c r="AA2153" s="2" t="s">
        <v>38</v>
      </c>
      <c r="AB2153" s="2" t="s">
        <v>39</v>
      </c>
      <c r="AC2153" s="2" t="s">
        <v>38</v>
      </c>
      <c r="AD2153" s="2" t="s">
        <v>38</v>
      </c>
      <c r="AE2153" s="2" t="s">
        <v>39</v>
      </c>
    </row>
    <row r="2154" spans="1:31" ht="409.5">
      <c r="A2154" s="2">
        <v>2723678</v>
      </c>
      <c r="B2154" s="2">
        <f>HYPERLINK("https://platform.v2.vetology.net/cases/2723678/screening-report/1?type=pdf&amp;v=v6&amp;scorecard=1&amp;secret_key=BX%25IJ%24%2F65ieZ%29f6", 2723678)</f>
        <v>2723678</v>
      </c>
      <c r="C2154" s="2">
        <f>HYPERLINK("https://platform.v2.vetology.net/report/v/final/"&amp;2723678, 2723678)</f>
        <v>2723678</v>
      </c>
      <c r="D2154" s="2" t="s">
        <v>6930</v>
      </c>
      <c r="E2154" s="2" t="s">
        <v>6931</v>
      </c>
      <c r="F2154" s="2" t="s">
        <v>6932</v>
      </c>
      <c r="G2154" s="2" t="s">
        <v>34</v>
      </c>
      <c r="H2154" s="2" t="s">
        <v>6933</v>
      </c>
      <c r="I2154" s="2" t="s">
        <v>36</v>
      </c>
      <c r="J2154" s="2" t="s">
        <v>37</v>
      </c>
      <c r="K2154" s="2" t="s">
        <v>38</v>
      </c>
      <c r="L2154" s="2" t="s">
        <v>38</v>
      </c>
      <c r="M2154" s="2" t="s">
        <v>38</v>
      </c>
      <c r="N2154" s="2" t="s">
        <v>38</v>
      </c>
      <c r="O2154" s="2" t="s">
        <v>38</v>
      </c>
      <c r="P2154" s="2" t="s">
        <v>39</v>
      </c>
      <c r="Q2154" s="2" t="s">
        <v>39</v>
      </c>
      <c r="R2154" s="2" t="s">
        <v>38</v>
      </c>
      <c r="S2154" s="2" t="s">
        <v>38</v>
      </c>
      <c r="T2154" s="2" t="s">
        <v>39</v>
      </c>
      <c r="U2154" s="2" t="s">
        <v>38</v>
      </c>
      <c r="V2154" s="2" t="s">
        <v>38</v>
      </c>
      <c r="W2154" s="2" t="s">
        <v>38</v>
      </c>
      <c r="X2154" s="2" t="s">
        <v>39</v>
      </c>
      <c r="Y2154" s="2" t="s">
        <v>39</v>
      </c>
      <c r="Z2154" s="2" t="s">
        <v>38</v>
      </c>
      <c r="AA2154" s="2" t="s">
        <v>38</v>
      </c>
      <c r="AB2154" s="2" t="s">
        <v>39</v>
      </c>
      <c r="AC2154" s="2" t="s">
        <v>38</v>
      </c>
      <c r="AD2154" s="2" t="s">
        <v>38</v>
      </c>
      <c r="AE2154" s="2" t="s">
        <v>39</v>
      </c>
    </row>
    <row r="2155" spans="1:31" ht="409.5">
      <c r="A2155" s="2">
        <v>2723666</v>
      </c>
      <c r="B2155" s="2">
        <f>HYPERLINK("https://platform.v2.vetology.net/cases/2723666/screening-report/1?type=pdf&amp;v=v6&amp;scorecard=1&amp;secret_key=BX%25IJ%24%2F65ieZ%29f6", 2723666)</f>
        <v>2723666</v>
      </c>
      <c r="C2155" s="2">
        <f>HYPERLINK("https://platform.v2.vetology.net/report/v/final/"&amp;2723666, 2723666)</f>
        <v>2723666</v>
      </c>
      <c r="D2155" s="2" t="s">
        <v>6934</v>
      </c>
      <c r="E2155" s="2" t="s">
        <v>6935</v>
      </c>
      <c r="F2155" s="2" t="s">
        <v>6936</v>
      </c>
      <c r="G2155" s="2" t="s">
        <v>44</v>
      </c>
      <c r="H2155" s="2" t="s">
        <v>419</v>
      </c>
      <c r="I2155" s="2" t="s">
        <v>36</v>
      </c>
      <c r="J2155" s="2" t="s">
        <v>37</v>
      </c>
      <c r="K2155" s="2" t="s">
        <v>39</v>
      </c>
      <c r="L2155" s="2" t="s">
        <v>39</v>
      </c>
      <c r="M2155" s="2" t="s">
        <v>38</v>
      </c>
      <c r="N2155" s="2" t="s">
        <v>39</v>
      </c>
      <c r="O2155" s="2" t="s">
        <v>38</v>
      </c>
      <c r="P2155" s="2" t="s">
        <v>39</v>
      </c>
      <c r="Q2155" s="2" t="s">
        <v>39</v>
      </c>
      <c r="R2155" s="2" t="s">
        <v>38</v>
      </c>
      <c r="S2155" s="2" t="s">
        <v>39</v>
      </c>
      <c r="T2155" s="2" t="s">
        <v>38</v>
      </c>
      <c r="U2155" s="2" t="s">
        <v>39</v>
      </c>
      <c r="V2155" s="2" t="s">
        <v>38</v>
      </c>
      <c r="W2155" s="2" t="s">
        <v>39</v>
      </c>
      <c r="X2155" s="2" t="s">
        <v>39</v>
      </c>
      <c r="Y2155" s="2" t="s">
        <v>39</v>
      </c>
      <c r="Z2155" s="2" t="s">
        <v>38</v>
      </c>
      <c r="AA2155" s="2" t="s">
        <v>39</v>
      </c>
      <c r="AB2155" s="2" t="s">
        <v>39</v>
      </c>
      <c r="AC2155" s="2" t="s">
        <v>39</v>
      </c>
      <c r="AD2155" s="2" t="s">
        <v>39</v>
      </c>
      <c r="AE2155" s="2" t="s">
        <v>40</v>
      </c>
    </row>
    <row r="2156" spans="1:31" ht="409.5">
      <c r="A2156" s="2">
        <v>2723659</v>
      </c>
      <c r="B2156" s="2">
        <f>HYPERLINK("https://platform.v2.vetology.net/cases/2723659/screening-report/1?type=pdf&amp;v=v6&amp;scorecard=1&amp;secret_key=BX%25IJ%24%2F65ieZ%29f6", 2723659)</f>
        <v>2723659</v>
      </c>
      <c r="C2156" s="2">
        <f>HYPERLINK("https://platform.v2.vetology.net/report/v/final/"&amp;2723659, 2723659)</f>
        <v>2723659</v>
      </c>
      <c r="D2156" s="2" t="s">
        <v>6937</v>
      </c>
      <c r="E2156" s="2" t="s">
        <v>6938</v>
      </c>
      <c r="F2156" s="2" t="s">
        <v>43</v>
      </c>
      <c r="G2156" s="2" t="s">
        <v>44</v>
      </c>
      <c r="H2156" s="2" t="s">
        <v>166</v>
      </c>
      <c r="I2156" s="2" t="s">
        <v>36</v>
      </c>
      <c r="J2156" s="2" t="s">
        <v>37</v>
      </c>
      <c r="K2156" s="2" t="s">
        <v>39</v>
      </c>
      <c r="L2156" s="2" t="s">
        <v>39</v>
      </c>
      <c r="M2156" s="2" t="s">
        <v>38</v>
      </c>
      <c r="N2156" s="2" t="s">
        <v>39</v>
      </c>
      <c r="O2156" s="2" t="s">
        <v>38</v>
      </c>
      <c r="P2156" s="2" t="s">
        <v>39</v>
      </c>
      <c r="Q2156" s="2" t="s">
        <v>39</v>
      </c>
      <c r="R2156" s="2" t="s">
        <v>38</v>
      </c>
      <c r="S2156" s="2" t="s">
        <v>38</v>
      </c>
      <c r="T2156" s="2" t="s">
        <v>39</v>
      </c>
      <c r="U2156" s="2" t="s">
        <v>39</v>
      </c>
      <c r="V2156" s="2" t="s">
        <v>39</v>
      </c>
      <c r="W2156" s="2" t="s">
        <v>39</v>
      </c>
      <c r="X2156" s="2" t="s">
        <v>39</v>
      </c>
      <c r="Y2156" s="2" t="s">
        <v>39</v>
      </c>
      <c r="Z2156" s="2" t="s">
        <v>39</v>
      </c>
      <c r="AA2156" s="2" t="s">
        <v>39</v>
      </c>
      <c r="AB2156" s="2" t="s">
        <v>39</v>
      </c>
      <c r="AC2156" s="2" t="s">
        <v>39</v>
      </c>
      <c r="AD2156" s="2" t="s">
        <v>39</v>
      </c>
      <c r="AE2156" s="2" t="s">
        <v>39</v>
      </c>
    </row>
    <row r="2157" spans="1:31" ht="409.5">
      <c r="A2157" s="2">
        <v>2723655</v>
      </c>
      <c r="B2157" s="2">
        <f>HYPERLINK("https://platform.v2.vetology.net/cases/2723655/screening-report/1?type=pdf&amp;v=v6&amp;scorecard=1&amp;secret_key=BX%25IJ%24%2F65ieZ%29f6", 2723655)</f>
        <v>2723655</v>
      </c>
      <c r="C2157" s="2">
        <f>HYPERLINK("https://platform.v2.vetology.net/report/v/final/"&amp;2723655, 2723655)</f>
        <v>2723655</v>
      </c>
      <c r="D2157" s="2" t="s">
        <v>6939</v>
      </c>
      <c r="E2157" s="2" t="s">
        <v>6940</v>
      </c>
      <c r="F2157" s="2"/>
      <c r="G2157" s="2" t="s">
        <v>81</v>
      </c>
      <c r="H2157" s="2" t="s">
        <v>6941</v>
      </c>
      <c r="I2157" s="2" t="s">
        <v>73</v>
      </c>
      <c r="J2157" s="2" t="s">
        <v>74</v>
      </c>
      <c r="K2157" s="2" t="s">
        <v>38</v>
      </c>
      <c r="L2157" s="2" t="s">
        <v>38</v>
      </c>
      <c r="M2157" s="2" t="s">
        <v>38</v>
      </c>
      <c r="N2157" s="2" t="s">
        <v>38</v>
      </c>
      <c r="O2157" s="2" t="s">
        <v>38</v>
      </c>
      <c r="P2157" s="2" t="s">
        <v>38</v>
      </c>
      <c r="Q2157" s="2" t="s">
        <v>38</v>
      </c>
      <c r="R2157" s="2" t="s">
        <v>38</v>
      </c>
      <c r="S2157" s="2" t="s">
        <v>38</v>
      </c>
      <c r="T2157" s="2" t="s">
        <v>38</v>
      </c>
      <c r="U2157" s="2" t="s">
        <v>38</v>
      </c>
      <c r="V2157" s="2" t="s">
        <v>38</v>
      </c>
      <c r="W2157" s="2" t="s">
        <v>38</v>
      </c>
      <c r="X2157" s="2" t="s">
        <v>38</v>
      </c>
      <c r="Y2157" s="2" t="s">
        <v>38</v>
      </c>
      <c r="Z2157" s="2" t="s">
        <v>38</v>
      </c>
      <c r="AA2157" s="2" t="s">
        <v>38</v>
      </c>
      <c r="AB2157" s="2" t="s">
        <v>38</v>
      </c>
      <c r="AC2157" s="2" t="s">
        <v>38</v>
      </c>
      <c r="AD2157" s="2" t="s">
        <v>38</v>
      </c>
      <c r="AE2157" s="2" t="s">
        <v>40</v>
      </c>
    </row>
    <row r="2158" spans="1:31" ht="409.5">
      <c r="A2158" s="2">
        <v>2723613</v>
      </c>
      <c r="B2158" s="2">
        <f>HYPERLINK("https://platform.v2.vetology.net/cases/2723613/screening-report/1?type=pdf&amp;v=v6&amp;scorecard=1&amp;secret_key=BX%25IJ%24%2F65ieZ%29f6", 2723613)</f>
        <v>2723613</v>
      </c>
      <c r="C2158" s="2">
        <f>HYPERLINK("https://platform.v2.vetology.net/report/v/final/"&amp;2723613, 2723613)</f>
        <v>2723613</v>
      </c>
      <c r="D2158" s="2" t="s">
        <v>6942</v>
      </c>
      <c r="E2158" s="2" t="s">
        <v>6943</v>
      </c>
      <c r="F2158" s="2" t="s">
        <v>6944</v>
      </c>
      <c r="G2158" s="2" t="s">
        <v>44</v>
      </c>
      <c r="H2158" s="2" t="s">
        <v>6945</v>
      </c>
      <c r="I2158" s="2" t="s">
        <v>36</v>
      </c>
      <c r="J2158" s="2" t="s">
        <v>37</v>
      </c>
      <c r="K2158" s="2" t="s">
        <v>39</v>
      </c>
      <c r="L2158" s="2" t="s">
        <v>39</v>
      </c>
      <c r="M2158" s="2" t="s">
        <v>38</v>
      </c>
      <c r="N2158" s="2" t="s">
        <v>38</v>
      </c>
      <c r="O2158" s="2" t="s">
        <v>38</v>
      </c>
      <c r="P2158" s="2" t="s">
        <v>39</v>
      </c>
      <c r="Q2158" s="2" t="s">
        <v>39</v>
      </c>
      <c r="R2158" s="2" t="s">
        <v>38</v>
      </c>
      <c r="S2158" s="2" t="s">
        <v>38</v>
      </c>
      <c r="T2158" s="2" t="s">
        <v>39</v>
      </c>
      <c r="U2158" s="2" t="s">
        <v>39</v>
      </c>
      <c r="V2158" s="2" t="s">
        <v>38</v>
      </c>
      <c r="W2158" s="2" t="s">
        <v>38</v>
      </c>
      <c r="X2158" s="2" t="s">
        <v>39</v>
      </c>
      <c r="Y2158" s="2" t="s">
        <v>39</v>
      </c>
      <c r="Z2158" s="2" t="s">
        <v>38</v>
      </c>
      <c r="AA2158" s="2" t="s">
        <v>38</v>
      </c>
      <c r="AB2158" s="2" t="s">
        <v>39</v>
      </c>
      <c r="AC2158" s="2" t="s">
        <v>38</v>
      </c>
      <c r="AD2158" s="2" t="s">
        <v>38</v>
      </c>
      <c r="AE2158" s="2" t="s">
        <v>40</v>
      </c>
    </row>
    <row r="2159" spans="1:31" ht="409.5">
      <c r="A2159" s="2">
        <v>2723612</v>
      </c>
      <c r="B2159" s="2">
        <f>HYPERLINK("https://platform.v2.vetology.net/cases/2723612/screening-report/1?type=pdf&amp;v=v6&amp;scorecard=1&amp;secret_key=BX%25IJ%24%2F65ieZ%29f6", 2723612)</f>
        <v>2723612</v>
      </c>
      <c r="C2159" s="2">
        <f>HYPERLINK("https://platform.v2.vetology.net/report/v/final/"&amp;2723612, 2723612)</f>
        <v>2723612</v>
      </c>
      <c r="D2159" s="2" t="s">
        <v>6946</v>
      </c>
      <c r="E2159" s="2" t="s">
        <v>6947</v>
      </c>
      <c r="F2159" s="2" t="s">
        <v>6948</v>
      </c>
      <c r="G2159" s="2" t="s">
        <v>170</v>
      </c>
      <c r="H2159" s="2" t="s">
        <v>69</v>
      </c>
      <c r="I2159" s="2" t="s">
        <v>46</v>
      </c>
      <c r="J2159" s="2"/>
      <c r="K2159" s="2" t="s">
        <v>39</v>
      </c>
      <c r="L2159" s="2" t="s">
        <v>39</v>
      </c>
      <c r="M2159" s="2" t="s">
        <v>39</v>
      </c>
      <c r="N2159" s="2" t="s">
        <v>39</v>
      </c>
      <c r="O2159" s="2" t="s">
        <v>39</v>
      </c>
      <c r="P2159" s="2" t="s">
        <v>39</v>
      </c>
      <c r="Q2159" s="2" t="s">
        <v>39</v>
      </c>
      <c r="R2159" s="2" t="s">
        <v>39</v>
      </c>
      <c r="S2159" s="2" t="s">
        <v>39</v>
      </c>
      <c r="T2159" s="2" t="s">
        <v>39</v>
      </c>
      <c r="U2159" s="2" t="s">
        <v>39</v>
      </c>
      <c r="V2159" s="2" t="s">
        <v>39</v>
      </c>
      <c r="W2159" s="2" t="s">
        <v>39</v>
      </c>
      <c r="X2159" s="2" t="s">
        <v>39</v>
      </c>
      <c r="Y2159" s="2" t="s">
        <v>39</v>
      </c>
      <c r="Z2159" s="2" t="s">
        <v>39</v>
      </c>
      <c r="AA2159" s="2" t="s">
        <v>39</v>
      </c>
      <c r="AB2159" s="2" t="s">
        <v>39</v>
      </c>
      <c r="AC2159" s="2" t="s">
        <v>39</v>
      </c>
      <c r="AD2159" s="2" t="s">
        <v>39</v>
      </c>
      <c r="AE2159" s="2" t="s">
        <v>39</v>
      </c>
    </row>
    <row r="2160" spans="1:31" ht="409.5">
      <c r="A2160" s="2">
        <v>2723611</v>
      </c>
      <c r="B2160" s="2">
        <f>HYPERLINK("https://platform.v2.vetology.net/cases/2723611/screening-report/1?type=pdf&amp;v=v6&amp;scorecard=1&amp;secret_key=BX%25IJ%24%2F65ieZ%29f6", 2723611)</f>
        <v>2723611</v>
      </c>
      <c r="C2160" s="2">
        <f>HYPERLINK("https://platform.v2.vetology.net/report/v/final/"&amp;2723611, 2723611)</f>
        <v>2723611</v>
      </c>
      <c r="D2160" s="2" t="s">
        <v>6949</v>
      </c>
      <c r="E2160" s="2" t="s">
        <v>6950</v>
      </c>
      <c r="F2160" s="2" t="s">
        <v>6951</v>
      </c>
      <c r="G2160" s="2" t="s">
        <v>44</v>
      </c>
      <c r="H2160" s="2" t="s">
        <v>2003</v>
      </c>
      <c r="I2160" s="2" t="s">
        <v>46</v>
      </c>
      <c r="J2160" s="2"/>
      <c r="K2160" s="2" t="s">
        <v>39</v>
      </c>
      <c r="L2160" s="2" t="s">
        <v>38</v>
      </c>
      <c r="M2160" s="2" t="s">
        <v>39</v>
      </c>
      <c r="N2160" s="2" t="s">
        <v>39</v>
      </c>
      <c r="O2160" s="2" t="s">
        <v>39</v>
      </c>
      <c r="P2160" s="2" t="s">
        <v>39</v>
      </c>
      <c r="Q2160" s="2" t="s">
        <v>39</v>
      </c>
      <c r="R2160" s="2" t="s">
        <v>38</v>
      </c>
      <c r="S2160" s="2" t="s">
        <v>39</v>
      </c>
      <c r="T2160" s="2" t="s">
        <v>39</v>
      </c>
      <c r="U2160" s="2" t="s">
        <v>39</v>
      </c>
      <c r="V2160" s="2" t="s">
        <v>39</v>
      </c>
      <c r="W2160" s="2" t="s">
        <v>38</v>
      </c>
      <c r="X2160" s="2" t="s">
        <v>39</v>
      </c>
      <c r="Y2160" s="2" t="s">
        <v>39</v>
      </c>
      <c r="Z2160" s="2" t="s">
        <v>38</v>
      </c>
      <c r="AA2160" s="2" t="s">
        <v>38</v>
      </c>
      <c r="AB2160" s="2" t="s">
        <v>39</v>
      </c>
      <c r="AC2160" s="2" t="s">
        <v>38</v>
      </c>
      <c r="AD2160" s="2" t="s">
        <v>38</v>
      </c>
      <c r="AE2160" s="2" t="s">
        <v>39</v>
      </c>
    </row>
    <row r="2161" spans="1:31" ht="409.5">
      <c r="A2161" s="2">
        <v>2723604</v>
      </c>
      <c r="B2161" s="2">
        <f>HYPERLINK("https://platform.v2.vetology.net/cases/2723604/screening-report/1?type=pdf&amp;v=v6&amp;scorecard=1&amp;secret_key=BX%25IJ%24%2F65ieZ%29f6", 2723604)</f>
        <v>2723604</v>
      </c>
      <c r="C2161" s="2">
        <f>HYPERLINK("https://platform.v2.vetology.net/report/v/final/"&amp;2723604, 2723604)</f>
        <v>2723604</v>
      </c>
      <c r="D2161" s="2" t="s">
        <v>6952</v>
      </c>
      <c r="E2161" s="2" t="s">
        <v>6953</v>
      </c>
      <c r="F2161" s="2" t="s">
        <v>6954</v>
      </c>
      <c r="G2161" s="2" t="s">
        <v>53</v>
      </c>
      <c r="H2161" s="2" t="s">
        <v>158</v>
      </c>
      <c r="I2161" s="2" t="s">
        <v>59</v>
      </c>
      <c r="J2161" s="2" t="s">
        <v>37</v>
      </c>
      <c r="K2161" s="2" t="s">
        <v>38</v>
      </c>
      <c r="L2161" s="2" t="s">
        <v>39</v>
      </c>
      <c r="M2161" s="2" t="s">
        <v>39</v>
      </c>
      <c r="N2161" s="2" t="s">
        <v>39</v>
      </c>
      <c r="O2161" s="2" t="s">
        <v>39</v>
      </c>
      <c r="P2161" s="2" t="s">
        <v>39</v>
      </c>
      <c r="Q2161" s="2" t="s">
        <v>39</v>
      </c>
      <c r="R2161" s="2" t="s">
        <v>39</v>
      </c>
      <c r="S2161" s="2" t="s">
        <v>39</v>
      </c>
      <c r="T2161" s="2" t="s">
        <v>38</v>
      </c>
      <c r="U2161" s="2" t="s">
        <v>39</v>
      </c>
      <c r="V2161" s="2" t="s">
        <v>38</v>
      </c>
      <c r="W2161" s="2" t="s">
        <v>39</v>
      </c>
      <c r="X2161" s="2" t="s">
        <v>39</v>
      </c>
      <c r="Y2161" s="2" t="s">
        <v>39</v>
      </c>
      <c r="Z2161" s="2" t="s">
        <v>39</v>
      </c>
      <c r="AA2161" s="2" t="s">
        <v>39</v>
      </c>
      <c r="AB2161" s="2" t="s">
        <v>39</v>
      </c>
      <c r="AC2161" s="2" t="s">
        <v>38</v>
      </c>
      <c r="AD2161" s="2" t="s">
        <v>39</v>
      </c>
      <c r="AE2161" s="2" t="s">
        <v>39</v>
      </c>
    </row>
    <row r="2162" spans="1:31" ht="409.5">
      <c r="A2162" s="2">
        <v>2723602</v>
      </c>
      <c r="B2162" s="2">
        <f>HYPERLINK("https://platform.v2.vetology.net/cases/2723602/screening-report/1?type=pdf&amp;v=v6&amp;scorecard=1&amp;secret_key=BX%25IJ%24%2F65ieZ%29f6", 2723602)</f>
        <v>2723602</v>
      </c>
      <c r="C2162" s="2">
        <f>HYPERLINK("https://platform.v2.vetology.net/report/v/final/"&amp;2723602, 2723602)</f>
        <v>2723602</v>
      </c>
      <c r="D2162" s="2" t="s">
        <v>6955</v>
      </c>
      <c r="E2162" s="2" t="s">
        <v>6956</v>
      </c>
      <c r="F2162" s="2" t="s">
        <v>1744</v>
      </c>
      <c r="G2162" s="2" t="s">
        <v>100</v>
      </c>
      <c r="H2162" s="2" t="s">
        <v>6957</v>
      </c>
      <c r="I2162" s="2" t="s">
        <v>73</v>
      </c>
      <c r="J2162" s="2" t="s">
        <v>74</v>
      </c>
      <c r="K2162" s="2" t="s">
        <v>38</v>
      </c>
      <c r="L2162" s="2" t="s">
        <v>39</v>
      </c>
      <c r="M2162" s="2" t="s">
        <v>39</v>
      </c>
      <c r="N2162" s="2" t="s">
        <v>38</v>
      </c>
      <c r="O2162" s="2" t="s">
        <v>38</v>
      </c>
      <c r="P2162" s="2" t="s">
        <v>38</v>
      </c>
      <c r="Q2162" s="2" t="s">
        <v>38</v>
      </c>
      <c r="R2162" s="2" t="s">
        <v>39</v>
      </c>
      <c r="S2162" s="2" t="s">
        <v>39</v>
      </c>
      <c r="T2162" s="2" t="s">
        <v>39</v>
      </c>
      <c r="U2162" s="2" t="s">
        <v>38</v>
      </c>
      <c r="V2162" s="2" t="s">
        <v>38</v>
      </c>
      <c r="W2162" s="2" t="s">
        <v>38</v>
      </c>
      <c r="X2162" s="2" t="s">
        <v>38</v>
      </c>
      <c r="Y2162" s="2" t="s">
        <v>39</v>
      </c>
      <c r="Z2162" s="2" t="s">
        <v>39</v>
      </c>
      <c r="AA2162" s="2" t="s">
        <v>38</v>
      </c>
      <c r="AB2162" s="2" t="s">
        <v>38</v>
      </c>
      <c r="AC2162" s="2" t="s">
        <v>38</v>
      </c>
      <c r="AD2162" s="2" t="s">
        <v>39</v>
      </c>
      <c r="AE2162" s="2" t="s">
        <v>40</v>
      </c>
    </row>
    <row r="2163" spans="1:31" ht="409.5">
      <c r="A2163" s="2">
        <v>2723558</v>
      </c>
      <c r="B2163" s="2">
        <f>HYPERLINK("https://platform.v2.vetology.net/cases/2723558/screening-report/1?type=pdf&amp;v=v6&amp;scorecard=1&amp;secret_key=BX%25IJ%24%2F65ieZ%29f6", 2723558)</f>
        <v>2723558</v>
      </c>
      <c r="C2163" s="2">
        <f>HYPERLINK("https://platform.v2.vetology.net/report/v/final/"&amp;2723558, 2723558)</f>
        <v>2723558</v>
      </c>
      <c r="D2163" s="2" t="s">
        <v>6958</v>
      </c>
      <c r="E2163" s="2" t="s">
        <v>6959</v>
      </c>
      <c r="F2163" s="2" t="s">
        <v>43</v>
      </c>
      <c r="G2163" s="2" t="s">
        <v>100</v>
      </c>
      <c r="H2163" s="2" t="s">
        <v>6960</v>
      </c>
      <c r="I2163" s="2" t="s">
        <v>73</v>
      </c>
      <c r="J2163" s="2" t="s">
        <v>74</v>
      </c>
      <c r="K2163" s="2" t="s">
        <v>38</v>
      </c>
      <c r="L2163" s="2" t="s">
        <v>38</v>
      </c>
      <c r="M2163" s="2" t="s">
        <v>38</v>
      </c>
      <c r="N2163" s="2" t="s">
        <v>38</v>
      </c>
      <c r="O2163" s="2" t="s">
        <v>38</v>
      </c>
      <c r="P2163" s="2" t="s">
        <v>38</v>
      </c>
      <c r="Q2163" s="2" t="s">
        <v>38</v>
      </c>
      <c r="R2163" s="2" t="s">
        <v>38</v>
      </c>
      <c r="S2163" s="2" t="s">
        <v>38</v>
      </c>
      <c r="T2163" s="2" t="s">
        <v>38</v>
      </c>
      <c r="U2163" s="2" t="s">
        <v>38</v>
      </c>
      <c r="V2163" s="2" t="s">
        <v>38</v>
      </c>
      <c r="W2163" s="2" t="s">
        <v>38</v>
      </c>
      <c r="X2163" s="2" t="s">
        <v>38</v>
      </c>
      <c r="Y2163" s="2" t="s">
        <v>38</v>
      </c>
      <c r="Z2163" s="2" t="s">
        <v>38</v>
      </c>
      <c r="AA2163" s="2" t="s">
        <v>38</v>
      </c>
      <c r="AB2163" s="2" t="s">
        <v>38</v>
      </c>
      <c r="AC2163" s="2" t="s">
        <v>38</v>
      </c>
      <c r="AD2163" s="2" t="s">
        <v>38</v>
      </c>
      <c r="AE2163" s="2" t="s">
        <v>39</v>
      </c>
    </row>
    <row r="2164" spans="1:31" ht="409.5">
      <c r="A2164" s="2">
        <v>2723529</v>
      </c>
      <c r="B2164" s="2">
        <f>HYPERLINK("https://platform.v2.vetology.net/cases/2723529/screening-report/1?type=pdf&amp;v=v6&amp;scorecard=1&amp;secret_key=BX%25IJ%24%2F65ieZ%29f6", 2723529)</f>
        <v>2723529</v>
      </c>
      <c r="C2164" s="2">
        <f>HYPERLINK("https://platform.v2.vetology.net/report/v/final/"&amp;2723529, 2723529)</f>
        <v>2723529</v>
      </c>
      <c r="D2164" s="2" t="s">
        <v>6961</v>
      </c>
      <c r="E2164" s="2" t="s">
        <v>6962</v>
      </c>
      <c r="F2164" s="2" t="s">
        <v>6963</v>
      </c>
      <c r="G2164" s="2" t="s">
        <v>44</v>
      </c>
      <c r="H2164" s="2" t="s">
        <v>265</v>
      </c>
      <c r="I2164" s="2" t="s">
        <v>36</v>
      </c>
      <c r="J2164" s="2" t="s">
        <v>37</v>
      </c>
      <c r="K2164" s="2" t="s">
        <v>39</v>
      </c>
      <c r="L2164" s="2" t="s">
        <v>39</v>
      </c>
      <c r="M2164" s="2" t="s">
        <v>38</v>
      </c>
      <c r="N2164" s="2" t="s">
        <v>39</v>
      </c>
      <c r="O2164" s="2" t="s">
        <v>39</v>
      </c>
      <c r="P2164" s="2" t="s">
        <v>39</v>
      </c>
      <c r="Q2164" s="2" t="s">
        <v>39</v>
      </c>
      <c r="R2164" s="2" t="s">
        <v>39</v>
      </c>
      <c r="S2164" s="2" t="s">
        <v>39</v>
      </c>
      <c r="T2164" s="2" t="s">
        <v>39</v>
      </c>
      <c r="U2164" s="2" t="s">
        <v>39</v>
      </c>
      <c r="V2164" s="2" t="s">
        <v>39</v>
      </c>
      <c r="W2164" s="2" t="s">
        <v>39</v>
      </c>
      <c r="X2164" s="2" t="s">
        <v>39</v>
      </c>
      <c r="Y2164" s="2" t="s">
        <v>39</v>
      </c>
      <c r="Z2164" s="2" t="s">
        <v>38</v>
      </c>
      <c r="AA2164" s="2" t="s">
        <v>39</v>
      </c>
      <c r="AB2164" s="2" t="s">
        <v>39</v>
      </c>
      <c r="AC2164" s="2" t="s">
        <v>39</v>
      </c>
      <c r="AD2164" s="2" t="s">
        <v>39</v>
      </c>
      <c r="AE2164" s="2" t="s">
        <v>39</v>
      </c>
    </row>
    <row r="2165" spans="1:31" ht="409.5">
      <c r="A2165" s="2">
        <v>2723512</v>
      </c>
      <c r="B2165" s="2">
        <f>HYPERLINK("https://platform.v2.vetology.net/cases/2723512/screening-report/1?type=pdf&amp;v=v6&amp;scorecard=1&amp;secret_key=BX%25IJ%24%2F65ieZ%29f6", 2723512)</f>
        <v>2723512</v>
      </c>
      <c r="C2165" s="2">
        <f>HYPERLINK("https://platform.v2.vetology.net/report/v/final/"&amp;2723512, 2723512)</f>
        <v>2723512</v>
      </c>
      <c r="D2165" s="2" t="s">
        <v>6964</v>
      </c>
      <c r="E2165" s="2" t="s">
        <v>6965</v>
      </c>
      <c r="F2165" s="2" t="s">
        <v>43</v>
      </c>
      <c r="G2165" s="2" t="s">
        <v>44</v>
      </c>
      <c r="H2165" s="2" t="s">
        <v>6966</v>
      </c>
      <c r="I2165" s="2" t="s">
        <v>73</v>
      </c>
      <c r="J2165" s="2" t="s">
        <v>74</v>
      </c>
      <c r="K2165" s="2" t="s">
        <v>38</v>
      </c>
      <c r="L2165" s="2" t="s">
        <v>38</v>
      </c>
      <c r="M2165" s="2" t="s">
        <v>38</v>
      </c>
      <c r="N2165" s="2" t="s">
        <v>38</v>
      </c>
      <c r="O2165" s="2" t="s">
        <v>38</v>
      </c>
      <c r="P2165" s="2" t="s">
        <v>38</v>
      </c>
      <c r="Q2165" s="2" t="s">
        <v>38</v>
      </c>
      <c r="R2165" s="2" t="s">
        <v>38</v>
      </c>
      <c r="S2165" s="2" t="s">
        <v>38</v>
      </c>
      <c r="T2165" s="2" t="s">
        <v>38</v>
      </c>
      <c r="U2165" s="2" t="s">
        <v>38</v>
      </c>
      <c r="V2165" s="2" t="s">
        <v>38</v>
      </c>
      <c r="W2165" s="2" t="s">
        <v>38</v>
      </c>
      <c r="X2165" s="2" t="s">
        <v>38</v>
      </c>
      <c r="Y2165" s="2" t="s">
        <v>38</v>
      </c>
      <c r="Z2165" s="2" t="s">
        <v>38</v>
      </c>
      <c r="AA2165" s="2" t="s">
        <v>38</v>
      </c>
      <c r="AB2165" s="2" t="s">
        <v>38</v>
      </c>
      <c r="AC2165" s="2" t="s">
        <v>38</v>
      </c>
      <c r="AD2165" s="2" t="s">
        <v>38</v>
      </c>
      <c r="AE2165" s="2" t="s">
        <v>40</v>
      </c>
    </row>
    <row r="2166" spans="1:31" ht="409.5">
      <c r="A2166" s="2">
        <v>2723491</v>
      </c>
      <c r="B2166" s="2">
        <f>HYPERLINK("https://platform.v2.vetology.net/cases/2723491/screening-report/1?type=pdf&amp;v=v6&amp;scorecard=1&amp;secret_key=BX%25IJ%24%2F65ieZ%29f6", 2723491)</f>
        <v>2723491</v>
      </c>
      <c r="C2166" s="2">
        <f>HYPERLINK("https://platform.v2.vetology.net/report/v/final/"&amp;2723491, 2723491)</f>
        <v>2723491</v>
      </c>
      <c r="D2166" s="2" t="s">
        <v>6967</v>
      </c>
      <c r="E2166" s="2" t="s">
        <v>6968</v>
      </c>
      <c r="F2166" s="2"/>
      <c r="G2166" s="2" t="s">
        <v>507</v>
      </c>
      <c r="H2166" s="2" t="s">
        <v>6969</v>
      </c>
      <c r="I2166" s="2" t="s">
        <v>73</v>
      </c>
      <c r="J2166" s="2" t="s">
        <v>74</v>
      </c>
      <c r="K2166" s="2" t="s">
        <v>38</v>
      </c>
      <c r="L2166" s="2" t="s">
        <v>38</v>
      </c>
      <c r="M2166" s="2" t="s">
        <v>39</v>
      </c>
      <c r="N2166" s="2" t="s">
        <v>39</v>
      </c>
      <c r="O2166" s="2" t="s">
        <v>38</v>
      </c>
      <c r="P2166" s="2" t="s">
        <v>38</v>
      </c>
      <c r="Q2166" s="2" t="s">
        <v>38</v>
      </c>
      <c r="R2166" s="2" t="s">
        <v>39</v>
      </c>
      <c r="S2166" s="2" t="s">
        <v>39</v>
      </c>
      <c r="T2166" s="2" t="s">
        <v>39</v>
      </c>
      <c r="U2166" s="2" t="s">
        <v>38</v>
      </c>
      <c r="V2166" s="2" t="s">
        <v>38</v>
      </c>
      <c r="W2166" s="2" t="s">
        <v>39</v>
      </c>
      <c r="X2166" s="2" t="s">
        <v>38</v>
      </c>
      <c r="Y2166" s="2" t="s">
        <v>39</v>
      </c>
      <c r="Z2166" s="2" t="s">
        <v>39</v>
      </c>
      <c r="AA2166" s="2" t="s">
        <v>39</v>
      </c>
      <c r="AB2166" s="2" t="s">
        <v>38</v>
      </c>
      <c r="AC2166" s="2" t="s">
        <v>39</v>
      </c>
      <c r="AD2166" s="2" t="s">
        <v>39</v>
      </c>
      <c r="AE2166" s="2" t="s">
        <v>40</v>
      </c>
    </row>
    <row r="2167" spans="1:31" ht="409.5">
      <c r="A2167" s="2">
        <v>2723483</v>
      </c>
      <c r="B2167" s="2">
        <f>HYPERLINK("https://platform.v2.vetology.net/cases/2723483/screening-report/1?type=pdf&amp;v=v6&amp;scorecard=1&amp;secret_key=BX%25IJ%24%2F65ieZ%29f6", 2723483)</f>
        <v>2723483</v>
      </c>
      <c r="C2167" s="2">
        <f>HYPERLINK("https://platform.v2.vetology.net/report/v/final/"&amp;2723483, 2723483)</f>
        <v>2723483</v>
      </c>
      <c r="D2167" s="2" t="s">
        <v>6970</v>
      </c>
      <c r="E2167" s="2" t="s">
        <v>6971</v>
      </c>
      <c r="F2167" s="2" t="s">
        <v>6972</v>
      </c>
      <c r="G2167" s="2" t="s">
        <v>34</v>
      </c>
      <c r="H2167" s="2" t="s">
        <v>6973</v>
      </c>
      <c r="I2167" s="2" t="s">
        <v>36</v>
      </c>
      <c r="J2167" s="2" t="s">
        <v>37</v>
      </c>
      <c r="K2167" s="2" t="s">
        <v>39</v>
      </c>
      <c r="L2167" s="2" t="s">
        <v>39</v>
      </c>
      <c r="M2167" s="2" t="s">
        <v>38</v>
      </c>
      <c r="N2167" s="2" t="s">
        <v>39</v>
      </c>
      <c r="O2167" s="2" t="s">
        <v>38</v>
      </c>
      <c r="P2167" s="2" t="s">
        <v>38</v>
      </c>
      <c r="Q2167" s="2" t="s">
        <v>39</v>
      </c>
      <c r="R2167" s="2" t="s">
        <v>38</v>
      </c>
      <c r="S2167" s="2" t="s">
        <v>39</v>
      </c>
      <c r="T2167" s="2" t="s">
        <v>38</v>
      </c>
      <c r="U2167" s="2" t="s">
        <v>39</v>
      </c>
      <c r="V2167" s="2" t="s">
        <v>39</v>
      </c>
      <c r="W2167" s="2" t="s">
        <v>38</v>
      </c>
      <c r="X2167" s="2" t="s">
        <v>38</v>
      </c>
      <c r="Y2167" s="2" t="s">
        <v>39</v>
      </c>
      <c r="Z2167" s="2" t="s">
        <v>38</v>
      </c>
      <c r="AA2167" s="2" t="s">
        <v>38</v>
      </c>
      <c r="AB2167" s="2" t="s">
        <v>38</v>
      </c>
      <c r="AC2167" s="2" t="s">
        <v>38</v>
      </c>
      <c r="AD2167" s="2" t="s">
        <v>38</v>
      </c>
      <c r="AE2167" s="2" t="s">
        <v>39</v>
      </c>
    </row>
    <row r="2168" spans="1:31" ht="409.5">
      <c r="A2168" s="2">
        <v>2723478</v>
      </c>
      <c r="B2168" s="2">
        <f>HYPERLINK("https://platform.v2.vetology.net/cases/2723478/screening-report/1?type=pdf&amp;v=v6&amp;scorecard=1&amp;secret_key=BX%25IJ%24%2F65ieZ%29f6", 2723478)</f>
        <v>2723478</v>
      </c>
      <c r="C2168" s="2">
        <f>HYPERLINK("https://platform.v2.vetology.net/report/v/final/"&amp;2723478, 2723478)</f>
        <v>2723478</v>
      </c>
      <c r="D2168" s="2" t="s">
        <v>6974</v>
      </c>
      <c r="E2168" s="2" t="s">
        <v>6975</v>
      </c>
      <c r="F2168" s="2" t="s">
        <v>6976</v>
      </c>
      <c r="G2168" s="2" t="s">
        <v>53</v>
      </c>
      <c r="H2168" s="2" t="s">
        <v>419</v>
      </c>
      <c r="I2168" s="2" t="s">
        <v>36</v>
      </c>
      <c r="J2168" s="2" t="s">
        <v>37</v>
      </c>
      <c r="K2168" s="2" t="s">
        <v>39</v>
      </c>
      <c r="L2168" s="2" t="s">
        <v>39</v>
      </c>
      <c r="M2168" s="2" t="s">
        <v>38</v>
      </c>
      <c r="N2168" s="2" t="s">
        <v>39</v>
      </c>
      <c r="O2168" s="2" t="s">
        <v>38</v>
      </c>
      <c r="P2168" s="2" t="s">
        <v>39</v>
      </c>
      <c r="Q2168" s="2" t="s">
        <v>39</v>
      </c>
      <c r="R2168" s="2" t="s">
        <v>38</v>
      </c>
      <c r="S2168" s="2" t="s">
        <v>39</v>
      </c>
      <c r="T2168" s="2" t="s">
        <v>39</v>
      </c>
      <c r="U2168" s="2" t="s">
        <v>39</v>
      </c>
      <c r="V2168" s="2" t="s">
        <v>39</v>
      </c>
      <c r="W2168" s="2" t="s">
        <v>38</v>
      </c>
      <c r="X2168" s="2" t="s">
        <v>39</v>
      </c>
      <c r="Y2168" s="2" t="s">
        <v>39</v>
      </c>
      <c r="Z2168" s="2" t="s">
        <v>39</v>
      </c>
      <c r="AA2168" s="2" t="s">
        <v>38</v>
      </c>
      <c r="AB2168" s="2" t="s">
        <v>39</v>
      </c>
      <c r="AC2168" s="2" t="s">
        <v>38</v>
      </c>
      <c r="AD2168" s="2" t="s">
        <v>39</v>
      </c>
      <c r="AE2168" s="2" t="s">
        <v>39</v>
      </c>
    </row>
    <row r="2169" spans="1:31" ht="409.5">
      <c r="A2169" s="2">
        <v>2723430</v>
      </c>
      <c r="B2169" s="2">
        <f>HYPERLINK("https://platform.v2.vetology.net/cases/2723430/screening-report/1?type=pdf&amp;v=v6&amp;scorecard=1&amp;secret_key=BX%25IJ%24%2F65ieZ%29f6", 2723430)</f>
        <v>2723430</v>
      </c>
      <c r="C2169" s="2">
        <f>HYPERLINK("https://platform.v2.vetology.net/report/v/final/"&amp;2723430, 2723430)</f>
        <v>2723430</v>
      </c>
      <c r="D2169" s="2" t="s">
        <v>6977</v>
      </c>
      <c r="E2169" s="2" t="s">
        <v>6978</v>
      </c>
      <c r="F2169" s="2" t="s">
        <v>43</v>
      </c>
      <c r="G2169" s="2" t="s">
        <v>44</v>
      </c>
      <c r="H2169" s="2" t="s">
        <v>6979</v>
      </c>
      <c r="I2169" s="2" t="s">
        <v>36</v>
      </c>
      <c r="J2169" s="2" t="s">
        <v>37</v>
      </c>
      <c r="K2169" s="2" t="s">
        <v>39</v>
      </c>
      <c r="L2169" s="2" t="s">
        <v>38</v>
      </c>
      <c r="M2169" s="2" t="s">
        <v>39</v>
      </c>
      <c r="N2169" s="2" t="s">
        <v>38</v>
      </c>
      <c r="O2169" s="2" t="s">
        <v>38</v>
      </c>
      <c r="P2169" s="2" t="s">
        <v>39</v>
      </c>
      <c r="Q2169" s="2" t="s">
        <v>39</v>
      </c>
      <c r="R2169" s="2" t="s">
        <v>38</v>
      </c>
      <c r="S2169" s="2" t="s">
        <v>38</v>
      </c>
      <c r="T2169" s="2" t="s">
        <v>38</v>
      </c>
      <c r="U2169" s="2" t="s">
        <v>38</v>
      </c>
      <c r="V2169" s="2" t="s">
        <v>38</v>
      </c>
      <c r="W2169" s="2" t="s">
        <v>39</v>
      </c>
      <c r="X2169" s="2" t="s">
        <v>39</v>
      </c>
      <c r="Y2169" s="2" t="s">
        <v>39</v>
      </c>
      <c r="Z2169" s="2" t="s">
        <v>38</v>
      </c>
      <c r="AA2169" s="2" t="s">
        <v>39</v>
      </c>
      <c r="AB2169" s="2" t="s">
        <v>39</v>
      </c>
      <c r="AC2169" s="2" t="s">
        <v>38</v>
      </c>
      <c r="AD2169" s="2" t="s">
        <v>38</v>
      </c>
      <c r="AE2169" s="2" t="s">
        <v>39</v>
      </c>
    </row>
    <row r="2170" spans="1:31" ht="409.5">
      <c r="A2170" s="2">
        <v>2723404</v>
      </c>
      <c r="B2170" s="2">
        <f>HYPERLINK("https://platform.v2.vetology.net/cases/2723404/screening-report/1?type=pdf&amp;v=v6&amp;scorecard=1&amp;secret_key=BX%25IJ%24%2F65ieZ%29f6", 2723404)</f>
        <v>2723404</v>
      </c>
      <c r="C2170" s="2">
        <f>HYPERLINK("https://platform.v2.vetology.net/report/v/final/"&amp;2723404, 2723404)</f>
        <v>2723404</v>
      </c>
      <c r="D2170" s="2" t="s">
        <v>6980</v>
      </c>
      <c r="E2170" s="2" t="s">
        <v>6981</v>
      </c>
      <c r="F2170" s="2" t="s">
        <v>43</v>
      </c>
      <c r="G2170" s="2" t="s">
        <v>100</v>
      </c>
      <c r="H2170" s="2" t="s">
        <v>6982</v>
      </c>
      <c r="I2170" s="2" t="s">
        <v>129</v>
      </c>
      <c r="J2170" s="2" t="s">
        <v>74</v>
      </c>
      <c r="K2170" s="2" t="s">
        <v>39</v>
      </c>
      <c r="L2170" s="2" t="s">
        <v>38</v>
      </c>
      <c r="M2170" s="2" t="s">
        <v>38</v>
      </c>
      <c r="N2170" s="2" t="s">
        <v>38</v>
      </c>
      <c r="O2170" s="2" t="s">
        <v>38</v>
      </c>
      <c r="P2170" s="2" t="s">
        <v>38</v>
      </c>
      <c r="Q2170" s="2" t="s">
        <v>38</v>
      </c>
      <c r="R2170" s="2" t="s">
        <v>39</v>
      </c>
      <c r="S2170" s="2" t="s">
        <v>38</v>
      </c>
      <c r="T2170" s="2" t="s">
        <v>38</v>
      </c>
      <c r="U2170" s="2" t="s">
        <v>39</v>
      </c>
      <c r="V2170" s="2" t="s">
        <v>39</v>
      </c>
      <c r="W2170" s="2" t="s">
        <v>38</v>
      </c>
      <c r="X2170" s="2" t="s">
        <v>38</v>
      </c>
      <c r="Y2170" s="2" t="s">
        <v>38</v>
      </c>
      <c r="Z2170" s="2" t="s">
        <v>39</v>
      </c>
      <c r="AA2170" s="2" t="s">
        <v>39</v>
      </c>
      <c r="AB2170" s="2" t="s">
        <v>38</v>
      </c>
      <c r="AC2170" s="2" t="s">
        <v>38</v>
      </c>
      <c r="AD2170" s="2" t="s">
        <v>39</v>
      </c>
      <c r="AE2170" s="2" t="s">
        <v>40</v>
      </c>
    </row>
    <row r="2171" spans="1:31" ht="409.5">
      <c r="A2171" s="2">
        <v>2723402</v>
      </c>
      <c r="B2171" s="2">
        <f>HYPERLINK("https://platform.v2.vetology.net/cases/2723402/screening-report/1?type=pdf&amp;v=v6&amp;scorecard=1&amp;secret_key=BX%25IJ%24%2F65ieZ%29f6", 2723402)</f>
        <v>2723402</v>
      </c>
      <c r="C2171" s="2">
        <f>HYPERLINK("https://platform.v2.vetology.net/report/v/final/"&amp;2723402, 2723402)</f>
        <v>2723402</v>
      </c>
      <c r="D2171" s="2" t="s">
        <v>6983</v>
      </c>
      <c r="E2171" s="2" t="s">
        <v>6984</v>
      </c>
      <c r="F2171" s="2" t="s">
        <v>6985</v>
      </c>
      <c r="G2171" s="2" t="s">
        <v>170</v>
      </c>
      <c r="H2171" s="2" t="s">
        <v>69</v>
      </c>
      <c r="I2171" s="2" t="s">
        <v>46</v>
      </c>
      <c r="J2171" s="2"/>
      <c r="K2171" s="2" t="s">
        <v>39</v>
      </c>
      <c r="L2171" s="2" t="s">
        <v>39</v>
      </c>
      <c r="M2171" s="2" t="s">
        <v>39</v>
      </c>
      <c r="N2171" s="2" t="s">
        <v>39</v>
      </c>
      <c r="O2171" s="2" t="s">
        <v>39</v>
      </c>
      <c r="P2171" s="2" t="s">
        <v>39</v>
      </c>
      <c r="Q2171" s="2" t="s">
        <v>39</v>
      </c>
      <c r="R2171" s="2" t="s">
        <v>39</v>
      </c>
      <c r="S2171" s="2" t="s">
        <v>39</v>
      </c>
      <c r="T2171" s="2" t="s">
        <v>39</v>
      </c>
      <c r="U2171" s="2" t="s">
        <v>39</v>
      </c>
      <c r="V2171" s="2" t="s">
        <v>39</v>
      </c>
      <c r="W2171" s="2" t="s">
        <v>38</v>
      </c>
      <c r="X2171" s="2" t="s">
        <v>39</v>
      </c>
      <c r="Y2171" s="2" t="s">
        <v>39</v>
      </c>
      <c r="Z2171" s="2" t="s">
        <v>39</v>
      </c>
      <c r="AA2171" s="2" t="s">
        <v>39</v>
      </c>
      <c r="AB2171" s="2" t="s">
        <v>39</v>
      </c>
      <c r="AC2171" s="2" t="s">
        <v>39</v>
      </c>
      <c r="AD2171" s="2" t="s">
        <v>38</v>
      </c>
      <c r="AE2171" s="2" t="s">
        <v>39</v>
      </c>
    </row>
    <row r="2172" spans="1:31" ht="409.5">
      <c r="A2172" s="2">
        <v>2723383</v>
      </c>
      <c r="B2172" s="2">
        <f>HYPERLINK("https://platform.v2.vetology.net/cases/2723383/screening-report/1?type=pdf&amp;v=v6&amp;scorecard=1&amp;secret_key=BX%25IJ%24%2F65ieZ%29f6", 2723383)</f>
        <v>2723383</v>
      </c>
      <c r="C2172" s="2">
        <f>HYPERLINK("https://platform.v2.vetology.net/report/v/final/"&amp;2723383, 2723383)</f>
        <v>2723383</v>
      </c>
      <c r="D2172" s="2" t="s">
        <v>6986</v>
      </c>
      <c r="E2172" s="2" t="s">
        <v>6987</v>
      </c>
      <c r="F2172" s="2" t="s">
        <v>6988</v>
      </c>
      <c r="G2172" s="2" t="s">
        <v>44</v>
      </c>
      <c r="H2172" s="2" t="s">
        <v>436</v>
      </c>
      <c r="I2172" s="2" t="s">
        <v>59</v>
      </c>
      <c r="J2172" s="2" t="s">
        <v>37</v>
      </c>
      <c r="K2172" s="2" t="s">
        <v>38</v>
      </c>
      <c r="L2172" s="2" t="s">
        <v>39</v>
      </c>
      <c r="M2172" s="2" t="s">
        <v>39</v>
      </c>
      <c r="N2172" s="2" t="s">
        <v>39</v>
      </c>
      <c r="O2172" s="2" t="s">
        <v>39</v>
      </c>
      <c r="P2172" s="2" t="s">
        <v>39</v>
      </c>
      <c r="Q2172" s="2" t="s">
        <v>39</v>
      </c>
      <c r="R2172" s="2" t="s">
        <v>38</v>
      </c>
      <c r="S2172" s="2" t="s">
        <v>39</v>
      </c>
      <c r="T2172" s="2" t="s">
        <v>38</v>
      </c>
      <c r="U2172" s="2" t="s">
        <v>39</v>
      </c>
      <c r="V2172" s="2" t="s">
        <v>38</v>
      </c>
      <c r="W2172" s="2" t="s">
        <v>38</v>
      </c>
      <c r="X2172" s="2" t="s">
        <v>39</v>
      </c>
      <c r="Y2172" s="2" t="s">
        <v>39</v>
      </c>
      <c r="Z2172" s="2" t="s">
        <v>38</v>
      </c>
      <c r="AA2172" s="2" t="s">
        <v>38</v>
      </c>
      <c r="AB2172" s="2" t="s">
        <v>39</v>
      </c>
      <c r="AC2172" s="2" t="s">
        <v>38</v>
      </c>
      <c r="AD2172" s="2" t="s">
        <v>39</v>
      </c>
      <c r="AE2172" s="2" t="s">
        <v>39</v>
      </c>
    </row>
    <row r="2173" spans="1:31" ht="409.5">
      <c r="A2173" s="2">
        <v>2723380</v>
      </c>
      <c r="B2173" s="2">
        <f>HYPERLINK("https://platform.v2.vetology.net/cases/2723380/screening-report/1?type=pdf&amp;v=v6&amp;scorecard=1&amp;secret_key=BX%25IJ%24%2F65ieZ%29f6", 2723380)</f>
        <v>2723380</v>
      </c>
      <c r="C2173" s="2">
        <f>HYPERLINK("https://platform.v2.vetology.net/report/v/final/"&amp;2723380, 2723380)</f>
        <v>2723380</v>
      </c>
      <c r="D2173" s="2" t="s">
        <v>6989</v>
      </c>
      <c r="E2173" s="2" t="s">
        <v>6990</v>
      </c>
      <c r="F2173" s="2" t="s">
        <v>6991</v>
      </c>
      <c r="G2173" s="2" t="s">
        <v>53</v>
      </c>
      <c r="H2173" s="2" t="s">
        <v>6992</v>
      </c>
      <c r="I2173" s="2" t="s">
        <v>129</v>
      </c>
      <c r="J2173" s="2" t="s">
        <v>74</v>
      </c>
      <c r="K2173" s="2" t="s">
        <v>39</v>
      </c>
      <c r="L2173" s="2" t="s">
        <v>38</v>
      </c>
      <c r="M2173" s="2" t="s">
        <v>39</v>
      </c>
      <c r="N2173" s="2" t="s">
        <v>39</v>
      </c>
      <c r="O2173" s="2" t="s">
        <v>38</v>
      </c>
      <c r="P2173" s="2" t="s">
        <v>39</v>
      </c>
      <c r="Q2173" s="2" t="s">
        <v>38</v>
      </c>
      <c r="R2173" s="2" t="s">
        <v>39</v>
      </c>
      <c r="S2173" s="2" t="s">
        <v>38</v>
      </c>
      <c r="T2173" s="2" t="s">
        <v>38</v>
      </c>
      <c r="U2173" s="2" t="s">
        <v>38</v>
      </c>
      <c r="V2173" s="2" t="s">
        <v>39</v>
      </c>
      <c r="W2173" s="2" t="s">
        <v>38</v>
      </c>
      <c r="X2173" s="2" t="s">
        <v>39</v>
      </c>
      <c r="Y2173" s="2" t="s">
        <v>39</v>
      </c>
      <c r="Z2173" s="2" t="s">
        <v>38</v>
      </c>
      <c r="AA2173" s="2" t="s">
        <v>38</v>
      </c>
      <c r="AB2173" s="2" t="s">
        <v>39</v>
      </c>
      <c r="AC2173" s="2" t="s">
        <v>38</v>
      </c>
      <c r="AD2173" s="2" t="s">
        <v>38</v>
      </c>
      <c r="AE2173" s="2" t="s">
        <v>39</v>
      </c>
    </row>
    <row r="2174" spans="1:31" ht="409.5">
      <c r="A2174" s="2">
        <v>2723349</v>
      </c>
      <c r="B2174" s="2">
        <f>HYPERLINK("https://platform.v2.vetology.net/cases/2723349/screening-report/1?type=pdf&amp;v=v6&amp;scorecard=1&amp;secret_key=BX%25IJ%24%2F65ieZ%29f6", 2723349)</f>
        <v>2723349</v>
      </c>
      <c r="C2174" s="2">
        <f>HYPERLINK("https://platform.v2.vetology.net/report/v/final/"&amp;2723349, 2723349)</f>
        <v>2723349</v>
      </c>
      <c r="D2174" s="2" t="s">
        <v>6993</v>
      </c>
      <c r="E2174" s="2" t="s">
        <v>6994</v>
      </c>
      <c r="F2174" s="2"/>
      <c r="G2174" s="2" t="s">
        <v>100</v>
      </c>
      <c r="H2174" s="2" t="s">
        <v>6995</v>
      </c>
      <c r="I2174" s="2" t="s">
        <v>129</v>
      </c>
      <c r="J2174" s="2" t="s">
        <v>74</v>
      </c>
      <c r="K2174" s="2" t="s">
        <v>39</v>
      </c>
      <c r="L2174" s="2" t="s">
        <v>38</v>
      </c>
      <c r="M2174" s="2" t="s">
        <v>38</v>
      </c>
      <c r="N2174" s="2" t="s">
        <v>38</v>
      </c>
      <c r="O2174" s="2" t="s">
        <v>38</v>
      </c>
      <c r="P2174" s="2" t="s">
        <v>39</v>
      </c>
      <c r="Q2174" s="2" t="s">
        <v>38</v>
      </c>
      <c r="R2174" s="2" t="s">
        <v>39</v>
      </c>
      <c r="S2174" s="2" t="s">
        <v>39</v>
      </c>
      <c r="T2174" s="2" t="s">
        <v>38</v>
      </c>
      <c r="U2174" s="2" t="s">
        <v>39</v>
      </c>
      <c r="V2174" s="2" t="s">
        <v>39</v>
      </c>
      <c r="W2174" s="2" t="s">
        <v>38</v>
      </c>
      <c r="X2174" s="2" t="s">
        <v>38</v>
      </c>
      <c r="Y2174" s="2" t="s">
        <v>39</v>
      </c>
      <c r="Z2174" s="2" t="s">
        <v>39</v>
      </c>
      <c r="AA2174" s="2" t="s">
        <v>38</v>
      </c>
      <c r="AB2174" s="2" t="s">
        <v>38</v>
      </c>
      <c r="AC2174" s="2" t="s">
        <v>39</v>
      </c>
      <c r="AD2174" s="2" t="s">
        <v>39</v>
      </c>
      <c r="AE2174" s="2" t="s">
        <v>39</v>
      </c>
    </row>
    <row r="2175" spans="1:31" ht="409.5">
      <c r="A2175" s="2">
        <v>2723323</v>
      </c>
      <c r="B2175" s="2">
        <f>HYPERLINK("https://platform.v2.vetology.net/cases/2723323/screening-report/1?type=pdf&amp;v=v6&amp;scorecard=1&amp;secret_key=BX%25IJ%24%2F65ieZ%29f6", 2723323)</f>
        <v>2723323</v>
      </c>
      <c r="C2175" s="2">
        <f>HYPERLINK("https://platform.v2.vetology.net/report/v/final/"&amp;2723323, 2723323)</f>
        <v>2723323</v>
      </c>
      <c r="D2175" s="2" t="s">
        <v>6996</v>
      </c>
      <c r="E2175" s="2" t="s">
        <v>6997</v>
      </c>
      <c r="F2175" s="2" t="s">
        <v>6998</v>
      </c>
      <c r="G2175" s="2" t="s">
        <v>127</v>
      </c>
      <c r="H2175" s="2" t="s">
        <v>6999</v>
      </c>
      <c r="I2175" s="2" t="s">
        <v>36</v>
      </c>
      <c r="J2175" s="2" t="s">
        <v>37</v>
      </c>
      <c r="K2175" s="2" t="s">
        <v>38</v>
      </c>
      <c r="L2175" s="2" t="s">
        <v>38</v>
      </c>
      <c r="M2175" s="2" t="s">
        <v>39</v>
      </c>
      <c r="N2175" s="2" t="s">
        <v>39</v>
      </c>
      <c r="O2175" s="2" t="s">
        <v>39</v>
      </c>
      <c r="P2175" s="2" t="s">
        <v>39</v>
      </c>
      <c r="Q2175" s="2" t="s">
        <v>39</v>
      </c>
      <c r="R2175" s="2" t="s">
        <v>38</v>
      </c>
      <c r="S2175" s="2" t="s">
        <v>38</v>
      </c>
      <c r="T2175" s="2" t="s">
        <v>39</v>
      </c>
      <c r="U2175" s="2" t="s">
        <v>38</v>
      </c>
      <c r="V2175" s="2" t="s">
        <v>38</v>
      </c>
      <c r="W2175" s="2" t="s">
        <v>38</v>
      </c>
      <c r="X2175" s="2" t="s">
        <v>39</v>
      </c>
      <c r="Y2175" s="2" t="s">
        <v>39</v>
      </c>
      <c r="Z2175" s="2" t="s">
        <v>39</v>
      </c>
      <c r="AA2175" s="2" t="s">
        <v>39</v>
      </c>
      <c r="AB2175" s="2" t="s">
        <v>39</v>
      </c>
      <c r="AC2175" s="2" t="s">
        <v>38</v>
      </c>
      <c r="AD2175" s="2" t="s">
        <v>38</v>
      </c>
      <c r="AE2175" s="2" t="s">
        <v>40</v>
      </c>
    </row>
    <row r="2176" spans="1:31" ht="409.5">
      <c r="A2176" s="2">
        <v>2723320</v>
      </c>
      <c r="B2176" s="2">
        <f>HYPERLINK("https://platform.v2.vetology.net/cases/2723320/screening-report/1?type=pdf&amp;v=v6&amp;scorecard=1&amp;secret_key=BX%25IJ%24%2F65ieZ%29f6", 2723320)</f>
        <v>2723320</v>
      </c>
      <c r="C2176" s="2">
        <f>HYPERLINK("https://platform.v2.vetology.net/report/v/final/"&amp;2723320, 2723320)</f>
        <v>2723320</v>
      </c>
      <c r="D2176" s="2" t="s">
        <v>7000</v>
      </c>
      <c r="E2176" s="2" t="s">
        <v>7001</v>
      </c>
      <c r="F2176" s="2" t="s">
        <v>294</v>
      </c>
      <c r="G2176" s="2" t="s">
        <v>170</v>
      </c>
      <c r="H2176" s="2" t="s">
        <v>7002</v>
      </c>
      <c r="I2176" s="2" t="s">
        <v>36</v>
      </c>
      <c r="J2176" s="2" t="s">
        <v>37</v>
      </c>
      <c r="K2176" s="2" t="s">
        <v>38</v>
      </c>
      <c r="L2176" s="2" t="s">
        <v>39</v>
      </c>
      <c r="M2176" s="2" t="s">
        <v>38</v>
      </c>
      <c r="N2176" s="2" t="s">
        <v>38</v>
      </c>
      <c r="O2176" s="2" t="s">
        <v>38</v>
      </c>
      <c r="P2176" s="2" t="s">
        <v>39</v>
      </c>
      <c r="Q2176" s="2" t="s">
        <v>39</v>
      </c>
      <c r="R2176" s="2" t="s">
        <v>38</v>
      </c>
      <c r="S2176" s="2" t="s">
        <v>38</v>
      </c>
      <c r="T2176" s="2" t="s">
        <v>39</v>
      </c>
      <c r="U2176" s="2" t="s">
        <v>38</v>
      </c>
      <c r="V2176" s="2" t="s">
        <v>38</v>
      </c>
      <c r="W2176" s="2" t="s">
        <v>38</v>
      </c>
      <c r="X2176" s="2" t="s">
        <v>39</v>
      </c>
      <c r="Y2176" s="2" t="s">
        <v>39</v>
      </c>
      <c r="Z2176" s="2" t="s">
        <v>38</v>
      </c>
      <c r="AA2176" s="2" t="s">
        <v>38</v>
      </c>
      <c r="AB2176" s="2" t="s">
        <v>39</v>
      </c>
      <c r="AC2176" s="2" t="s">
        <v>38</v>
      </c>
      <c r="AD2176" s="2" t="s">
        <v>38</v>
      </c>
      <c r="AE2176" s="2" t="s">
        <v>39</v>
      </c>
    </row>
    <row r="2177" spans="1:31" ht="409.5">
      <c r="A2177" s="2">
        <v>2723311</v>
      </c>
      <c r="B2177" s="2">
        <f>HYPERLINK("https://platform.v2.vetology.net/cases/2723311/screening-report/1?type=pdf&amp;v=v6&amp;scorecard=1&amp;secret_key=BX%25IJ%24%2F65ieZ%29f6", 2723311)</f>
        <v>2723311</v>
      </c>
      <c r="C2177" s="2">
        <f>HYPERLINK("https://platform.v2.vetology.net/report/v/final/"&amp;2723311, 2723311)</f>
        <v>2723311</v>
      </c>
      <c r="D2177" s="2" t="s">
        <v>7003</v>
      </c>
      <c r="E2177" s="2" t="s">
        <v>7004</v>
      </c>
      <c r="F2177" s="2" t="s">
        <v>7005</v>
      </c>
      <c r="G2177" s="2" t="s">
        <v>100</v>
      </c>
      <c r="H2177" s="2" t="s">
        <v>7006</v>
      </c>
      <c r="I2177" s="2" t="s">
        <v>129</v>
      </c>
      <c r="J2177" s="2" t="s">
        <v>74</v>
      </c>
      <c r="K2177" s="2" t="s">
        <v>38</v>
      </c>
      <c r="L2177" s="2" t="s">
        <v>38</v>
      </c>
      <c r="M2177" s="2" t="s">
        <v>38</v>
      </c>
      <c r="N2177" s="2" t="s">
        <v>38</v>
      </c>
      <c r="O2177" s="2" t="s">
        <v>38</v>
      </c>
      <c r="P2177" s="2" t="s">
        <v>38</v>
      </c>
      <c r="Q2177" s="2" t="s">
        <v>38</v>
      </c>
      <c r="R2177" s="2" t="s">
        <v>38</v>
      </c>
      <c r="S2177" s="2" t="s">
        <v>38</v>
      </c>
      <c r="T2177" s="2" t="s">
        <v>38</v>
      </c>
      <c r="U2177" s="2" t="s">
        <v>39</v>
      </c>
      <c r="V2177" s="2" t="s">
        <v>39</v>
      </c>
      <c r="W2177" s="2" t="s">
        <v>38</v>
      </c>
      <c r="X2177" s="2" t="s">
        <v>39</v>
      </c>
      <c r="Y2177" s="2" t="s">
        <v>38</v>
      </c>
      <c r="Z2177" s="2" t="s">
        <v>38</v>
      </c>
      <c r="AA2177" s="2" t="s">
        <v>38</v>
      </c>
      <c r="AB2177" s="2" t="s">
        <v>39</v>
      </c>
      <c r="AC2177" s="2" t="s">
        <v>38</v>
      </c>
      <c r="AD2177" s="2" t="s">
        <v>38</v>
      </c>
      <c r="AE2177" s="2"/>
    </row>
    <row r="2178" spans="1:31" ht="409.5">
      <c r="A2178" s="2">
        <v>2723277</v>
      </c>
      <c r="B2178" s="2">
        <f>HYPERLINK("https://platform.v2.vetology.net/cases/2723277/screening-report/1?type=pdf&amp;v=v6&amp;scorecard=1&amp;secret_key=BX%25IJ%24%2F65ieZ%29f6", 2723277)</f>
        <v>2723277</v>
      </c>
      <c r="C2178" s="2">
        <f>HYPERLINK("https://platform.v2.vetology.net/report/v/final/"&amp;2723277, 2723277)</f>
        <v>2723277</v>
      </c>
      <c r="D2178" s="2" t="s">
        <v>7007</v>
      </c>
      <c r="E2178" s="2" t="s">
        <v>627</v>
      </c>
      <c r="F2178" s="2" t="s">
        <v>2226</v>
      </c>
      <c r="G2178" s="2" t="s">
        <v>100</v>
      </c>
      <c r="H2178" s="2" t="s">
        <v>277</v>
      </c>
      <c r="I2178" s="2" t="s">
        <v>46</v>
      </c>
      <c r="J2178" s="2"/>
      <c r="K2178" s="2" t="s">
        <v>39</v>
      </c>
      <c r="L2178" s="2" t="s">
        <v>38</v>
      </c>
      <c r="M2178" s="2" t="s">
        <v>39</v>
      </c>
      <c r="N2178" s="2" t="s">
        <v>39</v>
      </c>
      <c r="O2178" s="2" t="s">
        <v>39</v>
      </c>
      <c r="P2178" s="2" t="s">
        <v>39</v>
      </c>
      <c r="Q2178" s="2" t="s">
        <v>39</v>
      </c>
      <c r="R2178" s="2" t="s">
        <v>39</v>
      </c>
      <c r="S2178" s="2" t="s">
        <v>39</v>
      </c>
      <c r="T2178" s="2" t="s">
        <v>39</v>
      </c>
      <c r="U2178" s="2" t="s">
        <v>39</v>
      </c>
      <c r="V2178" s="2" t="s">
        <v>38</v>
      </c>
      <c r="W2178" s="2" t="s">
        <v>39</v>
      </c>
      <c r="X2178" s="2" t="s">
        <v>39</v>
      </c>
      <c r="Y2178" s="2" t="s">
        <v>39</v>
      </c>
      <c r="Z2178" s="2" t="s">
        <v>39</v>
      </c>
      <c r="AA2178" s="2" t="s">
        <v>39</v>
      </c>
      <c r="AB2178" s="2" t="s">
        <v>39</v>
      </c>
      <c r="AC2178" s="2" t="s">
        <v>39</v>
      </c>
      <c r="AD2178" s="2" t="s">
        <v>38</v>
      </c>
      <c r="AE2178" s="2"/>
    </row>
    <row r="2179" spans="1:31" ht="409.5">
      <c r="A2179" s="2">
        <v>2723255</v>
      </c>
      <c r="B2179" s="2">
        <f>HYPERLINK("https://platform.v2.vetology.net/cases/2723255/screening-report/1?type=pdf&amp;v=v6&amp;scorecard=1&amp;secret_key=BX%25IJ%24%2F65ieZ%29f6", 2723255)</f>
        <v>2723255</v>
      </c>
      <c r="C2179" s="2">
        <f>HYPERLINK("https://platform.v2.vetology.net/report/v/final/"&amp;2723255, 2723255)</f>
        <v>2723255</v>
      </c>
      <c r="D2179" s="2" t="s">
        <v>7008</v>
      </c>
      <c r="E2179" s="2" t="s">
        <v>7009</v>
      </c>
      <c r="F2179" s="2" t="s">
        <v>7010</v>
      </c>
      <c r="G2179" s="2" t="s">
        <v>127</v>
      </c>
      <c r="H2179" s="2" t="s">
        <v>7011</v>
      </c>
      <c r="I2179" s="2" t="s">
        <v>73</v>
      </c>
      <c r="J2179" s="2" t="s">
        <v>74</v>
      </c>
      <c r="K2179" s="2" t="s">
        <v>38</v>
      </c>
      <c r="L2179" s="2" t="s">
        <v>38</v>
      </c>
      <c r="M2179" s="2" t="s">
        <v>38</v>
      </c>
      <c r="N2179" s="2" t="s">
        <v>38</v>
      </c>
      <c r="O2179" s="2" t="s">
        <v>38</v>
      </c>
      <c r="P2179" s="2" t="s">
        <v>38</v>
      </c>
      <c r="Q2179" s="2" t="s">
        <v>38</v>
      </c>
      <c r="R2179" s="2" t="s">
        <v>38</v>
      </c>
      <c r="S2179" s="2" t="s">
        <v>38</v>
      </c>
      <c r="T2179" s="2" t="s">
        <v>38</v>
      </c>
      <c r="U2179" s="2" t="s">
        <v>39</v>
      </c>
      <c r="V2179" s="2" t="s">
        <v>39</v>
      </c>
      <c r="W2179" s="2" t="s">
        <v>38</v>
      </c>
      <c r="X2179" s="2" t="s">
        <v>38</v>
      </c>
      <c r="Y2179" s="2" t="s">
        <v>38</v>
      </c>
      <c r="Z2179" s="2" t="s">
        <v>38</v>
      </c>
      <c r="AA2179" s="2" t="s">
        <v>38</v>
      </c>
      <c r="AB2179" s="2" t="s">
        <v>38</v>
      </c>
      <c r="AC2179" s="2" t="s">
        <v>38</v>
      </c>
      <c r="AD2179" s="2" t="s">
        <v>38</v>
      </c>
      <c r="AE2179" s="2" t="s">
        <v>40</v>
      </c>
    </row>
    <row r="2180" spans="1:31" ht="409.5">
      <c r="A2180" s="2">
        <v>2723253</v>
      </c>
      <c r="B2180" s="2">
        <f>HYPERLINK("https://platform.v2.vetology.net/cases/2723253/screening-report/1?type=pdf&amp;v=v6&amp;scorecard=1&amp;secret_key=BX%25IJ%24%2F65ieZ%29f6", 2723253)</f>
        <v>2723253</v>
      </c>
      <c r="C2180" s="2">
        <f>HYPERLINK("https://platform.v2.vetology.net/report/v/final/"&amp;2723253, 2723253)</f>
        <v>2723253</v>
      </c>
      <c r="D2180" s="2" t="s">
        <v>7012</v>
      </c>
      <c r="E2180" s="2" t="s">
        <v>7013</v>
      </c>
      <c r="F2180" s="2" t="s">
        <v>7014</v>
      </c>
      <c r="G2180" s="2" t="s">
        <v>53</v>
      </c>
      <c r="H2180" s="2" t="s">
        <v>7015</v>
      </c>
      <c r="I2180" s="2" t="s">
        <v>73</v>
      </c>
      <c r="J2180" s="2" t="s">
        <v>74</v>
      </c>
      <c r="K2180" s="2" t="s">
        <v>38</v>
      </c>
      <c r="L2180" s="2" t="s">
        <v>38</v>
      </c>
      <c r="M2180" s="2" t="s">
        <v>38</v>
      </c>
      <c r="N2180" s="2" t="s">
        <v>38</v>
      </c>
      <c r="O2180" s="2" t="s">
        <v>38</v>
      </c>
      <c r="P2180" s="2" t="s">
        <v>38</v>
      </c>
      <c r="Q2180" s="2" t="s">
        <v>38</v>
      </c>
      <c r="R2180" s="2" t="s">
        <v>38</v>
      </c>
      <c r="S2180" s="2" t="s">
        <v>38</v>
      </c>
      <c r="T2180" s="2" t="s">
        <v>38</v>
      </c>
      <c r="U2180" s="2" t="s">
        <v>38</v>
      </c>
      <c r="V2180" s="2" t="s">
        <v>38</v>
      </c>
      <c r="W2180" s="2" t="s">
        <v>38</v>
      </c>
      <c r="X2180" s="2" t="s">
        <v>38</v>
      </c>
      <c r="Y2180" s="2" t="s">
        <v>38</v>
      </c>
      <c r="Z2180" s="2" t="s">
        <v>38</v>
      </c>
      <c r="AA2180" s="2" t="s">
        <v>38</v>
      </c>
      <c r="AB2180" s="2" t="s">
        <v>38</v>
      </c>
      <c r="AC2180" s="2" t="s">
        <v>38</v>
      </c>
      <c r="AD2180" s="2" t="s">
        <v>38</v>
      </c>
      <c r="AE2180" s="2" t="s">
        <v>40</v>
      </c>
    </row>
    <row r="2181" spans="1:31" ht="409.5">
      <c r="A2181" s="2">
        <v>2723249</v>
      </c>
      <c r="B2181" s="2">
        <f>HYPERLINK("https://platform.v2.vetology.net/cases/2723249/screening-report/1?type=pdf&amp;v=v6&amp;scorecard=1&amp;secret_key=BX%25IJ%24%2F65ieZ%29f6", 2723249)</f>
        <v>2723249</v>
      </c>
      <c r="C2181" s="2">
        <f>HYPERLINK("https://platform.v2.vetology.net/report/v/final/"&amp;2723249, 2723249)</f>
        <v>2723249</v>
      </c>
      <c r="D2181" s="2" t="s">
        <v>7016</v>
      </c>
      <c r="E2181" s="2" t="s">
        <v>7017</v>
      </c>
      <c r="F2181" s="2" t="s">
        <v>7018</v>
      </c>
      <c r="G2181" s="2" t="s">
        <v>53</v>
      </c>
      <c r="H2181" s="2" t="s">
        <v>7019</v>
      </c>
      <c r="I2181" s="2" t="s">
        <v>73</v>
      </c>
      <c r="J2181" s="2" t="s">
        <v>74</v>
      </c>
      <c r="K2181" s="2" t="s">
        <v>38</v>
      </c>
      <c r="L2181" s="2" t="s">
        <v>38</v>
      </c>
      <c r="M2181" s="2" t="s">
        <v>38</v>
      </c>
      <c r="N2181" s="2" t="s">
        <v>38</v>
      </c>
      <c r="O2181" s="2" t="s">
        <v>38</v>
      </c>
      <c r="P2181" s="2" t="s">
        <v>38</v>
      </c>
      <c r="Q2181" s="2" t="s">
        <v>38</v>
      </c>
      <c r="R2181" s="2" t="s">
        <v>38</v>
      </c>
      <c r="S2181" s="2" t="s">
        <v>38</v>
      </c>
      <c r="T2181" s="2" t="s">
        <v>38</v>
      </c>
      <c r="U2181" s="2" t="s">
        <v>38</v>
      </c>
      <c r="V2181" s="2" t="s">
        <v>38</v>
      </c>
      <c r="W2181" s="2" t="s">
        <v>38</v>
      </c>
      <c r="X2181" s="2" t="s">
        <v>38</v>
      </c>
      <c r="Y2181" s="2" t="s">
        <v>38</v>
      </c>
      <c r="Z2181" s="2" t="s">
        <v>38</v>
      </c>
      <c r="AA2181" s="2" t="s">
        <v>38</v>
      </c>
      <c r="AB2181" s="2" t="s">
        <v>38</v>
      </c>
      <c r="AC2181" s="2" t="s">
        <v>38</v>
      </c>
      <c r="AD2181" s="2" t="s">
        <v>38</v>
      </c>
      <c r="AE2181" s="2" t="s">
        <v>40</v>
      </c>
    </row>
    <row r="2182" spans="1:31" ht="409.5">
      <c r="A2182" s="2">
        <v>2723245</v>
      </c>
      <c r="B2182" s="2">
        <f>HYPERLINK("https://platform.v2.vetology.net/cases/2723245/screening-report/1?type=pdf&amp;v=v6&amp;scorecard=1&amp;secret_key=BX%25IJ%24%2F65ieZ%29f6", 2723245)</f>
        <v>2723245</v>
      </c>
      <c r="C2182" s="2">
        <f>HYPERLINK("https://platform.v2.vetology.net/report/v/final/"&amp;2723245, 2723245)</f>
        <v>2723245</v>
      </c>
      <c r="D2182" s="2" t="s">
        <v>7020</v>
      </c>
      <c r="E2182" s="2" t="s">
        <v>7021</v>
      </c>
      <c r="F2182" s="2" t="s">
        <v>7022</v>
      </c>
      <c r="G2182" s="2" t="s">
        <v>251</v>
      </c>
      <c r="H2182" s="2" t="s">
        <v>7023</v>
      </c>
      <c r="I2182" s="2" t="s">
        <v>73</v>
      </c>
      <c r="J2182" s="2" t="s">
        <v>74</v>
      </c>
      <c r="K2182" s="2" t="s">
        <v>38</v>
      </c>
      <c r="L2182" s="2" t="s">
        <v>38</v>
      </c>
      <c r="M2182" s="2" t="s">
        <v>38</v>
      </c>
      <c r="N2182" s="2" t="s">
        <v>38</v>
      </c>
      <c r="O2182" s="2" t="s">
        <v>38</v>
      </c>
      <c r="P2182" s="2" t="s">
        <v>38</v>
      </c>
      <c r="Q2182" s="2" t="s">
        <v>38</v>
      </c>
      <c r="R2182" s="2" t="s">
        <v>38</v>
      </c>
      <c r="S2182" s="2" t="s">
        <v>38</v>
      </c>
      <c r="T2182" s="2" t="s">
        <v>38</v>
      </c>
      <c r="U2182" s="2" t="s">
        <v>38</v>
      </c>
      <c r="V2182" s="2" t="s">
        <v>38</v>
      </c>
      <c r="W2182" s="2" t="s">
        <v>38</v>
      </c>
      <c r="X2182" s="2" t="s">
        <v>38</v>
      </c>
      <c r="Y2182" s="2" t="s">
        <v>39</v>
      </c>
      <c r="Z2182" s="2" t="s">
        <v>39</v>
      </c>
      <c r="AA2182" s="2" t="s">
        <v>38</v>
      </c>
      <c r="AB2182" s="2" t="s">
        <v>38</v>
      </c>
      <c r="AC2182" s="2" t="s">
        <v>38</v>
      </c>
      <c r="AD2182" s="2" t="s">
        <v>38</v>
      </c>
      <c r="AE2182" s="2" t="s">
        <v>40</v>
      </c>
    </row>
    <row r="2183" spans="1:31" ht="409.5">
      <c r="A2183" s="2">
        <v>2723239</v>
      </c>
      <c r="B2183" s="2">
        <f>HYPERLINK("https://platform.v2.vetology.net/cases/2723239/screening-report/1?type=pdf&amp;v=v6&amp;scorecard=1&amp;secret_key=BX%25IJ%24%2F65ieZ%29f6", 2723239)</f>
        <v>2723239</v>
      </c>
      <c r="C2183" s="2">
        <f>HYPERLINK("https://platform.v2.vetology.net/report/v/final/"&amp;2723239, 2723239)</f>
        <v>2723239</v>
      </c>
      <c r="D2183" s="2" t="s">
        <v>7024</v>
      </c>
      <c r="E2183" s="2" t="s">
        <v>7025</v>
      </c>
      <c r="F2183" s="2" t="s">
        <v>7026</v>
      </c>
      <c r="G2183" s="2" t="s">
        <v>53</v>
      </c>
      <c r="H2183" s="2" t="s">
        <v>7027</v>
      </c>
      <c r="I2183" s="2" t="s">
        <v>59</v>
      </c>
      <c r="J2183" s="2" t="s">
        <v>37</v>
      </c>
      <c r="K2183" s="2" t="s">
        <v>38</v>
      </c>
      <c r="L2183" s="2" t="s">
        <v>38</v>
      </c>
      <c r="M2183" s="2" t="s">
        <v>39</v>
      </c>
      <c r="N2183" s="2" t="s">
        <v>39</v>
      </c>
      <c r="O2183" s="2" t="s">
        <v>39</v>
      </c>
      <c r="P2183" s="2" t="s">
        <v>39</v>
      </c>
      <c r="Q2183" s="2" t="s">
        <v>39</v>
      </c>
      <c r="R2183" s="2" t="s">
        <v>39</v>
      </c>
      <c r="S2183" s="2" t="s">
        <v>39</v>
      </c>
      <c r="T2183" s="2" t="s">
        <v>39</v>
      </c>
      <c r="U2183" s="2" t="s">
        <v>38</v>
      </c>
      <c r="V2183" s="2" t="s">
        <v>38</v>
      </c>
      <c r="W2183" s="2" t="s">
        <v>39</v>
      </c>
      <c r="X2183" s="2" t="s">
        <v>39</v>
      </c>
      <c r="Y2183" s="2" t="s">
        <v>39</v>
      </c>
      <c r="Z2183" s="2" t="s">
        <v>39</v>
      </c>
      <c r="AA2183" s="2" t="s">
        <v>38</v>
      </c>
      <c r="AB2183" s="2" t="s">
        <v>39</v>
      </c>
      <c r="AC2183" s="2" t="s">
        <v>38</v>
      </c>
      <c r="AD2183" s="2" t="s">
        <v>39</v>
      </c>
      <c r="AE2183" s="2" t="s">
        <v>40</v>
      </c>
    </row>
    <row r="2184" spans="1:31" ht="409.5">
      <c r="A2184" s="2">
        <v>2723238</v>
      </c>
      <c r="B2184" s="2">
        <f>HYPERLINK("https://platform.v2.vetology.net/cases/2723238/screening-report/1?type=pdf&amp;v=v6&amp;scorecard=1&amp;secret_key=BX%25IJ%24%2F65ieZ%29f6", 2723238)</f>
        <v>2723238</v>
      </c>
      <c r="C2184" s="2">
        <f>HYPERLINK("https://platform.v2.vetology.net/report/v/final/"&amp;2723238, 2723238)</f>
        <v>2723238</v>
      </c>
      <c r="D2184" s="2" t="s">
        <v>7028</v>
      </c>
      <c r="E2184" s="2" t="s">
        <v>7029</v>
      </c>
      <c r="F2184" s="2" t="s">
        <v>7030</v>
      </c>
      <c r="G2184" s="2" t="s">
        <v>127</v>
      </c>
      <c r="H2184" s="2" t="s">
        <v>7031</v>
      </c>
      <c r="I2184" s="2" t="s">
        <v>73</v>
      </c>
      <c r="J2184" s="2" t="s">
        <v>74</v>
      </c>
      <c r="K2184" s="2" t="s">
        <v>38</v>
      </c>
      <c r="L2184" s="2" t="s">
        <v>38</v>
      </c>
      <c r="M2184" s="2" t="s">
        <v>38</v>
      </c>
      <c r="N2184" s="2" t="s">
        <v>38</v>
      </c>
      <c r="O2184" s="2" t="s">
        <v>38</v>
      </c>
      <c r="P2184" s="2" t="s">
        <v>38</v>
      </c>
      <c r="Q2184" s="2" t="s">
        <v>38</v>
      </c>
      <c r="R2184" s="2" t="s">
        <v>38</v>
      </c>
      <c r="S2184" s="2" t="s">
        <v>38</v>
      </c>
      <c r="T2184" s="2" t="s">
        <v>38</v>
      </c>
      <c r="U2184" s="2" t="s">
        <v>38</v>
      </c>
      <c r="V2184" s="2" t="s">
        <v>38</v>
      </c>
      <c r="W2184" s="2" t="s">
        <v>38</v>
      </c>
      <c r="X2184" s="2" t="s">
        <v>38</v>
      </c>
      <c r="Y2184" s="2" t="s">
        <v>38</v>
      </c>
      <c r="Z2184" s="2" t="s">
        <v>38</v>
      </c>
      <c r="AA2184" s="2" t="s">
        <v>38</v>
      </c>
      <c r="AB2184" s="2" t="s">
        <v>38</v>
      </c>
      <c r="AC2184" s="2" t="s">
        <v>38</v>
      </c>
      <c r="AD2184" s="2" t="s">
        <v>39</v>
      </c>
      <c r="AE2184" s="2"/>
    </row>
    <row r="2185" spans="1:31" ht="409.5">
      <c r="A2185" s="2">
        <v>2723229</v>
      </c>
      <c r="B2185" s="2">
        <f>HYPERLINK("https://platform.v2.vetology.net/cases/2723229/screening-report/1?type=pdf&amp;v=v6&amp;scorecard=1&amp;secret_key=BX%25IJ%24%2F65ieZ%29f6", 2723229)</f>
        <v>2723229</v>
      </c>
      <c r="C2185" s="2">
        <f>HYPERLINK("https://platform.v2.vetology.net/report/v/final/"&amp;2723229, 2723229)</f>
        <v>2723229</v>
      </c>
      <c r="D2185" s="2" t="s">
        <v>7032</v>
      </c>
      <c r="E2185" s="2" t="s">
        <v>7033</v>
      </c>
      <c r="F2185" s="2" t="s">
        <v>7034</v>
      </c>
      <c r="G2185" s="2" t="s">
        <v>170</v>
      </c>
      <c r="H2185" s="2" t="s">
        <v>69</v>
      </c>
      <c r="I2185" s="2" t="s">
        <v>46</v>
      </c>
      <c r="J2185" s="2"/>
      <c r="K2185" s="2" t="s">
        <v>39</v>
      </c>
      <c r="L2185" s="2" t="s">
        <v>39</v>
      </c>
      <c r="M2185" s="2" t="s">
        <v>39</v>
      </c>
      <c r="N2185" s="2" t="s">
        <v>39</v>
      </c>
      <c r="O2185" s="2" t="s">
        <v>39</v>
      </c>
      <c r="P2185" s="2" t="s">
        <v>39</v>
      </c>
      <c r="Q2185" s="2" t="s">
        <v>39</v>
      </c>
      <c r="R2185" s="2" t="s">
        <v>39</v>
      </c>
      <c r="S2185" s="2" t="s">
        <v>39</v>
      </c>
      <c r="T2185" s="2" t="s">
        <v>39</v>
      </c>
      <c r="U2185" s="2" t="s">
        <v>39</v>
      </c>
      <c r="V2185" s="2" t="s">
        <v>39</v>
      </c>
      <c r="W2185" s="2" t="s">
        <v>39</v>
      </c>
      <c r="X2185" s="2" t="s">
        <v>39</v>
      </c>
      <c r="Y2185" s="2" t="s">
        <v>39</v>
      </c>
      <c r="Z2185" s="2" t="s">
        <v>39</v>
      </c>
      <c r="AA2185" s="2" t="s">
        <v>39</v>
      </c>
      <c r="AB2185" s="2" t="s">
        <v>39</v>
      </c>
      <c r="AC2185" s="2" t="s">
        <v>39</v>
      </c>
      <c r="AD2185" s="2" t="s">
        <v>39</v>
      </c>
      <c r="AE2185" s="2" t="s">
        <v>39</v>
      </c>
    </row>
    <row r="2186" spans="1:31" ht="409.5">
      <c r="A2186" s="2">
        <v>2723228</v>
      </c>
      <c r="B2186" s="2">
        <f>HYPERLINK("https://platform.v2.vetology.net/cases/2723228/screening-report/1?type=pdf&amp;v=v6&amp;scorecard=1&amp;secret_key=BX%25IJ%24%2F65ieZ%29f6", 2723228)</f>
        <v>2723228</v>
      </c>
      <c r="C2186" s="2">
        <f>HYPERLINK("https://platform.v2.vetology.net/report/v/final/"&amp;2723228, 2723228)</f>
        <v>2723228</v>
      </c>
      <c r="D2186" s="2" t="s">
        <v>7035</v>
      </c>
      <c r="E2186" s="2" t="s">
        <v>7036</v>
      </c>
      <c r="F2186" s="2" t="s">
        <v>5055</v>
      </c>
      <c r="G2186" s="2" t="s">
        <v>53</v>
      </c>
      <c r="H2186" s="2" t="s">
        <v>45</v>
      </c>
      <c r="I2186" s="2" t="s">
        <v>46</v>
      </c>
      <c r="J2186" s="2"/>
      <c r="K2186" s="2" t="s">
        <v>39</v>
      </c>
      <c r="L2186" s="2" t="s">
        <v>39</v>
      </c>
      <c r="M2186" s="2" t="s">
        <v>39</v>
      </c>
      <c r="N2186" s="2" t="s">
        <v>39</v>
      </c>
      <c r="O2186" s="2" t="s">
        <v>39</v>
      </c>
      <c r="P2186" s="2" t="s">
        <v>39</v>
      </c>
      <c r="Q2186" s="2" t="s">
        <v>39</v>
      </c>
      <c r="R2186" s="2" t="s">
        <v>38</v>
      </c>
      <c r="S2186" s="2" t="s">
        <v>39</v>
      </c>
      <c r="T2186" s="2" t="s">
        <v>39</v>
      </c>
      <c r="U2186" s="2" t="s">
        <v>39</v>
      </c>
      <c r="V2186" s="2" t="s">
        <v>39</v>
      </c>
      <c r="W2186" s="2" t="s">
        <v>39</v>
      </c>
      <c r="X2186" s="2" t="s">
        <v>39</v>
      </c>
      <c r="Y2186" s="2" t="s">
        <v>39</v>
      </c>
      <c r="Z2186" s="2" t="s">
        <v>39</v>
      </c>
      <c r="AA2186" s="2" t="s">
        <v>39</v>
      </c>
      <c r="AB2186" s="2" t="s">
        <v>39</v>
      </c>
      <c r="AC2186" s="2" t="s">
        <v>38</v>
      </c>
      <c r="AD2186" s="2" t="s">
        <v>38</v>
      </c>
      <c r="AE2186" s="2" t="s">
        <v>39</v>
      </c>
    </row>
    <row r="2187" spans="1:31" ht="409.5">
      <c r="A2187" s="2">
        <v>2723219</v>
      </c>
      <c r="B2187" s="2">
        <f>HYPERLINK("https://platform.v2.vetology.net/cases/2723219/screening-report/1?type=pdf&amp;v=v6&amp;scorecard=1&amp;secret_key=BX%25IJ%24%2F65ieZ%29f6", 2723219)</f>
        <v>2723219</v>
      </c>
      <c r="C2187" s="2">
        <f>HYPERLINK("https://platform.v2.vetology.net/report/v/final/"&amp;2723219, 2723219)</f>
        <v>2723219</v>
      </c>
      <c r="D2187" s="2" t="s">
        <v>7037</v>
      </c>
      <c r="E2187" s="2" t="s">
        <v>7038</v>
      </c>
      <c r="F2187" s="2" t="s">
        <v>7039</v>
      </c>
      <c r="G2187" s="2" t="s">
        <v>53</v>
      </c>
      <c r="H2187" s="2" t="s">
        <v>97</v>
      </c>
      <c r="I2187" s="2" t="s">
        <v>59</v>
      </c>
      <c r="J2187" s="2" t="s">
        <v>37</v>
      </c>
      <c r="K2187" s="2" t="s">
        <v>38</v>
      </c>
      <c r="L2187" s="2" t="s">
        <v>39</v>
      </c>
      <c r="M2187" s="2" t="s">
        <v>39</v>
      </c>
      <c r="N2187" s="2" t="s">
        <v>39</v>
      </c>
      <c r="O2187" s="2" t="s">
        <v>39</v>
      </c>
      <c r="P2187" s="2" t="s">
        <v>39</v>
      </c>
      <c r="Q2187" s="2" t="s">
        <v>39</v>
      </c>
      <c r="R2187" s="2" t="s">
        <v>39</v>
      </c>
      <c r="S2187" s="2" t="s">
        <v>38</v>
      </c>
      <c r="T2187" s="2" t="s">
        <v>38</v>
      </c>
      <c r="U2187" s="2" t="s">
        <v>38</v>
      </c>
      <c r="V2187" s="2" t="s">
        <v>38</v>
      </c>
      <c r="W2187" s="2" t="s">
        <v>38</v>
      </c>
      <c r="X2187" s="2" t="s">
        <v>38</v>
      </c>
      <c r="Y2187" s="2" t="s">
        <v>38</v>
      </c>
      <c r="Z2187" s="2" t="s">
        <v>38</v>
      </c>
      <c r="AA2187" s="2" t="s">
        <v>39</v>
      </c>
      <c r="AB2187" s="2" t="s">
        <v>38</v>
      </c>
      <c r="AC2187" s="2" t="s">
        <v>38</v>
      </c>
      <c r="AD2187" s="2" t="s">
        <v>38</v>
      </c>
      <c r="AE2187" s="2" t="s">
        <v>39</v>
      </c>
    </row>
    <row r="2188" spans="1:31" ht="409.5">
      <c r="A2188" s="2">
        <v>2723209</v>
      </c>
      <c r="B2188" s="2">
        <f>HYPERLINK("https://platform.v2.vetology.net/cases/2723209/screening-report/1?type=pdf&amp;v=v6&amp;scorecard=1&amp;secret_key=BX%25IJ%24%2F65ieZ%29f6", 2723209)</f>
        <v>2723209</v>
      </c>
      <c r="C2188" s="2">
        <f>HYPERLINK("https://platform.v2.vetology.net/report/v/final/"&amp;2723209, 2723209)</f>
        <v>2723209</v>
      </c>
      <c r="D2188" s="2" t="s">
        <v>7040</v>
      </c>
      <c r="E2188" s="2" t="s">
        <v>7041</v>
      </c>
      <c r="F2188" s="2" t="s">
        <v>7042</v>
      </c>
      <c r="G2188" s="2" t="s">
        <v>53</v>
      </c>
      <c r="H2188" s="2" t="s">
        <v>7043</v>
      </c>
      <c r="I2188" s="2" t="s">
        <v>36</v>
      </c>
      <c r="J2188" s="2" t="s">
        <v>37</v>
      </c>
      <c r="K2188" s="2" t="s">
        <v>38</v>
      </c>
      <c r="L2188" s="2" t="s">
        <v>38</v>
      </c>
      <c r="M2188" s="2" t="s">
        <v>38</v>
      </c>
      <c r="N2188" s="2" t="s">
        <v>38</v>
      </c>
      <c r="O2188" s="2" t="s">
        <v>38</v>
      </c>
      <c r="P2188" s="2" t="s">
        <v>38</v>
      </c>
      <c r="Q2188" s="2" t="s">
        <v>39</v>
      </c>
      <c r="R2188" s="2" t="s">
        <v>38</v>
      </c>
      <c r="S2188" s="2" t="s">
        <v>38</v>
      </c>
      <c r="T2188" s="2" t="s">
        <v>38</v>
      </c>
      <c r="U2188" s="2" t="s">
        <v>38</v>
      </c>
      <c r="V2188" s="2" t="s">
        <v>38</v>
      </c>
      <c r="W2188" s="2" t="s">
        <v>38</v>
      </c>
      <c r="X2188" s="2" t="s">
        <v>39</v>
      </c>
      <c r="Y2188" s="2" t="s">
        <v>39</v>
      </c>
      <c r="Z2188" s="2" t="s">
        <v>38</v>
      </c>
      <c r="AA2188" s="2" t="s">
        <v>38</v>
      </c>
      <c r="AB2188" s="2" t="s">
        <v>39</v>
      </c>
      <c r="AC2188" s="2" t="s">
        <v>38</v>
      </c>
      <c r="AD2188" s="2" t="s">
        <v>38</v>
      </c>
      <c r="AE2188" s="2" t="s">
        <v>40</v>
      </c>
    </row>
    <row r="2189" spans="1:31" ht="409.5">
      <c r="A2189" s="2">
        <v>2723171</v>
      </c>
      <c r="B2189" s="2">
        <f>HYPERLINK("https://platform.v2.vetology.net/cases/2723171/screening-report/1?type=pdf&amp;v=v6&amp;scorecard=1&amp;secret_key=BX%25IJ%24%2F65ieZ%29f6", 2723171)</f>
        <v>2723171</v>
      </c>
      <c r="C2189" s="2">
        <f>HYPERLINK("https://platform.v2.vetology.net/report/v/final/"&amp;2723171, 2723171)</f>
        <v>2723171</v>
      </c>
      <c r="D2189" s="2" t="s">
        <v>7044</v>
      </c>
      <c r="E2189" s="2" t="s">
        <v>7045</v>
      </c>
      <c r="F2189" s="2" t="s">
        <v>243</v>
      </c>
      <c r="G2189" s="2" t="s">
        <v>127</v>
      </c>
      <c r="H2189" s="2" t="s">
        <v>7046</v>
      </c>
      <c r="I2189" s="2" t="s">
        <v>73</v>
      </c>
      <c r="J2189" s="2" t="s">
        <v>74</v>
      </c>
      <c r="K2189" s="2" t="s">
        <v>38</v>
      </c>
      <c r="L2189" s="2" t="s">
        <v>38</v>
      </c>
      <c r="M2189" s="2" t="s">
        <v>38</v>
      </c>
      <c r="N2189" s="2" t="s">
        <v>38</v>
      </c>
      <c r="O2189" s="2" t="s">
        <v>38</v>
      </c>
      <c r="P2189" s="2" t="s">
        <v>38</v>
      </c>
      <c r="Q2189" s="2" t="s">
        <v>38</v>
      </c>
      <c r="R2189" s="2" t="s">
        <v>38</v>
      </c>
      <c r="S2189" s="2" t="s">
        <v>38</v>
      </c>
      <c r="T2189" s="2" t="s">
        <v>38</v>
      </c>
      <c r="U2189" s="2" t="s">
        <v>38</v>
      </c>
      <c r="V2189" s="2" t="s">
        <v>38</v>
      </c>
      <c r="W2189" s="2" t="s">
        <v>38</v>
      </c>
      <c r="X2189" s="2" t="s">
        <v>38</v>
      </c>
      <c r="Y2189" s="2" t="s">
        <v>39</v>
      </c>
      <c r="Z2189" s="2" t="s">
        <v>38</v>
      </c>
      <c r="AA2189" s="2" t="s">
        <v>38</v>
      </c>
      <c r="AB2189" s="2" t="s">
        <v>38</v>
      </c>
      <c r="AC2189" s="2" t="s">
        <v>38</v>
      </c>
      <c r="AD2189" s="2" t="s">
        <v>39</v>
      </c>
      <c r="AE2189" s="2" t="s">
        <v>40</v>
      </c>
    </row>
    <row r="2190" spans="1:31" ht="409.5">
      <c r="A2190" s="2">
        <v>2723170</v>
      </c>
      <c r="B2190" s="2">
        <f>HYPERLINK("https://platform.v2.vetology.net/cases/2723170/screening-report/1?type=pdf&amp;v=v6&amp;scorecard=1&amp;secret_key=BX%25IJ%24%2F65ieZ%29f6", 2723170)</f>
        <v>2723170</v>
      </c>
      <c r="C2190" s="2">
        <f>HYPERLINK("https://platform.v2.vetology.net/report/v/final/"&amp;2723170, 2723170)</f>
        <v>2723170</v>
      </c>
      <c r="D2190" s="2" t="s">
        <v>7047</v>
      </c>
      <c r="E2190" s="2" t="s">
        <v>7048</v>
      </c>
      <c r="F2190" s="2"/>
      <c r="G2190" s="2" t="s">
        <v>81</v>
      </c>
      <c r="H2190" s="2" t="s">
        <v>7049</v>
      </c>
      <c r="I2190" s="2" t="s">
        <v>73</v>
      </c>
      <c r="J2190" s="2" t="s">
        <v>74</v>
      </c>
      <c r="K2190" s="2" t="s">
        <v>38</v>
      </c>
      <c r="L2190" s="2" t="s">
        <v>38</v>
      </c>
      <c r="M2190" s="2" t="s">
        <v>38</v>
      </c>
      <c r="N2190" s="2" t="s">
        <v>38</v>
      </c>
      <c r="O2190" s="2" t="s">
        <v>38</v>
      </c>
      <c r="P2190" s="2" t="s">
        <v>38</v>
      </c>
      <c r="Q2190" s="2" t="s">
        <v>38</v>
      </c>
      <c r="R2190" s="2" t="s">
        <v>39</v>
      </c>
      <c r="S2190" s="2" t="s">
        <v>38</v>
      </c>
      <c r="T2190" s="2" t="s">
        <v>38</v>
      </c>
      <c r="U2190" s="2" t="s">
        <v>38</v>
      </c>
      <c r="V2190" s="2" t="s">
        <v>38</v>
      </c>
      <c r="W2190" s="2" t="s">
        <v>38</v>
      </c>
      <c r="X2190" s="2" t="s">
        <v>38</v>
      </c>
      <c r="Y2190" s="2" t="s">
        <v>38</v>
      </c>
      <c r="Z2190" s="2" t="s">
        <v>38</v>
      </c>
      <c r="AA2190" s="2" t="s">
        <v>38</v>
      </c>
      <c r="AB2190" s="2" t="s">
        <v>38</v>
      </c>
      <c r="AC2190" s="2" t="s">
        <v>38</v>
      </c>
      <c r="AD2190" s="2" t="s">
        <v>38</v>
      </c>
      <c r="AE2190" s="2" t="s">
        <v>40</v>
      </c>
    </row>
    <row r="2191" spans="1:31" ht="409.5">
      <c r="A2191" s="2">
        <v>2723155</v>
      </c>
      <c r="B2191" s="2">
        <f>HYPERLINK("https://platform.v2.vetology.net/cases/2723155/screening-report/1?type=pdf&amp;v=v6&amp;scorecard=1&amp;secret_key=BX%25IJ%24%2F65ieZ%29f6", 2723155)</f>
        <v>2723155</v>
      </c>
      <c r="C2191" s="2">
        <f>HYPERLINK("https://platform.v2.vetology.net/report/v/final/"&amp;2723155, 2723155)</f>
        <v>2723155</v>
      </c>
      <c r="D2191" s="2" t="s">
        <v>7050</v>
      </c>
      <c r="E2191" s="2" t="s">
        <v>7051</v>
      </c>
      <c r="F2191" s="2" t="s">
        <v>43</v>
      </c>
      <c r="G2191" s="2" t="s">
        <v>44</v>
      </c>
      <c r="H2191" s="2" t="s">
        <v>45</v>
      </c>
      <c r="I2191" s="2" t="s">
        <v>46</v>
      </c>
      <c r="J2191" s="2"/>
      <c r="K2191" s="2" t="s">
        <v>39</v>
      </c>
      <c r="L2191" s="2" t="s">
        <v>39</v>
      </c>
      <c r="M2191" s="2" t="s">
        <v>39</v>
      </c>
      <c r="N2191" s="2" t="s">
        <v>39</v>
      </c>
      <c r="O2191" s="2" t="s">
        <v>39</v>
      </c>
      <c r="P2191" s="2" t="s">
        <v>39</v>
      </c>
      <c r="Q2191" s="2" t="s">
        <v>39</v>
      </c>
      <c r="R2191" s="2" t="s">
        <v>38</v>
      </c>
      <c r="S2191" s="2" t="s">
        <v>39</v>
      </c>
      <c r="T2191" s="2" t="s">
        <v>39</v>
      </c>
      <c r="U2191" s="2" t="s">
        <v>39</v>
      </c>
      <c r="V2191" s="2" t="s">
        <v>39</v>
      </c>
      <c r="W2191" s="2" t="s">
        <v>39</v>
      </c>
      <c r="X2191" s="2" t="s">
        <v>39</v>
      </c>
      <c r="Y2191" s="2" t="s">
        <v>39</v>
      </c>
      <c r="Z2191" s="2" t="s">
        <v>39</v>
      </c>
      <c r="AA2191" s="2" t="s">
        <v>39</v>
      </c>
      <c r="AB2191" s="2" t="s">
        <v>39</v>
      </c>
      <c r="AC2191" s="2" t="s">
        <v>38</v>
      </c>
      <c r="AD2191" s="2" t="s">
        <v>38</v>
      </c>
      <c r="AE2191" s="2"/>
    </row>
    <row r="2192" spans="1:31" ht="409.5">
      <c r="A2192" s="2">
        <v>2723151</v>
      </c>
      <c r="B2192" s="2">
        <f>HYPERLINK("https://platform.v2.vetology.net/cases/2723151/screening-report/1?type=pdf&amp;v=v6&amp;scorecard=1&amp;secret_key=BX%25IJ%24%2F65ieZ%29f6", 2723151)</f>
        <v>2723151</v>
      </c>
      <c r="C2192" s="2">
        <f>HYPERLINK("https://platform.v2.vetology.net/report/v/final/"&amp;2723151, 2723151)</f>
        <v>2723151</v>
      </c>
      <c r="D2192" s="2" t="s">
        <v>7052</v>
      </c>
      <c r="E2192" s="2" t="s">
        <v>7053</v>
      </c>
      <c r="F2192" s="2" t="s">
        <v>7054</v>
      </c>
      <c r="G2192" s="2" t="s">
        <v>53</v>
      </c>
      <c r="H2192" s="2" t="s">
        <v>2647</v>
      </c>
      <c r="I2192" s="2" t="s">
        <v>36</v>
      </c>
      <c r="J2192" s="2" t="s">
        <v>37</v>
      </c>
      <c r="K2192" s="2" t="s">
        <v>38</v>
      </c>
      <c r="L2192" s="2" t="s">
        <v>39</v>
      </c>
      <c r="M2192" s="2" t="s">
        <v>38</v>
      </c>
      <c r="N2192" s="2" t="s">
        <v>38</v>
      </c>
      <c r="O2192" s="2" t="s">
        <v>38</v>
      </c>
      <c r="P2192" s="2" t="s">
        <v>39</v>
      </c>
      <c r="Q2192" s="2" t="s">
        <v>39</v>
      </c>
      <c r="R2192" s="2" t="s">
        <v>38</v>
      </c>
      <c r="S2192" s="2" t="s">
        <v>39</v>
      </c>
      <c r="T2192" s="2" t="s">
        <v>38</v>
      </c>
      <c r="U2192" s="2" t="s">
        <v>38</v>
      </c>
      <c r="V2192" s="2" t="s">
        <v>38</v>
      </c>
      <c r="W2192" s="2" t="s">
        <v>38</v>
      </c>
      <c r="X2192" s="2" t="s">
        <v>39</v>
      </c>
      <c r="Y2192" s="2" t="s">
        <v>39</v>
      </c>
      <c r="Z2192" s="2" t="s">
        <v>38</v>
      </c>
      <c r="AA2192" s="2" t="s">
        <v>38</v>
      </c>
      <c r="AB2192" s="2" t="s">
        <v>39</v>
      </c>
      <c r="AC2192" s="2" t="s">
        <v>38</v>
      </c>
      <c r="AD2192" s="2" t="s">
        <v>38</v>
      </c>
      <c r="AE2192" s="2" t="s">
        <v>39</v>
      </c>
    </row>
    <row r="2193" spans="1:31" ht="409.5">
      <c r="A2193" s="2">
        <v>2723144</v>
      </c>
      <c r="B2193" s="2">
        <f>HYPERLINK("https://platform.v2.vetology.net/cases/2723144/screening-report/1?type=pdf&amp;v=v6&amp;scorecard=1&amp;secret_key=BX%25IJ%24%2F65ieZ%29f6", 2723144)</f>
        <v>2723144</v>
      </c>
      <c r="C2193" s="2">
        <f>HYPERLINK("https://platform.v2.vetology.net/report/v/final/"&amp;2723144, 2723144)</f>
        <v>2723144</v>
      </c>
      <c r="D2193" s="2" t="s">
        <v>7055</v>
      </c>
      <c r="E2193" s="2" t="s">
        <v>7056</v>
      </c>
      <c r="F2193" s="2" t="s">
        <v>294</v>
      </c>
      <c r="G2193" s="2" t="s">
        <v>170</v>
      </c>
      <c r="H2193" s="2" t="s">
        <v>1434</v>
      </c>
      <c r="I2193" s="2" t="s">
        <v>36</v>
      </c>
      <c r="J2193" s="2" t="s">
        <v>37</v>
      </c>
      <c r="K2193" s="2" t="s">
        <v>38</v>
      </c>
      <c r="L2193" s="2" t="s">
        <v>38</v>
      </c>
      <c r="M2193" s="2" t="s">
        <v>38</v>
      </c>
      <c r="N2193" s="2" t="s">
        <v>38</v>
      </c>
      <c r="O2193" s="2" t="s">
        <v>38</v>
      </c>
      <c r="P2193" s="2" t="s">
        <v>39</v>
      </c>
      <c r="Q2193" s="2" t="s">
        <v>39</v>
      </c>
      <c r="R2193" s="2" t="s">
        <v>38</v>
      </c>
      <c r="S2193" s="2" t="s">
        <v>38</v>
      </c>
      <c r="T2193" s="2" t="s">
        <v>38</v>
      </c>
      <c r="U2193" s="2" t="s">
        <v>38</v>
      </c>
      <c r="V2193" s="2" t="s">
        <v>38</v>
      </c>
      <c r="W2193" s="2" t="s">
        <v>38</v>
      </c>
      <c r="X2193" s="2" t="s">
        <v>39</v>
      </c>
      <c r="Y2193" s="2" t="s">
        <v>38</v>
      </c>
      <c r="Z2193" s="2" t="s">
        <v>38</v>
      </c>
      <c r="AA2193" s="2" t="s">
        <v>38</v>
      </c>
      <c r="AB2193" s="2" t="s">
        <v>39</v>
      </c>
      <c r="AC2193" s="2" t="s">
        <v>38</v>
      </c>
      <c r="AD2193" s="2" t="s">
        <v>38</v>
      </c>
      <c r="AE2193" s="2" t="s">
        <v>39</v>
      </c>
    </row>
    <row r="2194" spans="1:31" ht="409.5">
      <c r="A2194" s="2">
        <v>2723136</v>
      </c>
      <c r="B2194" s="2">
        <f>HYPERLINK("https://platform.v2.vetology.net/cases/2723136/screening-report/1?type=pdf&amp;v=v6&amp;scorecard=1&amp;secret_key=BX%25IJ%24%2F65ieZ%29f6", 2723136)</f>
        <v>2723136</v>
      </c>
      <c r="C2194" s="2">
        <f>HYPERLINK("https://platform.v2.vetology.net/report/v/final/"&amp;2723136, 2723136)</f>
        <v>2723136</v>
      </c>
      <c r="D2194" s="2" t="s">
        <v>7057</v>
      </c>
      <c r="E2194" s="2" t="s">
        <v>7058</v>
      </c>
      <c r="F2194" s="2" t="s">
        <v>7059</v>
      </c>
      <c r="G2194" s="2" t="s">
        <v>127</v>
      </c>
      <c r="H2194" s="2" t="s">
        <v>419</v>
      </c>
      <c r="I2194" s="2" t="s">
        <v>36</v>
      </c>
      <c r="J2194" s="2" t="s">
        <v>37</v>
      </c>
      <c r="K2194" s="2" t="s">
        <v>39</v>
      </c>
      <c r="L2194" s="2" t="s">
        <v>39</v>
      </c>
      <c r="M2194" s="2" t="s">
        <v>38</v>
      </c>
      <c r="N2194" s="2" t="s">
        <v>39</v>
      </c>
      <c r="O2194" s="2" t="s">
        <v>39</v>
      </c>
      <c r="P2194" s="2" t="s">
        <v>39</v>
      </c>
      <c r="Q2194" s="2" t="s">
        <v>39</v>
      </c>
      <c r="R2194" s="2" t="s">
        <v>38</v>
      </c>
      <c r="S2194" s="2" t="s">
        <v>39</v>
      </c>
      <c r="T2194" s="2" t="s">
        <v>38</v>
      </c>
      <c r="U2194" s="2" t="s">
        <v>39</v>
      </c>
      <c r="V2194" s="2" t="s">
        <v>39</v>
      </c>
      <c r="W2194" s="2" t="s">
        <v>38</v>
      </c>
      <c r="X2194" s="2" t="s">
        <v>39</v>
      </c>
      <c r="Y2194" s="2" t="s">
        <v>39</v>
      </c>
      <c r="Z2194" s="2" t="s">
        <v>38</v>
      </c>
      <c r="AA2194" s="2" t="s">
        <v>39</v>
      </c>
      <c r="AB2194" s="2" t="s">
        <v>39</v>
      </c>
      <c r="AC2194" s="2" t="s">
        <v>39</v>
      </c>
      <c r="AD2194" s="2" t="s">
        <v>38</v>
      </c>
      <c r="AE2194" s="2" t="s">
        <v>39</v>
      </c>
    </row>
    <row r="2195" spans="1:31" ht="409.5">
      <c r="A2195" s="2">
        <v>2723089</v>
      </c>
      <c r="B2195" s="2">
        <f>HYPERLINK("https://platform.v2.vetology.net/cases/2723089/screening-report/1?type=pdf&amp;v=v6&amp;scorecard=1&amp;secret_key=BX%25IJ%24%2F65ieZ%29f6", 2723089)</f>
        <v>2723089</v>
      </c>
      <c r="C2195" s="2">
        <f>HYPERLINK("https://platform.v2.vetology.net/report/v/final/"&amp;2723089, 2723089)</f>
        <v>2723089</v>
      </c>
      <c r="D2195" s="2" t="s">
        <v>7060</v>
      </c>
      <c r="E2195" s="2" t="s">
        <v>7061</v>
      </c>
      <c r="F2195" s="2" t="s">
        <v>7062</v>
      </c>
      <c r="G2195" s="2" t="s">
        <v>170</v>
      </c>
      <c r="H2195" s="2" t="s">
        <v>7063</v>
      </c>
      <c r="I2195" s="2" t="s">
        <v>73</v>
      </c>
      <c r="J2195" s="2" t="s">
        <v>74</v>
      </c>
      <c r="K2195" s="2" t="s">
        <v>38</v>
      </c>
      <c r="L2195" s="2" t="s">
        <v>38</v>
      </c>
      <c r="M2195" s="2" t="s">
        <v>38</v>
      </c>
      <c r="N2195" s="2" t="s">
        <v>38</v>
      </c>
      <c r="O2195" s="2" t="s">
        <v>38</v>
      </c>
      <c r="P2195" s="2" t="s">
        <v>38</v>
      </c>
      <c r="Q2195" s="2" t="s">
        <v>38</v>
      </c>
      <c r="R2195" s="2" t="s">
        <v>38</v>
      </c>
      <c r="S2195" s="2" t="s">
        <v>38</v>
      </c>
      <c r="T2195" s="2" t="s">
        <v>38</v>
      </c>
      <c r="U2195" s="2" t="s">
        <v>38</v>
      </c>
      <c r="V2195" s="2" t="s">
        <v>38</v>
      </c>
      <c r="W2195" s="2" t="s">
        <v>38</v>
      </c>
      <c r="X2195" s="2" t="s">
        <v>38</v>
      </c>
      <c r="Y2195" s="2" t="s">
        <v>38</v>
      </c>
      <c r="Z2195" s="2" t="s">
        <v>38</v>
      </c>
      <c r="AA2195" s="2" t="s">
        <v>38</v>
      </c>
      <c r="AB2195" s="2" t="s">
        <v>38</v>
      </c>
      <c r="AC2195" s="2" t="s">
        <v>38</v>
      </c>
      <c r="AD2195" s="2" t="s">
        <v>38</v>
      </c>
      <c r="AE2195" s="2" t="s">
        <v>40</v>
      </c>
    </row>
    <row r="2196" spans="1:31" ht="409.5">
      <c r="A2196" s="2">
        <v>2723056</v>
      </c>
      <c r="B2196" s="2">
        <f>HYPERLINK("https://platform.v2.vetology.net/cases/2723056/screening-report/1?type=pdf&amp;v=v6&amp;scorecard=1&amp;secret_key=BX%25IJ%24%2F65ieZ%29f6", 2723056)</f>
        <v>2723056</v>
      </c>
      <c r="C2196" s="2">
        <f>HYPERLINK("https://platform.v2.vetology.net/report/v/final/"&amp;2723056, 2723056)</f>
        <v>2723056</v>
      </c>
      <c r="D2196" s="2" t="s">
        <v>7064</v>
      </c>
      <c r="E2196" s="2" t="s">
        <v>7065</v>
      </c>
      <c r="F2196" s="2"/>
      <c r="G2196" s="2" t="s">
        <v>507</v>
      </c>
      <c r="H2196" s="2" t="s">
        <v>7066</v>
      </c>
      <c r="I2196" s="2" t="s">
        <v>73</v>
      </c>
      <c r="J2196" s="2" t="s">
        <v>74</v>
      </c>
      <c r="K2196" s="2" t="s">
        <v>38</v>
      </c>
      <c r="L2196" s="2" t="s">
        <v>38</v>
      </c>
      <c r="M2196" s="2" t="s">
        <v>38</v>
      </c>
      <c r="N2196" s="2" t="s">
        <v>39</v>
      </c>
      <c r="O2196" s="2" t="s">
        <v>38</v>
      </c>
      <c r="P2196" s="2" t="s">
        <v>38</v>
      </c>
      <c r="Q2196" s="2" t="s">
        <v>38</v>
      </c>
      <c r="R2196" s="2" t="s">
        <v>39</v>
      </c>
      <c r="S2196" s="2" t="s">
        <v>38</v>
      </c>
      <c r="T2196" s="2" t="s">
        <v>38</v>
      </c>
      <c r="U2196" s="2" t="s">
        <v>38</v>
      </c>
      <c r="V2196" s="2" t="s">
        <v>38</v>
      </c>
      <c r="W2196" s="2" t="s">
        <v>38</v>
      </c>
      <c r="X2196" s="2" t="s">
        <v>38</v>
      </c>
      <c r="Y2196" s="2" t="s">
        <v>39</v>
      </c>
      <c r="Z2196" s="2" t="s">
        <v>38</v>
      </c>
      <c r="AA2196" s="2" t="s">
        <v>38</v>
      </c>
      <c r="AB2196" s="2" t="s">
        <v>38</v>
      </c>
      <c r="AC2196" s="2" t="s">
        <v>38</v>
      </c>
      <c r="AD2196" s="2" t="s">
        <v>39</v>
      </c>
      <c r="AE2196" s="2" t="s">
        <v>39</v>
      </c>
    </row>
    <row r="2197" spans="1:31" ht="409.5">
      <c r="A2197" s="2">
        <v>2723050</v>
      </c>
      <c r="B2197" s="2">
        <f>HYPERLINK("https://platform.v2.vetology.net/cases/2723050/screening-report/1?type=pdf&amp;v=v6&amp;scorecard=1&amp;secret_key=BX%25IJ%24%2F65ieZ%29f6", 2723050)</f>
        <v>2723050</v>
      </c>
      <c r="C2197" s="2">
        <f>HYPERLINK("https://platform.v2.vetology.net/report/v/final/"&amp;2723050, 2723050)</f>
        <v>2723050</v>
      </c>
      <c r="D2197" s="2" t="s">
        <v>7067</v>
      </c>
      <c r="E2197" s="2" t="s">
        <v>7068</v>
      </c>
      <c r="F2197" s="2"/>
      <c r="G2197" s="2" t="s">
        <v>100</v>
      </c>
      <c r="H2197" s="2" t="s">
        <v>947</v>
      </c>
      <c r="I2197" s="2" t="s">
        <v>59</v>
      </c>
      <c r="J2197" s="2" t="s">
        <v>37</v>
      </c>
      <c r="K2197" s="2" t="s">
        <v>38</v>
      </c>
      <c r="L2197" s="2" t="s">
        <v>39</v>
      </c>
      <c r="M2197" s="2" t="s">
        <v>39</v>
      </c>
      <c r="N2197" s="2" t="s">
        <v>39</v>
      </c>
      <c r="O2197" s="2" t="s">
        <v>39</v>
      </c>
      <c r="P2197" s="2" t="s">
        <v>39</v>
      </c>
      <c r="Q2197" s="2" t="s">
        <v>39</v>
      </c>
      <c r="R2197" s="2" t="s">
        <v>38</v>
      </c>
      <c r="S2197" s="2" t="s">
        <v>38</v>
      </c>
      <c r="T2197" s="2" t="s">
        <v>39</v>
      </c>
      <c r="U2197" s="2" t="s">
        <v>38</v>
      </c>
      <c r="V2197" s="2" t="s">
        <v>38</v>
      </c>
      <c r="W2197" s="2" t="s">
        <v>38</v>
      </c>
      <c r="X2197" s="2" t="s">
        <v>39</v>
      </c>
      <c r="Y2197" s="2" t="s">
        <v>39</v>
      </c>
      <c r="Z2197" s="2" t="s">
        <v>38</v>
      </c>
      <c r="AA2197" s="2" t="s">
        <v>38</v>
      </c>
      <c r="AB2197" s="2" t="s">
        <v>39</v>
      </c>
      <c r="AC2197" s="2" t="s">
        <v>38</v>
      </c>
      <c r="AD2197" s="2" t="s">
        <v>38</v>
      </c>
      <c r="AE2197" s="2" t="s">
        <v>39</v>
      </c>
    </row>
    <row r="2198" spans="1:31" ht="409.5">
      <c r="A2198" s="2">
        <v>2723029</v>
      </c>
      <c r="B2198" s="2">
        <f>HYPERLINK("https://platform.v2.vetology.net/cases/2723029/screening-report/1?type=pdf&amp;v=v6&amp;scorecard=1&amp;secret_key=BX%25IJ%24%2F65ieZ%29f6", 2723029)</f>
        <v>2723029</v>
      </c>
      <c r="C2198" s="2">
        <f>HYPERLINK("https://platform.v2.vetology.net/report/v/final/"&amp;2723029, 2723029)</f>
        <v>2723029</v>
      </c>
      <c r="D2198" s="2" t="s">
        <v>7069</v>
      </c>
      <c r="E2198" s="2" t="s">
        <v>7070</v>
      </c>
      <c r="F2198" s="2" t="s">
        <v>7071</v>
      </c>
      <c r="G2198" s="2" t="s">
        <v>53</v>
      </c>
      <c r="H2198" s="2" t="s">
        <v>7072</v>
      </c>
      <c r="I2198" s="2" t="s">
        <v>36</v>
      </c>
      <c r="J2198" s="2" t="s">
        <v>37</v>
      </c>
      <c r="K2198" s="2" t="s">
        <v>38</v>
      </c>
      <c r="L2198" s="2" t="s">
        <v>39</v>
      </c>
      <c r="M2198" s="2" t="s">
        <v>38</v>
      </c>
      <c r="N2198" s="2" t="s">
        <v>38</v>
      </c>
      <c r="O2198" s="2" t="s">
        <v>39</v>
      </c>
      <c r="P2198" s="2" t="s">
        <v>39</v>
      </c>
      <c r="Q2198" s="2" t="s">
        <v>39</v>
      </c>
      <c r="R2198" s="2" t="s">
        <v>39</v>
      </c>
      <c r="S2198" s="2" t="s">
        <v>39</v>
      </c>
      <c r="T2198" s="2" t="s">
        <v>39</v>
      </c>
      <c r="U2198" s="2" t="s">
        <v>38</v>
      </c>
      <c r="V2198" s="2" t="s">
        <v>38</v>
      </c>
      <c r="W2198" s="2" t="s">
        <v>39</v>
      </c>
      <c r="X2198" s="2" t="s">
        <v>39</v>
      </c>
      <c r="Y2198" s="2" t="s">
        <v>39</v>
      </c>
      <c r="Z2198" s="2" t="s">
        <v>38</v>
      </c>
      <c r="AA2198" s="2" t="s">
        <v>38</v>
      </c>
      <c r="AB2198" s="2" t="s">
        <v>39</v>
      </c>
      <c r="AC2198" s="2" t="s">
        <v>38</v>
      </c>
      <c r="AD2198" s="2" t="s">
        <v>39</v>
      </c>
      <c r="AE2198" s="2" t="s">
        <v>39</v>
      </c>
    </row>
    <row r="2199" spans="1:31" ht="409.5">
      <c r="A2199" s="2">
        <v>2722914</v>
      </c>
      <c r="B2199" s="2">
        <f>HYPERLINK("https://platform.v2.vetology.net/cases/2722914/screening-report/1?type=pdf&amp;v=v6&amp;scorecard=1&amp;secret_key=BX%25IJ%24%2F65ieZ%29f6", 2722914)</f>
        <v>2722914</v>
      </c>
      <c r="C2199" s="2">
        <f>HYPERLINK("https://platform.v2.vetology.net/report/v/final/"&amp;2722914, 2722914)</f>
        <v>2722914</v>
      </c>
      <c r="D2199" s="2" t="s">
        <v>7073</v>
      </c>
      <c r="E2199" s="2" t="s">
        <v>7074</v>
      </c>
      <c r="F2199" s="2" t="s">
        <v>43</v>
      </c>
      <c r="G2199" s="2" t="s">
        <v>44</v>
      </c>
      <c r="H2199" s="2" t="s">
        <v>6692</v>
      </c>
      <c r="I2199" s="2" t="s">
        <v>36</v>
      </c>
      <c r="J2199" s="2" t="s">
        <v>37</v>
      </c>
      <c r="K2199" s="2" t="s">
        <v>38</v>
      </c>
      <c r="L2199" s="2" t="s">
        <v>39</v>
      </c>
      <c r="M2199" s="2" t="s">
        <v>38</v>
      </c>
      <c r="N2199" s="2" t="s">
        <v>38</v>
      </c>
      <c r="O2199" s="2" t="s">
        <v>38</v>
      </c>
      <c r="P2199" s="2" t="s">
        <v>39</v>
      </c>
      <c r="Q2199" s="2" t="s">
        <v>39</v>
      </c>
      <c r="R2199" s="2" t="s">
        <v>38</v>
      </c>
      <c r="S2199" s="2" t="s">
        <v>38</v>
      </c>
      <c r="T2199" s="2" t="s">
        <v>39</v>
      </c>
      <c r="U2199" s="2" t="s">
        <v>39</v>
      </c>
      <c r="V2199" s="2" t="s">
        <v>39</v>
      </c>
      <c r="W2199" s="2" t="s">
        <v>38</v>
      </c>
      <c r="X2199" s="2" t="s">
        <v>39</v>
      </c>
      <c r="Y2199" s="2" t="s">
        <v>38</v>
      </c>
      <c r="Z2199" s="2" t="s">
        <v>38</v>
      </c>
      <c r="AA2199" s="2" t="s">
        <v>39</v>
      </c>
      <c r="AB2199" s="2" t="s">
        <v>39</v>
      </c>
      <c r="AC2199" s="2" t="s">
        <v>38</v>
      </c>
      <c r="AD2199" s="2" t="s">
        <v>38</v>
      </c>
      <c r="AE2199" s="2" t="s">
        <v>39</v>
      </c>
    </row>
    <row r="2200" spans="1:31" ht="409.5">
      <c r="A2200" s="2">
        <v>2722872</v>
      </c>
      <c r="B2200" s="2">
        <f>HYPERLINK("https://platform.v2.vetology.net/cases/2722872/screening-report/1?type=pdf&amp;v=v6&amp;scorecard=1&amp;secret_key=BX%25IJ%24%2F65ieZ%29f6", 2722872)</f>
        <v>2722872</v>
      </c>
      <c r="C2200" s="2">
        <f>HYPERLINK("https://platform.v2.vetology.net/report/v/final/"&amp;2722872, 2722872)</f>
        <v>2722872</v>
      </c>
      <c r="D2200" s="2" t="s">
        <v>7075</v>
      </c>
      <c r="E2200" s="2" t="s">
        <v>7076</v>
      </c>
      <c r="F2200" s="2" t="s">
        <v>7077</v>
      </c>
      <c r="G2200" s="2" t="s">
        <v>170</v>
      </c>
      <c r="H2200" s="2" t="s">
        <v>69</v>
      </c>
      <c r="I2200" s="2" t="s">
        <v>46</v>
      </c>
      <c r="J2200" s="2"/>
      <c r="K2200" s="2" t="s">
        <v>39</v>
      </c>
      <c r="L2200" s="2" t="s">
        <v>39</v>
      </c>
      <c r="M2200" s="2" t="s">
        <v>39</v>
      </c>
      <c r="N2200" s="2" t="s">
        <v>39</v>
      </c>
      <c r="O2200" s="2" t="s">
        <v>39</v>
      </c>
      <c r="P2200" s="2" t="s">
        <v>39</v>
      </c>
      <c r="Q2200" s="2" t="s">
        <v>39</v>
      </c>
      <c r="R2200" s="2" t="s">
        <v>39</v>
      </c>
      <c r="S2200" s="2" t="s">
        <v>39</v>
      </c>
      <c r="T2200" s="2" t="s">
        <v>39</v>
      </c>
      <c r="U2200" s="2" t="s">
        <v>39</v>
      </c>
      <c r="V2200" s="2" t="s">
        <v>39</v>
      </c>
      <c r="W2200" s="2" t="s">
        <v>39</v>
      </c>
      <c r="X2200" s="2" t="s">
        <v>39</v>
      </c>
      <c r="Y2200" s="2" t="s">
        <v>39</v>
      </c>
      <c r="Z2200" s="2" t="s">
        <v>39</v>
      </c>
      <c r="AA2200" s="2" t="s">
        <v>39</v>
      </c>
      <c r="AB2200" s="2" t="s">
        <v>39</v>
      </c>
      <c r="AC2200" s="2" t="s">
        <v>39</v>
      </c>
      <c r="AD2200" s="2" t="s">
        <v>38</v>
      </c>
      <c r="AE2200" s="2" t="s">
        <v>39</v>
      </c>
    </row>
    <row r="2201" spans="1:31" ht="409.5">
      <c r="A2201" s="2">
        <v>2722840</v>
      </c>
      <c r="B2201" s="2">
        <f>HYPERLINK("https://platform.v2.vetology.net/cases/2722840/screening-report/1?type=pdf&amp;v=v6&amp;scorecard=1&amp;secret_key=BX%25IJ%24%2F65ieZ%29f6", 2722840)</f>
        <v>2722840</v>
      </c>
      <c r="C2201" s="2">
        <f>HYPERLINK("https://platform.v2.vetology.net/report/v/final/"&amp;2722840, 2722840)</f>
        <v>2722840</v>
      </c>
      <c r="D2201" s="2" t="s">
        <v>7078</v>
      </c>
      <c r="E2201" s="2" t="s">
        <v>7079</v>
      </c>
      <c r="F2201" s="2" t="s">
        <v>7080</v>
      </c>
      <c r="G2201" s="2" t="s">
        <v>170</v>
      </c>
      <c r="H2201" s="2" t="s">
        <v>69</v>
      </c>
      <c r="I2201" s="2" t="s">
        <v>46</v>
      </c>
      <c r="J2201" s="2"/>
      <c r="K2201" s="2" t="s">
        <v>39</v>
      </c>
      <c r="L2201" s="2" t="s">
        <v>39</v>
      </c>
      <c r="M2201" s="2" t="s">
        <v>39</v>
      </c>
      <c r="N2201" s="2" t="s">
        <v>39</v>
      </c>
      <c r="O2201" s="2" t="s">
        <v>39</v>
      </c>
      <c r="P2201" s="2" t="s">
        <v>39</v>
      </c>
      <c r="Q2201" s="2" t="s">
        <v>39</v>
      </c>
      <c r="R2201" s="2" t="s">
        <v>39</v>
      </c>
      <c r="S2201" s="2" t="s">
        <v>39</v>
      </c>
      <c r="T2201" s="2" t="s">
        <v>39</v>
      </c>
      <c r="U2201" s="2" t="s">
        <v>39</v>
      </c>
      <c r="V2201" s="2" t="s">
        <v>39</v>
      </c>
      <c r="W2201" s="2" t="s">
        <v>39</v>
      </c>
      <c r="X2201" s="2" t="s">
        <v>39</v>
      </c>
      <c r="Y2201" s="2" t="s">
        <v>39</v>
      </c>
      <c r="Z2201" s="2" t="s">
        <v>39</v>
      </c>
      <c r="AA2201" s="2" t="s">
        <v>39</v>
      </c>
      <c r="AB2201" s="2" t="s">
        <v>39</v>
      </c>
      <c r="AC2201" s="2" t="s">
        <v>39</v>
      </c>
      <c r="AD2201" s="2" t="s">
        <v>39</v>
      </c>
      <c r="AE2201" s="2" t="s">
        <v>39</v>
      </c>
    </row>
    <row r="2202" spans="1:31" ht="409.5">
      <c r="A2202" s="2">
        <v>2722821</v>
      </c>
      <c r="B2202" s="2">
        <f>HYPERLINK("https://platform.v2.vetology.net/cases/2722821/screening-report/1?type=pdf&amp;v=v6&amp;scorecard=1&amp;secret_key=BX%25IJ%24%2F65ieZ%29f6", 2722821)</f>
        <v>2722821</v>
      </c>
      <c r="C2202" s="2">
        <f>HYPERLINK("https://platform.v2.vetology.net/report/v/final/"&amp;2722821, 2722821)</f>
        <v>2722821</v>
      </c>
      <c r="D2202" s="2" t="s">
        <v>7081</v>
      </c>
      <c r="E2202" s="2" t="s">
        <v>7082</v>
      </c>
      <c r="F2202" s="2" t="s">
        <v>7083</v>
      </c>
      <c r="G2202" s="2" t="s">
        <v>53</v>
      </c>
      <c r="H2202" s="2" t="s">
        <v>2195</v>
      </c>
      <c r="I2202" s="2" t="s">
        <v>46</v>
      </c>
      <c r="J2202" s="2"/>
      <c r="K2202" s="2" t="s">
        <v>39</v>
      </c>
      <c r="L2202" s="2" t="s">
        <v>38</v>
      </c>
      <c r="M2202" s="2" t="s">
        <v>39</v>
      </c>
      <c r="N2202" s="2" t="s">
        <v>39</v>
      </c>
      <c r="O2202" s="2" t="s">
        <v>39</v>
      </c>
      <c r="P2202" s="2" t="s">
        <v>39</v>
      </c>
      <c r="Q2202" s="2" t="s">
        <v>39</v>
      </c>
      <c r="R2202" s="2" t="s">
        <v>38</v>
      </c>
      <c r="S2202" s="2" t="s">
        <v>38</v>
      </c>
      <c r="T2202" s="2" t="s">
        <v>39</v>
      </c>
      <c r="U2202" s="2" t="s">
        <v>39</v>
      </c>
      <c r="V2202" s="2" t="s">
        <v>39</v>
      </c>
      <c r="W2202" s="2" t="s">
        <v>38</v>
      </c>
      <c r="X2202" s="2" t="s">
        <v>39</v>
      </c>
      <c r="Y2202" s="2" t="s">
        <v>39</v>
      </c>
      <c r="Z2202" s="2" t="s">
        <v>38</v>
      </c>
      <c r="AA2202" s="2" t="s">
        <v>39</v>
      </c>
      <c r="AB2202" s="2" t="s">
        <v>39</v>
      </c>
      <c r="AC2202" s="2" t="s">
        <v>38</v>
      </c>
      <c r="AD2202" s="2" t="s">
        <v>38</v>
      </c>
      <c r="AE2202" s="2" t="s">
        <v>39</v>
      </c>
    </row>
    <row r="2203" spans="1:31" ht="409.5">
      <c r="A2203" s="2">
        <v>2722714</v>
      </c>
      <c r="B2203" s="2">
        <f>HYPERLINK("https://platform.v2.vetology.net/cases/2722714/screening-report/1?type=pdf&amp;v=v6&amp;scorecard=1&amp;secret_key=BX%25IJ%24%2F65ieZ%29f6", 2722714)</f>
        <v>2722714</v>
      </c>
      <c r="C2203" s="2">
        <f>HYPERLINK("https://platform.v2.vetology.net/report/v/final/"&amp;2722714, 2722714)</f>
        <v>2722714</v>
      </c>
      <c r="D2203" s="2" t="s">
        <v>7084</v>
      </c>
      <c r="E2203" s="2" t="s">
        <v>7085</v>
      </c>
      <c r="F2203" s="2" t="s">
        <v>7086</v>
      </c>
      <c r="G2203" s="2" t="s">
        <v>34</v>
      </c>
      <c r="H2203" s="2" t="s">
        <v>7087</v>
      </c>
      <c r="I2203" s="2" t="s">
        <v>129</v>
      </c>
      <c r="J2203" s="2" t="s">
        <v>74</v>
      </c>
      <c r="K2203" s="2" t="s">
        <v>38</v>
      </c>
      <c r="L2203" s="2" t="s">
        <v>39</v>
      </c>
      <c r="M2203" s="2" t="s">
        <v>38</v>
      </c>
      <c r="N2203" s="2" t="s">
        <v>38</v>
      </c>
      <c r="O2203" s="2" t="s">
        <v>38</v>
      </c>
      <c r="P2203" s="2" t="s">
        <v>39</v>
      </c>
      <c r="Q2203" s="2" t="s">
        <v>38</v>
      </c>
      <c r="R2203" s="2" t="s">
        <v>39</v>
      </c>
      <c r="S2203" s="2" t="s">
        <v>38</v>
      </c>
      <c r="T2203" s="2" t="s">
        <v>38</v>
      </c>
      <c r="U2203" s="2" t="s">
        <v>38</v>
      </c>
      <c r="V2203" s="2" t="s">
        <v>39</v>
      </c>
      <c r="W2203" s="2" t="s">
        <v>38</v>
      </c>
      <c r="X2203" s="2" t="s">
        <v>38</v>
      </c>
      <c r="Y2203" s="2" t="s">
        <v>39</v>
      </c>
      <c r="Z2203" s="2" t="s">
        <v>38</v>
      </c>
      <c r="AA2203" s="2" t="s">
        <v>38</v>
      </c>
      <c r="AB2203" s="2" t="s">
        <v>38</v>
      </c>
      <c r="AC2203" s="2" t="s">
        <v>38</v>
      </c>
      <c r="AD2203" s="2" t="s">
        <v>39</v>
      </c>
      <c r="AE2203" s="2" t="s">
        <v>39</v>
      </c>
    </row>
    <row r="2204" spans="1:31" ht="409.5">
      <c r="A2204" s="2">
        <v>2722713</v>
      </c>
      <c r="B2204" s="2">
        <f>HYPERLINK("https://platform.v2.vetology.net/cases/2722713/screening-report/1?type=pdf&amp;v=v6&amp;scorecard=1&amp;secret_key=BX%25IJ%24%2F65ieZ%29f6", 2722713)</f>
        <v>2722713</v>
      </c>
      <c r="C2204" s="2">
        <f>HYPERLINK("https://platform.v2.vetology.net/report/v/final/"&amp;2722713, 2722713)</f>
        <v>2722713</v>
      </c>
      <c r="D2204" s="2" t="s">
        <v>7088</v>
      </c>
      <c r="E2204" s="2" t="s">
        <v>7089</v>
      </c>
      <c r="F2204" s="2" t="s">
        <v>7090</v>
      </c>
      <c r="G2204" s="2" t="s">
        <v>34</v>
      </c>
      <c r="H2204" s="2" t="s">
        <v>166</v>
      </c>
      <c r="I2204" s="2" t="s">
        <v>36</v>
      </c>
      <c r="J2204" s="2" t="s">
        <v>37</v>
      </c>
      <c r="K2204" s="2" t="s">
        <v>39</v>
      </c>
      <c r="L2204" s="2" t="s">
        <v>39</v>
      </c>
      <c r="M2204" s="2" t="s">
        <v>38</v>
      </c>
      <c r="N2204" s="2" t="s">
        <v>39</v>
      </c>
      <c r="O2204" s="2" t="s">
        <v>38</v>
      </c>
      <c r="P2204" s="2" t="s">
        <v>39</v>
      </c>
      <c r="Q2204" s="2" t="s">
        <v>39</v>
      </c>
      <c r="R2204" s="2" t="s">
        <v>38</v>
      </c>
      <c r="S2204" s="2" t="s">
        <v>38</v>
      </c>
      <c r="T2204" s="2" t="s">
        <v>38</v>
      </c>
      <c r="U2204" s="2" t="s">
        <v>39</v>
      </c>
      <c r="V2204" s="2" t="s">
        <v>38</v>
      </c>
      <c r="W2204" s="2" t="s">
        <v>38</v>
      </c>
      <c r="X2204" s="2" t="s">
        <v>39</v>
      </c>
      <c r="Y2204" s="2" t="s">
        <v>39</v>
      </c>
      <c r="Z2204" s="2" t="s">
        <v>38</v>
      </c>
      <c r="AA2204" s="2" t="s">
        <v>39</v>
      </c>
      <c r="AB2204" s="2" t="s">
        <v>39</v>
      </c>
      <c r="AC2204" s="2" t="s">
        <v>38</v>
      </c>
      <c r="AD2204" s="2" t="s">
        <v>38</v>
      </c>
      <c r="AE2204" s="2" t="s">
        <v>39</v>
      </c>
    </row>
    <row r="2205" spans="1:31" ht="409.5">
      <c r="A2205" s="2">
        <v>2722709</v>
      </c>
      <c r="B2205" s="2">
        <f>HYPERLINK("https://platform.v2.vetology.net/cases/2722709/screening-report/1?type=pdf&amp;v=v6&amp;scorecard=1&amp;secret_key=BX%25IJ%24%2F65ieZ%29f6", 2722709)</f>
        <v>2722709</v>
      </c>
      <c r="C2205" s="2">
        <f>HYPERLINK("https://platform.v2.vetology.net/report/v/final/"&amp;2722709, 2722709)</f>
        <v>2722709</v>
      </c>
      <c r="D2205" s="2" t="s">
        <v>7091</v>
      </c>
      <c r="E2205" s="2" t="s">
        <v>7092</v>
      </c>
      <c r="F2205" s="2" t="s">
        <v>7093</v>
      </c>
      <c r="G2205" s="2" t="s">
        <v>81</v>
      </c>
      <c r="H2205" s="2" t="s">
        <v>7094</v>
      </c>
      <c r="I2205" s="2" t="s">
        <v>36</v>
      </c>
      <c r="J2205" s="2" t="s">
        <v>37</v>
      </c>
      <c r="K2205" s="2" t="s">
        <v>39</v>
      </c>
      <c r="L2205" s="2" t="s">
        <v>38</v>
      </c>
      <c r="M2205" s="2" t="s">
        <v>38</v>
      </c>
      <c r="N2205" s="2" t="s">
        <v>38</v>
      </c>
      <c r="O2205" s="2" t="s">
        <v>38</v>
      </c>
      <c r="P2205" s="2" t="s">
        <v>39</v>
      </c>
      <c r="Q2205" s="2" t="s">
        <v>39</v>
      </c>
      <c r="R2205" s="2" t="s">
        <v>38</v>
      </c>
      <c r="S2205" s="2" t="s">
        <v>38</v>
      </c>
      <c r="T2205" s="2" t="s">
        <v>39</v>
      </c>
      <c r="U2205" s="2" t="s">
        <v>38</v>
      </c>
      <c r="V2205" s="2" t="s">
        <v>38</v>
      </c>
      <c r="W2205" s="2" t="s">
        <v>38</v>
      </c>
      <c r="X2205" s="2" t="s">
        <v>39</v>
      </c>
      <c r="Y2205" s="2" t="s">
        <v>39</v>
      </c>
      <c r="Z2205" s="2" t="s">
        <v>38</v>
      </c>
      <c r="AA2205" s="2" t="s">
        <v>38</v>
      </c>
      <c r="AB2205" s="2" t="s">
        <v>39</v>
      </c>
      <c r="AC2205" s="2" t="s">
        <v>38</v>
      </c>
      <c r="AD2205" s="2" t="s">
        <v>38</v>
      </c>
      <c r="AE2205" s="2" t="s">
        <v>39</v>
      </c>
    </row>
    <row r="2206" spans="1:31" ht="409.5">
      <c r="A2206" s="2">
        <v>2722700</v>
      </c>
      <c r="B2206" s="2">
        <f>HYPERLINK("https://platform.v2.vetology.net/cases/2722700/screening-report/1?type=pdf&amp;v=v6&amp;scorecard=1&amp;secret_key=BX%25IJ%24%2F65ieZ%29f6", 2722700)</f>
        <v>2722700</v>
      </c>
      <c r="C2206" s="2">
        <f>HYPERLINK("https://platform.v2.vetology.net/report/v/final/"&amp;2722700, 2722700)</f>
        <v>2722700</v>
      </c>
      <c r="D2206" s="2" t="s">
        <v>7095</v>
      </c>
      <c r="E2206" s="2" t="s">
        <v>7096</v>
      </c>
      <c r="F2206" s="2" t="s">
        <v>43</v>
      </c>
      <c r="G2206" s="2" t="s">
        <v>507</v>
      </c>
      <c r="H2206" s="2" t="s">
        <v>394</v>
      </c>
      <c r="I2206" s="2" t="s">
        <v>59</v>
      </c>
      <c r="J2206" s="2" t="s">
        <v>37</v>
      </c>
      <c r="K2206" s="2" t="s">
        <v>38</v>
      </c>
      <c r="L2206" s="2" t="s">
        <v>39</v>
      </c>
      <c r="M2206" s="2" t="s">
        <v>39</v>
      </c>
      <c r="N2206" s="2" t="s">
        <v>39</v>
      </c>
      <c r="O2206" s="2" t="s">
        <v>38</v>
      </c>
      <c r="P2206" s="2" t="s">
        <v>39</v>
      </c>
      <c r="Q2206" s="2" t="s">
        <v>39</v>
      </c>
      <c r="R2206" s="2" t="s">
        <v>39</v>
      </c>
      <c r="S2206" s="2" t="s">
        <v>39</v>
      </c>
      <c r="T2206" s="2" t="s">
        <v>39</v>
      </c>
      <c r="U2206" s="2" t="s">
        <v>39</v>
      </c>
      <c r="V2206" s="2" t="s">
        <v>38</v>
      </c>
      <c r="W2206" s="2" t="s">
        <v>38</v>
      </c>
      <c r="X2206" s="2" t="s">
        <v>39</v>
      </c>
      <c r="Y2206" s="2" t="s">
        <v>39</v>
      </c>
      <c r="Z2206" s="2" t="s">
        <v>39</v>
      </c>
      <c r="AA2206" s="2" t="s">
        <v>39</v>
      </c>
      <c r="AB2206" s="2" t="s">
        <v>39</v>
      </c>
      <c r="AC2206" s="2" t="s">
        <v>39</v>
      </c>
      <c r="AD2206" s="2" t="s">
        <v>39</v>
      </c>
      <c r="AE2206" s="2" t="s">
        <v>39</v>
      </c>
    </row>
    <row r="2207" spans="1:31" ht="409.5">
      <c r="A2207" s="2">
        <v>2722638</v>
      </c>
      <c r="B2207" s="2">
        <f>HYPERLINK("https://platform.v2.vetology.net/cases/2722638/screening-report/1?type=pdf&amp;v=v6&amp;scorecard=1&amp;secret_key=BX%25IJ%24%2F65ieZ%29f6", 2722638)</f>
        <v>2722638</v>
      </c>
      <c r="C2207" s="2">
        <f>HYPERLINK("https://platform.v2.vetology.net/report/v/final/"&amp;2722638, 2722638)</f>
        <v>2722638</v>
      </c>
      <c r="D2207" s="2" t="s">
        <v>7097</v>
      </c>
      <c r="E2207" s="2" t="s">
        <v>7098</v>
      </c>
      <c r="F2207" s="2" t="s">
        <v>43</v>
      </c>
      <c r="G2207" s="2" t="s">
        <v>44</v>
      </c>
      <c r="H2207" s="2" t="s">
        <v>7099</v>
      </c>
      <c r="I2207" s="2" t="s">
        <v>36</v>
      </c>
      <c r="J2207" s="2" t="s">
        <v>37</v>
      </c>
      <c r="K2207" s="2" t="s">
        <v>39</v>
      </c>
      <c r="L2207" s="2" t="s">
        <v>39</v>
      </c>
      <c r="M2207" s="2" t="s">
        <v>39</v>
      </c>
      <c r="N2207" s="2" t="s">
        <v>39</v>
      </c>
      <c r="O2207" s="2" t="s">
        <v>38</v>
      </c>
      <c r="P2207" s="2" t="s">
        <v>38</v>
      </c>
      <c r="Q2207" s="2" t="s">
        <v>38</v>
      </c>
      <c r="R2207" s="2" t="s">
        <v>39</v>
      </c>
      <c r="S2207" s="2" t="s">
        <v>38</v>
      </c>
      <c r="T2207" s="2" t="s">
        <v>38</v>
      </c>
      <c r="U2207" s="2" t="s">
        <v>39</v>
      </c>
      <c r="V2207" s="2" t="s">
        <v>39</v>
      </c>
      <c r="W2207" s="2" t="s">
        <v>38</v>
      </c>
      <c r="X2207" s="2" t="s">
        <v>38</v>
      </c>
      <c r="Y2207" s="2" t="s">
        <v>39</v>
      </c>
      <c r="Z2207" s="2" t="s">
        <v>38</v>
      </c>
      <c r="AA2207" s="2" t="s">
        <v>38</v>
      </c>
      <c r="AB2207" s="2" t="s">
        <v>38</v>
      </c>
      <c r="AC2207" s="2" t="s">
        <v>39</v>
      </c>
      <c r="AD2207" s="2" t="s">
        <v>39</v>
      </c>
      <c r="AE2207" s="2" t="s">
        <v>39</v>
      </c>
    </row>
    <row r="2208" spans="1:31" ht="409.5">
      <c r="A2208" s="2">
        <v>2722630</v>
      </c>
      <c r="B2208" s="2">
        <f>HYPERLINK("https://platform.v2.vetology.net/cases/2722630/screening-report/1?type=pdf&amp;v=v6&amp;scorecard=1&amp;secret_key=BX%25IJ%24%2F65ieZ%29f6", 2722630)</f>
        <v>2722630</v>
      </c>
      <c r="C2208" s="2">
        <f>HYPERLINK("https://platform.v2.vetology.net/report/v/final/"&amp;2722630, 2722630)</f>
        <v>2722630</v>
      </c>
      <c r="D2208" s="2" t="s">
        <v>7100</v>
      </c>
      <c r="E2208" s="2" t="s">
        <v>7101</v>
      </c>
      <c r="F2208" s="2" t="s">
        <v>43</v>
      </c>
      <c r="G2208" s="2" t="s">
        <v>507</v>
      </c>
      <c r="H2208" s="2" t="s">
        <v>7102</v>
      </c>
      <c r="I2208" s="2" t="s">
        <v>129</v>
      </c>
      <c r="J2208" s="2" t="s">
        <v>74</v>
      </c>
      <c r="K2208" s="2" t="s">
        <v>39</v>
      </c>
      <c r="L2208" s="2" t="s">
        <v>39</v>
      </c>
      <c r="M2208" s="2" t="s">
        <v>38</v>
      </c>
      <c r="N2208" s="2" t="s">
        <v>38</v>
      </c>
      <c r="O2208" s="2" t="s">
        <v>38</v>
      </c>
      <c r="P2208" s="2" t="s">
        <v>38</v>
      </c>
      <c r="Q2208" s="2" t="s">
        <v>38</v>
      </c>
      <c r="R2208" s="2" t="s">
        <v>38</v>
      </c>
      <c r="S2208" s="2" t="s">
        <v>38</v>
      </c>
      <c r="T2208" s="2" t="s">
        <v>38</v>
      </c>
      <c r="U2208" s="2" t="s">
        <v>39</v>
      </c>
      <c r="V2208" s="2" t="s">
        <v>38</v>
      </c>
      <c r="W2208" s="2" t="s">
        <v>38</v>
      </c>
      <c r="X2208" s="2" t="s">
        <v>39</v>
      </c>
      <c r="Y2208" s="2" t="s">
        <v>39</v>
      </c>
      <c r="Z2208" s="2" t="s">
        <v>38</v>
      </c>
      <c r="AA2208" s="2" t="s">
        <v>38</v>
      </c>
      <c r="AB2208" s="2" t="s">
        <v>38</v>
      </c>
      <c r="AC2208" s="2" t="s">
        <v>38</v>
      </c>
      <c r="AD2208" s="2" t="s">
        <v>38</v>
      </c>
      <c r="AE2208" s="2"/>
    </row>
    <row r="2209" spans="1:31" ht="409.5">
      <c r="A2209" s="2">
        <v>2722609</v>
      </c>
      <c r="B2209" s="2">
        <f>HYPERLINK("https://platform.v2.vetology.net/cases/2722609/screening-report/1?type=pdf&amp;v=v6&amp;scorecard=1&amp;secret_key=BX%25IJ%24%2F65ieZ%29f6", 2722609)</f>
        <v>2722609</v>
      </c>
      <c r="C2209" s="2">
        <f>HYPERLINK("https://platform.v2.vetology.net/report/v/final/"&amp;2722609, 2722609)</f>
        <v>2722609</v>
      </c>
      <c r="D2209" s="2" t="s">
        <v>7103</v>
      </c>
      <c r="E2209" s="2" t="s">
        <v>7104</v>
      </c>
      <c r="F2209" s="2" t="s">
        <v>7105</v>
      </c>
      <c r="G2209" s="2" t="s">
        <v>507</v>
      </c>
      <c r="H2209" s="2" t="s">
        <v>7106</v>
      </c>
      <c r="I2209" s="2" t="s">
        <v>129</v>
      </c>
      <c r="J2209" s="2" t="s">
        <v>74</v>
      </c>
      <c r="K2209" s="2" t="s">
        <v>38</v>
      </c>
      <c r="L2209" s="2" t="s">
        <v>38</v>
      </c>
      <c r="M2209" s="2" t="s">
        <v>38</v>
      </c>
      <c r="N2209" s="2" t="s">
        <v>38</v>
      </c>
      <c r="O2209" s="2" t="s">
        <v>38</v>
      </c>
      <c r="P2209" s="2" t="s">
        <v>39</v>
      </c>
      <c r="Q2209" s="2" t="s">
        <v>38</v>
      </c>
      <c r="R2209" s="2" t="s">
        <v>39</v>
      </c>
      <c r="S2209" s="2" t="s">
        <v>39</v>
      </c>
      <c r="T2209" s="2" t="s">
        <v>39</v>
      </c>
      <c r="U2209" s="2" t="s">
        <v>38</v>
      </c>
      <c r="V2209" s="2" t="s">
        <v>38</v>
      </c>
      <c r="W2209" s="2" t="s">
        <v>38</v>
      </c>
      <c r="X2209" s="2" t="s">
        <v>38</v>
      </c>
      <c r="Y2209" s="2" t="s">
        <v>39</v>
      </c>
      <c r="Z2209" s="2" t="s">
        <v>38</v>
      </c>
      <c r="AA2209" s="2" t="s">
        <v>38</v>
      </c>
      <c r="AB2209" s="2" t="s">
        <v>39</v>
      </c>
      <c r="AC2209" s="2" t="s">
        <v>38</v>
      </c>
      <c r="AD2209" s="2" t="s">
        <v>38</v>
      </c>
      <c r="AE2209" s="2" t="s">
        <v>39</v>
      </c>
    </row>
    <row r="2210" spans="1:31" ht="409.5">
      <c r="A2210" s="2">
        <v>2722561</v>
      </c>
      <c r="B2210" s="2">
        <f>HYPERLINK("https://platform.v2.vetology.net/cases/2722561/screening-report/1?type=pdf&amp;v=v6&amp;scorecard=1&amp;secret_key=BX%25IJ%24%2F65ieZ%29f6", 2722561)</f>
        <v>2722561</v>
      </c>
      <c r="C2210" s="2">
        <f>HYPERLINK("https://platform.v2.vetology.net/report/v/final/"&amp;2722561, 2722561)</f>
        <v>2722561</v>
      </c>
      <c r="D2210" s="2" t="s">
        <v>7107</v>
      </c>
      <c r="E2210" s="2" t="s">
        <v>7108</v>
      </c>
      <c r="F2210" s="2" t="s">
        <v>7109</v>
      </c>
      <c r="G2210" s="2" t="s">
        <v>34</v>
      </c>
      <c r="H2210" s="2" t="s">
        <v>394</v>
      </c>
      <c r="I2210" s="2" t="s">
        <v>59</v>
      </c>
      <c r="J2210" s="2" t="s">
        <v>37</v>
      </c>
      <c r="K2210" s="2" t="s">
        <v>38</v>
      </c>
      <c r="L2210" s="2" t="s">
        <v>39</v>
      </c>
      <c r="M2210" s="2" t="s">
        <v>39</v>
      </c>
      <c r="N2210" s="2" t="s">
        <v>39</v>
      </c>
      <c r="O2210" s="2" t="s">
        <v>39</v>
      </c>
      <c r="P2210" s="2" t="s">
        <v>39</v>
      </c>
      <c r="Q2210" s="2" t="s">
        <v>39</v>
      </c>
      <c r="R2210" s="2" t="s">
        <v>39</v>
      </c>
      <c r="S2210" s="2" t="s">
        <v>39</v>
      </c>
      <c r="T2210" s="2" t="s">
        <v>39</v>
      </c>
      <c r="U2210" s="2" t="s">
        <v>38</v>
      </c>
      <c r="V2210" s="2" t="s">
        <v>38</v>
      </c>
      <c r="W2210" s="2" t="s">
        <v>39</v>
      </c>
      <c r="X2210" s="2" t="s">
        <v>39</v>
      </c>
      <c r="Y2210" s="2" t="s">
        <v>39</v>
      </c>
      <c r="Z2210" s="2" t="s">
        <v>39</v>
      </c>
      <c r="AA2210" s="2" t="s">
        <v>39</v>
      </c>
      <c r="AB2210" s="2" t="s">
        <v>39</v>
      </c>
      <c r="AC2210" s="2" t="s">
        <v>39</v>
      </c>
      <c r="AD2210" s="2" t="s">
        <v>39</v>
      </c>
      <c r="AE2210" s="2" t="s">
        <v>39</v>
      </c>
    </row>
    <row r="2211" spans="1:31" ht="409.5">
      <c r="A2211" s="2">
        <v>2722551</v>
      </c>
      <c r="B2211" s="2">
        <f>HYPERLINK("https://platform.v2.vetology.net/cases/2722551/screening-report/1?type=pdf&amp;v=v6&amp;scorecard=1&amp;secret_key=BX%25IJ%24%2F65ieZ%29f6", 2722551)</f>
        <v>2722551</v>
      </c>
      <c r="C2211" s="2">
        <f>HYPERLINK("https://platform.v2.vetology.net/report/v/final/"&amp;2722551, 2722551)</f>
        <v>2722551</v>
      </c>
      <c r="D2211" s="2" t="s">
        <v>7110</v>
      </c>
      <c r="E2211" s="2" t="s">
        <v>7111</v>
      </c>
      <c r="F2211" s="2" t="s">
        <v>43</v>
      </c>
      <c r="G2211" s="2" t="s">
        <v>507</v>
      </c>
      <c r="H2211" s="2" t="s">
        <v>7112</v>
      </c>
      <c r="I2211" s="2" t="s">
        <v>36</v>
      </c>
      <c r="J2211" s="2" t="s">
        <v>37</v>
      </c>
      <c r="K2211" s="2" t="s">
        <v>39</v>
      </c>
      <c r="L2211" s="2" t="s">
        <v>39</v>
      </c>
      <c r="M2211" s="2" t="s">
        <v>38</v>
      </c>
      <c r="N2211" s="2" t="s">
        <v>38</v>
      </c>
      <c r="O2211" s="2" t="s">
        <v>38</v>
      </c>
      <c r="P2211" s="2" t="s">
        <v>39</v>
      </c>
      <c r="Q2211" s="2" t="s">
        <v>39</v>
      </c>
      <c r="R2211" s="2" t="s">
        <v>39</v>
      </c>
      <c r="S2211" s="2" t="s">
        <v>39</v>
      </c>
      <c r="T2211" s="2" t="s">
        <v>39</v>
      </c>
      <c r="U2211" s="2" t="s">
        <v>39</v>
      </c>
      <c r="V2211" s="2" t="s">
        <v>39</v>
      </c>
      <c r="W2211" s="2" t="s">
        <v>38</v>
      </c>
      <c r="X2211" s="2" t="s">
        <v>39</v>
      </c>
      <c r="Y2211" s="2" t="s">
        <v>39</v>
      </c>
      <c r="Z2211" s="2" t="s">
        <v>38</v>
      </c>
      <c r="AA2211" s="2" t="s">
        <v>39</v>
      </c>
      <c r="AB2211" s="2" t="s">
        <v>39</v>
      </c>
      <c r="AC2211" s="2" t="s">
        <v>38</v>
      </c>
      <c r="AD2211" s="2" t="s">
        <v>39</v>
      </c>
      <c r="AE2211" s="2" t="s">
        <v>39</v>
      </c>
    </row>
    <row r="2212" spans="1:31" ht="409.5">
      <c r="A2212" s="2">
        <v>2722521</v>
      </c>
      <c r="B2212" s="2">
        <f>HYPERLINK("https://platform.v2.vetology.net/cases/2722521/screening-report/1?type=pdf&amp;v=v6&amp;scorecard=1&amp;secret_key=BX%25IJ%24%2F65ieZ%29f6", 2722521)</f>
        <v>2722521</v>
      </c>
      <c r="C2212" s="2">
        <f>HYPERLINK("https://platform.v2.vetology.net/report/v/final/"&amp;2722521, 2722521)</f>
        <v>2722521</v>
      </c>
      <c r="D2212" s="2" t="s">
        <v>7113</v>
      </c>
      <c r="E2212" s="2" t="s">
        <v>7114</v>
      </c>
      <c r="F2212" s="2" t="s">
        <v>7115</v>
      </c>
      <c r="G2212" s="2" t="s">
        <v>34</v>
      </c>
      <c r="H2212" s="2" t="s">
        <v>888</v>
      </c>
      <c r="I2212" s="2" t="s">
        <v>36</v>
      </c>
      <c r="J2212" s="2" t="s">
        <v>37</v>
      </c>
      <c r="K2212" s="2" t="s">
        <v>39</v>
      </c>
      <c r="L2212" s="2" t="s">
        <v>39</v>
      </c>
      <c r="M2212" s="2" t="s">
        <v>38</v>
      </c>
      <c r="N2212" s="2" t="s">
        <v>38</v>
      </c>
      <c r="O2212" s="2" t="s">
        <v>38</v>
      </c>
      <c r="P2212" s="2" t="s">
        <v>39</v>
      </c>
      <c r="Q2212" s="2" t="s">
        <v>39</v>
      </c>
      <c r="R2212" s="2" t="s">
        <v>38</v>
      </c>
      <c r="S2212" s="2" t="s">
        <v>39</v>
      </c>
      <c r="T2212" s="2" t="s">
        <v>38</v>
      </c>
      <c r="U2212" s="2" t="s">
        <v>39</v>
      </c>
      <c r="V2212" s="2" t="s">
        <v>39</v>
      </c>
      <c r="W2212" s="2" t="s">
        <v>39</v>
      </c>
      <c r="X2212" s="2" t="s">
        <v>39</v>
      </c>
      <c r="Y2212" s="2" t="s">
        <v>39</v>
      </c>
      <c r="Z2212" s="2" t="s">
        <v>38</v>
      </c>
      <c r="AA2212" s="2" t="s">
        <v>39</v>
      </c>
      <c r="AB2212" s="2" t="s">
        <v>39</v>
      </c>
      <c r="AC2212" s="2" t="s">
        <v>38</v>
      </c>
      <c r="AD2212" s="2" t="s">
        <v>38</v>
      </c>
      <c r="AE2212" s="2" t="s">
        <v>40</v>
      </c>
    </row>
    <row r="2213" spans="1:31" ht="409.5">
      <c r="A2213" s="2">
        <v>2722511</v>
      </c>
      <c r="B2213" s="2">
        <f>HYPERLINK("https://platform.v2.vetology.net/cases/2722511/screening-report/1?type=pdf&amp;v=v6&amp;scorecard=1&amp;secret_key=BX%25IJ%24%2F65ieZ%29f6", 2722511)</f>
        <v>2722511</v>
      </c>
      <c r="C2213" s="2">
        <f>HYPERLINK("https://platform.v2.vetology.net/report/v/final/"&amp;2722511, 2722511)</f>
        <v>2722511</v>
      </c>
      <c r="D2213" s="2" t="s">
        <v>7116</v>
      </c>
      <c r="E2213" s="2" t="s">
        <v>7117</v>
      </c>
      <c r="F2213" s="2" t="s">
        <v>7118</v>
      </c>
      <c r="G2213" s="2" t="s">
        <v>81</v>
      </c>
      <c r="H2213" s="2" t="s">
        <v>7119</v>
      </c>
      <c r="I2213" s="2" t="s">
        <v>36</v>
      </c>
      <c r="J2213" s="2" t="s">
        <v>37</v>
      </c>
      <c r="K2213" s="2" t="s">
        <v>38</v>
      </c>
      <c r="L2213" s="2" t="s">
        <v>38</v>
      </c>
      <c r="M2213" s="2" t="s">
        <v>39</v>
      </c>
      <c r="N2213" s="2" t="s">
        <v>39</v>
      </c>
      <c r="O2213" s="2" t="s">
        <v>39</v>
      </c>
      <c r="P2213" s="2" t="s">
        <v>39</v>
      </c>
      <c r="Q2213" s="2" t="s">
        <v>39</v>
      </c>
      <c r="R2213" s="2" t="s">
        <v>38</v>
      </c>
      <c r="S2213" s="2" t="s">
        <v>38</v>
      </c>
      <c r="T2213" s="2" t="s">
        <v>39</v>
      </c>
      <c r="U2213" s="2" t="s">
        <v>38</v>
      </c>
      <c r="V2213" s="2" t="s">
        <v>38</v>
      </c>
      <c r="W2213" s="2" t="s">
        <v>39</v>
      </c>
      <c r="X2213" s="2" t="s">
        <v>39</v>
      </c>
      <c r="Y2213" s="2" t="s">
        <v>39</v>
      </c>
      <c r="Z2213" s="2" t="s">
        <v>39</v>
      </c>
      <c r="AA2213" s="2" t="s">
        <v>38</v>
      </c>
      <c r="AB2213" s="2" t="s">
        <v>39</v>
      </c>
      <c r="AC2213" s="2" t="s">
        <v>38</v>
      </c>
      <c r="AD2213" s="2" t="s">
        <v>38</v>
      </c>
      <c r="AE2213" s="2" t="s">
        <v>39</v>
      </c>
    </row>
    <row r="2214" spans="1:31" ht="409.5">
      <c r="A2214" s="2">
        <v>2722510</v>
      </c>
      <c r="B2214" s="2">
        <f>HYPERLINK("https://platform.v2.vetology.net/cases/2722510/screening-report/1?type=pdf&amp;v=v6&amp;scorecard=1&amp;secret_key=BX%25IJ%24%2F65ieZ%29f6", 2722510)</f>
        <v>2722510</v>
      </c>
      <c r="C2214" s="2">
        <f>HYPERLINK("https://platform.v2.vetology.net/report/v/final/"&amp;2722510, 2722510)</f>
        <v>2722510</v>
      </c>
      <c r="D2214" s="2" t="s">
        <v>7120</v>
      </c>
      <c r="E2214" s="2" t="s">
        <v>7121</v>
      </c>
      <c r="F2214" s="2"/>
      <c r="G2214" s="2" t="s">
        <v>81</v>
      </c>
      <c r="H2214" s="2" t="s">
        <v>7122</v>
      </c>
      <c r="I2214" s="2" t="s">
        <v>36</v>
      </c>
      <c r="J2214" s="2" t="s">
        <v>37</v>
      </c>
      <c r="K2214" s="2" t="s">
        <v>38</v>
      </c>
      <c r="L2214" s="2" t="s">
        <v>38</v>
      </c>
      <c r="M2214" s="2" t="s">
        <v>38</v>
      </c>
      <c r="N2214" s="2" t="s">
        <v>38</v>
      </c>
      <c r="O2214" s="2" t="s">
        <v>38</v>
      </c>
      <c r="P2214" s="2" t="s">
        <v>39</v>
      </c>
      <c r="Q2214" s="2" t="s">
        <v>39</v>
      </c>
      <c r="R2214" s="2" t="s">
        <v>39</v>
      </c>
      <c r="S2214" s="2" t="s">
        <v>38</v>
      </c>
      <c r="T2214" s="2" t="s">
        <v>39</v>
      </c>
      <c r="U2214" s="2" t="s">
        <v>38</v>
      </c>
      <c r="V2214" s="2" t="s">
        <v>38</v>
      </c>
      <c r="W2214" s="2" t="s">
        <v>38</v>
      </c>
      <c r="X2214" s="2" t="s">
        <v>39</v>
      </c>
      <c r="Y2214" s="2" t="s">
        <v>39</v>
      </c>
      <c r="Z2214" s="2" t="s">
        <v>38</v>
      </c>
      <c r="AA2214" s="2" t="s">
        <v>38</v>
      </c>
      <c r="AB2214" s="2" t="s">
        <v>39</v>
      </c>
      <c r="AC2214" s="2" t="s">
        <v>38</v>
      </c>
      <c r="AD2214" s="2" t="s">
        <v>38</v>
      </c>
      <c r="AE2214" s="2" t="s">
        <v>40</v>
      </c>
    </row>
    <row r="2215" spans="1:31" ht="409.5">
      <c r="A2215" s="2">
        <v>2722509</v>
      </c>
      <c r="B2215" s="2">
        <f>HYPERLINK("https://platform.v2.vetology.net/cases/2722509/screening-report/1?type=pdf&amp;v=v6&amp;scorecard=1&amp;secret_key=BX%25IJ%24%2F65ieZ%29f6", 2722509)</f>
        <v>2722509</v>
      </c>
      <c r="C2215" s="2">
        <f>HYPERLINK("https://platform.v2.vetology.net/report/v/final/"&amp;2722509, 2722509)</f>
        <v>2722509</v>
      </c>
      <c r="D2215" s="2" t="s">
        <v>7123</v>
      </c>
      <c r="E2215" s="2" t="s">
        <v>7124</v>
      </c>
      <c r="F2215" s="2"/>
      <c r="G2215" s="2" t="s">
        <v>507</v>
      </c>
      <c r="H2215" s="2" t="s">
        <v>7125</v>
      </c>
      <c r="I2215" s="2" t="s">
        <v>36</v>
      </c>
      <c r="J2215" s="2" t="s">
        <v>37</v>
      </c>
      <c r="K2215" s="2" t="s">
        <v>38</v>
      </c>
      <c r="L2215" s="2" t="s">
        <v>38</v>
      </c>
      <c r="M2215" s="2" t="s">
        <v>38</v>
      </c>
      <c r="N2215" s="2" t="s">
        <v>38</v>
      </c>
      <c r="O2215" s="2" t="s">
        <v>38</v>
      </c>
      <c r="P2215" s="2" t="s">
        <v>38</v>
      </c>
      <c r="Q2215" s="2" t="s">
        <v>39</v>
      </c>
      <c r="R2215" s="2" t="s">
        <v>38</v>
      </c>
      <c r="S2215" s="2" t="s">
        <v>38</v>
      </c>
      <c r="T2215" s="2" t="s">
        <v>38</v>
      </c>
      <c r="U2215" s="2" t="s">
        <v>38</v>
      </c>
      <c r="V2215" s="2" t="s">
        <v>38</v>
      </c>
      <c r="W2215" s="2" t="s">
        <v>38</v>
      </c>
      <c r="X2215" s="2" t="s">
        <v>39</v>
      </c>
      <c r="Y2215" s="2" t="s">
        <v>38</v>
      </c>
      <c r="Z2215" s="2" t="s">
        <v>38</v>
      </c>
      <c r="AA2215" s="2" t="s">
        <v>38</v>
      </c>
      <c r="AB2215" s="2" t="s">
        <v>39</v>
      </c>
      <c r="AC2215" s="2" t="s">
        <v>38</v>
      </c>
      <c r="AD2215" s="2" t="s">
        <v>38</v>
      </c>
      <c r="AE2215" s="2" t="s">
        <v>40</v>
      </c>
    </row>
    <row r="2216" spans="1:31" ht="409.5">
      <c r="A2216" s="2">
        <v>2722502</v>
      </c>
      <c r="B2216" s="2">
        <f>HYPERLINK("https://platform.v2.vetology.net/cases/2722502/screening-report/1?type=pdf&amp;v=v6&amp;scorecard=1&amp;secret_key=BX%25IJ%24%2F65ieZ%29f6", 2722502)</f>
        <v>2722502</v>
      </c>
      <c r="C2216" s="2">
        <f>HYPERLINK("https://platform.v2.vetology.net/report/v/final/"&amp;2722502, 2722502)</f>
        <v>2722502</v>
      </c>
      <c r="D2216" s="2" t="s">
        <v>7126</v>
      </c>
      <c r="E2216" s="2" t="s">
        <v>7127</v>
      </c>
      <c r="F2216" s="2" t="s">
        <v>7128</v>
      </c>
      <c r="G2216" s="2" t="s">
        <v>34</v>
      </c>
      <c r="H2216" s="2" t="s">
        <v>561</v>
      </c>
      <c r="I2216" s="2" t="s">
        <v>36</v>
      </c>
      <c r="J2216" s="2" t="s">
        <v>37</v>
      </c>
      <c r="K2216" s="2" t="s">
        <v>39</v>
      </c>
      <c r="L2216" s="2" t="s">
        <v>38</v>
      </c>
      <c r="M2216" s="2" t="s">
        <v>38</v>
      </c>
      <c r="N2216" s="2" t="s">
        <v>38</v>
      </c>
      <c r="O2216" s="2" t="s">
        <v>38</v>
      </c>
      <c r="P2216" s="2" t="s">
        <v>39</v>
      </c>
      <c r="Q2216" s="2" t="s">
        <v>39</v>
      </c>
      <c r="R2216" s="2" t="s">
        <v>38</v>
      </c>
      <c r="S2216" s="2" t="s">
        <v>38</v>
      </c>
      <c r="T2216" s="2" t="s">
        <v>39</v>
      </c>
      <c r="U2216" s="2" t="s">
        <v>38</v>
      </c>
      <c r="V2216" s="2" t="s">
        <v>39</v>
      </c>
      <c r="W2216" s="2" t="s">
        <v>38</v>
      </c>
      <c r="X2216" s="2" t="s">
        <v>39</v>
      </c>
      <c r="Y2216" s="2" t="s">
        <v>39</v>
      </c>
      <c r="Z2216" s="2" t="s">
        <v>39</v>
      </c>
      <c r="AA2216" s="2" t="s">
        <v>38</v>
      </c>
      <c r="AB2216" s="2" t="s">
        <v>39</v>
      </c>
      <c r="AC2216" s="2" t="s">
        <v>38</v>
      </c>
      <c r="AD2216" s="2" t="s">
        <v>38</v>
      </c>
      <c r="AE2216" s="2" t="s">
        <v>39</v>
      </c>
    </row>
    <row r="2217" spans="1:31" ht="409.5">
      <c r="A2217" s="2">
        <v>2722477</v>
      </c>
      <c r="B2217" s="2">
        <f>HYPERLINK("https://platform.v2.vetology.net/cases/2722477/screening-report/1?type=pdf&amp;v=v6&amp;scorecard=1&amp;secret_key=BX%25IJ%24%2F65ieZ%29f6", 2722477)</f>
        <v>2722477</v>
      </c>
      <c r="C2217" s="2">
        <f>HYPERLINK("https://platform.v2.vetology.net/report/v/final/"&amp;2722477, 2722477)</f>
        <v>2722477</v>
      </c>
      <c r="D2217" s="2" t="s">
        <v>7129</v>
      </c>
      <c r="E2217" s="2" t="s">
        <v>7130</v>
      </c>
      <c r="F2217" s="2" t="s">
        <v>7131</v>
      </c>
      <c r="G2217" s="2" t="s">
        <v>34</v>
      </c>
      <c r="H2217" s="2" t="s">
        <v>7132</v>
      </c>
      <c r="I2217" s="2" t="s">
        <v>129</v>
      </c>
      <c r="J2217" s="2" t="s">
        <v>74</v>
      </c>
      <c r="K2217" s="2" t="s">
        <v>39</v>
      </c>
      <c r="L2217" s="2" t="s">
        <v>39</v>
      </c>
      <c r="M2217" s="2" t="s">
        <v>38</v>
      </c>
      <c r="N2217" s="2" t="s">
        <v>38</v>
      </c>
      <c r="O2217" s="2" t="s">
        <v>38</v>
      </c>
      <c r="P2217" s="2" t="s">
        <v>38</v>
      </c>
      <c r="Q2217" s="2" t="s">
        <v>38</v>
      </c>
      <c r="R2217" s="2" t="s">
        <v>39</v>
      </c>
      <c r="S2217" s="2" t="s">
        <v>39</v>
      </c>
      <c r="T2217" s="2" t="s">
        <v>38</v>
      </c>
      <c r="U2217" s="2" t="s">
        <v>39</v>
      </c>
      <c r="V2217" s="2" t="s">
        <v>39</v>
      </c>
      <c r="W2217" s="2" t="s">
        <v>39</v>
      </c>
      <c r="X2217" s="2" t="s">
        <v>38</v>
      </c>
      <c r="Y2217" s="2" t="s">
        <v>39</v>
      </c>
      <c r="Z2217" s="2" t="s">
        <v>39</v>
      </c>
      <c r="AA2217" s="2" t="s">
        <v>38</v>
      </c>
      <c r="AB2217" s="2" t="s">
        <v>38</v>
      </c>
      <c r="AC2217" s="2" t="s">
        <v>39</v>
      </c>
      <c r="AD2217" s="2" t="s">
        <v>39</v>
      </c>
      <c r="AE2217" s="2" t="s">
        <v>39</v>
      </c>
    </row>
    <row r="2218" spans="1:31" ht="409.5">
      <c r="A2218" s="2">
        <v>2722473</v>
      </c>
      <c r="B2218" s="2">
        <f>HYPERLINK("https://platform.v2.vetology.net/cases/2722473/screening-report/1?type=pdf&amp;v=v6&amp;scorecard=1&amp;secret_key=BX%25IJ%24%2F65ieZ%29f6", 2722473)</f>
        <v>2722473</v>
      </c>
      <c r="C2218" s="2">
        <f>HYPERLINK("https://platform.v2.vetology.net/report/v/final/"&amp;2722473, 2722473)</f>
        <v>2722473</v>
      </c>
      <c r="D2218" s="2" t="s">
        <v>7133</v>
      </c>
      <c r="E2218" s="2" t="s">
        <v>7134</v>
      </c>
      <c r="F2218" s="2"/>
      <c r="G2218" s="2" t="s">
        <v>81</v>
      </c>
      <c r="H2218" s="2" t="s">
        <v>69</v>
      </c>
      <c r="I2218" s="2" t="s">
        <v>46</v>
      </c>
      <c r="J2218" s="2"/>
      <c r="K2218" s="2" t="s">
        <v>39</v>
      </c>
      <c r="L2218" s="2" t="s">
        <v>39</v>
      </c>
      <c r="M2218" s="2" t="s">
        <v>39</v>
      </c>
      <c r="N2218" s="2" t="s">
        <v>39</v>
      </c>
      <c r="O2218" s="2" t="s">
        <v>39</v>
      </c>
      <c r="P2218" s="2" t="s">
        <v>39</v>
      </c>
      <c r="Q2218" s="2" t="s">
        <v>39</v>
      </c>
      <c r="R2218" s="2" t="s">
        <v>39</v>
      </c>
      <c r="S2218" s="2" t="s">
        <v>39</v>
      </c>
      <c r="T2218" s="2" t="s">
        <v>39</v>
      </c>
      <c r="U2218" s="2" t="s">
        <v>39</v>
      </c>
      <c r="V2218" s="2" t="s">
        <v>39</v>
      </c>
      <c r="W2218" s="2" t="s">
        <v>39</v>
      </c>
      <c r="X2218" s="2" t="s">
        <v>39</v>
      </c>
      <c r="Y2218" s="2" t="s">
        <v>39</v>
      </c>
      <c r="Z2218" s="2" t="s">
        <v>39</v>
      </c>
      <c r="AA2218" s="2" t="s">
        <v>39</v>
      </c>
      <c r="AB2218" s="2" t="s">
        <v>39</v>
      </c>
      <c r="AC2218" s="2" t="s">
        <v>39</v>
      </c>
      <c r="AD2218" s="2" t="s">
        <v>39</v>
      </c>
      <c r="AE2218" s="2" t="s">
        <v>39</v>
      </c>
    </row>
    <row r="2219" spans="1:31" ht="409.5">
      <c r="A2219" s="2">
        <v>2722459</v>
      </c>
      <c r="B2219" s="2">
        <f>HYPERLINK("https://platform.v2.vetology.net/cases/2722459/screening-report/1?type=pdf&amp;v=v6&amp;scorecard=1&amp;secret_key=BX%25IJ%24%2F65ieZ%29f6", 2722459)</f>
        <v>2722459</v>
      </c>
      <c r="C2219" s="2">
        <f>HYPERLINK("https://platform.v2.vetology.net/report/v/final/"&amp;2722459, 2722459)</f>
        <v>2722459</v>
      </c>
      <c r="D2219" s="2" t="s">
        <v>7135</v>
      </c>
      <c r="E2219" s="2" t="s">
        <v>7136</v>
      </c>
      <c r="F2219" s="2" t="s">
        <v>7137</v>
      </c>
      <c r="G2219" s="2" t="s">
        <v>34</v>
      </c>
      <c r="H2219" s="2" t="s">
        <v>69</v>
      </c>
      <c r="I2219" s="2" t="s">
        <v>46</v>
      </c>
      <c r="J2219" s="2"/>
      <c r="K2219" s="2" t="s">
        <v>39</v>
      </c>
      <c r="L2219" s="2" t="s">
        <v>39</v>
      </c>
      <c r="M2219" s="2" t="s">
        <v>39</v>
      </c>
      <c r="N2219" s="2" t="s">
        <v>39</v>
      </c>
      <c r="O2219" s="2" t="s">
        <v>39</v>
      </c>
      <c r="P2219" s="2" t="s">
        <v>39</v>
      </c>
      <c r="Q2219" s="2" t="s">
        <v>39</v>
      </c>
      <c r="R2219" s="2" t="s">
        <v>39</v>
      </c>
      <c r="S2219" s="2" t="s">
        <v>39</v>
      </c>
      <c r="T2219" s="2" t="s">
        <v>39</v>
      </c>
      <c r="U2219" s="2" t="s">
        <v>39</v>
      </c>
      <c r="V2219" s="2" t="s">
        <v>39</v>
      </c>
      <c r="W2219" s="2" t="s">
        <v>38</v>
      </c>
      <c r="X2219" s="2" t="s">
        <v>39</v>
      </c>
      <c r="Y2219" s="2" t="s">
        <v>39</v>
      </c>
      <c r="Z2219" s="2" t="s">
        <v>39</v>
      </c>
      <c r="AA2219" s="2" t="s">
        <v>39</v>
      </c>
      <c r="AB2219" s="2" t="s">
        <v>39</v>
      </c>
      <c r="AC2219" s="2" t="s">
        <v>38</v>
      </c>
      <c r="AD2219" s="2" t="s">
        <v>39</v>
      </c>
      <c r="AE2219" s="2" t="s">
        <v>39</v>
      </c>
    </row>
    <row r="2220" spans="1:31" ht="409.5">
      <c r="A2220" s="2">
        <v>2722437</v>
      </c>
      <c r="B2220" s="2">
        <f>HYPERLINK("https://platform.v2.vetology.net/cases/2722437/screening-report/1?type=pdf&amp;v=v6&amp;scorecard=1&amp;secret_key=BX%25IJ%24%2F65ieZ%29f6", 2722437)</f>
        <v>2722437</v>
      </c>
      <c r="C2220" s="2">
        <f>HYPERLINK("https://platform.v2.vetology.net/report/v/final/"&amp;2722437, 2722437)</f>
        <v>2722437</v>
      </c>
      <c r="D2220" s="2" t="s">
        <v>1743</v>
      </c>
      <c r="E2220" s="2" t="s">
        <v>355</v>
      </c>
      <c r="F2220" s="2" t="s">
        <v>356</v>
      </c>
      <c r="G2220" s="2" t="s">
        <v>100</v>
      </c>
      <c r="H2220" s="2" t="s">
        <v>7138</v>
      </c>
      <c r="I2220" s="2" t="s">
        <v>684</v>
      </c>
      <c r="J2220" s="2" t="s">
        <v>74</v>
      </c>
      <c r="K2220" s="2" t="s">
        <v>39</v>
      </c>
      <c r="L2220" s="2" t="s">
        <v>38</v>
      </c>
      <c r="M2220" s="2" t="s">
        <v>39</v>
      </c>
      <c r="N2220" s="2" t="s">
        <v>39</v>
      </c>
      <c r="O2220" s="2" t="s">
        <v>38</v>
      </c>
      <c r="P2220" s="2" t="s">
        <v>39</v>
      </c>
      <c r="Q2220" s="2" t="s">
        <v>38</v>
      </c>
      <c r="R2220" s="2" t="s">
        <v>39</v>
      </c>
      <c r="S2220" s="2" t="s">
        <v>39</v>
      </c>
      <c r="T2220" s="2" t="s">
        <v>38</v>
      </c>
      <c r="U2220" s="2" t="s">
        <v>39</v>
      </c>
      <c r="V2220" s="2" t="s">
        <v>39</v>
      </c>
      <c r="W2220" s="2" t="s">
        <v>39</v>
      </c>
      <c r="X2220" s="2" t="s">
        <v>38</v>
      </c>
      <c r="Y2220" s="2" t="s">
        <v>39</v>
      </c>
      <c r="Z2220" s="2" t="s">
        <v>38</v>
      </c>
      <c r="AA2220" s="2" t="s">
        <v>39</v>
      </c>
      <c r="AB2220" s="2" t="s">
        <v>38</v>
      </c>
      <c r="AC2220" s="2" t="s">
        <v>39</v>
      </c>
      <c r="AD2220" s="2" t="s">
        <v>39</v>
      </c>
      <c r="AE2220" s="2" t="s">
        <v>40</v>
      </c>
    </row>
    <row r="2221" spans="1:31" ht="409.5">
      <c r="A2221" s="2">
        <v>2722434</v>
      </c>
      <c r="B2221" s="2">
        <f>HYPERLINK("https://platform.v2.vetology.net/cases/2722434/screening-report/1?type=pdf&amp;v=v6&amp;scorecard=1&amp;secret_key=BX%25IJ%24%2F65ieZ%29f6", 2722434)</f>
        <v>2722434</v>
      </c>
      <c r="C2221" s="2">
        <f>HYPERLINK("https://platform.v2.vetology.net/report/v/final/"&amp;2722434, 2722434)</f>
        <v>2722434</v>
      </c>
      <c r="D2221" s="2" t="s">
        <v>7139</v>
      </c>
      <c r="E2221" s="2" t="s">
        <v>7140</v>
      </c>
      <c r="F2221" s="2" t="s">
        <v>7141</v>
      </c>
      <c r="G2221" s="2" t="s">
        <v>127</v>
      </c>
      <c r="H2221" s="2" t="s">
        <v>7142</v>
      </c>
      <c r="I2221" s="2" t="s">
        <v>36</v>
      </c>
      <c r="J2221" s="2" t="s">
        <v>37</v>
      </c>
      <c r="K2221" s="2" t="s">
        <v>38</v>
      </c>
      <c r="L2221" s="2" t="s">
        <v>38</v>
      </c>
      <c r="M2221" s="2" t="s">
        <v>38</v>
      </c>
      <c r="N2221" s="2" t="s">
        <v>38</v>
      </c>
      <c r="O2221" s="2" t="s">
        <v>38</v>
      </c>
      <c r="P2221" s="2" t="s">
        <v>38</v>
      </c>
      <c r="Q2221" s="2" t="s">
        <v>39</v>
      </c>
      <c r="R2221" s="2" t="s">
        <v>38</v>
      </c>
      <c r="S2221" s="2" t="s">
        <v>38</v>
      </c>
      <c r="T2221" s="2" t="s">
        <v>38</v>
      </c>
      <c r="U2221" s="2" t="s">
        <v>38</v>
      </c>
      <c r="V2221" s="2" t="s">
        <v>38</v>
      </c>
      <c r="W2221" s="2" t="s">
        <v>38</v>
      </c>
      <c r="X2221" s="2" t="s">
        <v>38</v>
      </c>
      <c r="Y2221" s="2" t="s">
        <v>38</v>
      </c>
      <c r="Z2221" s="2" t="s">
        <v>38</v>
      </c>
      <c r="AA2221" s="2" t="s">
        <v>38</v>
      </c>
      <c r="AB2221" s="2" t="s">
        <v>38</v>
      </c>
      <c r="AC2221" s="2" t="s">
        <v>38</v>
      </c>
      <c r="AD2221" s="2" t="s">
        <v>38</v>
      </c>
      <c r="AE2221" s="2" t="s">
        <v>39</v>
      </c>
    </row>
    <row r="2222" spans="1:31" ht="409.5">
      <c r="A2222" s="2">
        <v>2722424</v>
      </c>
      <c r="B2222" s="2">
        <f>HYPERLINK("https://platform.v2.vetology.net/cases/2722424/screening-report/1?type=pdf&amp;v=v6&amp;scorecard=1&amp;secret_key=BX%25IJ%24%2F65ieZ%29f6", 2722424)</f>
        <v>2722424</v>
      </c>
      <c r="C2222" s="2">
        <f>HYPERLINK("https://platform.v2.vetology.net/report/v/final/"&amp;2722424, 2722424)</f>
        <v>2722424</v>
      </c>
      <c r="D2222" s="2" t="s">
        <v>7143</v>
      </c>
      <c r="E2222" s="2" t="s">
        <v>7144</v>
      </c>
      <c r="F2222" s="2" t="s">
        <v>7145</v>
      </c>
      <c r="G2222" s="2" t="s">
        <v>170</v>
      </c>
      <c r="H2222" s="2" t="s">
        <v>7146</v>
      </c>
      <c r="I2222" s="2" t="s">
        <v>257</v>
      </c>
      <c r="J2222" s="2" t="s">
        <v>74</v>
      </c>
      <c r="K2222" s="2" t="s">
        <v>38</v>
      </c>
      <c r="L2222" s="2" t="s">
        <v>38</v>
      </c>
      <c r="M2222" s="2" t="s">
        <v>38</v>
      </c>
      <c r="N2222" s="2" t="s">
        <v>38</v>
      </c>
      <c r="O2222" s="2" t="s">
        <v>38</v>
      </c>
      <c r="P2222" s="2" t="s">
        <v>38</v>
      </c>
      <c r="Q2222" s="2" t="s">
        <v>38</v>
      </c>
      <c r="R2222" s="2" t="s">
        <v>38</v>
      </c>
      <c r="S2222" s="2" t="s">
        <v>38</v>
      </c>
      <c r="T2222" s="2" t="s">
        <v>38</v>
      </c>
      <c r="U2222" s="2" t="s">
        <v>38</v>
      </c>
      <c r="V2222" s="2" t="s">
        <v>38</v>
      </c>
      <c r="W2222" s="2" t="s">
        <v>38</v>
      </c>
      <c r="X2222" s="2" t="s">
        <v>38</v>
      </c>
      <c r="Y2222" s="2" t="s">
        <v>39</v>
      </c>
      <c r="Z2222" s="2" t="s">
        <v>38</v>
      </c>
      <c r="AA2222" s="2" t="s">
        <v>38</v>
      </c>
      <c r="AB2222" s="2" t="s">
        <v>38</v>
      </c>
      <c r="AC2222" s="2" t="s">
        <v>38</v>
      </c>
      <c r="AD2222" s="2" t="s">
        <v>38</v>
      </c>
      <c r="AE2222" s="2" t="s">
        <v>40</v>
      </c>
    </row>
    <row r="2223" spans="1:31" ht="409.5">
      <c r="A2223" s="2">
        <v>2722418</v>
      </c>
      <c r="B2223" s="2">
        <f>HYPERLINK("https://platform.v2.vetology.net/cases/2722418/screening-report/1?type=pdf&amp;v=v6&amp;scorecard=1&amp;secret_key=BX%25IJ%24%2F65ieZ%29f6", 2722418)</f>
        <v>2722418</v>
      </c>
      <c r="C2223" s="2">
        <f>HYPERLINK("https://platform.v2.vetology.net/report/v/final/"&amp;2722418, 2722418)</f>
        <v>2722418</v>
      </c>
      <c r="D2223" s="2" t="s">
        <v>7147</v>
      </c>
      <c r="E2223" s="2" t="s">
        <v>7148</v>
      </c>
      <c r="F2223" s="2" t="s">
        <v>7149</v>
      </c>
      <c r="G2223" s="2" t="s">
        <v>34</v>
      </c>
      <c r="H2223" s="2" t="s">
        <v>398</v>
      </c>
      <c r="I2223" s="2" t="s">
        <v>46</v>
      </c>
      <c r="J2223" s="2"/>
      <c r="K2223" s="2" t="s">
        <v>38</v>
      </c>
      <c r="L2223" s="2" t="s">
        <v>39</v>
      </c>
      <c r="M2223" s="2" t="s">
        <v>39</v>
      </c>
      <c r="N2223" s="2" t="s">
        <v>39</v>
      </c>
      <c r="O2223" s="2" t="s">
        <v>39</v>
      </c>
      <c r="P2223" s="2" t="s">
        <v>39</v>
      </c>
      <c r="Q2223" s="2" t="s">
        <v>39</v>
      </c>
      <c r="R2223" s="2" t="s">
        <v>39</v>
      </c>
      <c r="S2223" s="2" t="s">
        <v>39</v>
      </c>
      <c r="T2223" s="2" t="s">
        <v>39</v>
      </c>
      <c r="U2223" s="2" t="s">
        <v>39</v>
      </c>
      <c r="V2223" s="2" t="s">
        <v>38</v>
      </c>
      <c r="W2223" s="2" t="s">
        <v>39</v>
      </c>
      <c r="X2223" s="2" t="s">
        <v>39</v>
      </c>
      <c r="Y2223" s="2" t="s">
        <v>39</v>
      </c>
      <c r="Z2223" s="2" t="s">
        <v>39</v>
      </c>
      <c r="AA2223" s="2" t="s">
        <v>39</v>
      </c>
      <c r="AB2223" s="2" t="s">
        <v>39</v>
      </c>
      <c r="AC2223" s="2" t="s">
        <v>39</v>
      </c>
      <c r="AD2223" s="2" t="s">
        <v>39</v>
      </c>
      <c r="AE2223" s="2" t="s">
        <v>39</v>
      </c>
    </row>
    <row r="2224" spans="1:31" ht="409.5">
      <c r="A2224" s="2">
        <v>2722397</v>
      </c>
      <c r="B2224" s="2">
        <f>HYPERLINK("https://platform.v2.vetology.net/cases/2722397/screening-report/1?type=pdf&amp;v=v6&amp;scorecard=1&amp;secret_key=BX%25IJ%24%2F65ieZ%29f6", 2722397)</f>
        <v>2722397</v>
      </c>
      <c r="C2224" s="2">
        <f>HYPERLINK("https://platform.v2.vetology.net/report/v/final/"&amp;2722397, 2722397)</f>
        <v>2722397</v>
      </c>
      <c r="D2224" s="2" t="s">
        <v>7150</v>
      </c>
      <c r="E2224" s="2" t="s">
        <v>7151</v>
      </c>
      <c r="F2224" s="2" t="s">
        <v>7152</v>
      </c>
      <c r="G2224" s="2" t="s">
        <v>170</v>
      </c>
      <c r="H2224" s="2" t="s">
        <v>69</v>
      </c>
      <c r="I2224" s="2" t="s">
        <v>46</v>
      </c>
      <c r="J2224" s="2"/>
      <c r="K2224" s="2" t="s">
        <v>39</v>
      </c>
      <c r="L2224" s="2" t="s">
        <v>39</v>
      </c>
      <c r="M2224" s="2" t="s">
        <v>39</v>
      </c>
      <c r="N2224" s="2" t="s">
        <v>39</v>
      </c>
      <c r="O2224" s="2" t="s">
        <v>39</v>
      </c>
      <c r="P2224" s="2" t="s">
        <v>39</v>
      </c>
      <c r="Q2224" s="2" t="s">
        <v>39</v>
      </c>
      <c r="R2224" s="2" t="s">
        <v>39</v>
      </c>
      <c r="S2224" s="2" t="s">
        <v>39</v>
      </c>
      <c r="T2224" s="2" t="s">
        <v>39</v>
      </c>
      <c r="U2224" s="2" t="s">
        <v>39</v>
      </c>
      <c r="V2224" s="2" t="s">
        <v>39</v>
      </c>
      <c r="W2224" s="2" t="s">
        <v>38</v>
      </c>
      <c r="X2224" s="2" t="s">
        <v>39</v>
      </c>
      <c r="Y2224" s="2" t="s">
        <v>39</v>
      </c>
      <c r="Z2224" s="2" t="s">
        <v>38</v>
      </c>
      <c r="AA2224" s="2" t="s">
        <v>38</v>
      </c>
      <c r="AB2224" s="2" t="s">
        <v>39</v>
      </c>
      <c r="AC2224" s="2" t="s">
        <v>39</v>
      </c>
      <c r="AD2224" s="2" t="s">
        <v>38</v>
      </c>
      <c r="AE2224" s="2" t="s">
        <v>40</v>
      </c>
    </row>
    <row r="2225" spans="1:31" ht="409.5">
      <c r="A2225" s="2">
        <v>2722385</v>
      </c>
      <c r="B2225" s="2">
        <f>HYPERLINK("https://platform.v2.vetology.net/cases/2722385/screening-report/1?type=pdf&amp;v=v6&amp;scorecard=1&amp;secret_key=BX%25IJ%24%2F65ieZ%29f6", 2722385)</f>
        <v>2722385</v>
      </c>
      <c r="C2225" s="2">
        <f>HYPERLINK("https://platform.v2.vetology.net/report/v/final/"&amp;2722385, 2722385)</f>
        <v>2722385</v>
      </c>
      <c r="D2225" s="2" t="s">
        <v>7153</v>
      </c>
      <c r="E2225" s="2" t="s">
        <v>7154</v>
      </c>
      <c r="F2225" s="2" t="s">
        <v>43</v>
      </c>
      <c r="G2225" s="2" t="s">
        <v>44</v>
      </c>
      <c r="H2225" s="2" t="s">
        <v>7155</v>
      </c>
      <c r="I2225" s="2" t="s">
        <v>73</v>
      </c>
      <c r="J2225" s="2" t="s">
        <v>74</v>
      </c>
      <c r="K2225" s="2" t="s">
        <v>38</v>
      </c>
      <c r="L2225" s="2" t="s">
        <v>39</v>
      </c>
      <c r="M2225" s="2" t="s">
        <v>38</v>
      </c>
      <c r="N2225" s="2" t="s">
        <v>39</v>
      </c>
      <c r="O2225" s="2" t="s">
        <v>38</v>
      </c>
      <c r="P2225" s="2" t="s">
        <v>38</v>
      </c>
      <c r="Q2225" s="2" t="s">
        <v>38</v>
      </c>
      <c r="R2225" s="2" t="s">
        <v>38</v>
      </c>
      <c r="S2225" s="2" t="s">
        <v>38</v>
      </c>
      <c r="T2225" s="2" t="s">
        <v>38</v>
      </c>
      <c r="U2225" s="2" t="s">
        <v>38</v>
      </c>
      <c r="V2225" s="2" t="s">
        <v>38</v>
      </c>
      <c r="W2225" s="2" t="s">
        <v>38</v>
      </c>
      <c r="X2225" s="2" t="s">
        <v>38</v>
      </c>
      <c r="Y2225" s="2" t="s">
        <v>39</v>
      </c>
      <c r="Z2225" s="2" t="s">
        <v>38</v>
      </c>
      <c r="AA2225" s="2" t="s">
        <v>38</v>
      </c>
      <c r="AB2225" s="2" t="s">
        <v>38</v>
      </c>
      <c r="AC2225" s="2" t="s">
        <v>38</v>
      </c>
      <c r="AD2225" s="2" t="s">
        <v>38</v>
      </c>
      <c r="AE2225" s="2" t="s">
        <v>40</v>
      </c>
    </row>
    <row r="2226" spans="1:31" ht="409.5">
      <c r="A2226" s="2">
        <v>2722380</v>
      </c>
      <c r="B2226" s="2">
        <f>HYPERLINK("https://platform.v2.vetology.net/cases/2722380/screening-report/1?type=pdf&amp;v=v6&amp;scorecard=1&amp;secret_key=BX%25IJ%24%2F65ieZ%29f6", 2722380)</f>
        <v>2722380</v>
      </c>
      <c r="C2226" s="2">
        <f>HYPERLINK("https://platform.v2.vetology.net/report/v/final/"&amp;2722380, 2722380)</f>
        <v>2722380</v>
      </c>
      <c r="D2226" s="2" t="s">
        <v>7156</v>
      </c>
      <c r="E2226" s="2" t="s">
        <v>7157</v>
      </c>
      <c r="F2226" s="2" t="s">
        <v>7158</v>
      </c>
      <c r="G2226" s="2" t="s">
        <v>53</v>
      </c>
      <c r="H2226" s="2" t="s">
        <v>7159</v>
      </c>
      <c r="I2226" s="2" t="s">
        <v>257</v>
      </c>
      <c r="J2226" s="2" t="s">
        <v>74</v>
      </c>
      <c r="K2226" s="2" t="s">
        <v>38</v>
      </c>
      <c r="L2226" s="2" t="s">
        <v>38</v>
      </c>
      <c r="M2226" s="2" t="s">
        <v>38</v>
      </c>
      <c r="N2226" s="2" t="s">
        <v>38</v>
      </c>
      <c r="O2226" s="2" t="s">
        <v>38</v>
      </c>
      <c r="P2226" s="2" t="s">
        <v>38</v>
      </c>
      <c r="Q2226" s="2" t="s">
        <v>38</v>
      </c>
      <c r="R2226" s="2" t="s">
        <v>38</v>
      </c>
      <c r="S2226" s="2" t="s">
        <v>38</v>
      </c>
      <c r="T2226" s="2" t="s">
        <v>38</v>
      </c>
      <c r="U2226" s="2" t="s">
        <v>38</v>
      </c>
      <c r="V2226" s="2" t="s">
        <v>38</v>
      </c>
      <c r="W2226" s="2" t="s">
        <v>38</v>
      </c>
      <c r="X2226" s="2" t="s">
        <v>38</v>
      </c>
      <c r="Y2226" s="2" t="s">
        <v>38</v>
      </c>
      <c r="Z2226" s="2" t="s">
        <v>38</v>
      </c>
      <c r="AA2226" s="2" t="s">
        <v>38</v>
      </c>
      <c r="AB2226" s="2" t="s">
        <v>39</v>
      </c>
      <c r="AC2226" s="2" t="s">
        <v>38</v>
      </c>
      <c r="AD2226" s="2" t="s">
        <v>38</v>
      </c>
      <c r="AE2226" s="2" t="s">
        <v>39</v>
      </c>
    </row>
    <row r="2227" spans="1:31" ht="409.5">
      <c r="A2227" s="2">
        <v>2722348</v>
      </c>
      <c r="B2227" s="2">
        <f>HYPERLINK("https://platform.v2.vetology.net/cases/2722348/screening-report/1?type=pdf&amp;v=v6&amp;scorecard=1&amp;secret_key=BX%25IJ%24%2F65ieZ%29f6", 2722348)</f>
        <v>2722348</v>
      </c>
      <c r="C2227" s="2">
        <f>HYPERLINK("https://platform.v2.vetology.net/report/v/final/"&amp;2722348, 2722348)</f>
        <v>2722348</v>
      </c>
      <c r="D2227" s="2" t="s">
        <v>7160</v>
      </c>
      <c r="E2227" s="2" t="s">
        <v>7161</v>
      </c>
      <c r="F2227" s="2" t="s">
        <v>7162</v>
      </c>
      <c r="G2227" s="2" t="s">
        <v>53</v>
      </c>
      <c r="H2227" s="2" t="s">
        <v>7163</v>
      </c>
      <c r="I2227" s="2" t="s">
        <v>129</v>
      </c>
      <c r="J2227" s="2" t="s">
        <v>74</v>
      </c>
      <c r="K2227" s="2" t="s">
        <v>39</v>
      </c>
      <c r="L2227" s="2" t="s">
        <v>38</v>
      </c>
      <c r="M2227" s="2" t="s">
        <v>38</v>
      </c>
      <c r="N2227" s="2" t="s">
        <v>38</v>
      </c>
      <c r="O2227" s="2" t="s">
        <v>38</v>
      </c>
      <c r="P2227" s="2" t="s">
        <v>38</v>
      </c>
      <c r="Q2227" s="2" t="s">
        <v>38</v>
      </c>
      <c r="R2227" s="2" t="s">
        <v>38</v>
      </c>
      <c r="S2227" s="2" t="s">
        <v>38</v>
      </c>
      <c r="T2227" s="2" t="s">
        <v>38</v>
      </c>
      <c r="U2227" s="2" t="s">
        <v>39</v>
      </c>
      <c r="V2227" s="2" t="s">
        <v>39</v>
      </c>
      <c r="W2227" s="2" t="s">
        <v>38</v>
      </c>
      <c r="X2227" s="2" t="s">
        <v>38</v>
      </c>
      <c r="Y2227" s="2" t="s">
        <v>38</v>
      </c>
      <c r="Z2227" s="2" t="s">
        <v>38</v>
      </c>
      <c r="AA2227" s="2" t="s">
        <v>38</v>
      </c>
      <c r="AB2227" s="2" t="s">
        <v>39</v>
      </c>
      <c r="AC2227" s="2" t="s">
        <v>38</v>
      </c>
      <c r="AD2227" s="2" t="s">
        <v>38</v>
      </c>
      <c r="AE2227" s="2" t="s">
        <v>40</v>
      </c>
    </row>
    <row r="2228" spans="1:31" ht="409.5">
      <c r="A2228" s="2">
        <v>2722309</v>
      </c>
      <c r="B2228" s="2">
        <f>HYPERLINK("https://platform.v2.vetology.net/cases/2722309/screening-report/1?type=pdf&amp;v=v6&amp;scorecard=1&amp;secret_key=BX%25IJ%24%2F65ieZ%29f6", 2722309)</f>
        <v>2722309</v>
      </c>
      <c r="C2228" s="2">
        <f>HYPERLINK("https://platform.v2.vetology.net/report/v/final/"&amp;2722309, 2722309)</f>
        <v>2722309</v>
      </c>
      <c r="D2228" s="2" t="s">
        <v>7164</v>
      </c>
      <c r="E2228" s="2" t="s">
        <v>7165</v>
      </c>
      <c r="F2228" s="2" t="s">
        <v>43</v>
      </c>
      <c r="G2228" s="2" t="s">
        <v>44</v>
      </c>
      <c r="H2228" s="2" t="s">
        <v>69</v>
      </c>
      <c r="I2228" s="2" t="s">
        <v>46</v>
      </c>
      <c r="J2228" s="2"/>
      <c r="K2228" s="2" t="s">
        <v>39</v>
      </c>
      <c r="L2228" s="2" t="s">
        <v>39</v>
      </c>
      <c r="M2228" s="2" t="s">
        <v>39</v>
      </c>
      <c r="N2228" s="2" t="s">
        <v>39</v>
      </c>
      <c r="O2228" s="2" t="s">
        <v>39</v>
      </c>
      <c r="P2228" s="2" t="s">
        <v>39</v>
      </c>
      <c r="Q2228" s="2" t="s">
        <v>39</v>
      </c>
      <c r="R2228" s="2" t="s">
        <v>39</v>
      </c>
      <c r="S2228" s="2" t="s">
        <v>39</v>
      </c>
      <c r="T2228" s="2" t="s">
        <v>38</v>
      </c>
      <c r="U2228" s="2" t="s">
        <v>39</v>
      </c>
      <c r="V2228" s="2" t="s">
        <v>39</v>
      </c>
      <c r="W2228" s="2" t="s">
        <v>39</v>
      </c>
      <c r="X2228" s="2" t="s">
        <v>39</v>
      </c>
      <c r="Y2228" s="2" t="s">
        <v>39</v>
      </c>
      <c r="Z2228" s="2" t="s">
        <v>39</v>
      </c>
      <c r="AA2228" s="2" t="s">
        <v>39</v>
      </c>
      <c r="AB2228" s="2" t="s">
        <v>39</v>
      </c>
      <c r="AC2228" s="2" t="s">
        <v>38</v>
      </c>
      <c r="AD2228" s="2" t="s">
        <v>38</v>
      </c>
      <c r="AE2228" s="2" t="s">
        <v>39</v>
      </c>
    </row>
    <row r="2229" spans="1:31" ht="409.5">
      <c r="A2229" s="2">
        <v>2722294</v>
      </c>
      <c r="B2229" s="2">
        <f>HYPERLINK("https://platform.v2.vetology.net/cases/2722294/screening-report/1?type=pdf&amp;v=v6&amp;scorecard=1&amp;secret_key=BX%25IJ%24%2F65ieZ%29f6", 2722294)</f>
        <v>2722294</v>
      </c>
      <c r="C2229" s="2">
        <f>HYPERLINK("https://platform.v2.vetology.net/report/v/final/"&amp;2722294, 2722294)</f>
        <v>2722294</v>
      </c>
      <c r="D2229" s="2" t="s">
        <v>7166</v>
      </c>
      <c r="E2229" s="2" t="s">
        <v>7167</v>
      </c>
      <c r="F2229" s="2" t="s">
        <v>7168</v>
      </c>
      <c r="G2229" s="2" t="s">
        <v>53</v>
      </c>
      <c r="H2229" s="2" t="s">
        <v>69</v>
      </c>
      <c r="I2229" s="2" t="s">
        <v>46</v>
      </c>
      <c r="J2229" s="2"/>
      <c r="K2229" s="2" t="s">
        <v>39</v>
      </c>
      <c r="L2229" s="2" t="s">
        <v>39</v>
      </c>
      <c r="M2229" s="2" t="s">
        <v>39</v>
      </c>
      <c r="N2229" s="2" t="s">
        <v>39</v>
      </c>
      <c r="O2229" s="2" t="s">
        <v>39</v>
      </c>
      <c r="P2229" s="2" t="s">
        <v>39</v>
      </c>
      <c r="Q2229" s="2" t="s">
        <v>39</v>
      </c>
      <c r="R2229" s="2" t="s">
        <v>39</v>
      </c>
      <c r="S2229" s="2" t="s">
        <v>39</v>
      </c>
      <c r="T2229" s="2" t="s">
        <v>39</v>
      </c>
      <c r="U2229" s="2" t="s">
        <v>39</v>
      </c>
      <c r="V2229" s="2" t="s">
        <v>39</v>
      </c>
      <c r="W2229" s="2" t="s">
        <v>39</v>
      </c>
      <c r="X2229" s="2" t="s">
        <v>39</v>
      </c>
      <c r="Y2229" s="2" t="s">
        <v>39</v>
      </c>
      <c r="Z2229" s="2" t="s">
        <v>39</v>
      </c>
      <c r="AA2229" s="2" t="s">
        <v>39</v>
      </c>
      <c r="AB2229" s="2" t="s">
        <v>39</v>
      </c>
      <c r="AC2229" s="2" t="s">
        <v>38</v>
      </c>
      <c r="AD2229" s="2" t="s">
        <v>39</v>
      </c>
      <c r="AE2229" s="2" t="s">
        <v>39</v>
      </c>
    </row>
    <row r="2230" spans="1:31" ht="409.5">
      <c r="A2230" s="2">
        <v>2722258</v>
      </c>
      <c r="B2230" s="2">
        <f>HYPERLINK("https://platform.v2.vetology.net/cases/2722258/screening-report/1?type=pdf&amp;v=v6&amp;scorecard=1&amp;secret_key=BX%25IJ%24%2F65ieZ%29f6", 2722258)</f>
        <v>2722258</v>
      </c>
      <c r="C2230" s="2">
        <f>HYPERLINK("https://platform.v2.vetology.net/report/v/final/"&amp;2722258, 2722258)</f>
        <v>2722258</v>
      </c>
      <c r="D2230" s="2" t="s">
        <v>7169</v>
      </c>
      <c r="E2230" s="2" t="s">
        <v>7170</v>
      </c>
      <c r="F2230" s="2" t="s">
        <v>43</v>
      </c>
      <c r="G2230" s="2" t="s">
        <v>44</v>
      </c>
      <c r="H2230" s="2" t="s">
        <v>69</v>
      </c>
      <c r="I2230" s="2" t="s">
        <v>46</v>
      </c>
      <c r="J2230" s="2"/>
      <c r="K2230" s="2" t="s">
        <v>39</v>
      </c>
      <c r="L2230" s="2" t="s">
        <v>39</v>
      </c>
      <c r="M2230" s="2" t="s">
        <v>39</v>
      </c>
      <c r="N2230" s="2" t="s">
        <v>39</v>
      </c>
      <c r="O2230" s="2" t="s">
        <v>38</v>
      </c>
      <c r="P2230" s="2" t="s">
        <v>39</v>
      </c>
      <c r="Q2230" s="2" t="s">
        <v>39</v>
      </c>
      <c r="R2230" s="2" t="s">
        <v>39</v>
      </c>
      <c r="S2230" s="2" t="s">
        <v>39</v>
      </c>
      <c r="T2230" s="2" t="s">
        <v>39</v>
      </c>
      <c r="U2230" s="2" t="s">
        <v>39</v>
      </c>
      <c r="V2230" s="2" t="s">
        <v>39</v>
      </c>
      <c r="W2230" s="2" t="s">
        <v>39</v>
      </c>
      <c r="X2230" s="2" t="s">
        <v>39</v>
      </c>
      <c r="Y2230" s="2" t="s">
        <v>39</v>
      </c>
      <c r="Z2230" s="2" t="s">
        <v>39</v>
      </c>
      <c r="AA2230" s="2" t="s">
        <v>39</v>
      </c>
      <c r="AB2230" s="2" t="s">
        <v>39</v>
      </c>
      <c r="AC2230" s="2" t="s">
        <v>39</v>
      </c>
      <c r="AD2230" s="2" t="s">
        <v>38</v>
      </c>
      <c r="AE2230" s="2" t="s">
        <v>39</v>
      </c>
    </row>
    <row r="2231" spans="1:31" ht="409.5">
      <c r="A2231" s="2">
        <v>2722249</v>
      </c>
      <c r="B2231" s="2">
        <f>HYPERLINK("https://platform.v2.vetology.net/cases/2722249/screening-report/1?type=pdf&amp;v=v6&amp;scorecard=1&amp;secret_key=BX%25IJ%24%2F65ieZ%29f6", 2722249)</f>
        <v>2722249</v>
      </c>
      <c r="C2231" s="2">
        <f>HYPERLINK("https://platform.v2.vetology.net/report/v/final/"&amp;2722249, 2722249)</f>
        <v>2722249</v>
      </c>
      <c r="D2231" s="2" t="s">
        <v>7171</v>
      </c>
      <c r="E2231" s="2" t="s">
        <v>7172</v>
      </c>
      <c r="F2231" s="2" t="s">
        <v>7173</v>
      </c>
      <c r="G2231" s="2" t="s">
        <v>53</v>
      </c>
      <c r="H2231" s="2" t="s">
        <v>1526</v>
      </c>
      <c r="I2231" s="2" t="s">
        <v>36</v>
      </c>
      <c r="J2231" s="2" t="s">
        <v>37</v>
      </c>
      <c r="K2231" s="2" t="s">
        <v>39</v>
      </c>
      <c r="L2231" s="2" t="s">
        <v>38</v>
      </c>
      <c r="M2231" s="2" t="s">
        <v>39</v>
      </c>
      <c r="N2231" s="2" t="s">
        <v>38</v>
      </c>
      <c r="O2231" s="2" t="s">
        <v>38</v>
      </c>
      <c r="P2231" s="2" t="s">
        <v>39</v>
      </c>
      <c r="Q2231" s="2" t="s">
        <v>39</v>
      </c>
      <c r="R2231" s="2" t="s">
        <v>38</v>
      </c>
      <c r="S2231" s="2" t="s">
        <v>38</v>
      </c>
      <c r="T2231" s="2" t="s">
        <v>39</v>
      </c>
      <c r="U2231" s="2" t="s">
        <v>39</v>
      </c>
      <c r="V2231" s="2" t="s">
        <v>39</v>
      </c>
      <c r="W2231" s="2" t="s">
        <v>39</v>
      </c>
      <c r="X2231" s="2" t="s">
        <v>39</v>
      </c>
      <c r="Y2231" s="2" t="s">
        <v>39</v>
      </c>
      <c r="Z2231" s="2" t="s">
        <v>38</v>
      </c>
      <c r="AA2231" s="2" t="s">
        <v>38</v>
      </c>
      <c r="AB2231" s="2" t="s">
        <v>39</v>
      </c>
      <c r="AC2231" s="2" t="s">
        <v>38</v>
      </c>
      <c r="AD2231" s="2" t="s">
        <v>38</v>
      </c>
      <c r="AE2231" s="2" t="s">
        <v>39</v>
      </c>
    </row>
    <row r="2232" spans="1:31" ht="409.5">
      <c r="A2232" s="2">
        <v>2722229</v>
      </c>
      <c r="B2232" s="2">
        <f>HYPERLINK("https://platform.v2.vetology.net/cases/2722229/screening-report/1?type=pdf&amp;v=v6&amp;scorecard=1&amp;secret_key=BX%25IJ%24%2F65ieZ%29f6", 2722229)</f>
        <v>2722229</v>
      </c>
      <c r="C2232" s="2">
        <f>HYPERLINK("https://platform.v2.vetology.net/report/v/final/"&amp;2722229, 2722229)</f>
        <v>2722229</v>
      </c>
      <c r="D2232" s="2" t="s">
        <v>7174</v>
      </c>
      <c r="E2232" s="2" t="s">
        <v>4561</v>
      </c>
      <c r="F2232" s="2" t="s">
        <v>7175</v>
      </c>
      <c r="G2232" s="2" t="s">
        <v>127</v>
      </c>
      <c r="H2232" s="2" t="s">
        <v>69</v>
      </c>
      <c r="I2232" s="2" t="s">
        <v>46</v>
      </c>
      <c r="J2232" s="2"/>
      <c r="K2232" s="2" t="s">
        <v>39</v>
      </c>
      <c r="L2232" s="2" t="s">
        <v>39</v>
      </c>
      <c r="M2232" s="2" t="s">
        <v>39</v>
      </c>
      <c r="N2232" s="2" t="s">
        <v>39</v>
      </c>
      <c r="O2232" s="2" t="s">
        <v>39</v>
      </c>
      <c r="P2232" s="2" t="s">
        <v>39</v>
      </c>
      <c r="Q2232" s="2" t="s">
        <v>39</v>
      </c>
      <c r="R2232" s="2" t="s">
        <v>39</v>
      </c>
      <c r="S2232" s="2" t="s">
        <v>39</v>
      </c>
      <c r="T2232" s="2" t="s">
        <v>38</v>
      </c>
      <c r="U2232" s="2" t="s">
        <v>39</v>
      </c>
      <c r="V2232" s="2" t="s">
        <v>39</v>
      </c>
      <c r="W2232" s="2" t="s">
        <v>39</v>
      </c>
      <c r="X2232" s="2" t="s">
        <v>39</v>
      </c>
      <c r="Y2232" s="2" t="s">
        <v>39</v>
      </c>
      <c r="Z2232" s="2" t="s">
        <v>39</v>
      </c>
      <c r="AA2232" s="2" t="s">
        <v>39</v>
      </c>
      <c r="AB2232" s="2" t="s">
        <v>39</v>
      </c>
      <c r="AC2232" s="2" t="s">
        <v>39</v>
      </c>
      <c r="AD2232" s="2" t="s">
        <v>38</v>
      </c>
      <c r="AE2232" s="2" t="s">
        <v>39</v>
      </c>
    </row>
    <row r="2233" spans="1:31" ht="409.5">
      <c r="A2233" s="2">
        <v>2722223</v>
      </c>
      <c r="B2233" s="2">
        <f>HYPERLINK("https://platform.v2.vetology.net/cases/2722223/screening-report/1?type=pdf&amp;v=v6&amp;scorecard=1&amp;secret_key=BX%25IJ%24%2F65ieZ%29f6", 2722223)</f>
        <v>2722223</v>
      </c>
      <c r="C2233" s="2">
        <f>HYPERLINK("https://platform.v2.vetology.net/report/v/final/"&amp;2722223, 2722223)</f>
        <v>2722223</v>
      </c>
      <c r="D2233" s="2" t="s">
        <v>7176</v>
      </c>
      <c r="E2233" s="2" t="s">
        <v>7177</v>
      </c>
      <c r="F2233" s="2" t="s">
        <v>7178</v>
      </c>
      <c r="G2233" s="2" t="s">
        <v>127</v>
      </c>
      <c r="H2233" s="2" t="s">
        <v>62</v>
      </c>
      <c r="I2233" s="2" t="s">
        <v>46</v>
      </c>
      <c r="J2233" s="2"/>
      <c r="K2233" s="2" t="s">
        <v>39</v>
      </c>
      <c r="L2233" s="2" t="s">
        <v>39</v>
      </c>
      <c r="M2233" s="2" t="s">
        <v>39</v>
      </c>
      <c r="N2233" s="2" t="s">
        <v>39</v>
      </c>
      <c r="O2233" s="2" t="s">
        <v>39</v>
      </c>
      <c r="P2233" s="2" t="s">
        <v>39</v>
      </c>
      <c r="Q2233" s="2" t="s">
        <v>39</v>
      </c>
      <c r="R2233" s="2" t="s">
        <v>38</v>
      </c>
      <c r="S2233" s="2" t="s">
        <v>38</v>
      </c>
      <c r="T2233" s="2" t="s">
        <v>39</v>
      </c>
      <c r="U2233" s="2" t="s">
        <v>39</v>
      </c>
      <c r="V2233" s="2" t="s">
        <v>39</v>
      </c>
      <c r="W2233" s="2" t="s">
        <v>39</v>
      </c>
      <c r="X2233" s="2" t="s">
        <v>39</v>
      </c>
      <c r="Y2233" s="2" t="s">
        <v>39</v>
      </c>
      <c r="Z2233" s="2" t="s">
        <v>39</v>
      </c>
      <c r="AA2233" s="2" t="s">
        <v>39</v>
      </c>
      <c r="AB2233" s="2" t="s">
        <v>39</v>
      </c>
      <c r="AC2233" s="2" t="s">
        <v>38</v>
      </c>
      <c r="AD2233" s="2" t="s">
        <v>38</v>
      </c>
      <c r="AE2233" s="2" t="s">
        <v>39</v>
      </c>
    </row>
    <row r="2234" spans="1:31" ht="409.5">
      <c r="A2234" s="2">
        <v>2722221</v>
      </c>
      <c r="B2234" s="2">
        <f>HYPERLINK("https://platform.v2.vetology.net/cases/2722221/screening-report/1?type=pdf&amp;v=v6&amp;scorecard=1&amp;secret_key=BX%25IJ%24%2F65ieZ%29f6", 2722221)</f>
        <v>2722221</v>
      </c>
      <c r="C2234" s="2">
        <f>HYPERLINK("https://platform.v2.vetology.net/report/v/final/"&amp;2722221, 2722221)</f>
        <v>2722221</v>
      </c>
      <c r="D2234" s="2" t="s">
        <v>7179</v>
      </c>
      <c r="E2234" s="2" t="s">
        <v>7180</v>
      </c>
      <c r="F2234" s="2" t="s">
        <v>43</v>
      </c>
      <c r="G2234" s="2" t="s">
        <v>44</v>
      </c>
      <c r="H2234" s="2" t="s">
        <v>7181</v>
      </c>
      <c r="I2234" s="2" t="s">
        <v>36</v>
      </c>
      <c r="J2234" s="2" t="s">
        <v>37</v>
      </c>
      <c r="K2234" s="2" t="s">
        <v>39</v>
      </c>
      <c r="L2234" s="2" t="s">
        <v>38</v>
      </c>
      <c r="M2234" s="2" t="s">
        <v>39</v>
      </c>
      <c r="N2234" s="2" t="s">
        <v>39</v>
      </c>
      <c r="O2234" s="2" t="s">
        <v>39</v>
      </c>
      <c r="P2234" s="2" t="s">
        <v>39</v>
      </c>
      <c r="Q2234" s="2" t="s">
        <v>39</v>
      </c>
      <c r="R2234" s="2" t="s">
        <v>39</v>
      </c>
      <c r="S2234" s="2" t="s">
        <v>39</v>
      </c>
      <c r="T2234" s="2" t="s">
        <v>39</v>
      </c>
      <c r="U2234" s="2" t="s">
        <v>39</v>
      </c>
      <c r="V2234" s="2" t="s">
        <v>38</v>
      </c>
      <c r="W2234" s="2" t="s">
        <v>38</v>
      </c>
      <c r="X2234" s="2" t="s">
        <v>39</v>
      </c>
      <c r="Y2234" s="2" t="s">
        <v>39</v>
      </c>
      <c r="Z2234" s="2" t="s">
        <v>38</v>
      </c>
      <c r="AA2234" s="2" t="s">
        <v>38</v>
      </c>
      <c r="AB2234" s="2" t="s">
        <v>39</v>
      </c>
      <c r="AC2234" s="2" t="s">
        <v>39</v>
      </c>
      <c r="AD2234" s="2" t="s">
        <v>39</v>
      </c>
      <c r="AE2234" s="2"/>
    </row>
    <row r="2235" spans="1:31" ht="409.5">
      <c r="A2235" s="2">
        <v>2722206</v>
      </c>
      <c r="B2235" s="2">
        <f>HYPERLINK("https://platform.v2.vetology.net/cases/2722206/screening-report/1?type=pdf&amp;v=v6&amp;scorecard=1&amp;secret_key=BX%25IJ%24%2F65ieZ%29f6", 2722206)</f>
        <v>2722206</v>
      </c>
      <c r="C2235" s="2">
        <f>HYPERLINK("https://platform.v2.vetology.net/report/v/final/"&amp;2722206, 2722206)</f>
        <v>2722206</v>
      </c>
      <c r="D2235" s="2" t="s">
        <v>7182</v>
      </c>
      <c r="E2235" s="2" t="s">
        <v>7183</v>
      </c>
      <c r="F2235" s="2" t="s">
        <v>43</v>
      </c>
      <c r="G2235" s="2" t="s">
        <v>44</v>
      </c>
      <c r="H2235" s="2" t="s">
        <v>530</v>
      </c>
      <c r="I2235" s="2" t="s">
        <v>59</v>
      </c>
      <c r="J2235" s="2" t="s">
        <v>37</v>
      </c>
      <c r="K2235" s="2" t="s">
        <v>38</v>
      </c>
      <c r="L2235" s="2" t="s">
        <v>39</v>
      </c>
      <c r="M2235" s="2" t="s">
        <v>39</v>
      </c>
      <c r="N2235" s="2" t="s">
        <v>39</v>
      </c>
      <c r="O2235" s="2" t="s">
        <v>39</v>
      </c>
      <c r="P2235" s="2" t="s">
        <v>39</v>
      </c>
      <c r="Q2235" s="2" t="s">
        <v>39</v>
      </c>
      <c r="R2235" s="2" t="s">
        <v>39</v>
      </c>
      <c r="S2235" s="2" t="s">
        <v>39</v>
      </c>
      <c r="T2235" s="2" t="s">
        <v>38</v>
      </c>
      <c r="U2235" s="2" t="s">
        <v>38</v>
      </c>
      <c r="V2235" s="2" t="s">
        <v>38</v>
      </c>
      <c r="W2235" s="2" t="s">
        <v>39</v>
      </c>
      <c r="X2235" s="2" t="s">
        <v>39</v>
      </c>
      <c r="Y2235" s="2" t="s">
        <v>39</v>
      </c>
      <c r="Z2235" s="2" t="s">
        <v>39</v>
      </c>
      <c r="AA2235" s="2" t="s">
        <v>39</v>
      </c>
      <c r="AB2235" s="2" t="s">
        <v>39</v>
      </c>
      <c r="AC2235" s="2" t="s">
        <v>39</v>
      </c>
      <c r="AD2235" s="2" t="s">
        <v>39</v>
      </c>
      <c r="AE2235" s="2" t="s">
        <v>39</v>
      </c>
    </row>
    <row r="2236" spans="1:31" ht="409.5">
      <c r="A2236" s="2">
        <v>2722153</v>
      </c>
      <c r="B2236" s="2">
        <f>HYPERLINK("https://platform.v2.vetology.net/cases/2722153/screening-report/1?type=pdf&amp;v=v6&amp;scorecard=1&amp;secret_key=BX%25IJ%24%2F65ieZ%29f6", 2722153)</f>
        <v>2722153</v>
      </c>
      <c r="C2236" s="2">
        <f>HYPERLINK("https://platform.v2.vetology.net/report/v/final/"&amp;2722153, 2722153)</f>
        <v>2722153</v>
      </c>
      <c r="D2236" s="2" t="s">
        <v>7184</v>
      </c>
      <c r="E2236" s="2" t="s">
        <v>7185</v>
      </c>
      <c r="F2236" s="2" t="s">
        <v>43</v>
      </c>
      <c r="G2236" s="2" t="s">
        <v>44</v>
      </c>
      <c r="H2236" s="2" t="s">
        <v>158</v>
      </c>
      <c r="I2236" s="2" t="s">
        <v>59</v>
      </c>
      <c r="J2236" s="2" t="s">
        <v>37</v>
      </c>
      <c r="K2236" s="2" t="s">
        <v>38</v>
      </c>
      <c r="L2236" s="2" t="s">
        <v>39</v>
      </c>
      <c r="M2236" s="2" t="s">
        <v>39</v>
      </c>
      <c r="N2236" s="2" t="s">
        <v>39</v>
      </c>
      <c r="O2236" s="2" t="s">
        <v>39</v>
      </c>
      <c r="P2236" s="2" t="s">
        <v>39</v>
      </c>
      <c r="Q2236" s="2" t="s">
        <v>39</v>
      </c>
      <c r="R2236" s="2" t="s">
        <v>39</v>
      </c>
      <c r="S2236" s="2" t="s">
        <v>39</v>
      </c>
      <c r="T2236" s="2" t="s">
        <v>38</v>
      </c>
      <c r="U2236" s="2" t="s">
        <v>39</v>
      </c>
      <c r="V2236" s="2" t="s">
        <v>39</v>
      </c>
      <c r="W2236" s="2" t="s">
        <v>39</v>
      </c>
      <c r="X2236" s="2" t="s">
        <v>39</v>
      </c>
      <c r="Y2236" s="2" t="s">
        <v>39</v>
      </c>
      <c r="Z2236" s="2" t="s">
        <v>39</v>
      </c>
      <c r="AA2236" s="2" t="s">
        <v>39</v>
      </c>
      <c r="AB2236" s="2" t="s">
        <v>39</v>
      </c>
      <c r="AC2236" s="2" t="s">
        <v>38</v>
      </c>
      <c r="AD2236" s="2" t="s">
        <v>39</v>
      </c>
      <c r="AE2236" s="2" t="s">
        <v>39</v>
      </c>
    </row>
    <row r="2237" spans="1:31" ht="409.5">
      <c r="A2237" s="2">
        <v>2722138</v>
      </c>
      <c r="B2237" s="2">
        <f>HYPERLINK("https://platform.v2.vetology.net/cases/2722138/screening-report/1?type=pdf&amp;v=v6&amp;scorecard=1&amp;secret_key=BX%25IJ%24%2F65ieZ%29f6", 2722138)</f>
        <v>2722138</v>
      </c>
      <c r="C2237" s="2">
        <f>HYPERLINK("https://platform.v2.vetology.net/report/v/final/"&amp;2722138, 2722138)</f>
        <v>2722138</v>
      </c>
      <c r="D2237" s="2" t="s">
        <v>7186</v>
      </c>
      <c r="E2237" s="2" t="s">
        <v>7187</v>
      </c>
      <c r="F2237" s="2" t="s">
        <v>7188</v>
      </c>
      <c r="G2237" s="2" t="s">
        <v>170</v>
      </c>
      <c r="H2237" s="2" t="s">
        <v>7189</v>
      </c>
      <c r="I2237" s="2" t="s">
        <v>36</v>
      </c>
      <c r="J2237" s="2" t="s">
        <v>37</v>
      </c>
      <c r="K2237" s="2" t="s">
        <v>38</v>
      </c>
      <c r="L2237" s="2" t="s">
        <v>38</v>
      </c>
      <c r="M2237" s="2" t="s">
        <v>38</v>
      </c>
      <c r="N2237" s="2" t="s">
        <v>38</v>
      </c>
      <c r="O2237" s="2" t="s">
        <v>38</v>
      </c>
      <c r="P2237" s="2" t="s">
        <v>38</v>
      </c>
      <c r="Q2237" s="2" t="s">
        <v>39</v>
      </c>
      <c r="R2237" s="2" t="s">
        <v>38</v>
      </c>
      <c r="S2237" s="2" t="s">
        <v>39</v>
      </c>
      <c r="T2237" s="2" t="s">
        <v>39</v>
      </c>
      <c r="U2237" s="2" t="s">
        <v>38</v>
      </c>
      <c r="V2237" s="2" t="s">
        <v>38</v>
      </c>
      <c r="W2237" s="2" t="s">
        <v>38</v>
      </c>
      <c r="X2237" s="2" t="s">
        <v>39</v>
      </c>
      <c r="Y2237" s="2" t="s">
        <v>39</v>
      </c>
      <c r="Z2237" s="2" t="s">
        <v>38</v>
      </c>
      <c r="AA2237" s="2" t="s">
        <v>38</v>
      </c>
      <c r="AB2237" s="2" t="s">
        <v>39</v>
      </c>
      <c r="AC2237" s="2" t="s">
        <v>38</v>
      </c>
      <c r="AD2237" s="2" t="s">
        <v>38</v>
      </c>
      <c r="AE2237" s="2"/>
    </row>
    <row r="2238" spans="1:31" ht="409.5">
      <c r="A2238" s="2">
        <v>2722084</v>
      </c>
      <c r="B2238" s="2">
        <f>HYPERLINK("https://platform.v2.vetology.net/cases/2722084/screening-report/1?type=pdf&amp;v=v6&amp;scorecard=1&amp;secret_key=BX%25IJ%24%2F65ieZ%29f6", 2722084)</f>
        <v>2722084</v>
      </c>
      <c r="C2238" s="2">
        <f>HYPERLINK("https://platform.v2.vetology.net/report/v/final/"&amp;2722084, 2722084)</f>
        <v>2722084</v>
      </c>
      <c r="D2238" s="2" t="s">
        <v>5239</v>
      </c>
      <c r="E2238" s="2" t="s">
        <v>1091</v>
      </c>
      <c r="F2238" s="2" t="s">
        <v>787</v>
      </c>
      <c r="G2238" s="2" t="s">
        <v>100</v>
      </c>
      <c r="H2238" s="2" t="s">
        <v>7190</v>
      </c>
      <c r="I2238" s="2" t="s">
        <v>129</v>
      </c>
      <c r="J2238" s="2" t="s">
        <v>74</v>
      </c>
      <c r="K2238" s="2" t="s">
        <v>38</v>
      </c>
      <c r="L2238" s="2" t="s">
        <v>38</v>
      </c>
      <c r="M2238" s="2" t="s">
        <v>38</v>
      </c>
      <c r="N2238" s="2" t="s">
        <v>38</v>
      </c>
      <c r="O2238" s="2" t="s">
        <v>38</v>
      </c>
      <c r="P2238" s="2" t="s">
        <v>38</v>
      </c>
      <c r="Q2238" s="2" t="s">
        <v>38</v>
      </c>
      <c r="R2238" s="2" t="s">
        <v>38</v>
      </c>
      <c r="S2238" s="2" t="s">
        <v>38</v>
      </c>
      <c r="T2238" s="2" t="s">
        <v>38</v>
      </c>
      <c r="U2238" s="2" t="s">
        <v>38</v>
      </c>
      <c r="V2238" s="2" t="s">
        <v>38</v>
      </c>
      <c r="W2238" s="2" t="s">
        <v>38</v>
      </c>
      <c r="X2238" s="2" t="s">
        <v>38</v>
      </c>
      <c r="Y2238" s="2" t="s">
        <v>38</v>
      </c>
      <c r="Z2238" s="2" t="s">
        <v>38</v>
      </c>
      <c r="AA2238" s="2" t="s">
        <v>38</v>
      </c>
      <c r="AB2238" s="2" t="s">
        <v>38</v>
      </c>
      <c r="AC2238" s="2" t="s">
        <v>38</v>
      </c>
      <c r="AD2238" s="2" t="s">
        <v>38</v>
      </c>
      <c r="AE2238" s="2" t="s">
        <v>39</v>
      </c>
    </row>
    <row r="2239" spans="1:31" ht="409.5">
      <c r="A2239" s="2">
        <v>2722079</v>
      </c>
      <c r="B2239" s="2">
        <f>HYPERLINK("https://platform.v2.vetology.net/cases/2722079/screening-report/1?type=pdf&amp;v=v6&amp;scorecard=1&amp;secret_key=BX%25IJ%24%2F65ieZ%29f6", 2722079)</f>
        <v>2722079</v>
      </c>
      <c r="C2239" s="2">
        <f>HYPERLINK("https://platform.v2.vetology.net/report/v/final/"&amp;2722079, 2722079)</f>
        <v>2722079</v>
      </c>
      <c r="D2239" s="2" t="s">
        <v>7191</v>
      </c>
      <c r="E2239" s="2" t="s">
        <v>7192</v>
      </c>
      <c r="F2239" s="2" t="s">
        <v>7193</v>
      </c>
      <c r="G2239" s="2" t="s">
        <v>127</v>
      </c>
      <c r="H2239" s="2" t="s">
        <v>7194</v>
      </c>
      <c r="I2239" s="2" t="s">
        <v>73</v>
      </c>
      <c r="J2239" s="2" t="s">
        <v>74</v>
      </c>
      <c r="K2239" s="2" t="s">
        <v>38</v>
      </c>
      <c r="L2239" s="2" t="s">
        <v>38</v>
      </c>
      <c r="M2239" s="2" t="s">
        <v>38</v>
      </c>
      <c r="N2239" s="2" t="s">
        <v>38</v>
      </c>
      <c r="O2239" s="2" t="s">
        <v>38</v>
      </c>
      <c r="P2239" s="2" t="s">
        <v>38</v>
      </c>
      <c r="Q2239" s="2" t="s">
        <v>38</v>
      </c>
      <c r="R2239" s="2" t="s">
        <v>38</v>
      </c>
      <c r="S2239" s="2" t="s">
        <v>38</v>
      </c>
      <c r="T2239" s="2" t="s">
        <v>38</v>
      </c>
      <c r="U2239" s="2" t="s">
        <v>38</v>
      </c>
      <c r="V2239" s="2" t="s">
        <v>38</v>
      </c>
      <c r="W2239" s="2" t="s">
        <v>38</v>
      </c>
      <c r="X2239" s="2" t="s">
        <v>38</v>
      </c>
      <c r="Y2239" s="2" t="s">
        <v>38</v>
      </c>
      <c r="Z2239" s="2" t="s">
        <v>38</v>
      </c>
      <c r="AA2239" s="2" t="s">
        <v>38</v>
      </c>
      <c r="AB2239" s="2" t="s">
        <v>38</v>
      </c>
      <c r="AC2239" s="2" t="s">
        <v>38</v>
      </c>
      <c r="AD2239" s="2" t="s">
        <v>38</v>
      </c>
      <c r="AE2239" s="2" t="s">
        <v>40</v>
      </c>
    </row>
    <row r="2240" spans="1:31" ht="409.5">
      <c r="A2240" s="2">
        <v>2722061</v>
      </c>
      <c r="B2240" s="2">
        <f>HYPERLINK("https://platform.v2.vetology.net/cases/2722061/screening-report/1?type=pdf&amp;v=v6&amp;scorecard=1&amp;secret_key=BX%25IJ%24%2F65ieZ%29f6", 2722061)</f>
        <v>2722061</v>
      </c>
      <c r="C2240" s="2">
        <f>HYPERLINK("https://platform.v2.vetology.net/report/v/final/"&amp;2722061, 2722061)</f>
        <v>2722061</v>
      </c>
      <c r="D2240" s="2" t="s">
        <v>7195</v>
      </c>
      <c r="E2240" s="2" t="s">
        <v>7196</v>
      </c>
      <c r="F2240" s="2" t="s">
        <v>43</v>
      </c>
      <c r="G2240" s="2" t="s">
        <v>507</v>
      </c>
      <c r="H2240" s="2" t="s">
        <v>7197</v>
      </c>
      <c r="I2240" s="2" t="s">
        <v>257</v>
      </c>
      <c r="J2240" s="2" t="s">
        <v>74</v>
      </c>
      <c r="K2240" s="2" t="s">
        <v>38</v>
      </c>
      <c r="L2240" s="2" t="s">
        <v>38</v>
      </c>
      <c r="M2240" s="2" t="s">
        <v>38</v>
      </c>
      <c r="N2240" s="2" t="s">
        <v>38</v>
      </c>
      <c r="O2240" s="2" t="s">
        <v>38</v>
      </c>
      <c r="P2240" s="2" t="s">
        <v>38</v>
      </c>
      <c r="Q2240" s="2" t="s">
        <v>38</v>
      </c>
      <c r="R2240" s="2" t="s">
        <v>38</v>
      </c>
      <c r="S2240" s="2" t="s">
        <v>38</v>
      </c>
      <c r="T2240" s="2" t="s">
        <v>38</v>
      </c>
      <c r="U2240" s="2" t="s">
        <v>38</v>
      </c>
      <c r="V2240" s="2" t="s">
        <v>38</v>
      </c>
      <c r="W2240" s="2" t="s">
        <v>38</v>
      </c>
      <c r="X2240" s="2" t="s">
        <v>38</v>
      </c>
      <c r="Y2240" s="2" t="s">
        <v>38</v>
      </c>
      <c r="Z2240" s="2" t="s">
        <v>38</v>
      </c>
      <c r="AA2240" s="2" t="s">
        <v>38</v>
      </c>
      <c r="AB2240" s="2" t="s">
        <v>38</v>
      </c>
      <c r="AC2240" s="2" t="s">
        <v>38</v>
      </c>
      <c r="AD2240" s="2" t="s">
        <v>38</v>
      </c>
      <c r="AE2240" s="2" t="s">
        <v>39</v>
      </c>
    </row>
    <row r="2241" spans="1:31" ht="409.5">
      <c r="A2241" s="2">
        <v>2721994</v>
      </c>
      <c r="B2241" s="2">
        <f>HYPERLINK("https://platform.v2.vetology.net/cases/2721994/screening-report/1?type=pdf&amp;v=v6&amp;scorecard=1&amp;secret_key=BX%25IJ%24%2F65ieZ%29f6", 2721994)</f>
        <v>2721994</v>
      </c>
      <c r="C2241" s="2">
        <f>HYPERLINK("https://platform.v2.vetology.net/report/v/final/"&amp;2721994, 2721994)</f>
        <v>2721994</v>
      </c>
      <c r="D2241" s="2" t="s">
        <v>7198</v>
      </c>
      <c r="E2241" s="2" t="s">
        <v>7199</v>
      </c>
      <c r="F2241" s="2" t="s">
        <v>7200</v>
      </c>
      <c r="G2241" s="2" t="s">
        <v>170</v>
      </c>
      <c r="H2241" s="2" t="s">
        <v>7201</v>
      </c>
      <c r="I2241" s="2" t="s">
        <v>129</v>
      </c>
      <c r="J2241" s="2" t="s">
        <v>74</v>
      </c>
      <c r="K2241" s="2" t="s">
        <v>38</v>
      </c>
      <c r="L2241" s="2" t="s">
        <v>38</v>
      </c>
      <c r="M2241" s="2" t="s">
        <v>38</v>
      </c>
      <c r="N2241" s="2" t="s">
        <v>38</v>
      </c>
      <c r="O2241" s="2" t="s">
        <v>38</v>
      </c>
      <c r="P2241" s="2" t="s">
        <v>39</v>
      </c>
      <c r="Q2241" s="2" t="s">
        <v>38</v>
      </c>
      <c r="R2241" s="2" t="s">
        <v>38</v>
      </c>
      <c r="S2241" s="2" t="s">
        <v>38</v>
      </c>
      <c r="T2241" s="2" t="s">
        <v>39</v>
      </c>
      <c r="U2241" s="2" t="s">
        <v>38</v>
      </c>
      <c r="V2241" s="2" t="s">
        <v>38</v>
      </c>
      <c r="W2241" s="2" t="s">
        <v>39</v>
      </c>
      <c r="X2241" s="2" t="s">
        <v>39</v>
      </c>
      <c r="Y2241" s="2" t="s">
        <v>39</v>
      </c>
      <c r="Z2241" s="2" t="s">
        <v>38</v>
      </c>
      <c r="AA2241" s="2" t="s">
        <v>38</v>
      </c>
      <c r="AB2241" s="2" t="s">
        <v>39</v>
      </c>
      <c r="AC2241" s="2" t="s">
        <v>38</v>
      </c>
      <c r="AD2241" s="2" t="s">
        <v>38</v>
      </c>
      <c r="AE2241" s="2" t="s">
        <v>39</v>
      </c>
    </row>
    <row r="2242" spans="1:31" ht="409.5">
      <c r="A2242" s="2">
        <v>2721987</v>
      </c>
      <c r="B2242" s="2">
        <f>HYPERLINK("https://platform.v2.vetology.net/cases/2721987/screening-report/1?type=pdf&amp;v=v6&amp;scorecard=1&amp;secret_key=BX%25IJ%24%2F65ieZ%29f6", 2721987)</f>
        <v>2721987</v>
      </c>
      <c r="C2242" s="2">
        <f>HYPERLINK("https://platform.v2.vetology.net/report/v/final/"&amp;2721987, 2721987)</f>
        <v>2721987</v>
      </c>
      <c r="D2242" s="2" t="s">
        <v>7202</v>
      </c>
      <c r="E2242" s="2" t="s">
        <v>7203</v>
      </c>
      <c r="F2242" s="2" t="s">
        <v>7204</v>
      </c>
      <c r="G2242" s="2" t="s">
        <v>170</v>
      </c>
      <c r="H2242" s="2" t="s">
        <v>7205</v>
      </c>
      <c r="I2242" s="2" t="s">
        <v>73</v>
      </c>
      <c r="J2242" s="2" t="s">
        <v>74</v>
      </c>
      <c r="K2242" s="2" t="s">
        <v>38</v>
      </c>
      <c r="L2242" s="2" t="s">
        <v>38</v>
      </c>
      <c r="M2242" s="2" t="s">
        <v>38</v>
      </c>
      <c r="N2242" s="2" t="s">
        <v>38</v>
      </c>
      <c r="O2242" s="2" t="s">
        <v>38</v>
      </c>
      <c r="P2242" s="2" t="s">
        <v>38</v>
      </c>
      <c r="Q2242" s="2" t="s">
        <v>38</v>
      </c>
      <c r="R2242" s="2" t="s">
        <v>38</v>
      </c>
      <c r="S2242" s="2" t="s">
        <v>38</v>
      </c>
      <c r="T2242" s="2" t="s">
        <v>38</v>
      </c>
      <c r="U2242" s="2" t="s">
        <v>38</v>
      </c>
      <c r="V2242" s="2" t="s">
        <v>38</v>
      </c>
      <c r="W2242" s="2" t="s">
        <v>38</v>
      </c>
      <c r="X2242" s="2" t="s">
        <v>38</v>
      </c>
      <c r="Y2242" s="2" t="s">
        <v>38</v>
      </c>
      <c r="Z2242" s="2" t="s">
        <v>39</v>
      </c>
      <c r="AA2242" s="2" t="s">
        <v>38</v>
      </c>
      <c r="AB2242" s="2" t="s">
        <v>38</v>
      </c>
      <c r="AC2242" s="2" t="s">
        <v>38</v>
      </c>
      <c r="AD2242" s="2" t="s">
        <v>38</v>
      </c>
      <c r="AE2242" s="2" t="s">
        <v>40</v>
      </c>
    </row>
    <row r="2243" spans="1:31" ht="409.5">
      <c r="A2243" s="2">
        <v>2721986</v>
      </c>
      <c r="B2243" s="2">
        <f>HYPERLINK("https://platform.v2.vetology.net/cases/2721986/screening-report/1?type=pdf&amp;v=v6&amp;scorecard=1&amp;secret_key=BX%25IJ%24%2F65ieZ%29f6", 2721986)</f>
        <v>2721986</v>
      </c>
      <c r="C2243" s="2">
        <f>HYPERLINK("https://platform.v2.vetology.net/report/v/final/"&amp;2721986, 2721986)</f>
        <v>2721986</v>
      </c>
      <c r="D2243" s="2" t="s">
        <v>7206</v>
      </c>
      <c r="E2243" s="2" t="s">
        <v>7207</v>
      </c>
      <c r="F2243" s="2" t="s">
        <v>7208</v>
      </c>
      <c r="G2243" s="2" t="s">
        <v>170</v>
      </c>
      <c r="H2243" s="2" t="s">
        <v>3928</v>
      </c>
      <c r="I2243" s="2" t="s">
        <v>36</v>
      </c>
      <c r="J2243" s="2" t="s">
        <v>37</v>
      </c>
      <c r="K2243" s="2" t="s">
        <v>39</v>
      </c>
      <c r="L2243" s="2" t="s">
        <v>38</v>
      </c>
      <c r="M2243" s="2" t="s">
        <v>39</v>
      </c>
      <c r="N2243" s="2" t="s">
        <v>39</v>
      </c>
      <c r="O2243" s="2" t="s">
        <v>39</v>
      </c>
      <c r="P2243" s="2" t="s">
        <v>39</v>
      </c>
      <c r="Q2243" s="2" t="s">
        <v>39</v>
      </c>
      <c r="R2243" s="2" t="s">
        <v>38</v>
      </c>
      <c r="S2243" s="2" t="s">
        <v>38</v>
      </c>
      <c r="T2243" s="2" t="s">
        <v>38</v>
      </c>
      <c r="U2243" s="2" t="s">
        <v>39</v>
      </c>
      <c r="V2243" s="2" t="s">
        <v>39</v>
      </c>
      <c r="W2243" s="2" t="s">
        <v>38</v>
      </c>
      <c r="X2243" s="2" t="s">
        <v>39</v>
      </c>
      <c r="Y2243" s="2" t="s">
        <v>39</v>
      </c>
      <c r="Z2243" s="2" t="s">
        <v>38</v>
      </c>
      <c r="AA2243" s="2" t="s">
        <v>39</v>
      </c>
      <c r="AB2243" s="2" t="s">
        <v>39</v>
      </c>
      <c r="AC2243" s="2" t="s">
        <v>39</v>
      </c>
      <c r="AD2243" s="2" t="s">
        <v>38</v>
      </c>
      <c r="AE2243" s="2"/>
    </row>
    <row r="2244" spans="1:31" ht="409.5">
      <c r="A2244" s="2">
        <v>2721963</v>
      </c>
      <c r="B2244" s="2">
        <f>HYPERLINK("https://platform.v2.vetology.net/cases/2721963/screening-report/1?type=pdf&amp;v=v6&amp;scorecard=1&amp;secret_key=BX%25IJ%24%2F65ieZ%29f6", 2721963)</f>
        <v>2721963</v>
      </c>
      <c r="C2244" s="2">
        <f>HYPERLINK("https://platform.v2.vetology.net/report/v/final/"&amp;2721963, 2721963)</f>
        <v>2721963</v>
      </c>
      <c r="D2244" s="2" t="s">
        <v>7209</v>
      </c>
      <c r="E2244" s="2" t="s">
        <v>7210</v>
      </c>
      <c r="F2244" s="2" t="s">
        <v>7211</v>
      </c>
      <c r="G2244" s="2" t="s">
        <v>53</v>
      </c>
      <c r="H2244" s="2" t="s">
        <v>66</v>
      </c>
      <c r="I2244" s="2" t="s">
        <v>36</v>
      </c>
      <c r="J2244" s="2" t="s">
        <v>37</v>
      </c>
      <c r="K2244" s="2" t="s">
        <v>39</v>
      </c>
      <c r="L2244" s="2" t="s">
        <v>39</v>
      </c>
      <c r="M2244" s="2" t="s">
        <v>38</v>
      </c>
      <c r="N2244" s="2" t="s">
        <v>39</v>
      </c>
      <c r="O2244" s="2" t="s">
        <v>39</v>
      </c>
      <c r="P2244" s="2" t="s">
        <v>39</v>
      </c>
      <c r="Q2244" s="2" t="s">
        <v>39</v>
      </c>
      <c r="R2244" s="2" t="s">
        <v>39</v>
      </c>
      <c r="S2244" s="2" t="s">
        <v>39</v>
      </c>
      <c r="T2244" s="2" t="s">
        <v>38</v>
      </c>
      <c r="U2244" s="2" t="s">
        <v>39</v>
      </c>
      <c r="V2244" s="2" t="s">
        <v>39</v>
      </c>
      <c r="W2244" s="2" t="s">
        <v>38</v>
      </c>
      <c r="X2244" s="2" t="s">
        <v>38</v>
      </c>
      <c r="Y2244" s="2" t="s">
        <v>39</v>
      </c>
      <c r="Z2244" s="2" t="s">
        <v>39</v>
      </c>
      <c r="AA2244" s="2" t="s">
        <v>39</v>
      </c>
      <c r="AB2244" s="2" t="s">
        <v>39</v>
      </c>
      <c r="AC2244" s="2" t="s">
        <v>38</v>
      </c>
      <c r="AD2244" s="2" t="s">
        <v>38</v>
      </c>
      <c r="AE2244" s="2" t="s">
        <v>39</v>
      </c>
    </row>
    <row r="2245" spans="1:31" ht="409.5">
      <c r="A2245" s="2">
        <v>2721961</v>
      </c>
      <c r="B2245" s="2">
        <f>HYPERLINK("https://platform.v2.vetology.net/cases/2721961/screening-report/1?type=pdf&amp;v=v6&amp;scorecard=1&amp;secret_key=BX%25IJ%24%2F65ieZ%29f6", 2721961)</f>
        <v>2721961</v>
      </c>
      <c r="C2245" s="2">
        <f>HYPERLINK("https://platform.v2.vetology.net/report/v/final/"&amp;2721961, 2721961)</f>
        <v>2721961</v>
      </c>
      <c r="D2245" s="2" t="s">
        <v>7212</v>
      </c>
      <c r="E2245" s="2" t="s">
        <v>7213</v>
      </c>
      <c r="F2245" s="2" t="s">
        <v>7214</v>
      </c>
      <c r="G2245" s="2" t="s">
        <v>53</v>
      </c>
      <c r="H2245" s="2" t="s">
        <v>7215</v>
      </c>
      <c r="I2245" s="2" t="s">
        <v>36</v>
      </c>
      <c r="J2245" s="2" t="s">
        <v>37</v>
      </c>
      <c r="K2245" s="2" t="s">
        <v>38</v>
      </c>
      <c r="L2245" s="2" t="s">
        <v>38</v>
      </c>
      <c r="M2245" s="2" t="s">
        <v>39</v>
      </c>
      <c r="N2245" s="2" t="s">
        <v>38</v>
      </c>
      <c r="O2245" s="2" t="s">
        <v>39</v>
      </c>
      <c r="P2245" s="2" t="s">
        <v>39</v>
      </c>
      <c r="Q2245" s="2" t="s">
        <v>39</v>
      </c>
      <c r="R2245" s="2" t="s">
        <v>38</v>
      </c>
      <c r="S2245" s="2" t="s">
        <v>38</v>
      </c>
      <c r="T2245" s="2" t="s">
        <v>39</v>
      </c>
      <c r="U2245" s="2" t="s">
        <v>39</v>
      </c>
      <c r="V2245" s="2" t="s">
        <v>38</v>
      </c>
      <c r="W2245" s="2" t="s">
        <v>38</v>
      </c>
      <c r="X2245" s="2" t="s">
        <v>39</v>
      </c>
      <c r="Y2245" s="2" t="s">
        <v>39</v>
      </c>
      <c r="Z2245" s="2" t="s">
        <v>38</v>
      </c>
      <c r="AA2245" s="2" t="s">
        <v>38</v>
      </c>
      <c r="AB2245" s="2" t="s">
        <v>39</v>
      </c>
      <c r="AC2245" s="2" t="s">
        <v>38</v>
      </c>
      <c r="AD2245" s="2" t="s">
        <v>38</v>
      </c>
      <c r="AE2245" s="2"/>
    </row>
    <row r="2246" spans="1:31" ht="409.5">
      <c r="A2246" s="2">
        <v>2721904</v>
      </c>
      <c r="B2246" s="2">
        <f>HYPERLINK("https://platform.v2.vetology.net/cases/2721904/screening-report/1?type=pdf&amp;v=v6&amp;scorecard=1&amp;secret_key=BX%25IJ%24%2F65ieZ%29f6", 2721904)</f>
        <v>2721904</v>
      </c>
      <c r="C2246" s="2">
        <f>HYPERLINK("https://platform.v2.vetology.net/report/v/final/"&amp;2721904, 2721904)</f>
        <v>2721904</v>
      </c>
      <c r="D2246" s="2" t="s">
        <v>7216</v>
      </c>
      <c r="E2246" s="2" t="s">
        <v>7217</v>
      </c>
      <c r="F2246" s="2" t="s">
        <v>5294</v>
      </c>
      <c r="G2246" s="2" t="s">
        <v>100</v>
      </c>
      <c r="H2246" s="2" t="s">
        <v>69</v>
      </c>
      <c r="I2246" s="2" t="s">
        <v>46</v>
      </c>
      <c r="J2246" s="2"/>
      <c r="K2246" s="2" t="s">
        <v>39</v>
      </c>
      <c r="L2246" s="2" t="s">
        <v>39</v>
      </c>
      <c r="M2246" s="2" t="s">
        <v>39</v>
      </c>
      <c r="N2246" s="2" t="s">
        <v>39</v>
      </c>
      <c r="O2246" s="2" t="s">
        <v>39</v>
      </c>
      <c r="P2246" s="2" t="s">
        <v>39</v>
      </c>
      <c r="Q2246" s="2" t="s">
        <v>39</v>
      </c>
      <c r="R2246" s="2" t="s">
        <v>39</v>
      </c>
      <c r="S2246" s="2" t="s">
        <v>39</v>
      </c>
      <c r="T2246" s="2" t="s">
        <v>39</v>
      </c>
      <c r="U2246" s="2" t="s">
        <v>39</v>
      </c>
      <c r="V2246" s="2" t="s">
        <v>39</v>
      </c>
      <c r="W2246" s="2" t="s">
        <v>39</v>
      </c>
      <c r="X2246" s="2" t="s">
        <v>39</v>
      </c>
      <c r="Y2246" s="2" t="s">
        <v>39</v>
      </c>
      <c r="Z2246" s="2" t="s">
        <v>39</v>
      </c>
      <c r="AA2246" s="2" t="s">
        <v>39</v>
      </c>
      <c r="AB2246" s="2" t="s">
        <v>39</v>
      </c>
      <c r="AC2246" s="2" t="s">
        <v>39</v>
      </c>
      <c r="AD2246" s="2" t="s">
        <v>39</v>
      </c>
      <c r="AE2246" s="2" t="s">
        <v>39</v>
      </c>
    </row>
    <row r="2247" spans="1:31" ht="409.5">
      <c r="A2247" s="2">
        <v>2721899</v>
      </c>
      <c r="B2247" s="2">
        <f>HYPERLINK("https://platform.v2.vetology.net/cases/2721899/screening-report/1?type=pdf&amp;v=v6&amp;scorecard=1&amp;secret_key=BX%25IJ%24%2F65ieZ%29f6", 2721899)</f>
        <v>2721899</v>
      </c>
      <c r="C2247" s="2">
        <f>HYPERLINK("https://platform.v2.vetology.net/report/v/final/"&amp;2721899, 2721899)</f>
        <v>2721899</v>
      </c>
      <c r="D2247" s="2" t="s">
        <v>7218</v>
      </c>
      <c r="E2247" s="2" t="s">
        <v>7219</v>
      </c>
      <c r="F2247" s="2" t="s">
        <v>7220</v>
      </c>
      <c r="G2247" s="2" t="s">
        <v>34</v>
      </c>
      <c r="H2247" s="2" t="s">
        <v>3557</v>
      </c>
      <c r="I2247" s="2" t="s">
        <v>36</v>
      </c>
      <c r="J2247" s="2" t="s">
        <v>37</v>
      </c>
      <c r="K2247" s="2" t="s">
        <v>38</v>
      </c>
      <c r="L2247" s="2" t="s">
        <v>39</v>
      </c>
      <c r="M2247" s="2" t="s">
        <v>38</v>
      </c>
      <c r="N2247" s="2" t="s">
        <v>39</v>
      </c>
      <c r="O2247" s="2" t="s">
        <v>38</v>
      </c>
      <c r="P2247" s="2" t="s">
        <v>39</v>
      </c>
      <c r="Q2247" s="2" t="s">
        <v>39</v>
      </c>
      <c r="R2247" s="2" t="s">
        <v>38</v>
      </c>
      <c r="S2247" s="2" t="s">
        <v>39</v>
      </c>
      <c r="T2247" s="2" t="s">
        <v>39</v>
      </c>
      <c r="U2247" s="2" t="s">
        <v>38</v>
      </c>
      <c r="V2247" s="2" t="s">
        <v>38</v>
      </c>
      <c r="W2247" s="2" t="s">
        <v>39</v>
      </c>
      <c r="X2247" s="2" t="s">
        <v>39</v>
      </c>
      <c r="Y2247" s="2" t="s">
        <v>39</v>
      </c>
      <c r="Z2247" s="2" t="s">
        <v>38</v>
      </c>
      <c r="AA2247" s="2" t="s">
        <v>38</v>
      </c>
      <c r="AB2247" s="2" t="s">
        <v>39</v>
      </c>
      <c r="AC2247" s="2" t="s">
        <v>38</v>
      </c>
      <c r="AD2247" s="2" t="s">
        <v>39</v>
      </c>
      <c r="AE2247" s="2" t="s">
        <v>39</v>
      </c>
    </row>
    <row r="2248" spans="1:31" ht="409.5">
      <c r="A2248" s="2">
        <v>2721897</v>
      </c>
      <c r="B2248" s="2">
        <f>HYPERLINK("https://platform.v2.vetology.net/cases/2721897/screening-report/1?type=pdf&amp;v=v6&amp;scorecard=1&amp;secret_key=BX%25IJ%24%2F65ieZ%29f6", 2721897)</f>
        <v>2721897</v>
      </c>
      <c r="C2248" s="2">
        <f>HYPERLINK("https://platform.v2.vetology.net/report/v/final/"&amp;2721897, 2721897)</f>
        <v>2721897</v>
      </c>
      <c r="D2248" s="2" t="s">
        <v>7221</v>
      </c>
      <c r="E2248" s="2" t="s">
        <v>7222</v>
      </c>
      <c r="F2248" s="2" t="s">
        <v>43</v>
      </c>
      <c r="G2248" s="2" t="s">
        <v>100</v>
      </c>
      <c r="H2248" s="2" t="s">
        <v>318</v>
      </c>
      <c r="I2248" s="2" t="s">
        <v>73</v>
      </c>
      <c r="J2248" s="2" t="s">
        <v>74</v>
      </c>
      <c r="K2248" s="2" t="s">
        <v>38</v>
      </c>
      <c r="L2248" s="2" t="s">
        <v>38</v>
      </c>
      <c r="M2248" s="2" t="s">
        <v>38</v>
      </c>
      <c r="N2248" s="2" t="s">
        <v>38</v>
      </c>
      <c r="O2248" s="2" t="s">
        <v>38</v>
      </c>
      <c r="P2248" s="2" t="s">
        <v>38</v>
      </c>
      <c r="Q2248" s="2" t="s">
        <v>38</v>
      </c>
      <c r="R2248" s="2" t="s">
        <v>39</v>
      </c>
      <c r="S2248" s="2" t="s">
        <v>38</v>
      </c>
      <c r="T2248" s="2" t="s">
        <v>38</v>
      </c>
      <c r="U2248" s="2" t="s">
        <v>38</v>
      </c>
      <c r="V2248" s="2" t="s">
        <v>38</v>
      </c>
      <c r="W2248" s="2" t="s">
        <v>38</v>
      </c>
      <c r="X2248" s="2" t="s">
        <v>38</v>
      </c>
      <c r="Y2248" s="2" t="s">
        <v>38</v>
      </c>
      <c r="Z2248" s="2" t="s">
        <v>38</v>
      </c>
      <c r="AA2248" s="2" t="s">
        <v>38</v>
      </c>
      <c r="AB2248" s="2" t="s">
        <v>38</v>
      </c>
      <c r="AC2248" s="2" t="s">
        <v>38</v>
      </c>
      <c r="AD2248" s="2" t="s">
        <v>38</v>
      </c>
      <c r="AE2248" s="2" t="s">
        <v>39</v>
      </c>
    </row>
    <row r="2249" spans="1:31" ht="409.5">
      <c r="A2249" s="2">
        <v>2721857</v>
      </c>
      <c r="B2249" s="2">
        <f>HYPERLINK("https://platform.v2.vetology.net/cases/2721857/screening-report/1?type=pdf&amp;v=v6&amp;scorecard=1&amp;secret_key=BX%25IJ%24%2F65ieZ%29f6", 2721857)</f>
        <v>2721857</v>
      </c>
      <c r="C2249" s="2">
        <f>HYPERLINK("https://platform.v2.vetology.net/report/v/final/"&amp;2721857, 2721857)</f>
        <v>2721857</v>
      </c>
      <c r="D2249" s="2" t="s">
        <v>7223</v>
      </c>
      <c r="E2249" s="2" t="s">
        <v>7224</v>
      </c>
      <c r="F2249" s="2" t="s">
        <v>7225</v>
      </c>
      <c r="G2249" s="2" t="s">
        <v>53</v>
      </c>
      <c r="H2249" s="2" t="s">
        <v>7226</v>
      </c>
      <c r="I2249" s="2" t="s">
        <v>73</v>
      </c>
      <c r="J2249" s="2" t="s">
        <v>74</v>
      </c>
      <c r="K2249" s="2" t="s">
        <v>38</v>
      </c>
      <c r="L2249" s="2" t="s">
        <v>38</v>
      </c>
      <c r="M2249" s="2" t="s">
        <v>38</v>
      </c>
      <c r="N2249" s="2" t="s">
        <v>38</v>
      </c>
      <c r="O2249" s="2" t="s">
        <v>38</v>
      </c>
      <c r="P2249" s="2" t="s">
        <v>38</v>
      </c>
      <c r="Q2249" s="2" t="s">
        <v>38</v>
      </c>
      <c r="R2249" s="2" t="s">
        <v>39</v>
      </c>
      <c r="S2249" s="2" t="s">
        <v>38</v>
      </c>
      <c r="T2249" s="2" t="s">
        <v>39</v>
      </c>
      <c r="U2249" s="2" t="s">
        <v>38</v>
      </c>
      <c r="V2249" s="2" t="s">
        <v>38</v>
      </c>
      <c r="W2249" s="2" t="s">
        <v>38</v>
      </c>
      <c r="X2249" s="2" t="s">
        <v>38</v>
      </c>
      <c r="Y2249" s="2" t="s">
        <v>38</v>
      </c>
      <c r="Z2249" s="2" t="s">
        <v>38</v>
      </c>
      <c r="AA2249" s="2" t="s">
        <v>38</v>
      </c>
      <c r="AB2249" s="2" t="s">
        <v>39</v>
      </c>
      <c r="AC2249" s="2" t="s">
        <v>38</v>
      </c>
      <c r="AD2249" s="2" t="s">
        <v>39</v>
      </c>
      <c r="AE2249" s="2" t="s">
        <v>40</v>
      </c>
    </row>
    <row r="2250" spans="1:31" ht="409.5">
      <c r="A2250" s="2">
        <v>2721852</v>
      </c>
      <c r="B2250" s="2">
        <f>HYPERLINK("https://platform.v2.vetology.net/cases/2721852/screening-report/1?type=pdf&amp;v=v6&amp;scorecard=1&amp;secret_key=BX%25IJ%24%2F65ieZ%29f6", 2721852)</f>
        <v>2721852</v>
      </c>
      <c r="C2250" s="2">
        <f>HYPERLINK("https://platform.v2.vetology.net/report/v/final/"&amp;2721852, 2721852)</f>
        <v>2721852</v>
      </c>
      <c r="D2250" s="2" t="s">
        <v>7227</v>
      </c>
      <c r="E2250" s="2" t="s">
        <v>7228</v>
      </c>
      <c r="F2250" s="2" t="s">
        <v>7229</v>
      </c>
      <c r="G2250" s="2" t="s">
        <v>53</v>
      </c>
      <c r="H2250" s="2" t="s">
        <v>1446</v>
      </c>
      <c r="I2250" s="2" t="s">
        <v>36</v>
      </c>
      <c r="J2250" s="2" t="s">
        <v>37</v>
      </c>
      <c r="K2250" s="2" t="s">
        <v>39</v>
      </c>
      <c r="L2250" s="2" t="s">
        <v>39</v>
      </c>
      <c r="M2250" s="2" t="s">
        <v>38</v>
      </c>
      <c r="N2250" s="2" t="s">
        <v>39</v>
      </c>
      <c r="O2250" s="2" t="s">
        <v>39</v>
      </c>
      <c r="P2250" s="2" t="s">
        <v>39</v>
      </c>
      <c r="Q2250" s="2" t="s">
        <v>39</v>
      </c>
      <c r="R2250" s="2" t="s">
        <v>38</v>
      </c>
      <c r="S2250" s="2" t="s">
        <v>39</v>
      </c>
      <c r="T2250" s="2" t="s">
        <v>39</v>
      </c>
      <c r="U2250" s="2" t="s">
        <v>39</v>
      </c>
      <c r="V2250" s="2" t="s">
        <v>39</v>
      </c>
      <c r="W2250" s="2" t="s">
        <v>39</v>
      </c>
      <c r="X2250" s="2" t="s">
        <v>39</v>
      </c>
      <c r="Y2250" s="2" t="s">
        <v>39</v>
      </c>
      <c r="Z2250" s="2" t="s">
        <v>39</v>
      </c>
      <c r="AA2250" s="2" t="s">
        <v>39</v>
      </c>
      <c r="AB2250" s="2" t="s">
        <v>39</v>
      </c>
      <c r="AC2250" s="2" t="s">
        <v>38</v>
      </c>
      <c r="AD2250" s="2" t="s">
        <v>38</v>
      </c>
      <c r="AE2250" s="2" t="s">
        <v>39</v>
      </c>
    </row>
    <row r="2251" spans="1:31" ht="409.5">
      <c r="A2251" s="2">
        <v>2721845</v>
      </c>
      <c r="B2251" s="2">
        <f>HYPERLINK("https://platform.v2.vetology.net/cases/2721845/screening-report/1?type=pdf&amp;v=v6&amp;scorecard=1&amp;secret_key=BX%25IJ%24%2F65ieZ%29f6", 2721845)</f>
        <v>2721845</v>
      </c>
      <c r="C2251" s="2">
        <f>HYPERLINK("https://platform.v2.vetology.net/report/v/final/"&amp;2721845, 2721845)</f>
        <v>2721845</v>
      </c>
      <c r="D2251" s="2" t="s">
        <v>7230</v>
      </c>
      <c r="E2251" s="2" t="s">
        <v>7231</v>
      </c>
      <c r="F2251" s="2" t="s">
        <v>7232</v>
      </c>
      <c r="G2251" s="2" t="s">
        <v>170</v>
      </c>
      <c r="H2251" s="2" t="s">
        <v>7233</v>
      </c>
      <c r="I2251" s="2" t="s">
        <v>73</v>
      </c>
      <c r="J2251" s="2" t="s">
        <v>74</v>
      </c>
      <c r="K2251" s="2" t="s">
        <v>38</v>
      </c>
      <c r="L2251" s="2" t="s">
        <v>38</v>
      </c>
      <c r="M2251" s="2" t="s">
        <v>38</v>
      </c>
      <c r="N2251" s="2" t="s">
        <v>38</v>
      </c>
      <c r="O2251" s="2" t="s">
        <v>38</v>
      </c>
      <c r="P2251" s="2" t="s">
        <v>38</v>
      </c>
      <c r="Q2251" s="2" t="s">
        <v>38</v>
      </c>
      <c r="R2251" s="2" t="s">
        <v>38</v>
      </c>
      <c r="S2251" s="2" t="s">
        <v>38</v>
      </c>
      <c r="T2251" s="2" t="s">
        <v>38</v>
      </c>
      <c r="U2251" s="2" t="s">
        <v>38</v>
      </c>
      <c r="V2251" s="2" t="s">
        <v>38</v>
      </c>
      <c r="W2251" s="2" t="s">
        <v>38</v>
      </c>
      <c r="X2251" s="2" t="s">
        <v>38</v>
      </c>
      <c r="Y2251" s="2" t="s">
        <v>38</v>
      </c>
      <c r="Z2251" s="2" t="s">
        <v>38</v>
      </c>
      <c r="AA2251" s="2" t="s">
        <v>38</v>
      </c>
      <c r="AB2251" s="2" t="s">
        <v>38</v>
      </c>
      <c r="AC2251" s="2" t="s">
        <v>38</v>
      </c>
      <c r="AD2251" s="2" t="s">
        <v>38</v>
      </c>
      <c r="AE2251" s="2" t="s">
        <v>40</v>
      </c>
    </row>
    <row r="2252" spans="1:31" ht="409.5">
      <c r="A2252" s="2">
        <v>2721844</v>
      </c>
      <c r="B2252" s="2">
        <f>HYPERLINK("https://platform.v2.vetology.net/cases/2721844/screening-report/1?type=pdf&amp;v=v6&amp;scorecard=1&amp;secret_key=BX%25IJ%24%2F65ieZ%29f6", 2721844)</f>
        <v>2721844</v>
      </c>
      <c r="C2252" s="2">
        <f>HYPERLINK("https://platform.v2.vetology.net/report/v/final/"&amp;2721844, 2721844)</f>
        <v>2721844</v>
      </c>
      <c r="D2252" s="2" t="s">
        <v>7234</v>
      </c>
      <c r="E2252" s="2" t="s">
        <v>7235</v>
      </c>
      <c r="F2252" s="2" t="s">
        <v>980</v>
      </c>
      <c r="G2252" s="2" t="s">
        <v>170</v>
      </c>
      <c r="H2252" s="2" t="s">
        <v>6873</v>
      </c>
      <c r="I2252" s="2" t="s">
        <v>59</v>
      </c>
      <c r="J2252" s="2" t="s">
        <v>37</v>
      </c>
      <c r="K2252" s="2" t="s">
        <v>39</v>
      </c>
      <c r="L2252" s="2" t="s">
        <v>39</v>
      </c>
      <c r="M2252" s="2" t="s">
        <v>39</v>
      </c>
      <c r="N2252" s="2" t="s">
        <v>38</v>
      </c>
      <c r="O2252" s="2" t="s">
        <v>39</v>
      </c>
      <c r="P2252" s="2" t="s">
        <v>39</v>
      </c>
      <c r="Q2252" s="2" t="s">
        <v>39</v>
      </c>
      <c r="R2252" s="2" t="s">
        <v>38</v>
      </c>
      <c r="S2252" s="2" t="s">
        <v>39</v>
      </c>
      <c r="T2252" s="2" t="s">
        <v>39</v>
      </c>
      <c r="U2252" s="2" t="s">
        <v>39</v>
      </c>
      <c r="V2252" s="2" t="s">
        <v>38</v>
      </c>
      <c r="W2252" s="2" t="s">
        <v>39</v>
      </c>
      <c r="X2252" s="2" t="s">
        <v>39</v>
      </c>
      <c r="Y2252" s="2" t="s">
        <v>39</v>
      </c>
      <c r="Z2252" s="2" t="s">
        <v>39</v>
      </c>
      <c r="AA2252" s="2" t="s">
        <v>39</v>
      </c>
      <c r="AB2252" s="2" t="s">
        <v>39</v>
      </c>
      <c r="AC2252" s="2" t="s">
        <v>39</v>
      </c>
      <c r="AD2252" s="2" t="s">
        <v>39</v>
      </c>
      <c r="AE2252" s="2" t="s">
        <v>40</v>
      </c>
    </row>
    <row r="2253" spans="1:31" ht="409.5">
      <c r="A2253" s="2">
        <v>2721818</v>
      </c>
      <c r="B2253" s="2">
        <f>HYPERLINK("https://platform.v2.vetology.net/cases/2721818/screening-report/1?type=pdf&amp;v=v6&amp;scorecard=1&amp;secret_key=BX%25IJ%24%2F65ieZ%29f6", 2721818)</f>
        <v>2721818</v>
      </c>
      <c r="C2253" s="2">
        <f>HYPERLINK("https://platform.v2.vetology.net/report/v/final/"&amp;2721818, 2721818)</f>
        <v>2721818</v>
      </c>
      <c r="D2253" s="2" t="s">
        <v>7236</v>
      </c>
      <c r="E2253" s="2" t="s">
        <v>7237</v>
      </c>
      <c r="F2253" s="2" t="s">
        <v>7238</v>
      </c>
      <c r="G2253" s="2" t="s">
        <v>111</v>
      </c>
      <c r="H2253" s="2" t="s">
        <v>7239</v>
      </c>
      <c r="I2253" s="2" t="s">
        <v>257</v>
      </c>
      <c r="J2253" s="2" t="s">
        <v>74</v>
      </c>
      <c r="K2253" s="2" t="s">
        <v>38</v>
      </c>
      <c r="L2253" s="2" t="s">
        <v>38</v>
      </c>
      <c r="M2253" s="2" t="s">
        <v>38</v>
      </c>
      <c r="N2253" s="2" t="s">
        <v>38</v>
      </c>
      <c r="O2253" s="2" t="s">
        <v>38</v>
      </c>
      <c r="P2253" s="2" t="s">
        <v>38</v>
      </c>
      <c r="Q2253" s="2" t="s">
        <v>38</v>
      </c>
      <c r="R2253" s="2" t="s">
        <v>38</v>
      </c>
      <c r="S2253" s="2" t="s">
        <v>38</v>
      </c>
      <c r="T2253" s="2" t="s">
        <v>38</v>
      </c>
      <c r="U2253" s="2" t="s">
        <v>38</v>
      </c>
      <c r="V2253" s="2" t="s">
        <v>38</v>
      </c>
      <c r="W2253" s="2" t="s">
        <v>38</v>
      </c>
      <c r="X2253" s="2" t="s">
        <v>38</v>
      </c>
      <c r="Y2253" s="2" t="s">
        <v>38</v>
      </c>
      <c r="Z2253" s="2" t="s">
        <v>38</v>
      </c>
      <c r="AA2253" s="2" t="s">
        <v>38</v>
      </c>
      <c r="AB2253" s="2" t="s">
        <v>38</v>
      </c>
      <c r="AC2253" s="2" t="s">
        <v>38</v>
      </c>
      <c r="AD2253" s="2" t="s">
        <v>38</v>
      </c>
      <c r="AE2253" s="2" t="s">
        <v>40</v>
      </c>
    </row>
    <row r="2254" spans="1:31" ht="409.5">
      <c r="A2254" s="2">
        <v>2721810</v>
      </c>
      <c r="B2254" s="2">
        <f>HYPERLINK("https://platform.v2.vetology.net/cases/2721810/screening-report/1?type=pdf&amp;v=v6&amp;scorecard=1&amp;secret_key=BX%25IJ%24%2F65ieZ%29f6", 2721810)</f>
        <v>2721810</v>
      </c>
      <c r="C2254" s="2">
        <f>HYPERLINK("https://platform.v2.vetology.net/report/v/final/"&amp;2721810, 2721810)</f>
        <v>2721810</v>
      </c>
      <c r="D2254" s="2" t="s">
        <v>7240</v>
      </c>
      <c r="E2254" s="2" t="s">
        <v>7241</v>
      </c>
      <c r="F2254" s="2"/>
      <c r="G2254" s="2" t="s">
        <v>100</v>
      </c>
      <c r="H2254" s="2" t="s">
        <v>7242</v>
      </c>
      <c r="I2254" s="2" t="s">
        <v>36</v>
      </c>
      <c r="J2254" s="2" t="s">
        <v>37</v>
      </c>
      <c r="K2254" s="2" t="s">
        <v>38</v>
      </c>
      <c r="L2254" s="2" t="s">
        <v>39</v>
      </c>
      <c r="M2254" s="2" t="s">
        <v>39</v>
      </c>
      <c r="N2254" s="2" t="s">
        <v>39</v>
      </c>
      <c r="O2254" s="2" t="s">
        <v>39</v>
      </c>
      <c r="P2254" s="2" t="s">
        <v>39</v>
      </c>
      <c r="Q2254" s="2" t="s">
        <v>39</v>
      </c>
      <c r="R2254" s="2" t="s">
        <v>38</v>
      </c>
      <c r="S2254" s="2" t="s">
        <v>38</v>
      </c>
      <c r="T2254" s="2" t="s">
        <v>39</v>
      </c>
      <c r="U2254" s="2" t="s">
        <v>38</v>
      </c>
      <c r="V2254" s="2" t="s">
        <v>38</v>
      </c>
      <c r="W2254" s="2" t="s">
        <v>38</v>
      </c>
      <c r="X2254" s="2" t="s">
        <v>39</v>
      </c>
      <c r="Y2254" s="2" t="s">
        <v>39</v>
      </c>
      <c r="Z2254" s="2" t="s">
        <v>38</v>
      </c>
      <c r="AA2254" s="2" t="s">
        <v>39</v>
      </c>
      <c r="AB2254" s="2" t="s">
        <v>39</v>
      </c>
      <c r="AC2254" s="2" t="s">
        <v>38</v>
      </c>
      <c r="AD2254" s="2" t="s">
        <v>39</v>
      </c>
      <c r="AE2254" s="2" t="s">
        <v>39</v>
      </c>
    </row>
    <row r="2255" spans="1:31" ht="409.5">
      <c r="A2255" s="2">
        <v>2721805</v>
      </c>
      <c r="B2255" s="2">
        <f>HYPERLINK("https://platform.v2.vetology.net/cases/2721805/screening-report/1?type=pdf&amp;v=v6&amp;scorecard=1&amp;secret_key=BX%25IJ%24%2F65ieZ%29f6", 2721805)</f>
        <v>2721805</v>
      </c>
      <c r="C2255" s="2">
        <f>HYPERLINK("https://platform.v2.vetology.net/report/v/final/"&amp;2721805, 2721805)</f>
        <v>2721805</v>
      </c>
      <c r="D2255" s="2" t="s">
        <v>7243</v>
      </c>
      <c r="E2255" s="2" t="s">
        <v>7244</v>
      </c>
      <c r="F2255" s="2" t="s">
        <v>7245</v>
      </c>
      <c r="G2255" s="2" t="s">
        <v>170</v>
      </c>
      <c r="H2255" s="2" t="s">
        <v>7246</v>
      </c>
      <c r="I2255" s="2" t="s">
        <v>36</v>
      </c>
      <c r="J2255" s="2" t="s">
        <v>37</v>
      </c>
      <c r="K2255" s="2" t="s">
        <v>38</v>
      </c>
      <c r="L2255" s="2" t="s">
        <v>38</v>
      </c>
      <c r="M2255" s="2" t="s">
        <v>38</v>
      </c>
      <c r="N2255" s="2" t="s">
        <v>38</v>
      </c>
      <c r="O2255" s="2" t="s">
        <v>38</v>
      </c>
      <c r="P2255" s="2" t="s">
        <v>39</v>
      </c>
      <c r="Q2255" s="2" t="s">
        <v>39</v>
      </c>
      <c r="R2255" s="2" t="s">
        <v>38</v>
      </c>
      <c r="S2255" s="2" t="s">
        <v>39</v>
      </c>
      <c r="T2255" s="2" t="s">
        <v>39</v>
      </c>
      <c r="U2255" s="2" t="s">
        <v>39</v>
      </c>
      <c r="V2255" s="2" t="s">
        <v>38</v>
      </c>
      <c r="W2255" s="2" t="s">
        <v>39</v>
      </c>
      <c r="X2255" s="2" t="s">
        <v>39</v>
      </c>
      <c r="Y2255" s="2" t="s">
        <v>39</v>
      </c>
      <c r="Z2255" s="2" t="s">
        <v>38</v>
      </c>
      <c r="AA2255" s="2" t="s">
        <v>39</v>
      </c>
      <c r="AB2255" s="2" t="s">
        <v>39</v>
      </c>
      <c r="AC2255" s="2" t="s">
        <v>38</v>
      </c>
      <c r="AD2255" s="2" t="s">
        <v>38</v>
      </c>
      <c r="AE2255" s="2" t="s">
        <v>40</v>
      </c>
    </row>
    <row r="2256" spans="1:31" ht="409.5">
      <c r="A2256" s="2">
        <v>2721791</v>
      </c>
      <c r="B2256" s="2">
        <f>HYPERLINK("https://platform.v2.vetology.net/cases/2721791/screening-report/1?type=pdf&amp;v=v6&amp;scorecard=1&amp;secret_key=BX%25IJ%24%2F65ieZ%29f6", 2721791)</f>
        <v>2721791</v>
      </c>
      <c r="C2256" s="2">
        <f>HYPERLINK("https://platform.v2.vetology.net/report/v/final/"&amp;2721791, 2721791)</f>
        <v>2721791</v>
      </c>
      <c r="D2256" s="2" t="s">
        <v>7247</v>
      </c>
      <c r="E2256" s="2" t="s">
        <v>7248</v>
      </c>
      <c r="F2256" s="2" t="s">
        <v>7249</v>
      </c>
      <c r="G2256" s="2" t="s">
        <v>170</v>
      </c>
      <c r="H2256" s="2" t="s">
        <v>1685</v>
      </c>
      <c r="I2256" s="2" t="s">
        <v>59</v>
      </c>
      <c r="J2256" s="2" t="s">
        <v>37</v>
      </c>
      <c r="K2256" s="2" t="s">
        <v>38</v>
      </c>
      <c r="L2256" s="2" t="s">
        <v>39</v>
      </c>
      <c r="M2256" s="2" t="s">
        <v>39</v>
      </c>
      <c r="N2256" s="2" t="s">
        <v>39</v>
      </c>
      <c r="O2256" s="2" t="s">
        <v>39</v>
      </c>
      <c r="P2256" s="2" t="s">
        <v>39</v>
      </c>
      <c r="Q2256" s="2" t="s">
        <v>39</v>
      </c>
      <c r="R2256" s="2" t="s">
        <v>38</v>
      </c>
      <c r="S2256" s="2" t="s">
        <v>39</v>
      </c>
      <c r="T2256" s="2" t="s">
        <v>39</v>
      </c>
      <c r="U2256" s="2" t="s">
        <v>38</v>
      </c>
      <c r="V2256" s="2" t="s">
        <v>38</v>
      </c>
      <c r="W2256" s="2" t="s">
        <v>38</v>
      </c>
      <c r="X2256" s="2" t="s">
        <v>39</v>
      </c>
      <c r="Y2256" s="2" t="s">
        <v>39</v>
      </c>
      <c r="Z2256" s="2" t="s">
        <v>39</v>
      </c>
      <c r="AA2256" s="2" t="s">
        <v>38</v>
      </c>
      <c r="AB2256" s="2" t="s">
        <v>39</v>
      </c>
      <c r="AC2256" s="2" t="s">
        <v>38</v>
      </c>
      <c r="AD2256" s="2" t="s">
        <v>38</v>
      </c>
      <c r="AE2256" s="2" t="s">
        <v>40</v>
      </c>
    </row>
    <row r="2257" spans="1:31" ht="409.5">
      <c r="A2257" s="2">
        <v>2721785</v>
      </c>
      <c r="B2257" s="2">
        <f>HYPERLINK("https://platform.v2.vetology.net/cases/2721785/screening-report/1?type=pdf&amp;v=v6&amp;scorecard=1&amp;secret_key=BX%25IJ%24%2F65ieZ%29f6", 2721785)</f>
        <v>2721785</v>
      </c>
      <c r="C2257" s="2">
        <f>HYPERLINK("https://platform.v2.vetology.net/report/v/final/"&amp;2721785, 2721785)</f>
        <v>2721785</v>
      </c>
      <c r="D2257" s="2" t="s">
        <v>7250</v>
      </c>
      <c r="E2257" s="2" t="s">
        <v>7251</v>
      </c>
      <c r="F2257" s="2" t="s">
        <v>7252</v>
      </c>
      <c r="G2257" s="2" t="s">
        <v>170</v>
      </c>
      <c r="H2257" s="2" t="s">
        <v>7253</v>
      </c>
      <c r="I2257" s="2" t="s">
        <v>684</v>
      </c>
      <c r="J2257" s="2" t="s">
        <v>74</v>
      </c>
      <c r="K2257" s="2" t="s">
        <v>39</v>
      </c>
      <c r="L2257" s="2" t="s">
        <v>39</v>
      </c>
      <c r="M2257" s="2" t="s">
        <v>39</v>
      </c>
      <c r="N2257" s="2" t="s">
        <v>39</v>
      </c>
      <c r="O2257" s="2" t="s">
        <v>39</v>
      </c>
      <c r="P2257" s="2" t="s">
        <v>38</v>
      </c>
      <c r="Q2257" s="2" t="s">
        <v>38</v>
      </c>
      <c r="R2257" s="2" t="s">
        <v>39</v>
      </c>
      <c r="S2257" s="2" t="s">
        <v>39</v>
      </c>
      <c r="T2257" s="2" t="s">
        <v>38</v>
      </c>
      <c r="U2257" s="2" t="s">
        <v>39</v>
      </c>
      <c r="V2257" s="2" t="s">
        <v>39</v>
      </c>
      <c r="W2257" s="2" t="s">
        <v>39</v>
      </c>
      <c r="X2257" s="2" t="s">
        <v>38</v>
      </c>
      <c r="Y2257" s="2" t="s">
        <v>39</v>
      </c>
      <c r="Z2257" s="2" t="s">
        <v>39</v>
      </c>
      <c r="AA2257" s="2" t="s">
        <v>39</v>
      </c>
      <c r="AB2257" s="2" t="s">
        <v>38</v>
      </c>
      <c r="AC2257" s="2" t="s">
        <v>39</v>
      </c>
      <c r="AD2257" s="2" t="s">
        <v>39</v>
      </c>
      <c r="AE2257" s="2" t="s">
        <v>39</v>
      </c>
    </row>
    <row r="2258" spans="1:31" ht="409.5">
      <c r="A2258" s="2">
        <v>2721782</v>
      </c>
      <c r="B2258" s="2">
        <f>HYPERLINK("https://platform.v2.vetology.net/cases/2721782/screening-report/1?type=pdf&amp;v=v6&amp;scorecard=1&amp;secret_key=BX%25IJ%24%2F65ieZ%29f6", 2721782)</f>
        <v>2721782</v>
      </c>
      <c r="C2258" s="2">
        <f>HYPERLINK("https://platform.v2.vetology.net/report/v/final/"&amp;2721782, 2721782)</f>
        <v>2721782</v>
      </c>
      <c r="D2258" s="2" t="s">
        <v>7254</v>
      </c>
      <c r="E2258" s="2" t="s">
        <v>7255</v>
      </c>
      <c r="F2258" s="2" t="s">
        <v>43</v>
      </c>
      <c r="G2258" s="2" t="s">
        <v>100</v>
      </c>
      <c r="H2258" s="2" t="s">
        <v>7256</v>
      </c>
      <c r="I2258" s="2" t="s">
        <v>36</v>
      </c>
      <c r="J2258" s="2" t="s">
        <v>37</v>
      </c>
      <c r="K2258" s="2" t="s">
        <v>38</v>
      </c>
      <c r="L2258" s="2" t="s">
        <v>38</v>
      </c>
      <c r="M2258" s="2" t="s">
        <v>38</v>
      </c>
      <c r="N2258" s="2" t="s">
        <v>38</v>
      </c>
      <c r="O2258" s="2" t="s">
        <v>38</v>
      </c>
      <c r="P2258" s="2" t="s">
        <v>38</v>
      </c>
      <c r="Q2258" s="2" t="s">
        <v>39</v>
      </c>
      <c r="R2258" s="2" t="s">
        <v>38</v>
      </c>
      <c r="S2258" s="2" t="s">
        <v>38</v>
      </c>
      <c r="T2258" s="2" t="s">
        <v>38</v>
      </c>
      <c r="U2258" s="2" t="s">
        <v>38</v>
      </c>
      <c r="V2258" s="2" t="s">
        <v>38</v>
      </c>
      <c r="W2258" s="2" t="s">
        <v>38</v>
      </c>
      <c r="X2258" s="2" t="s">
        <v>38</v>
      </c>
      <c r="Y2258" s="2" t="s">
        <v>38</v>
      </c>
      <c r="Z2258" s="2" t="s">
        <v>38</v>
      </c>
      <c r="AA2258" s="2" t="s">
        <v>38</v>
      </c>
      <c r="AB2258" s="2" t="s">
        <v>38</v>
      </c>
      <c r="AC2258" s="2" t="s">
        <v>38</v>
      </c>
      <c r="AD2258" s="2" t="s">
        <v>38</v>
      </c>
      <c r="AE2258" s="2" t="s">
        <v>40</v>
      </c>
    </row>
    <row r="2259" spans="1:31" ht="409.5">
      <c r="A2259" s="2">
        <v>2721663</v>
      </c>
      <c r="B2259" s="2">
        <f>HYPERLINK("https://platform.v2.vetology.net/cases/2721663/screening-report/1?type=pdf&amp;v=v6&amp;scorecard=1&amp;secret_key=BX%25IJ%24%2F65ieZ%29f6", 2721663)</f>
        <v>2721663</v>
      </c>
      <c r="C2259" s="2">
        <f>HYPERLINK("https://platform.v2.vetology.net/report/v/final/"&amp;2721663, 2721663)</f>
        <v>2721663</v>
      </c>
      <c r="D2259" s="2" t="s">
        <v>7257</v>
      </c>
      <c r="E2259" s="2" t="s">
        <v>7258</v>
      </c>
      <c r="F2259" s="2" t="s">
        <v>7259</v>
      </c>
      <c r="G2259" s="2" t="s">
        <v>34</v>
      </c>
      <c r="H2259" s="2" t="s">
        <v>7260</v>
      </c>
      <c r="I2259" s="2" t="s">
        <v>36</v>
      </c>
      <c r="J2259" s="2" t="s">
        <v>37</v>
      </c>
      <c r="K2259" s="2" t="s">
        <v>38</v>
      </c>
      <c r="L2259" s="2" t="s">
        <v>38</v>
      </c>
      <c r="M2259" s="2" t="s">
        <v>38</v>
      </c>
      <c r="N2259" s="2" t="s">
        <v>39</v>
      </c>
      <c r="O2259" s="2" t="s">
        <v>39</v>
      </c>
      <c r="P2259" s="2" t="s">
        <v>39</v>
      </c>
      <c r="Q2259" s="2" t="s">
        <v>39</v>
      </c>
      <c r="R2259" s="2" t="s">
        <v>38</v>
      </c>
      <c r="S2259" s="2" t="s">
        <v>38</v>
      </c>
      <c r="T2259" s="2" t="s">
        <v>38</v>
      </c>
      <c r="U2259" s="2" t="s">
        <v>38</v>
      </c>
      <c r="V2259" s="2" t="s">
        <v>38</v>
      </c>
      <c r="W2259" s="2" t="s">
        <v>39</v>
      </c>
      <c r="X2259" s="2" t="s">
        <v>39</v>
      </c>
      <c r="Y2259" s="2" t="s">
        <v>39</v>
      </c>
      <c r="Z2259" s="2" t="s">
        <v>38</v>
      </c>
      <c r="AA2259" s="2" t="s">
        <v>38</v>
      </c>
      <c r="AB2259" s="2" t="s">
        <v>39</v>
      </c>
      <c r="AC2259" s="2" t="s">
        <v>38</v>
      </c>
      <c r="AD2259" s="2" t="s">
        <v>38</v>
      </c>
      <c r="AE2259" s="2" t="s">
        <v>39</v>
      </c>
    </row>
    <row r="2260" spans="1:31" ht="409.5">
      <c r="A2260" s="2">
        <v>2721571</v>
      </c>
      <c r="B2260" s="2">
        <f>HYPERLINK("https://platform.v2.vetology.net/cases/2721571/screening-report/1?type=pdf&amp;v=v6&amp;scorecard=1&amp;secret_key=BX%25IJ%24%2F65ieZ%29f6", 2721571)</f>
        <v>2721571</v>
      </c>
      <c r="C2260" s="2">
        <f>HYPERLINK("https://platform.v2.vetology.net/report/v/final/"&amp;2721571, 2721571)</f>
        <v>2721571</v>
      </c>
      <c r="D2260" s="2" t="s">
        <v>7261</v>
      </c>
      <c r="E2260" s="2" t="s">
        <v>7262</v>
      </c>
      <c r="F2260" s="2" t="s">
        <v>7263</v>
      </c>
      <c r="G2260" s="2" t="s">
        <v>34</v>
      </c>
      <c r="H2260" s="2" t="s">
        <v>7264</v>
      </c>
      <c r="I2260" s="2" t="s">
        <v>684</v>
      </c>
      <c r="J2260" s="2" t="s">
        <v>74</v>
      </c>
      <c r="K2260" s="2" t="s">
        <v>38</v>
      </c>
      <c r="L2260" s="2" t="s">
        <v>39</v>
      </c>
      <c r="M2260" s="2" t="s">
        <v>39</v>
      </c>
      <c r="N2260" s="2" t="s">
        <v>38</v>
      </c>
      <c r="O2260" s="2" t="s">
        <v>39</v>
      </c>
      <c r="P2260" s="2" t="s">
        <v>39</v>
      </c>
      <c r="Q2260" s="2" t="s">
        <v>38</v>
      </c>
      <c r="R2260" s="2" t="s">
        <v>39</v>
      </c>
      <c r="S2260" s="2" t="s">
        <v>38</v>
      </c>
      <c r="T2260" s="2" t="s">
        <v>39</v>
      </c>
      <c r="U2260" s="2" t="s">
        <v>38</v>
      </c>
      <c r="V2260" s="2" t="s">
        <v>38</v>
      </c>
      <c r="W2260" s="2" t="s">
        <v>39</v>
      </c>
      <c r="X2260" s="2" t="s">
        <v>38</v>
      </c>
      <c r="Y2260" s="2" t="s">
        <v>39</v>
      </c>
      <c r="Z2260" s="2" t="s">
        <v>39</v>
      </c>
      <c r="AA2260" s="2" t="s">
        <v>38</v>
      </c>
      <c r="AB2260" s="2" t="s">
        <v>39</v>
      </c>
      <c r="AC2260" s="2" t="s">
        <v>39</v>
      </c>
      <c r="AD2260" s="2" t="s">
        <v>39</v>
      </c>
      <c r="AE2260" s="2" t="s">
        <v>39</v>
      </c>
    </row>
    <row r="2261" spans="1:31" ht="409.5">
      <c r="A2261" s="2">
        <v>2721534</v>
      </c>
      <c r="B2261" s="2">
        <f>HYPERLINK("https://platform.v2.vetology.net/cases/2721534/screening-report/1?type=pdf&amp;v=v6&amp;scorecard=1&amp;secret_key=BX%25IJ%24%2F65ieZ%29f6", 2721534)</f>
        <v>2721534</v>
      </c>
      <c r="C2261" s="2">
        <f>HYPERLINK("https://platform.v2.vetology.net/report/v/final/"&amp;2721534, 2721534)</f>
        <v>2721534</v>
      </c>
      <c r="D2261" s="2" t="s">
        <v>7265</v>
      </c>
      <c r="E2261" s="2" t="s">
        <v>7266</v>
      </c>
      <c r="F2261" s="2" t="s">
        <v>43</v>
      </c>
      <c r="G2261" s="2" t="s">
        <v>44</v>
      </c>
      <c r="H2261" s="2" t="s">
        <v>1056</v>
      </c>
      <c r="I2261" s="2" t="s">
        <v>59</v>
      </c>
      <c r="J2261" s="2" t="s">
        <v>37</v>
      </c>
      <c r="K2261" s="2" t="s">
        <v>39</v>
      </c>
      <c r="L2261" s="2" t="s">
        <v>39</v>
      </c>
      <c r="M2261" s="2" t="s">
        <v>39</v>
      </c>
      <c r="N2261" s="2" t="s">
        <v>38</v>
      </c>
      <c r="O2261" s="2" t="s">
        <v>39</v>
      </c>
      <c r="P2261" s="2" t="s">
        <v>39</v>
      </c>
      <c r="Q2261" s="2" t="s">
        <v>39</v>
      </c>
      <c r="R2261" s="2" t="s">
        <v>39</v>
      </c>
      <c r="S2261" s="2" t="s">
        <v>39</v>
      </c>
      <c r="T2261" s="2" t="s">
        <v>39</v>
      </c>
      <c r="U2261" s="2" t="s">
        <v>38</v>
      </c>
      <c r="V2261" s="2" t="s">
        <v>39</v>
      </c>
      <c r="W2261" s="2" t="s">
        <v>39</v>
      </c>
      <c r="X2261" s="2" t="s">
        <v>39</v>
      </c>
      <c r="Y2261" s="2" t="s">
        <v>39</v>
      </c>
      <c r="Z2261" s="2" t="s">
        <v>39</v>
      </c>
      <c r="AA2261" s="2" t="s">
        <v>39</v>
      </c>
      <c r="AB2261" s="2" t="s">
        <v>39</v>
      </c>
      <c r="AC2261" s="2" t="s">
        <v>39</v>
      </c>
      <c r="AD2261" s="2" t="s">
        <v>39</v>
      </c>
      <c r="AE2261" s="2" t="s">
        <v>39</v>
      </c>
    </row>
    <row r="2262" spans="1:31" ht="409.5">
      <c r="A2262" s="2">
        <v>2721526</v>
      </c>
      <c r="B2262" s="2">
        <f>HYPERLINK("https://platform.v2.vetology.net/cases/2721526/screening-report/1?type=pdf&amp;v=v6&amp;scorecard=1&amp;secret_key=BX%25IJ%24%2F65ieZ%29f6", 2721526)</f>
        <v>2721526</v>
      </c>
      <c r="C2262" s="2">
        <f>HYPERLINK("https://platform.v2.vetology.net/report/v/final/"&amp;2721526, 2721526)</f>
        <v>2721526</v>
      </c>
      <c r="D2262" s="2" t="s">
        <v>7267</v>
      </c>
      <c r="E2262" s="2" t="s">
        <v>7268</v>
      </c>
      <c r="F2262" s="2" t="s">
        <v>7269</v>
      </c>
      <c r="G2262" s="2" t="s">
        <v>34</v>
      </c>
      <c r="H2262" s="2" t="s">
        <v>7270</v>
      </c>
      <c r="I2262" s="2" t="s">
        <v>36</v>
      </c>
      <c r="J2262" s="2" t="s">
        <v>37</v>
      </c>
      <c r="K2262" s="2" t="s">
        <v>39</v>
      </c>
      <c r="L2262" s="2" t="s">
        <v>38</v>
      </c>
      <c r="M2262" s="2" t="s">
        <v>38</v>
      </c>
      <c r="N2262" s="2" t="s">
        <v>39</v>
      </c>
      <c r="O2262" s="2" t="s">
        <v>39</v>
      </c>
      <c r="P2262" s="2" t="s">
        <v>39</v>
      </c>
      <c r="Q2262" s="2" t="s">
        <v>39</v>
      </c>
      <c r="R2262" s="2" t="s">
        <v>38</v>
      </c>
      <c r="S2262" s="2" t="s">
        <v>38</v>
      </c>
      <c r="T2262" s="2" t="s">
        <v>39</v>
      </c>
      <c r="U2262" s="2" t="s">
        <v>39</v>
      </c>
      <c r="V2262" s="2" t="s">
        <v>39</v>
      </c>
      <c r="W2262" s="2" t="s">
        <v>39</v>
      </c>
      <c r="X2262" s="2" t="s">
        <v>39</v>
      </c>
      <c r="Y2262" s="2" t="s">
        <v>39</v>
      </c>
      <c r="Z2262" s="2" t="s">
        <v>39</v>
      </c>
      <c r="AA2262" s="2" t="s">
        <v>38</v>
      </c>
      <c r="AB2262" s="2" t="s">
        <v>39</v>
      </c>
      <c r="AC2262" s="2" t="s">
        <v>38</v>
      </c>
      <c r="AD2262" s="2" t="s">
        <v>38</v>
      </c>
      <c r="AE2262" s="2" t="s">
        <v>39</v>
      </c>
    </row>
    <row r="2263" spans="1:31" ht="409.5">
      <c r="A2263" s="2">
        <v>2721501</v>
      </c>
      <c r="B2263" s="2">
        <f>HYPERLINK("https://platform.v2.vetology.net/cases/2721501/screening-report/1?type=pdf&amp;v=v6&amp;scorecard=1&amp;secret_key=BX%25IJ%24%2F65ieZ%29f6", 2721501)</f>
        <v>2721501</v>
      </c>
      <c r="C2263" s="2">
        <f>HYPERLINK("https://platform.v2.vetology.net/report/v/final/"&amp;2721501, 2721501)</f>
        <v>2721501</v>
      </c>
      <c r="D2263" s="2" t="s">
        <v>7271</v>
      </c>
      <c r="E2263" s="2" t="s">
        <v>7272</v>
      </c>
      <c r="F2263" s="2" t="s">
        <v>7273</v>
      </c>
      <c r="G2263" s="2" t="s">
        <v>53</v>
      </c>
      <c r="H2263" s="2" t="s">
        <v>273</v>
      </c>
      <c r="I2263" s="2" t="s">
        <v>46</v>
      </c>
      <c r="J2263" s="2"/>
      <c r="K2263" s="2" t="s">
        <v>39</v>
      </c>
      <c r="L2263" s="2" t="s">
        <v>39</v>
      </c>
      <c r="M2263" s="2" t="s">
        <v>39</v>
      </c>
      <c r="N2263" s="2" t="s">
        <v>39</v>
      </c>
      <c r="O2263" s="2" t="s">
        <v>39</v>
      </c>
      <c r="P2263" s="2" t="s">
        <v>39</v>
      </c>
      <c r="Q2263" s="2" t="s">
        <v>39</v>
      </c>
      <c r="R2263" s="2" t="s">
        <v>39</v>
      </c>
      <c r="S2263" s="2" t="s">
        <v>38</v>
      </c>
      <c r="T2263" s="2" t="s">
        <v>39</v>
      </c>
      <c r="U2263" s="2" t="s">
        <v>39</v>
      </c>
      <c r="V2263" s="2" t="s">
        <v>39</v>
      </c>
      <c r="W2263" s="2" t="s">
        <v>39</v>
      </c>
      <c r="X2263" s="2" t="s">
        <v>39</v>
      </c>
      <c r="Y2263" s="2" t="s">
        <v>39</v>
      </c>
      <c r="Z2263" s="2" t="s">
        <v>39</v>
      </c>
      <c r="AA2263" s="2" t="s">
        <v>39</v>
      </c>
      <c r="AB2263" s="2" t="s">
        <v>39</v>
      </c>
      <c r="AC2263" s="2" t="s">
        <v>38</v>
      </c>
      <c r="AD2263" s="2" t="s">
        <v>38</v>
      </c>
      <c r="AE2263" s="2" t="s">
        <v>39</v>
      </c>
    </row>
    <row r="2264" spans="1:31" ht="409.5">
      <c r="A2264" s="2">
        <v>2721470</v>
      </c>
      <c r="B2264" s="2">
        <f>HYPERLINK("https://platform.v2.vetology.net/cases/2721470/screening-report/1?type=pdf&amp;v=v6&amp;scorecard=1&amp;secret_key=BX%25IJ%24%2F65ieZ%29f6", 2721470)</f>
        <v>2721470</v>
      </c>
      <c r="C2264" s="2">
        <f>HYPERLINK("https://platform.v2.vetology.net/report/v/final/"&amp;2721470, 2721470)</f>
        <v>2721470</v>
      </c>
      <c r="D2264" s="2" t="s">
        <v>7274</v>
      </c>
      <c r="E2264" s="2" t="s">
        <v>7275</v>
      </c>
      <c r="F2264" s="2" t="s">
        <v>7276</v>
      </c>
      <c r="G2264" s="2" t="s">
        <v>111</v>
      </c>
      <c r="H2264" s="2" t="s">
        <v>7277</v>
      </c>
      <c r="I2264" s="2" t="s">
        <v>129</v>
      </c>
      <c r="J2264" s="2" t="s">
        <v>74</v>
      </c>
      <c r="K2264" s="2" t="s">
        <v>38</v>
      </c>
      <c r="L2264" s="2" t="s">
        <v>39</v>
      </c>
      <c r="M2264" s="2" t="s">
        <v>38</v>
      </c>
      <c r="N2264" s="2" t="s">
        <v>38</v>
      </c>
      <c r="O2264" s="2" t="s">
        <v>38</v>
      </c>
      <c r="P2264" s="2" t="s">
        <v>38</v>
      </c>
      <c r="Q2264" s="2" t="s">
        <v>38</v>
      </c>
      <c r="R2264" s="2" t="s">
        <v>38</v>
      </c>
      <c r="S2264" s="2" t="s">
        <v>38</v>
      </c>
      <c r="T2264" s="2" t="s">
        <v>38</v>
      </c>
      <c r="U2264" s="2" t="s">
        <v>39</v>
      </c>
      <c r="V2264" s="2" t="s">
        <v>38</v>
      </c>
      <c r="W2264" s="2" t="s">
        <v>38</v>
      </c>
      <c r="X2264" s="2" t="s">
        <v>38</v>
      </c>
      <c r="Y2264" s="2" t="s">
        <v>39</v>
      </c>
      <c r="Z2264" s="2" t="s">
        <v>38</v>
      </c>
      <c r="AA2264" s="2" t="s">
        <v>38</v>
      </c>
      <c r="AB2264" s="2" t="s">
        <v>38</v>
      </c>
      <c r="AC2264" s="2" t="s">
        <v>38</v>
      </c>
      <c r="AD2264" s="2" t="s">
        <v>38</v>
      </c>
      <c r="AE2264" s="2" t="s">
        <v>40</v>
      </c>
    </row>
    <row r="2265" spans="1:31" ht="409.5">
      <c r="A2265" s="2">
        <v>2721465</v>
      </c>
      <c r="B2265" s="2">
        <f>HYPERLINK("https://platform.v2.vetology.net/cases/2721465/screening-report/1?type=pdf&amp;v=v6&amp;scorecard=1&amp;secret_key=BX%25IJ%24%2F65ieZ%29f6", 2721465)</f>
        <v>2721465</v>
      </c>
      <c r="C2265" s="2">
        <f>HYPERLINK("https://platform.v2.vetology.net/report/v/final/"&amp;2721465, 2721465)</f>
        <v>2721465</v>
      </c>
      <c r="D2265" s="2" t="s">
        <v>853</v>
      </c>
      <c r="E2265" s="2" t="s">
        <v>7278</v>
      </c>
      <c r="F2265" s="2" t="s">
        <v>7279</v>
      </c>
      <c r="G2265" s="2" t="s">
        <v>111</v>
      </c>
      <c r="H2265" s="2" t="s">
        <v>1275</v>
      </c>
      <c r="I2265" s="2" t="s">
        <v>59</v>
      </c>
      <c r="J2265" s="2" t="s">
        <v>37</v>
      </c>
      <c r="K2265" s="2" t="s">
        <v>39</v>
      </c>
      <c r="L2265" s="2" t="s">
        <v>39</v>
      </c>
      <c r="M2265" s="2" t="s">
        <v>39</v>
      </c>
      <c r="N2265" s="2" t="s">
        <v>38</v>
      </c>
      <c r="O2265" s="2" t="s">
        <v>38</v>
      </c>
      <c r="P2265" s="2" t="s">
        <v>39</v>
      </c>
      <c r="Q2265" s="2" t="s">
        <v>39</v>
      </c>
      <c r="R2265" s="2" t="s">
        <v>39</v>
      </c>
      <c r="S2265" s="2" t="s">
        <v>39</v>
      </c>
      <c r="T2265" s="2" t="s">
        <v>38</v>
      </c>
      <c r="U2265" s="2" t="s">
        <v>39</v>
      </c>
      <c r="V2265" s="2" t="s">
        <v>39</v>
      </c>
      <c r="W2265" s="2" t="s">
        <v>38</v>
      </c>
      <c r="X2265" s="2" t="s">
        <v>38</v>
      </c>
      <c r="Y2265" s="2" t="s">
        <v>39</v>
      </c>
      <c r="Z2265" s="2" t="s">
        <v>39</v>
      </c>
      <c r="AA2265" s="2" t="s">
        <v>39</v>
      </c>
      <c r="AB2265" s="2" t="s">
        <v>38</v>
      </c>
      <c r="AC2265" s="2" t="s">
        <v>39</v>
      </c>
      <c r="AD2265" s="2" t="s">
        <v>39</v>
      </c>
      <c r="AE2265" s="2" t="s">
        <v>39</v>
      </c>
    </row>
    <row r="2266" spans="1:31" ht="409.5">
      <c r="A2266" s="2">
        <v>2721429</v>
      </c>
      <c r="B2266" s="2">
        <f>HYPERLINK("https://platform.v2.vetology.net/cases/2721429/screening-report/1?type=pdf&amp;v=v6&amp;scorecard=1&amp;secret_key=BX%25IJ%24%2F65ieZ%29f6", 2721429)</f>
        <v>2721429</v>
      </c>
      <c r="C2266" s="2">
        <f>HYPERLINK("https://platform.v2.vetology.net/report/v/final/"&amp;2721429, 2721429)</f>
        <v>2721429</v>
      </c>
      <c r="D2266" s="2" t="s">
        <v>7280</v>
      </c>
      <c r="E2266" s="2" t="s">
        <v>7281</v>
      </c>
      <c r="F2266" s="2" t="s">
        <v>7282</v>
      </c>
      <c r="G2266" s="2" t="s">
        <v>53</v>
      </c>
      <c r="H2266" s="2" t="s">
        <v>398</v>
      </c>
      <c r="I2266" s="2" t="s">
        <v>46</v>
      </c>
      <c r="J2266" s="2"/>
      <c r="K2266" s="2" t="s">
        <v>38</v>
      </c>
      <c r="L2266" s="2" t="s">
        <v>39</v>
      </c>
      <c r="M2266" s="2" t="s">
        <v>39</v>
      </c>
      <c r="N2266" s="2" t="s">
        <v>39</v>
      </c>
      <c r="O2266" s="2" t="s">
        <v>39</v>
      </c>
      <c r="P2266" s="2" t="s">
        <v>39</v>
      </c>
      <c r="Q2266" s="2" t="s">
        <v>39</v>
      </c>
      <c r="R2266" s="2" t="s">
        <v>39</v>
      </c>
      <c r="S2266" s="2" t="s">
        <v>39</v>
      </c>
      <c r="T2266" s="2" t="s">
        <v>39</v>
      </c>
      <c r="U2266" s="2" t="s">
        <v>39</v>
      </c>
      <c r="V2266" s="2" t="s">
        <v>39</v>
      </c>
      <c r="W2266" s="2" t="s">
        <v>39</v>
      </c>
      <c r="X2266" s="2" t="s">
        <v>39</v>
      </c>
      <c r="Y2266" s="2" t="s">
        <v>39</v>
      </c>
      <c r="Z2266" s="2" t="s">
        <v>39</v>
      </c>
      <c r="AA2266" s="2" t="s">
        <v>39</v>
      </c>
      <c r="AB2266" s="2" t="s">
        <v>39</v>
      </c>
      <c r="AC2266" s="2" t="s">
        <v>39</v>
      </c>
      <c r="AD2266" s="2" t="s">
        <v>39</v>
      </c>
      <c r="AE2266" s="2" t="s">
        <v>39</v>
      </c>
    </row>
    <row r="2267" spans="1:31" ht="409.5">
      <c r="A2267" s="2">
        <v>2721405</v>
      </c>
      <c r="B2267" s="2">
        <f>HYPERLINK("https://platform.v2.vetology.net/cases/2721405/screening-report/1?type=pdf&amp;v=v6&amp;scorecard=1&amp;secret_key=BX%25IJ%24%2F65ieZ%29f6", 2721405)</f>
        <v>2721405</v>
      </c>
      <c r="C2267" s="2">
        <f>HYPERLINK("https://platform.v2.vetology.net/report/v/final/"&amp;2721405, 2721405)</f>
        <v>2721405</v>
      </c>
      <c r="D2267" s="2" t="s">
        <v>7283</v>
      </c>
      <c r="E2267" s="2" t="s">
        <v>7284</v>
      </c>
      <c r="F2267" s="2" t="s">
        <v>7285</v>
      </c>
      <c r="G2267" s="2" t="s">
        <v>53</v>
      </c>
      <c r="H2267" s="2" t="s">
        <v>7286</v>
      </c>
      <c r="I2267" s="2" t="s">
        <v>36</v>
      </c>
      <c r="J2267" s="2" t="s">
        <v>37</v>
      </c>
      <c r="K2267" s="2" t="s">
        <v>38</v>
      </c>
      <c r="L2267" s="2" t="s">
        <v>39</v>
      </c>
      <c r="M2267" s="2" t="s">
        <v>39</v>
      </c>
      <c r="N2267" s="2" t="s">
        <v>39</v>
      </c>
      <c r="O2267" s="2" t="s">
        <v>39</v>
      </c>
      <c r="P2267" s="2" t="s">
        <v>39</v>
      </c>
      <c r="Q2267" s="2" t="s">
        <v>39</v>
      </c>
      <c r="R2267" s="2" t="s">
        <v>39</v>
      </c>
      <c r="S2267" s="2" t="s">
        <v>39</v>
      </c>
      <c r="T2267" s="2" t="s">
        <v>39</v>
      </c>
      <c r="U2267" s="2" t="s">
        <v>38</v>
      </c>
      <c r="V2267" s="2" t="s">
        <v>38</v>
      </c>
      <c r="W2267" s="2" t="s">
        <v>39</v>
      </c>
      <c r="X2267" s="2" t="s">
        <v>39</v>
      </c>
      <c r="Y2267" s="2" t="s">
        <v>39</v>
      </c>
      <c r="Z2267" s="2" t="s">
        <v>39</v>
      </c>
      <c r="AA2267" s="2" t="s">
        <v>39</v>
      </c>
      <c r="AB2267" s="2" t="s">
        <v>39</v>
      </c>
      <c r="AC2267" s="2" t="s">
        <v>39</v>
      </c>
      <c r="AD2267" s="2" t="s">
        <v>39</v>
      </c>
      <c r="AE2267" s="2" t="s">
        <v>39</v>
      </c>
    </row>
    <row r="2268" spans="1:31" ht="409.5">
      <c r="A2268" s="2">
        <v>2721341</v>
      </c>
      <c r="B2268" s="2">
        <f>HYPERLINK("https://platform.v2.vetology.net/cases/2721341/screening-report/1?type=pdf&amp;v=v6&amp;scorecard=1&amp;secret_key=BX%25IJ%24%2F65ieZ%29f6", 2721341)</f>
        <v>2721341</v>
      </c>
      <c r="C2268" s="2">
        <f>HYPERLINK("https://platform.v2.vetology.net/report/v/final/"&amp;2721341, 2721341)</f>
        <v>2721341</v>
      </c>
      <c r="D2268" s="2" t="s">
        <v>7287</v>
      </c>
      <c r="E2268" s="2" t="s">
        <v>6962</v>
      </c>
      <c r="F2268" s="2" t="s">
        <v>3931</v>
      </c>
      <c r="G2268" s="2" t="s">
        <v>44</v>
      </c>
      <c r="H2268" s="2" t="s">
        <v>7288</v>
      </c>
      <c r="I2268" s="2" t="s">
        <v>129</v>
      </c>
      <c r="J2268" s="2" t="s">
        <v>74</v>
      </c>
      <c r="K2268" s="2" t="s">
        <v>38</v>
      </c>
      <c r="L2268" s="2" t="s">
        <v>38</v>
      </c>
      <c r="M2268" s="2" t="s">
        <v>38</v>
      </c>
      <c r="N2268" s="2" t="s">
        <v>38</v>
      </c>
      <c r="O2268" s="2" t="s">
        <v>38</v>
      </c>
      <c r="P2268" s="2" t="s">
        <v>38</v>
      </c>
      <c r="Q2268" s="2" t="s">
        <v>38</v>
      </c>
      <c r="R2268" s="2" t="s">
        <v>38</v>
      </c>
      <c r="S2268" s="2" t="s">
        <v>38</v>
      </c>
      <c r="T2268" s="2" t="s">
        <v>38</v>
      </c>
      <c r="U2268" s="2" t="s">
        <v>39</v>
      </c>
      <c r="V2268" s="2" t="s">
        <v>38</v>
      </c>
      <c r="W2268" s="2" t="s">
        <v>38</v>
      </c>
      <c r="X2268" s="2" t="s">
        <v>38</v>
      </c>
      <c r="Y2268" s="2" t="s">
        <v>39</v>
      </c>
      <c r="Z2268" s="2" t="s">
        <v>38</v>
      </c>
      <c r="AA2268" s="2" t="s">
        <v>38</v>
      </c>
      <c r="AB2268" s="2" t="s">
        <v>38</v>
      </c>
      <c r="AC2268" s="2" t="s">
        <v>38</v>
      </c>
      <c r="AD2268" s="2" t="s">
        <v>38</v>
      </c>
      <c r="AE2268" s="2" t="s">
        <v>40</v>
      </c>
    </row>
    <row r="2269" spans="1:31" ht="409.5">
      <c r="A2269" s="2">
        <v>2721326</v>
      </c>
      <c r="B2269" s="2">
        <f>HYPERLINK("https://platform.v2.vetology.net/cases/2721326/screening-report/1?type=pdf&amp;v=v6&amp;scorecard=1&amp;secret_key=BX%25IJ%24%2F65ieZ%29f6", 2721326)</f>
        <v>2721326</v>
      </c>
      <c r="C2269" s="2">
        <f>HYPERLINK("https://platform.v2.vetology.net/report/v/final/"&amp;2721326, 2721326)</f>
        <v>2721326</v>
      </c>
      <c r="D2269" s="2" t="s">
        <v>7289</v>
      </c>
      <c r="E2269" s="2" t="s">
        <v>7290</v>
      </c>
      <c r="F2269" s="2" t="s">
        <v>43</v>
      </c>
      <c r="G2269" s="2" t="s">
        <v>100</v>
      </c>
      <c r="H2269" s="2" t="s">
        <v>7291</v>
      </c>
      <c r="I2269" s="2" t="s">
        <v>36</v>
      </c>
      <c r="J2269" s="2" t="s">
        <v>37</v>
      </c>
      <c r="K2269" s="2" t="s">
        <v>38</v>
      </c>
      <c r="L2269" s="2" t="s">
        <v>38</v>
      </c>
      <c r="M2269" s="2" t="s">
        <v>39</v>
      </c>
      <c r="N2269" s="2" t="s">
        <v>38</v>
      </c>
      <c r="O2269" s="2" t="s">
        <v>38</v>
      </c>
      <c r="P2269" s="2" t="s">
        <v>39</v>
      </c>
      <c r="Q2269" s="2" t="s">
        <v>39</v>
      </c>
      <c r="R2269" s="2" t="s">
        <v>38</v>
      </c>
      <c r="S2269" s="2" t="s">
        <v>38</v>
      </c>
      <c r="T2269" s="2" t="s">
        <v>39</v>
      </c>
      <c r="U2269" s="2" t="s">
        <v>38</v>
      </c>
      <c r="V2269" s="2" t="s">
        <v>38</v>
      </c>
      <c r="W2269" s="2" t="s">
        <v>38</v>
      </c>
      <c r="X2269" s="2" t="s">
        <v>39</v>
      </c>
      <c r="Y2269" s="2" t="s">
        <v>39</v>
      </c>
      <c r="Z2269" s="2" t="s">
        <v>38</v>
      </c>
      <c r="AA2269" s="2" t="s">
        <v>38</v>
      </c>
      <c r="AB2269" s="2" t="s">
        <v>39</v>
      </c>
      <c r="AC2269" s="2" t="s">
        <v>38</v>
      </c>
      <c r="AD2269" s="2" t="s">
        <v>38</v>
      </c>
      <c r="AE2269" s="2" t="s">
        <v>39</v>
      </c>
    </row>
    <row r="2270" spans="1:31" ht="409.5">
      <c r="A2270" s="2">
        <v>2721291</v>
      </c>
      <c r="B2270" s="2">
        <f>HYPERLINK("https://platform.v2.vetology.net/cases/2721291/screening-report/1?type=pdf&amp;v=v6&amp;scorecard=1&amp;secret_key=BX%25IJ%24%2F65ieZ%29f6", 2721291)</f>
        <v>2721291</v>
      </c>
      <c r="C2270" s="2">
        <f>HYPERLINK("https://platform.v2.vetology.net/report/v/final/"&amp;2721291, 2721291)</f>
        <v>2721291</v>
      </c>
      <c r="D2270" s="2" t="s">
        <v>7292</v>
      </c>
      <c r="E2270" s="2" t="s">
        <v>7293</v>
      </c>
      <c r="F2270" s="2" t="s">
        <v>43</v>
      </c>
      <c r="G2270" s="2" t="s">
        <v>44</v>
      </c>
      <c r="H2270" s="2" t="s">
        <v>7294</v>
      </c>
      <c r="I2270" s="2" t="s">
        <v>73</v>
      </c>
      <c r="J2270" s="2" t="s">
        <v>74</v>
      </c>
      <c r="K2270" s="2" t="s">
        <v>38</v>
      </c>
      <c r="L2270" s="2" t="s">
        <v>38</v>
      </c>
      <c r="M2270" s="2" t="s">
        <v>39</v>
      </c>
      <c r="N2270" s="2" t="s">
        <v>38</v>
      </c>
      <c r="O2270" s="2" t="s">
        <v>39</v>
      </c>
      <c r="P2270" s="2" t="s">
        <v>39</v>
      </c>
      <c r="Q2270" s="2" t="s">
        <v>38</v>
      </c>
      <c r="R2270" s="2" t="s">
        <v>38</v>
      </c>
      <c r="S2270" s="2" t="s">
        <v>38</v>
      </c>
      <c r="T2270" s="2" t="s">
        <v>39</v>
      </c>
      <c r="U2270" s="2" t="s">
        <v>38</v>
      </c>
      <c r="V2270" s="2" t="s">
        <v>38</v>
      </c>
      <c r="W2270" s="2" t="s">
        <v>39</v>
      </c>
      <c r="X2270" s="2" t="s">
        <v>39</v>
      </c>
      <c r="Y2270" s="2" t="s">
        <v>39</v>
      </c>
      <c r="Z2270" s="2" t="s">
        <v>39</v>
      </c>
      <c r="AA2270" s="2" t="s">
        <v>38</v>
      </c>
      <c r="AB2270" s="2" t="s">
        <v>39</v>
      </c>
      <c r="AC2270" s="2" t="s">
        <v>39</v>
      </c>
      <c r="AD2270" s="2" t="s">
        <v>39</v>
      </c>
      <c r="AE2270" s="2" t="s">
        <v>39</v>
      </c>
    </row>
    <row r="2271" spans="1:31" ht="409.5">
      <c r="A2271" s="2">
        <v>2721249</v>
      </c>
      <c r="B2271" s="2">
        <f>HYPERLINK("https://platform.v2.vetology.net/cases/2721249/screening-report/1?type=pdf&amp;v=v6&amp;scorecard=1&amp;secret_key=BX%25IJ%24%2F65ieZ%29f6", 2721249)</f>
        <v>2721249</v>
      </c>
      <c r="C2271" s="2">
        <f>HYPERLINK("https://platform.v2.vetology.net/report/v/final/"&amp;2721249, 2721249)</f>
        <v>2721249</v>
      </c>
      <c r="D2271" s="2" t="s">
        <v>7295</v>
      </c>
      <c r="E2271" s="2" t="s">
        <v>7296</v>
      </c>
      <c r="F2271" s="2" t="s">
        <v>43</v>
      </c>
      <c r="G2271" s="2" t="s">
        <v>507</v>
      </c>
      <c r="H2271" s="2" t="s">
        <v>2256</v>
      </c>
      <c r="I2271" s="2" t="s">
        <v>36</v>
      </c>
      <c r="J2271" s="2" t="s">
        <v>37</v>
      </c>
      <c r="K2271" s="2" t="s">
        <v>39</v>
      </c>
      <c r="L2271" s="2" t="s">
        <v>38</v>
      </c>
      <c r="M2271" s="2" t="s">
        <v>38</v>
      </c>
      <c r="N2271" s="2" t="s">
        <v>38</v>
      </c>
      <c r="O2271" s="2" t="s">
        <v>38</v>
      </c>
      <c r="P2271" s="2" t="s">
        <v>39</v>
      </c>
      <c r="Q2271" s="2" t="s">
        <v>39</v>
      </c>
      <c r="R2271" s="2" t="s">
        <v>38</v>
      </c>
      <c r="S2271" s="2" t="s">
        <v>39</v>
      </c>
      <c r="T2271" s="2" t="s">
        <v>39</v>
      </c>
      <c r="U2271" s="2" t="s">
        <v>38</v>
      </c>
      <c r="V2271" s="2" t="s">
        <v>38</v>
      </c>
      <c r="W2271" s="2" t="s">
        <v>38</v>
      </c>
      <c r="X2271" s="2" t="s">
        <v>39</v>
      </c>
      <c r="Y2271" s="2" t="s">
        <v>39</v>
      </c>
      <c r="Z2271" s="2" t="s">
        <v>38</v>
      </c>
      <c r="AA2271" s="2" t="s">
        <v>39</v>
      </c>
      <c r="AB2271" s="2" t="s">
        <v>39</v>
      </c>
      <c r="AC2271" s="2" t="s">
        <v>38</v>
      </c>
      <c r="AD2271" s="2" t="s">
        <v>39</v>
      </c>
      <c r="AE2271" s="2" t="s">
        <v>40</v>
      </c>
    </row>
    <row r="2272" spans="1:31" ht="409.5">
      <c r="A2272" s="2">
        <v>2721244</v>
      </c>
      <c r="B2272" s="2">
        <f>HYPERLINK("https://platform.v2.vetology.net/cases/2721244/screening-report/1?type=pdf&amp;v=v6&amp;scorecard=1&amp;secret_key=BX%25IJ%24%2F65ieZ%29f6", 2721244)</f>
        <v>2721244</v>
      </c>
      <c r="C2272" s="2">
        <f>HYPERLINK("https://platform.v2.vetology.net/report/v/final/"&amp;2721244, 2721244)</f>
        <v>2721244</v>
      </c>
      <c r="D2272" s="2" t="s">
        <v>7297</v>
      </c>
      <c r="E2272" s="2" t="s">
        <v>7298</v>
      </c>
      <c r="F2272" s="2" t="s">
        <v>7299</v>
      </c>
      <c r="G2272" s="2" t="s">
        <v>53</v>
      </c>
      <c r="H2272" s="2" t="s">
        <v>7300</v>
      </c>
      <c r="I2272" s="2" t="s">
        <v>73</v>
      </c>
      <c r="J2272" s="2" t="s">
        <v>74</v>
      </c>
      <c r="K2272" s="2" t="s">
        <v>38</v>
      </c>
      <c r="L2272" s="2" t="s">
        <v>39</v>
      </c>
      <c r="M2272" s="2" t="s">
        <v>38</v>
      </c>
      <c r="N2272" s="2" t="s">
        <v>38</v>
      </c>
      <c r="O2272" s="2" t="s">
        <v>38</v>
      </c>
      <c r="P2272" s="2" t="s">
        <v>39</v>
      </c>
      <c r="Q2272" s="2" t="s">
        <v>38</v>
      </c>
      <c r="R2272" s="2" t="s">
        <v>38</v>
      </c>
      <c r="S2272" s="2" t="s">
        <v>38</v>
      </c>
      <c r="T2272" s="2" t="s">
        <v>38</v>
      </c>
      <c r="U2272" s="2" t="s">
        <v>38</v>
      </c>
      <c r="V2272" s="2" t="s">
        <v>38</v>
      </c>
      <c r="W2272" s="2" t="s">
        <v>38</v>
      </c>
      <c r="X2272" s="2" t="s">
        <v>39</v>
      </c>
      <c r="Y2272" s="2" t="s">
        <v>39</v>
      </c>
      <c r="Z2272" s="2" t="s">
        <v>39</v>
      </c>
      <c r="AA2272" s="2" t="s">
        <v>38</v>
      </c>
      <c r="AB2272" s="2" t="s">
        <v>38</v>
      </c>
      <c r="AC2272" s="2" t="s">
        <v>39</v>
      </c>
      <c r="AD2272" s="2" t="s">
        <v>39</v>
      </c>
      <c r="AE2272" s="2" t="s">
        <v>39</v>
      </c>
    </row>
    <row r="2273" spans="1:31" ht="409.5">
      <c r="A2273" s="2">
        <v>2721175</v>
      </c>
      <c r="B2273" s="2">
        <f>HYPERLINK("https://platform.v2.vetology.net/cases/2721175/screening-report/1?type=pdf&amp;v=v6&amp;scorecard=1&amp;secret_key=BX%25IJ%24%2F65ieZ%29f6", 2721175)</f>
        <v>2721175</v>
      </c>
      <c r="C2273" s="2">
        <f>HYPERLINK("https://platform.v2.vetology.net/report/v/final/"&amp;2721175, 2721175)</f>
        <v>2721175</v>
      </c>
      <c r="D2273" s="2" t="s">
        <v>7301</v>
      </c>
      <c r="E2273" s="2" t="s">
        <v>7302</v>
      </c>
      <c r="F2273" s="2" t="s">
        <v>43</v>
      </c>
      <c r="G2273" s="2" t="s">
        <v>44</v>
      </c>
      <c r="H2273" s="2" t="s">
        <v>449</v>
      </c>
      <c r="I2273" s="2" t="s">
        <v>36</v>
      </c>
      <c r="J2273" s="2" t="s">
        <v>37</v>
      </c>
      <c r="K2273" s="2" t="s">
        <v>39</v>
      </c>
      <c r="L2273" s="2" t="s">
        <v>38</v>
      </c>
      <c r="M2273" s="2" t="s">
        <v>39</v>
      </c>
      <c r="N2273" s="2" t="s">
        <v>39</v>
      </c>
      <c r="O2273" s="2" t="s">
        <v>38</v>
      </c>
      <c r="P2273" s="2" t="s">
        <v>39</v>
      </c>
      <c r="Q2273" s="2" t="s">
        <v>39</v>
      </c>
      <c r="R2273" s="2" t="s">
        <v>38</v>
      </c>
      <c r="S2273" s="2" t="s">
        <v>38</v>
      </c>
      <c r="T2273" s="2" t="s">
        <v>39</v>
      </c>
      <c r="U2273" s="2" t="s">
        <v>39</v>
      </c>
      <c r="V2273" s="2" t="s">
        <v>39</v>
      </c>
      <c r="W2273" s="2" t="s">
        <v>38</v>
      </c>
      <c r="X2273" s="2" t="s">
        <v>39</v>
      </c>
      <c r="Y2273" s="2" t="s">
        <v>38</v>
      </c>
      <c r="Z2273" s="2" t="s">
        <v>38</v>
      </c>
      <c r="AA2273" s="2" t="s">
        <v>39</v>
      </c>
      <c r="AB2273" s="2" t="s">
        <v>39</v>
      </c>
      <c r="AC2273" s="2" t="s">
        <v>38</v>
      </c>
      <c r="AD2273" s="2" t="s">
        <v>38</v>
      </c>
      <c r="AE2273" s="2" t="s">
        <v>40</v>
      </c>
    </row>
    <row r="2274" spans="1:31" ht="409.5">
      <c r="A2274" s="2">
        <v>2721170</v>
      </c>
      <c r="B2274" s="2">
        <f>HYPERLINK("https://platform.v2.vetology.net/cases/2721170/screening-report/1?type=pdf&amp;v=v6&amp;scorecard=1&amp;secret_key=BX%25IJ%24%2F65ieZ%29f6", 2721170)</f>
        <v>2721170</v>
      </c>
      <c r="C2274" s="2">
        <f>HYPERLINK("https://platform.v2.vetology.net/report/v/final/"&amp;2721170, 2721170)</f>
        <v>2721170</v>
      </c>
      <c r="D2274" s="2" t="s">
        <v>7303</v>
      </c>
      <c r="E2274" s="2" t="s">
        <v>7304</v>
      </c>
      <c r="F2274" s="2" t="s">
        <v>7305</v>
      </c>
      <c r="G2274" s="2" t="s">
        <v>53</v>
      </c>
      <c r="H2274" s="2" t="s">
        <v>530</v>
      </c>
      <c r="I2274" s="2" t="s">
        <v>59</v>
      </c>
      <c r="J2274" s="2" t="s">
        <v>37</v>
      </c>
      <c r="K2274" s="2" t="s">
        <v>38</v>
      </c>
      <c r="L2274" s="2" t="s">
        <v>39</v>
      </c>
      <c r="M2274" s="2" t="s">
        <v>39</v>
      </c>
      <c r="N2274" s="2" t="s">
        <v>39</v>
      </c>
      <c r="O2274" s="2" t="s">
        <v>39</v>
      </c>
      <c r="P2274" s="2" t="s">
        <v>39</v>
      </c>
      <c r="Q2274" s="2" t="s">
        <v>39</v>
      </c>
      <c r="R2274" s="2" t="s">
        <v>39</v>
      </c>
      <c r="S2274" s="2" t="s">
        <v>39</v>
      </c>
      <c r="T2274" s="2" t="s">
        <v>39</v>
      </c>
      <c r="U2274" s="2" t="s">
        <v>38</v>
      </c>
      <c r="V2274" s="2" t="s">
        <v>38</v>
      </c>
      <c r="W2274" s="2" t="s">
        <v>39</v>
      </c>
      <c r="X2274" s="2" t="s">
        <v>39</v>
      </c>
      <c r="Y2274" s="2" t="s">
        <v>39</v>
      </c>
      <c r="Z2274" s="2" t="s">
        <v>39</v>
      </c>
      <c r="AA2274" s="2" t="s">
        <v>39</v>
      </c>
      <c r="AB2274" s="2" t="s">
        <v>39</v>
      </c>
      <c r="AC2274" s="2" t="s">
        <v>39</v>
      </c>
      <c r="AD2274" s="2" t="s">
        <v>39</v>
      </c>
      <c r="AE2274" s="2" t="s">
        <v>39</v>
      </c>
    </row>
    <row r="2275" spans="1:31" ht="409.5">
      <c r="A2275" s="2">
        <v>2721161</v>
      </c>
      <c r="B2275" s="2">
        <f>HYPERLINK("https://platform.v2.vetology.net/cases/2721161/screening-report/1?type=pdf&amp;v=v6&amp;scorecard=1&amp;secret_key=BX%25IJ%24%2F65ieZ%29f6", 2721161)</f>
        <v>2721161</v>
      </c>
      <c r="C2275" s="2">
        <f>HYPERLINK("https://platform.v2.vetology.net/report/v/final/"&amp;2721161, 2721161)</f>
        <v>2721161</v>
      </c>
      <c r="D2275" s="2" t="s">
        <v>7306</v>
      </c>
      <c r="E2275" s="2" t="s">
        <v>7307</v>
      </c>
      <c r="F2275" s="2" t="s">
        <v>7308</v>
      </c>
      <c r="G2275" s="2" t="s">
        <v>53</v>
      </c>
      <c r="H2275" s="2" t="s">
        <v>7309</v>
      </c>
      <c r="I2275" s="2" t="s">
        <v>36</v>
      </c>
      <c r="J2275" s="2" t="s">
        <v>37</v>
      </c>
      <c r="K2275" s="2" t="s">
        <v>38</v>
      </c>
      <c r="L2275" s="2" t="s">
        <v>38</v>
      </c>
      <c r="M2275" s="2" t="s">
        <v>39</v>
      </c>
      <c r="N2275" s="2" t="s">
        <v>38</v>
      </c>
      <c r="O2275" s="2" t="s">
        <v>38</v>
      </c>
      <c r="P2275" s="2" t="s">
        <v>39</v>
      </c>
      <c r="Q2275" s="2" t="s">
        <v>39</v>
      </c>
      <c r="R2275" s="2" t="s">
        <v>38</v>
      </c>
      <c r="S2275" s="2" t="s">
        <v>38</v>
      </c>
      <c r="T2275" s="2" t="s">
        <v>38</v>
      </c>
      <c r="U2275" s="2" t="s">
        <v>38</v>
      </c>
      <c r="V2275" s="2" t="s">
        <v>38</v>
      </c>
      <c r="W2275" s="2" t="s">
        <v>38</v>
      </c>
      <c r="X2275" s="2" t="s">
        <v>39</v>
      </c>
      <c r="Y2275" s="2" t="s">
        <v>38</v>
      </c>
      <c r="Z2275" s="2" t="s">
        <v>38</v>
      </c>
      <c r="AA2275" s="2" t="s">
        <v>38</v>
      </c>
      <c r="AB2275" s="2" t="s">
        <v>39</v>
      </c>
      <c r="AC2275" s="2" t="s">
        <v>38</v>
      </c>
      <c r="AD2275" s="2" t="s">
        <v>38</v>
      </c>
      <c r="AE2275" s="2" t="s">
        <v>40</v>
      </c>
    </row>
    <row r="2276" spans="1:31" ht="409.5">
      <c r="A2276" s="2">
        <v>2721159</v>
      </c>
      <c r="B2276" s="2">
        <f>HYPERLINK("https://platform.v2.vetology.net/cases/2721159/screening-report/1?type=pdf&amp;v=v6&amp;scorecard=1&amp;secret_key=BX%25IJ%24%2F65ieZ%29f6", 2721159)</f>
        <v>2721159</v>
      </c>
      <c r="C2276" s="2">
        <f>HYPERLINK("https://platform.v2.vetology.net/report/v/final/"&amp;2721159, 2721159)</f>
        <v>2721159</v>
      </c>
      <c r="D2276" s="2" t="s">
        <v>7310</v>
      </c>
      <c r="E2276" s="2" t="s">
        <v>7311</v>
      </c>
      <c r="F2276" s="2" t="s">
        <v>43</v>
      </c>
      <c r="G2276" s="2" t="s">
        <v>44</v>
      </c>
      <c r="H2276" s="2" t="s">
        <v>69</v>
      </c>
      <c r="I2276" s="2" t="s">
        <v>46</v>
      </c>
      <c r="J2276" s="2"/>
      <c r="K2276" s="2" t="s">
        <v>39</v>
      </c>
      <c r="L2276" s="2" t="s">
        <v>39</v>
      </c>
      <c r="M2276" s="2" t="s">
        <v>39</v>
      </c>
      <c r="N2276" s="2" t="s">
        <v>39</v>
      </c>
      <c r="O2276" s="2" t="s">
        <v>39</v>
      </c>
      <c r="P2276" s="2" t="s">
        <v>39</v>
      </c>
      <c r="Q2276" s="2" t="s">
        <v>39</v>
      </c>
      <c r="R2276" s="2" t="s">
        <v>39</v>
      </c>
      <c r="S2276" s="2" t="s">
        <v>39</v>
      </c>
      <c r="T2276" s="2" t="s">
        <v>39</v>
      </c>
      <c r="U2276" s="2" t="s">
        <v>39</v>
      </c>
      <c r="V2276" s="2" t="s">
        <v>38</v>
      </c>
      <c r="W2276" s="2" t="s">
        <v>39</v>
      </c>
      <c r="X2276" s="2" t="s">
        <v>39</v>
      </c>
      <c r="Y2276" s="2" t="s">
        <v>39</v>
      </c>
      <c r="Z2276" s="2" t="s">
        <v>39</v>
      </c>
      <c r="AA2276" s="2" t="s">
        <v>39</v>
      </c>
      <c r="AB2276" s="2" t="s">
        <v>39</v>
      </c>
      <c r="AC2276" s="2" t="s">
        <v>39</v>
      </c>
      <c r="AD2276" s="2" t="s">
        <v>39</v>
      </c>
      <c r="AE2276" s="2" t="s">
        <v>40</v>
      </c>
    </row>
    <row r="2277" spans="1:31" ht="409.5">
      <c r="A2277" s="2">
        <v>2721147</v>
      </c>
      <c r="B2277" s="2">
        <f>HYPERLINK("https://platform.v2.vetology.net/cases/2721147/screening-report/1?type=pdf&amp;v=v6&amp;scorecard=1&amp;secret_key=BX%25IJ%24%2F65ieZ%29f6", 2721147)</f>
        <v>2721147</v>
      </c>
      <c r="C2277" s="2">
        <f>HYPERLINK("https://platform.v2.vetology.net/report/v/final/"&amp;2721147, 2721147)</f>
        <v>2721147</v>
      </c>
      <c r="D2277" s="2" t="s">
        <v>7312</v>
      </c>
      <c r="E2277" s="2" t="s">
        <v>7313</v>
      </c>
      <c r="F2277" s="2" t="s">
        <v>7314</v>
      </c>
      <c r="G2277" s="2" t="s">
        <v>53</v>
      </c>
      <c r="H2277" s="2" t="s">
        <v>7315</v>
      </c>
      <c r="I2277" s="2" t="s">
        <v>129</v>
      </c>
      <c r="J2277" s="2" t="s">
        <v>74</v>
      </c>
      <c r="K2277" s="2" t="s">
        <v>38</v>
      </c>
      <c r="L2277" s="2" t="s">
        <v>38</v>
      </c>
      <c r="M2277" s="2" t="s">
        <v>38</v>
      </c>
      <c r="N2277" s="2" t="s">
        <v>38</v>
      </c>
      <c r="O2277" s="2" t="s">
        <v>38</v>
      </c>
      <c r="P2277" s="2" t="s">
        <v>38</v>
      </c>
      <c r="Q2277" s="2" t="s">
        <v>38</v>
      </c>
      <c r="R2277" s="2" t="s">
        <v>38</v>
      </c>
      <c r="S2277" s="2" t="s">
        <v>38</v>
      </c>
      <c r="T2277" s="2" t="s">
        <v>38</v>
      </c>
      <c r="U2277" s="2" t="s">
        <v>38</v>
      </c>
      <c r="V2277" s="2" t="s">
        <v>38</v>
      </c>
      <c r="W2277" s="2" t="s">
        <v>38</v>
      </c>
      <c r="X2277" s="2" t="s">
        <v>38</v>
      </c>
      <c r="Y2277" s="2" t="s">
        <v>38</v>
      </c>
      <c r="Z2277" s="2" t="s">
        <v>38</v>
      </c>
      <c r="AA2277" s="2" t="s">
        <v>38</v>
      </c>
      <c r="AB2277" s="2" t="s">
        <v>38</v>
      </c>
      <c r="AC2277" s="2" t="s">
        <v>38</v>
      </c>
      <c r="AD2277" s="2" t="s">
        <v>39</v>
      </c>
      <c r="AE2277" s="2"/>
    </row>
    <row r="2278" spans="1:31" ht="409.5">
      <c r="A2278" s="2">
        <v>2721111</v>
      </c>
      <c r="B2278" s="2">
        <f>HYPERLINK("https://platform.v2.vetology.net/cases/2721111/screening-report/1?type=pdf&amp;v=v6&amp;scorecard=1&amp;secret_key=BX%25IJ%24%2F65ieZ%29f6", 2721111)</f>
        <v>2721111</v>
      </c>
      <c r="C2278" s="2">
        <f>HYPERLINK("https://platform.v2.vetology.net/report/v/final/"&amp;2721111, 2721111)</f>
        <v>2721111</v>
      </c>
      <c r="D2278" s="2" t="s">
        <v>7316</v>
      </c>
      <c r="E2278" s="2" t="s">
        <v>7317</v>
      </c>
      <c r="F2278" s="2" t="s">
        <v>43</v>
      </c>
      <c r="G2278" s="2" t="s">
        <v>44</v>
      </c>
      <c r="H2278" s="2" t="s">
        <v>7318</v>
      </c>
      <c r="I2278" s="2" t="s">
        <v>36</v>
      </c>
      <c r="J2278" s="2" t="s">
        <v>37</v>
      </c>
      <c r="K2278" s="2" t="s">
        <v>38</v>
      </c>
      <c r="L2278" s="2" t="s">
        <v>38</v>
      </c>
      <c r="M2278" s="2" t="s">
        <v>38</v>
      </c>
      <c r="N2278" s="2" t="s">
        <v>38</v>
      </c>
      <c r="O2278" s="2" t="s">
        <v>38</v>
      </c>
      <c r="P2278" s="2" t="s">
        <v>39</v>
      </c>
      <c r="Q2278" s="2" t="s">
        <v>39</v>
      </c>
      <c r="R2278" s="2" t="s">
        <v>38</v>
      </c>
      <c r="S2278" s="2" t="s">
        <v>38</v>
      </c>
      <c r="T2278" s="2" t="s">
        <v>39</v>
      </c>
      <c r="U2278" s="2" t="s">
        <v>38</v>
      </c>
      <c r="V2278" s="2" t="s">
        <v>38</v>
      </c>
      <c r="W2278" s="2" t="s">
        <v>38</v>
      </c>
      <c r="X2278" s="2" t="s">
        <v>39</v>
      </c>
      <c r="Y2278" s="2" t="s">
        <v>39</v>
      </c>
      <c r="Z2278" s="2" t="s">
        <v>38</v>
      </c>
      <c r="AA2278" s="2" t="s">
        <v>38</v>
      </c>
      <c r="AB2278" s="2" t="s">
        <v>39</v>
      </c>
      <c r="AC2278" s="2" t="s">
        <v>38</v>
      </c>
      <c r="AD2278" s="2" t="s">
        <v>39</v>
      </c>
      <c r="AE2278" s="2" t="s">
        <v>39</v>
      </c>
    </row>
    <row r="2279" spans="1:31" ht="409.5">
      <c r="A2279" s="2">
        <v>2720888</v>
      </c>
      <c r="B2279" s="2">
        <f>HYPERLINK("https://platform.v2.vetology.net/cases/2720888/screening-report/1?type=pdf&amp;v=v6&amp;scorecard=1&amp;secret_key=BX%25IJ%24%2F65ieZ%29f6", 2720888)</f>
        <v>2720888</v>
      </c>
      <c r="C2279" s="2">
        <f>HYPERLINK("https://platform.v2.vetology.net/report/v/final/"&amp;2720888, 2720888)</f>
        <v>2720888</v>
      </c>
      <c r="D2279" s="2" t="s">
        <v>7319</v>
      </c>
      <c r="E2279" s="2" t="s">
        <v>7320</v>
      </c>
      <c r="F2279" s="2" t="s">
        <v>7321</v>
      </c>
      <c r="G2279" s="2" t="s">
        <v>53</v>
      </c>
      <c r="H2279" s="2" t="s">
        <v>7322</v>
      </c>
      <c r="I2279" s="2" t="s">
        <v>36</v>
      </c>
      <c r="J2279" s="2" t="s">
        <v>37</v>
      </c>
      <c r="K2279" s="2" t="s">
        <v>38</v>
      </c>
      <c r="L2279" s="2" t="s">
        <v>38</v>
      </c>
      <c r="M2279" s="2" t="s">
        <v>39</v>
      </c>
      <c r="N2279" s="2" t="s">
        <v>38</v>
      </c>
      <c r="O2279" s="2" t="s">
        <v>38</v>
      </c>
      <c r="P2279" s="2" t="s">
        <v>39</v>
      </c>
      <c r="Q2279" s="2" t="s">
        <v>39</v>
      </c>
      <c r="R2279" s="2" t="s">
        <v>38</v>
      </c>
      <c r="S2279" s="2" t="s">
        <v>38</v>
      </c>
      <c r="T2279" s="2" t="s">
        <v>38</v>
      </c>
      <c r="U2279" s="2" t="s">
        <v>38</v>
      </c>
      <c r="V2279" s="2" t="s">
        <v>38</v>
      </c>
      <c r="W2279" s="2" t="s">
        <v>38</v>
      </c>
      <c r="X2279" s="2" t="s">
        <v>39</v>
      </c>
      <c r="Y2279" s="2" t="s">
        <v>39</v>
      </c>
      <c r="Z2279" s="2" t="s">
        <v>38</v>
      </c>
      <c r="AA2279" s="2" t="s">
        <v>38</v>
      </c>
      <c r="AB2279" s="2" t="s">
        <v>39</v>
      </c>
      <c r="AC2279" s="2" t="s">
        <v>38</v>
      </c>
      <c r="AD2279" s="2" t="s">
        <v>39</v>
      </c>
      <c r="AE2279" s="2" t="s">
        <v>39</v>
      </c>
    </row>
    <row r="2280" spans="1:31" ht="409.5">
      <c r="A2280" s="2">
        <v>2720860</v>
      </c>
      <c r="B2280" s="2">
        <f>HYPERLINK("https://platform.v2.vetology.net/cases/2720860/screening-report/1?type=pdf&amp;v=v6&amp;scorecard=1&amp;secret_key=BX%25IJ%24%2F65ieZ%29f6", 2720860)</f>
        <v>2720860</v>
      </c>
      <c r="C2280" s="2">
        <f>HYPERLINK("https://platform.v2.vetology.net/report/v/final/"&amp;2720860, 2720860)</f>
        <v>2720860</v>
      </c>
      <c r="D2280" s="2" t="s">
        <v>7323</v>
      </c>
      <c r="E2280" s="2" t="s">
        <v>7324</v>
      </c>
      <c r="F2280" s="2" t="s">
        <v>43</v>
      </c>
      <c r="G2280" s="2" t="s">
        <v>100</v>
      </c>
      <c r="H2280" s="2" t="s">
        <v>7325</v>
      </c>
      <c r="I2280" s="2" t="s">
        <v>36</v>
      </c>
      <c r="J2280" s="2" t="s">
        <v>37</v>
      </c>
      <c r="K2280" s="2" t="s">
        <v>38</v>
      </c>
      <c r="L2280" s="2" t="s">
        <v>38</v>
      </c>
      <c r="M2280" s="2" t="s">
        <v>38</v>
      </c>
      <c r="N2280" s="2" t="s">
        <v>39</v>
      </c>
      <c r="O2280" s="2" t="s">
        <v>39</v>
      </c>
      <c r="P2280" s="2" t="s">
        <v>39</v>
      </c>
      <c r="Q2280" s="2" t="s">
        <v>39</v>
      </c>
      <c r="R2280" s="2" t="s">
        <v>38</v>
      </c>
      <c r="S2280" s="2" t="s">
        <v>38</v>
      </c>
      <c r="T2280" s="2" t="s">
        <v>39</v>
      </c>
      <c r="U2280" s="2" t="s">
        <v>38</v>
      </c>
      <c r="V2280" s="2" t="s">
        <v>38</v>
      </c>
      <c r="W2280" s="2" t="s">
        <v>38</v>
      </c>
      <c r="X2280" s="2" t="s">
        <v>39</v>
      </c>
      <c r="Y2280" s="2" t="s">
        <v>39</v>
      </c>
      <c r="Z2280" s="2" t="s">
        <v>39</v>
      </c>
      <c r="AA2280" s="2" t="s">
        <v>39</v>
      </c>
      <c r="AB2280" s="2" t="s">
        <v>39</v>
      </c>
      <c r="AC2280" s="2" t="s">
        <v>38</v>
      </c>
      <c r="AD2280" s="2" t="s">
        <v>39</v>
      </c>
      <c r="AE2280" s="2" t="s">
        <v>40</v>
      </c>
    </row>
    <row r="2281" spans="1:31" ht="409.5">
      <c r="A2281" s="2">
        <v>2720851</v>
      </c>
      <c r="B2281" s="2">
        <f>HYPERLINK("https://platform.v2.vetology.net/cases/2720851/screening-report/1?type=pdf&amp;v=v6&amp;scorecard=1&amp;secret_key=BX%25IJ%24%2F65ieZ%29f6", 2720851)</f>
        <v>2720851</v>
      </c>
      <c r="C2281" s="2">
        <f>HYPERLINK("https://platform.v2.vetology.net/report/v/final/"&amp;2720851, 2720851)</f>
        <v>2720851</v>
      </c>
      <c r="D2281" s="2" t="s">
        <v>7326</v>
      </c>
      <c r="E2281" s="2" t="s">
        <v>7327</v>
      </c>
      <c r="F2281" s="2" t="s">
        <v>43</v>
      </c>
      <c r="G2281" s="2" t="s">
        <v>44</v>
      </c>
      <c r="H2281" s="2" t="s">
        <v>7328</v>
      </c>
      <c r="I2281" s="2" t="s">
        <v>36</v>
      </c>
      <c r="J2281" s="2" t="s">
        <v>37</v>
      </c>
      <c r="K2281" s="2" t="s">
        <v>38</v>
      </c>
      <c r="L2281" s="2" t="s">
        <v>38</v>
      </c>
      <c r="M2281" s="2" t="s">
        <v>38</v>
      </c>
      <c r="N2281" s="2" t="s">
        <v>38</v>
      </c>
      <c r="O2281" s="2" t="s">
        <v>38</v>
      </c>
      <c r="P2281" s="2" t="s">
        <v>38</v>
      </c>
      <c r="Q2281" s="2" t="s">
        <v>38</v>
      </c>
      <c r="R2281" s="2" t="s">
        <v>38</v>
      </c>
      <c r="S2281" s="2" t="s">
        <v>38</v>
      </c>
      <c r="T2281" s="2" t="s">
        <v>38</v>
      </c>
      <c r="U2281" s="2" t="s">
        <v>38</v>
      </c>
      <c r="V2281" s="2" t="s">
        <v>38</v>
      </c>
      <c r="W2281" s="2" t="s">
        <v>38</v>
      </c>
      <c r="X2281" s="2" t="s">
        <v>38</v>
      </c>
      <c r="Y2281" s="2" t="s">
        <v>38</v>
      </c>
      <c r="Z2281" s="2" t="s">
        <v>38</v>
      </c>
      <c r="AA2281" s="2" t="s">
        <v>38</v>
      </c>
      <c r="AB2281" s="2" t="s">
        <v>39</v>
      </c>
      <c r="AC2281" s="2" t="s">
        <v>38</v>
      </c>
      <c r="AD2281" s="2" t="s">
        <v>38</v>
      </c>
      <c r="AE2281" s="2" t="s">
        <v>39</v>
      </c>
    </row>
    <row r="2282" spans="1:31" ht="409.5">
      <c r="A2282" s="2">
        <v>2720845</v>
      </c>
      <c r="B2282" s="2">
        <f>HYPERLINK("https://platform.v2.vetology.net/cases/2720845/screening-report/1?type=pdf&amp;v=v6&amp;scorecard=1&amp;secret_key=BX%25IJ%24%2F65ieZ%29f6", 2720845)</f>
        <v>2720845</v>
      </c>
      <c r="C2282" s="2">
        <f>HYPERLINK("https://platform.v2.vetology.net/report/v/final/"&amp;2720845, 2720845)</f>
        <v>2720845</v>
      </c>
      <c r="D2282" s="2" t="s">
        <v>7329</v>
      </c>
      <c r="E2282" s="2" t="s">
        <v>118</v>
      </c>
      <c r="F2282" s="2" t="s">
        <v>7330</v>
      </c>
      <c r="G2282" s="2" t="s">
        <v>111</v>
      </c>
      <c r="H2282" s="2" t="s">
        <v>1656</v>
      </c>
      <c r="I2282" s="2" t="s">
        <v>36</v>
      </c>
      <c r="J2282" s="2" t="s">
        <v>37</v>
      </c>
      <c r="K2282" s="2" t="s">
        <v>39</v>
      </c>
      <c r="L2282" s="2" t="s">
        <v>39</v>
      </c>
      <c r="M2282" s="2" t="s">
        <v>38</v>
      </c>
      <c r="N2282" s="2" t="s">
        <v>39</v>
      </c>
      <c r="O2282" s="2" t="s">
        <v>38</v>
      </c>
      <c r="P2282" s="2" t="s">
        <v>39</v>
      </c>
      <c r="Q2282" s="2" t="s">
        <v>39</v>
      </c>
      <c r="R2282" s="2" t="s">
        <v>38</v>
      </c>
      <c r="S2282" s="2" t="s">
        <v>38</v>
      </c>
      <c r="T2282" s="2" t="s">
        <v>39</v>
      </c>
      <c r="U2282" s="2" t="s">
        <v>39</v>
      </c>
      <c r="V2282" s="2" t="s">
        <v>39</v>
      </c>
      <c r="W2282" s="2" t="s">
        <v>38</v>
      </c>
      <c r="X2282" s="2" t="s">
        <v>39</v>
      </c>
      <c r="Y2282" s="2" t="s">
        <v>39</v>
      </c>
      <c r="Z2282" s="2" t="s">
        <v>38</v>
      </c>
      <c r="AA2282" s="2" t="s">
        <v>39</v>
      </c>
      <c r="AB2282" s="2" t="s">
        <v>39</v>
      </c>
      <c r="AC2282" s="2" t="s">
        <v>38</v>
      </c>
      <c r="AD2282" s="2" t="s">
        <v>38</v>
      </c>
      <c r="AE2282" s="2" t="s">
        <v>39</v>
      </c>
    </row>
    <row r="2283" spans="1:31" ht="409.5">
      <c r="A2283" s="2">
        <v>2720839</v>
      </c>
      <c r="B2283" s="2">
        <f>HYPERLINK("https://platform.v2.vetology.net/cases/2720839/screening-report/1?type=pdf&amp;v=v6&amp;scorecard=1&amp;secret_key=BX%25IJ%24%2F65ieZ%29f6", 2720839)</f>
        <v>2720839</v>
      </c>
      <c r="C2283" s="2">
        <f>HYPERLINK("https://platform.v2.vetology.net/report/v/final/"&amp;2720839, 2720839)</f>
        <v>2720839</v>
      </c>
      <c r="D2283" s="2" t="s">
        <v>7331</v>
      </c>
      <c r="E2283" s="2" t="s">
        <v>7332</v>
      </c>
      <c r="F2283" s="2" t="s">
        <v>43</v>
      </c>
      <c r="G2283" s="2" t="s">
        <v>44</v>
      </c>
      <c r="H2283" s="2" t="s">
        <v>7333</v>
      </c>
      <c r="I2283" s="2" t="s">
        <v>73</v>
      </c>
      <c r="J2283" s="2" t="s">
        <v>74</v>
      </c>
      <c r="K2283" s="2" t="s">
        <v>38</v>
      </c>
      <c r="L2283" s="2" t="s">
        <v>38</v>
      </c>
      <c r="M2283" s="2" t="s">
        <v>38</v>
      </c>
      <c r="N2283" s="2" t="s">
        <v>38</v>
      </c>
      <c r="O2283" s="2" t="s">
        <v>38</v>
      </c>
      <c r="P2283" s="2" t="s">
        <v>38</v>
      </c>
      <c r="Q2283" s="2" t="s">
        <v>38</v>
      </c>
      <c r="R2283" s="2" t="s">
        <v>38</v>
      </c>
      <c r="S2283" s="2" t="s">
        <v>38</v>
      </c>
      <c r="T2283" s="2" t="s">
        <v>38</v>
      </c>
      <c r="U2283" s="2" t="s">
        <v>38</v>
      </c>
      <c r="V2283" s="2" t="s">
        <v>38</v>
      </c>
      <c r="W2283" s="2" t="s">
        <v>38</v>
      </c>
      <c r="X2283" s="2" t="s">
        <v>38</v>
      </c>
      <c r="Y2283" s="2" t="s">
        <v>38</v>
      </c>
      <c r="Z2283" s="2" t="s">
        <v>38</v>
      </c>
      <c r="AA2283" s="2" t="s">
        <v>38</v>
      </c>
      <c r="AB2283" s="2" t="s">
        <v>38</v>
      </c>
      <c r="AC2283" s="2" t="s">
        <v>38</v>
      </c>
      <c r="AD2283" s="2" t="s">
        <v>38</v>
      </c>
      <c r="AE2283" s="2" t="s">
        <v>40</v>
      </c>
    </row>
    <row r="2284" spans="1:31" ht="409.5">
      <c r="A2284" s="2">
        <v>2720835</v>
      </c>
      <c r="B2284" s="2">
        <f>HYPERLINK("https://platform.v2.vetology.net/cases/2720835/screening-report/1?type=pdf&amp;v=v6&amp;scorecard=1&amp;secret_key=BX%25IJ%24%2F65ieZ%29f6", 2720835)</f>
        <v>2720835</v>
      </c>
      <c r="C2284" s="2">
        <f>HYPERLINK("https://platform.v2.vetology.net/report/v/final/"&amp;2720835, 2720835)</f>
        <v>2720835</v>
      </c>
      <c r="D2284" s="2" t="s">
        <v>7334</v>
      </c>
      <c r="E2284" s="2" t="s">
        <v>7335</v>
      </c>
      <c r="F2284" s="2" t="s">
        <v>7336</v>
      </c>
      <c r="G2284" s="2" t="s">
        <v>111</v>
      </c>
      <c r="H2284" s="2" t="s">
        <v>2386</v>
      </c>
      <c r="I2284" s="2" t="s">
        <v>59</v>
      </c>
      <c r="J2284" s="2" t="s">
        <v>37</v>
      </c>
      <c r="K2284" s="2" t="s">
        <v>38</v>
      </c>
      <c r="L2284" s="2" t="s">
        <v>39</v>
      </c>
      <c r="M2284" s="2" t="s">
        <v>39</v>
      </c>
      <c r="N2284" s="2" t="s">
        <v>39</v>
      </c>
      <c r="O2284" s="2" t="s">
        <v>38</v>
      </c>
      <c r="P2284" s="2" t="s">
        <v>39</v>
      </c>
      <c r="Q2284" s="2" t="s">
        <v>39</v>
      </c>
      <c r="R2284" s="2" t="s">
        <v>38</v>
      </c>
      <c r="S2284" s="2" t="s">
        <v>38</v>
      </c>
      <c r="T2284" s="2" t="s">
        <v>39</v>
      </c>
      <c r="U2284" s="2" t="s">
        <v>38</v>
      </c>
      <c r="V2284" s="2" t="s">
        <v>38</v>
      </c>
      <c r="W2284" s="2" t="s">
        <v>38</v>
      </c>
      <c r="X2284" s="2" t="s">
        <v>39</v>
      </c>
      <c r="Y2284" s="2" t="s">
        <v>39</v>
      </c>
      <c r="Z2284" s="2" t="s">
        <v>38</v>
      </c>
      <c r="AA2284" s="2" t="s">
        <v>38</v>
      </c>
      <c r="AB2284" s="2" t="s">
        <v>39</v>
      </c>
      <c r="AC2284" s="2" t="s">
        <v>38</v>
      </c>
      <c r="AD2284" s="2" t="s">
        <v>38</v>
      </c>
      <c r="AE2284" s="2" t="s">
        <v>39</v>
      </c>
    </row>
    <row r="2285" spans="1:31" ht="409.5">
      <c r="A2285" s="2">
        <v>2720827</v>
      </c>
      <c r="B2285" s="2">
        <f>HYPERLINK("https://platform.v2.vetology.net/cases/2720827/screening-report/1?type=pdf&amp;v=v6&amp;scorecard=1&amp;secret_key=BX%25IJ%24%2F65ieZ%29f6", 2720827)</f>
        <v>2720827</v>
      </c>
      <c r="C2285" s="2">
        <f>HYPERLINK("https://platform.v2.vetology.net/report/v/final/"&amp;2720827, 2720827)</f>
        <v>2720827</v>
      </c>
      <c r="D2285" s="2" t="s">
        <v>7337</v>
      </c>
      <c r="E2285" s="2" t="s">
        <v>7338</v>
      </c>
      <c r="F2285" s="2"/>
      <c r="G2285" s="2" t="s">
        <v>81</v>
      </c>
      <c r="H2285" s="2" t="s">
        <v>7339</v>
      </c>
      <c r="I2285" s="2" t="s">
        <v>73</v>
      </c>
      <c r="J2285" s="2" t="s">
        <v>74</v>
      </c>
      <c r="K2285" s="2" t="s">
        <v>38</v>
      </c>
      <c r="L2285" s="2" t="s">
        <v>38</v>
      </c>
      <c r="M2285" s="2" t="s">
        <v>38</v>
      </c>
      <c r="N2285" s="2" t="s">
        <v>38</v>
      </c>
      <c r="O2285" s="2" t="s">
        <v>38</v>
      </c>
      <c r="P2285" s="2" t="s">
        <v>38</v>
      </c>
      <c r="Q2285" s="2" t="s">
        <v>38</v>
      </c>
      <c r="R2285" s="2" t="s">
        <v>38</v>
      </c>
      <c r="S2285" s="2" t="s">
        <v>38</v>
      </c>
      <c r="T2285" s="2" t="s">
        <v>38</v>
      </c>
      <c r="U2285" s="2" t="s">
        <v>38</v>
      </c>
      <c r="V2285" s="2" t="s">
        <v>38</v>
      </c>
      <c r="W2285" s="2" t="s">
        <v>38</v>
      </c>
      <c r="X2285" s="2" t="s">
        <v>38</v>
      </c>
      <c r="Y2285" s="2" t="s">
        <v>38</v>
      </c>
      <c r="Z2285" s="2" t="s">
        <v>38</v>
      </c>
      <c r="AA2285" s="2" t="s">
        <v>38</v>
      </c>
      <c r="AB2285" s="2" t="s">
        <v>39</v>
      </c>
      <c r="AC2285" s="2" t="s">
        <v>38</v>
      </c>
      <c r="AD2285" s="2" t="s">
        <v>38</v>
      </c>
      <c r="AE2285" s="2" t="s">
        <v>40</v>
      </c>
    </row>
    <row r="2286" spans="1:31" ht="409.5">
      <c r="A2286" s="2">
        <v>2720820</v>
      </c>
      <c r="B2286" s="2">
        <f>HYPERLINK("https://platform.v2.vetology.net/cases/2720820/screening-report/1?type=pdf&amp;v=v6&amp;scorecard=1&amp;secret_key=BX%25IJ%24%2F65ieZ%29f6", 2720820)</f>
        <v>2720820</v>
      </c>
      <c r="C2286" s="2">
        <f>HYPERLINK("https://platform.v2.vetology.net/report/v/final/"&amp;2720820, 2720820)</f>
        <v>2720820</v>
      </c>
      <c r="D2286" s="2" t="s">
        <v>7340</v>
      </c>
      <c r="E2286" s="2" t="s">
        <v>7341</v>
      </c>
      <c r="F2286" s="2"/>
      <c r="G2286" s="2" t="s">
        <v>100</v>
      </c>
      <c r="H2286" s="2" t="s">
        <v>7342</v>
      </c>
      <c r="I2286" s="2" t="s">
        <v>73</v>
      </c>
      <c r="J2286" s="2" t="s">
        <v>74</v>
      </c>
      <c r="K2286" s="2" t="s">
        <v>38</v>
      </c>
      <c r="L2286" s="2" t="s">
        <v>39</v>
      </c>
      <c r="M2286" s="2" t="s">
        <v>39</v>
      </c>
      <c r="N2286" s="2" t="s">
        <v>39</v>
      </c>
      <c r="O2286" s="2" t="s">
        <v>39</v>
      </c>
      <c r="P2286" s="2" t="s">
        <v>38</v>
      </c>
      <c r="Q2286" s="2" t="s">
        <v>38</v>
      </c>
      <c r="R2286" s="2" t="s">
        <v>39</v>
      </c>
      <c r="S2286" s="2" t="s">
        <v>39</v>
      </c>
      <c r="T2286" s="2" t="s">
        <v>38</v>
      </c>
      <c r="U2286" s="2" t="s">
        <v>38</v>
      </c>
      <c r="V2286" s="2" t="s">
        <v>38</v>
      </c>
      <c r="W2286" s="2" t="s">
        <v>39</v>
      </c>
      <c r="X2286" s="2" t="s">
        <v>38</v>
      </c>
      <c r="Y2286" s="2" t="s">
        <v>39</v>
      </c>
      <c r="Z2286" s="2" t="s">
        <v>39</v>
      </c>
      <c r="AA2286" s="2" t="s">
        <v>38</v>
      </c>
      <c r="AB2286" s="2" t="s">
        <v>38</v>
      </c>
      <c r="AC2286" s="2" t="s">
        <v>38</v>
      </c>
      <c r="AD2286" s="2" t="s">
        <v>39</v>
      </c>
      <c r="AE2286" s="2" t="s">
        <v>40</v>
      </c>
    </row>
    <row r="2287" spans="1:31" ht="409.5">
      <c r="A2287" s="2">
        <v>2720773</v>
      </c>
      <c r="B2287" s="2">
        <f>HYPERLINK("https://platform.v2.vetology.net/cases/2720773/screening-report/1?type=pdf&amp;v=v6&amp;scorecard=1&amp;secret_key=BX%25IJ%24%2F65ieZ%29f6", 2720773)</f>
        <v>2720773</v>
      </c>
      <c r="C2287" s="2">
        <f>HYPERLINK("https://platform.v2.vetology.net/report/v/final/"&amp;2720773, 2720773)</f>
        <v>2720773</v>
      </c>
      <c r="D2287" s="2" t="s">
        <v>7343</v>
      </c>
      <c r="E2287" s="2" t="s">
        <v>7344</v>
      </c>
      <c r="F2287" s="2" t="s">
        <v>7345</v>
      </c>
      <c r="G2287" s="2" t="s">
        <v>127</v>
      </c>
      <c r="H2287" s="2" t="s">
        <v>7346</v>
      </c>
      <c r="I2287" s="2" t="s">
        <v>36</v>
      </c>
      <c r="J2287" s="2" t="s">
        <v>37</v>
      </c>
      <c r="K2287" s="2" t="s">
        <v>38</v>
      </c>
      <c r="L2287" s="2" t="s">
        <v>38</v>
      </c>
      <c r="M2287" s="2" t="s">
        <v>39</v>
      </c>
      <c r="N2287" s="2" t="s">
        <v>38</v>
      </c>
      <c r="O2287" s="2" t="s">
        <v>38</v>
      </c>
      <c r="P2287" s="2" t="s">
        <v>39</v>
      </c>
      <c r="Q2287" s="2" t="s">
        <v>39</v>
      </c>
      <c r="R2287" s="2" t="s">
        <v>38</v>
      </c>
      <c r="S2287" s="2" t="s">
        <v>38</v>
      </c>
      <c r="T2287" s="2" t="s">
        <v>39</v>
      </c>
      <c r="U2287" s="2" t="s">
        <v>38</v>
      </c>
      <c r="V2287" s="2" t="s">
        <v>38</v>
      </c>
      <c r="W2287" s="2" t="s">
        <v>38</v>
      </c>
      <c r="X2287" s="2" t="s">
        <v>39</v>
      </c>
      <c r="Y2287" s="2" t="s">
        <v>39</v>
      </c>
      <c r="Z2287" s="2" t="s">
        <v>38</v>
      </c>
      <c r="AA2287" s="2" t="s">
        <v>39</v>
      </c>
      <c r="AB2287" s="2" t="s">
        <v>39</v>
      </c>
      <c r="AC2287" s="2" t="s">
        <v>38</v>
      </c>
      <c r="AD2287" s="2" t="s">
        <v>39</v>
      </c>
      <c r="AE2287" s="2"/>
    </row>
    <row r="2288" spans="1:31" ht="409.5">
      <c r="A2288" s="2">
        <v>2720761</v>
      </c>
      <c r="B2288" s="2">
        <f>HYPERLINK("https://platform.v2.vetology.net/cases/2720761/screening-report/1?type=pdf&amp;v=v6&amp;scorecard=1&amp;secret_key=BX%25IJ%24%2F65ieZ%29f6", 2720761)</f>
        <v>2720761</v>
      </c>
      <c r="C2288" s="2">
        <f>HYPERLINK("https://platform.v2.vetology.net/report/v/final/"&amp;2720761, 2720761)</f>
        <v>2720761</v>
      </c>
      <c r="D2288" s="2" t="s">
        <v>7347</v>
      </c>
      <c r="E2288" s="2" t="s">
        <v>7348</v>
      </c>
      <c r="F2288" s="2" t="s">
        <v>7349</v>
      </c>
      <c r="G2288" s="2" t="s">
        <v>53</v>
      </c>
      <c r="H2288" s="2" t="s">
        <v>7350</v>
      </c>
      <c r="I2288" s="2" t="s">
        <v>129</v>
      </c>
      <c r="J2288" s="2" t="s">
        <v>74</v>
      </c>
      <c r="K2288" s="2" t="s">
        <v>38</v>
      </c>
      <c r="L2288" s="2" t="s">
        <v>38</v>
      </c>
      <c r="M2288" s="2" t="s">
        <v>38</v>
      </c>
      <c r="N2288" s="2" t="s">
        <v>38</v>
      </c>
      <c r="O2288" s="2" t="s">
        <v>38</v>
      </c>
      <c r="P2288" s="2" t="s">
        <v>38</v>
      </c>
      <c r="Q2288" s="2" t="s">
        <v>38</v>
      </c>
      <c r="R2288" s="2" t="s">
        <v>38</v>
      </c>
      <c r="S2288" s="2" t="s">
        <v>38</v>
      </c>
      <c r="T2288" s="2" t="s">
        <v>38</v>
      </c>
      <c r="U2288" s="2" t="s">
        <v>38</v>
      </c>
      <c r="V2288" s="2" t="s">
        <v>38</v>
      </c>
      <c r="W2288" s="2" t="s">
        <v>38</v>
      </c>
      <c r="X2288" s="2" t="s">
        <v>38</v>
      </c>
      <c r="Y2288" s="2" t="s">
        <v>39</v>
      </c>
      <c r="Z2288" s="2" t="s">
        <v>38</v>
      </c>
      <c r="AA2288" s="2" t="s">
        <v>38</v>
      </c>
      <c r="AB2288" s="2" t="s">
        <v>38</v>
      </c>
      <c r="AC2288" s="2" t="s">
        <v>38</v>
      </c>
      <c r="AD2288" s="2" t="s">
        <v>39</v>
      </c>
      <c r="AE2288" s="2" t="s">
        <v>40</v>
      </c>
    </row>
    <row r="2289" spans="1:31" ht="409.5">
      <c r="A2289" s="2">
        <v>2720734</v>
      </c>
      <c r="B2289" s="2">
        <f>HYPERLINK("https://platform.v2.vetology.net/cases/2720734/screening-report/1?type=pdf&amp;v=v6&amp;scorecard=1&amp;secret_key=BX%25IJ%24%2F65ieZ%29f6", 2720734)</f>
        <v>2720734</v>
      </c>
      <c r="C2289" s="2">
        <f>HYPERLINK("https://platform.v2.vetology.net/report/v/final/"&amp;2720734, 2720734)</f>
        <v>2720734</v>
      </c>
      <c r="D2289" s="2" t="s">
        <v>7351</v>
      </c>
      <c r="E2289" s="2" t="s">
        <v>7352</v>
      </c>
      <c r="F2289" s="2" t="s">
        <v>7353</v>
      </c>
      <c r="G2289" s="2" t="s">
        <v>170</v>
      </c>
      <c r="H2289" s="2" t="s">
        <v>7354</v>
      </c>
      <c r="I2289" s="2" t="s">
        <v>36</v>
      </c>
      <c r="J2289" s="2" t="s">
        <v>37</v>
      </c>
      <c r="K2289" s="2" t="s">
        <v>38</v>
      </c>
      <c r="L2289" s="2" t="s">
        <v>38</v>
      </c>
      <c r="M2289" s="2" t="s">
        <v>38</v>
      </c>
      <c r="N2289" s="2" t="s">
        <v>38</v>
      </c>
      <c r="O2289" s="2" t="s">
        <v>38</v>
      </c>
      <c r="P2289" s="2" t="s">
        <v>38</v>
      </c>
      <c r="Q2289" s="2" t="s">
        <v>39</v>
      </c>
      <c r="R2289" s="2" t="s">
        <v>38</v>
      </c>
      <c r="S2289" s="2" t="s">
        <v>38</v>
      </c>
      <c r="T2289" s="2" t="s">
        <v>39</v>
      </c>
      <c r="U2289" s="2" t="s">
        <v>38</v>
      </c>
      <c r="V2289" s="2" t="s">
        <v>38</v>
      </c>
      <c r="W2289" s="2" t="s">
        <v>38</v>
      </c>
      <c r="X2289" s="2" t="s">
        <v>38</v>
      </c>
      <c r="Y2289" s="2" t="s">
        <v>39</v>
      </c>
      <c r="Z2289" s="2" t="s">
        <v>38</v>
      </c>
      <c r="AA2289" s="2" t="s">
        <v>38</v>
      </c>
      <c r="AB2289" s="2" t="s">
        <v>39</v>
      </c>
      <c r="AC2289" s="2" t="s">
        <v>38</v>
      </c>
      <c r="AD2289" s="2" t="s">
        <v>38</v>
      </c>
      <c r="AE2289" s="2" t="s">
        <v>40</v>
      </c>
    </row>
    <row r="2290" spans="1:31" ht="409.5">
      <c r="A2290" s="2">
        <v>2720700</v>
      </c>
      <c r="B2290" s="2">
        <f>HYPERLINK("https://platform.v2.vetology.net/cases/2720700/screening-report/1?type=pdf&amp;v=v6&amp;scorecard=1&amp;secret_key=BX%25IJ%24%2F65ieZ%29f6", 2720700)</f>
        <v>2720700</v>
      </c>
      <c r="C2290" s="2">
        <f>HYPERLINK("https://platform.v2.vetology.net/report/v/final/"&amp;2720700, 2720700)</f>
        <v>2720700</v>
      </c>
      <c r="D2290" s="2" t="s">
        <v>7355</v>
      </c>
      <c r="E2290" s="2" t="s">
        <v>7356</v>
      </c>
      <c r="F2290" s="2" t="s">
        <v>7357</v>
      </c>
      <c r="G2290" s="2" t="s">
        <v>170</v>
      </c>
      <c r="H2290" s="2" t="s">
        <v>7358</v>
      </c>
      <c r="I2290" s="2" t="s">
        <v>59</v>
      </c>
      <c r="J2290" s="2" t="s">
        <v>37</v>
      </c>
      <c r="K2290" s="2" t="s">
        <v>39</v>
      </c>
      <c r="L2290" s="2" t="s">
        <v>39</v>
      </c>
      <c r="M2290" s="2" t="s">
        <v>39</v>
      </c>
      <c r="N2290" s="2" t="s">
        <v>38</v>
      </c>
      <c r="O2290" s="2" t="s">
        <v>38</v>
      </c>
      <c r="P2290" s="2" t="s">
        <v>39</v>
      </c>
      <c r="Q2290" s="2" t="s">
        <v>39</v>
      </c>
      <c r="R2290" s="2" t="s">
        <v>38</v>
      </c>
      <c r="S2290" s="2" t="s">
        <v>38</v>
      </c>
      <c r="T2290" s="2" t="s">
        <v>38</v>
      </c>
      <c r="U2290" s="2" t="s">
        <v>39</v>
      </c>
      <c r="V2290" s="2" t="s">
        <v>39</v>
      </c>
      <c r="W2290" s="2" t="s">
        <v>38</v>
      </c>
      <c r="X2290" s="2" t="s">
        <v>39</v>
      </c>
      <c r="Y2290" s="2" t="s">
        <v>38</v>
      </c>
      <c r="Z2290" s="2" t="s">
        <v>38</v>
      </c>
      <c r="AA2290" s="2" t="s">
        <v>38</v>
      </c>
      <c r="AB2290" s="2" t="s">
        <v>39</v>
      </c>
      <c r="AC2290" s="2" t="s">
        <v>38</v>
      </c>
      <c r="AD2290" s="2" t="s">
        <v>38</v>
      </c>
      <c r="AE2290" s="2" t="s">
        <v>39</v>
      </c>
    </row>
    <row r="2291" spans="1:31" ht="409.5">
      <c r="A2291" s="2">
        <v>2720667</v>
      </c>
      <c r="B2291" s="2">
        <f>HYPERLINK("https://platform.v2.vetology.net/cases/2720667/screening-report/1?type=pdf&amp;v=v6&amp;scorecard=1&amp;secret_key=BX%25IJ%24%2F65ieZ%29f6", 2720667)</f>
        <v>2720667</v>
      </c>
      <c r="C2291" s="2">
        <f>HYPERLINK("https://platform.v2.vetology.net/report/v/final/"&amp;2720667, 2720667)</f>
        <v>2720667</v>
      </c>
      <c r="D2291" s="2" t="s">
        <v>7359</v>
      </c>
      <c r="E2291" s="2" t="s">
        <v>7360</v>
      </c>
      <c r="F2291" s="2" t="s">
        <v>7361</v>
      </c>
      <c r="G2291" s="2" t="s">
        <v>170</v>
      </c>
      <c r="H2291" s="2" t="s">
        <v>3693</v>
      </c>
      <c r="I2291" s="2" t="s">
        <v>46</v>
      </c>
      <c r="J2291" s="2"/>
      <c r="K2291" s="2" t="s">
        <v>38</v>
      </c>
      <c r="L2291" s="2" t="s">
        <v>39</v>
      </c>
      <c r="M2291" s="2" t="s">
        <v>39</v>
      </c>
      <c r="N2291" s="2" t="s">
        <v>39</v>
      </c>
      <c r="O2291" s="2" t="s">
        <v>39</v>
      </c>
      <c r="P2291" s="2" t="s">
        <v>39</v>
      </c>
      <c r="Q2291" s="2" t="s">
        <v>39</v>
      </c>
      <c r="R2291" s="2" t="s">
        <v>39</v>
      </c>
      <c r="S2291" s="2" t="s">
        <v>38</v>
      </c>
      <c r="T2291" s="2" t="s">
        <v>39</v>
      </c>
      <c r="U2291" s="2" t="s">
        <v>39</v>
      </c>
      <c r="V2291" s="2" t="s">
        <v>39</v>
      </c>
      <c r="W2291" s="2" t="s">
        <v>38</v>
      </c>
      <c r="X2291" s="2" t="s">
        <v>39</v>
      </c>
      <c r="Y2291" s="2" t="s">
        <v>39</v>
      </c>
      <c r="Z2291" s="2" t="s">
        <v>38</v>
      </c>
      <c r="AA2291" s="2" t="s">
        <v>38</v>
      </c>
      <c r="AB2291" s="2" t="s">
        <v>39</v>
      </c>
      <c r="AC2291" s="2" t="s">
        <v>38</v>
      </c>
      <c r="AD2291" s="2" t="s">
        <v>39</v>
      </c>
      <c r="AE2291" s="2" t="s">
        <v>40</v>
      </c>
    </row>
    <row r="2292" spans="1:31" ht="409.5">
      <c r="A2292" s="2">
        <v>2720658</v>
      </c>
      <c r="B2292" s="2">
        <f>HYPERLINK("https://platform.v2.vetology.net/cases/2720658/screening-report/1?type=pdf&amp;v=v6&amp;scorecard=1&amp;secret_key=BX%25IJ%24%2F65ieZ%29f6", 2720658)</f>
        <v>2720658</v>
      </c>
      <c r="C2292" s="2">
        <f>HYPERLINK("https://platform.v2.vetology.net/report/v/final/"&amp;2720658, 2720658)</f>
        <v>2720658</v>
      </c>
      <c r="D2292" s="2" t="s">
        <v>7362</v>
      </c>
      <c r="E2292" s="2" t="s">
        <v>7363</v>
      </c>
      <c r="F2292" s="2" t="s">
        <v>7364</v>
      </c>
      <c r="G2292" s="2" t="s">
        <v>556</v>
      </c>
      <c r="H2292" s="2" t="s">
        <v>7365</v>
      </c>
      <c r="I2292" s="2" t="s">
        <v>36</v>
      </c>
      <c r="J2292" s="2" t="s">
        <v>37</v>
      </c>
      <c r="K2292" s="2" t="s">
        <v>38</v>
      </c>
      <c r="L2292" s="2" t="s">
        <v>38</v>
      </c>
      <c r="M2292" s="2" t="s">
        <v>38</v>
      </c>
      <c r="N2292" s="2" t="s">
        <v>38</v>
      </c>
      <c r="O2292" s="2" t="s">
        <v>38</v>
      </c>
      <c r="P2292" s="2" t="s">
        <v>38</v>
      </c>
      <c r="Q2292" s="2" t="s">
        <v>39</v>
      </c>
      <c r="R2292" s="2" t="s">
        <v>39</v>
      </c>
      <c r="S2292" s="2" t="s">
        <v>39</v>
      </c>
      <c r="T2292" s="2" t="s">
        <v>39</v>
      </c>
      <c r="U2292" s="2" t="s">
        <v>38</v>
      </c>
      <c r="V2292" s="2" t="s">
        <v>38</v>
      </c>
      <c r="W2292" s="2" t="s">
        <v>38</v>
      </c>
      <c r="X2292" s="2" t="s">
        <v>39</v>
      </c>
      <c r="Y2292" s="2" t="s">
        <v>39</v>
      </c>
      <c r="Z2292" s="2" t="s">
        <v>38</v>
      </c>
      <c r="AA2292" s="2" t="s">
        <v>38</v>
      </c>
      <c r="AB2292" s="2" t="s">
        <v>39</v>
      </c>
      <c r="AC2292" s="2" t="s">
        <v>38</v>
      </c>
      <c r="AD2292" s="2" t="s">
        <v>39</v>
      </c>
      <c r="AE2292" s="2" t="s">
        <v>40</v>
      </c>
    </row>
    <row r="2293" spans="1:31" ht="409.5">
      <c r="A2293" s="2">
        <v>2720627</v>
      </c>
      <c r="B2293" s="2">
        <f>HYPERLINK("https://platform.v2.vetology.net/cases/2720627/screening-report/1?type=pdf&amp;v=v6&amp;scorecard=1&amp;secret_key=BX%25IJ%24%2F65ieZ%29f6", 2720627)</f>
        <v>2720627</v>
      </c>
      <c r="C2293" s="2">
        <f>HYPERLINK("https://platform.v2.vetology.net/report/v/final/"&amp;2720627, 2720627)</f>
        <v>2720627</v>
      </c>
      <c r="D2293" s="2" t="s">
        <v>7366</v>
      </c>
      <c r="E2293" s="2" t="s">
        <v>7367</v>
      </c>
      <c r="F2293" s="2" t="s">
        <v>7368</v>
      </c>
      <c r="G2293" s="2" t="s">
        <v>53</v>
      </c>
      <c r="H2293" s="2" t="s">
        <v>7369</v>
      </c>
      <c r="I2293" s="2" t="s">
        <v>73</v>
      </c>
      <c r="J2293" s="2" t="s">
        <v>74</v>
      </c>
      <c r="K2293" s="2" t="s">
        <v>38</v>
      </c>
      <c r="L2293" s="2" t="s">
        <v>39</v>
      </c>
      <c r="M2293" s="2" t="s">
        <v>38</v>
      </c>
      <c r="N2293" s="2" t="s">
        <v>38</v>
      </c>
      <c r="O2293" s="2" t="s">
        <v>38</v>
      </c>
      <c r="P2293" s="2" t="s">
        <v>38</v>
      </c>
      <c r="Q2293" s="2" t="s">
        <v>38</v>
      </c>
      <c r="R2293" s="2" t="s">
        <v>39</v>
      </c>
      <c r="S2293" s="2" t="s">
        <v>39</v>
      </c>
      <c r="T2293" s="2" t="s">
        <v>38</v>
      </c>
      <c r="U2293" s="2" t="s">
        <v>39</v>
      </c>
      <c r="V2293" s="2" t="s">
        <v>38</v>
      </c>
      <c r="W2293" s="2" t="s">
        <v>38</v>
      </c>
      <c r="X2293" s="2" t="s">
        <v>38</v>
      </c>
      <c r="Y2293" s="2" t="s">
        <v>39</v>
      </c>
      <c r="Z2293" s="2" t="s">
        <v>38</v>
      </c>
      <c r="AA2293" s="2" t="s">
        <v>38</v>
      </c>
      <c r="AB2293" s="2" t="s">
        <v>39</v>
      </c>
      <c r="AC2293" s="2" t="s">
        <v>38</v>
      </c>
      <c r="AD2293" s="2" t="s">
        <v>39</v>
      </c>
      <c r="AE2293" s="2" t="s">
        <v>40</v>
      </c>
    </row>
    <row r="2294" spans="1:31" ht="409.5">
      <c r="A2294" s="2">
        <v>2720611</v>
      </c>
      <c r="B2294" s="2">
        <f>HYPERLINK("https://platform.v2.vetology.net/cases/2720611/screening-report/1?type=pdf&amp;v=v6&amp;scorecard=1&amp;secret_key=BX%25IJ%24%2F65ieZ%29f6", 2720611)</f>
        <v>2720611</v>
      </c>
      <c r="C2294" s="2">
        <f>HYPERLINK("https://platform.v2.vetology.net/report/v/final/"&amp;2720611, 2720611)</f>
        <v>2720611</v>
      </c>
      <c r="D2294" s="2" t="s">
        <v>7370</v>
      </c>
      <c r="E2294" s="2" t="s">
        <v>7371</v>
      </c>
      <c r="F2294" s="2" t="s">
        <v>6139</v>
      </c>
      <c r="G2294" s="2" t="s">
        <v>127</v>
      </c>
      <c r="H2294" s="2" t="s">
        <v>7372</v>
      </c>
      <c r="I2294" s="2" t="s">
        <v>684</v>
      </c>
      <c r="J2294" s="2" t="s">
        <v>74</v>
      </c>
      <c r="K2294" s="2" t="s">
        <v>39</v>
      </c>
      <c r="L2294" s="2" t="s">
        <v>39</v>
      </c>
      <c r="M2294" s="2" t="s">
        <v>39</v>
      </c>
      <c r="N2294" s="2" t="s">
        <v>39</v>
      </c>
      <c r="O2294" s="2" t="s">
        <v>38</v>
      </c>
      <c r="P2294" s="2" t="s">
        <v>39</v>
      </c>
      <c r="Q2294" s="2" t="s">
        <v>38</v>
      </c>
      <c r="R2294" s="2" t="s">
        <v>39</v>
      </c>
      <c r="S2294" s="2" t="s">
        <v>39</v>
      </c>
      <c r="T2294" s="2" t="s">
        <v>38</v>
      </c>
      <c r="U2294" s="2" t="s">
        <v>39</v>
      </c>
      <c r="V2294" s="2" t="s">
        <v>39</v>
      </c>
      <c r="W2294" s="2" t="s">
        <v>39</v>
      </c>
      <c r="X2294" s="2" t="s">
        <v>38</v>
      </c>
      <c r="Y2294" s="2" t="s">
        <v>39</v>
      </c>
      <c r="Z2294" s="2" t="s">
        <v>38</v>
      </c>
      <c r="AA2294" s="2" t="s">
        <v>39</v>
      </c>
      <c r="AB2294" s="2" t="s">
        <v>38</v>
      </c>
      <c r="AC2294" s="2" t="s">
        <v>39</v>
      </c>
      <c r="AD2294" s="2" t="s">
        <v>39</v>
      </c>
      <c r="AE2294" s="2" t="s">
        <v>39</v>
      </c>
    </row>
    <row r="2295" spans="1:31" ht="409.5">
      <c r="A2295" s="2">
        <v>2720596</v>
      </c>
      <c r="B2295" s="2">
        <f>HYPERLINK("https://platform.v2.vetology.net/cases/2720596/screening-report/1?type=pdf&amp;v=v6&amp;scorecard=1&amp;secret_key=BX%25IJ%24%2F65ieZ%29f6", 2720596)</f>
        <v>2720596</v>
      </c>
      <c r="C2295" s="2">
        <f>HYPERLINK("https://platform.v2.vetology.net/report/v/final/"&amp;2720596, 2720596)</f>
        <v>2720596</v>
      </c>
      <c r="D2295" s="2" t="s">
        <v>7373</v>
      </c>
      <c r="E2295" s="2" t="s">
        <v>7374</v>
      </c>
      <c r="F2295" s="2" t="s">
        <v>7375</v>
      </c>
      <c r="G2295" s="2" t="s">
        <v>556</v>
      </c>
      <c r="H2295" s="2" t="s">
        <v>7376</v>
      </c>
      <c r="I2295" s="2" t="s">
        <v>36</v>
      </c>
      <c r="J2295" s="2" t="s">
        <v>37</v>
      </c>
      <c r="K2295" s="2" t="s">
        <v>39</v>
      </c>
      <c r="L2295" s="2" t="s">
        <v>39</v>
      </c>
      <c r="M2295" s="2" t="s">
        <v>39</v>
      </c>
      <c r="N2295" s="2" t="s">
        <v>39</v>
      </c>
      <c r="O2295" s="2" t="s">
        <v>39</v>
      </c>
      <c r="P2295" s="2" t="s">
        <v>38</v>
      </c>
      <c r="Q2295" s="2" t="s">
        <v>38</v>
      </c>
      <c r="R2295" s="2" t="s">
        <v>39</v>
      </c>
      <c r="S2295" s="2" t="s">
        <v>39</v>
      </c>
      <c r="T2295" s="2" t="s">
        <v>38</v>
      </c>
      <c r="U2295" s="2" t="s">
        <v>39</v>
      </c>
      <c r="V2295" s="2" t="s">
        <v>39</v>
      </c>
      <c r="W2295" s="2" t="s">
        <v>39</v>
      </c>
      <c r="X2295" s="2" t="s">
        <v>39</v>
      </c>
      <c r="Y2295" s="2" t="s">
        <v>39</v>
      </c>
      <c r="Z2295" s="2" t="s">
        <v>39</v>
      </c>
      <c r="AA2295" s="2" t="s">
        <v>39</v>
      </c>
      <c r="AB2295" s="2" t="s">
        <v>39</v>
      </c>
      <c r="AC2295" s="2" t="s">
        <v>39</v>
      </c>
      <c r="AD2295" s="2" t="s">
        <v>39</v>
      </c>
      <c r="AE2295" s="2" t="s">
        <v>39</v>
      </c>
    </row>
    <row r="2296" spans="1:31" ht="409.5">
      <c r="A2296" s="2">
        <v>2720595</v>
      </c>
      <c r="B2296" s="2">
        <f>HYPERLINK("https://platform.v2.vetology.net/cases/2720595/screening-report/1?type=pdf&amp;v=v6&amp;scorecard=1&amp;secret_key=BX%25IJ%24%2F65ieZ%29f6", 2720595)</f>
        <v>2720595</v>
      </c>
      <c r="C2296" s="2">
        <f>HYPERLINK("https://platform.v2.vetology.net/report/v/final/"&amp;2720595, 2720595)</f>
        <v>2720595</v>
      </c>
      <c r="D2296" s="2" t="s">
        <v>7377</v>
      </c>
      <c r="E2296" s="2" t="s">
        <v>7378</v>
      </c>
      <c r="F2296" s="2" t="s">
        <v>7379</v>
      </c>
      <c r="G2296" s="2" t="s">
        <v>53</v>
      </c>
      <c r="H2296" s="2" t="s">
        <v>7380</v>
      </c>
      <c r="I2296" s="2" t="s">
        <v>129</v>
      </c>
      <c r="J2296" s="2" t="s">
        <v>74</v>
      </c>
      <c r="K2296" s="2" t="s">
        <v>39</v>
      </c>
      <c r="L2296" s="2" t="s">
        <v>38</v>
      </c>
      <c r="M2296" s="2" t="s">
        <v>38</v>
      </c>
      <c r="N2296" s="2" t="s">
        <v>39</v>
      </c>
      <c r="O2296" s="2" t="s">
        <v>38</v>
      </c>
      <c r="P2296" s="2" t="s">
        <v>39</v>
      </c>
      <c r="Q2296" s="2" t="s">
        <v>38</v>
      </c>
      <c r="R2296" s="2" t="s">
        <v>39</v>
      </c>
      <c r="S2296" s="2" t="s">
        <v>39</v>
      </c>
      <c r="T2296" s="2" t="s">
        <v>39</v>
      </c>
      <c r="U2296" s="2" t="s">
        <v>39</v>
      </c>
      <c r="V2296" s="2" t="s">
        <v>39</v>
      </c>
      <c r="W2296" s="2" t="s">
        <v>39</v>
      </c>
      <c r="X2296" s="2" t="s">
        <v>39</v>
      </c>
      <c r="Y2296" s="2" t="s">
        <v>39</v>
      </c>
      <c r="Z2296" s="2" t="s">
        <v>38</v>
      </c>
      <c r="AA2296" s="2" t="s">
        <v>38</v>
      </c>
      <c r="AB2296" s="2" t="s">
        <v>38</v>
      </c>
      <c r="AC2296" s="2" t="s">
        <v>39</v>
      </c>
      <c r="AD2296" s="2" t="s">
        <v>38</v>
      </c>
      <c r="AE2296" s="2"/>
    </row>
    <row r="2297" spans="1:31" ht="409.5">
      <c r="A2297" s="2">
        <v>2720589</v>
      </c>
      <c r="B2297" s="2">
        <f>HYPERLINK("https://platform.v2.vetology.net/cases/2720589/screening-report/1?type=pdf&amp;v=v6&amp;scorecard=1&amp;secret_key=BX%25IJ%24%2F65ieZ%29f6", 2720589)</f>
        <v>2720589</v>
      </c>
      <c r="C2297" s="2">
        <f>HYPERLINK("https://platform.v2.vetology.net/report/v/final/"&amp;2720589, 2720589)</f>
        <v>2720589</v>
      </c>
      <c r="D2297" s="2" t="s">
        <v>7381</v>
      </c>
      <c r="E2297" s="2" t="s">
        <v>7382</v>
      </c>
      <c r="F2297" s="2" t="s">
        <v>7383</v>
      </c>
      <c r="G2297" s="2" t="s">
        <v>127</v>
      </c>
      <c r="H2297" s="2" t="s">
        <v>398</v>
      </c>
      <c r="I2297" s="2" t="s">
        <v>46</v>
      </c>
      <c r="J2297" s="2"/>
      <c r="K2297" s="2" t="s">
        <v>38</v>
      </c>
      <c r="L2297" s="2" t="s">
        <v>39</v>
      </c>
      <c r="M2297" s="2" t="s">
        <v>39</v>
      </c>
      <c r="N2297" s="2" t="s">
        <v>39</v>
      </c>
      <c r="O2297" s="2" t="s">
        <v>39</v>
      </c>
      <c r="P2297" s="2" t="s">
        <v>39</v>
      </c>
      <c r="Q2297" s="2" t="s">
        <v>39</v>
      </c>
      <c r="R2297" s="2" t="s">
        <v>39</v>
      </c>
      <c r="S2297" s="2" t="s">
        <v>39</v>
      </c>
      <c r="T2297" s="2" t="s">
        <v>39</v>
      </c>
      <c r="U2297" s="2" t="s">
        <v>38</v>
      </c>
      <c r="V2297" s="2" t="s">
        <v>38</v>
      </c>
      <c r="W2297" s="2" t="s">
        <v>39</v>
      </c>
      <c r="X2297" s="2" t="s">
        <v>39</v>
      </c>
      <c r="Y2297" s="2" t="s">
        <v>39</v>
      </c>
      <c r="Z2297" s="2" t="s">
        <v>39</v>
      </c>
      <c r="AA2297" s="2" t="s">
        <v>39</v>
      </c>
      <c r="AB2297" s="2" t="s">
        <v>39</v>
      </c>
      <c r="AC2297" s="2" t="s">
        <v>39</v>
      </c>
      <c r="AD2297" s="2" t="s">
        <v>39</v>
      </c>
      <c r="AE2297" s="2" t="s">
        <v>40</v>
      </c>
    </row>
    <row r="2298" spans="1:31" ht="409.5">
      <c r="A2298" s="2">
        <v>2720567</v>
      </c>
      <c r="B2298" s="2">
        <f>HYPERLINK("https://platform.v2.vetology.net/cases/2720567/screening-report/1?type=pdf&amp;v=v6&amp;scorecard=1&amp;secret_key=BX%25IJ%24%2F65ieZ%29f6", 2720567)</f>
        <v>2720567</v>
      </c>
      <c r="C2298" s="2">
        <f>HYPERLINK("https://platform.v2.vetology.net/report/v/final/"&amp;2720567, 2720567)</f>
        <v>2720567</v>
      </c>
      <c r="D2298" s="2" t="s">
        <v>7384</v>
      </c>
      <c r="E2298" s="2" t="s">
        <v>7385</v>
      </c>
      <c r="F2298" s="2" t="s">
        <v>7386</v>
      </c>
      <c r="G2298" s="2" t="s">
        <v>556</v>
      </c>
      <c r="H2298" s="2" t="s">
        <v>69</v>
      </c>
      <c r="I2298" s="2" t="s">
        <v>46</v>
      </c>
      <c r="J2298" s="2"/>
      <c r="K2298" s="2" t="s">
        <v>39</v>
      </c>
      <c r="L2298" s="2" t="s">
        <v>39</v>
      </c>
      <c r="M2298" s="2" t="s">
        <v>39</v>
      </c>
      <c r="N2298" s="2" t="s">
        <v>39</v>
      </c>
      <c r="O2298" s="2" t="s">
        <v>39</v>
      </c>
      <c r="P2298" s="2" t="s">
        <v>39</v>
      </c>
      <c r="Q2298" s="2" t="s">
        <v>39</v>
      </c>
      <c r="R2298" s="2" t="s">
        <v>39</v>
      </c>
      <c r="S2298" s="2" t="s">
        <v>39</v>
      </c>
      <c r="T2298" s="2" t="s">
        <v>39</v>
      </c>
      <c r="U2298" s="2" t="s">
        <v>39</v>
      </c>
      <c r="V2298" s="2" t="s">
        <v>39</v>
      </c>
      <c r="W2298" s="2" t="s">
        <v>39</v>
      </c>
      <c r="X2298" s="2" t="s">
        <v>39</v>
      </c>
      <c r="Y2298" s="2" t="s">
        <v>39</v>
      </c>
      <c r="Z2298" s="2" t="s">
        <v>39</v>
      </c>
      <c r="AA2298" s="2" t="s">
        <v>39</v>
      </c>
      <c r="AB2298" s="2" t="s">
        <v>39</v>
      </c>
      <c r="AC2298" s="2" t="s">
        <v>39</v>
      </c>
      <c r="AD2298" s="2" t="s">
        <v>39</v>
      </c>
      <c r="AE2298" s="2" t="s">
        <v>40</v>
      </c>
    </row>
    <row r="2299" spans="1:31" ht="409.5">
      <c r="A2299" s="2">
        <v>2720545</v>
      </c>
      <c r="B2299" s="2">
        <f>HYPERLINK("https://platform.v2.vetology.net/cases/2720545/screening-report/1?type=pdf&amp;v=v6&amp;scorecard=1&amp;secret_key=BX%25IJ%24%2F65ieZ%29f6", 2720545)</f>
        <v>2720545</v>
      </c>
      <c r="C2299" s="2">
        <f>HYPERLINK("https://platform.v2.vetology.net/report/v/final/"&amp;2720545, 2720545)</f>
        <v>2720545</v>
      </c>
      <c r="D2299" s="2" t="s">
        <v>7387</v>
      </c>
      <c r="E2299" s="2" t="s">
        <v>7388</v>
      </c>
      <c r="F2299" s="2" t="s">
        <v>7389</v>
      </c>
      <c r="G2299" s="2" t="s">
        <v>53</v>
      </c>
      <c r="H2299" s="2" t="s">
        <v>7390</v>
      </c>
      <c r="I2299" s="2" t="s">
        <v>73</v>
      </c>
      <c r="J2299" s="2" t="s">
        <v>74</v>
      </c>
      <c r="K2299" s="2" t="s">
        <v>38</v>
      </c>
      <c r="L2299" s="2" t="s">
        <v>38</v>
      </c>
      <c r="M2299" s="2" t="s">
        <v>38</v>
      </c>
      <c r="N2299" s="2" t="s">
        <v>38</v>
      </c>
      <c r="O2299" s="2" t="s">
        <v>38</v>
      </c>
      <c r="P2299" s="2" t="s">
        <v>38</v>
      </c>
      <c r="Q2299" s="2" t="s">
        <v>38</v>
      </c>
      <c r="R2299" s="2" t="s">
        <v>38</v>
      </c>
      <c r="S2299" s="2" t="s">
        <v>38</v>
      </c>
      <c r="T2299" s="2" t="s">
        <v>38</v>
      </c>
      <c r="U2299" s="2" t="s">
        <v>38</v>
      </c>
      <c r="V2299" s="2" t="s">
        <v>38</v>
      </c>
      <c r="W2299" s="2" t="s">
        <v>38</v>
      </c>
      <c r="X2299" s="2" t="s">
        <v>38</v>
      </c>
      <c r="Y2299" s="2" t="s">
        <v>38</v>
      </c>
      <c r="Z2299" s="2" t="s">
        <v>38</v>
      </c>
      <c r="AA2299" s="2" t="s">
        <v>38</v>
      </c>
      <c r="AB2299" s="2" t="s">
        <v>38</v>
      </c>
      <c r="AC2299" s="2" t="s">
        <v>38</v>
      </c>
      <c r="AD2299" s="2" t="s">
        <v>38</v>
      </c>
      <c r="AE2299" s="2" t="s">
        <v>40</v>
      </c>
    </row>
    <row r="2300" spans="1:31" ht="409.5">
      <c r="A2300" s="2">
        <v>2720540</v>
      </c>
      <c r="B2300" s="2">
        <f>HYPERLINK("https://platform.v2.vetology.net/cases/2720540/screening-report/1?type=pdf&amp;v=v6&amp;scorecard=1&amp;secret_key=BX%25IJ%24%2F65ieZ%29f6", 2720540)</f>
        <v>2720540</v>
      </c>
      <c r="C2300" s="2">
        <f>HYPERLINK("https://platform.v2.vetology.net/report/v/final/"&amp;2720540, 2720540)</f>
        <v>2720540</v>
      </c>
      <c r="D2300" s="2" t="s">
        <v>7391</v>
      </c>
      <c r="E2300" s="2" t="s">
        <v>7392</v>
      </c>
      <c r="F2300" s="2" t="s">
        <v>43</v>
      </c>
      <c r="G2300" s="2" t="s">
        <v>100</v>
      </c>
      <c r="H2300" s="2" t="s">
        <v>1412</v>
      </c>
      <c r="I2300" s="2" t="s">
        <v>36</v>
      </c>
      <c r="J2300" s="2" t="s">
        <v>37</v>
      </c>
      <c r="K2300" s="2" t="s">
        <v>38</v>
      </c>
      <c r="L2300" s="2" t="s">
        <v>39</v>
      </c>
      <c r="M2300" s="2" t="s">
        <v>38</v>
      </c>
      <c r="N2300" s="2" t="s">
        <v>39</v>
      </c>
      <c r="O2300" s="2" t="s">
        <v>39</v>
      </c>
      <c r="P2300" s="2" t="s">
        <v>39</v>
      </c>
      <c r="Q2300" s="2" t="s">
        <v>39</v>
      </c>
      <c r="R2300" s="2" t="s">
        <v>38</v>
      </c>
      <c r="S2300" s="2" t="s">
        <v>39</v>
      </c>
      <c r="T2300" s="2" t="s">
        <v>39</v>
      </c>
      <c r="U2300" s="2" t="s">
        <v>38</v>
      </c>
      <c r="V2300" s="2" t="s">
        <v>38</v>
      </c>
      <c r="W2300" s="2" t="s">
        <v>38</v>
      </c>
      <c r="X2300" s="2" t="s">
        <v>39</v>
      </c>
      <c r="Y2300" s="2" t="s">
        <v>39</v>
      </c>
      <c r="Z2300" s="2" t="s">
        <v>38</v>
      </c>
      <c r="AA2300" s="2" t="s">
        <v>38</v>
      </c>
      <c r="AB2300" s="2" t="s">
        <v>39</v>
      </c>
      <c r="AC2300" s="2" t="s">
        <v>38</v>
      </c>
      <c r="AD2300" s="2" t="s">
        <v>38</v>
      </c>
      <c r="AE2300" s="2" t="s">
        <v>39</v>
      </c>
    </row>
    <row r="2301" spans="1:31" ht="409.5">
      <c r="A2301" s="2">
        <v>2720533</v>
      </c>
      <c r="B2301" s="2">
        <f>HYPERLINK("https://platform.v2.vetology.net/cases/2720533/screening-report/1?type=pdf&amp;v=v6&amp;scorecard=1&amp;secret_key=BX%25IJ%24%2F65ieZ%29f6", 2720533)</f>
        <v>2720533</v>
      </c>
      <c r="C2301" s="2">
        <f>HYPERLINK("https://platform.v2.vetology.net/report/v/final/"&amp;2720533, 2720533)</f>
        <v>2720533</v>
      </c>
      <c r="D2301" s="2" t="s">
        <v>7393</v>
      </c>
      <c r="E2301" s="2" t="s">
        <v>7394</v>
      </c>
      <c r="F2301" s="2" t="s">
        <v>7395</v>
      </c>
      <c r="G2301" s="2" t="s">
        <v>53</v>
      </c>
      <c r="H2301" s="2" t="s">
        <v>1063</v>
      </c>
      <c r="I2301" s="2" t="s">
        <v>36</v>
      </c>
      <c r="J2301" s="2" t="s">
        <v>37</v>
      </c>
      <c r="K2301" s="2" t="s">
        <v>39</v>
      </c>
      <c r="L2301" s="2" t="s">
        <v>38</v>
      </c>
      <c r="M2301" s="2" t="s">
        <v>39</v>
      </c>
      <c r="N2301" s="2" t="s">
        <v>39</v>
      </c>
      <c r="O2301" s="2" t="s">
        <v>39</v>
      </c>
      <c r="P2301" s="2" t="s">
        <v>39</v>
      </c>
      <c r="Q2301" s="2" t="s">
        <v>39</v>
      </c>
      <c r="R2301" s="2" t="s">
        <v>38</v>
      </c>
      <c r="S2301" s="2" t="s">
        <v>38</v>
      </c>
      <c r="T2301" s="2" t="s">
        <v>38</v>
      </c>
      <c r="U2301" s="2" t="s">
        <v>38</v>
      </c>
      <c r="V2301" s="2" t="s">
        <v>38</v>
      </c>
      <c r="W2301" s="2" t="s">
        <v>38</v>
      </c>
      <c r="X2301" s="2" t="s">
        <v>39</v>
      </c>
      <c r="Y2301" s="2" t="s">
        <v>38</v>
      </c>
      <c r="Z2301" s="2" t="s">
        <v>38</v>
      </c>
      <c r="AA2301" s="2" t="s">
        <v>38</v>
      </c>
      <c r="AB2301" s="2" t="s">
        <v>39</v>
      </c>
      <c r="AC2301" s="2" t="s">
        <v>38</v>
      </c>
      <c r="AD2301" s="2" t="s">
        <v>38</v>
      </c>
      <c r="AE2301" s="2" t="s">
        <v>39</v>
      </c>
    </row>
    <row r="2302" spans="1:31" ht="409.5">
      <c r="A2302" s="2">
        <v>2720513</v>
      </c>
      <c r="B2302" s="2">
        <f>HYPERLINK("https://platform.v2.vetology.net/cases/2720513/screening-report/1?type=pdf&amp;v=v6&amp;scorecard=1&amp;secret_key=BX%25IJ%24%2F65ieZ%29f6", 2720513)</f>
        <v>2720513</v>
      </c>
      <c r="C2302" s="2">
        <f>HYPERLINK("https://platform.v2.vetology.net/report/v/final/"&amp;2720513, 2720513)</f>
        <v>2720513</v>
      </c>
      <c r="D2302" s="2" t="s">
        <v>7396</v>
      </c>
      <c r="E2302" s="2" t="s">
        <v>7397</v>
      </c>
      <c r="F2302" s="2" t="s">
        <v>7398</v>
      </c>
      <c r="G2302" s="2" t="s">
        <v>127</v>
      </c>
      <c r="H2302" s="2" t="s">
        <v>3996</v>
      </c>
      <c r="I2302" s="2" t="s">
        <v>36</v>
      </c>
      <c r="J2302" s="2" t="s">
        <v>37</v>
      </c>
      <c r="K2302" s="2" t="s">
        <v>39</v>
      </c>
      <c r="L2302" s="2" t="s">
        <v>38</v>
      </c>
      <c r="M2302" s="2" t="s">
        <v>38</v>
      </c>
      <c r="N2302" s="2" t="s">
        <v>38</v>
      </c>
      <c r="O2302" s="2" t="s">
        <v>38</v>
      </c>
      <c r="P2302" s="2" t="s">
        <v>39</v>
      </c>
      <c r="Q2302" s="2" t="s">
        <v>39</v>
      </c>
      <c r="R2302" s="2" t="s">
        <v>38</v>
      </c>
      <c r="S2302" s="2" t="s">
        <v>38</v>
      </c>
      <c r="T2302" s="2" t="s">
        <v>39</v>
      </c>
      <c r="U2302" s="2" t="s">
        <v>39</v>
      </c>
      <c r="V2302" s="2" t="s">
        <v>39</v>
      </c>
      <c r="W2302" s="2" t="s">
        <v>38</v>
      </c>
      <c r="X2302" s="2" t="s">
        <v>39</v>
      </c>
      <c r="Y2302" s="2" t="s">
        <v>39</v>
      </c>
      <c r="Z2302" s="2" t="s">
        <v>38</v>
      </c>
      <c r="AA2302" s="2" t="s">
        <v>39</v>
      </c>
      <c r="AB2302" s="2" t="s">
        <v>39</v>
      </c>
      <c r="AC2302" s="2" t="s">
        <v>38</v>
      </c>
      <c r="AD2302" s="2" t="s">
        <v>39</v>
      </c>
      <c r="AE2302" s="2" t="s">
        <v>39</v>
      </c>
    </row>
    <row r="2303" spans="1:31" ht="409.5">
      <c r="A2303" s="2">
        <v>2720480</v>
      </c>
      <c r="B2303" s="2">
        <f>HYPERLINK("https://platform.v2.vetology.net/cases/2720480/screening-report/1?type=pdf&amp;v=v6&amp;scorecard=1&amp;secret_key=BX%25IJ%24%2F65ieZ%29f6", 2720480)</f>
        <v>2720480</v>
      </c>
      <c r="C2303" s="2">
        <f>HYPERLINK("https://platform.v2.vetology.net/report/v/final/"&amp;2720480, 2720480)</f>
        <v>2720480</v>
      </c>
      <c r="D2303" s="2" t="s">
        <v>7399</v>
      </c>
      <c r="E2303" s="2" t="s">
        <v>7400</v>
      </c>
      <c r="F2303" s="2" t="s">
        <v>7401</v>
      </c>
      <c r="G2303" s="2" t="s">
        <v>127</v>
      </c>
      <c r="H2303" s="2" t="s">
        <v>419</v>
      </c>
      <c r="I2303" s="2" t="s">
        <v>36</v>
      </c>
      <c r="J2303" s="2" t="s">
        <v>37</v>
      </c>
      <c r="K2303" s="2" t="s">
        <v>39</v>
      </c>
      <c r="L2303" s="2" t="s">
        <v>39</v>
      </c>
      <c r="M2303" s="2" t="s">
        <v>38</v>
      </c>
      <c r="N2303" s="2" t="s">
        <v>39</v>
      </c>
      <c r="O2303" s="2" t="s">
        <v>39</v>
      </c>
      <c r="P2303" s="2" t="s">
        <v>39</v>
      </c>
      <c r="Q2303" s="2" t="s">
        <v>39</v>
      </c>
      <c r="R2303" s="2" t="s">
        <v>38</v>
      </c>
      <c r="S2303" s="2" t="s">
        <v>39</v>
      </c>
      <c r="T2303" s="2" t="s">
        <v>39</v>
      </c>
      <c r="U2303" s="2" t="s">
        <v>38</v>
      </c>
      <c r="V2303" s="2" t="s">
        <v>38</v>
      </c>
      <c r="W2303" s="2" t="s">
        <v>39</v>
      </c>
      <c r="X2303" s="2" t="s">
        <v>39</v>
      </c>
      <c r="Y2303" s="2" t="s">
        <v>39</v>
      </c>
      <c r="Z2303" s="2" t="s">
        <v>39</v>
      </c>
      <c r="AA2303" s="2" t="s">
        <v>38</v>
      </c>
      <c r="AB2303" s="2" t="s">
        <v>39</v>
      </c>
      <c r="AC2303" s="2" t="s">
        <v>38</v>
      </c>
      <c r="AD2303" s="2" t="s">
        <v>38</v>
      </c>
      <c r="AE2303" s="2" t="s">
        <v>39</v>
      </c>
    </row>
    <row r="2304" spans="1:31" ht="409.5">
      <c r="A2304" s="2">
        <v>2720465</v>
      </c>
      <c r="B2304" s="2">
        <f>HYPERLINK("https://platform.v2.vetology.net/cases/2720465/screening-report/1?type=pdf&amp;v=v6&amp;scorecard=1&amp;secret_key=BX%25IJ%24%2F65ieZ%29f6", 2720465)</f>
        <v>2720465</v>
      </c>
      <c r="C2304" s="2">
        <f>HYPERLINK("https://platform.v2.vetology.net/report/v/final/"&amp;2720465, 2720465)</f>
        <v>2720465</v>
      </c>
      <c r="D2304" s="2" t="s">
        <v>7402</v>
      </c>
      <c r="E2304" s="2" t="s">
        <v>7403</v>
      </c>
      <c r="F2304" s="2" t="s">
        <v>7404</v>
      </c>
      <c r="G2304" s="2" t="s">
        <v>53</v>
      </c>
      <c r="H2304" s="2" t="s">
        <v>7405</v>
      </c>
      <c r="I2304" s="2" t="s">
        <v>129</v>
      </c>
      <c r="J2304" s="2" t="s">
        <v>74</v>
      </c>
      <c r="K2304" s="2" t="s">
        <v>39</v>
      </c>
      <c r="L2304" s="2" t="s">
        <v>39</v>
      </c>
      <c r="M2304" s="2" t="s">
        <v>39</v>
      </c>
      <c r="N2304" s="2" t="s">
        <v>38</v>
      </c>
      <c r="O2304" s="2" t="s">
        <v>38</v>
      </c>
      <c r="P2304" s="2" t="s">
        <v>38</v>
      </c>
      <c r="Q2304" s="2" t="s">
        <v>38</v>
      </c>
      <c r="R2304" s="2" t="s">
        <v>39</v>
      </c>
      <c r="S2304" s="2" t="s">
        <v>39</v>
      </c>
      <c r="T2304" s="2" t="s">
        <v>38</v>
      </c>
      <c r="U2304" s="2" t="s">
        <v>39</v>
      </c>
      <c r="V2304" s="2" t="s">
        <v>39</v>
      </c>
      <c r="W2304" s="2" t="s">
        <v>38</v>
      </c>
      <c r="X2304" s="2" t="s">
        <v>38</v>
      </c>
      <c r="Y2304" s="2" t="s">
        <v>39</v>
      </c>
      <c r="Z2304" s="2" t="s">
        <v>39</v>
      </c>
      <c r="AA2304" s="2" t="s">
        <v>39</v>
      </c>
      <c r="AB2304" s="2" t="s">
        <v>39</v>
      </c>
      <c r="AC2304" s="2" t="s">
        <v>39</v>
      </c>
      <c r="AD2304" s="2" t="s">
        <v>39</v>
      </c>
      <c r="AE2304" s="2" t="s">
        <v>39</v>
      </c>
    </row>
    <row r="2305" spans="1:31" ht="409.5">
      <c r="A2305" s="2">
        <v>2720450</v>
      </c>
      <c r="B2305" s="2">
        <f>HYPERLINK("https://platform.v2.vetology.net/cases/2720450/screening-report/1?type=pdf&amp;v=v6&amp;scorecard=1&amp;secret_key=BX%25IJ%24%2F65ieZ%29f6", 2720450)</f>
        <v>2720450</v>
      </c>
      <c r="C2305" s="2">
        <f>HYPERLINK("https://platform.v2.vetology.net/report/v/final/"&amp;2720450, 2720450)</f>
        <v>2720450</v>
      </c>
      <c r="D2305" s="2" t="s">
        <v>7406</v>
      </c>
      <c r="E2305" s="2" t="s">
        <v>7407</v>
      </c>
      <c r="F2305" s="2" t="s">
        <v>7408</v>
      </c>
      <c r="G2305" s="2" t="s">
        <v>53</v>
      </c>
      <c r="H2305" s="2" t="s">
        <v>7409</v>
      </c>
      <c r="I2305" s="2" t="s">
        <v>73</v>
      </c>
      <c r="J2305" s="2" t="s">
        <v>74</v>
      </c>
      <c r="K2305" s="2" t="s">
        <v>38</v>
      </c>
      <c r="L2305" s="2" t="s">
        <v>39</v>
      </c>
      <c r="M2305" s="2" t="s">
        <v>39</v>
      </c>
      <c r="N2305" s="2" t="s">
        <v>39</v>
      </c>
      <c r="O2305" s="2" t="s">
        <v>39</v>
      </c>
      <c r="P2305" s="2" t="s">
        <v>39</v>
      </c>
      <c r="Q2305" s="2" t="s">
        <v>38</v>
      </c>
      <c r="R2305" s="2" t="s">
        <v>39</v>
      </c>
      <c r="S2305" s="2" t="s">
        <v>39</v>
      </c>
      <c r="T2305" s="2" t="s">
        <v>39</v>
      </c>
      <c r="U2305" s="2" t="s">
        <v>39</v>
      </c>
      <c r="V2305" s="2" t="s">
        <v>38</v>
      </c>
      <c r="W2305" s="2" t="s">
        <v>38</v>
      </c>
      <c r="X2305" s="2" t="s">
        <v>38</v>
      </c>
      <c r="Y2305" s="2" t="s">
        <v>39</v>
      </c>
      <c r="Z2305" s="2" t="s">
        <v>39</v>
      </c>
      <c r="AA2305" s="2" t="s">
        <v>38</v>
      </c>
      <c r="AB2305" s="2" t="s">
        <v>38</v>
      </c>
      <c r="AC2305" s="2" t="s">
        <v>39</v>
      </c>
      <c r="AD2305" s="2" t="s">
        <v>38</v>
      </c>
      <c r="AE2305" s="2" t="s">
        <v>40</v>
      </c>
    </row>
    <row r="2306" spans="1:31" ht="409.5">
      <c r="A2306" s="2">
        <v>2720419</v>
      </c>
      <c r="B2306" s="2">
        <f>HYPERLINK("https://platform.v2.vetology.net/cases/2720419/screening-report/1?type=pdf&amp;v=v6&amp;scorecard=1&amp;secret_key=BX%25IJ%24%2F65ieZ%29f6", 2720419)</f>
        <v>2720419</v>
      </c>
      <c r="C2306" s="2">
        <f>HYPERLINK("https://platform.v2.vetology.net/report/v/final/"&amp;2720419, 2720419)</f>
        <v>2720419</v>
      </c>
      <c r="D2306" s="2" t="s">
        <v>7410</v>
      </c>
      <c r="E2306" s="2" t="s">
        <v>7411</v>
      </c>
      <c r="F2306" s="2" t="s">
        <v>7412</v>
      </c>
      <c r="G2306" s="2" t="s">
        <v>170</v>
      </c>
      <c r="H2306" s="2" t="s">
        <v>5409</v>
      </c>
      <c r="I2306" s="2" t="s">
        <v>36</v>
      </c>
      <c r="J2306" s="2" t="s">
        <v>37</v>
      </c>
      <c r="K2306" s="2" t="s">
        <v>39</v>
      </c>
      <c r="L2306" s="2" t="s">
        <v>38</v>
      </c>
      <c r="M2306" s="2" t="s">
        <v>39</v>
      </c>
      <c r="N2306" s="2" t="s">
        <v>38</v>
      </c>
      <c r="O2306" s="2" t="s">
        <v>38</v>
      </c>
      <c r="P2306" s="2" t="s">
        <v>39</v>
      </c>
      <c r="Q2306" s="2" t="s">
        <v>39</v>
      </c>
      <c r="R2306" s="2" t="s">
        <v>38</v>
      </c>
      <c r="S2306" s="2" t="s">
        <v>38</v>
      </c>
      <c r="T2306" s="2" t="s">
        <v>39</v>
      </c>
      <c r="U2306" s="2" t="s">
        <v>39</v>
      </c>
      <c r="V2306" s="2" t="s">
        <v>39</v>
      </c>
      <c r="W2306" s="2" t="s">
        <v>38</v>
      </c>
      <c r="X2306" s="2" t="s">
        <v>39</v>
      </c>
      <c r="Y2306" s="2" t="s">
        <v>39</v>
      </c>
      <c r="Z2306" s="2" t="s">
        <v>38</v>
      </c>
      <c r="AA2306" s="2" t="s">
        <v>38</v>
      </c>
      <c r="AB2306" s="2" t="s">
        <v>39</v>
      </c>
      <c r="AC2306" s="2" t="s">
        <v>38</v>
      </c>
      <c r="AD2306" s="2" t="s">
        <v>38</v>
      </c>
      <c r="AE2306" s="2" t="s">
        <v>39</v>
      </c>
    </row>
    <row r="2307" spans="1:31" ht="409.5">
      <c r="A2307" s="2">
        <v>2720416</v>
      </c>
      <c r="B2307" s="2">
        <f>HYPERLINK("https://platform.v2.vetology.net/cases/2720416/screening-report/1?type=pdf&amp;v=v6&amp;scorecard=1&amp;secret_key=BX%25IJ%24%2F65ieZ%29f6", 2720416)</f>
        <v>2720416</v>
      </c>
      <c r="C2307" s="2">
        <f>HYPERLINK("https://platform.v2.vetology.net/report/v/final/"&amp;2720416, 2720416)</f>
        <v>2720416</v>
      </c>
      <c r="D2307" s="2" t="s">
        <v>7413</v>
      </c>
      <c r="E2307" s="2" t="s">
        <v>7414</v>
      </c>
      <c r="F2307" s="2" t="s">
        <v>7415</v>
      </c>
      <c r="G2307" s="2" t="s">
        <v>53</v>
      </c>
      <c r="H2307" s="2" t="s">
        <v>394</v>
      </c>
      <c r="I2307" s="2" t="s">
        <v>59</v>
      </c>
      <c r="J2307" s="2" t="s">
        <v>37</v>
      </c>
      <c r="K2307" s="2" t="s">
        <v>38</v>
      </c>
      <c r="L2307" s="2" t="s">
        <v>39</v>
      </c>
      <c r="M2307" s="2" t="s">
        <v>39</v>
      </c>
      <c r="N2307" s="2" t="s">
        <v>39</v>
      </c>
      <c r="O2307" s="2" t="s">
        <v>39</v>
      </c>
      <c r="P2307" s="2" t="s">
        <v>39</v>
      </c>
      <c r="Q2307" s="2" t="s">
        <v>39</v>
      </c>
      <c r="R2307" s="2" t="s">
        <v>39</v>
      </c>
      <c r="S2307" s="2" t="s">
        <v>39</v>
      </c>
      <c r="T2307" s="2" t="s">
        <v>39</v>
      </c>
      <c r="U2307" s="2" t="s">
        <v>39</v>
      </c>
      <c r="V2307" s="2" t="s">
        <v>39</v>
      </c>
      <c r="W2307" s="2" t="s">
        <v>39</v>
      </c>
      <c r="X2307" s="2" t="s">
        <v>39</v>
      </c>
      <c r="Y2307" s="2" t="s">
        <v>39</v>
      </c>
      <c r="Z2307" s="2" t="s">
        <v>39</v>
      </c>
      <c r="AA2307" s="2" t="s">
        <v>39</v>
      </c>
      <c r="AB2307" s="2" t="s">
        <v>39</v>
      </c>
      <c r="AC2307" s="2" t="s">
        <v>39</v>
      </c>
      <c r="AD2307" s="2" t="s">
        <v>39</v>
      </c>
      <c r="AE2307" s="2" t="s">
        <v>39</v>
      </c>
    </row>
    <row r="2308" spans="1:31" ht="409.5">
      <c r="A2308" s="2">
        <v>2720404</v>
      </c>
      <c r="B2308" s="2">
        <f>HYPERLINK("https://platform.v2.vetology.net/cases/2720404/screening-report/1?type=pdf&amp;v=v6&amp;scorecard=1&amp;secret_key=BX%25IJ%24%2F65ieZ%29f6", 2720404)</f>
        <v>2720404</v>
      </c>
      <c r="C2308" s="2">
        <f>HYPERLINK("https://platform.v2.vetology.net/report/v/final/"&amp;2720404, 2720404)</f>
        <v>2720404</v>
      </c>
      <c r="D2308" s="2" t="s">
        <v>7416</v>
      </c>
      <c r="E2308" s="2" t="s">
        <v>7417</v>
      </c>
      <c r="F2308" s="2" t="s">
        <v>7418</v>
      </c>
      <c r="G2308" s="2" t="s">
        <v>127</v>
      </c>
      <c r="H2308" s="2" t="s">
        <v>7419</v>
      </c>
      <c r="I2308" s="2" t="s">
        <v>73</v>
      </c>
      <c r="J2308" s="2" t="s">
        <v>74</v>
      </c>
      <c r="K2308" s="2" t="s">
        <v>38</v>
      </c>
      <c r="L2308" s="2" t="s">
        <v>38</v>
      </c>
      <c r="M2308" s="2" t="s">
        <v>38</v>
      </c>
      <c r="N2308" s="2" t="s">
        <v>38</v>
      </c>
      <c r="O2308" s="2" t="s">
        <v>38</v>
      </c>
      <c r="P2308" s="2" t="s">
        <v>38</v>
      </c>
      <c r="Q2308" s="2" t="s">
        <v>38</v>
      </c>
      <c r="R2308" s="2" t="s">
        <v>38</v>
      </c>
      <c r="S2308" s="2" t="s">
        <v>38</v>
      </c>
      <c r="T2308" s="2" t="s">
        <v>38</v>
      </c>
      <c r="U2308" s="2" t="s">
        <v>38</v>
      </c>
      <c r="V2308" s="2" t="s">
        <v>38</v>
      </c>
      <c r="W2308" s="2" t="s">
        <v>38</v>
      </c>
      <c r="X2308" s="2" t="s">
        <v>38</v>
      </c>
      <c r="Y2308" s="2" t="s">
        <v>38</v>
      </c>
      <c r="Z2308" s="2" t="s">
        <v>38</v>
      </c>
      <c r="AA2308" s="2" t="s">
        <v>38</v>
      </c>
      <c r="AB2308" s="2" t="s">
        <v>38</v>
      </c>
      <c r="AC2308" s="2" t="s">
        <v>38</v>
      </c>
      <c r="AD2308" s="2" t="s">
        <v>38</v>
      </c>
      <c r="AE2308" s="2" t="s">
        <v>40</v>
      </c>
    </row>
    <row r="2309" spans="1:31" ht="409.5">
      <c r="A2309" s="2">
        <v>2720402</v>
      </c>
      <c r="B2309" s="2">
        <f>HYPERLINK("https://platform.v2.vetology.net/cases/2720402/screening-report/1?type=pdf&amp;v=v6&amp;scorecard=1&amp;secret_key=BX%25IJ%24%2F65ieZ%29f6", 2720402)</f>
        <v>2720402</v>
      </c>
      <c r="C2309" s="2">
        <f>HYPERLINK("https://platform.v2.vetology.net/report/v/final/"&amp;2720402, 2720402)</f>
        <v>2720402</v>
      </c>
      <c r="D2309" s="2" t="s">
        <v>7420</v>
      </c>
      <c r="E2309" s="2" t="s">
        <v>7421</v>
      </c>
      <c r="F2309" s="2" t="s">
        <v>7422</v>
      </c>
      <c r="G2309" s="2" t="s">
        <v>127</v>
      </c>
      <c r="H2309" s="2" t="s">
        <v>7423</v>
      </c>
      <c r="I2309" s="2" t="s">
        <v>36</v>
      </c>
      <c r="J2309" s="2" t="s">
        <v>37</v>
      </c>
      <c r="K2309" s="2" t="s">
        <v>38</v>
      </c>
      <c r="L2309" s="2" t="s">
        <v>38</v>
      </c>
      <c r="M2309" s="2" t="s">
        <v>38</v>
      </c>
      <c r="N2309" s="2" t="s">
        <v>38</v>
      </c>
      <c r="O2309" s="2" t="s">
        <v>38</v>
      </c>
      <c r="P2309" s="2" t="s">
        <v>39</v>
      </c>
      <c r="Q2309" s="2" t="s">
        <v>39</v>
      </c>
      <c r="R2309" s="2" t="s">
        <v>38</v>
      </c>
      <c r="S2309" s="2" t="s">
        <v>38</v>
      </c>
      <c r="T2309" s="2" t="s">
        <v>39</v>
      </c>
      <c r="U2309" s="2" t="s">
        <v>38</v>
      </c>
      <c r="V2309" s="2" t="s">
        <v>38</v>
      </c>
      <c r="W2309" s="2" t="s">
        <v>38</v>
      </c>
      <c r="X2309" s="2" t="s">
        <v>38</v>
      </c>
      <c r="Y2309" s="2" t="s">
        <v>39</v>
      </c>
      <c r="Z2309" s="2" t="s">
        <v>38</v>
      </c>
      <c r="AA2309" s="2" t="s">
        <v>39</v>
      </c>
      <c r="AB2309" s="2" t="s">
        <v>39</v>
      </c>
      <c r="AC2309" s="2" t="s">
        <v>38</v>
      </c>
      <c r="AD2309" s="2" t="s">
        <v>38</v>
      </c>
      <c r="AE2309" s="2" t="s">
        <v>40</v>
      </c>
    </row>
    <row r="2310" spans="1:31" ht="409.5">
      <c r="A2310" s="2">
        <v>2720389</v>
      </c>
      <c r="B2310" s="2">
        <f>HYPERLINK("https://platform.v2.vetology.net/cases/2720389/screening-report/1?type=pdf&amp;v=v6&amp;scorecard=1&amp;secret_key=BX%25IJ%24%2F65ieZ%29f6", 2720389)</f>
        <v>2720389</v>
      </c>
      <c r="C2310" s="2">
        <f>HYPERLINK("https://platform.v2.vetology.net/report/v/final/"&amp;2720389, 2720389)</f>
        <v>2720389</v>
      </c>
      <c r="D2310" s="2" t="s">
        <v>7424</v>
      </c>
      <c r="E2310" s="2" t="s">
        <v>3347</v>
      </c>
      <c r="F2310" s="2" t="s">
        <v>7425</v>
      </c>
      <c r="G2310" s="2" t="s">
        <v>111</v>
      </c>
      <c r="H2310" s="2" t="s">
        <v>7426</v>
      </c>
      <c r="I2310" s="2" t="s">
        <v>73</v>
      </c>
      <c r="J2310" s="2" t="s">
        <v>74</v>
      </c>
      <c r="K2310" s="2" t="s">
        <v>38</v>
      </c>
      <c r="L2310" s="2" t="s">
        <v>39</v>
      </c>
      <c r="M2310" s="2" t="s">
        <v>38</v>
      </c>
      <c r="N2310" s="2" t="s">
        <v>38</v>
      </c>
      <c r="O2310" s="2" t="s">
        <v>38</v>
      </c>
      <c r="P2310" s="2" t="s">
        <v>38</v>
      </c>
      <c r="Q2310" s="2" t="s">
        <v>38</v>
      </c>
      <c r="R2310" s="2" t="s">
        <v>39</v>
      </c>
      <c r="S2310" s="2" t="s">
        <v>39</v>
      </c>
      <c r="T2310" s="2" t="s">
        <v>39</v>
      </c>
      <c r="U2310" s="2" t="s">
        <v>39</v>
      </c>
      <c r="V2310" s="2" t="s">
        <v>38</v>
      </c>
      <c r="W2310" s="2" t="s">
        <v>38</v>
      </c>
      <c r="X2310" s="2" t="s">
        <v>38</v>
      </c>
      <c r="Y2310" s="2" t="s">
        <v>38</v>
      </c>
      <c r="Z2310" s="2" t="s">
        <v>38</v>
      </c>
      <c r="AA2310" s="2" t="s">
        <v>38</v>
      </c>
      <c r="AB2310" s="2" t="s">
        <v>38</v>
      </c>
      <c r="AC2310" s="2" t="s">
        <v>38</v>
      </c>
      <c r="AD2310" s="2" t="s">
        <v>39</v>
      </c>
      <c r="AE2310" s="2" t="s">
        <v>39</v>
      </c>
    </row>
    <row r="2311" spans="1:31" ht="409.5">
      <c r="A2311" s="2">
        <v>2720368</v>
      </c>
      <c r="B2311" s="2">
        <f>HYPERLINK("https://platform.v2.vetology.net/cases/2720368/screening-report/1?type=pdf&amp;v=v6&amp;scorecard=1&amp;secret_key=BX%25IJ%24%2F65ieZ%29f6", 2720368)</f>
        <v>2720368</v>
      </c>
      <c r="C2311" s="2">
        <f>HYPERLINK("https://platform.v2.vetology.net/report/v/final/"&amp;2720368, 2720368)</f>
        <v>2720368</v>
      </c>
      <c r="D2311" s="2" t="s">
        <v>7427</v>
      </c>
      <c r="E2311" s="2" t="s">
        <v>7428</v>
      </c>
      <c r="F2311" s="2"/>
      <c r="G2311" s="2" t="s">
        <v>100</v>
      </c>
      <c r="H2311" s="2" t="s">
        <v>537</v>
      </c>
      <c r="I2311" s="2" t="s">
        <v>59</v>
      </c>
      <c r="J2311" s="2" t="s">
        <v>37</v>
      </c>
      <c r="K2311" s="2" t="s">
        <v>38</v>
      </c>
      <c r="L2311" s="2" t="s">
        <v>39</v>
      </c>
      <c r="M2311" s="2" t="s">
        <v>39</v>
      </c>
      <c r="N2311" s="2" t="s">
        <v>39</v>
      </c>
      <c r="O2311" s="2" t="s">
        <v>39</v>
      </c>
      <c r="P2311" s="2" t="s">
        <v>39</v>
      </c>
      <c r="Q2311" s="2" t="s">
        <v>39</v>
      </c>
      <c r="R2311" s="2" t="s">
        <v>39</v>
      </c>
      <c r="S2311" s="2" t="s">
        <v>39</v>
      </c>
      <c r="T2311" s="2" t="s">
        <v>39</v>
      </c>
      <c r="U2311" s="2" t="s">
        <v>38</v>
      </c>
      <c r="V2311" s="2" t="s">
        <v>38</v>
      </c>
      <c r="W2311" s="2" t="s">
        <v>38</v>
      </c>
      <c r="X2311" s="2" t="s">
        <v>39</v>
      </c>
      <c r="Y2311" s="2" t="s">
        <v>39</v>
      </c>
      <c r="Z2311" s="2" t="s">
        <v>39</v>
      </c>
      <c r="AA2311" s="2" t="s">
        <v>39</v>
      </c>
      <c r="AB2311" s="2" t="s">
        <v>39</v>
      </c>
      <c r="AC2311" s="2" t="s">
        <v>38</v>
      </c>
      <c r="AD2311" s="2" t="s">
        <v>39</v>
      </c>
      <c r="AE2311" s="2" t="s">
        <v>39</v>
      </c>
    </row>
    <row r="2312" spans="1:31" ht="409.5">
      <c r="A2312" s="2">
        <v>2720318</v>
      </c>
      <c r="B2312" s="2">
        <f>HYPERLINK("https://platform.v2.vetology.net/cases/2720318/screening-report/1?type=pdf&amp;v=v6&amp;scorecard=1&amp;secret_key=BX%25IJ%24%2F65ieZ%29f6", 2720318)</f>
        <v>2720318</v>
      </c>
      <c r="C2312" s="2">
        <f>HYPERLINK("https://platform.v2.vetology.net/report/v/final/"&amp;2720318, 2720318)</f>
        <v>2720318</v>
      </c>
      <c r="D2312" s="2" t="s">
        <v>7429</v>
      </c>
      <c r="E2312" s="2" t="s">
        <v>3511</v>
      </c>
      <c r="F2312" s="2"/>
      <c r="G2312" s="2" t="s">
        <v>100</v>
      </c>
      <c r="H2312" s="2" t="s">
        <v>7430</v>
      </c>
      <c r="I2312" s="2" t="s">
        <v>36</v>
      </c>
      <c r="J2312" s="2" t="s">
        <v>37</v>
      </c>
      <c r="K2312" s="2" t="s">
        <v>38</v>
      </c>
      <c r="L2312" s="2" t="s">
        <v>38</v>
      </c>
      <c r="M2312" s="2" t="s">
        <v>38</v>
      </c>
      <c r="N2312" s="2" t="s">
        <v>38</v>
      </c>
      <c r="O2312" s="2" t="s">
        <v>38</v>
      </c>
      <c r="P2312" s="2" t="s">
        <v>38</v>
      </c>
      <c r="Q2312" s="2" t="s">
        <v>39</v>
      </c>
      <c r="R2312" s="2" t="s">
        <v>38</v>
      </c>
      <c r="S2312" s="2" t="s">
        <v>38</v>
      </c>
      <c r="T2312" s="2" t="s">
        <v>38</v>
      </c>
      <c r="U2312" s="2" t="s">
        <v>39</v>
      </c>
      <c r="V2312" s="2" t="s">
        <v>38</v>
      </c>
      <c r="W2312" s="2" t="s">
        <v>38</v>
      </c>
      <c r="X2312" s="2" t="s">
        <v>39</v>
      </c>
      <c r="Y2312" s="2" t="s">
        <v>38</v>
      </c>
      <c r="Z2312" s="2" t="s">
        <v>38</v>
      </c>
      <c r="AA2312" s="2" t="s">
        <v>38</v>
      </c>
      <c r="AB2312" s="2" t="s">
        <v>39</v>
      </c>
      <c r="AC2312" s="2" t="s">
        <v>38</v>
      </c>
      <c r="AD2312" s="2" t="s">
        <v>38</v>
      </c>
      <c r="AE2312" s="2" t="s">
        <v>40</v>
      </c>
    </row>
    <row r="2313" spans="1:31" ht="409.5">
      <c r="A2313" s="2">
        <v>2720315</v>
      </c>
      <c r="B2313" s="2">
        <f>HYPERLINK("https://platform.v2.vetology.net/cases/2720315/screening-report/1?type=pdf&amp;v=v6&amp;scorecard=1&amp;secret_key=BX%25IJ%24%2F65ieZ%29f6", 2720315)</f>
        <v>2720315</v>
      </c>
      <c r="C2313" s="2">
        <f>HYPERLINK("https://platform.v2.vetology.net/report/v/final/"&amp;2720315, 2720315)</f>
        <v>2720315</v>
      </c>
      <c r="D2313" s="2" t="s">
        <v>7431</v>
      </c>
      <c r="E2313" s="2" t="s">
        <v>7432</v>
      </c>
      <c r="F2313" s="2" t="s">
        <v>7433</v>
      </c>
      <c r="G2313" s="2" t="s">
        <v>53</v>
      </c>
      <c r="H2313" s="2" t="s">
        <v>7434</v>
      </c>
      <c r="I2313" s="2" t="s">
        <v>73</v>
      </c>
      <c r="J2313" s="2" t="s">
        <v>74</v>
      </c>
      <c r="K2313" s="2" t="s">
        <v>38</v>
      </c>
      <c r="L2313" s="2" t="s">
        <v>38</v>
      </c>
      <c r="M2313" s="2" t="s">
        <v>38</v>
      </c>
      <c r="N2313" s="2" t="s">
        <v>38</v>
      </c>
      <c r="O2313" s="2" t="s">
        <v>38</v>
      </c>
      <c r="P2313" s="2" t="s">
        <v>38</v>
      </c>
      <c r="Q2313" s="2" t="s">
        <v>38</v>
      </c>
      <c r="R2313" s="2" t="s">
        <v>39</v>
      </c>
      <c r="S2313" s="2" t="s">
        <v>39</v>
      </c>
      <c r="T2313" s="2" t="s">
        <v>38</v>
      </c>
      <c r="U2313" s="2" t="s">
        <v>38</v>
      </c>
      <c r="V2313" s="2" t="s">
        <v>38</v>
      </c>
      <c r="W2313" s="2" t="s">
        <v>38</v>
      </c>
      <c r="X2313" s="2" t="s">
        <v>38</v>
      </c>
      <c r="Y2313" s="2" t="s">
        <v>39</v>
      </c>
      <c r="Z2313" s="2" t="s">
        <v>38</v>
      </c>
      <c r="AA2313" s="2" t="s">
        <v>38</v>
      </c>
      <c r="AB2313" s="2" t="s">
        <v>38</v>
      </c>
      <c r="AC2313" s="2" t="s">
        <v>38</v>
      </c>
      <c r="AD2313" s="2" t="s">
        <v>39</v>
      </c>
      <c r="AE2313" s="2" t="s">
        <v>40</v>
      </c>
    </row>
    <row r="2314" spans="1:31" ht="409.5">
      <c r="A2314" s="2">
        <v>2720303</v>
      </c>
      <c r="B2314" s="2">
        <f>HYPERLINK("https://platform.v2.vetology.net/cases/2720303/screening-report/1?type=pdf&amp;v=v6&amp;scorecard=1&amp;secret_key=BX%25IJ%24%2F65ieZ%29f6", 2720303)</f>
        <v>2720303</v>
      </c>
      <c r="C2314" s="2">
        <f>HYPERLINK("https://platform.v2.vetology.net/report/v/final/"&amp;2720303, 2720303)</f>
        <v>2720303</v>
      </c>
      <c r="D2314" s="2" t="s">
        <v>7435</v>
      </c>
      <c r="E2314" s="2" t="s">
        <v>7436</v>
      </c>
      <c r="F2314" s="2" t="s">
        <v>7437</v>
      </c>
      <c r="G2314" s="2" t="s">
        <v>170</v>
      </c>
      <c r="H2314" s="2" t="s">
        <v>7438</v>
      </c>
      <c r="I2314" s="2" t="s">
        <v>73</v>
      </c>
      <c r="J2314" s="2" t="s">
        <v>74</v>
      </c>
      <c r="K2314" s="2" t="s">
        <v>38</v>
      </c>
      <c r="L2314" s="2" t="s">
        <v>38</v>
      </c>
      <c r="M2314" s="2" t="s">
        <v>38</v>
      </c>
      <c r="N2314" s="2" t="s">
        <v>38</v>
      </c>
      <c r="O2314" s="2" t="s">
        <v>38</v>
      </c>
      <c r="P2314" s="2" t="s">
        <v>38</v>
      </c>
      <c r="Q2314" s="2" t="s">
        <v>38</v>
      </c>
      <c r="R2314" s="2" t="s">
        <v>39</v>
      </c>
      <c r="S2314" s="2" t="s">
        <v>38</v>
      </c>
      <c r="T2314" s="2" t="s">
        <v>38</v>
      </c>
      <c r="U2314" s="2" t="s">
        <v>38</v>
      </c>
      <c r="V2314" s="2" t="s">
        <v>38</v>
      </c>
      <c r="W2314" s="2" t="s">
        <v>38</v>
      </c>
      <c r="X2314" s="2" t="s">
        <v>38</v>
      </c>
      <c r="Y2314" s="2" t="s">
        <v>39</v>
      </c>
      <c r="Z2314" s="2" t="s">
        <v>38</v>
      </c>
      <c r="AA2314" s="2" t="s">
        <v>38</v>
      </c>
      <c r="AB2314" s="2" t="s">
        <v>38</v>
      </c>
      <c r="AC2314" s="2" t="s">
        <v>38</v>
      </c>
      <c r="AD2314" s="2" t="s">
        <v>38</v>
      </c>
      <c r="AE2314" s="2" t="s">
        <v>40</v>
      </c>
    </row>
    <row r="2315" spans="1:31" ht="409.5">
      <c r="A2315" s="2">
        <v>2720262</v>
      </c>
      <c r="B2315" s="2">
        <f>HYPERLINK("https://platform.v2.vetology.net/cases/2720262/screening-report/1?type=pdf&amp;v=v6&amp;scorecard=1&amp;secret_key=BX%25IJ%24%2F65ieZ%29f6", 2720262)</f>
        <v>2720262</v>
      </c>
      <c r="C2315" s="2">
        <f>HYPERLINK("https://platform.v2.vetology.net/report/v/final/"&amp;2720262, 2720262)</f>
        <v>2720262</v>
      </c>
      <c r="D2315" s="2" t="s">
        <v>7439</v>
      </c>
      <c r="E2315" s="2" t="s">
        <v>7440</v>
      </c>
      <c r="F2315" s="2" t="s">
        <v>7441</v>
      </c>
      <c r="G2315" s="2" t="s">
        <v>53</v>
      </c>
      <c r="H2315" s="2" t="s">
        <v>7442</v>
      </c>
      <c r="I2315" s="2" t="s">
        <v>36</v>
      </c>
      <c r="J2315" s="2" t="s">
        <v>37</v>
      </c>
      <c r="K2315" s="2" t="s">
        <v>39</v>
      </c>
      <c r="L2315" s="2" t="s">
        <v>38</v>
      </c>
      <c r="M2315" s="2" t="s">
        <v>38</v>
      </c>
      <c r="N2315" s="2" t="s">
        <v>38</v>
      </c>
      <c r="O2315" s="2" t="s">
        <v>38</v>
      </c>
      <c r="P2315" s="2" t="s">
        <v>39</v>
      </c>
      <c r="Q2315" s="2" t="s">
        <v>39</v>
      </c>
      <c r="R2315" s="2" t="s">
        <v>38</v>
      </c>
      <c r="S2315" s="2" t="s">
        <v>38</v>
      </c>
      <c r="T2315" s="2" t="s">
        <v>38</v>
      </c>
      <c r="U2315" s="2" t="s">
        <v>39</v>
      </c>
      <c r="V2315" s="2" t="s">
        <v>39</v>
      </c>
      <c r="W2315" s="2" t="s">
        <v>38</v>
      </c>
      <c r="X2315" s="2" t="s">
        <v>39</v>
      </c>
      <c r="Y2315" s="2" t="s">
        <v>39</v>
      </c>
      <c r="Z2315" s="2" t="s">
        <v>38</v>
      </c>
      <c r="AA2315" s="2" t="s">
        <v>38</v>
      </c>
      <c r="AB2315" s="2" t="s">
        <v>39</v>
      </c>
      <c r="AC2315" s="2" t="s">
        <v>38</v>
      </c>
      <c r="AD2315" s="2" t="s">
        <v>38</v>
      </c>
      <c r="AE2315" s="2" t="s">
        <v>40</v>
      </c>
    </row>
    <row r="2316" spans="1:31" ht="409.5">
      <c r="A2316" s="2">
        <v>2720244</v>
      </c>
      <c r="B2316" s="2">
        <f>HYPERLINK("https://platform.v2.vetology.net/cases/2720244/screening-report/1?type=pdf&amp;v=v6&amp;scorecard=1&amp;secret_key=BX%25IJ%24%2F65ieZ%29f6", 2720244)</f>
        <v>2720244</v>
      </c>
      <c r="C2316" s="2">
        <f>HYPERLINK("https://platform.v2.vetology.net/report/v/final/"&amp;2720244, 2720244)</f>
        <v>2720244</v>
      </c>
      <c r="D2316" s="2" t="s">
        <v>7443</v>
      </c>
      <c r="E2316" s="2" t="s">
        <v>7444</v>
      </c>
      <c r="F2316" s="2" t="s">
        <v>7445</v>
      </c>
      <c r="G2316" s="2" t="s">
        <v>53</v>
      </c>
      <c r="H2316" s="2" t="s">
        <v>7446</v>
      </c>
      <c r="I2316" s="2" t="s">
        <v>129</v>
      </c>
      <c r="J2316" s="2" t="s">
        <v>74</v>
      </c>
      <c r="K2316" s="2" t="s">
        <v>38</v>
      </c>
      <c r="L2316" s="2" t="s">
        <v>39</v>
      </c>
      <c r="M2316" s="2" t="s">
        <v>38</v>
      </c>
      <c r="N2316" s="2" t="s">
        <v>38</v>
      </c>
      <c r="O2316" s="2" t="s">
        <v>39</v>
      </c>
      <c r="P2316" s="2" t="s">
        <v>38</v>
      </c>
      <c r="Q2316" s="2" t="s">
        <v>38</v>
      </c>
      <c r="R2316" s="2" t="s">
        <v>39</v>
      </c>
      <c r="S2316" s="2" t="s">
        <v>38</v>
      </c>
      <c r="T2316" s="2" t="s">
        <v>38</v>
      </c>
      <c r="U2316" s="2" t="s">
        <v>38</v>
      </c>
      <c r="V2316" s="2" t="s">
        <v>38</v>
      </c>
      <c r="W2316" s="2" t="s">
        <v>39</v>
      </c>
      <c r="X2316" s="2" t="s">
        <v>39</v>
      </c>
      <c r="Y2316" s="2" t="s">
        <v>39</v>
      </c>
      <c r="Z2316" s="2" t="s">
        <v>38</v>
      </c>
      <c r="AA2316" s="2" t="s">
        <v>39</v>
      </c>
      <c r="AB2316" s="2" t="s">
        <v>39</v>
      </c>
      <c r="AC2316" s="2" t="s">
        <v>39</v>
      </c>
      <c r="AD2316" s="2" t="s">
        <v>38</v>
      </c>
      <c r="AE2316" s="2" t="s">
        <v>39</v>
      </c>
    </row>
    <row r="2317" spans="1:31" ht="409.5">
      <c r="A2317" s="2">
        <v>2720230</v>
      </c>
      <c r="B2317" s="2">
        <f>HYPERLINK("https://platform.v2.vetology.net/cases/2720230/screening-report/1?type=pdf&amp;v=v6&amp;scorecard=1&amp;secret_key=BX%25IJ%24%2F65ieZ%29f6", 2720230)</f>
        <v>2720230</v>
      </c>
      <c r="C2317" s="2">
        <f>HYPERLINK("https://platform.v2.vetology.net/report/v/final/"&amp;2720230, 2720230)</f>
        <v>2720230</v>
      </c>
      <c r="D2317" s="2" t="s">
        <v>7447</v>
      </c>
      <c r="E2317" s="2" t="s">
        <v>7448</v>
      </c>
      <c r="F2317" s="2" t="s">
        <v>7449</v>
      </c>
      <c r="G2317" s="2" t="s">
        <v>53</v>
      </c>
      <c r="H2317" s="2" t="s">
        <v>62</v>
      </c>
      <c r="I2317" s="2" t="s">
        <v>46</v>
      </c>
      <c r="J2317" s="2"/>
      <c r="K2317" s="2" t="s">
        <v>39</v>
      </c>
      <c r="L2317" s="2" t="s">
        <v>39</v>
      </c>
      <c r="M2317" s="2" t="s">
        <v>39</v>
      </c>
      <c r="N2317" s="2" t="s">
        <v>39</v>
      </c>
      <c r="O2317" s="2" t="s">
        <v>39</v>
      </c>
      <c r="P2317" s="2" t="s">
        <v>39</v>
      </c>
      <c r="Q2317" s="2" t="s">
        <v>39</v>
      </c>
      <c r="R2317" s="2" t="s">
        <v>38</v>
      </c>
      <c r="S2317" s="2" t="s">
        <v>38</v>
      </c>
      <c r="T2317" s="2" t="s">
        <v>39</v>
      </c>
      <c r="U2317" s="2" t="s">
        <v>39</v>
      </c>
      <c r="V2317" s="2" t="s">
        <v>39</v>
      </c>
      <c r="W2317" s="2" t="s">
        <v>39</v>
      </c>
      <c r="X2317" s="2" t="s">
        <v>39</v>
      </c>
      <c r="Y2317" s="2" t="s">
        <v>39</v>
      </c>
      <c r="Z2317" s="2" t="s">
        <v>38</v>
      </c>
      <c r="AA2317" s="2" t="s">
        <v>39</v>
      </c>
      <c r="AB2317" s="2" t="s">
        <v>39</v>
      </c>
      <c r="AC2317" s="2" t="s">
        <v>38</v>
      </c>
      <c r="AD2317" s="2" t="s">
        <v>38</v>
      </c>
      <c r="AE2317" s="2" t="s">
        <v>40</v>
      </c>
    </row>
    <row r="2318" spans="1:31" ht="409.5">
      <c r="A2318" s="2">
        <v>2720217</v>
      </c>
      <c r="B2318" s="2">
        <f>HYPERLINK("https://platform.v2.vetology.net/cases/2720217/screening-report/1?type=pdf&amp;v=v6&amp;scorecard=1&amp;secret_key=BX%25IJ%24%2F65ieZ%29f6", 2720217)</f>
        <v>2720217</v>
      </c>
      <c r="C2318" s="2">
        <f>HYPERLINK("https://platform.v2.vetology.net/report/v/final/"&amp;2720217, 2720217)</f>
        <v>2720217</v>
      </c>
      <c r="D2318" s="2" t="s">
        <v>7450</v>
      </c>
      <c r="E2318" s="2" t="s">
        <v>7451</v>
      </c>
      <c r="F2318" s="2" t="s">
        <v>7452</v>
      </c>
      <c r="G2318" s="2" t="s">
        <v>251</v>
      </c>
      <c r="H2318" s="2" t="s">
        <v>7453</v>
      </c>
      <c r="I2318" s="2" t="s">
        <v>36</v>
      </c>
      <c r="J2318" s="2" t="s">
        <v>37</v>
      </c>
      <c r="K2318" s="2" t="s">
        <v>39</v>
      </c>
      <c r="L2318" s="2" t="s">
        <v>38</v>
      </c>
      <c r="M2318" s="2" t="s">
        <v>38</v>
      </c>
      <c r="N2318" s="2" t="s">
        <v>39</v>
      </c>
      <c r="O2318" s="2" t="s">
        <v>38</v>
      </c>
      <c r="P2318" s="2" t="s">
        <v>39</v>
      </c>
      <c r="Q2318" s="2" t="s">
        <v>39</v>
      </c>
      <c r="R2318" s="2" t="s">
        <v>38</v>
      </c>
      <c r="S2318" s="2" t="s">
        <v>38</v>
      </c>
      <c r="T2318" s="2" t="s">
        <v>39</v>
      </c>
      <c r="U2318" s="2" t="s">
        <v>39</v>
      </c>
      <c r="V2318" s="2" t="s">
        <v>39</v>
      </c>
      <c r="W2318" s="2" t="s">
        <v>39</v>
      </c>
      <c r="X2318" s="2" t="s">
        <v>39</v>
      </c>
      <c r="Y2318" s="2" t="s">
        <v>39</v>
      </c>
      <c r="Z2318" s="2" t="s">
        <v>38</v>
      </c>
      <c r="AA2318" s="2" t="s">
        <v>38</v>
      </c>
      <c r="AB2318" s="2" t="s">
        <v>39</v>
      </c>
      <c r="AC2318" s="2" t="s">
        <v>38</v>
      </c>
      <c r="AD2318" s="2" t="s">
        <v>38</v>
      </c>
      <c r="AE2318" s="2" t="s">
        <v>39</v>
      </c>
    </row>
    <row r="2319" spans="1:31" ht="409.5">
      <c r="A2319" s="2">
        <v>2720162</v>
      </c>
      <c r="B2319" s="2">
        <f>HYPERLINK("https://platform.v2.vetology.net/cases/2720162/screening-report/1?type=pdf&amp;v=v6&amp;scorecard=1&amp;secret_key=BX%25IJ%24%2F65ieZ%29f6", 2720162)</f>
        <v>2720162</v>
      </c>
      <c r="C2319" s="2">
        <f>HYPERLINK("https://platform.v2.vetology.net/report/v/final/"&amp;2720162, 2720162)</f>
        <v>2720162</v>
      </c>
      <c r="D2319" s="2" t="s">
        <v>7454</v>
      </c>
      <c r="E2319" s="2" t="s">
        <v>7455</v>
      </c>
      <c r="F2319" s="2" t="s">
        <v>7456</v>
      </c>
      <c r="G2319" s="2" t="s">
        <v>127</v>
      </c>
      <c r="H2319" s="2" t="s">
        <v>7457</v>
      </c>
      <c r="I2319" s="2" t="s">
        <v>36</v>
      </c>
      <c r="J2319" s="2" t="s">
        <v>37</v>
      </c>
      <c r="K2319" s="2" t="s">
        <v>39</v>
      </c>
      <c r="L2319" s="2" t="s">
        <v>38</v>
      </c>
      <c r="M2319" s="2" t="s">
        <v>38</v>
      </c>
      <c r="N2319" s="2" t="s">
        <v>38</v>
      </c>
      <c r="O2319" s="2" t="s">
        <v>38</v>
      </c>
      <c r="P2319" s="2" t="s">
        <v>39</v>
      </c>
      <c r="Q2319" s="2" t="s">
        <v>39</v>
      </c>
      <c r="R2319" s="2" t="s">
        <v>39</v>
      </c>
      <c r="S2319" s="2" t="s">
        <v>38</v>
      </c>
      <c r="T2319" s="2" t="s">
        <v>39</v>
      </c>
      <c r="U2319" s="2" t="s">
        <v>39</v>
      </c>
      <c r="V2319" s="2" t="s">
        <v>39</v>
      </c>
      <c r="W2319" s="2" t="s">
        <v>38</v>
      </c>
      <c r="X2319" s="2" t="s">
        <v>39</v>
      </c>
      <c r="Y2319" s="2" t="s">
        <v>39</v>
      </c>
      <c r="Z2319" s="2" t="s">
        <v>38</v>
      </c>
      <c r="AA2319" s="2" t="s">
        <v>38</v>
      </c>
      <c r="AB2319" s="2" t="s">
        <v>39</v>
      </c>
      <c r="AC2319" s="2" t="s">
        <v>38</v>
      </c>
      <c r="AD2319" s="2" t="s">
        <v>39</v>
      </c>
      <c r="AE2319" s="2"/>
    </row>
    <row r="2320" spans="1:31" ht="409.5">
      <c r="A2320" s="2">
        <v>2720142</v>
      </c>
      <c r="B2320" s="2">
        <f>HYPERLINK("https://platform.v2.vetology.net/cases/2720142/screening-report/1?type=pdf&amp;v=v6&amp;scorecard=1&amp;secret_key=BX%25IJ%24%2F65ieZ%29f6", 2720142)</f>
        <v>2720142</v>
      </c>
      <c r="C2320" s="2">
        <f>HYPERLINK("https://platform.v2.vetology.net/report/v/final/"&amp;2720142, 2720142)</f>
        <v>2720142</v>
      </c>
      <c r="D2320" s="2" t="s">
        <v>7458</v>
      </c>
      <c r="E2320" s="2" t="s">
        <v>7459</v>
      </c>
      <c r="F2320" s="2" t="s">
        <v>7460</v>
      </c>
      <c r="G2320" s="2" t="s">
        <v>53</v>
      </c>
      <c r="H2320" s="2" t="s">
        <v>7461</v>
      </c>
      <c r="I2320" s="2" t="s">
        <v>36</v>
      </c>
      <c r="J2320" s="2" t="s">
        <v>37</v>
      </c>
      <c r="K2320" s="2" t="s">
        <v>38</v>
      </c>
      <c r="L2320" s="2" t="s">
        <v>38</v>
      </c>
      <c r="M2320" s="2" t="s">
        <v>38</v>
      </c>
      <c r="N2320" s="2" t="s">
        <v>38</v>
      </c>
      <c r="O2320" s="2" t="s">
        <v>38</v>
      </c>
      <c r="P2320" s="2" t="s">
        <v>38</v>
      </c>
      <c r="Q2320" s="2" t="s">
        <v>39</v>
      </c>
      <c r="R2320" s="2" t="s">
        <v>38</v>
      </c>
      <c r="S2320" s="2" t="s">
        <v>38</v>
      </c>
      <c r="T2320" s="2" t="s">
        <v>38</v>
      </c>
      <c r="U2320" s="2" t="s">
        <v>38</v>
      </c>
      <c r="V2320" s="2" t="s">
        <v>38</v>
      </c>
      <c r="W2320" s="2" t="s">
        <v>38</v>
      </c>
      <c r="X2320" s="2" t="s">
        <v>38</v>
      </c>
      <c r="Y2320" s="2" t="s">
        <v>39</v>
      </c>
      <c r="Z2320" s="2" t="s">
        <v>38</v>
      </c>
      <c r="AA2320" s="2" t="s">
        <v>38</v>
      </c>
      <c r="AB2320" s="2" t="s">
        <v>39</v>
      </c>
      <c r="AC2320" s="2" t="s">
        <v>38</v>
      </c>
      <c r="AD2320" s="2" t="s">
        <v>38</v>
      </c>
      <c r="AE2320" s="2" t="s">
        <v>40</v>
      </c>
    </row>
    <row r="2321" spans="1:31" ht="409.5">
      <c r="A2321" s="2">
        <v>2720049</v>
      </c>
      <c r="B2321" s="2">
        <f>HYPERLINK("https://platform.v2.vetology.net/cases/2720049/screening-report/1?type=pdf&amp;v=v6&amp;scorecard=1&amp;secret_key=BX%25IJ%24%2F65ieZ%29f6", 2720049)</f>
        <v>2720049</v>
      </c>
      <c r="C2321" s="2">
        <f>HYPERLINK("https://platform.v2.vetology.net/report/v/final/"&amp;2720049, 2720049)</f>
        <v>2720049</v>
      </c>
      <c r="D2321" s="2" t="s">
        <v>302</v>
      </c>
      <c r="E2321" s="2" t="s">
        <v>99</v>
      </c>
      <c r="F2321" s="2"/>
      <c r="G2321" s="2" t="s">
        <v>100</v>
      </c>
      <c r="H2321" s="2" t="s">
        <v>7462</v>
      </c>
      <c r="I2321" s="2" t="s">
        <v>36</v>
      </c>
      <c r="J2321" s="2" t="s">
        <v>37</v>
      </c>
      <c r="K2321" s="2" t="s">
        <v>39</v>
      </c>
      <c r="L2321" s="2" t="s">
        <v>39</v>
      </c>
      <c r="M2321" s="2" t="s">
        <v>38</v>
      </c>
      <c r="N2321" s="2" t="s">
        <v>38</v>
      </c>
      <c r="O2321" s="2" t="s">
        <v>38</v>
      </c>
      <c r="P2321" s="2" t="s">
        <v>38</v>
      </c>
      <c r="Q2321" s="2" t="s">
        <v>39</v>
      </c>
      <c r="R2321" s="2" t="s">
        <v>39</v>
      </c>
      <c r="S2321" s="2" t="s">
        <v>39</v>
      </c>
      <c r="T2321" s="2" t="s">
        <v>39</v>
      </c>
      <c r="U2321" s="2" t="s">
        <v>39</v>
      </c>
      <c r="V2321" s="2" t="s">
        <v>38</v>
      </c>
      <c r="W2321" s="2" t="s">
        <v>39</v>
      </c>
      <c r="X2321" s="2" t="s">
        <v>39</v>
      </c>
      <c r="Y2321" s="2" t="s">
        <v>39</v>
      </c>
      <c r="Z2321" s="2" t="s">
        <v>38</v>
      </c>
      <c r="AA2321" s="2" t="s">
        <v>38</v>
      </c>
      <c r="AB2321" s="2" t="s">
        <v>39</v>
      </c>
      <c r="AC2321" s="2" t="s">
        <v>39</v>
      </c>
      <c r="AD2321" s="2" t="s">
        <v>39</v>
      </c>
      <c r="AE2321" s="2" t="s">
        <v>39</v>
      </c>
    </row>
    <row r="2322" spans="1:31" ht="409.5">
      <c r="A2322" s="2">
        <v>2720007</v>
      </c>
      <c r="B2322" s="2">
        <f>HYPERLINK("https://platform.v2.vetology.net/cases/2720007/screening-report/1?type=pdf&amp;v=v6&amp;scorecard=1&amp;secret_key=BX%25IJ%24%2F65ieZ%29f6", 2720007)</f>
        <v>2720007</v>
      </c>
      <c r="C2322" s="2">
        <f>HYPERLINK("https://platform.v2.vetology.net/report/v/final/"&amp;2720007, 2720007)</f>
        <v>2720007</v>
      </c>
      <c r="D2322" s="2" t="s">
        <v>7463</v>
      </c>
      <c r="E2322" s="2" t="s">
        <v>7464</v>
      </c>
      <c r="F2322" s="2" t="s">
        <v>7465</v>
      </c>
      <c r="G2322" s="2" t="s">
        <v>44</v>
      </c>
      <c r="H2322" s="2" t="s">
        <v>7466</v>
      </c>
      <c r="I2322" s="2" t="s">
        <v>129</v>
      </c>
      <c r="J2322" s="2" t="s">
        <v>74</v>
      </c>
      <c r="K2322" s="2" t="s">
        <v>39</v>
      </c>
      <c r="L2322" s="2" t="s">
        <v>39</v>
      </c>
      <c r="M2322" s="2" t="s">
        <v>38</v>
      </c>
      <c r="N2322" s="2" t="s">
        <v>39</v>
      </c>
      <c r="O2322" s="2" t="s">
        <v>38</v>
      </c>
      <c r="P2322" s="2" t="s">
        <v>39</v>
      </c>
      <c r="Q2322" s="2" t="s">
        <v>38</v>
      </c>
      <c r="R2322" s="2" t="s">
        <v>39</v>
      </c>
      <c r="S2322" s="2" t="s">
        <v>39</v>
      </c>
      <c r="T2322" s="2" t="s">
        <v>38</v>
      </c>
      <c r="U2322" s="2" t="s">
        <v>39</v>
      </c>
      <c r="V2322" s="2" t="s">
        <v>39</v>
      </c>
      <c r="W2322" s="2" t="s">
        <v>38</v>
      </c>
      <c r="X2322" s="2" t="s">
        <v>39</v>
      </c>
      <c r="Y2322" s="2" t="s">
        <v>39</v>
      </c>
      <c r="Z2322" s="2" t="s">
        <v>38</v>
      </c>
      <c r="AA2322" s="2" t="s">
        <v>38</v>
      </c>
      <c r="AB2322" s="2" t="s">
        <v>38</v>
      </c>
      <c r="AC2322" s="2" t="s">
        <v>39</v>
      </c>
      <c r="AD2322" s="2" t="s">
        <v>38</v>
      </c>
      <c r="AE2322" s="2" t="s">
        <v>39</v>
      </c>
    </row>
    <row r="2323" spans="1:31" ht="409.5">
      <c r="A2323" s="2">
        <v>2719989</v>
      </c>
      <c r="B2323" s="2">
        <f>HYPERLINK("https://platform.v2.vetology.net/cases/2719989/screening-report/1?type=pdf&amp;v=v6&amp;scorecard=1&amp;secret_key=BX%25IJ%24%2F65ieZ%29f6", 2719989)</f>
        <v>2719989</v>
      </c>
      <c r="C2323" s="2">
        <f>HYPERLINK("https://platform.v2.vetology.net/report/v/final/"&amp;2719989, 2719989)</f>
        <v>2719989</v>
      </c>
      <c r="D2323" s="2" t="s">
        <v>7467</v>
      </c>
      <c r="E2323" s="2" t="s">
        <v>7468</v>
      </c>
      <c r="F2323" s="2" t="s">
        <v>7469</v>
      </c>
      <c r="G2323" s="2" t="s">
        <v>111</v>
      </c>
      <c r="H2323" s="2" t="s">
        <v>1742</v>
      </c>
      <c r="I2323" s="2" t="s">
        <v>36</v>
      </c>
      <c r="J2323" s="2" t="s">
        <v>37</v>
      </c>
      <c r="K2323" s="2" t="s">
        <v>39</v>
      </c>
      <c r="L2323" s="2" t="s">
        <v>38</v>
      </c>
      <c r="M2323" s="2" t="s">
        <v>38</v>
      </c>
      <c r="N2323" s="2" t="s">
        <v>39</v>
      </c>
      <c r="O2323" s="2" t="s">
        <v>38</v>
      </c>
      <c r="P2323" s="2" t="s">
        <v>39</v>
      </c>
      <c r="Q2323" s="2" t="s">
        <v>39</v>
      </c>
      <c r="R2323" s="2" t="s">
        <v>38</v>
      </c>
      <c r="S2323" s="2" t="s">
        <v>39</v>
      </c>
      <c r="T2323" s="2" t="s">
        <v>39</v>
      </c>
      <c r="U2323" s="2" t="s">
        <v>39</v>
      </c>
      <c r="V2323" s="2" t="s">
        <v>38</v>
      </c>
      <c r="W2323" s="2" t="s">
        <v>38</v>
      </c>
      <c r="X2323" s="2" t="s">
        <v>39</v>
      </c>
      <c r="Y2323" s="2" t="s">
        <v>39</v>
      </c>
      <c r="Z2323" s="2" t="s">
        <v>39</v>
      </c>
      <c r="AA2323" s="2" t="s">
        <v>38</v>
      </c>
      <c r="AB2323" s="2" t="s">
        <v>39</v>
      </c>
      <c r="AC2323" s="2" t="s">
        <v>38</v>
      </c>
      <c r="AD2323" s="2" t="s">
        <v>39</v>
      </c>
      <c r="AE2323" s="2" t="s">
        <v>39</v>
      </c>
    </row>
    <row r="2324" spans="1:31" ht="409.5">
      <c r="A2324" s="2">
        <v>2719976</v>
      </c>
      <c r="B2324" s="2">
        <f>HYPERLINK("https://platform.v2.vetology.net/cases/2719976/screening-report/1?type=pdf&amp;v=v6&amp;scorecard=1&amp;secret_key=BX%25IJ%24%2F65ieZ%29f6", 2719976)</f>
        <v>2719976</v>
      </c>
      <c r="C2324" s="2">
        <f>HYPERLINK("https://platform.v2.vetology.net/report/v/final/"&amp;2719976, 2719976)</f>
        <v>2719976</v>
      </c>
      <c r="D2324" s="2" t="s">
        <v>7470</v>
      </c>
      <c r="E2324" s="2" t="s">
        <v>7471</v>
      </c>
      <c r="F2324" s="2"/>
      <c r="G2324" s="2" t="s">
        <v>100</v>
      </c>
      <c r="H2324" s="2" t="s">
        <v>2842</v>
      </c>
      <c r="I2324" s="2" t="s">
        <v>36</v>
      </c>
      <c r="J2324" s="2" t="s">
        <v>37</v>
      </c>
      <c r="K2324" s="2" t="s">
        <v>39</v>
      </c>
      <c r="L2324" s="2" t="s">
        <v>38</v>
      </c>
      <c r="M2324" s="2" t="s">
        <v>39</v>
      </c>
      <c r="N2324" s="2" t="s">
        <v>38</v>
      </c>
      <c r="O2324" s="2" t="s">
        <v>38</v>
      </c>
      <c r="P2324" s="2" t="s">
        <v>39</v>
      </c>
      <c r="Q2324" s="2" t="s">
        <v>39</v>
      </c>
      <c r="R2324" s="2" t="s">
        <v>38</v>
      </c>
      <c r="S2324" s="2" t="s">
        <v>38</v>
      </c>
      <c r="T2324" s="2" t="s">
        <v>39</v>
      </c>
      <c r="U2324" s="2" t="s">
        <v>39</v>
      </c>
      <c r="V2324" s="2" t="s">
        <v>39</v>
      </c>
      <c r="W2324" s="2" t="s">
        <v>38</v>
      </c>
      <c r="X2324" s="2" t="s">
        <v>39</v>
      </c>
      <c r="Y2324" s="2" t="s">
        <v>39</v>
      </c>
      <c r="Z2324" s="2" t="s">
        <v>38</v>
      </c>
      <c r="AA2324" s="2" t="s">
        <v>38</v>
      </c>
      <c r="AB2324" s="2" t="s">
        <v>39</v>
      </c>
      <c r="AC2324" s="2" t="s">
        <v>38</v>
      </c>
      <c r="AD2324" s="2" t="s">
        <v>38</v>
      </c>
      <c r="AE2324" s="2" t="s">
        <v>40</v>
      </c>
    </row>
    <row r="2325" spans="1:31" ht="409.5">
      <c r="A2325" s="2">
        <v>2719969</v>
      </c>
      <c r="B2325" s="2">
        <f>HYPERLINK("https://platform.v2.vetology.net/cases/2719969/screening-report/1?type=pdf&amp;v=v6&amp;scorecard=1&amp;secret_key=BX%25IJ%24%2F65ieZ%29f6", 2719969)</f>
        <v>2719969</v>
      </c>
      <c r="C2325" s="2">
        <f>HYPERLINK("https://platform.v2.vetology.net/report/v/final/"&amp;2719969, 2719969)</f>
        <v>2719969</v>
      </c>
      <c r="D2325" s="2" t="s">
        <v>7472</v>
      </c>
      <c r="E2325" s="2" t="s">
        <v>7473</v>
      </c>
      <c r="F2325" s="2" t="s">
        <v>43</v>
      </c>
      <c r="G2325" s="2" t="s">
        <v>44</v>
      </c>
      <c r="H2325" s="2" t="s">
        <v>7474</v>
      </c>
      <c r="I2325" s="2" t="s">
        <v>36</v>
      </c>
      <c r="J2325" s="2" t="s">
        <v>37</v>
      </c>
      <c r="K2325" s="2" t="s">
        <v>38</v>
      </c>
      <c r="L2325" s="2" t="s">
        <v>38</v>
      </c>
      <c r="M2325" s="2" t="s">
        <v>38</v>
      </c>
      <c r="N2325" s="2" t="s">
        <v>38</v>
      </c>
      <c r="O2325" s="2" t="s">
        <v>38</v>
      </c>
      <c r="P2325" s="2" t="s">
        <v>39</v>
      </c>
      <c r="Q2325" s="2" t="s">
        <v>39</v>
      </c>
      <c r="R2325" s="2" t="s">
        <v>38</v>
      </c>
      <c r="S2325" s="2" t="s">
        <v>38</v>
      </c>
      <c r="T2325" s="2" t="s">
        <v>38</v>
      </c>
      <c r="U2325" s="2" t="s">
        <v>38</v>
      </c>
      <c r="V2325" s="2" t="s">
        <v>38</v>
      </c>
      <c r="W2325" s="2" t="s">
        <v>38</v>
      </c>
      <c r="X2325" s="2" t="s">
        <v>39</v>
      </c>
      <c r="Y2325" s="2" t="s">
        <v>39</v>
      </c>
      <c r="Z2325" s="2" t="s">
        <v>38</v>
      </c>
      <c r="AA2325" s="2" t="s">
        <v>38</v>
      </c>
      <c r="AB2325" s="2" t="s">
        <v>39</v>
      </c>
      <c r="AC2325" s="2" t="s">
        <v>38</v>
      </c>
      <c r="AD2325" s="2" t="s">
        <v>39</v>
      </c>
      <c r="AE2325" s="2" t="s">
        <v>40</v>
      </c>
    </row>
    <row r="2326" spans="1:31" ht="409.5">
      <c r="A2326" s="2">
        <v>2719934</v>
      </c>
      <c r="B2326" s="2">
        <f>HYPERLINK("https://platform.v2.vetology.net/cases/2719934/screening-report/1?type=pdf&amp;v=v6&amp;scorecard=1&amp;secret_key=BX%25IJ%24%2F65ieZ%29f6", 2719934)</f>
        <v>2719934</v>
      </c>
      <c r="C2326" s="2">
        <f>HYPERLINK("https://platform.v2.vetology.net/report/v/final/"&amp;2719934, 2719934)</f>
        <v>2719934</v>
      </c>
      <c r="D2326" s="2" t="s">
        <v>7475</v>
      </c>
      <c r="E2326" s="2" t="s">
        <v>7476</v>
      </c>
      <c r="F2326" s="2" t="s">
        <v>7477</v>
      </c>
      <c r="G2326" s="2" t="s">
        <v>44</v>
      </c>
      <c r="H2326" s="2" t="s">
        <v>7478</v>
      </c>
      <c r="I2326" s="2" t="s">
        <v>36</v>
      </c>
      <c r="J2326" s="2" t="s">
        <v>37</v>
      </c>
      <c r="K2326" s="2" t="s">
        <v>38</v>
      </c>
      <c r="L2326" s="2" t="s">
        <v>38</v>
      </c>
      <c r="M2326" s="2" t="s">
        <v>38</v>
      </c>
      <c r="N2326" s="2" t="s">
        <v>38</v>
      </c>
      <c r="O2326" s="2" t="s">
        <v>38</v>
      </c>
      <c r="P2326" s="2" t="s">
        <v>38</v>
      </c>
      <c r="Q2326" s="2" t="s">
        <v>38</v>
      </c>
      <c r="R2326" s="2" t="s">
        <v>39</v>
      </c>
      <c r="S2326" s="2" t="s">
        <v>38</v>
      </c>
      <c r="T2326" s="2" t="s">
        <v>38</v>
      </c>
      <c r="U2326" s="2" t="s">
        <v>38</v>
      </c>
      <c r="V2326" s="2" t="s">
        <v>38</v>
      </c>
      <c r="W2326" s="2" t="s">
        <v>38</v>
      </c>
      <c r="X2326" s="2" t="s">
        <v>39</v>
      </c>
      <c r="Y2326" s="2" t="s">
        <v>39</v>
      </c>
      <c r="Z2326" s="2" t="s">
        <v>38</v>
      </c>
      <c r="AA2326" s="2" t="s">
        <v>39</v>
      </c>
      <c r="AB2326" s="2" t="s">
        <v>38</v>
      </c>
      <c r="AC2326" s="2" t="s">
        <v>39</v>
      </c>
      <c r="AD2326" s="2" t="s">
        <v>38</v>
      </c>
      <c r="AE2326" s="2" t="s">
        <v>40</v>
      </c>
    </row>
    <row r="2327" spans="1:31" ht="409.5">
      <c r="A2327" s="2">
        <v>2719896</v>
      </c>
      <c r="B2327" s="2">
        <f>HYPERLINK("https://platform.v2.vetology.net/cases/2719896/screening-report/1?type=pdf&amp;v=v6&amp;scorecard=1&amp;secret_key=BX%25IJ%24%2F65ieZ%29f6", 2719896)</f>
        <v>2719896</v>
      </c>
      <c r="C2327" s="2">
        <f>HYPERLINK("https://platform.v2.vetology.net/report/v/final/"&amp;2719896, 2719896)</f>
        <v>2719896</v>
      </c>
      <c r="D2327" s="2" t="s">
        <v>7479</v>
      </c>
      <c r="E2327" s="2" t="s">
        <v>7480</v>
      </c>
      <c r="F2327" s="2" t="s">
        <v>7481</v>
      </c>
      <c r="G2327" s="2" t="s">
        <v>170</v>
      </c>
      <c r="H2327" s="2" t="s">
        <v>69</v>
      </c>
      <c r="I2327" s="2" t="s">
        <v>46</v>
      </c>
      <c r="J2327" s="2"/>
      <c r="K2327" s="2" t="s">
        <v>39</v>
      </c>
      <c r="L2327" s="2" t="s">
        <v>39</v>
      </c>
      <c r="M2327" s="2" t="s">
        <v>39</v>
      </c>
      <c r="N2327" s="2" t="s">
        <v>39</v>
      </c>
      <c r="O2327" s="2" t="s">
        <v>39</v>
      </c>
      <c r="P2327" s="2" t="s">
        <v>39</v>
      </c>
      <c r="Q2327" s="2" t="s">
        <v>39</v>
      </c>
      <c r="R2327" s="2" t="s">
        <v>39</v>
      </c>
      <c r="S2327" s="2" t="s">
        <v>39</v>
      </c>
      <c r="T2327" s="2" t="s">
        <v>39</v>
      </c>
      <c r="U2327" s="2" t="s">
        <v>39</v>
      </c>
      <c r="V2327" s="2" t="s">
        <v>38</v>
      </c>
      <c r="W2327" s="2" t="s">
        <v>39</v>
      </c>
      <c r="X2327" s="2" t="s">
        <v>39</v>
      </c>
      <c r="Y2327" s="2" t="s">
        <v>39</v>
      </c>
      <c r="Z2327" s="2" t="s">
        <v>39</v>
      </c>
      <c r="AA2327" s="2" t="s">
        <v>39</v>
      </c>
      <c r="AB2327" s="2" t="s">
        <v>39</v>
      </c>
      <c r="AC2327" s="2" t="s">
        <v>38</v>
      </c>
      <c r="AD2327" s="2" t="s">
        <v>38</v>
      </c>
      <c r="AE2327" s="2" t="s">
        <v>39</v>
      </c>
    </row>
    <row r="2328" spans="1:31" ht="409.5">
      <c r="A2328" s="2">
        <v>2719875</v>
      </c>
      <c r="B2328" s="2">
        <f>HYPERLINK("https://platform.v2.vetology.net/cases/2719875/screening-report/1?type=pdf&amp;v=v6&amp;scorecard=1&amp;secret_key=BX%25IJ%24%2F65ieZ%29f6", 2719875)</f>
        <v>2719875</v>
      </c>
      <c r="C2328" s="2">
        <f>HYPERLINK("https://platform.v2.vetology.net/report/v/final/"&amp;2719875, 2719875)</f>
        <v>2719875</v>
      </c>
      <c r="D2328" s="2" t="s">
        <v>7482</v>
      </c>
      <c r="E2328" s="2" t="s">
        <v>7483</v>
      </c>
      <c r="F2328" s="2" t="s">
        <v>7484</v>
      </c>
      <c r="G2328" s="2" t="s">
        <v>53</v>
      </c>
      <c r="H2328" s="2" t="s">
        <v>7485</v>
      </c>
      <c r="I2328" s="2" t="s">
        <v>129</v>
      </c>
      <c r="J2328" s="2" t="s">
        <v>74</v>
      </c>
      <c r="K2328" s="2" t="s">
        <v>38</v>
      </c>
      <c r="L2328" s="2" t="s">
        <v>38</v>
      </c>
      <c r="M2328" s="2" t="s">
        <v>38</v>
      </c>
      <c r="N2328" s="2" t="s">
        <v>38</v>
      </c>
      <c r="O2328" s="2" t="s">
        <v>38</v>
      </c>
      <c r="P2328" s="2" t="s">
        <v>38</v>
      </c>
      <c r="Q2328" s="2" t="s">
        <v>38</v>
      </c>
      <c r="R2328" s="2" t="s">
        <v>39</v>
      </c>
      <c r="S2328" s="2" t="s">
        <v>39</v>
      </c>
      <c r="T2328" s="2" t="s">
        <v>38</v>
      </c>
      <c r="U2328" s="2" t="s">
        <v>39</v>
      </c>
      <c r="V2328" s="2" t="s">
        <v>38</v>
      </c>
      <c r="W2328" s="2" t="s">
        <v>38</v>
      </c>
      <c r="X2328" s="2" t="s">
        <v>38</v>
      </c>
      <c r="Y2328" s="2" t="s">
        <v>38</v>
      </c>
      <c r="Z2328" s="2" t="s">
        <v>38</v>
      </c>
      <c r="AA2328" s="2" t="s">
        <v>39</v>
      </c>
      <c r="AB2328" s="2" t="s">
        <v>38</v>
      </c>
      <c r="AC2328" s="2" t="s">
        <v>38</v>
      </c>
      <c r="AD2328" s="2" t="s">
        <v>38</v>
      </c>
      <c r="AE2328" s="2" t="s">
        <v>39</v>
      </c>
    </row>
    <row r="2329" spans="1:31" ht="409.5">
      <c r="A2329" s="2">
        <v>2719872</v>
      </c>
      <c r="B2329" s="2">
        <f>HYPERLINK("https://platform.v2.vetology.net/cases/2719872/screening-report/1?type=pdf&amp;v=v6&amp;scorecard=1&amp;secret_key=BX%25IJ%24%2F65ieZ%29f6", 2719872)</f>
        <v>2719872</v>
      </c>
      <c r="C2329" s="2">
        <f>HYPERLINK("https://platform.v2.vetology.net/report/v/final/"&amp;2719872, 2719872)</f>
        <v>2719872</v>
      </c>
      <c r="D2329" s="2" t="s">
        <v>7486</v>
      </c>
      <c r="E2329" s="2" t="s">
        <v>7487</v>
      </c>
      <c r="F2329" s="2" t="s">
        <v>43</v>
      </c>
      <c r="G2329" s="2" t="s">
        <v>44</v>
      </c>
      <c r="H2329" s="2" t="s">
        <v>7488</v>
      </c>
      <c r="I2329" s="2" t="s">
        <v>129</v>
      </c>
      <c r="J2329" s="2" t="s">
        <v>74</v>
      </c>
      <c r="K2329" s="2" t="s">
        <v>39</v>
      </c>
      <c r="L2329" s="2" t="s">
        <v>39</v>
      </c>
      <c r="M2329" s="2" t="s">
        <v>38</v>
      </c>
      <c r="N2329" s="2" t="s">
        <v>38</v>
      </c>
      <c r="O2329" s="2" t="s">
        <v>38</v>
      </c>
      <c r="P2329" s="2" t="s">
        <v>38</v>
      </c>
      <c r="Q2329" s="2" t="s">
        <v>38</v>
      </c>
      <c r="R2329" s="2" t="s">
        <v>38</v>
      </c>
      <c r="S2329" s="2" t="s">
        <v>38</v>
      </c>
      <c r="T2329" s="2" t="s">
        <v>38</v>
      </c>
      <c r="U2329" s="2" t="s">
        <v>39</v>
      </c>
      <c r="V2329" s="2" t="s">
        <v>39</v>
      </c>
      <c r="W2329" s="2" t="s">
        <v>39</v>
      </c>
      <c r="X2329" s="2" t="s">
        <v>38</v>
      </c>
      <c r="Y2329" s="2" t="s">
        <v>39</v>
      </c>
      <c r="Z2329" s="2" t="s">
        <v>38</v>
      </c>
      <c r="AA2329" s="2" t="s">
        <v>39</v>
      </c>
      <c r="AB2329" s="2" t="s">
        <v>38</v>
      </c>
      <c r="AC2329" s="2" t="s">
        <v>39</v>
      </c>
      <c r="AD2329" s="2" t="s">
        <v>38</v>
      </c>
      <c r="AE2329" s="2" t="s">
        <v>40</v>
      </c>
    </row>
    <row r="2330" spans="1:31" ht="409.5">
      <c r="A2330" s="2">
        <v>2719852</v>
      </c>
      <c r="B2330" s="2">
        <f>HYPERLINK("https://platform.v2.vetology.net/cases/2719852/screening-report/1?type=pdf&amp;v=v6&amp;scorecard=1&amp;secret_key=BX%25IJ%24%2F65ieZ%29f6", 2719852)</f>
        <v>2719852</v>
      </c>
      <c r="C2330" s="2">
        <f>HYPERLINK("https://platform.v2.vetology.net/report/v/final/"&amp;2719852, 2719852)</f>
        <v>2719852</v>
      </c>
      <c r="D2330" s="2" t="s">
        <v>7489</v>
      </c>
      <c r="E2330" s="2" t="s">
        <v>7490</v>
      </c>
      <c r="F2330" s="2" t="s">
        <v>43</v>
      </c>
      <c r="G2330" s="2" t="s">
        <v>100</v>
      </c>
      <c r="H2330" s="2" t="s">
        <v>69</v>
      </c>
      <c r="I2330" s="2" t="s">
        <v>46</v>
      </c>
      <c r="J2330" s="2"/>
      <c r="K2330" s="2" t="s">
        <v>39</v>
      </c>
      <c r="L2330" s="2" t="s">
        <v>39</v>
      </c>
      <c r="M2330" s="2" t="s">
        <v>39</v>
      </c>
      <c r="N2330" s="2" t="s">
        <v>39</v>
      </c>
      <c r="O2330" s="2" t="s">
        <v>39</v>
      </c>
      <c r="P2330" s="2" t="s">
        <v>39</v>
      </c>
      <c r="Q2330" s="2" t="s">
        <v>39</v>
      </c>
      <c r="R2330" s="2" t="s">
        <v>39</v>
      </c>
      <c r="S2330" s="2" t="s">
        <v>39</v>
      </c>
      <c r="T2330" s="2" t="s">
        <v>39</v>
      </c>
      <c r="U2330" s="2" t="s">
        <v>39</v>
      </c>
      <c r="V2330" s="2" t="s">
        <v>39</v>
      </c>
      <c r="W2330" s="2" t="s">
        <v>39</v>
      </c>
      <c r="X2330" s="2" t="s">
        <v>39</v>
      </c>
      <c r="Y2330" s="2" t="s">
        <v>39</v>
      </c>
      <c r="Z2330" s="2" t="s">
        <v>39</v>
      </c>
      <c r="AA2330" s="2" t="s">
        <v>39</v>
      </c>
      <c r="AB2330" s="2" t="s">
        <v>39</v>
      </c>
      <c r="AC2330" s="2" t="s">
        <v>39</v>
      </c>
      <c r="AD2330" s="2" t="s">
        <v>38</v>
      </c>
      <c r="AE2330" s="2" t="s">
        <v>39</v>
      </c>
    </row>
    <row r="2331" spans="1:31" ht="409.5">
      <c r="A2331" s="2">
        <v>2719849</v>
      </c>
      <c r="B2331" s="2">
        <f>HYPERLINK("https://platform.v2.vetology.net/cases/2719849/screening-report/1?type=pdf&amp;v=v6&amp;scorecard=1&amp;secret_key=BX%25IJ%24%2F65ieZ%29f6", 2719849)</f>
        <v>2719849</v>
      </c>
      <c r="C2331" s="2">
        <f>HYPERLINK("https://platform.v2.vetology.net/report/v/final/"&amp;2719849, 2719849)</f>
        <v>2719849</v>
      </c>
      <c r="D2331" s="2" t="s">
        <v>7491</v>
      </c>
      <c r="E2331" s="2" t="s">
        <v>7492</v>
      </c>
      <c r="F2331" s="2" t="s">
        <v>7493</v>
      </c>
      <c r="G2331" s="2" t="s">
        <v>251</v>
      </c>
      <c r="H2331" s="2" t="s">
        <v>7494</v>
      </c>
      <c r="I2331" s="2" t="s">
        <v>129</v>
      </c>
      <c r="J2331" s="2" t="s">
        <v>74</v>
      </c>
      <c r="K2331" s="2" t="s">
        <v>38</v>
      </c>
      <c r="L2331" s="2" t="s">
        <v>38</v>
      </c>
      <c r="M2331" s="2" t="s">
        <v>38</v>
      </c>
      <c r="N2331" s="2" t="s">
        <v>38</v>
      </c>
      <c r="O2331" s="2" t="s">
        <v>38</v>
      </c>
      <c r="P2331" s="2" t="s">
        <v>38</v>
      </c>
      <c r="Q2331" s="2" t="s">
        <v>38</v>
      </c>
      <c r="R2331" s="2" t="s">
        <v>38</v>
      </c>
      <c r="S2331" s="2" t="s">
        <v>38</v>
      </c>
      <c r="T2331" s="2" t="s">
        <v>38</v>
      </c>
      <c r="U2331" s="2" t="s">
        <v>38</v>
      </c>
      <c r="V2331" s="2" t="s">
        <v>38</v>
      </c>
      <c r="W2331" s="2" t="s">
        <v>38</v>
      </c>
      <c r="X2331" s="2" t="s">
        <v>38</v>
      </c>
      <c r="Y2331" s="2" t="s">
        <v>38</v>
      </c>
      <c r="Z2331" s="2" t="s">
        <v>38</v>
      </c>
      <c r="AA2331" s="2" t="s">
        <v>38</v>
      </c>
      <c r="AB2331" s="2" t="s">
        <v>38</v>
      </c>
      <c r="AC2331" s="2" t="s">
        <v>38</v>
      </c>
      <c r="AD2331" s="2" t="s">
        <v>38</v>
      </c>
      <c r="AE2331" s="2" t="s">
        <v>40</v>
      </c>
    </row>
    <row r="2332" spans="1:31" ht="409.5">
      <c r="A2332" s="2">
        <v>2719846</v>
      </c>
      <c r="B2332" s="2">
        <f>HYPERLINK("https://platform.v2.vetology.net/cases/2719846/screening-report/1?type=pdf&amp;v=v6&amp;scorecard=1&amp;secret_key=BX%25IJ%24%2F65ieZ%29f6", 2719846)</f>
        <v>2719846</v>
      </c>
      <c r="C2332" s="2">
        <f>HYPERLINK("https://platform.v2.vetology.net/report/v/final/"&amp;2719846, 2719846)</f>
        <v>2719846</v>
      </c>
      <c r="D2332" s="2" t="s">
        <v>7495</v>
      </c>
      <c r="E2332" s="2" t="s">
        <v>7496</v>
      </c>
      <c r="F2332" s="2" t="s">
        <v>7497</v>
      </c>
      <c r="G2332" s="2" t="s">
        <v>111</v>
      </c>
      <c r="H2332" s="2" t="s">
        <v>7498</v>
      </c>
      <c r="I2332" s="2" t="s">
        <v>36</v>
      </c>
      <c r="J2332" s="2" t="s">
        <v>37</v>
      </c>
      <c r="K2332" s="2" t="s">
        <v>38</v>
      </c>
      <c r="L2332" s="2" t="s">
        <v>38</v>
      </c>
      <c r="M2332" s="2" t="s">
        <v>38</v>
      </c>
      <c r="N2332" s="2" t="s">
        <v>38</v>
      </c>
      <c r="O2332" s="2" t="s">
        <v>38</v>
      </c>
      <c r="P2332" s="2" t="s">
        <v>38</v>
      </c>
      <c r="Q2332" s="2" t="s">
        <v>39</v>
      </c>
      <c r="R2332" s="2" t="s">
        <v>38</v>
      </c>
      <c r="S2332" s="2" t="s">
        <v>38</v>
      </c>
      <c r="T2332" s="2" t="s">
        <v>38</v>
      </c>
      <c r="U2332" s="2" t="s">
        <v>38</v>
      </c>
      <c r="V2332" s="2" t="s">
        <v>39</v>
      </c>
      <c r="W2332" s="2" t="s">
        <v>38</v>
      </c>
      <c r="X2332" s="2" t="s">
        <v>39</v>
      </c>
      <c r="Y2332" s="2" t="s">
        <v>39</v>
      </c>
      <c r="Z2332" s="2" t="s">
        <v>38</v>
      </c>
      <c r="AA2332" s="2" t="s">
        <v>38</v>
      </c>
      <c r="AB2332" s="2" t="s">
        <v>39</v>
      </c>
      <c r="AC2332" s="2" t="s">
        <v>38</v>
      </c>
      <c r="AD2332" s="2" t="s">
        <v>38</v>
      </c>
      <c r="AE2332" s="2" t="s">
        <v>39</v>
      </c>
    </row>
    <row r="2333" spans="1:31" ht="409.5">
      <c r="A2333" s="2">
        <v>2719827</v>
      </c>
      <c r="B2333" s="2">
        <f>HYPERLINK("https://platform.v2.vetology.net/cases/2719827/screening-report/1?type=pdf&amp;v=v6&amp;scorecard=1&amp;secret_key=BX%25IJ%24%2F65ieZ%29f6", 2719827)</f>
        <v>2719827</v>
      </c>
      <c r="C2333" s="2">
        <f>HYPERLINK("https://platform.v2.vetology.net/report/v/final/"&amp;2719827, 2719827)</f>
        <v>2719827</v>
      </c>
      <c r="D2333" s="2" t="s">
        <v>7499</v>
      </c>
      <c r="E2333" s="2" t="s">
        <v>3783</v>
      </c>
      <c r="F2333" s="2" t="s">
        <v>1908</v>
      </c>
      <c r="G2333" s="2" t="s">
        <v>100</v>
      </c>
      <c r="H2333" s="2" t="s">
        <v>668</v>
      </c>
      <c r="I2333" s="2" t="s">
        <v>36</v>
      </c>
      <c r="J2333" s="2" t="s">
        <v>37</v>
      </c>
      <c r="K2333" s="2" t="s">
        <v>39</v>
      </c>
      <c r="L2333" s="2" t="s">
        <v>38</v>
      </c>
      <c r="M2333" s="2" t="s">
        <v>39</v>
      </c>
      <c r="N2333" s="2" t="s">
        <v>39</v>
      </c>
      <c r="O2333" s="2" t="s">
        <v>39</v>
      </c>
      <c r="P2333" s="2" t="s">
        <v>39</v>
      </c>
      <c r="Q2333" s="2" t="s">
        <v>39</v>
      </c>
      <c r="R2333" s="2" t="s">
        <v>38</v>
      </c>
      <c r="S2333" s="2" t="s">
        <v>39</v>
      </c>
      <c r="T2333" s="2" t="s">
        <v>39</v>
      </c>
      <c r="U2333" s="2" t="s">
        <v>39</v>
      </c>
      <c r="V2333" s="2" t="s">
        <v>39</v>
      </c>
      <c r="W2333" s="2" t="s">
        <v>38</v>
      </c>
      <c r="X2333" s="2" t="s">
        <v>39</v>
      </c>
      <c r="Y2333" s="2" t="s">
        <v>38</v>
      </c>
      <c r="Z2333" s="2" t="s">
        <v>39</v>
      </c>
      <c r="AA2333" s="2" t="s">
        <v>39</v>
      </c>
      <c r="AB2333" s="2" t="s">
        <v>39</v>
      </c>
      <c r="AC2333" s="2" t="s">
        <v>38</v>
      </c>
      <c r="AD2333" s="2" t="s">
        <v>38</v>
      </c>
      <c r="AE2333" s="2" t="s">
        <v>40</v>
      </c>
    </row>
    <row r="2334" spans="1:31" ht="409.5">
      <c r="A2334" s="2">
        <v>2719815</v>
      </c>
      <c r="B2334" s="2">
        <f>HYPERLINK("https://platform.v2.vetology.net/cases/2719815/screening-report/1?type=pdf&amp;v=v6&amp;scorecard=1&amp;secret_key=BX%25IJ%24%2F65ieZ%29f6", 2719815)</f>
        <v>2719815</v>
      </c>
      <c r="C2334" s="2">
        <f>HYPERLINK("https://platform.v2.vetology.net/report/v/final/"&amp;2719815, 2719815)</f>
        <v>2719815</v>
      </c>
      <c r="D2334" s="2" t="s">
        <v>7500</v>
      </c>
      <c r="E2334" s="2" t="s">
        <v>7501</v>
      </c>
      <c r="F2334" s="2" t="s">
        <v>7502</v>
      </c>
      <c r="G2334" s="2" t="s">
        <v>44</v>
      </c>
      <c r="H2334" s="2" t="s">
        <v>7503</v>
      </c>
      <c r="I2334" s="2" t="s">
        <v>129</v>
      </c>
      <c r="J2334" s="2" t="s">
        <v>74</v>
      </c>
      <c r="K2334" s="2" t="s">
        <v>39</v>
      </c>
      <c r="L2334" s="2" t="s">
        <v>38</v>
      </c>
      <c r="M2334" s="2" t="s">
        <v>39</v>
      </c>
      <c r="N2334" s="2" t="s">
        <v>39</v>
      </c>
      <c r="O2334" s="2" t="s">
        <v>38</v>
      </c>
      <c r="P2334" s="2" t="s">
        <v>38</v>
      </c>
      <c r="Q2334" s="2" t="s">
        <v>38</v>
      </c>
      <c r="R2334" s="2" t="s">
        <v>39</v>
      </c>
      <c r="S2334" s="2" t="s">
        <v>39</v>
      </c>
      <c r="T2334" s="2" t="s">
        <v>39</v>
      </c>
      <c r="U2334" s="2" t="s">
        <v>39</v>
      </c>
      <c r="V2334" s="2" t="s">
        <v>39</v>
      </c>
      <c r="W2334" s="2" t="s">
        <v>39</v>
      </c>
      <c r="X2334" s="2" t="s">
        <v>39</v>
      </c>
      <c r="Y2334" s="2" t="s">
        <v>39</v>
      </c>
      <c r="Z2334" s="2" t="s">
        <v>39</v>
      </c>
      <c r="AA2334" s="2" t="s">
        <v>38</v>
      </c>
      <c r="AB2334" s="2" t="s">
        <v>39</v>
      </c>
      <c r="AC2334" s="2" t="s">
        <v>38</v>
      </c>
      <c r="AD2334" s="2" t="s">
        <v>38</v>
      </c>
      <c r="AE2334" s="2"/>
    </row>
    <row r="2335" spans="1:31" ht="409.5">
      <c r="A2335" s="2">
        <v>2719806</v>
      </c>
      <c r="B2335" s="2">
        <f>HYPERLINK("https://platform.v2.vetology.net/cases/2719806/screening-report/1?type=pdf&amp;v=v6&amp;scorecard=1&amp;secret_key=BX%25IJ%24%2F65ieZ%29f6", 2719806)</f>
        <v>2719806</v>
      </c>
      <c r="C2335" s="2">
        <f>HYPERLINK("https://platform.v2.vetology.net/report/v/final/"&amp;2719806, 2719806)</f>
        <v>2719806</v>
      </c>
      <c r="D2335" s="2" t="s">
        <v>7504</v>
      </c>
      <c r="E2335" s="2" t="s">
        <v>7505</v>
      </c>
      <c r="F2335" s="2" t="s">
        <v>7506</v>
      </c>
      <c r="G2335" s="2" t="s">
        <v>127</v>
      </c>
      <c r="H2335" s="2" t="s">
        <v>4796</v>
      </c>
      <c r="I2335" s="2" t="s">
        <v>36</v>
      </c>
      <c r="J2335" s="2" t="s">
        <v>37</v>
      </c>
      <c r="K2335" s="2" t="s">
        <v>38</v>
      </c>
      <c r="L2335" s="2" t="s">
        <v>39</v>
      </c>
      <c r="M2335" s="2" t="s">
        <v>38</v>
      </c>
      <c r="N2335" s="2" t="s">
        <v>38</v>
      </c>
      <c r="O2335" s="2" t="s">
        <v>38</v>
      </c>
      <c r="P2335" s="2" t="s">
        <v>39</v>
      </c>
      <c r="Q2335" s="2" t="s">
        <v>39</v>
      </c>
      <c r="R2335" s="2" t="s">
        <v>39</v>
      </c>
      <c r="S2335" s="2" t="s">
        <v>39</v>
      </c>
      <c r="T2335" s="2" t="s">
        <v>39</v>
      </c>
      <c r="U2335" s="2" t="s">
        <v>39</v>
      </c>
      <c r="V2335" s="2" t="s">
        <v>39</v>
      </c>
      <c r="W2335" s="2" t="s">
        <v>39</v>
      </c>
      <c r="X2335" s="2" t="s">
        <v>39</v>
      </c>
      <c r="Y2335" s="2" t="s">
        <v>39</v>
      </c>
      <c r="Z2335" s="2" t="s">
        <v>39</v>
      </c>
      <c r="AA2335" s="2" t="s">
        <v>39</v>
      </c>
      <c r="AB2335" s="2" t="s">
        <v>39</v>
      </c>
      <c r="AC2335" s="2" t="s">
        <v>38</v>
      </c>
      <c r="AD2335" s="2" t="s">
        <v>39</v>
      </c>
      <c r="AE2335" s="2" t="s">
        <v>40</v>
      </c>
    </row>
    <row r="2336" spans="1:31" ht="409.5">
      <c r="A2336" s="2">
        <v>2719779</v>
      </c>
      <c r="B2336" s="2">
        <f>HYPERLINK("https://platform.v2.vetology.net/cases/2719779/screening-report/1?type=pdf&amp;v=v6&amp;scorecard=1&amp;secret_key=BX%25IJ%24%2F65ieZ%29f6", 2719779)</f>
        <v>2719779</v>
      </c>
      <c r="C2336" s="2">
        <f>HYPERLINK("https://platform.v2.vetology.net/report/v/final/"&amp;2719779, 2719779)</f>
        <v>2719779</v>
      </c>
      <c r="D2336" s="2" t="s">
        <v>7507</v>
      </c>
      <c r="E2336" s="2" t="s">
        <v>7508</v>
      </c>
      <c r="F2336" s="2" t="s">
        <v>7509</v>
      </c>
      <c r="G2336" s="2" t="s">
        <v>53</v>
      </c>
      <c r="H2336" s="2" t="s">
        <v>7510</v>
      </c>
      <c r="I2336" s="2" t="s">
        <v>36</v>
      </c>
      <c r="J2336" s="2" t="s">
        <v>37</v>
      </c>
      <c r="K2336" s="2" t="s">
        <v>39</v>
      </c>
      <c r="L2336" s="2" t="s">
        <v>38</v>
      </c>
      <c r="M2336" s="2" t="s">
        <v>38</v>
      </c>
      <c r="N2336" s="2" t="s">
        <v>38</v>
      </c>
      <c r="O2336" s="2" t="s">
        <v>38</v>
      </c>
      <c r="P2336" s="2" t="s">
        <v>38</v>
      </c>
      <c r="Q2336" s="2" t="s">
        <v>39</v>
      </c>
      <c r="R2336" s="2" t="s">
        <v>38</v>
      </c>
      <c r="S2336" s="2" t="s">
        <v>38</v>
      </c>
      <c r="T2336" s="2" t="s">
        <v>38</v>
      </c>
      <c r="U2336" s="2" t="s">
        <v>39</v>
      </c>
      <c r="V2336" s="2" t="s">
        <v>39</v>
      </c>
      <c r="W2336" s="2" t="s">
        <v>38</v>
      </c>
      <c r="X2336" s="2" t="s">
        <v>39</v>
      </c>
      <c r="Y2336" s="2" t="s">
        <v>39</v>
      </c>
      <c r="Z2336" s="2" t="s">
        <v>38</v>
      </c>
      <c r="AA2336" s="2" t="s">
        <v>38</v>
      </c>
      <c r="AB2336" s="2" t="s">
        <v>39</v>
      </c>
      <c r="AC2336" s="2" t="s">
        <v>38</v>
      </c>
      <c r="AD2336" s="2" t="s">
        <v>38</v>
      </c>
      <c r="AE2336" s="2" t="s">
        <v>40</v>
      </c>
    </row>
    <row r="2337" spans="1:31" ht="409.5">
      <c r="A2337" s="2">
        <v>2719759</v>
      </c>
      <c r="B2337" s="2">
        <f>HYPERLINK("https://platform.v2.vetology.net/cases/2719759/screening-report/1?type=pdf&amp;v=v6&amp;scorecard=1&amp;secret_key=BX%25IJ%24%2F65ieZ%29f6", 2719759)</f>
        <v>2719759</v>
      </c>
      <c r="C2337" s="2">
        <f>HYPERLINK("https://platform.v2.vetology.net/report/v/final/"&amp;2719759, 2719759)</f>
        <v>2719759</v>
      </c>
      <c r="D2337" s="2" t="s">
        <v>7511</v>
      </c>
      <c r="E2337" s="2" t="s">
        <v>7512</v>
      </c>
      <c r="F2337" s="2" t="s">
        <v>7513</v>
      </c>
      <c r="G2337" s="2" t="s">
        <v>53</v>
      </c>
      <c r="H2337" s="2" t="s">
        <v>394</v>
      </c>
      <c r="I2337" s="2" t="s">
        <v>59</v>
      </c>
      <c r="J2337" s="2" t="s">
        <v>37</v>
      </c>
      <c r="K2337" s="2" t="s">
        <v>38</v>
      </c>
      <c r="L2337" s="2" t="s">
        <v>39</v>
      </c>
      <c r="M2337" s="2" t="s">
        <v>39</v>
      </c>
      <c r="N2337" s="2" t="s">
        <v>39</v>
      </c>
      <c r="O2337" s="2" t="s">
        <v>39</v>
      </c>
      <c r="P2337" s="2" t="s">
        <v>39</v>
      </c>
      <c r="Q2337" s="2" t="s">
        <v>39</v>
      </c>
      <c r="R2337" s="2" t="s">
        <v>39</v>
      </c>
      <c r="S2337" s="2" t="s">
        <v>39</v>
      </c>
      <c r="T2337" s="2" t="s">
        <v>39</v>
      </c>
      <c r="U2337" s="2" t="s">
        <v>39</v>
      </c>
      <c r="V2337" s="2" t="s">
        <v>39</v>
      </c>
      <c r="W2337" s="2" t="s">
        <v>39</v>
      </c>
      <c r="X2337" s="2" t="s">
        <v>39</v>
      </c>
      <c r="Y2337" s="2" t="s">
        <v>39</v>
      </c>
      <c r="Z2337" s="2" t="s">
        <v>39</v>
      </c>
      <c r="AA2337" s="2" t="s">
        <v>39</v>
      </c>
      <c r="AB2337" s="2" t="s">
        <v>39</v>
      </c>
      <c r="AC2337" s="2" t="s">
        <v>39</v>
      </c>
      <c r="AD2337" s="2" t="s">
        <v>39</v>
      </c>
      <c r="AE2337" s="2" t="s">
        <v>39</v>
      </c>
    </row>
    <row r="2338" spans="1:31" ht="409.5">
      <c r="A2338" s="2">
        <v>2719744</v>
      </c>
      <c r="B2338" s="2">
        <f>HYPERLINK("https://platform.v2.vetology.net/cases/2719744/screening-report/1?type=pdf&amp;v=v6&amp;scorecard=1&amp;secret_key=BX%25IJ%24%2F65ieZ%29f6", 2719744)</f>
        <v>2719744</v>
      </c>
      <c r="C2338" s="2">
        <f>HYPERLINK("https://platform.v2.vetology.net/report/v/final/"&amp;2719744, 2719744)</f>
        <v>2719744</v>
      </c>
      <c r="D2338" s="2" t="s">
        <v>7514</v>
      </c>
      <c r="E2338" s="2" t="s">
        <v>7515</v>
      </c>
      <c r="F2338" s="2" t="s">
        <v>43</v>
      </c>
      <c r="G2338" s="2" t="s">
        <v>100</v>
      </c>
      <c r="H2338" s="2" t="s">
        <v>7516</v>
      </c>
      <c r="I2338" s="2" t="s">
        <v>36</v>
      </c>
      <c r="J2338" s="2" t="s">
        <v>37</v>
      </c>
      <c r="K2338" s="2" t="s">
        <v>39</v>
      </c>
      <c r="L2338" s="2" t="s">
        <v>38</v>
      </c>
      <c r="M2338" s="2" t="s">
        <v>38</v>
      </c>
      <c r="N2338" s="2" t="s">
        <v>38</v>
      </c>
      <c r="O2338" s="2" t="s">
        <v>38</v>
      </c>
      <c r="P2338" s="2" t="s">
        <v>38</v>
      </c>
      <c r="Q2338" s="2" t="s">
        <v>39</v>
      </c>
      <c r="R2338" s="2" t="s">
        <v>38</v>
      </c>
      <c r="S2338" s="2" t="s">
        <v>38</v>
      </c>
      <c r="T2338" s="2" t="s">
        <v>38</v>
      </c>
      <c r="U2338" s="2" t="s">
        <v>39</v>
      </c>
      <c r="V2338" s="2" t="s">
        <v>38</v>
      </c>
      <c r="W2338" s="2" t="s">
        <v>38</v>
      </c>
      <c r="X2338" s="2" t="s">
        <v>39</v>
      </c>
      <c r="Y2338" s="2" t="s">
        <v>39</v>
      </c>
      <c r="Z2338" s="2" t="s">
        <v>38</v>
      </c>
      <c r="AA2338" s="2" t="s">
        <v>38</v>
      </c>
      <c r="AB2338" s="2" t="s">
        <v>39</v>
      </c>
      <c r="AC2338" s="2" t="s">
        <v>38</v>
      </c>
      <c r="AD2338" s="2" t="s">
        <v>38</v>
      </c>
      <c r="AE2338" s="2" t="s">
        <v>39</v>
      </c>
    </row>
    <row r="2339" spans="1:31" ht="409.5">
      <c r="A2339" s="2">
        <v>2719713</v>
      </c>
      <c r="B2339" s="2">
        <f>HYPERLINK("https://platform.v2.vetology.net/cases/2719713/screening-report/1?type=pdf&amp;v=v6&amp;scorecard=1&amp;secret_key=BX%25IJ%24%2F65ieZ%29f6", 2719713)</f>
        <v>2719713</v>
      </c>
      <c r="C2339" s="2">
        <f>HYPERLINK("https://platform.v2.vetology.net/report/v/final/"&amp;2719713, 2719713)</f>
        <v>2719713</v>
      </c>
      <c r="D2339" s="2" t="s">
        <v>7517</v>
      </c>
      <c r="E2339" s="2" t="s">
        <v>7518</v>
      </c>
      <c r="F2339" s="2" t="s">
        <v>43</v>
      </c>
      <c r="G2339" s="2" t="s">
        <v>44</v>
      </c>
      <c r="H2339" s="2" t="s">
        <v>7519</v>
      </c>
      <c r="I2339" s="2" t="s">
        <v>73</v>
      </c>
      <c r="J2339" s="2" t="s">
        <v>74</v>
      </c>
      <c r="K2339" s="2" t="s">
        <v>38</v>
      </c>
      <c r="L2339" s="2" t="s">
        <v>38</v>
      </c>
      <c r="M2339" s="2" t="s">
        <v>38</v>
      </c>
      <c r="N2339" s="2" t="s">
        <v>38</v>
      </c>
      <c r="O2339" s="2" t="s">
        <v>38</v>
      </c>
      <c r="P2339" s="2" t="s">
        <v>38</v>
      </c>
      <c r="Q2339" s="2" t="s">
        <v>38</v>
      </c>
      <c r="R2339" s="2" t="s">
        <v>38</v>
      </c>
      <c r="S2339" s="2" t="s">
        <v>38</v>
      </c>
      <c r="T2339" s="2" t="s">
        <v>38</v>
      </c>
      <c r="U2339" s="2" t="s">
        <v>38</v>
      </c>
      <c r="V2339" s="2" t="s">
        <v>38</v>
      </c>
      <c r="W2339" s="2" t="s">
        <v>38</v>
      </c>
      <c r="X2339" s="2" t="s">
        <v>38</v>
      </c>
      <c r="Y2339" s="2" t="s">
        <v>38</v>
      </c>
      <c r="Z2339" s="2" t="s">
        <v>38</v>
      </c>
      <c r="AA2339" s="2" t="s">
        <v>38</v>
      </c>
      <c r="AB2339" s="2" t="s">
        <v>38</v>
      </c>
      <c r="AC2339" s="2" t="s">
        <v>38</v>
      </c>
      <c r="AD2339" s="2" t="s">
        <v>38</v>
      </c>
      <c r="AE2339" s="2" t="s">
        <v>40</v>
      </c>
    </row>
    <row r="2340" spans="1:31" ht="409.5">
      <c r="A2340" s="2">
        <v>2719694</v>
      </c>
      <c r="B2340" s="2">
        <f>HYPERLINK("https://platform.v2.vetology.net/cases/2719694/screening-report/1?type=pdf&amp;v=v6&amp;scorecard=1&amp;secret_key=BX%25IJ%24%2F65ieZ%29f6", 2719694)</f>
        <v>2719694</v>
      </c>
      <c r="C2340" s="2">
        <f>HYPERLINK("https://platform.v2.vetology.net/report/v/final/"&amp;2719694, 2719694)</f>
        <v>2719694</v>
      </c>
      <c r="D2340" s="2" t="s">
        <v>7520</v>
      </c>
      <c r="E2340" s="2" t="s">
        <v>7521</v>
      </c>
      <c r="F2340" s="2" t="s">
        <v>7522</v>
      </c>
      <c r="G2340" s="2" t="s">
        <v>44</v>
      </c>
      <c r="H2340" s="2" t="s">
        <v>7523</v>
      </c>
      <c r="I2340" s="2" t="s">
        <v>129</v>
      </c>
      <c r="J2340" s="2" t="s">
        <v>74</v>
      </c>
      <c r="K2340" s="2" t="s">
        <v>38</v>
      </c>
      <c r="L2340" s="2" t="s">
        <v>39</v>
      </c>
      <c r="M2340" s="2" t="s">
        <v>39</v>
      </c>
      <c r="N2340" s="2" t="s">
        <v>39</v>
      </c>
      <c r="O2340" s="2" t="s">
        <v>38</v>
      </c>
      <c r="P2340" s="2" t="s">
        <v>39</v>
      </c>
      <c r="Q2340" s="2" t="s">
        <v>38</v>
      </c>
      <c r="R2340" s="2" t="s">
        <v>39</v>
      </c>
      <c r="S2340" s="2" t="s">
        <v>39</v>
      </c>
      <c r="T2340" s="2" t="s">
        <v>39</v>
      </c>
      <c r="U2340" s="2" t="s">
        <v>38</v>
      </c>
      <c r="V2340" s="2" t="s">
        <v>38</v>
      </c>
      <c r="W2340" s="2" t="s">
        <v>39</v>
      </c>
      <c r="X2340" s="2" t="s">
        <v>39</v>
      </c>
      <c r="Y2340" s="2" t="s">
        <v>39</v>
      </c>
      <c r="Z2340" s="2" t="s">
        <v>39</v>
      </c>
      <c r="AA2340" s="2" t="s">
        <v>38</v>
      </c>
      <c r="AB2340" s="2" t="s">
        <v>39</v>
      </c>
      <c r="AC2340" s="2" t="s">
        <v>39</v>
      </c>
      <c r="AD2340" s="2" t="s">
        <v>39</v>
      </c>
      <c r="AE2340" s="2" t="s">
        <v>39</v>
      </c>
    </row>
    <row r="2341" spans="1:31" ht="409.5">
      <c r="A2341" s="2">
        <v>2719663</v>
      </c>
      <c r="B2341" s="2">
        <f>HYPERLINK("https://platform.v2.vetology.net/cases/2719663/screening-report/1?type=pdf&amp;v=v6&amp;scorecard=1&amp;secret_key=BX%25IJ%24%2F65ieZ%29f6", 2719663)</f>
        <v>2719663</v>
      </c>
      <c r="C2341" s="2">
        <f>HYPERLINK("https://platform.v2.vetology.net/report/v/final/"&amp;2719663, 2719663)</f>
        <v>2719663</v>
      </c>
      <c r="D2341" s="2" t="s">
        <v>7524</v>
      </c>
      <c r="E2341" s="2" t="s">
        <v>7525</v>
      </c>
      <c r="F2341" s="2" t="s">
        <v>174</v>
      </c>
      <c r="G2341" s="2" t="s">
        <v>170</v>
      </c>
      <c r="H2341" s="2" t="s">
        <v>7526</v>
      </c>
      <c r="I2341" s="2" t="s">
        <v>59</v>
      </c>
      <c r="J2341" s="2" t="s">
        <v>37</v>
      </c>
      <c r="K2341" s="2" t="s">
        <v>38</v>
      </c>
      <c r="L2341" s="2" t="s">
        <v>39</v>
      </c>
      <c r="M2341" s="2" t="s">
        <v>39</v>
      </c>
      <c r="N2341" s="2" t="s">
        <v>38</v>
      </c>
      <c r="O2341" s="2" t="s">
        <v>39</v>
      </c>
      <c r="P2341" s="2" t="s">
        <v>39</v>
      </c>
      <c r="Q2341" s="2" t="s">
        <v>39</v>
      </c>
      <c r="R2341" s="2" t="s">
        <v>38</v>
      </c>
      <c r="S2341" s="2" t="s">
        <v>39</v>
      </c>
      <c r="T2341" s="2" t="s">
        <v>39</v>
      </c>
      <c r="U2341" s="2" t="s">
        <v>38</v>
      </c>
      <c r="V2341" s="2" t="s">
        <v>38</v>
      </c>
      <c r="W2341" s="2" t="s">
        <v>39</v>
      </c>
      <c r="X2341" s="2" t="s">
        <v>39</v>
      </c>
      <c r="Y2341" s="2" t="s">
        <v>39</v>
      </c>
      <c r="Z2341" s="2" t="s">
        <v>38</v>
      </c>
      <c r="AA2341" s="2" t="s">
        <v>39</v>
      </c>
      <c r="AB2341" s="2" t="s">
        <v>38</v>
      </c>
      <c r="AC2341" s="2" t="s">
        <v>39</v>
      </c>
      <c r="AD2341" s="2" t="s">
        <v>39</v>
      </c>
      <c r="AE2341" s="2" t="s">
        <v>40</v>
      </c>
    </row>
    <row r="2342" spans="1:31" ht="409.5">
      <c r="A2342" s="2">
        <v>2719635</v>
      </c>
      <c r="B2342" s="2">
        <f>HYPERLINK("https://platform.v2.vetology.net/cases/2719635/screening-report/1?type=pdf&amp;v=v6&amp;scorecard=1&amp;secret_key=BX%25IJ%24%2F65ieZ%29f6", 2719635)</f>
        <v>2719635</v>
      </c>
      <c r="C2342" s="2">
        <f>HYPERLINK("https://platform.v2.vetology.net/report/v/final/"&amp;2719635, 2719635)</f>
        <v>2719635</v>
      </c>
      <c r="D2342" s="2" t="s">
        <v>7527</v>
      </c>
      <c r="E2342" s="2" t="s">
        <v>7528</v>
      </c>
      <c r="F2342" s="2" t="s">
        <v>7529</v>
      </c>
      <c r="G2342" s="2" t="s">
        <v>53</v>
      </c>
      <c r="H2342" s="2" t="s">
        <v>69</v>
      </c>
      <c r="I2342" s="2" t="s">
        <v>46</v>
      </c>
      <c r="J2342" s="2"/>
      <c r="K2342" s="2" t="s">
        <v>39</v>
      </c>
      <c r="L2342" s="2" t="s">
        <v>39</v>
      </c>
      <c r="M2342" s="2" t="s">
        <v>39</v>
      </c>
      <c r="N2342" s="2" t="s">
        <v>39</v>
      </c>
      <c r="O2342" s="2" t="s">
        <v>38</v>
      </c>
      <c r="P2342" s="2" t="s">
        <v>39</v>
      </c>
      <c r="Q2342" s="2" t="s">
        <v>39</v>
      </c>
      <c r="R2342" s="2" t="s">
        <v>39</v>
      </c>
      <c r="S2342" s="2" t="s">
        <v>39</v>
      </c>
      <c r="T2342" s="2" t="s">
        <v>39</v>
      </c>
      <c r="U2342" s="2" t="s">
        <v>39</v>
      </c>
      <c r="V2342" s="2" t="s">
        <v>39</v>
      </c>
      <c r="W2342" s="2" t="s">
        <v>39</v>
      </c>
      <c r="X2342" s="2" t="s">
        <v>39</v>
      </c>
      <c r="Y2342" s="2" t="s">
        <v>39</v>
      </c>
      <c r="Z2342" s="2" t="s">
        <v>38</v>
      </c>
      <c r="AA2342" s="2" t="s">
        <v>38</v>
      </c>
      <c r="AB2342" s="2" t="s">
        <v>39</v>
      </c>
      <c r="AC2342" s="2" t="s">
        <v>38</v>
      </c>
      <c r="AD2342" s="2" t="s">
        <v>39</v>
      </c>
      <c r="AE2342" s="2" t="s">
        <v>39</v>
      </c>
    </row>
    <row r="2343" spans="1:31" ht="409.5">
      <c r="A2343" s="2">
        <v>2719621</v>
      </c>
      <c r="B2343" s="2">
        <f>HYPERLINK("https://platform.v2.vetology.net/cases/2719621/screening-report/1?type=pdf&amp;v=v6&amp;scorecard=1&amp;secret_key=BX%25IJ%24%2F65ieZ%29f6", 2719621)</f>
        <v>2719621</v>
      </c>
      <c r="C2343" s="2">
        <f>HYPERLINK("https://platform.v2.vetology.net/report/v/final/"&amp;2719621, 2719621)</f>
        <v>2719621</v>
      </c>
      <c r="D2343" s="2" t="s">
        <v>7530</v>
      </c>
      <c r="E2343" s="2" t="s">
        <v>7531</v>
      </c>
      <c r="F2343" s="2" t="s">
        <v>7532</v>
      </c>
      <c r="G2343" s="2" t="s">
        <v>53</v>
      </c>
      <c r="H2343" s="2" t="s">
        <v>265</v>
      </c>
      <c r="I2343" s="2" t="s">
        <v>36</v>
      </c>
      <c r="J2343" s="2" t="s">
        <v>37</v>
      </c>
      <c r="K2343" s="2" t="s">
        <v>39</v>
      </c>
      <c r="L2343" s="2" t="s">
        <v>39</v>
      </c>
      <c r="M2343" s="2" t="s">
        <v>38</v>
      </c>
      <c r="N2343" s="2" t="s">
        <v>39</v>
      </c>
      <c r="O2343" s="2" t="s">
        <v>39</v>
      </c>
      <c r="P2343" s="2" t="s">
        <v>39</v>
      </c>
      <c r="Q2343" s="2" t="s">
        <v>39</v>
      </c>
      <c r="R2343" s="2" t="s">
        <v>39</v>
      </c>
      <c r="S2343" s="2" t="s">
        <v>39</v>
      </c>
      <c r="T2343" s="2" t="s">
        <v>39</v>
      </c>
      <c r="U2343" s="2" t="s">
        <v>39</v>
      </c>
      <c r="V2343" s="2" t="s">
        <v>39</v>
      </c>
      <c r="W2343" s="2" t="s">
        <v>38</v>
      </c>
      <c r="X2343" s="2" t="s">
        <v>39</v>
      </c>
      <c r="Y2343" s="2" t="s">
        <v>39</v>
      </c>
      <c r="Z2343" s="2" t="s">
        <v>39</v>
      </c>
      <c r="AA2343" s="2" t="s">
        <v>39</v>
      </c>
      <c r="AB2343" s="2" t="s">
        <v>39</v>
      </c>
      <c r="AC2343" s="2" t="s">
        <v>38</v>
      </c>
      <c r="AD2343" s="2" t="s">
        <v>39</v>
      </c>
      <c r="AE2343" s="2" t="s">
        <v>39</v>
      </c>
    </row>
    <row r="2344" spans="1:31" ht="409.5">
      <c r="A2344" s="2">
        <v>2719611</v>
      </c>
      <c r="B2344" s="2">
        <f>HYPERLINK("https://platform.v2.vetology.net/cases/2719611/screening-report/1?type=pdf&amp;v=v6&amp;scorecard=1&amp;secret_key=BX%25IJ%24%2F65ieZ%29f6", 2719611)</f>
        <v>2719611</v>
      </c>
      <c r="C2344" s="2">
        <f>HYPERLINK("https://platform.v2.vetology.net/report/v/final/"&amp;2719611, 2719611)</f>
        <v>2719611</v>
      </c>
      <c r="D2344" s="2" t="s">
        <v>7533</v>
      </c>
      <c r="E2344" s="2" t="s">
        <v>7534</v>
      </c>
      <c r="F2344" s="2" t="s">
        <v>7535</v>
      </c>
      <c r="G2344" s="2" t="s">
        <v>127</v>
      </c>
      <c r="H2344" s="2" t="s">
        <v>7536</v>
      </c>
      <c r="I2344" s="2" t="s">
        <v>73</v>
      </c>
      <c r="J2344" s="2" t="s">
        <v>74</v>
      </c>
      <c r="K2344" s="2" t="s">
        <v>38</v>
      </c>
      <c r="L2344" s="2" t="s">
        <v>38</v>
      </c>
      <c r="M2344" s="2" t="s">
        <v>38</v>
      </c>
      <c r="N2344" s="2" t="s">
        <v>38</v>
      </c>
      <c r="O2344" s="2" t="s">
        <v>38</v>
      </c>
      <c r="P2344" s="2" t="s">
        <v>39</v>
      </c>
      <c r="Q2344" s="2" t="s">
        <v>38</v>
      </c>
      <c r="R2344" s="2" t="s">
        <v>38</v>
      </c>
      <c r="S2344" s="2" t="s">
        <v>38</v>
      </c>
      <c r="T2344" s="2" t="s">
        <v>39</v>
      </c>
      <c r="U2344" s="2" t="s">
        <v>38</v>
      </c>
      <c r="V2344" s="2" t="s">
        <v>38</v>
      </c>
      <c r="W2344" s="2" t="s">
        <v>38</v>
      </c>
      <c r="X2344" s="2" t="s">
        <v>38</v>
      </c>
      <c r="Y2344" s="2" t="s">
        <v>39</v>
      </c>
      <c r="Z2344" s="2" t="s">
        <v>38</v>
      </c>
      <c r="AA2344" s="2" t="s">
        <v>38</v>
      </c>
      <c r="AB2344" s="2" t="s">
        <v>38</v>
      </c>
      <c r="AC2344" s="2" t="s">
        <v>38</v>
      </c>
      <c r="AD2344" s="2" t="s">
        <v>39</v>
      </c>
      <c r="AE2344" s="2" t="s">
        <v>40</v>
      </c>
    </row>
    <row r="2345" spans="1:31" ht="409.5">
      <c r="A2345" s="2">
        <v>2719522</v>
      </c>
      <c r="B2345" s="2">
        <f>HYPERLINK("https://platform.v2.vetology.net/cases/2719522/screening-report/1?type=pdf&amp;v=v6&amp;scorecard=1&amp;secret_key=BX%25IJ%24%2F65ieZ%29f6", 2719522)</f>
        <v>2719522</v>
      </c>
      <c r="C2345" s="2">
        <f>HYPERLINK("https://platform.v2.vetology.net/report/v/final/"&amp;2719522, 2719522)</f>
        <v>2719522</v>
      </c>
      <c r="D2345" s="2" t="s">
        <v>7537</v>
      </c>
      <c r="E2345" s="2" t="s">
        <v>7538</v>
      </c>
      <c r="F2345" s="2"/>
      <c r="G2345" s="2" t="s">
        <v>507</v>
      </c>
      <c r="H2345" s="2" t="s">
        <v>1665</v>
      </c>
      <c r="I2345" s="2" t="s">
        <v>36</v>
      </c>
      <c r="J2345" s="2" t="s">
        <v>37</v>
      </c>
      <c r="K2345" s="2" t="s">
        <v>38</v>
      </c>
      <c r="L2345" s="2" t="s">
        <v>39</v>
      </c>
      <c r="M2345" s="2" t="s">
        <v>39</v>
      </c>
      <c r="N2345" s="2" t="s">
        <v>38</v>
      </c>
      <c r="O2345" s="2" t="s">
        <v>38</v>
      </c>
      <c r="P2345" s="2" t="s">
        <v>39</v>
      </c>
      <c r="Q2345" s="2" t="s">
        <v>39</v>
      </c>
      <c r="R2345" s="2" t="s">
        <v>38</v>
      </c>
      <c r="S2345" s="2" t="s">
        <v>39</v>
      </c>
      <c r="T2345" s="2" t="s">
        <v>39</v>
      </c>
      <c r="U2345" s="2" t="s">
        <v>39</v>
      </c>
      <c r="V2345" s="2" t="s">
        <v>38</v>
      </c>
      <c r="W2345" s="2" t="s">
        <v>38</v>
      </c>
      <c r="X2345" s="2" t="s">
        <v>39</v>
      </c>
      <c r="Y2345" s="2" t="s">
        <v>39</v>
      </c>
      <c r="Z2345" s="2" t="s">
        <v>39</v>
      </c>
      <c r="AA2345" s="2" t="s">
        <v>39</v>
      </c>
      <c r="AB2345" s="2" t="s">
        <v>39</v>
      </c>
      <c r="AC2345" s="2" t="s">
        <v>38</v>
      </c>
      <c r="AD2345" s="2" t="s">
        <v>39</v>
      </c>
      <c r="AE2345" s="2" t="s">
        <v>39</v>
      </c>
    </row>
    <row r="2346" spans="1:31" ht="409.5">
      <c r="A2346" s="2">
        <v>2719500</v>
      </c>
      <c r="B2346" s="2">
        <f>HYPERLINK("https://platform.v2.vetology.net/cases/2719500/screening-report/1?type=pdf&amp;v=v6&amp;scorecard=1&amp;secret_key=BX%25IJ%24%2F65ieZ%29f6", 2719500)</f>
        <v>2719500</v>
      </c>
      <c r="C2346" s="2">
        <f>HYPERLINK("https://platform.v2.vetology.net/report/v/final/"&amp;2719500, 2719500)</f>
        <v>2719500</v>
      </c>
      <c r="D2346" s="2" t="s">
        <v>7539</v>
      </c>
      <c r="E2346" s="2" t="s">
        <v>7540</v>
      </c>
      <c r="F2346" s="2" t="s">
        <v>7541</v>
      </c>
      <c r="G2346" s="2" t="s">
        <v>53</v>
      </c>
      <c r="H2346" s="2" t="s">
        <v>7542</v>
      </c>
      <c r="I2346" s="2" t="s">
        <v>73</v>
      </c>
      <c r="J2346" s="2" t="s">
        <v>74</v>
      </c>
      <c r="K2346" s="2" t="s">
        <v>38</v>
      </c>
      <c r="L2346" s="2" t="s">
        <v>38</v>
      </c>
      <c r="M2346" s="2" t="s">
        <v>38</v>
      </c>
      <c r="N2346" s="2" t="s">
        <v>38</v>
      </c>
      <c r="O2346" s="2" t="s">
        <v>38</v>
      </c>
      <c r="P2346" s="2" t="s">
        <v>38</v>
      </c>
      <c r="Q2346" s="2" t="s">
        <v>38</v>
      </c>
      <c r="R2346" s="2" t="s">
        <v>38</v>
      </c>
      <c r="S2346" s="2" t="s">
        <v>38</v>
      </c>
      <c r="T2346" s="2" t="s">
        <v>38</v>
      </c>
      <c r="U2346" s="2" t="s">
        <v>38</v>
      </c>
      <c r="V2346" s="2" t="s">
        <v>38</v>
      </c>
      <c r="W2346" s="2" t="s">
        <v>38</v>
      </c>
      <c r="X2346" s="2" t="s">
        <v>38</v>
      </c>
      <c r="Y2346" s="2" t="s">
        <v>38</v>
      </c>
      <c r="Z2346" s="2" t="s">
        <v>38</v>
      </c>
      <c r="AA2346" s="2" t="s">
        <v>38</v>
      </c>
      <c r="AB2346" s="2" t="s">
        <v>38</v>
      </c>
      <c r="AC2346" s="2" t="s">
        <v>38</v>
      </c>
      <c r="AD2346" s="2" t="s">
        <v>39</v>
      </c>
      <c r="AE2346" s="2" t="s">
        <v>39</v>
      </c>
    </row>
    <row r="2347" spans="1:31" ht="409.5">
      <c r="A2347" s="2">
        <v>2719495</v>
      </c>
      <c r="B2347" s="2">
        <f>HYPERLINK("https://platform.v2.vetology.net/cases/2719495/screening-report/1?type=pdf&amp;v=v6&amp;scorecard=1&amp;secret_key=BX%25IJ%24%2F65ieZ%29f6", 2719495)</f>
        <v>2719495</v>
      </c>
      <c r="C2347" s="2">
        <f>HYPERLINK("https://platform.v2.vetology.net/report/v/final/"&amp;2719495, 2719495)</f>
        <v>2719495</v>
      </c>
      <c r="D2347" s="2" t="s">
        <v>7543</v>
      </c>
      <c r="E2347" s="2" t="s">
        <v>7544</v>
      </c>
      <c r="F2347" s="2" t="s">
        <v>7545</v>
      </c>
      <c r="G2347" s="2" t="s">
        <v>53</v>
      </c>
      <c r="H2347" s="2" t="s">
        <v>7546</v>
      </c>
      <c r="I2347" s="2" t="s">
        <v>129</v>
      </c>
      <c r="J2347" s="2" t="s">
        <v>74</v>
      </c>
      <c r="K2347" s="2" t="s">
        <v>39</v>
      </c>
      <c r="L2347" s="2" t="s">
        <v>38</v>
      </c>
      <c r="M2347" s="2" t="s">
        <v>38</v>
      </c>
      <c r="N2347" s="2" t="s">
        <v>39</v>
      </c>
      <c r="O2347" s="2" t="s">
        <v>38</v>
      </c>
      <c r="P2347" s="2" t="s">
        <v>39</v>
      </c>
      <c r="Q2347" s="2" t="s">
        <v>38</v>
      </c>
      <c r="R2347" s="2" t="s">
        <v>38</v>
      </c>
      <c r="S2347" s="2" t="s">
        <v>38</v>
      </c>
      <c r="T2347" s="2" t="s">
        <v>39</v>
      </c>
      <c r="U2347" s="2" t="s">
        <v>39</v>
      </c>
      <c r="V2347" s="2" t="s">
        <v>39</v>
      </c>
      <c r="W2347" s="2" t="s">
        <v>38</v>
      </c>
      <c r="X2347" s="2" t="s">
        <v>38</v>
      </c>
      <c r="Y2347" s="2" t="s">
        <v>39</v>
      </c>
      <c r="Z2347" s="2" t="s">
        <v>38</v>
      </c>
      <c r="AA2347" s="2" t="s">
        <v>38</v>
      </c>
      <c r="AB2347" s="2" t="s">
        <v>39</v>
      </c>
      <c r="AC2347" s="2" t="s">
        <v>38</v>
      </c>
      <c r="AD2347" s="2" t="s">
        <v>38</v>
      </c>
      <c r="AE2347" s="2"/>
    </row>
    <row r="2348" spans="1:31" ht="409.5">
      <c r="A2348" s="2">
        <v>2719477</v>
      </c>
      <c r="B2348" s="2">
        <f>HYPERLINK("https://platform.v2.vetology.net/cases/2719477/screening-report/1?type=pdf&amp;v=v6&amp;scorecard=1&amp;secret_key=BX%25IJ%24%2F65ieZ%29f6", 2719477)</f>
        <v>2719477</v>
      </c>
      <c r="C2348" s="2">
        <f>HYPERLINK("https://platform.v2.vetology.net/report/v/final/"&amp;2719477, 2719477)</f>
        <v>2719477</v>
      </c>
      <c r="D2348" s="2" t="s">
        <v>7547</v>
      </c>
      <c r="E2348" s="2" t="s">
        <v>7548</v>
      </c>
      <c r="F2348" s="2" t="s">
        <v>7549</v>
      </c>
      <c r="G2348" s="2" t="s">
        <v>111</v>
      </c>
      <c r="H2348" s="2" t="s">
        <v>1729</v>
      </c>
      <c r="I2348" s="2" t="s">
        <v>59</v>
      </c>
      <c r="J2348" s="2" t="s">
        <v>37</v>
      </c>
      <c r="K2348" s="2" t="s">
        <v>39</v>
      </c>
      <c r="L2348" s="2" t="s">
        <v>38</v>
      </c>
      <c r="M2348" s="2" t="s">
        <v>39</v>
      </c>
      <c r="N2348" s="2" t="s">
        <v>38</v>
      </c>
      <c r="O2348" s="2" t="s">
        <v>39</v>
      </c>
      <c r="P2348" s="2" t="s">
        <v>39</v>
      </c>
      <c r="Q2348" s="2" t="s">
        <v>39</v>
      </c>
      <c r="R2348" s="2" t="s">
        <v>38</v>
      </c>
      <c r="S2348" s="2" t="s">
        <v>39</v>
      </c>
      <c r="T2348" s="2" t="s">
        <v>39</v>
      </c>
      <c r="U2348" s="2" t="s">
        <v>38</v>
      </c>
      <c r="V2348" s="2" t="s">
        <v>39</v>
      </c>
      <c r="W2348" s="2" t="s">
        <v>38</v>
      </c>
      <c r="X2348" s="2" t="s">
        <v>39</v>
      </c>
      <c r="Y2348" s="2" t="s">
        <v>38</v>
      </c>
      <c r="Z2348" s="2" t="s">
        <v>39</v>
      </c>
      <c r="AA2348" s="2" t="s">
        <v>38</v>
      </c>
      <c r="AB2348" s="2" t="s">
        <v>39</v>
      </c>
      <c r="AC2348" s="2" t="s">
        <v>38</v>
      </c>
      <c r="AD2348" s="2" t="s">
        <v>38</v>
      </c>
      <c r="AE2348" s="2"/>
    </row>
    <row r="2349" spans="1:31" ht="409.5">
      <c r="A2349" s="2">
        <v>2719474</v>
      </c>
      <c r="B2349" s="2">
        <f>HYPERLINK("https://platform.v2.vetology.net/cases/2719474/screening-report/1?type=pdf&amp;v=v6&amp;scorecard=1&amp;secret_key=BX%25IJ%24%2F65ieZ%29f6", 2719474)</f>
        <v>2719474</v>
      </c>
      <c r="C2349" s="2">
        <f>HYPERLINK("https://platform.v2.vetology.net/report/v/final/"&amp;2719474, 2719474)</f>
        <v>2719474</v>
      </c>
      <c r="D2349" s="2" t="s">
        <v>7550</v>
      </c>
      <c r="E2349" s="2" t="s">
        <v>7551</v>
      </c>
      <c r="F2349" s="2" t="s">
        <v>7552</v>
      </c>
      <c r="G2349" s="2" t="s">
        <v>127</v>
      </c>
      <c r="H2349" s="2" t="s">
        <v>7553</v>
      </c>
      <c r="I2349" s="2" t="s">
        <v>36</v>
      </c>
      <c r="J2349" s="2" t="s">
        <v>37</v>
      </c>
      <c r="K2349" s="2" t="s">
        <v>38</v>
      </c>
      <c r="L2349" s="2" t="s">
        <v>38</v>
      </c>
      <c r="M2349" s="2" t="s">
        <v>38</v>
      </c>
      <c r="N2349" s="2" t="s">
        <v>38</v>
      </c>
      <c r="O2349" s="2" t="s">
        <v>38</v>
      </c>
      <c r="P2349" s="2" t="s">
        <v>39</v>
      </c>
      <c r="Q2349" s="2" t="s">
        <v>39</v>
      </c>
      <c r="R2349" s="2" t="s">
        <v>39</v>
      </c>
      <c r="S2349" s="2" t="s">
        <v>38</v>
      </c>
      <c r="T2349" s="2" t="s">
        <v>39</v>
      </c>
      <c r="U2349" s="2" t="s">
        <v>38</v>
      </c>
      <c r="V2349" s="2" t="s">
        <v>38</v>
      </c>
      <c r="W2349" s="2" t="s">
        <v>38</v>
      </c>
      <c r="X2349" s="2" t="s">
        <v>39</v>
      </c>
      <c r="Y2349" s="2" t="s">
        <v>39</v>
      </c>
      <c r="Z2349" s="2" t="s">
        <v>38</v>
      </c>
      <c r="AA2349" s="2" t="s">
        <v>39</v>
      </c>
      <c r="AB2349" s="2" t="s">
        <v>39</v>
      </c>
      <c r="AC2349" s="2" t="s">
        <v>38</v>
      </c>
      <c r="AD2349" s="2" t="s">
        <v>38</v>
      </c>
      <c r="AE2349" s="2" t="s">
        <v>39</v>
      </c>
    </row>
    <row r="2350" spans="1:31" ht="409.5">
      <c r="A2350" s="2">
        <v>2719465</v>
      </c>
      <c r="B2350" s="2">
        <f>HYPERLINK("https://platform.v2.vetology.net/cases/2719465/screening-report/1?type=pdf&amp;v=v6&amp;scorecard=1&amp;secret_key=BX%25IJ%24%2F65ieZ%29f6", 2719465)</f>
        <v>2719465</v>
      </c>
      <c r="C2350" s="2">
        <f>HYPERLINK("https://platform.v2.vetology.net/report/v/final/"&amp;2719465, 2719465)</f>
        <v>2719465</v>
      </c>
      <c r="D2350" s="2" t="s">
        <v>7554</v>
      </c>
      <c r="E2350" s="2" t="s">
        <v>7555</v>
      </c>
      <c r="F2350" s="2" t="s">
        <v>7556</v>
      </c>
      <c r="G2350" s="2" t="s">
        <v>53</v>
      </c>
      <c r="H2350" s="2" t="s">
        <v>398</v>
      </c>
      <c r="I2350" s="2" t="s">
        <v>46</v>
      </c>
      <c r="J2350" s="2"/>
      <c r="K2350" s="2" t="s">
        <v>38</v>
      </c>
      <c r="L2350" s="2" t="s">
        <v>39</v>
      </c>
      <c r="M2350" s="2" t="s">
        <v>39</v>
      </c>
      <c r="N2350" s="2" t="s">
        <v>39</v>
      </c>
      <c r="O2350" s="2" t="s">
        <v>39</v>
      </c>
      <c r="P2350" s="2" t="s">
        <v>39</v>
      </c>
      <c r="Q2350" s="2" t="s">
        <v>39</v>
      </c>
      <c r="R2350" s="2" t="s">
        <v>39</v>
      </c>
      <c r="S2350" s="2" t="s">
        <v>39</v>
      </c>
      <c r="T2350" s="2" t="s">
        <v>39</v>
      </c>
      <c r="U2350" s="2" t="s">
        <v>38</v>
      </c>
      <c r="V2350" s="2" t="s">
        <v>38</v>
      </c>
      <c r="W2350" s="2" t="s">
        <v>39</v>
      </c>
      <c r="X2350" s="2" t="s">
        <v>39</v>
      </c>
      <c r="Y2350" s="2" t="s">
        <v>39</v>
      </c>
      <c r="Z2350" s="2" t="s">
        <v>39</v>
      </c>
      <c r="AA2350" s="2" t="s">
        <v>39</v>
      </c>
      <c r="AB2350" s="2" t="s">
        <v>39</v>
      </c>
      <c r="AC2350" s="2" t="s">
        <v>39</v>
      </c>
      <c r="AD2350" s="2" t="s">
        <v>39</v>
      </c>
      <c r="AE2350" s="2" t="s">
        <v>39</v>
      </c>
    </row>
    <row r="2351" spans="1:31" ht="409.5">
      <c r="A2351" s="2">
        <v>2719452</v>
      </c>
      <c r="B2351" s="2">
        <f>HYPERLINK("https://platform.v2.vetology.net/cases/2719452/screening-report/1?type=pdf&amp;v=v6&amp;scorecard=1&amp;secret_key=BX%25IJ%24%2F65ieZ%29f6", 2719452)</f>
        <v>2719452</v>
      </c>
      <c r="C2351" s="2">
        <f>HYPERLINK("https://platform.v2.vetology.net/report/v/final/"&amp;2719452, 2719452)</f>
        <v>2719452</v>
      </c>
      <c r="D2351" s="2" t="s">
        <v>7557</v>
      </c>
      <c r="E2351" s="2" t="s">
        <v>7558</v>
      </c>
      <c r="F2351" s="2" t="s">
        <v>7559</v>
      </c>
      <c r="G2351" s="2" t="s">
        <v>170</v>
      </c>
      <c r="H2351" s="2" t="s">
        <v>265</v>
      </c>
      <c r="I2351" s="2" t="s">
        <v>36</v>
      </c>
      <c r="J2351" s="2" t="s">
        <v>37</v>
      </c>
      <c r="K2351" s="2" t="s">
        <v>39</v>
      </c>
      <c r="L2351" s="2" t="s">
        <v>39</v>
      </c>
      <c r="M2351" s="2" t="s">
        <v>38</v>
      </c>
      <c r="N2351" s="2" t="s">
        <v>39</v>
      </c>
      <c r="O2351" s="2" t="s">
        <v>39</v>
      </c>
      <c r="P2351" s="2" t="s">
        <v>39</v>
      </c>
      <c r="Q2351" s="2" t="s">
        <v>39</v>
      </c>
      <c r="R2351" s="2" t="s">
        <v>39</v>
      </c>
      <c r="S2351" s="2" t="s">
        <v>39</v>
      </c>
      <c r="T2351" s="2" t="s">
        <v>39</v>
      </c>
      <c r="U2351" s="2" t="s">
        <v>39</v>
      </c>
      <c r="V2351" s="2" t="s">
        <v>39</v>
      </c>
      <c r="W2351" s="2" t="s">
        <v>39</v>
      </c>
      <c r="X2351" s="2" t="s">
        <v>39</v>
      </c>
      <c r="Y2351" s="2" t="s">
        <v>39</v>
      </c>
      <c r="Z2351" s="2" t="s">
        <v>39</v>
      </c>
      <c r="AA2351" s="2" t="s">
        <v>39</v>
      </c>
      <c r="AB2351" s="2" t="s">
        <v>39</v>
      </c>
      <c r="AC2351" s="2" t="s">
        <v>39</v>
      </c>
      <c r="AD2351" s="2" t="s">
        <v>39</v>
      </c>
      <c r="AE2351" s="2" t="s">
        <v>39</v>
      </c>
    </row>
    <row r="2352" spans="1:31" ht="409.5">
      <c r="A2352" s="2">
        <v>2719448</v>
      </c>
      <c r="B2352" s="2">
        <f>HYPERLINK("https://platform.v2.vetology.net/cases/2719448/screening-report/1?type=pdf&amp;v=v6&amp;scorecard=1&amp;secret_key=BX%25IJ%24%2F65ieZ%29f6", 2719448)</f>
        <v>2719448</v>
      </c>
      <c r="C2352" s="2">
        <f>HYPERLINK("https://platform.v2.vetology.net/report/v/final/"&amp;2719448, 2719448)</f>
        <v>2719448</v>
      </c>
      <c r="D2352" s="2" t="s">
        <v>7560</v>
      </c>
      <c r="E2352" s="2" t="s">
        <v>7561</v>
      </c>
      <c r="F2352" s="2" t="s">
        <v>7562</v>
      </c>
      <c r="G2352" s="2" t="s">
        <v>127</v>
      </c>
      <c r="H2352" s="2" t="s">
        <v>7563</v>
      </c>
      <c r="I2352" s="2" t="s">
        <v>129</v>
      </c>
      <c r="J2352" s="2" t="s">
        <v>74</v>
      </c>
      <c r="K2352" s="2" t="s">
        <v>38</v>
      </c>
      <c r="L2352" s="2" t="s">
        <v>39</v>
      </c>
      <c r="M2352" s="2" t="s">
        <v>38</v>
      </c>
      <c r="N2352" s="2" t="s">
        <v>38</v>
      </c>
      <c r="O2352" s="2" t="s">
        <v>38</v>
      </c>
      <c r="P2352" s="2" t="s">
        <v>39</v>
      </c>
      <c r="Q2352" s="2" t="s">
        <v>38</v>
      </c>
      <c r="R2352" s="2" t="s">
        <v>38</v>
      </c>
      <c r="S2352" s="2" t="s">
        <v>38</v>
      </c>
      <c r="T2352" s="2" t="s">
        <v>39</v>
      </c>
      <c r="U2352" s="2" t="s">
        <v>39</v>
      </c>
      <c r="V2352" s="2" t="s">
        <v>38</v>
      </c>
      <c r="W2352" s="2" t="s">
        <v>38</v>
      </c>
      <c r="X2352" s="2" t="s">
        <v>38</v>
      </c>
      <c r="Y2352" s="2" t="s">
        <v>38</v>
      </c>
      <c r="Z2352" s="2" t="s">
        <v>38</v>
      </c>
      <c r="AA2352" s="2" t="s">
        <v>38</v>
      </c>
      <c r="AB2352" s="2" t="s">
        <v>38</v>
      </c>
      <c r="AC2352" s="2" t="s">
        <v>38</v>
      </c>
      <c r="AD2352" s="2" t="s">
        <v>39</v>
      </c>
      <c r="AE2352" s="2" t="s">
        <v>40</v>
      </c>
    </row>
    <row r="2353" spans="1:31" ht="409.5">
      <c r="A2353" s="2">
        <v>2719444</v>
      </c>
      <c r="B2353" s="2">
        <f>HYPERLINK("https://platform.v2.vetology.net/cases/2719444/screening-report/1?type=pdf&amp;v=v6&amp;scorecard=1&amp;secret_key=BX%25IJ%24%2F65ieZ%29f6", 2719444)</f>
        <v>2719444</v>
      </c>
      <c r="C2353" s="2">
        <f>HYPERLINK("https://platform.v2.vetology.net/report/v/final/"&amp;2719444, 2719444)</f>
        <v>2719444</v>
      </c>
      <c r="D2353" s="2" t="s">
        <v>7564</v>
      </c>
      <c r="E2353" s="2" t="s">
        <v>7565</v>
      </c>
      <c r="F2353" s="2" t="s">
        <v>7566</v>
      </c>
      <c r="G2353" s="2" t="s">
        <v>251</v>
      </c>
      <c r="H2353" s="2" t="s">
        <v>5927</v>
      </c>
      <c r="I2353" s="2" t="s">
        <v>36</v>
      </c>
      <c r="J2353" s="2" t="s">
        <v>37</v>
      </c>
      <c r="K2353" s="2" t="s">
        <v>38</v>
      </c>
      <c r="L2353" s="2" t="s">
        <v>39</v>
      </c>
      <c r="M2353" s="2" t="s">
        <v>38</v>
      </c>
      <c r="N2353" s="2" t="s">
        <v>39</v>
      </c>
      <c r="O2353" s="2" t="s">
        <v>39</v>
      </c>
      <c r="P2353" s="2" t="s">
        <v>39</v>
      </c>
      <c r="Q2353" s="2" t="s">
        <v>39</v>
      </c>
      <c r="R2353" s="2" t="s">
        <v>39</v>
      </c>
      <c r="S2353" s="2" t="s">
        <v>38</v>
      </c>
      <c r="T2353" s="2" t="s">
        <v>38</v>
      </c>
      <c r="U2353" s="2" t="s">
        <v>38</v>
      </c>
      <c r="V2353" s="2" t="s">
        <v>38</v>
      </c>
      <c r="W2353" s="2" t="s">
        <v>38</v>
      </c>
      <c r="X2353" s="2" t="s">
        <v>39</v>
      </c>
      <c r="Y2353" s="2" t="s">
        <v>39</v>
      </c>
      <c r="Z2353" s="2" t="s">
        <v>38</v>
      </c>
      <c r="AA2353" s="2" t="s">
        <v>38</v>
      </c>
      <c r="AB2353" s="2" t="s">
        <v>39</v>
      </c>
      <c r="AC2353" s="2" t="s">
        <v>38</v>
      </c>
      <c r="AD2353" s="2" t="s">
        <v>38</v>
      </c>
      <c r="AE2353" s="2" t="s">
        <v>40</v>
      </c>
    </row>
    <row r="2354" spans="1:31" ht="409.5">
      <c r="A2354" s="2">
        <v>2719434</v>
      </c>
      <c r="B2354" s="2">
        <f>HYPERLINK("https://platform.v2.vetology.net/cases/2719434/screening-report/1?type=pdf&amp;v=v6&amp;scorecard=1&amp;secret_key=BX%25IJ%24%2F65ieZ%29f6", 2719434)</f>
        <v>2719434</v>
      </c>
      <c r="C2354" s="2">
        <f>HYPERLINK("https://platform.v2.vetology.net/report/v/final/"&amp;2719434, 2719434)</f>
        <v>2719434</v>
      </c>
      <c r="D2354" s="2" t="s">
        <v>7567</v>
      </c>
      <c r="E2354" s="2" t="s">
        <v>7568</v>
      </c>
      <c r="F2354" s="2" t="s">
        <v>43</v>
      </c>
      <c r="G2354" s="2" t="s">
        <v>44</v>
      </c>
      <c r="H2354" s="2" t="s">
        <v>7569</v>
      </c>
      <c r="I2354" s="2" t="s">
        <v>129</v>
      </c>
      <c r="J2354" s="2" t="s">
        <v>74</v>
      </c>
      <c r="K2354" s="2" t="s">
        <v>38</v>
      </c>
      <c r="L2354" s="2" t="s">
        <v>38</v>
      </c>
      <c r="M2354" s="2" t="s">
        <v>38</v>
      </c>
      <c r="N2354" s="2" t="s">
        <v>38</v>
      </c>
      <c r="O2354" s="2" t="s">
        <v>38</v>
      </c>
      <c r="P2354" s="2" t="s">
        <v>38</v>
      </c>
      <c r="Q2354" s="2" t="s">
        <v>38</v>
      </c>
      <c r="R2354" s="2" t="s">
        <v>38</v>
      </c>
      <c r="S2354" s="2" t="s">
        <v>38</v>
      </c>
      <c r="T2354" s="2" t="s">
        <v>38</v>
      </c>
      <c r="U2354" s="2" t="s">
        <v>39</v>
      </c>
      <c r="V2354" s="2" t="s">
        <v>38</v>
      </c>
      <c r="W2354" s="2" t="s">
        <v>38</v>
      </c>
      <c r="X2354" s="2" t="s">
        <v>38</v>
      </c>
      <c r="Y2354" s="2" t="s">
        <v>38</v>
      </c>
      <c r="Z2354" s="2" t="s">
        <v>38</v>
      </c>
      <c r="AA2354" s="2" t="s">
        <v>38</v>
      </c>
      <c r="AB2354" s="2" t="s">
        <v>38</v>
      </c>
      <c r="AC2354" s="2" t="s">
        <v>38</v>
      </c>
      <c r="AD2354" s="2" t="s">
        <v>39</v>
      </c>
      <c r="AE2354" s="2" t="s">
        <v>39</v>
      </c>
    </row>
    <row r="2355" spans="1:31" ht="409.5">
      <c r="A2355" s="2">
        <v>2719421</v>
      </c>
      <c r="B2355" s="2">
        <f>HYPERLINK("https://platform.v2.vetology.net/cases/2719421/screening-report/1?type=pdf&amp;v=v6&amp;scorecard=1&amp;secret_key=BX%25IJ%24%2F65ieZ%29f6", 2719421)</f>
        <v>2719421</v>
      </c>
      <c r="C2355" s="2">
        <f>HYPERLINK("https://platform.v2.vetology.net/report/v/final/"&amp;2719421, 2719421)</f>
        <v>2719421</v>
      </c>
      <c r="D2355" s="2" t="s">
        <v>7570</v>
      </c>
      <c r="E2355" s="2" t="s">
        <v>6935</v>
      </c>
      <c r="F2355" s="2" t="s">
        <v>7571</v>
      </c>
      <c r="G2355" s="2" t="s">
        <v>44</v>
      </c>
      <c r="H2355" s="2" t="s">
        <v>7572</v>
      </c>
      <c r="I2355" s="2" t="s">
        <v>36</v>
      </c>
      <c r="J2355" s="2" t="s">
        <v>37</v>
      </c>
      <c r="K2355" s="2" t="s">
        <v>38</v>
      </c>
      <c r="L2355" s="2" t="s">
        <v>39</v>
      </c>
      <c r="M2355" s="2" t="s">
        <v>38</v>
      </c>
      <c r="N2355" s="2" t="s">
        <v>39</v>
      </c>
      <c r="O2355" s="2" t="s">
        <v>38</v>
      </c>
      <c r="P2355" s="2" t="s">
        <v>39</v>
      </c>
      <c r="Q2355" s="2" t="s">
        <v>39</v>
      </c>
      <c r="R2355" s="2" t="s">
        <v>38</v>
      </c>
      <c r="S2355" s="2" t="s">
        <v>38</v>
      </c>
      <c r="T2355" s="2" t="s">
        <v>39</v>
      </c>
      <c r="U2355" s="2" t="s">
        <v>38</v>
      </c>
      <c r="V2355" s="2" t="s">
        <v>38</v>
      </c>
      <c r="W2355" s="2" t="s">
        <v>38</v>
      </c>
      <c r="X2355" s="2" t="s">
        <v>39</v>
      </c>
      <c r="Y2355" s="2" t="s">
        <v>39</v>
      </c>
      <c r="Z2355" s="2" t="s">
        <v>38</v>
      </c>
      <c r="AA2355" s="2" t="s">
        <v>39</v>
      </c>
      <c r="AB2355" s="2" t="s">
        <v>39</v>
      </c>
      <c r="AC2355" s="2" t="s">
        <v>38</v>
      </c>
      <c r="AD2355" s="2" t="s">
        <v>38</v>
      </c>
      <c r="AE2355" s="2" t="s">
        <v>39</v>
      </c>
    </row>
    <row r="2356" spans="1:31" ht="409.5">
      <c r="A2356" s="2">
        <v>2719404</v>
      </c>
      <c r="B2356" s="2">
        <f>HYPERLINK("https://platform.v2.vetology.net/cases/2719404/screening-report/1?type=pdf&amp;v=v6&amp;scorecard=1&amp;secret_key=BX%25IJ%24%2F65ieZ%29f6", 2719404)</f>
        <v>2719404</v>
      </c>
      <c r="C2356" s="2">
        <f>HYPERLINK("https://platform.v2.vetology.net/report/v/final/"&amp;2719404, 2719404)</f>
        <v>2719404</v>
      </c>
      <c r="D2356" s="2" t="s">
        <v>7573</v>
      </c>
      <c r="E2356" s="2" t="s">
        <v>7574</v>
      </c>
      <c r="F2356" s="2" t="s">
        <v>7575</v>
      </c>
      <c r="G2356" s="2" t="s">
        <v>44</v>
      </c>
      <c r="H2356" s="2" t="s">
        <v>7576</v>
      </c>
      <c r="I2356" s="2" t="s">
        <v>73</v>
      </c>
      <c r="J2356" s="2" t="s">
        <v>74</v>
      </c>
      <c r="K2356" s="2" t="s">
        <v>38</v>
      </c>
      <c r="L2356" s="2" t="s">
        <v>38</v>
      </c>
      <c r="M2356" s="2" t="s">
        <v>38</v>
      </c>
      <c r="N2356" s="2" t="s">
        <v>38</v>
      </c>
      <c r="O2356" s="2" t="s">
        <v>38</v>
      </c>
      <c r="P2356" s="2" t="s">
        <v>38</v>
      </c>
      <c r="Q2356" s="2" t="s">
        <v>38</v>
      </c>
      <c r="R2356" s="2" t="s">
        <v>38</v>
      </c>
      <c r="S2356" s="2" t="s">
        <v>38</v>
      </c>
      <c r="T2356" s="2" t="s">
        <v>38</v>
      </c>
      <c r="U2356" s="2" t="s">
        <v>38</v>
      </c>
      <c r="V2356" s="2" t="s">
        <v>38</v>
      </c>
      <c r="W2356" s="2" t="s">
        <v>38</v>
      </c>
      <c r="X2356" s="2" t="s">
        <v>38</v>
      </c>
      <c r="Y2356" s="2" t="s">
        <v>38</v>
      </c>
      <c r="Z2356" s="2" t="s">
        <v>38</v>
      </c>
      <c r="AA2356" s="2" t="s">
        <v>38</v>
      </c>
      <c r="AB2356" s="2" t="s">
        <v>38</v>
      </c>
      <c r="AC2356" s="2" t="s">
        <v>38</v>
      </c>
      <c r="AD2356" s="2" t="s">
        <v>38</v>
      </c>
      <c r="AE2356" s="2" t="s">
        <v>40</v>
      </c>
    </row>
    <row r="2357" spans="1:31" ht="409.5">
      <c r="A2357" s="2">
        <v>2719394</v>
      </c>
      <c r="B2357" s="2">
        <f>HYPERLINK("https://platform.v2.vetology.net/cases/2719394/screening-report/1?type=pdf&amp;v=v6&amp;scorecard=1&amp;secret_key=BX%25IJ%24%2F65ieZ%29f6", 2719394)</f>
        <v>2719394</v>
      </c>
      <c r="C2357" s="2">
        <f>HYPERLINK("https://platform.v2.vetology.net/report/v/final/"&amp;2719394, 2719394)</f>
        <v>2719394</v>
      </c>
      <c r="D2357" s="2" t="s">
        <v>7577</v>
      </c>
      <c r="E2357" s="2" t="s">
        <v>7578</v>
      </c>
      <c r="F2357" s="2" t="s">
        <v>7200</v>
      </c>
      <c r="G2357" s="2" t="s">
        <v>170</v>
      </c>
      <c r="H2357" s="2" t="s">
        <v>7579</v>
      </c>
      <c r="I2357" s="2" t="s">
        <v>36</v>
      </c>
      <c r="J2357" s="2" t="s">
        <v>37</v>
      </c>
      <c r="K2357" s="2" t="s">
        <v>38</v>
      </c>
      <c r="L2357" s="2" t="s">
        <v>38</v>
      </c>
      <c r="M2357" s="2" t="s">
        <v>38</v>
      </c>
      <c r="N2357" s="2" t="s">
        <v>38</v>
      </c>
      <c r="O2357" s="2" t="s">
        <v>38</v>
      </c>
      <c r="P2357" s="2" t="s">
        <v>39</v>
      </c>
      <c r="Q2357" s="2" t="s">
        <v>39</v>
      </c>
      <c r="R2357" s="2" t="s">
        <v>38</v>
      </c>
      <c r="S2357" s="2" t="s">
        <v>38</v>
      </c>
      <c r="T2357" s="2" t="s">
        <v>38</v>
      </c>
      <c r="U2357" s="2" t="s">
        <v>38</v>
      </c>
      <c r="V2357" s="2" t="s">
        <v>38</v>
      </c>
      <c r="W2357" s="2" t="s">
        <v>38</v>
      </c>
      <c r="X2357" s="2" t="s">
        <v>39</v>
      </c>
      <c r="Y2357" s="2" t="s">
        <v>38</v>
      </c>
      <c r="Z2357" s="2" t="s">
        <v>38</v>
      </c>
      <c r="AA2357" s="2" t="s">
        <v>38</v>
      </c>
      <c r="AB2357" s="2" t="s">
        <v>39</v>
      </c>
      <c r="AC2357" s="2" t="s">
        <v>38</v>
      </c>
      <c r="AD2357" s="2" t="s">
        <v>38</v>
      </c>
      <c r="AE2357" s="2" t="s">
        <v>40</v>
      </c>
    </row>
    <row r="2358" spans="1:31" ht="409.5">
      <c r="A2358" s="2">
        <v>2719328</v>
      </c>
      <c r="B2358" s="2">
        <f>HYPERLINK("https://platform.v2.vetology.net/cases/2719328/screening-report/1?type=pdf&amp;v=v6&amp;scorecard=1&amp;secret_key=BX%25IJ%24%2F65ieZ%29f6", 2719328)</f>
        <v>2719328</v>
      </c>
      <c r="C2358" s="2">
        <f>HYPERLINK("https://platform.v2.vetology.net/report/v/final/"&amp;2719328, 2719328)</f>
        <v>2719328</v>
      </c>
      <c r="D2358" s="2" t="s">
        <v>7580</v>
      </c>
      <c r="E2358" s="2" t="s">
        <v>7581</v>
      </c>
      <c r="F2358" s="2" t="s">
        <v>3898</v>
      </c>
      <c r="G2358" s="2" t="s">
        <v>170</v>
      </c>
      <c r="H2358" s="2" t="s">
        <v>69</v>
      </c>
      <c r="I2358" s="2" t="s">
        <v>46</v>
      </c>
      <c r="J2358" s="2"/>
      <c r="K2358" s="2" t="s">
        <v>39</v>
      </c>
      <c r="L2358" s="2" t="s">
        <v>39</v>
      </c>
      <c r="M2358" s="2" t="s">
        <v>39</v>
      </c>
      <c r="N2358" s="2" t="s">
        <v>39</v>
      </c>
      <c r="O2358" s="2" t="s">
        <v>38</v>
      </c>
      <c r="P2358" s="2" t="s">
        <v>39</v>
      </c>
      <c r="Q2358" s="2" t="s">
        <v>39</v>
      </c>
      <c r="R2358" s="2" t="s">
        <v>39</v>
      </c>
      <c r="S2358" s="2" t="s">
        <v>39</v>
      </c>
      <c r="T2358" s="2" t="s">
        <v>39</v>
      </c>
      <c r="U2358" s="2" t="s">
        <v>39</v>
      </c>
      <c r="V2358" s="2" t="s">
        <v>39</v>
      </c>
      <c r="W2358" s="2" t="s">
        <v>39</v>
      </c>
      <c r="X2358" s="2" t="s">
        <v>39</v>
      </c>
      <c r="Y2358" s="2" t="s">
        <v>39</v>
      </c>
      <c r="Z2358" s="2" t="s">
        <v>39</v>
      </c>
      <c r="AA2358" s="2" t="s">
        <v>39</v>
      </c>
      <c r="AB2358" s="2" t="s">
        <v>39</v>
      </c>
      <c r="AC2358" s="2" t="s">
        <v>39</v>
      </c>
      <c r="AD2358" s="2" t="s">
        <v>39</v>
      </c>
      <c r="AE2358" s="2" t="s">
        <v>39</v>
      </c>
    </row>
    <row r="2359" spans="1:31" ht="409.5">
      <c r="A2359" s="2">
        <v>2719302</v>
      </c>
      <c r="B2359" s="2">
        <f>HYPERLINK("https://platform.v2.vetology.net/cases/2719302/screening-report/1?type=pdf&amp;v=v6&amp;scorecard=1&amp;secret_key=BX%25IJ%24%2F65ieZ%29f6", 2719302)</f>
        <v>2719302</v>
      </c>
      <c r="C2359" s="2">
        <f>HYPERLINK("https://platform.v2.vetology.net/report/v/final/"&amp;2719302, 2719302)</f>
        <v>2719302</v>
      </c>
      <c r="D2359" s="2" t="s">
        <v>7582</v>
      </c>
      <c r="E2359" s="2" t="s">
        <v>7583</v>
      </c>
      <c r="F2359" s="2"/>
      <c r="G2359" s="2" t="s">
        <v>100</v>
      </c>
      <c r="H2359" s="2" t="s">
        <v>62</v>
      </c>
      <c r="I2359" s="2" t="s">
        <v>46</v>
      </c>
      <c r="J2359" s="2"/>
      <c r="K2359" s="2" t="s">
        <v>39</v>
      </c>
      <c r="L2359" s="2" t="s">
        <v>39</v>
      </c>
      <c r="M2359" s="2" t="s">
        <v>39</v>
      </c>
      <c r="N2359" s="2" t="s">
        <v>39</v>
      </c>
      <c r="O2359" s="2" t="s">
        <v>39</v>
      </c>
      <c r="P2359" s="2" t="s">
        <v>39</v>
      </c>
      <c r="Q2359" s="2" t="s">
        <v>39</v>
      </c>
      <c r="R2359" s="2" t="s">
        <v>38</v>
      </c>
      <c r="S2359" s="2" t="s">
        <v>38</v>
      </c>
      <c r="T2359" s="2" t="s">
        <v>39</v>
      </c>
      <c r="U2359" s="2" t="s">
        <v>39</v>
      </c>
      <c r="V2359" s="2" t="s">
        <v>39</v>
      </c>
      <c r="W2359" s="2" t="s">
        <v>38</v>
      </c>
      <c r="X2359" s="2" t="s">
        <v>39</v>
      </c>
      <c r="Y2359" s="2" t="s">
        <v>39</v>
      </c>
      <c r="Z2359" s="2" t="s">
        <v>39</v>
      </c>
      <c r="AA2359" s="2" t="s">
        <v>39</v>
      </c>
      <c r="AB2359" s="2" t="s">
        <v>39</v>
      </c>
      <c r="AC2359" s="2" t="s">
        <v>38</v>
      </c>
      <c r="AD2359" s="2" t="s">
        <v>38</v>
      </c>
      <c r="AE2359" s="2" t="s">
        <v>39</v>
      </c>
    </row>
    <row r="2360" spans="1:31" ht="409.5">
      <c r="A2360" s="2">
        <v>2719287</v>
      </c>
      <c r="B2360" s="2">
        <f>HYPERLINK("https://platform.v2.vetology.net/cases/2719287/screening-report/1?type=pdf&amp;v=v6&amp;scorecard=1&amp;secret_key=BX%25IJ%24%2F65ieZ%29f6", 2719287)</f>
        <v>2719287</v>
      </c>
      <c r="C2360" s="2">
        <f>HYPERLINK("https://platform.v2.vetology.net/report/v/final/"&amp;2719287, 2719287)</f>
        <v>2719287</v>
      </c>
      <c r="D2360" s="2" t="s">
        <v>7584</v>
      </c>
      <c r="E2360" s="2" t="s">
        <v>7585</v>
      </c>
      <c r="F2360" s="2" t="s">
        <v>7586</v>
      </c>
      <c r="G2360" s="2" t="s">
        <v>170</v>
      </c>
      <c r="H2360" s="2" t="s">
        <v>530</v>
      </c>
      <c r="I2360" s="2" t="s">
        <v>59</v>
      </c>
      <c r="J2360" s="2" t="s">
        <v>37</v>
      </c>
      <c r="K2360" s="2" t="s">
        <v>38</v>
      </c>
      <c r="L2360" s="2" t="s">
        <v>39</v>
      </c>
      <c r="M2360" s="2" t="s">
        <v>39</v>
      </c>
      <c r="N2360" s="2" t="s">
        <v>39</v>
      </c>
      <c r="O2360" s="2" t="s">
        <v>39</v>
      </c>
      <c r="P2360" s="2" t="s">
        <v>39</v>
      </c>
      <c r="Q2360" s="2" t="s">
        <v>39</v>
      </c>
      <c r="R2360" s="2" t="s">
        <v>39</v>
      </c>
      <c r="S2360" s="2" t="s">
        <v>39</v>
      </c>
      <c r="T2360" s="2" t="s">
        <v>39</v>
      </c>
      <c r="U2360" s="2" t="s">
        <v>38</v>
      </c>
      <c r="V2360" s="2" t="s">
        <v>38</v>
      </c>
      <c r="W2360" s="2" t="s">
        <v>39</v>
      </c>
      <c r="X2360" s="2" t="s">
        <v>39</v>
      </c>
      <c r="Y2360" s="2" t="s">
        <v>39</v>
      </c>
      <c r="Z2360" s="2" t="s">
        <v>38</v>
      </c>
      <c r="AA2360" s="2" t="s">
        <v>38</v>
      </c>
      <c r="AB2360" s="2" t="s">
        <v>39</v>
      </c>
      <c r="AC2360" s="2" t="s">
        <v>38</v>
      </c>
      <c r="AD2360" s="2" t="s">
        <v>39</v>
      </c>
      <c r="AE2360" s="2" t="s">
        <v>40</v>
      </c>
    </row>
    <row r="2361" spans="1:31" ht="409.5">
      <c r="A2361" s="2">
        <v>2719263</v>
      </c>
      <c r="B2361" s="2">
        <f>HYPERLINK("https://platform.v2.vetology.net/cases/2719263/screening-report/1?type=pdf&amp;v=v6&amp;scorecard=1&amp;secret_key=BX%25IJ%24%2F65ieZ%29f6", 2719263)</f>
        <v>2719263</v>
      </c>
      <c r="C2361" s="2">
        <f>HYPERLINK("https://platform.v2.vetology.net/report/v/final/"&amp;2719263, 2719263)</f>
        <v>2719263</v>
      </c>
      <c r="D2361" s="2" t="s">
        <v>7587</v>
      </c>
      <c r="E2361" s="2" t="s">
        <v>7588</v>
      </c>
      <c r="F2361" s="2" t="s">
        <v>3898</v>
      </c>
      <c r="G2361" s="2" t="s">
        <v>170</v>
      </c>
      <c r="H2361" s="2" t="s">
        <v>3035</v>
      </c>
      <c r="I2361" s="2" t="s">
        <v>36</v>
      </c>
      <c r="J2361" s="2" t="s">
        <v>37</v>
      </c>
      <c r="K2361" s="2" t="s">
        <v>39</v>
      </c>
      <c r="L2361" s="2" t="s">
        <v>39</v>
      </c>
      <c r="M2361" s="2" t="s">
        <v>38</v>
      </c>
      <c r="N2361" s="2" t="s">
        <v>39</v>
      </c>
      <c r="O2361" s="2" t="s">
        <v>39</v>
      </c>
      <c r="P2361" s="2" t="s">
        <v>39</v>
      </c>
      <c r="Q2361" s="2" t="s">
        <v>39</v>
      </c>
      <c r="R2361" s="2" t="s">
        <v>38</v>
      </c>
      <c r="S2361" s="2" t="s">
        <v>39</v>
      </c>
      <c r="T2361" s="2" t="s">
        <v>39</v>
      </c>
      <c r="U2361" s="2" t="s">
        <v>39</v>
      </c>
      <c r="V2361" s="2" t="s">
        <v>39</v>
      </c>
      <c r="W2361" s="2" t="s">
        <v>39</v>
      </c>
      <c r="X2361" s="2" t="s">
        <v>39</v>
      </c>
      <c r="Y2361" s="2" t="s">
        <v>39</v>
      </c>
      <c r="Z2361" s="2" t="s">
        <v>39</v>
      </c>
      <c r="AA2361" s="2" t="s">
        <v>39</v>
      </c>
      <c r="AB2361" s="2" t="s">
        <v>39</v>
      </c>
      <c r="AC2361" s="2" t="s">
        <v>39</v>
      </c>
      <c r="AD2361" s="2" t="s">
        <v>39</v>
      </c>
      <c r="AE2361" s="2" t="s">
        <v>39</v>
      </c>
    </row>
    <row r="2362" spans="1:31" ht="409.5">
      <c r="A2362" s="2">
        <v>2719245</v>
      </c>
      <c r="B2362" s="2">
        <f>HYPERLINK("https://platform.v2.vetology.net/cases/2719245/screening-report/1?type=pdf&amp;v=v6&amp;scorecard=1&amp;secret_key=BX%25IJ%24%2F65ieZ%29f6", 2719245)</f>
        <v>2719245</v>
      </c>
      <c r="C2362" s="2">
        <f>HYPERLINK("https://platform.v2.vetology.net/report/v/final/"&amp;2719245, 2719245)</f>
        <v>2719245</v>
      </c>
      <c r="D2362" s="2" t="s">
        <v>7589</v>
      </c>
      <c r="E2362" s="2" t="s">
        <v>359</v>
      </c>
      <c r="F2362" s="2"/>
      <c r="G2362" s="2" t="s">
        <v>100</v>
      </c>
      <c r="H2362" s="2" t="s">
        <v>7590</v>
      </c>
      <c r="I2362" s="2" t="s">
        <v>36</v>
      </c>
      <c r="J2362" s="2" t="s">
        <v>37</v>
      </c>
      <c r="K2362" s="2" t="s">
        <v>38</v>
      </c>
      <c r="L2362" s="2" t="s">
        <v>38</v>
      </c>
      <c r="M2362" s="2" t="s">
        <v>38</v>
      </c>
      <c r="N2362" s="2" t="s">
        <v>38</v>
      </c>
      <c r="O2362" s="2" t="s">
        <v>39</v>
      </c>
      <c r="P2362" s="2" t="s">
        <v>39</v>
      </c>
      <c r="Q2362" s="2" t="s">
        <v>39</v>
      </c>
      <c r="R2362" s="2" t="s">
        <v>38</v>
      </c>
      <c r="S2362" s="2" t="s">
        <v>39</v>
      </c>
      <c r="T2362" s="2" t="s">
        <v>39</v>
      </c>
      <c r="U2362" s="2" t="s">
        <v>38</v>
      </c>
      <c r="V2362" s="2" t="s">
        <v>38</v>
      </c>
      <c r="W2362" s="2" t="s">
        <v>38</v>
      </c>
      <c r="X2362" s="2" t="s">
        <v>39</v>
      </c>
      <c r="Y2362" s="2" t="s">
        <v>39</v>
      </c>
      <c r="Z2362" s="2" t="s">
        <v>38</v>
      </c>
      <c r="AA2362" s="2" t="s">
        <v>39</v>
      </c>
      <c r="AB2362" s="2" t="s">
        <v>39</v>
      </c>
      <c r="AC2362" s="2" t="s">
        <v>38</v>
      </c>
      <c r="AD2362" s="2" t="s">
        <v>39</v>
      </c>
      <c r="AE2362" s="2" t="s">
        <v>39</v>
      </c>
    </row>
    <row r="2363" spans="1:31" ht="409.5">
      <c r="A2363" s="2">
        <v>2719226</v>
      </c>
      <c r="B2363" s="2">
        <f>HYPERLINK("https://platform.v2.vetology.net/cases/2719226/screening-report/1?type=pdf&amp;v=v6&amp;scorecard=1&amp;secret_key=BX%25IJ%24%2F65ieZ%29f6", 2719226)</f>
        <v>2719226</v>
      </c>
      <c r="C2363" s="2">
        <f>HYPERLINK("https://platform.v2.vetology.net/report/v/final/"&amp;2719226, 2719226)</f>
        <v>2719226</v>
      </c>
      <c r="D2363" s="2" t="s">
        <v>7591</v>
      </c>
      <c r="E2363" s="2" t="s">
        <v>7592</v>
      </c>
      <c r="F2363" s="2" t="s">
        <v>7593</v>
      </c>
      <c r="G2363" s="2" t="s">
        <v>53</v>
      </c>
      <c r="H2363" s="2" t="s">
        <v>7594</v>
      </c>
      <c r="I2363" s="2" t="s">
        <v>257</v>
      </c>
      <c r="J2363" s="2" t="s">
        <v>74</v>
      </c>
      <c r="K2363" s="2" t="s">
        <v>38</v>
      </c>
      <c r="L2363" s="2" t="s">
        <v>38</v>
      </c>
      <c r="M2363" s="2" t="s">
        <v>38</v>
      </c>
      <c r="N2363" s="2" t="s">
        <v>38</v>
      </c>
      <c r="O2363" s="2" t="s">
        <v>38</v>
      </c>
      <c r="P2363" s="2" t="s">
        <v>38</v>
      </c>
      <c r="Q2363" s="2" t="s">
        <v>38</v>
      </c>
      <c r="R2363" s="2" t="s">
        <v>38</v>
      </c>
      <c r="S2363" s="2" t="s">
        <v>38</v>
      </c>
      <c r="T2363" s="2" t="s">
        <v>38</v>
      </c>
      <c r="U2363" s="2" t="s">
        <v>39</v>
      </c>
      <c r="V2363" s="2" t="s">
        <v>38</v>
      </c>
      <c r="W2363" s="2" t="s">
        <v>38</v>
      </c>
      <c r="X2363" s="2" t="s">
        <v>38</v>
      </c>
      <c r="Y2363" s="2" t="s">
        <v>38</v>
      </c>
      <c r="Z2363" s="2" t="s">
        <v>38</v>
      </c>
      <c r="AA2363" s="2" t="s">
        <v>38</v>
      </c>
      <c r="AB2363" s="2" t="s">
        <v>38</v>
      </c>
      <c r="AC2363" s="2" t="s">
        <v>38</v>
      </c>
      <c r="AD2363" s="2" t="s">
        <v>38</v>
      </c>
      <c r="AE2363" s="2" t="s">
        <v>40</v>
      </c>
    </row>
    <row r="2364" spans="1:31" ht="409.5">
      <c r="A2364" s="2">
        <v>2719214</v>
      </c>
      <c r="B2364" s="2">
        <f>HYPERLINK("https://platform.v2.vetology.net/cases/2719214/screening-report/1?type=pdf&amp;v=v6&amp;scorecard=1&amp;secret_key=BX%25IJ%24%2F65ieZ%29f6", 2719214)</f>
        <v>2719214</v>
      </c>
      <c r="C2364" s="2">
        <f>HYPERLINK("https://platform.v2.vetology.net/report/v/final/"&amp;2719214, 2719214)</f>
        <v>2719214</v>
      </c>
      <c r="D2364" s="2" t="s">
        <v>7595</v>
      </c>
      <c r="E2364" s="2" t="s">
        <v>7596</v>
      </c>
      <c r="F2364" s="2"/>
      <c r="G2364" s="2" t="s">
        <v>100</v>
      </c>
      <c r="H2364" s="2" t="s">
        <v>7597</v>
      </c>
      <c r="I2364" s="2" t="s">
        <v>36</v>
      </c>
      <c r="J2364" s="2" t="s">
        <v>37</v>
      </c>
      <c r="K2364" s="2" t="s">
        <v>38</v>
      </c>
      <c r="L2364" s="2" t="s">
        <v>38</v>
      </c>
      <c r="M2364" s="2" t="s">
        <v>38</v>
      </c>
      <c r="N2364" s="2" t="s">
        <v>38</v>
      </c>
      <c r="O2364" s="2" t="s">
        <v>39</v>
      </c>
      <c r="P2364" s="2" t="s">
        <v>39</v>
      </c>
      <c r="Q2364" s="2" t="s">
        <v>39</v>
      </c>
      <c r="R2364" s="2" t="s">
        <v>38</v>
      </c>
      <c r="S2364" s="2" t="s">
        <v>38</v>
      </c>
      <c r="T2364" s="2" t="s">
        <v>39</v>
      </c>
      <c r="U2364" s="2" t="s">
        <v>38</v>
      </c>
      <c r="V2364" s="2" t="s">
        <v>38</v>
      </c>
      <c r="W2364" s="2" t="s">
        <v>38</v>
      </c>
      <c r="X2364" s="2" t="s">
        <v>39</v>
      </c>
      <c r="Y2364" s="2" t="s">
        <v>39</v>
      </c>
      <c r="Z2364" s="2" t="s">
        <v>38</v>
      </c>
      <c r="AA2364" s="2" t="s">
        <v>39</v>
      </c>
      <c r="AB2364" s="2" t="s">
        <v>39</v>
      </c>
      <c r="AC2364" s="2" t="s">
        <v>38</v>
      </c>
      <c r="AD2364" s="2" t="s">
        <v>38</v>
      </c>
      <c r="AE2364" s="2" t="s">
        <v>39</v>
      </c>
    </row>
    <row r="2365" spans="1:31" ht="409.5">
      <c r="A2365" s="2">
        <v>2719104</v>
      </c>
      <c r="B2365" s="2">
        <f>HYPERLINK("https://platform.v2.vetology.net/cases/2719104/screening-report/1?type=pdf&amp;v=v6&amp;scorecard=1&amp;secret_key=BX%25IJ%24%2F65ieZ%29f6", 2719104)</f>
        <v>2719104</v>
      </c>
      <c r="C2365" s="2">
        <f>HYPERLINK("https://platform.v2.vetology.net/report/v/final/"&amp;2719104, 2719104)</f>
        <v>2719104</v>
      </c>
      <c r="D2365" s="2" t="s">
        <v>7598</v>
      </c>
      <c r="E2365" s="2" t="s">
        <v>7599</v>
      </c>
      <c r="F2365" s="2" t="s">
        <v>7600</v>
      </c>
      <c r="G2365" s="2" t="s">
        <v>111</v>
      </c>
      <c r="H2365" s="2" t="s">
        <v>7601</v>
      </c>
      <c r="I2365" s="2" t="s">
        <v>36</v>
      </c>
      <c r="J2365" s="2" t="s">
        <v>37</v>
      </c>
      <c r="K2365" s="2" t="s">
        <v>38</v>
      </c>
      <c r="L2365" s="2" t="s">
        <v>38</v>
      </c>
      <c r="M2365" s="2" t="s">
        <v>38</v>
      </c>
      <c r="N2365" s="2" t="s">
        <v>38</v>
      </c>
      <c r="O2365" s="2" t="s">
        <v>38</v>
      </c>
      <c r="P2365" s="2" t="s">
        <v>38</v>
      </c>
      <c r="Q2365" s="2" t="s">
        <v>39</v>
      </c>
      <c r="R2365" s="2" t="s">
        <v>38</v>
      </c>
      <c r="S2365" s="2" t="s">
        <v>38</v>
      </c>
      <c r="T2365" s="2" t="s">
        <v>38</v>
      </c>
      <c r="U2365" s="2" t="s">
        <v>39</v>
      </c>
      <c r="V2365" s="2" t="s">
        <v>38</v>
      </c>
      <c r="W2365" s="2" t="s">
        <v>38</v>
      </c>
      <c r="X2365" s="2" t="s">
        <v>38</v>
      </c>
      <c r="Y2365" s="2" t="s">
        <v>39</v>
      </c>
      <c r="Z2365" s="2" t="s">
        <v>38</v>
      </c>
      <c r="AA2365" s="2" t="s">
        <v>38</v>
      </c>
      <c r="AB2365" s="2" t="s">
        <v>38</v>
      </c>
      <c r="AC2365" s="2" t="s">
        <v>38</v>
      </c>
      <c r="AD2365" s="2" t="s">
        <v>39</v>
      </c>
      <c r="AE2365" s="2" t="s">
        <v>39</v>
      </c>
    </row>
    <row r="2366" spans="1:31" ht="409.5">
      <c r="A2366" s="2">
        <v>2719096</v>
      </c>
      <c r="B2366" s="2">
        <f>HYPERLINK("https://platform.v2.vetology.net/cases/2719096/screening-report/1?type=pdf&amp;v=v6&amp;scorecard=1&amp;secret_key=BX%25IJ%24%2F65ieZ%29f6", 2719096)</f>
        <v>2719096</v>
      </c>
      <c r="C2366" s="2">
        <f>HYPERLINK("https://platform.v2.vetology.net/report/v/final/"&amp;2719096, 2719096)</f>
        <v>2719096</v>
      </c>
      <c r="D2366" s="2" t="s">
        <v>7602</v>
      </c>
      <c r="E2366" s="2" t="s">
        <v>7603</v>
      </c>
      <c r="F2366" s="2" t="s">
        <v>7604</v>
      </c>
      <c r="G2366" s="2" t="s">
        <v>111</v>
      </c>
      <c r="H2366" s="2" t="s">
        <v>7605</v>
      </c>
      <c r="I2366" s="2" t="s">
        <v>36</v>
      </c>
      <c r="J2366" s="2" t="s">
        <v>37</v>
      </c>
      <c r="K2366" s="2" t="s">
        <v>38</v>
      </c>
      <c r="L2366" s="2" t="s">
        <v>38</v>
      </c>
      <c r="M2366" s="2" t="s">
        <v>38</v>
      </c>
      <c r="N2366" s="2" t="s">
        <v>38</v>
      </c>
      <c r="O2366" s="2" t="s">
        <v>38</v>
      </c>
      <c r="P2366" s="2" t="s">
        <v>38</v>
      </c>
      <c r="Q2366" s="2" t="s">
        <v>38</v>
      </c>
      <c r="R2366" s="2" t="s">
        <v>38</v>
      </c>
      <c r="S2366" s="2" t="s">
        <v>38</v>
      </c>
      <c r="T2366" s="2" t="s">
        <v>38</v>
      </c>
      <c r="U2366" s="2" t="s">
        <v>38</v>
      </c>
      <c r="V2366" s="2" t="s">
        <v>38</v>
      </c>
      <c r="W2366" s="2" t="s">
        <v>38</v>
      </c>
      <c r="X2366" s="2" t="s">
        <v>39</v>
      </c>
      <c r="Y2366" s="2" t="s">
        <v>39</v>
      </c>
      <c r="Z2366" s="2" t="s">
        <v>38</v>
      </c>
      <c r="AA2366" s="2" t="s">
        <v>38</v>
      </c>
      <c r="AB2366" s="2" t="s">
        <v>39</v>
      </c>
      <c r="AC2366" s="2" t="s">
        <v>38</v>
      </c>
      <c r="AD2366" s="2" t="s">
        <v>38</v>
      </c>
      <c r="AE2366" s="2" t="s">
        <v>40</v>
      </c>
    </row>
    <row r="2367" spans="1:31" ht="409.5">
      <c r="A2367" s="2">
        <v>2719094</v>
      </c>
      <c r="B2367" s="2">
        <f>HYPERLINK("https://platform.v2.vetology.net/cases/2719094/screening-report/1?type=pdf&amp;v=v6&amp;scorecard=1&amp;secret_key=BX%25IJ%24%2F65ieZ%29f6", 2719094)</f>
        <v>2719094</v>
      </c>
      <c r="C2367" s="2">
        <f>HYPERLINK("https://platform.v2.vetology.net/report/v/final/"&amp;2719094, 2719094)</f>
        <v>2719094</v>
      </c>
      <c r="D2367" s="2" t="s">
        <v>7606</v>
      </c>
      <c r="E2367" s="2" t="s">
        <v>7607</v>
      </c>
      <c r="F2367" s="2" t="s">
        <v>7608</v>
      </c>
      <c r="G2367" s="2" t="s">
        <v>53</v>
      </c>
      <c r="H2367" s="2" t="s">
        <v>69</v>
      </c>
      <c r="I2367" s="2" t="s">
        <v>46</v>
      </c>
      <c r="J2367" s="2"/>
      <c r="K2367" s="2" t="s">
        <v>39</v>
      </c>
      <c r="L2367" s="2" t="s">
        <v>39</v>
      </c>
      <c r="M2367" s="2" t="s">
        <v>39</v>
      </c>
      <c r="N2367" s="2" t="s">
        <v>39</v>
      </c>
      <c r="O2367" s="2" t="s">
        <v>39</v>
      </c>
      <c r="P2367" s="2" t="s">
        <v>39</v>
      </c>
      <c r="Q2367" s="2" t="s">
        <v>39</v>
      </c>
      <c r="R2367" s="2" t="s">
        <v>39</v>
      </c>
      <c r="S2367" s="2" t="s">
        <v>39</v>
      </c>
      <c r="T2367" s="2" t="s">
        <v>39</v>
      </c>
      <c r="U2367" s="2" t="s">
        <v>39</v>
      </c>
      <c r="V2367" s="2" t="s">
        <v>39</v>
      </c>
      <c r="W2367" s="2" t="s">
        <v>39</v>
      </c>
      <c r="X2367" s="2" t="s">
        <v>39</v>
      </c>
      <c r="Y2367" s="2" t="s">
        <v>39</v>
      </c>
      <c r="Z2367" s="2" t="s">
        <v>39</v>
      </c>
      <c r="AA2367" s="2" t="s">
        <v>39</v>
      </c>
      <c r="AB2367" s="2" t="s">
        <v>39</v>
      </c>
      <c r="AC2367" s="2" t="s">
        <v>39</v>
      </c>
      <c r="AD2367" s="2" t="s">
        <v>39</v>
      </c>
      <c r="AE2367" s="2" t="s">
        <v>40</v>
      </c>
    </row>
    <row r="2368" spans="1:31" ht="409.5">
      <c r="A2368" s="2">
        <v>2719080</v>
      </c>
      <c r="B2368" s="2">
        <f>HYPERLINK("https://platform.v2.vetology.net/cases/2719080/screening-report/1?type=pdf&amp;v=v6&amp;scorecard=1&amp;secret_key=BX%25IJ%24%2F65ieZ%29f6", 2719080)</f>
        <v>2719080</v>
      </c>
      <c r="C2368" s="2">
        <f>HYPERLINK("https://platform.v2.vetology.net/report/v/final/"&amp;2719080, 2719080)</f>
        <v>2719080</v>
      </c>
      <c r="D2368" s="2" t="s">
        <v>7609</v>
      </c>
      <c r="E2368" s="2" t="s">
        <v>7610</v>
      </c>
      <c r="F2368" s="2" t="s">
        <v>43</v>
      </c>
      <c r="G2368" s="2" t="s">
        <v>507</v>
      </c>
      <c r="H2368" s="2" t="s">
        <v>7611</v>
      </c>
      <c r="I2368" s="2" t="s">
        <v>36</v>
      </c>
      <c r="J2368" s="2" t="s">
        <v>37</v>
      </c>
      <c r="K2368" s="2" t="s">
        <v>38</v>
      </c>
      <c r="L2368" s="2" t="s">
        <v>38</v>
      </c>
      <c r="M2368" s="2" t="s">
        <v>38</v>
      </c>
      <c r="N2368" s="2" t="s">
        <v>38</v>
      </c>
      <c r="O2368" s="2" t="s">
        <v>38</v>
      </c>
      <c r="P2368" s="2" t="s">
        <v>38</v>
      </c>
      <c r="Q2368" s="2" t="s">
        <v>39</v>
      </c>
      <c r="R2368" s="2" t="s">
        <v>38</v>
      </c>
      <c r="S2368" s="2" t="s">
        <v>38</v>
      </c>
      <c r="T2368" s="2" t="s">
        <v>38</v>
      </c>
      <c r="U2368" s="2" t="s">
        <v>39</v>
      </c>
      <c r="V2368" s="2" t="s">
        <v>38</v>
      </c>
      <c r="W2368" s="2" t="s">
        <v>38</v>
      </c>
      <c r="X2368" s="2" t="s">
        <v>39</v>
      </c>
      <c r="Y2368" s="2" t="s">
        <v>39</v>
      </c>
      <c r="Z2368" s="2" t="s">
        <v>38</v>
      </c>
      <c r="AA2368" s="2" t="s">
        <v>39</v>
      </c>
      <c r="AB2368" s="2" t="s">
        <v>38</v>
      </c>
      <c r="AC2368" s="2" t="s">
        <v>38</v>
      </c>
      <c r="AD2368" s="2" t="s">
        <v>38</v>
      </c>
      <c r="AE2368" s="2" t="s">
        <v>40</v>
      </c>
    </row>
    <row r="2369" spans="1:31" ht="409.5">
      <c r="A2369" s="2">
        <v>2719074</v>
      </c>
      <c r="B2369" s="2">
        <f>HYPERLINK("https://platform.v2.vetology.net/cases/2719074/screening-report/1?type=pdf&amp;v=v6&amp;scorecard=1&amp;secret_key=BX%25IJ%24%2F65ieZ%29f6", 2719074)</f>
        <v>2719074</v>
      </c>
      <c r="C2369" s="2">
        <f>HYPERLINK("https://platform.v2.vetology.net/report/v/final/"&amp;2719074, 2719074)</f>
        <v>2719074</v>
      </c>
      <c r="D2369" s="2" t="s">
        <v>7612</v>
      </c>
      <c r="E2369" s="2" t="s">
        <v>7613</v>
      </c>
      <c r="F2369" s="2" t="s">
        <v>7614</v>
      </c>
      <c r="G2369" s="2" t="s">
        <v>53</v>
      </c>
      <c r="H2369" s="2" t="s">
        <v>7615</v>
      </c>
      <c r="I2369" s="2" t="s">
        <v>36</v>
      </c>
      <c r="J2369" s="2" t="s">
        <v>37</v>
      </c>
      <c r="K2369" s="2" t="s">
        <v>39</v>
      </c>
      <c r="L2369" s="2" t="s">
        <v>38</v>
      </c>
      <c r="M2369" s="2" t="s">
        <v>38</v>
      </c>
      <c r="N2369" s="2" t="s">
        <v>39</v>
      </c>
      <c r="O2369" s="2" t="s">
        <v>38</v>
      </c>
      <c r="P2369" s="2" t="s">
        <v>39</v>
      </c>
      <c r="Q2369" s="2" t="s">
        <v>39</v>
      </c>
      <c r="R2369" s="2" t="s">
        <v>38</v>
      </c>
      <c r="S2369" s="2" t="s">
        <v>39</v>
      </c>
      <c r="T2369" s="2" t="s">
        <v>39</v>
      </c>
      <c r="U2369" s="2" t="s">
        <v>39</v>
      </c>
      <c r="V2369" s="2" t="s">
        <v>39</v>
      </c>
      <c r="W2369" s="2" t="s">
        <v>39</v>
      </c>
      <c r="X2369" s="2" t="s">
        <v>39</v>
      </c>
      <c r="Y2369" s="2" t="s">
        <v>39</v>
      </c>
      <c r="Z2369" s="2" t="s">
        <v>38</v>
      </c>
      <c r="AA2369" s="2" t="s">
        <v>39</v>
      </c>
      <c r="AB2369" s="2" t="s">
        <v>39</v>
      </c>
      <c r="AC2369" s="2" t="s">
        <v>39</v>
      </c>
      <c r="AD2369" s="2" t="s">
        <v>39</v>
      </c>
      <c r="AE2369" s="2" t="s">
        <v>39</v>
      </c>
    </row>
    <row r="2370" spans="1:31" ht="409.5">
      <c r="A2370" s="2">
        <v>2719066</v>
      </c>
      <c r="B2370" s="2">
        <f>HYPERLINK("https://platform.v2.vetology.net/cases/2719066/screening-report/1?type=pdf&amp;v=v6&amp;scorecard=1&amp;secret_key=BX%25IJ%24%2F65ieZ%29f6", 2719066)</f>
        <v>2719066</v>
      </c>
      <c r="C2370" s="2">
        <f>HYPERLINK("https://platform.v2.vetology.net/report/v/final/"&amp;2719066, 2719066)</f>
        <v>2719066</v>
      </c>
      <c r="D2370" s="2" t="s">
        <v>7616</v>
      </c>
      <c r="E2370" s="2" t="s">
        <v>7617</v>
      </c>
      <c r="F2370" s="2" t="s">
        <v>7618</v>
      </c>
      <c r="G2370" s="2" t="s">
        <v>53</v>
      </c>
      <c r="H2370" s="2" t="s">
        <v>7619</v>
      </c>
      <c r="I2370" s="2" t="s">
        <v>36</v>
      </c>
      <c r="J2370" s="2" t="s">
        <v>37</v>
      </c>
      <c r="K2370" s="2" t="s">
        <v>39</v>
      </c>
      <c r="L2370" s="2" t="s">
        <v>38</v>
      </c>
      <c r="M2370" s="2" t="s">
        <v>38</v>
      </c>
      <c r="N2370" s="2" t="s">
        <v>38</v>
      </c>
      <c r="O2370" s="2" t="s">
        <v>38</v>
      </c>
      <c r="P2370" s="2" t="s">
        <v>39</v>
      </c>
      <c r="Q2370" s="2" t="s">
        <v>39</v>
      </c>
      <c r="R2370" s="2" t="s">
        <v>38</v>
      </c>
      <c r="S2370" s="2" t="s">
        <v>38</v>
      </c>
      <c r="T2370" s="2" t="s">
        <v>38</v>
      </c>
      <c r="U2370" s="2" t="s">
        <v>39</v>
      </c>
      <c r="V2370" s="2" t="s">
        <v>39</v>
      </c>
      <c r="W2370" s="2" t="s">
        <v>38</v>
      </c>
      <c r="X2370" s="2" t="s">
        <v>39</v>
      </c>
      <c r="Y2370" s="2" t="s">
        <v>39</v>
      </c>
      <c r="Z2370" s="2" t="s">
        <v>38</v>
      </c>
      <c r="AA2370" s="2" t="s">
        <v>38</v>
      </c>
      <c r="AB2370" s="2" t="s">
        <v>39</v>
      </c>
      <c r="AC2370" s="2" t="s">
        <v>38</v>
      </c>
      <c r="AD2370" s="2" t="s">
        <v>38</v>
      </c>
      <c r="AE2370" s="2" t="s">
        <v>39</v>
      </c>
    </row>
    <row r="2371" spans="1:31" ht="409.5">
      <c r="A2371" s="2">
        <v>2719047</v>
      </c>
      <c r="B2371" s="2">
        <f>HYPERLINK("https://platform.v2.vetology.net/cases/2719047/screening-report/1?type=pdf&amp;v=v6&amp;scorecard=1&amp;secret_key=BX%25IJ%24%2F65ieZ%29f6", 2719047)</f>
        <v>2719047</v>
      </c>
      <c r="C2371" s="2">
        <f>HYPERLINK("https://platform.v2.vetology.net/report/v/final/"&amp;2719047, 2719047)</f>
        <v>2719047</v>
      </c>
      <c r="D2371" s="2" t="s">
        <v>7620</v>
      </c>
      <c r="E2371" s="2" t="s">
        <v>7621</v>
      </c>
      <c r="F2371" s="2" t="s">
        <v>7622</v>
      </c>
      <c r="G2371" s="2" t="s">
        <v>44</v>
      </c>
      <c r="H2371" s="2" t="s">
        <v>62</v>
      </c>
      <c r="I2371" s="2" t="s">
        <v>46</v>
      </c>
      <c r="J2371" s="2"/>
      <c r="K2371" s="2" t="s">
        <v>39</v>
      </c>
      <c r="L2371" s="2" t="s">
        <v>39</v>
      </c>
      <c r="M2371" s="2" t="s">
        <v>39</v>
      </c>
      <c r="N2371" s="2" t="s">
        <v>39</v>
      </c>
      <c r="O2371" s="2" t="s">
        <v>39</v>
      </c>
      <c r="P2371" s="2" t="s">
        <v>39</v>
      </c>
      <c r="Q2371" s="2" t="s">
        <v>39</v>
      </c>
      <c r="R2371" s="2" t="s">
        <v>38</v>
      </c>
      <c r="S2371" s="2" t="s">
        <v>38</v>
      </c>
      <c r="T2371" s="2" t="s">
        <v>39</v>
      </c>
      <c r="U2371" s="2" t="s">
        <v>38</v>
      </c>
      <c r="V2371" s="2" t="s">
        <v>38</v>
      </c>
      <c r="W2371" s="2" t="s">
        <v>39</v>
      </c>
      <c r="X2371" s="2" t="s">
        <v>39</v>
      </c>
      <c r="Y2371" s="2" t="s">
        <v>39</v>
      </c>
      <c r="Z2371" s="2" t="s">
        <v>39</v>
      </c>
      <c r="AA2371" s="2" t="s">
        <v>38</v>
      </c>
      <c r="AB2371" s="2" t="s">
        <v>39</v>
      </c>
      <c r="AC2371" s="2" t="s">
        <v>38</v>
      </c>
      <c r="AD2371" s="2" t="s">
        <v>38</v>
      </c>
      <c r="AE2371" s="2" t="s">
        <v>39</v>
      </c>
    </row>
    <row r="2372" spans="1:31" ht="409.5">
      <c r="A2372" s="2">
        <v>2719035</v>
      </c>
      <c r="B2372" s="2">
        <f>HYPERLINK("https://platform.v2.vetology.net/cases/2719035/screening-report/1?type=pdf&amp;v=v6&amp;scorecard=1&amp;secret_key=BX%25IJ%24%2F65ieZ%29f6", 2719035)</f>
        <v>2719035</v>
      </c>
      <c r="C2372" s="2">
        <f>HYPERLINK("https://platform.v2.vetology.net/report/v/final/"&amp;2719035, 2719035)</f>
        <v>2719035</v>
      </c>
      <c r="D2372" s="2" t="s">
        <v>7623</v>
      </c>
      <c r="E2372" s="2" t="s">
        <v>7624</v>
      </c>
      <c r="F2372" s="2" t="s">
        <v>43</v>
      </c>
      <c r="G2372" s="2" t="s">
        <v>507</v>
      </c>
      <c r="H2372" s="2" t="s">
        <v>7625</v>
      </c>
      <c r="I2372" s="2" t="s">
        <v>36</v>
      </c>
      <c r="J2372" s="2" t="s">
        <v>37</v>
      </c>
      <c r="K2372" s="2" t="s">
        <v>38</v>
      </c>
      <c r="L2372" s="2" t="s">
        <v>38</v>
      </c>
      <c r="M2372" s="2" t="s">
        <v>38</v>
      </c>
      <c r="N2372" s="2" t="s">
        <v>38</v>
      </c>
      <c r="O2372" s="2" t="s">
        <v>38</v>
      </c>
      <c r="P2372" s="2" t="s">
        <v>38</v>
      </c>
      <c r="Q2372" s="2" t="s">
        <v>39</v>
      </c>
      <c r="R2372" s="2" t="s">
        <v>38</v>
      </c>
      <c r="S2372" s="2" t="s">
        <v>38</v>
      </c>
      <c r="T2372" s="2" t="s">
        <v>39</v>
      </c>
      <c r="U2372" s="2" t="s">
        <v>38</v>
      </c>
      <c r="V2372" s="2" t="s">
        <v>38</v>
      </c>
      <c r="W2372" s="2" t="s">
        <v>38</v>
      </c>
      <c r="X2372" s="2" t="s">
        <v>39</v>
      </c>
      <c r="Y2372" s="2" t="s">
        <v>39</v>
      </c>
      <c r="Z2372" s="2" t="s">
        <v>38</v>
      </c>
      <c r="AA2372" s="2" t="s">
        <v>38</v>
      </c>
      <c r="AB2372" s="2" t="s">
        <v>39</v>
      </c>
      <c r="AC2372" s="2" t="s">
        <v>38</v>
      </c>
      <c r="AD2372" s="2" t="s">
        <v>38</v>
      </c>
      <c r="AE2372" s="2"/>
    </row>
    <row r="2373" spans="1:31" ht="409.5">
      <c r="A2373" s="2">
        <v>2719033</v>
      </c>
      <c r="B2373" s="2">
        <f>HYPERLINK("https://platform.v2.vetology.net/cases/2719033/screening-report/1?type=pdf&amp;v=v6&amp;scorecard=1&amp;secret_key=BX%25IJ%24%2F65ieZ%29f6", 2719033)</f>
        <v>2719033</v>
      </c>
      <c r="C2373" s="2">
        <f>HYPERLINK("https://platform.v2.vetology.net/report/v/final/"&amp;2719033, 2719033)</f>
        <v>2719033</v>
      </c>
      <c r="D2373" s="2" t="s">
        <v>7626</v>
      </c>
      <c r="E2373" s="2" t="s">
        <v>7627</v>
      </c>
      <c r="F2373" s="2" t="s">
        <v>7628</v>
      </c>
      <c r="G2373" s="2" t="s">
        <v>53</v>
      </c>
      <c r="H2373" s="2" t="s">
        <v>5019</v>
      </c>
      <c r="I2373" s="2" t="s">
        <v>36</v>
      </c>
      <c r="J2373" s="2" t="s">
        <v>37</v>
      </c>
      <c r="K2373" s="2" t="s">
        <v>39</v>
      </c>
      <c r="L2373" s="2" t="s">
        <v>39</v>
      </c>
      <c r="M2373" s="2" t="s">
        <v>38</v>
      </c>
      <c r="N2373" s="2" t="s">
        <v>39</v>
      </c>
      <c r="O2373" s="2" t="s">
        <v>38</v>
      </c>
      <c r="P2373" s="2" t="s">
        <v>39</v>
      </c>
      <c r="Q2373" s="2" t="s">
        <v>39</v>
      </c>
      <c r="R2373" s="2" t="s">
        <v>38</v>
      </c>
      <c r="S2373" s="2" t="s">
        <v>38</v>
      </c>
      <c r="T2373" s="2" t="s">
        <v>39</v>
      </c>
      <c r="U2373" s="2" t="s">
        <v>38</v>
      </c>
      <c r="V2373" s="2" t="s">
        <v>38</v>
      </c>
      <c r="W2373" s="2" t="s">
        <v>38</v>
      </c>
      <c r="X2373" s="2" t="s">
        <v>39</v>
      </c>
      <c r="Y2373" s="2" t="s">
        <v>39</v>
      </c>
      <c r="Z2373" s="2" t="s">
        <v>39</v>
      </c>
      <c r="AA2373" s="2" t="s">
        <v>39</v>
      </c>
      <c r="AB2373" s="2" t="s">
        <v>39</v>
      </c>
      <c r="AC2373" s="2" t="s">
        <v>38</v>
      </c>
      <c r="AD2373" s="2" t="s">
        <v>39</v>
      </c>
      <c r="AE2373" s="2" t="s">
        <v>39</v>
      </c>
    </row>
    <row r="2374" spans="1:31" ht="409.5">
      <c r="A2374" s="2">
        <v>2719032</v>
      </c>
      <c r="B2374" s="2">
        <f>HYPERLINK("https://platform.v2.vetology.net/cases/2719032/screening-report/1?type=pdf&amp;v=v6&amp;scorecard=1&amp;secret_key=BX%25IJ%24%2F65ieZ%29f6", 2719032)</f>
        <v>2719032</v>
      </c>
      <c r="C2374" s="2">
        <f>HYPERLINK("https://platform.v2.vetology.net/report/v/final/"&amp;2719032, 2719032)</f>
        <v>2719032</v>
      </c>
      <c r="D2374" s="2" t="s">
        <v>7629</v>
      </c>
      <c r="E2374" s="2" t="s">
        <v>7630</v>
      </c>
      <c r="F2374" s="2" t="s">
        <v>7477</v>
      </c>
      <c r="G2374" s="2" t="s">
        <v>44</v>
      </c>
      <c r="H2374" s="2" t="s">
        <v>7631</v>
      </c>
      <c r="I2374" s="2" t="s">
        <v>36</v>
      </c>
      <c r="J2374" s="2" t="s">
        <v>37</v>
      </c>
      <c r="K2374" s="2" t="s">
        <v>38</v>
      </c>
      <c r="L2374" s="2" t="s">
        <v>38</v>
      </c>
      <c r="M2374" s="2" t="s">
        <v>38</v>
      </c>
      <c r="N2374" s="2" t="s">
        <v>38</v>
      </c>
      <c r="O2374" s="2" t="s">
        <v>38</v>
      </c>
      <c r="P2374" s="2" t="s">
        <v>38</v>
      </c>
      <c r="Q2374" s="2" t="s">
        <v>38</v>
      </c>
      <c r="R2374" s="2" t="s">
        <v>38</v>
      </c>
      <c r="S2374" s="2" t="s">
        <v>38</v>
      </c>
      <c r="T2374" s="2" t="s">
        <v>38</v>
      </c>
      <c r="U2374" s="2" t="s">
        <v>38</v>
      </c>
      <c r="V2374" s="2" t="s">
        <v>38</v>
      </c>
      <c r="W2374" s="2" t="s">
        <v>38</v>
      </c>
      <c r="X2374" s="2" t="s">
        <v>38</v>
      </c>
      <c r="Y2374" s="2" t="s">
        <v>39</v>
      </c>
      <c r="Z2374" s="2" t="s">
        <v>38</v>
      </c>
      <c r="AA2374" s="2" t="s">
        <v>38</v>
      </c>
      <c r="AB2374" s="2" t="s">
        <v>39</v>
      </c>
      <c r="AC2374" s="2" t="s">
        <v>38</v>
      </c>
      <c r="AD2374" s="2" t="s">
        <v>38</v>
      </c>
      <c r="AE2374" s="2" t="s">
        <v>40</v>
      </c>
    </row>
    <row r="2375" spans="1:31" ht="409.5">
      <c r="A2375" s="2">
        <v>2719022</v>
      </c>
      <c r="B2375" s="2">
        <f>HYPERLINK("https://platform.v2.vetology.net/cases/2719022/screening-report/1?type=pdf&amp;v=v6&amp;scorecard=1&amp;secret_key=BX%25IJ%24%2F65ieZ%29f6", 2719022)</f>
        <v>2719022</v>
      </c>
      <c r="C2375" s="2">
        <f>HYPERLINK("https://platform.v2.vetology.net/report/v/final/"&amp;2719022, 2719022)</f>
        <v>2719022</v>
      </c>
      <c r="D2375" s="2" t="s">
        <v>302</v>
      </c>
      <c r="E2375" s="2" t="s">
        <v>99</v>
      </c>
      <c r="F2375" s="2"/>
      <c r="G2375" s="2" t="s">
        <v>100</v>
      </c>
      <c r="H2375" s="2" t="s">
        <v>1665</v>
      </c>
      <c r="I2375" s="2" t="s">
        <v>59</v>
      </c>
      <c r="J2375" s="2" t="s">
        <v>37</v>
      </c>
      <c r="K2375" s="2" t="s">
        <v>38</v>
      </c>
      <c r="L2375" s="2" t="s">
        <v>39</v>
      </c>
      <c r="M2375" s="2" t="s">
        <v>39</v>
      </c>
      <c r="N2375" s="2" t="s">
        <v>38</v>
      </c>
      <c r="O2375" s="2" t="s">
        <v>39</v>
      </c>
      <c r="P2375" s="2" t="s">
        <v>39</v>
      </c>
      <c r="Q2375" s="2" t="s">
        <v>39</v>
      </c>
      <c r="R2375" s="2" t="s">
        <v>38</v>
      </c>
      <c r="S2375" s="2" t="s">
        <v>39</v>
      </c>
      <c r="T2375" s="2" t="s">
        <v>38</v>
      </c>
      <c r="U2375" s="2" t="s">
        <v>38</v>
      </c>
      <c r="V2375" s="2" t="s">
        <v>38</v>
      </c>
      <c r="W2375" s="2" t="s">
        <v>38</v>
      </c>
      <c r="X2375" s="2" t="s">
        <v>39</v>
      </c>
      <c r="Y2375" s="2" t="s">
        <v>39</v>
      </c>
      <c r="Z2375" s="2" t="s">
        <v>38</v>
      </c>
      <c r="AA2375" s="2" t="s">
        <v>39</v>
      </c>
      <c r="AB2375" s="2" t="s">
        <v>39</v>
      </c>
      <c r="AC2375" s="2" t="s">
        <v>38</v>
      </c>
      <c r="AD2375" s="2" t="s">
        <v>39</v>
      </c>
      <c r="AE2375" s="2" t="s">
        <v>40</v>
      </c>
    </row>
    <row r="2376" spans="1:31" ht="409.5">
      <c r="A2376" s="2">
        <v>2719021</v>
      </c>
      <c r="B2376" s="2">
        <f>HYPERLINK("https://platform.v2.vetology.net/cases/2719021/screening-report/1?type=pdf&amp;v=v6&amp;scorecard=1&amp;secret_key=BX%25IJ%24%2F65ieZ%29f6", 2719021)</f>
        <v>2719021</v>
      </c>
      <c r="C2376" s="2">
        <f>HYPERLINK("https://platform.v2.vetology.net/report/v/final/"&amp;2719021, 2719021)</f>
        <v>2719021</v>
      </c>
      <c r="D2376" s="2" t="s">
        <v>7632</v>
      </c>
      <c r="E2376" s="2" t="s">
        <v>7633</v>
      </c>
      <c r="F2376" s="2" t="s">
        <v>7634</v>
      </c>
      <c r="G2376" s="2" t="s">
        <v>53</v>
      </c>
      <c r="H2376" s="2" t="s">
        <v>7635</v>
      </c>
      <c r="I2376" s="2" t="s">
        <v>73</v>
      </c>
      <c r="J2376" s="2" t="s">
        <v>74</v>
      </c>
      <c r="K2376" s="2" t="s">
        <v>38</v>
      </c>
      <c r="L2376" s="2" t="s">
        <v>38</v>
      </c>
      <c r="M2376" s="2" t="s">
        <v>38</v>
      </c>
      <c r="N2376" s="2" t="s">
        <v>38</v>
      </c>
      <c r="O2376" s="2" t="s">
        <v>38</v>
      </c>
      <c r="P2376" s="2" t="s">
        <v>39</v>
      </c>
      <c r="Q2376" s="2" t="s">
        <v>38</v>
      </c>
      <c r="R2376" s="2" t="s">
        <v>38</v>
      </c>
      <c r="S2376" s="2" t="s">
        <v>38</v>
      </c>
      <c r="T2376" s="2" t="s">
        <v>38</v>
      </c>
      <c r="U2376" s="2" t="s">
        <v>38</v>
      </c>
      <c r="V2376" s="2" t="s">
        <v>38</v>
      </c>
      <c r="W2376" s="2" t="s">
        <v>38</v>
      </c>
      <c r="X2376" s="2" t="s">
        <v>38</v>
      </c>
      <c r="Y2376" s="2" t="s">
        <v>38</v>
      </c>
      <c r="Z2376" s="2" t="s">
        <v>38</v>
      </c>
      <c r="AA2376" s="2" t="s">
        <v>38</v>
      </c>
      <c r="AB2376" s="2" t="s">
        <v>38</v>
      </c>
      <c r="AC2376" s="2" t="s">
        <v>38</v>
      </c>
      <c r="AD2376" s="2" t="s">
        <v>39</v>
      </c>
      <c r="AE2376" s="2" t="s">
        <v>40</v>
      </c>
    </row>
    <row r="2377" spans="1:31" ht="409.5">
      <c r="A2377" s="2">
        <v>2719008</v>
      </c>
      <c r="B2377" s="2">
        <f>HYPERLINK("https://platform.v2.vetology.net/cases/2719008/screening-report/1?type=pdf&amp;v=v6&amp;scorecard=1&amp;secret_key=BX%25IJ%24%2F65ieZ%29f6", 2719008)</f>
        <v>2719008</v>
      </c>
      <c r="C2377" s="2">
        <f>HYPERLINK("https://platform.v2.vetology.net/report/v/final/"&amp;2719008, 2719008)</f>
        <v>2719008</v>
      </c>
      <c r="D2377" s="2" t="s">
        <v>7636</v>
      </c>
      <c r="E2377" s="2" t="s">
        <v>7637</v>
      </c>
      <c r="F2377" s="2" t="s">
        <v>43</v>
      </c>
      <c r="G2377" s="2" t="s">
        <v>44</v>
      </c>
      <c r="H2377" s="2" t="s">
        <v>7638</v>
      </c>
      <c r="I2377" s="2" t="s">
        <v>129</v>
      </c>
      <c r="J2377" s="2" t="s">
        <v>74</v>
      </c>
      <c r="K2377" s="2" t="s">
        <v>39</v>
      </c>
      <c r="L2377" s="2" t="s">
        <v>38</v>
      </c>
      <c r="M2377" s="2" t="s">
        <v>38</v>
      </c>
      <c r="N2377" s="2" t="s">
        <v>38</v>
      </c>
      <c r="O2377" s="2" t="s">
        <v>38</v>
      </c>
      <c r="P2377" s="2" t="s">
        <v>38</v>
      </c>
      <c r="Q2377" s="2" t="s">
        <v>38</v>
      </c>
      <c r="R2377" s="2" t="s">
        <v>38</v>
      </c>
      <c r="S2377" s="2" t="s">
        <v>38</v>
      </c>
      <c r="T2377" s="2" t="s">
        <v>38</v>
      </c>
      <c r="U2377" s="2" t="s">
        <v>39</v>
      </c>
      <c r="V2377" s="2" t="s">
        <v>39</v>
      </c>
      <c r="W2377" s="2" t="s">
        <v>38</v>
      </c>
      <c r="X2377" s="2" t="s">
        <v>38</v>
      </c>
      <c r="Y2377" s="2" t="s">
        <v>39</v>
      </c>
      <c r="Z2377" s="2" t="s">
        <v>38</v>
      </c>
      <c r="AA2377" s="2" t="s">
        <v>38</v>
      </c>
      <c r="AB2377" s="2" t="s">
        <v>38</v>
      </c>
      <c r="AC2377" s="2" t="s">
        <v>38</v>
      </c>
      <c r="AD2377" s="2" t="s">
        <v>38</v>
      </c>
      <c r="AE2377" s="2"/>
    </row>
    <row r="2378" spans="1:31" ht="409.5">
      <c r="A2378" s="2">
        <v>2718957</v>
      </c>
      <c r="B2378" s="2">
        <f>HYPERLINK("https://platform.v2.vetology.net/cases/2718957/screening-report/1?type=pdf&amp;v=v6&amp;scorecard=1&amp;secret_key=BX%25IJ%24%2F65ieZ%29f6", 2718957)</f>
        <v>2718957</v>
      </c>
      <c r="C2378" s="2">
        <f>HYPERLINK("https://platform.v2.vetology.net/report/v/final/"&amp;2718957, 2718957)</f>
        <v>2718957</v>
      </c>
      <c r="D2378" s="2" t="s">
        <v>7639</v>
      </c>
      <c r="E2378" s="2" t="s">
        <v>7640</v>
      </c>
      <c r="F2378" s="2" t="s">
        <v>7641</v>
      </c>
      <c r="G2378" s="2" t="s">
        <v>127</v>
      </c>
      <c r="H2378" s="2" t="s">
        <v>537</v>
      </c>
      <c r="I2378" s="2" t="s">
        <v>59</v>
      </c>
      <c r="J2378" s="2" t="s">
        <v>37</v>
      </c>
      <c r="K2378" s="2" t="s">
        <v>38</v>
      </c>
      <c r="L2378" s="2" t="s">
        <v>39</v>
      </c>
      <c r="M2378" s="2" t="s">
        <v>39</v>
      </c>
      <c r="N2378" s="2" t="s">
        <v>39</v>
      </c>
      <c r="O2378" s="2" t="s">
        <v>39</v>
      </c>
      <c r="P2378" s="2" t="s">
        <v>39</v>
      </c>
      <c r="Q2378" s="2" t="s">
        <v>39</v>
      </c>
      <c r="R2378" s="2" t="s">
        <v>39</v>
      </c>
      <c r="S2378" s="2" t="s">
        <v>39</v>
      </c>
      <c r="T2378" s="2" t="s">
        <v>38</v>
      </c>
      <c r="U2378" s="2" t="s">
        <v>38</v>
      </c>
      <c r="V2378" s="2" t="s">
        <v>39</v>
      </c>
      <c r="W2378" s="2" t="s">
        <v>39</v>
      </c>
      <c r="X2378" s="2" t="s">
        <v>39</v>
      </c>
      <c r="Y2378" s="2" t="s">
        <v>39</v>
      </c>
      <c r="Z2378" s="2" t="s">
        <v>39</v>
      </c>
      <c r="AA2378" s="2" t="s">
        <v>39</v>
      </c>
      <c r="AB2378" s="2" t="s">
        <v>39</v>
      </c>
      <c r="AC2378" s="2" t="s">
        <v>39</v>
      </c>
      <c r="AD2378" s="2" t="s">
        <v>38</v>
      </c>
      <c r="AE2378" s="2" t="s">
        <v>39</v>
      </c>
    </row>
    <row r="2379" spans="1:31" ht="409.5">
      <c r="A2379" s="2">
        <v>2718954</v>
      </c>
      <c r="B2379" s="2">
        <f>HYPERLINK("https://platform.v2.vetology.net/cases/2718954/screening-report/1?type=pdf&amp;v=v6&amp;scorecard=1&amp;secret_key=BX%25IJ%24%2F65ieZ%29f6", 2718954)</f>
        <v>2718954</v>
      </c>
      <c r="C2379" s="2">
        <f>HYPERLINK("https://platform.v2.vetology.net/report/v/final/"&amp;2718954, 2718954)</f>
        <v>2718954</v>
      </c>
      <c r="D2379" s="2" t="s">
        <v>7642</v>
      </c>
      <c r="E2379" s="2" t="s">
        <v>7643</v>
      </c>
      <c r="F2379" s="2" t="s">
        <v>7644</v>
      </c>
      <c r="G2379" s="2" t="s">
        <v>44</v>
      </c>
      <c r="H2379" s="2" t="s">
        <v>7645</v>
      </c>
      <c r="I2379" s="2" t="s">
        <v>257</v>
      </c>
      <c r="J2379" s="2" t="s">
        <v>74</v>
      </c>
      <c r="K2379" s="2" t="s">
        <v>38</v>
      </c>
      <c r="L2379" s="2" t="s">
        <v>38</v>
      </c>
      <c r="M2379" s="2" t="s">
        <v>38</v>
      </c>
      <c r="N2379" s="2" t="s">
        <v>38</v>
      </c>
      <c r="O2379" s="2" t="s">
        <v>38</v>
      </c>
      <c r="P2379" s="2" t="s">
        <v>38</v>
      </c>
      <c r="Q2379" s="2" t="s">
        <v>38</v>
      </c>
      <c r="R2379" s="2" t="s">
        <v>38</v>
      </c>
      <c r="S2379" s="2" t="s">
        <v>38</v>
      </c>
      <c r="T2379" s="2" t="s">
        <v>38</v>
      </c>
      <c r="U2379" s="2" t="s">
        <v>38</v>
      </c>
      <c r="V2379" s="2" t="s">
        <v>38</v>
      </c>
      <c r="W2379" s="2" t="s">
        <v>38</v>
      </c>
      <c r="X2379" s="2" t="s">
        <v>38</v>
      </c>
      <c r="Y2379" s="2" t="s">
        <v>39</v>
      </c>
      <c r="Z2379" s="2" t="s">
        <v>38</v>
      </c>
      <c r="AA2379" s="2" t="s">
        <v>38</v>
      </c>
      <c r="AB2379" s="2" t="s">
        <v>38</v>
      </c>
      <c r="AC2379" s="2" t="s">
        <v>38</v>
      </c>
      <c r="AD2379" s="2" t="s">
        <v>38</v>
      </c>
      <c r="AE2379" s="2" t="s">
        <v>39</v>
      </c>
    </row>
    <row r="2380" spans="1:31" ht="409.5">
      <c r="A2380" s="2">
        <v>2718952</v>
      </c>
      <c r="B2380" s="2">
        <f>HYPERLINK("https://platform.v2.vetology.net/cases/2718952/screening-report/1?type=pdf&amp;v=v6&amp;scorecard=1&amp;secret_key=BX%25IJ%24%2F65ieZ%29f6", 2718952)</f>
        <v>2718952</v>
      </c>
      <c r="C2380" s="2">
        <f>HYPERLINK("https://platform.v2.vetology.net/report/v/final/"&amp;2718952, 2718952)</f>
        <v>2718952</v>
      </c>
      <c r="D2380" s="2" t="s">
        <v>7646</v>
      </c>
      <c r="E2380" s="2" t="s">
        <v>7647</v>
      </c>
      <c r="F2380" s="2" t="s">
        <v>7648</v>
      </c>
      <c r="G2380" s="2" t="s">
        <v>100</v>
      </c>
      <c r="H2380" s="2" t="s">
        <v>7649</v>
      </c>
      <c r="I2380" s="2" t="s">
        <v>36</v>
      </c>
      <c r="J2380" s="2" t="s">
        <v>37</v>
      </c>
      <c r="K2380" s="2" t="s">
        <v>38</v>
      </c>
      <c r="L2380" s="2" t="s">
        <v>38</v>
      </c>
      <c r="M2380" s="2" t="s">
        <v>38</v>
      </c>
      <c r="N2380" s="2" t="s">
        <v>39</v>
      </c>
      <c r="O2380" s="2" t="s">
        <v>39</v>
      </c>
      <c r="P2380" s="2" t="s">
        <v>39</v>
      </c>
      <c r="Q2380" s="2" t="s">
        <v>39</v>
      </c>
      <c r="R2380" s="2" t="s">
        <v>39</v>
      </c>
      <c r="S2380" s="2" t="s">
        <v>39</v>
      </c>
      <c r="T2380" s="2" t="s">
        <v>39</v>
      </c>
      <c r="U2380" s="2" t="s">
        <v>39</v>
      </c>
      <c r="V2380" s="2" t="s">
        <v>38</v>
      </c>
      <c r="W2380" s="2" t="s">
        <v>38</v>
      </c>
      <c r="X2380" s="2" t="s">
        <v>39</v>
      </c>
      <c r="Y2380" s="2" t="s">
        <v>39</v>
      </c>
      <c r="Z2380" s="2" t="s">
        <v>39</v>
      </c>
      <c r="AA2380" s="2" t="s">
        <v>39</v>
      </c>
      <c r="AB2380" s="2" t="s">
        <v>39</v>
      </c>
      <c r="AC2380" s="2" t="s">
        <v>38</v>
      </c>
      <c r="AD2380" s="2" t="s">
        <v>39</v>
      </c>
      <c r="AE2380" s="2" t="s">
        <v>39</v>
      </c>
    </row>
    <row r="2381" spans="1:31" ht="409.5">
      <c r="A2381" s="2">
        <v>2718938</v>
      </c>
      <c r="B2381" s="2">
        <f>HYPERLINK("https://platform.v2.vetology.net/cases/2718938/screening-report/1?type=pdf&amp;v=v6&amp;scorecard=1&amp;secret_key=BX%25IJ%24%2F65ieZ%29f6", 2718938)</f>
        <v>2718938</v>
      </c>
      <c r="C2381" s="2">
        <f>HYPERLINK("https://platform.v2.vetology.net/report/v/final/"&amp;2718938, 2718938)</f>
        <v>2718938</v>
      </c>
      <c r="D2381" s="2" t="s">
        <v>7650</v>
      </c>
      <c r="E2381" s="2" t="s">
        <v>7651</v>
      </c>
      <c r="F2381" s="2" t="s">
        <v>7652</v>
      </c>
      <c r="G2381" s="2" t="s">
        <v>44</v>
      </c>
      <c r="H2381" s="2" t="s">
        <v>69</v>
      </c>
      <c r="I2381" s="2" t="s">
        <v>46</v>
      </c>
      <c r="J2381" s="2"/>
      <c r="K2381" s="2" t="s">
        <v>39</v>
      </c>
      <c r="L2381" s="2" t="s">
        <v>39</v>
      </c>
      <c r="M2381" s="2" t="s">
        <v>39</v>
      </c>
      <c r="N2381" s="2" t="s">
        <v>39</v>
      </c>
      <c r="O2381" s="2" t="s">
        <v>38</v>
      </c>
      <c r="P2381" s="2" t="s">
        <v>39</v>
      </c>
      <c r="Q2381" s="2" t="s">
        <v>39</v>
      </c>
      <c r="R2381" s="2" t="s">
        <v>39</v>
      </c>
      <c r="S2381" s="2" t="s">
        <v>39</v>
      </c>
      <c r="T2381" s="2" t="s">
        <v>39</v>
      </c>
      <c r="U2381" s="2" t="s">
        <v>38</v>
      </c>
      <c r="V2381" s="2" t="s">
        <v>38</v>
      </c>
      <c r="W2381" s="2" t="s">
        <v>38</v>
      </c>
      <c r="X2381" s="2" t="s">
        <v>39</v>
      </c>
      <c r="Y2381" s="2" t="s">
        <v>39</v>
      </c>
      <c r="Z2381" s="2" t="s">
        <v>39</v>
      </c>
      <c r="AA2381" s="2" t="s">
        <v>38</v>
      </c>
      <c r="AB2381" s="2" t="s">
        <v>39</v>
      </c>
      <c r="AC2381" s="2" t="s">
        <v>38</v>
      </c>
      <c r="AD2381" s="2" t="s">
        <v>38</v>
      </c>
      <c r="AE2381" s="2" t="s">
        <v>39</v>
      </c>
    </row>
    <row r="2382" spans="1:31" ht="409.5">
      <c r="A2382" s="2">
        <v>2718893</v>
      </c>
      <c r="B2382" s="2">
        <f>HYPERLINK("https://platform.v2.vetology.net/cases/2718893/screening-report/1?type=pdf&amp;v=v6&amp;scorecard=1&amp;secret_key=BX%25IJ%24%2F65ieZ%29f6", 2718893)</f>
        <v>2718893</v>
      </c>
      <c r="C2382" s="2">
        <f>HYPERLINK("https://platform.v2.vetology.net/report/v/final/"&amp;2718893, 2718893)</f>
        <v>2718893</v>
      </c>
      <c r="D2382" s="2" t="s">
        <v>7653</v>
      </c>
      <c r="E2382" s="2" t="s">
        <v>7654</v>
      </c>
      <c r="F2382" s="2" t="s">
        <v>43</v>
      </c>
      <c r="G2382" s="2" t="s">
        <v>44</v>
      </c>
      <c r="H2382" s="2" t="s">
        <v>7655</v>
      </c>
      <c r="I2382" s="2" t="s">
        <v>36</v>
      </c>
      <c r="J2382" s="2" t="s">
        <v>37</v>
      </c>
      <c r="K2382" s="2" t="s">
        <v>39</v>
      </c>
      <c r="L2382" s="2" t="s">
        <v>38</v>
      </c>
      <c r="M2382" s="2" t="s">
        <v>39</v>
      </c>
      <c r="N2382" s="2" t="s">
        <v>39</v>
      </c>
      <c r="O2382" s="2" t="s">
        <v>39</v>
      </c>
      <c r="P2382" s="2" t="s">
        <v>39</v>
      </c>
      <c r="Q2382" s="2" t="s">
        <v>39</v>
      </c>
      <c r="R2382" s="2" t="s">
        <v>38</v>
      </c>
      <c r="S2382" s="2" t="s">
        <v>38</v>
      </c>
      <c r="T2382" s="2" t="s">
        <v>39</v>
      </c>
      <c r="U2382" s="2" t="s">
        <v>39</v>
      </c>
      <c r="V2382" s="2" t="s">
        <v>39</v>
      </c>
      <c r="W2382" s="2" t="s">
        <v>38</v>
      </c>
      <c r="X2382" s="2" t="s">
        <v>39</v>
      </c>
      <c r="Y2382" s="2" t="s">
        <v>38</v>
      </c>
      <c r="Z2382" s="2" t="s">
        <v>38</v>
      </c>
      <c r="AA2382" s="2" t="s">
        <v>38</v>
      </c>
      <c r="AB2382" s="2" t="s">
        <v>39</v>
      </c>
      <c r="AC2382" s="2" t="s">
        <v>38</v>
      </c>
      <c r="AD2382" s="2" t="s">
        <v>38</v>
      </c>
      <c r="AE2382" s="2" t="s">
        <v>39</v>
      </c>
    </row>
    <row r="2383" spans="1:31" ht="409.5">
      <c r="A2383" s="2">
        <v>2718878</v>
      </c>
      <c r="B2383" s="2">
        <f>HYPERLINK("https://platform.v2.vetology.net/cases/2718878/screening-report/1?type=pdf&amp;v=v6&amp;scorecard=1&amp;secret_key=BX%25IJ%24%2F65ieZ%29f6", 2718878)</f>
        <v>2718878</v>
      </c>
      <c r="C2383" s="2">
        <f>HYPERLINK("https://platform.v2.vetology.net/report/v/final/"&amp;2718878, 2718878)</f>
        <v>2718878</v>
      </c>
      <c r="D2383" s="2" t="s">
        <v>7656</v>
      </c>
      <c r="E2383" s="2" t="s">
        <v>7657</v>
      </c>
      <c r="F2383" s="2" t="s">
        <v>43</v>
      </c>
      <c r="G2383" s="2" t="s">
        <v>100</v>
      </c>
      <c r="H2383" s="2" t="s">
        <v>7658</v>
      </c>
      <c r="I2383" s="2" t="s">
        <v>257</v>
      </c>
      <c r="J2383" s="2" t="s">
        <v>74</v>
      </c>
      <c r="K2383" s="2" t="s">
        <v>38</v>
      </c>
      <c r="L2383" s="2" t="s">
        <v>38</v>
      </c>
      <c r="M2383" s="2" t="s">
        <v>38</v>
      </c>
      <c r="N2383" s="2" t="s">
        <v>38</v>
      </c>
      <c r="O2383" s="2" t="s">
        <v>38</v>
      </c>
      <c r="P2383" s="2" t="s">
        <v>38</v>
      </c>
      <c r="Q2383" s="2" t="s">
        <v>38</v>
      </c>
      <c r="R2383" s="2" t="s">
        <v>38</v>
      </c>
      <c r="S2383" s="2" t="s">
        <v>38</v>
      </c>
      <c r="T2383" s="2" t="s">
        <v>38</v>
      </c>
      <c r="U2383" s="2" t="s">
        <v>38</v>
      </c>
      <c r="V2383" s="2" t="s">
        <v>38</v>
      </c>
      <c r="W2383" s="2" t="s">
        <v>38</v>
      </c>
      <c r="X2383" s="2" t="s">
        <v>38</v>
      </c>
      <c r="Y2383" s="2" t="s">
        <v>39</v>
      </c>
      <c r="Z2383" s="2" t="s">
        <v>38</v>
      </c>
      <c r="AA2383" s="2" t="s">
        <v>38</v>
      </c>
      <c r="AB2383" s="2" t="s">
        <v>38</v>
      </c>
      <c r="AC2383" s="2" t="s">
        <v>38</v>
      </c>
      <c r="AD2383" s="2" t="s">
        <v>38</v>
      </c>
      <c r="AE2383" s="2" t="s">
        <v>40</v>
      </c>
    </row>
    <row r="2384" spans="1:31" ht="409.5">
      <c r="A2384" s="2">
        <v>2718873</v>
      </c>
      <c r="B2384" s="2">
        <f>HYPERLINK("https://platform.v2.vetology.net/cases/2718873/screening-report/1?type=pdf&amp;v=v6&amp;scorecard=1&amp;secret_key=BX%25IJ%24%2F65ieZ%29f6", 2718873)</f>
        <v>2718873</v>
      </c>
      <c r="C2384" s="2">
        <f>HYPERLINK("https://platform.v2.vetology.net/report/v/final/"&amp;2718873, 2718873)</f>
        <v>2718873</v>
      </c>
      <c r="D2384" s="2" t="s">
        <v>7659</v>
      </c>
      <c r="E2384" s="2" t="s">
        <v>7660</v>
      </c>
      <c r="F2384" s="2" t="s">
        <v>3898</v>
      </c>
      <c r="G2384" s="2" t="s">
        <v>170</v>
      </c>
      <c r="H2384" s="2" t="s">
        <v>7661</v>
      </c>
      <c r="I2384" s="2" t="s">
        <v>36</v>
      </c>
      <c r="J2384" s="2" t="s">
        <v>37</v>
      </c>
      <c r="K2384" s="2" t="s">
        <v>38</v>
      </c>
      <c r="L2384" s="2" t="s">
        <v>38</v>
      </c>
      <c r="M2384" s="2" t="s">
        <v>39</v>
      </c>
      <c r="N2384" s="2" t="s">
        <v>38</v>
      </c>
      <c r="O2384" s="2" t="s">
        <v>38</v>
      </c>
      <c r="P2384" s="2" t="s">
        <v>38</v>
      </c>
      <c r="Q2384" s="2" t="s">
        <v>39</v>
      </c>
      <c r="R2384" s="2" t="s">
        <v>39</v>
      </c>
      <c r="S2384" s="2" t="s">
        <v>39</v>
      </c>
      <c r="T2384" s="2" t="s">
        <v>39</v>
      </c>
      <c r="U2384" s="2" t="s">
        <v>38</v>
      </c>
      <c r="V2384" s="2" t="s">
        <v>38</v>
      </c>
      <c r="W2384" s="2" t="s">
        <v>38</v>
      </c>
      <c r="X2384" s="2" t="s">
        <v>39</v>
      </c>
      <c r="Y2384" s="2" t="s">
        <v>39</v>
      </c>
      <c r="Z2384" s="2" t="s">
        <v>38</v>
      </c>
      <c r="AA2384" s="2" t="s">
        <v>38</v>
      </c>
      <c r="AB2384" s="2" t="s">
        <v>39</v>
      </c>
      <c r="AC2384" s="2" t="s">
        <v>38</v>
      </c>
      <c r="AD2384" s="2" t="s">
        <v>38</v>
      </c>
      <c r="AE2384" s="2"/>
    </row>
    <row r="2385" spans="1:31" ht="409.5">
      <c r="A2385" s="2">
        <v>2718822</v>
      </c>
      <c r="B2385" s="2">
        <f>HYPERLINK("https://platform.v2.vetology.net/cases/2718822/screening-report/1?type=pdf&amp;v=v6&amp;scorecard=1&amp;secret_key=BX%25IJ%24%2F65ieZ%29f6", 2718822)</f>
        <v>2718822</v>
      </c>
      <c r="C2385" s="2">
        <f>HYPERLINK("https://platform.v2.vetology.net/report/v/final/"&amp;2718822, 2718822)</f>
        <v>2718822</v>
      </c>
      <c r="D2385" s="2" t="s">
        <v>7662</v>
      </c>
      <c r="E2385" s="2" t="s">
        <v>7663</v>
      </c>
      <c r="F2385" s="2"/>
      <c r="G2385" s="2" t="s">
        <v>81</v>
      </c>
      <c r="H2385" s="2" t="s">
        <v>7664</v>
      </c>
      <c r="I2385" s="2" t="s">
        <v>129</v>
      </c>
      <c r="J2385" s="2" t="s">
        <v>74</v>
      </c>
      <c r="K2385" s="2" t="s">
        <v>38</v>
      </c>
      <c r="L2385" s="2" t="s">
        <v>38</v>
      </c>
      <c r="M2385" s="2" t="s">
        <v>38</v>
      </c>
      <c r="N2385" s="2" t="s">
        <v>38</v>
      </c>
      <c r="O2385" s="2" t="s">
        <v>38</v>
      </c>
      <c r="P2385" s="2" t="s">
        <v>38</v>
      </c>
      <c r="Q2385" s="2" t="s">
        <v>38</v>
      </c>
      <c r="R2385" s="2" t="s">
        <v>39</v>
      </c>
      <c r="S2385" s="2" t="s">
        <v>38</v>
      </c>
      <c r="T2385" s="2" t="s">
        <v>38</v>
      </c>
      <c r="U2385" s="2" t="s">
        <v>38</v>
      </c>
      <c r="V2385" s="2" t="s">
        <v>38</v>
      </c>
      <c r="W2385" s="2" t="s">
        <v>38</v>
      </c>
      <c r="X2385" s="2" t="s">
        <v>38</v>
      </c>
      <c r="Y2385" s="2" t="s">
        <v>39</v>
      </c>
      <c r="Z2385" s="2" t="s">
        <v>38</v>
      </c>
      <c r="AA2385" s="2" t="s">
        <v>38</v>
      </c>
      <c r="AB2385" s="2" t="s">
        <v>38</v>
      </c>
      <c r="AC2385" s="2" t="s">
        <v>38</v>
      </c>
      <c r="AD2385" s="2" t="s">
        <v>38</v>
      </c>
      <c r="AE2385" s="2" t="s">
        <v>39</v>
      </c>
    </row>
    <row r="2386" spans="1:31" ht="409.5">
      <c r="A2386" s="2">
        <v>2718782</v>
      </c>
      <c r="B2386" s="2">
        <f>HYPERLINK("https://platform.v2.vetology.net/cases/2718782/screening-report/1?type=pdf&amp;v=v6&amp;scorecard=1&amp;secret_key=BX%25IJ%24%2F65ieZ%29f6", 2718782)</f>
        <v>2718782</v>
      </c>
      <c r="C2386" s="2">
        <f>HYPERLINK("https://platform.v2.vetology.net/report/v/final/"&amp;2718782, 2718782)</f>
        <v>2718782</v>
      </c>
      <c r="D2386" s="2" t="s">
        <v>7665</v>
      </c>
      <c r="E2386" s="2" t="s">
        <v>7666</v>
      </c>
      <c r="F2386" s="2" t="s">
        <v>7667</v>
      </c>
      <c r="G2386" s="2" t="s">
        <v>170</v>
      </c>
      <c r="H2386" s="2" t="s">
        <v>7668</v>
      </c>
      <c r="I2386" s="2" t="s">
        <v>36</v>
      </c>
      <c r="J2386" s="2" t="s">
        <v>37</v>
      </c>
      <c r="K2386" s="2" t="s">
        <v>39</v>
      </c>
      <c r="L2386" s="2" t="s">
        <v>38</v>
      </c>
      <c r="M2386" s="2" t="s">
        <v>38</v>
      </c>
      <c r="N2386" s="2" t="s">
        <v>39</v>
      </c>
      <c r="O2386" s="2" t="s">
        <v>39</v>
      </c>
      <c r="P2386" s="2" t="s">
        <v>39</v>
      </c>
      <c r="Q2386" s="2" t="s">
        <v>39</v>
      </c>
      <c r="R2386" s="2" t="s">
        <v>39</v>
      </c>
      <c r="S2386" s="2" t="s">
        <v>38</v>
      </c>
      <c r="T2386" s="2" t="s">
        <v>38</v>
      </c>
      <c r="U2386" s="2" t="s">
        <v>39</v>
      </c>
      <c r="V2386" s="2" t="s">
        <v>39</v>
      </c>
      <c r="W2386" s="2" t="s">
        <v>38</v>
      </c>
      <c r="X2386" s="2" t="s">
        <v>39</v>
      </c>
      <c r="Y2386" s="2" t="s">
        <v>39</v>
      </c>
      <c r="Z2386" s="2" t="s">
        <v>38</v>
      </c>
      <c r="AA2386" s="2" t="s">
        <v>38</v>
      </c>
      <c r="AB2386" s="2" t="s">
        <v>39</v>
      </c>
      <c r="AC2386" s="2" t="s">
        <v>38</v>
      </c>
      <c r="AD2386" s="2" t="s">
        <v>38</v>
      </c>
      <c r="AE2386" s="2" t="s">
        <v>39</v>
      </c>
    </row>
    <row r="2387" spans="1:31" ht="409.5">
      <c r="A2387" s="2">
        <v>2718781</v>
      </c>
      <c r="B2387" s="2">
        <f>HYPERLINK("https://platform.v2.vetology.net/cases/2718781/screening-report/1?type=pdf&amp;v=v6&amp;scorecard=1&amp;secret_key=BX%25IJ%24%2F65ieZ%29f6", 2718781)</f>
        <v>2718781</v>
      </c>
      <c r="C2387" s="2">
        <f>HYPERLINK("https://platform.v2.vetology.net/report/v/final/"&amp;2718781, 2718781)</f>
        <v>2718781</v>
      </c>
      <c r="D2387" s="2" t="s">
        <v>7669</v>
      </c>
      <c r="E2387" s="2" t="s">
        <v>7670</v>
      </c>
      <c r="F2387" s="2" t="s">
        <v>7671</v>
      </c>
      <c r="G2387" s="2" t="s">
        <v>53</v>
      </c>
      <c r="H2387" s="2" t="s">
        <v>797</v>
      </c>
      <c r="I2387" s="2" t="s">
        <v>59</v>
      </c>
      <c r="J2387" s="2" t="s">
        <v>37</v>
      </c>
      <c r="K2387" s="2" t="s">
        <v>38</v>
      </c>
      <c r="L2387" s="2" t="s">
        <v>39</v>
      </c>
      <c r="M2387" s="2" t="s">
        <v>39</v>
      </c>
      <c r="N2387" s="2" t="s">
        <v>39</v>
      </c>
      <c r="O2387" s="2" t="s">
        <v>39</v>
      </c>
      <c r="P2387" s="2" t="s">
        <v>39</v>
      </c>
      <c r="Q2387" s="2" t="s">
        <v>39</v>
      </c>
      <c r="R2387" s="2" t="s">
        <v>38</v>
      </c>
      <c r="S2387" s="2" t="s">
        <v>39</v>
      </c>
      <c r="T2387" s="2" t="s">
        <v>39</v>
      </c>
      <c r="U2387" s="2" t="s">
        <v>38</v>
      </c>
      <c r="V2387" s="2" t="s">
        <v>38</v>
      </c>
      <c r="W2387" s="2" t="s">
        <v>38</v>
      </c>
      <c r="X2387" s="2" t="s">
        <v>39</v>
      </c>
      <c r="Y2387" s="2" t="s">
        <v>39</v>
      </c>
      <c r="Z2387" s="2" t="s">
        <v>38</v>
      </c>
      <c r="AA2387" s="2" t="s">
        <v>38</v>
      </c>
      <c r="AB2387" s="2" t="s">
        <v>39</v>
      </c>
      <c r="AC2387" s="2" t="s">
        <v>38</v>
      </c>
      <c r="AD2387" s="2" t="s">
        <v>38</v>
      </c>
      <c r="AE2387" s="2" t="s">
        <v>40</v>
      </c>
    </row>
    <row r="2388" spans="1:31" ht="409.5">
      <c r="A2388" s="2">
        <v>2718753</v>
      </c>
      <c r="B2388" s="2">
        <f>HYPERLINK("https://platform.v2.vetology.net/cases/2718753/screening-report/1?type=pdf&amp;v=v6&amp;scorecard=1&amp;secret_key=BX%25IJ%24%2F65ieZ%29f6", 2718753)</f>
        <v>2718753</v>
      </c>
      <c r="C2388" s="2">
        <f>HYPERLINK("https://platform.v2.vetology.net/report/v/final/"&amp;2718753, 2718753)</f>
        <v>2718753</v>
      </c>
      <c r="D2388" s="2" t="s">
        <v>7672</v>
      </c>
      <c r="E2388" s="2" t="s">
        <v>7673</v>
      </c>
      <c r="F2388" s="2" t="s">
        <v>7674</v>
      </c>
      <c r="G2388" s="2" t="s">
        <v>127</v>
      </c>
      <c r="H2388" s="2" t="s">
        <v>7675</v>
      </c>
      <c r="I2388" s="2" t="s">
        <v>129</v>
      </c>
      <c r="J2388" s="2" t="s">
        <v>74</v>
      </c>
      <c r="K2388" s="2" t="s">
        <v>38</v>
      </c>
      <c r="L2388" s="2" t="s">
        <v>38</v>
      </c>
      <c r="M2388" s="2" t="s">
        <v>38</v>
      </c>
      <c r="N2388" s="2" t="s">
        <v>38</v>
      </c>
      <c r="O2388" s="2" t="s">
        <v>38</v>
      </c>
      <c r="P2388" s="2" t="s">
        <v>39</v>
      </c>
      <c r="Q2388" s="2" t="s">
        <v>38</v>
      </c>
      <c r="R2388" s="2" t="s">
        <v>38</v>
      </c>
      <c r="S2388" s="2" t="s">
        <v>38</v>
      </c>
      <c r="T2388" s="2" t="s">
        <v>38</v>
      </c>
      <c r="U2388" s="2" t="s">
        <v>38</v>
      </c>
      <c r="V2388" s="2" t="s">
        <v>38</v>
      </c>
      <c r="W2388" s="2" t="s">
        <v>38</v>
      </c>
      <c r="X2388" s="2" t="s">
        <v>38</v>
      </c>
      <c r="Y2388" s="2" t="s">
        <v>39</v>
      </c>
      <c r="Z2388" s="2" t="s">
        <v>39</v>
      </c>
      <c r="AA2388" s="2" t="s">
        <v>38</v>
      </c>
      <c r="AB2388" s="2" t="s">
        <v>38</v>
      </c>
      <c r="AC2388" s="2" t="s">
        <v>38</v>
      </c>
      <c r="AD2388" s="2" t="s">
        <v>38</v>
      </c>
      <c r="AE2388" s="2" t="s">
        <v>39</v>
      </c>
    </row>
    <row r="2389" spans="1:31" ht="409.5">
      <c r="A2389" s="2">
        <v>2718749</v>
      </c>
      <c r="B2389" s="2">
        <f>HYPERLINK("https://platform.v2.vetology.net/cases/2718749/screening-report/1?type=pdf&amp;v=v6&amp;scorecard=1&amp;secret_key=BX%25IJ%24%2F65ieZ%29f6", 2718749)</f>
        <v>2718749</v>
      </c>
      <c r="C2389" s="2">
        <f>HYPERLINK("https://platform.v2.vetology.net/report/v/final/"&amp;2718749, 2718749)</f>
        <v>2718749</v>
      </c>
      <c r="D2389" s="2" t="s">
        <v>7676</v>
      </c>
      <c r="E2389" s="2" t="s">
        <v>7677</v>
      </c>
      <c r="F2389" s="2" t="s">
        <v>7678</v>
      </c>
      <c r="G2389" s="2" t="s">
        <v>170</v>
      </c>
      <c r="H2389" s="2" t="s">
        <v>7679</v>
      </c>
      <c r="I2389" s="2" t="s">
        <v>36</v>
      </c>
      <c r="J2389" s="2" t="s">
        <v>37</v>
      </c>
      <c r="K2389" s="2" t="s">
        <v>38</v>
      </c>
      <c r="L2389" s="2" t="s">
        <v>39</v>
      </c>
      <c r="M2389" s="2" t="s">
        <v>38</v>
      </c>
      <c r="N2389" s="2" t="s">
        <v>39</v>
      </c>
      <c r="O2389" s="2" t="s">
        <v>39</v>
      </c>
      <c r="P2389" s="2" t="s">
        <v>38</v>
      </c>
      <c r="Q2389" s="2" t="s">
        <v>39</v>
      </c>
      <c r="R2389" s="2" t="s">
        <v>39</v>
      </c>
      <c r="S2389" s="2" t="s">
        <v>39</v>
      </c>
      <c r="T2389" s="2" t="s">
        <v>38</v>
      </c>
      <c r="U2389" s="2" t="s">
        <v>38</v>
      </c>
      <c r="V2389" s="2" t="s">
        <v>38</v>
      </c>
      <c r="W2389" s="2" t="s">
        <v>38</v>
      </c>
      <c r="X2389" s="2" t="s">
        <v>38</v>
      </c>
      <c r="Y2389" s="2" t="s">
        <v>39</v>
      </c>
      <c r="Z2389" s="2" t="s">
        <v>39</v>
      </c>
      <c r="AA2389" s="2" t="s">
        <v>39</v>
      </c>
      <c r="AB2389" s="2" t="s">
        <v>38</v>
      </c>
      <c r="AC2389" s="2" t="s">
        <v>39</v>
      </c>
      <c r="AD2389" s="2" t="s">
        <v>39</v>
      </c>
      <c r="AE2389" s="2" t="s">
        <v>39</v>
      </c>
    </row>
    <row r="2390" spans="1:31" ht="409.5">
      <c r="A2390" s="2">
        <v>2718665</v>
      </c>
      <c r="B2390" s="2">
        <f>HYPERLINK("https://platform.v2.vetology.net/cases/2718665/screening-report/1?type=pdf&amp;v=v6&amp;scorecard=1&amp;secret_key=BX%25IJ%24%2F65ieZ%29f6", 2718665)</f>
        <v>2718665</v>
      </c>
      <c r="C2390" s="2">
        <f>HYPERLINK("https://platform.v2.vetology.net/report/v/final/"&amp;2718665, 2718665)</f>
        <v>2718665</v>
      </c>
      <c r="D2390" s="2" t="s">
        <v>7680</v>
      </c>
      <c r="E2390" s="2" t="s">
        <v>7681</v>
      </c>
      <c r="F2390" s="2" t="s">
        <v>7682</v>
      </c>
      <c r="G2390" s="2" t="s">
        <v>127</v>
      </c>
      <c r="H2390" s="2" t="s">
        <v>7683</v>
      </c>
      <c r="I2390" s="2" t="s">
        <v>36</v>
      </c>
      <c r="J2390" s="2" t="s">
        <v>37</v>
      </c>
      <c r="K2390" s="2" t="s">
        <v>39</v>
      </c>
      <c r="L2390" s="2" t="s">
        <v>38</v>
      </c>
      <c r="M2390" s="2" t="s">
        <v>38</v>
      </c>
      <c r="N2390" s="2" t="s">
        <v>39</v>
      </c>
      <c r="O2390" s="2" t="s">
        <v>38</v>
      </c>
      <c r="P2390" s="2" t="s">
        <v>39</v>
      </c>
      <c r="Q2390" s="2" t="s">
        <v>39</v>
      </c>
      <c r="R2390" s="2" t="s">
        <v>38</v>
      </c>
      <c r="S2390" s="2" t="s">
        <v>38</v>
      </c>
      <c r="T2390" s="2" t="s">
        <v>39</v>
      </c>
      <c r="U2390" s="2" t="s">
        <v>39</v>
      </c>
      <c r="V2390" s="2" t="s">
        <v>39</v>
      </c>
      <c r="W2390" s="2" t="s">
        <v>38</v>
      </c>
      <c r="X2390" s="2" t="s">
        <v>39</v>
      </c>
      <c r="Y2390" s="2" t="s">
        <v>39</v>
      </c>
      <c r="Z2390" s="2" t="s">
        <v>38</v>
      </c>
      <c r="AA2390" s="2" t="s">
        <v>39</v>
      </c>
      <c r="AB2390" s="2" t="s">
        <v>39</v>
      </c>
      <c r="AC2390" s="2" t="s">
        <v>38</v>
      </c>
      <c r="AD2390" s="2" t="s">
        <v>39</v>
      </c>
      <c r="AE2390" s="2" t="s">
        <v>40</v>
      </c>
    </row>
    <row r="2391" spans="1:31" ht="409.5">
      <c r="A2391" s="2">
        <v>2718658</v>
      </c>
      <c r="B2391" s="2">
        <f>HYPERLINK("https://platform.v2.vetology.net/cases/2718658/screening-report/1?type=pdf&amp;v=v6&amp;scorecard=1&amp;secret_key=BX%25IJ%24%2F65ieZ%29f6", 2718658)</f>
        <v>2718658</v>
      </c>
      <c r="C2391" s="2">
        <f>HYPERLINK("https://platform.v2.vetology.net/report/v/final/"&amp;2718658, 2718658)</f>
        <v>2718658</v>
      </c>
      <c r="D2391" s="2" t="s">
        <v>7684</v>
      </c>
      <c r="E2391" s="2" t="s">
        <v>7685</v>
      </c>
      <c r="F2391" s="2" t="s">
        <v>7686</v>
      </c>
      <c r="G2391" s="2" t="s">
        <v>53</v>
      </c>
      <c r="H2391" s="2" t="s">
        <v>7687</v>
      </c>
      <c r="I2391" s="2" t="s">
        <v>129</v>
      </c>
      <c r="J2391" s="2" t="s">
        <v>74</v>
      </c>
      <c r="K2391" s="2" t="s">
        <v>39</v>
      </c>
      <c r="L2391" s="2" t="s">
        <v>39</v>
      </c>
      <c r="M2391" s="2" t="s">
        <v>38</v>
      </c>
      <c r="N2391" s="2" t="s">
        <v>39</v>
      </c>
      <c r="O2391" s="2" t="s">
        <v>38</v>
      </c>
      <c r="P2391" s="2" t="s">
        <v>38</v>
      </c>
      <c r="Q2391" s="2" t="s">
        <v>38</v>
      </c>
      <c r="R2391" s="2" t="s">
        <v>39</v>
      </c>
      <c r="S2391" s="2" t="s">
        <v>39</v>
      </c>
      <c r="T2391" s="2" t="s">
        <v>38</v>
      </c>
      <c r="U2391" s="2" t="s">
        <v>39</v>
      </c>
      <c r="V2391" s="2" t="s">
        <v>38</v>
      </c>
      <c r="W2391" s="2" t="s">
        <v>38</v>
      </c>
      <c r="X2391" s="2" t="s">
        <v>38</v>
      </c>
      <c r="Y2391" s="2" t="s">
        <v>38</v>
      </c>
      <c r="Z2391" s="2" t="s">
        <v>38</v>
      </c>
      <c r="AA2391" s="2" t="s">
        <v>38</v>
      </c>
      <c r="AB2391" s="2" t="s">
        <v>38</v>
      </c>
      <c r="AC2391" s="2" t="s">
        <v>38</v>
      </c>
      <c r="AD2391" s="2" t="s">
        <v>39</v>
      </c>
      <c r="AE2391" s="2" t="s">
        <v>40</v>
      </c>
    </row>
    <row r="2392" spans="1:31" ht="409.5">
      <c r="A2392" s="2">
        <v>2718657</v>
      </c>
      <c r="B2392" s="2">
        <f>HYPERLINK("https://platform.v2.vetology.net/cases/2718657/screening-report/1?type=pdf&amp;v=v6&amp;scorecard=1&amp;secret_key=BX%25IJ%24%2F65ieZ%29f6", 2718657)</f>
        <v>2718657</v>
      </c>
      <c r="C2392" s="2">
        <f>HYPERLINK("https://platform.v2.vetology.net/report/v/final/"&amp;2718657, 2718657)</f>
        <v>2718657</v>
      </c>
      <c r="D2392" s="2" t="s">
        <v>7688</v>
      </c>
      <c r="E2392" s="2" t="s">
        <v>7689</v>
      </c>
      <c r="F2392" s="2" t="s">
        <v>7690</v>
      </c>
      <c r="G2392" s="2" t="s">
        <v>53</v>
      </c>
      <c r="H2392" s="2" t="s">
        <v>7691</v>
      </c>
      <c r="I2392" s="2" t="s">
        <v>36</v>
      </c>
      <c r="J2392" s="2" t="s">
        <v>37</v>
      </c>
      <c r="K2392" s="2" t="s">
        <v>38</v>
      </c>
      <c r="L2392" s="2" t="s">
        <v>38</v>
      </c>
      <c r="M2392" s="2" t="s">
        <v>38</v>
      </c>
      <c r="N2392" s="2" t="s">
        <v>38</v>
      </c>
      <c r="O2392" s="2" t="s">
        <v>38</v>
      </c>
      <c r="P2392" s="2" t="s">
        <v>39</v>
      </c>
      <c r="Q2392" s="2" t="s">
        <v>39</v>
      </c>
      <c r="R2392" s="2" t="s">
        <v>39</v>
      </c>
      <c r="S2392" s="2" t="s">
        <v>39</v>
      </c>
      <c r="T2392" s="2" t="s">
        <v>38</v>
      </c>
      <c r="U2392" s="2" t="s">
        <v>38</v>
      </c>
      <c r="V2392" s="2" t="s">
        <v>38</v>
      </c>
      <c r="W2392" s="2" t="s">
        <v>38</v>
      </c>
      <c r="X2392" s="2" t="s">
        <v>39</v>
      </c>
      <c r="Y2392" s="2" t="s">
        <v>39</v>
      </c>
      <c r="Z2392" s="2" t="s">
        <v>38</v>
      </c>
      <c r="AA2392" s="2" t="s">
        <v>38</v>
      </c>
      <c r="AB2392" s="2" t="s">
        <v>39</v>
      </c>
      <c r="AC2392" s="2" t="s">
        <v>38</v>
      </c>
      <c r="AD2392" s="2" t="s">
        <v>39</v>
      </c>
      <c r="AE2392" s="2" t="s">
        <v>40</v>
      </c>
    </row>
    <row r="2393" spans="1:31" ht="409.5">
      <c r="A2393" s="2">
        <v>2718653</v>
      </c>
      <c r="B2393" s="2">
        <f>HYPERLINK("https://platform.v2.vetology.net/cases/2718653/screening-report/1?type=pdf&amp;v=v6&amp;scorecard=1&amp;secret_key=BX%25IJ%24%2F65ieZ%29f6", 2718653)</f>
        <v>2718653</v>
      </c>
      <c r="C2393" s="2">
        <f>HYPERLINK("https://platform.v2.vetology.net/report/v/final/"&amp;2718653, 2718653)</f>
        <v>2718653</v>
      </c>
      <c r="D2393" s="2" t="s">
        <v>7692</v>
      </c>
      <c r="E2393" s="2" t="s">
        <v>7693</v>
      </c>
      <c r="F2393" s="2" t="s">
        <v>43</v>
      </c>
      <c r="G2393" s="2" t="s">
        <v>507</v>
      </c>
      <c r="H2393" s="2" t="s">
        <v>1434</v>
      </c>
      <c r="I2393" s="2" t="s">
        <v>36</v>
      </c>
      <c r="J2393" s="2" t="s">
        <v>37</v>
      </c>
      <c r="K2393" s="2" t="s">
        <v>38</v>
      </c>
      <c r="L2393" s="2" t="s">
        <v>38</v>
      </c>
      <c r="M2393" s="2" t="s">
        <v>38</v>
      </c>
      <c r="N2393" s="2" t="s">
        <v>38</v>
      </c>
      <c r="O2393" s="2" t="s">
        <v>38</v>
      </c>
      <c r="P2393" s="2" t="s">
        <v>39</v>
      </c>
      <c r="Q2393" s="2" t="s">
        <v>39</v>
      </c>
      <c r="R2393" s="2" t="s">
        <v>38</v>
      </c>
      <c r="S2393" s="2" t="s">
        <v>38</v>
      </c>
      <c r="T2393" s="2" t="s">
        <v>39</v>
      </c>
      <c r="U2393" s="2" t="s">
        <v>38</v>
      </c>
      <c r="V2393" s="2" t="s">
        <v>38</v>
      </c>
      <c r="W2393" s="2" t="s">
        <v>38</v>
      </c>
      <c r="X2393" s="2" t="s">
        <v>39</v>
      </c>
      <c r="Y2393" s="2" t="s">
        <v>39</v>
      </c>
      <c r="Z2393" s="2" t="s">
        <v>38</v>
      </c>
      <c r="AA2393" s="2" t="s">
        <v>38</v>
      </c>
      <c r="AB2393" s="2" t="s">
        <v>39</v>
      </c>
      <c r="AC2393" s="2" t="s">
        <v>38</v>
      </c>
      <c r="AD2393" s="2" t="s">
        <v>38</v>
      </c>
      <c r="AE2393" s="2" t="s">
        <v>39</v>
      </c>
    </row>
    <row r="2394" spans="1:31" ht="409.5">
      <c r="A2394" s="2">
        <v>2718634</v>
      </c>
      <c r="B2394" s="2">
        <f>HYPERLINK("https://platform.v2.vetology.net/cases/2718634/screening-report/1?type=pdf&amp;v=v6&amp;scorecard=1&amp;secret_key=BX%25IJ%24%2F65ieZ%29f6", 2718634)</f>
        <v>2718634</v>
      </c>
      <c r="C2394" s="2">
        <f>HYPERLINK("https://platform.v2.vetology.net/report/v/final/"&amp;2718634, 2718634)</f>
        <v>2718634</v>
      </c>
      <c r="D2394" s="2" t="s">
        <v>7694</v>
      </c>
      <c r="E2394" s="2" t="s">
        <v>7695</v>
      </c>
      <c r="F2394" s="2" t="s">
        <v>7696</v>
      </c>
      <c r="G2394" s="2" t="s">
        <v>170</v>
      </c>
      <c r="H2394" s="2" t="s">
        <v>69</v>
      </c>
      <c r="I2394" s="2" t="s">
        <v>46</v>
      </c>
      <c r="J2394" s="2"/>
      <c r="K2394" s="2" t="s">
        <v>39</v>
      </c>
      <c r="L2394" s="2" t="s">
        <v>39</v>
      </c>
      <c r="M2394" s="2" t="s">
        <v>39</v>
      </c>
      <c r="N2394" s="2" t="s">
        <v>39</v>
      </c>
      <c r="O2394" s="2" t="s">
        <v>39</v>
      </c>
      <c r="P2394" s="2" t="s">
        <v>39</v>
      </c>
      <c r="Q2394" s="2" t="s">
        <v>39</v>
      </c>
      <c r="R2394" s="2" t="s">
        <v>39</v>
      </c>
      <c r="S2394" s="2" t="s">
        <v>39</v>
      </c>
      <c r="T2394" s="2" t="s">
        <v>39</v>
      </c>
      <c r="U2394" s="2" t="s">
        <v>39</v>
      </c>
      <c r="V2394" s="2" t="s">
        <v>39</v>
      </c>
      <c r="W2394" s="2" t="s">
        <v>38</v>
      </c>
      <c r="X2394" s="2" t="s">
        <v>39</v>
      </c>
      <c r="Y2394" s="2" t="s">
        <v>39</v>
      </c>
      <c r="Z2394" s="2" t="s">
        <v>38</v>
      </c>
      <c r="AA2394" s="2" t="s">
        <v>39</v>
      </c>
      <c r="AB2394" s="2" t="s">
        <v>39</v>
      </c>
      <c r="AC2394" s="2" t="s">
        <v>39</v>
      </c>
      <c r="AD2394" s="2" t="s">
        <v>39</v>
      </c>
      <c r="AE2394" s="2" t="s">
        <v>39</v>
      </c>
    </row>
    <row r="2395" spans="1:31" ht="409.5">
      <c r="A2395" s="2">
        <v>2718617</v>
      </c>
      <c r="B2395" s="2">
        <f>HYPERLINK("https://platform.v2.vetology.net/cases/2718617/screening-report/1?type=pdf&amp;v=v6&amp;scorecard=1&amp;secret_key=BX%25IJ%24%2F65ieZ%29f6", 2718617)</f>
        <v>2718617</v>
      </c>
      <c r="C2395" s="2">
        <f>HYPERLINK("https://platform.v2.vetology.net/report/v/final/"&amp;2718617, 2718617)</f>
        <v>2718617</v>
      </c>
      <c r="D2395" s="2" t="s">
        <v>7697</v>
      </c>
      <c r="E2395" s="2" t="s">
        <v>7698</v>
      </c>
      <c r="F2395" s="2" t="s">
        <v>243</v>
      </c>
      <c r="G2395" s="2" t="s">
        <v>127</v>
      </c>
      <c r="H2395" s="2" t="s">
        <v>6654</v>
      </c>
      <c r="I2395" s="2" t="s">
        <v>36</v>
      </c>
      <c r="J2395" s="2" t="s">
        <v>37</v>
      </c>
      <c r="K2395" s="2" t="s">
        <v>38</v>
      </c>
      <c r="L2395" s="2" t="s">
        <v>39</v>
      </c>
      <c r="M2395" s="2" t="s">
        <v>38</v>
      </c>
      <c r="N2395" s="2" t="s">
        <v>39</v>
      </c>
      <c r="O2395" s="2" t="s">
        <v>38</v>
      </c>
      <c r="P2395" s="2" t="s">
        <v>39</v>
      </c>
      <c r="Q2395" s="2" t="s">
        <v>39</v>
      </c>
      <c r="R2395" s="2" t="s">
        <v>38</v>
      </c>
      <c r="S2395" s="2" t="s">
        <v>38</v>
      </c>
      <c r="T2395" s="2" t="s">
        <v>38</v>
      </c>
      <c r="U2395" s="2" t="s">
        <v>38</v>
      </c>
      <c r="V2395" s="2" t="s">
        <v>38</v>
      </c>
      <c r="W2395" s="2" t="s">
        <v>38</v>
      </c>
      <c r="X2395" s="2" t="s">
        <v>39</v>
      </c>
      <c r="Y2395" s="2" t="s">
        <v>39</v>
      </c>
      <c r="Z2395" s="2" t="s">
        <v>38</v>
      </c>
      <c r="AA2395" s="2" t="s">
        <v>39</v>
      </c>
      <c r="AB2395" s="2" t="s">
        <v>39</v>
      </c>
      <c r="AC2395" s="2" t="s">
        <v>38</v>
      </c>
      <c r="AD2395" s="2" t="s">
        <v>38</v>
      </c>
      <c r="AE2395" s="2" t="s">
        <v>40</v>
      </c>
    </row>
    <row r="2396" spans="1:31" ht="409.5">
      <c r="A2396" s="2">
        <v>2718594</v>
      </c>
      <c r="B2396" s="2">
        <f>HYPERLINK("https://platform.v2.vetology.net/cases/2718594/screening-report/1?type=pdf&amp;v=v6&amp;scorecard=1&amp;secret_key=BX%25IJ%24%2F65ieZ%29f6", 2718594)</f>
        <v>2718594</v>
      </c>
      <c r="C2396" s="2">
        <f>HYPERLINK("https://platform.v2.vetology.net/report/v/final/"&amp;2718594, 2718594)</f>
        <v>2718594</v>
      </c>
      <c r="D2396" s="2" t="s">
        <v>7699</v>
      </c>
      <c r="E2396" s="2" t="s">
        <v>7700</v>
      </c>
      <c r="F2396" s="2" t="s">
        <v>7701</v>
      </c>
      <c r="G2396" s="2" t="s">
        <v>127</v>
      </c>
      <c r="H2396" s="2" t="s">
        <v>7702</v>
      </c>
      <c r="I2396" s="2" t="s">
        <v>129</v>
      </c>
      <c r="J2396" s="2" t="s">
        <v>74</v>
      </c>
      <c r="K2396" s="2" t="s">
        <v>39</v>
      </c>
      <c r="L2396" s="2" t="s">
        <v>39</v>
      </c>
      <c r="M2396" s="2" t="s">
        <v>38</v>
      </c>
      <c r="N2396" s="2" t="s">
        <v>38</v>
      </c>
      <c r="O2396" s="2" t="s">
        <v>38</v>
      </c>
      <c r="P2396" s="2" t="s">
        <v>38</v>
      </c>
      <c r="Q2396" s="2" t="s">
        <v>38</v>
      </c>
      <c r="R2396" s="2" t="s">
        <v>39</v>
      </c>
      <c r="S2396" s="2" t="s">
        <v>39</v>
      </c>
      <c r="T2396" s="2" t="s">
        <v>38</v>
      </c>
      <c r="U2396" s="2" t="s">
        <v>39</v>
      </c>
      <c r="V2396" s="2" t="s">
        <v>39</v>
      </c>
      <c r="W2396" s="2" t="s">
        <v>38</v>
      </c>
      <c r="X2396" s="2" t="s">
        <v>38</v>
      </c>
      <c r="Y2396" s="2" t="s">
        <v>39</v>
      </c>
      <c r="Z2396" s="2" t="s">
        <v>39</v>
      </c>
      <c r="AA2396" s="2" t="s">
        <v>39</v>
      </c>
      <c r="AB2396" s="2" t="s">
        <v>38</v>
      </c>
      <c r="AC2396" s="2" t="s">
        <v>39</v>
      </c>
      <c r="AD2396" s="2" t="s">
        <v>39</v>
      </c>
      <c r="AE2396" s="2" t="s">
        <v>40</v>
      </c>
    </row>
    <row r="2397" spans="1:31" ht="409.5">
      <c r="A2397" s="2">
        <v>2718544</v>
      </c>
      <c r="B2397" s="2">
        <f>HYPERLINK("https://platform.v2.vetology.net/cases/2718544/screening-report/1?type=pdf&amp;v=v6&amp;scorecard=1&amp;secret_key=BX%25IJ%24%2F65ieZ%29f6", 2718544)</f>
        <v>2718544</v>
      </c>
      <c r="C2397" s="2">
        <f>HYPERLINK("https://platform.v2.vetology.net/report/v/final/"&amp;2718544, 2718544)</f>
        <v>2718544</v>
      </c>
      <c r="D2397" s="2" t="s">
        <v>7703</v>
      </c>
      <c r="E2397" s="2" t="s">
        <v>7704</v>
      </c>
      <c r="F2397" s="2" t="s">
        <v>7705</v>
      </c>
      <c r="G2397" s="2" t="s">
        <v>53</v>
      </c>
      <c r="H2397" s="2" t="s">
        <v>530</v>
      </c>
      <c r="I2397" s="2" t="s">
        <v>59</v>
      </c>
      <c r="J2397" s="2" t="s">
        <v>37</v>
      </c>
      <c r="K2397" s="2" t="s">
        <v>38</v>
      </c>
      <c r="L2397" s="2" t="s">
        <v>39</v>
      </c>
      <c r="M2397" s="2" t="s">
        <v>39</v>
      </c>
      <c r="N2397" s="2" t="s">
        <v>39</v>
      </c>
      <c r="O2397" s="2" t="s">
        <v>39</v>
      </c>
      <c r="P2397" s="2" t="s">
        <v>39</v>
      </c>
      <c r="Q2397" s="2" t="s">
        <v>39</v>
      </c>
      <c r="R2397" s="2" t="s">
        <v>39</v>
      </c>
      <c r="S2397" s="2" t="s">
        <v>39</v>
      </c>
      <c r="T2397" s="2" t="s">
        <v>39</v>
      </c>
      <c r="U2397" s="2" t="s">
        <v>39</v>
      </c>
      <c r="V2397" s="2" t="s">
        <v>38</v>
      </c>
      <c r="W2397" s="2" t="s">
        <v>38</v>
      </c>
      <c r="X2397" s="2" t="s">
        <v>39</v>
      </c>
      <c r="Y2397" s="2" t="s">
        <v>39</v>
      </c>
      <c r="Z2397" s="2" t="s">
        <v>39</v>
      </c>
      <c r="AA2397" s="2" t="s">
        <v>39</v>
      </c>
      <c r="AB2397" s="2" t="s">
        <v>39</v>
      </c>
      <c r="AC2397" s="2" t="s">
        <v>38</v>
      </c>
      <c r="AD2397" s="2" t="s">
        <v>39</v>
      </c>
      <c r="AE2397" s="2" t="s">
        <v>39</v>
      </c>
    </row>
    <row r="2398" spans="1:31" ht="409.5">
      <c r="A2398" s="2">
        <v>2718516</v>
      </c>
      <c r="B2398" s="2">
        <f>HYPERLINK("https://platform.v2.vetology.net/cases/2718516/screening-report/1?type=pdf&amp;v=v6&amp;scorecard=1&amp;secret_key=BX%25IJ%24%2F65ieZ%29f6", 2718516)</f>
        <v>2718516</v>
      </c>
      <c r="C2398" s="2">
        <f>HYPERLINK("https://platform.v2.vetology.net/report/v/final/"&amp;2718516, 2718516)</f>
        <v>2718516</v>
      </c>
      <c r="D2398" s="2" t="s">
        <v>7706</v>
      </c>
      <c r="E2398" s="2" t="s">
        <v>7707</v>
      </c>
      <c r="F2398" s="2" t="s">
        <v>7708</v>
      </c>
      <c r="G2398" s="2" t="s">
        <v>170</v>
      </c>
      <c r="H2398" s="2" t="s">
        <v>45</v>
      </c>
      <c r="I2398" s="2" t="s">
        <v>46</v>
      </c>
      <c r="J2398" s="2"/>
      <c r="K2398" s="2" t="s">
        <v>39</v>
      </c>
      <c r="L2398" s="2" t="s">
        <v>39</v>
      </c>
      <c r="M2398" s="2" t="s">
        <v>39</v>
      </c>
      <c r="N2398" s="2" t="s">
        <v>39</v>
      </c>
      <c r="O2398" s="2" t="s">
        <v>38</v>
      </c>
      <c r="P2398" s="2" t="s">
        <v>39</v>
      </c>
      <c r="Q2398" s="2" t="s">
        <v>39</v>
      </c>
      <c r="R2398" s="2" t="s">
        <v>38</v>
      </c>
      <c r="S2398" s="2" t="s">
        <v>39</v>
      </c>
      <c r="T2398" s="2" t="s">
        <v>39</v>
      </c>
      <c r="U2398" s="2" t="s">
        <v>39</v>
      </c>
      <c r="V2398" s="2" t="s">
        <v>39</v>
      </c>
      <c r="W2398" s="2" t="s">
        <v>39</v>
      </c>
      <c r="X2398" s="2" t="s">
        <v>39</v>
      </c>
      <c r="Y2398" s="2" t="s">
        <v>39</v>
      </c>
      <c r="Z2398" s="2" t="s">
        <v>39</v>
      </c>
      <c r="AA2398" s="2" t="s">
        <v>39</v>
      </c>
      <c r="AB2398" s="2" t="s">
        <v>39</v>
      </c>
      <c r="AC2398" s="2" t="s">
        <v>38</v>
      </c>
      <c r="AD2398" s="2" t="s">
        <v>38</v>
      </c>
      <c r="AE2398" s="2" t="s">
        <v>40</v>
      </c>
    </row>
    <row r="2399" spans="1:31" ht="409.5">
      <c r="A2399" s="2">
        <v>2718454</v>
      </c>
      <c r="B2399" s="2">
        <f>HYPERLINK("https://platform.v2.vetology.net/cases/2718454/screening-report/1?type=pdf&amp;v=v6&amp;scorecard=1&amp;secret_key=BX%25IJ%24%2F65ieZ%29f6", 2718454)</f>
        <v>2718454</v>
      </c>
      <c r="C2399" s="2">
        <f>HYPERLINK("https://platform.v2.vetology.net/report/v/final/"&amp;2718454, 2718454)</f>
        <v>2718454</v>
      </c>
      <c r="D2399" s="2" t="s">
        <v>7709</v>
      </c>
      <c r="E2399" s="2" t="s">
        <v>7710</v>
      </c>
      <c r="F2399" s="2" t="s">
        <v>7711</v>
      </c>
      <c r="G2399" s="2" t="s">
        <v>53</v>
      </c>
      <c r="H2399" s="2" t="s">
        <v>7712</v>
      </c>
      <c r="I2399" s="2" t="s">
        <v>36</v>
      </c>
      <c r="J2399" s="2" t="s">
        <v>37</v>
      </c>
      <c r="K2399" s="2" t="s">
        <v>39</v>
      </c>
      <c r="L2399" s="2" t="s">
        <v>38</v>
      </c>
      <c r="M2399" s="2" t="s">
        <v>38</v>
      </c>
      <c r="N2399" s="2" t="s">
        <v>38</v>
      </c>
      <c r="O2399" s="2" t="s">
        <v>38</v>
      </c>
      <c r="P2399" s="2" t="s">
        <v>38</v>
      </c>
      <c r="Q2399" s="2" t="s">
        <v>39</v>
      </c>
      <c r="R2399" s="2" t="s">
        <v>38</v>
      </c>
      <c r="S2399" s="2" t="s">
        <v>38</v>
      </c>
      <c r="T2399" s="2" t="s">
        <v>38</v>
      </c>
      <c r="U2399" s="2" t="s">
        <v>39</v>
      </c>
      <c r="V2399" s="2" t="s">
        <v>39</v>
      </c>
      <c r="W2399" s="2" t="s">
        <v>38</v>
      </c>
      <c r="X2399" s="2" t="s">
        <v>38</v>
      </c>
      <c r="Y2399" s="2" t="s">
        <v>39</v>
      </c>
      <c r="Z2399" s="2" t="s">
        <v>38</v>
      </c>
      <c r="AA2399" s="2" t="s">
        <v>38</v>
      </c>
      <c r="AB2399" s="2" t="s">
        <v>38</v>
      </c>
      <c r="AC2399" s="2" t="s">
        <v>38</v>
      </c>
      <c r="AD2399" s="2" t="s">
        <v>38</v>
      </c>
      <c r="AE2399" s="2" t="s">
        <v>40</v>
      </c>
    </row>
    <row r="2400" spans="1:31" ht="409.5">
      <c r="A2400" s="2">
        <v>2718444</v>
      </c>
      <c r="B2400" s="2">
        <f>HYPERLINK("https://platform.v2.vetology.net/cases/2718444/screening-report/1?type=pdf&amp;v=v6&amp;scorecard=1&amp;secret_key=BX%25IJ%24%2F65ieZ%29f6", 2718444)</f>
        <v>2718444</v>
      </c>
      <c r="C2400" s="2">
        <f>HYPERLINK("https://platform.v2.vetology.net/report/v/final/"&amp;2718444, 2718444)</f>
        <v>2718444</v>
      </c>
      <c r="D2400" s="2" t="s">
        <v>7713</v>
      </c>
      <c r="E2400" s="2" t="s">
        <v>355</v>
      </c>
      <c r="F2400" s="2" t="s">
        <v>356</v>
      </c>
      <c r="G2400" s="2" t="s">
        <v>100</v>
      </c>
      <c r="H2400" s="2" t="s">
        <v>1550</v>
      </c>
      <c r="I2400" s="2" t="s">
        <v>73</v>
      </c>
      <c r="J2400" s="2" t="s">
        <v>74</v>
      </c>
      <c r="K2400" s="2" t="s">
        <v>38</v>
      </c>
      <c r="L2400" s="2" t="s">
        <v>38</v>
      </c>
      <c r="M2400" s="2" t="s">
        <v>38</v>
      </c>
      <c r="N2400" s="2" t="s">
        <v>38</v>
      </c>
      <c r="O2400" s="2" t="s">
        <v>38</v>
      </c>
      <c r="P2400" s="2" t="s">
        <v>38</v>
      </c>
      <c r="Q2400" s="2" t="s">
        <v>38</v>
      </c>
      <c r="R2400" s="2" t="s">
        <v>38</v>
      </c>
      <c r="S2400" s="2" t="s">
        <v>38</v>
      </c>
      <c r="T2400" s="2" t="s">
        <v>38</v>
      </c>
      <c r="U2400" s="2" t="s">
        <v>38</v>
      </c>
      <c r="V2400" s="2" t="s">
        <v>38</v>
      </c>
      <c r="W2400" s="2" t="s">
        <v>38</v>
      </c>
      <c r="X2400" s="2" t="s">
        <v>38</v>
      </c>
      <c r="Y2400" s="2" t="s">
        <v>38</v>
      </c>
      <c r="Z2400" s="2" t="s">
        <v>38</v>
      </c>
      <c r="AA2400" s="2" t="s">
        <v>38</v>
      </c>
      <c r="AB2400" s="2" t="s">
        <v>38</v>
      </c>
      <c r="AC2400" s="2" t="s">
        <v>38</v>
      </c>
      <c r="AD2400" s="2" t="s">
        <v>38</v>
      </c>
      <c r="AE2400" s="2" t="s">
        <v>40</v>
      </c>
    </row>
    <row r="2401" spans="1:31" ht="409.5">
      <c r="A2401" s="2">
        <v>2718403</v>
      </c>
      <c r="B2401" s="2">
        <f>HYPERLINK("https://platform.v2.vetology.net/cases/2718403/screening-report/1?type=pdf&amp;v=v6&amp;scorecard=1&amp;secret_key=BX%25IJ%24%2F65ieZ%29f6", 2718403)</f>
        <v>2718403</v>
      </c>
      <c r="C2401" s="2">
        <f>HYPERLINK("https://platform.v2.vetology.net/report/v/final/"&amp;2718403, 2718403)</f>
        <v>2718403</v>
      </c>
      <c r="D2401" s="2" t="s">
        <v>7714</v>
      </c>
      <c r="E2401" s="2" t="s">
        <v>7715</v>
      </c>
      <c r="F2401" s="2" t="s">
        <v>7716</v>
      </c>
      <c r="G2401" s="2" t="s">
        <v>170</v>
      </c>
      <c r="H2401" s="2" t="s">
        <v>45</v>
      </c>
      <c r="I2401" s="2" t="s">
        <v>46</v>
      </c>
      <c r="J2401" s="2"/>
      <c r="K2401" s="2" t="s">
        <v>39</v>
      </c>
      <c r="L2401" s="2" t="s">
        <v>39</v>
      </c>
      <c r="M2401" s="2" t="s">
        <v>39</v>
      </c>
      <c r="N2401" s="2" t="s">
        <v>39</v>
      </c>
      <c r="O2401" s="2" t="s">
        <v>38</v>
      </c>
      <c r="P2401" s="2" t="s">
        <v>39</v>
      </c>
      <c r="Q2401" s="2" t="s">
        <v>39</v>
      </c>
      <c r="R2401" s="2" t="s">
        <v>38</v>
      </c>
      <c r="S2401" s="2" t="s">
        <v>39</v>
      </c>
      <c r="T2401" s="2" t="s">
        <v>39</v>
      </c>
      <c r="U2401" s="2" t="s">
        <v>39</v>
      </c>
      <c r="V2401" s="2" t="s">
        <v>39</v>
      </c>
      <c r="W2401" s="2" t="s">
        <v>39</v>
      </c>
      <c r="X2401" s="2" t="s">
        <v>39</v>
      </c>
      <c r="Y2401" s="2" t="s">
        <v>39</v>
      </c>
      <c r="Z2401" s="2" t="s">
        <v>39</v>
      </c>
      <c r="AA2401" s="2" t="s">
        <v>39</v>
      </c>
      <c r="AB2401" s="2" t="s">
        <v>39</v>
      </c>
      <c r="AC2401" s="2" t="s">
        <v>38</v>
      </c>
      <c r="AD2401" s="2" t="s">
        <v>39</v>
      </c>
      <c r="AE2401" s="2" t="s">
        <v>39</v>
      </c>
    </row>
    <row r="2402" spans="1:31" ht="409.5">
      <c r="A2402" s="2">
        <v>2718310</v>
      </c>
      <c r="B2402" s="2">
        <f>HYPERLINK("https://platform.v2.vetology.net/cases/2718310/screening-report/1?type=pdf&amp;v=v6&amp;scorecard=1&amp;secret_key=BX%25IJ%24%2F65ieZ%29f6", 2718310)</f>
        <v>2718310</v>
      </c>
      <c r="C2402" s="2">
        <f>HYPERLINK("https://platform.v2.vetology.net/report/v/final/"&amp;2718310, 2718310)</f>
        <v>2718310</v>
      </c>
      <c r="D2402" s="2" t="s">
        <v>7717</v>
      </c>
      <c r="E2402" s="2" t="s">
        <v>7718</v>
      </c>
      <c r="F2402" s="2" t="s">
        <v>7719</v>
      </c>
      <c r="G2402" s="2" t="s">
        <v>170</v>
      </c>
      <c r="H2402" s="2" t="s">
        <v>7720</v>
      </c>
      <c r="I2402" s="2" t="s">
        <v>36</v>
      </c>
      <c r="J2402" s="2" t="s">
        <v>37</v>
      </c>
      <c r="K2402" s="2" t="s">
        <v>38</v>
      </c>
      <c r="L2402" s="2" t="s">
        <v>38</v>
      </c>
      <c r="M2402" s="2" t="s">
        <v>38</v>
      </c>
      <c r="N2402" s="2" t="s">
        <v>38</v>
      </c>
      <c r="O2402" s="2" t="s">
        <v>38</v>
      </c>
      <c r="P2402" s="2" t="s">
        <v>39</v>
      </c>
      <c r="Q2402" s="2" t="s">
        <v>39</v>
      </c>
      <c r="R2402" s="2" t="s">
        <v>38</v>
      </c>
      <c r="S2402" s="2" t="s">
        <v>38</v>
      </c>
      <c r="T2402" s="2" t="s">
        <v>39</v>
      </c>
      <c r="U2402" s="2" t="s">
        <v>38</v>
      </c>
      <c r="V2402" s="2" t="s">
        <v>38</v>
      </c>
      <c r="W2402" s="2" t="s">
        <v>38</v>
      </c>
      <c r="X2402" s="2" t="s">
        <v>38</v>
      </c>
      <c r="Y2402" s="2" t="s">
        <v>38</v>
      </c>
      <c r="Z2402" s="2" t="s">
        <v>38</v>
      </c>
      <c r="AA2402" s="2" t="s">
        <v>39</v>
      </c>
      <c r="AB2402" s="2" t="s">
        <v>38</v>
      </c>
      <c r="AC2402" s="2" t="s">
        <v>38</v>
      </c>
      <c r="AD2402" s="2" t="s">
        <v>38</v>
      </c>
      <c r="AE2402" s="2" t="s">
        <v>40</v>
      </c>
    </row>
    <row r="2403" spans="1:31" ht="409.5">
      <c r="A2403" s="2">
        <v>2718302</v>
      </c>
      <c r="B2403" s="2">
        <f>HYPERLINK("https://platform.v2.vetology.net/cases/2718302/screening-report/1?type=pdf&amp;v=v6&amp;scorecard=1&amp;secret_key=BX%25IJ%24%2F65ieZ%29f6", 2718302)</f>
        <v>2718302</v>
      </c>
      <c r="C2403" s="2">
        <f>HYPERLINK("https://platform.v2.vetology.net/report/v/final/"&amp;2718302, 2718302)</f>
        <v>2718302</v>
      </c>
      <c r="D2403" s="2" t="s">
        <v>7721</v>
      </c>
      <c r="E2403" s="2" t="s">
        <v>7722</v>
      </c>
      <c r="F2403" s="2" t="s">
        <v>7723</v>
      </c>
      <c r="G2403" s="2" t="s">
        <v>170</v>
      </c>
      <c r="H2403" s="2" t="s">
        <v>7724</v>
      </c>
      <c r="I2403" s="2" t="s">
        <v>129</v>
      </c>
      <c r="J2403" s="2" t="s">
        <v>74</v>
      </c>
      <c r="K2403" s="2" t="s">
        <v>39</v>
      </c>
      <c r="L2403" s="2" t="s">
        <v>38</v>
      </c>
      <c r="M2403" s="2" t="s">
        <v>38</v>
      </c>
      <c r="N2403" s="2" t="s">
        <v>39</v>
      </c>
      <c r="O2403" s="2" t="s">
        <v>38</v>
      </c>
      <c r="P2403" s="2" t="s">
        <v>38</v>
      </c>
      <c r="Q2403" s="2" t="s">
        <v>38</v>
      </c>
      <c r="R2403" s="2" t="s">
        <v>39</v>
      </c>
      <c r="S2403" s="2" t="s">
        <v>39</v>
      </c>
      <c r="T2403" s="2" t="s">
        <v>39</v>
      </c>
      <c r="U2403" s="2" t="s">
        <v>39</v>
      </c>
      <c r="V2403" s="2" t="s">
        <v>38</v>
      </c>
      <c r="W2403" s="2" t="s">
        <v>39</v>
      </c>
      <c r="X2403" s="2" t="s">
        <v>38</v>
      </c>
      <c r="Y2403" s="2" t="s">
        <v>39</v>
      </c>
      <c r="Z2403" s="2" t="s">
        <v>38</v>
      </c>
      <c r="AA2403" s="2" t="s">
        <v>38</v>
      </c>
      <c r="AB2403" s="2" t="s">
        <v>38</v>
      </c>
      <c r="AC2403" s="2" t="s">
        <v>39</v>
      </c>
      <c r="AD2403" s="2" t="s">
        <v>39</v>
      </c>
      <c r="AE2403" s="2" t="s">
        <v>40</v>
      </c>
    </row>
    <row r="2404" spans="1:31" ht="409.5">
      <c r="A2404" s="2">
        <v>2718295</v>
      </c>
      <c r="B2404" s="2">
        <f>HYPERLINK("https://platform.v2.vetology.net/cases/2718295/screening-report/1?type=pdf&amp;v=v6&amp;scorecard=1&amp;secret_key=BX%25IJ%24%2F65ieZ%29f6", 2718295)</f>
        <v>2718295</v>
      </c>
      <c r="C2404" s="2">
        <f>HYPERLINK("https://platform.v2.vetology.net/report/v/final/"&amp;2718295, 2718295)</f>
        <v>2718295</v>
      </c>
      <c r="D2404" s="2" t="s">
        <v>7725</v>
      </c>
      <c r="E2404" s="2" t="s">
        <v>7726</v>
      </c>
      <c r="F2404" s="2" t="s">
        <v>7727</v>
      </c>
      <c r="G2404" s="2" t="s">
        <v>53</v>
      </c>
      <c r="H2404" s="2" t="s">
        <v>69</v>
      </c>
      <c r="I2404" s="2" t="s">
        <v>46</v>
      </c>
      <c r="J2404" s="2"/>
      <c r="K2404" s="2" t="s">
        <v>39</v>
      </c>
      <c r="L2404" s="2" t="s">
        <v>39</v>
      </c>
      <c r="M2404" s="2" t="s">
        <v>39</v>
      </c>
      <c r="N2404" s="2" t="s">
        <v>39</v>
      </c>
      <c r="O2404" s="2" t="s">
        <v>38</v>
      </c>
      <c r="P2404" s="2" t="s">
        <v>39</v>
      </c>
      <c r="Q2404" s="2" t="s">
        <v>39</v>
      </c>
      <c r="R2404" s="2" t="s">
        <v>39</v>
      </c>
      <c r="S2404" s="2" t="s">
        <v>39</v>
      </c>
      <c r="T2404" s="2" t="s">
        <v>38</v>
      </c>
      <c r="U2404" s="2" t="s">
        <v>39</v>
      </c>
      <c r="V2404" s="2" t="s">
        <v>39</v>
      </c>
      <c r="W2404" s="2" t="s">
        <v>39</v>
      </c>
      <c r="X2404" s="2" t="s">
        <v>39</v>
      </c>
      <c r="Y2404" s="2" t="s">
        <v>39</v>
      </c>
      <c r="Z2404" s="2" t="s">
        <v>38</v>
      </c>
      <c r="AA2404" s="2" t="s">
        <v>39</v>
      </c>
      <c r="AB2404" s="2" t="s">
        <v>39</v>
      </c>
      <c r="AC2404" s="2" t="s">
        <v>38</v>
      </c>
      <c r="AD2404" s="2" t="s">
        <v>38</v>
      </c>
      <c r="AE2404" s="2" t="s">
        <v>39</v>
      </c>
    </row>
    <row r="2405" spans="1:31" ht="409.5">
      <c r="A2405" s="2">
        <v>2718287</v>
      </c>
      <c r="B2405" s="2">
        <f>HYPERLINK("https://platform.v2.vetology.net/cases/2718287/screening-report/1?type=pdf&amp;v=v6&amp;scorecard=1&amp;secret_key=BX%25IJ%24%2F65ieZ%29f6", 2718287)</f>
        <v>2718287</v>
      </c>
      <c r="C2405" s="2">
        <f>HYPERLINK("https://platform.v2.vetology.net/report/v/final/"&amp;2718287, 2718287)</f>
        <v>2718287</v>
      </c>
      <c r="D2405" s="2" t="s">
        <v>7728</v>
      </c>
      <c r="E2405" s="2" t="s">
        <v>2593</v>
      </c>
      <c r="F2405" s="2" t="s">
        <v>174</v>
      </c>
      <c r="G2405" s="2" t="s">
        <v>170</v>
      </c>
      <c r="H2405" s="2" t="s">
        <v>7729</v>
      </c>
      <c r="I2405" s="2" t="s">
        <v>36</v>
      </c>
      <c r="J2405" s="2" t="s">
        <v>37</v>
      </c>
      <c r="K2405" s="2" t="s">
        <v>39</v>
      </c>
      <c r="L2405" s="2" t="s">
        <v>39</v>
      </c>
      <c r="M2405" s="2" t="s">
        <v>39</v>
      </c>
      <c r="N2405" s="2" t="s">
        <v>39</v>
      </c>
      <c r="O2405" s="2" t="s">
        <v>39</v>
      </c>
      <c r="P2405" s="2" t="s">
        <v>39</v>
      </c>
      <c r="Q2405" s="2" t="s">
        <v>39</v>
      </c>
      <c r="R2405" s="2" t="s">
        <v>38</v>
      </c>
      <c r="S2405" s="2" t="s">
        <v>39</v>
      </c>
      <c r="T2405" s="2" t="s">
        <v>39</v>
      </c>
      <c r="U2405" s="2" t="s">
        <v>39</v>
      </c>
      <c r="V2405" s="2" t="s">
        <v>39</v>
      </c>
      <c r="W2405" s="2" t="s">
        <v>38</v>
      </c>
      <c r="X2405" s="2" t="s">
        <v>39</v>
      </c>
      <c r="Y2405" s="2" t="s">
        <v>39</v>
      </c>
      <c r="Z2405" s="2" t="s">
        <v>38</v>
      </c>
      <c r="AA2405" s="2" t="s">
        <v>39</v>
      </c>
      <c r="AB2405" s="2" t="s">
        <v>39</v>
      </c>
      <c r="AC2405" s="2" t="s">
        <v>38</v>
      </c>
      <c r="AD2405" s="2" t="s">
        <v>38</v>
      </c>
      <c r="AE2405" s="2" t="s">
        <v>39</v>
      </c>
    </row>
    <row r="2406" spans="1:31" ht="409.5">
      <c r="A2406" s="2">
        <v>2718282</v>
      </c>
      <c r="B2406" s="2">
        <f>HYPERLINK("https://platform.v2.vetology.net/cases/2718282/screening-report/1?type=pdf&amp;v=v6&amp;scorecard=1&amp;secret_key=BX%25IJ%24%2F65ieZ%29f6", 2718282)</f>
        <v>2718282</v>
      </c>
      <c r="C2406" s="2">
        <f>HYPERLINK("https://platform.v2.vetology.net/report/v/final/"&amp;2718282, 2718282)</f>
        <v>2718282</v>
      </c>
      <c r="D2406" s="2" t="s">
        <v>7730</v>
      </c>
      <c r="E2406" s="2" t="s">
        <v>7731</v>
      </c>
      <c r="F2406" s="2" t="s">
        <v>7732</v>
      </c>
      <c r="G2406" s="2" t="s">
        <v>170</v>
      </c>
      <c r="H2406" s="2" t="s">
        <v>1985</v>
      </c>
      <c r="I2406" s="2" t="s">
        <v>36</v>
      </c>
      <c r="J2406" s="2" t="s">
        <v>37</v>
      </c>
      <c r="K2406" s="2" t="s">
        <v>39</v>
      </c>
      <c r="L2406" s="2" t="s">
        <v>38</v>
      </c>
      <c r="M2406" s="2" t="s">
        <v>38</v>
      </c>
      <c r="N2406" s="2" t="s">
        <v>38</v>
      </c>
      <c r="O2406" s="2" t="s">
        <v>38</v>
      </c>
      <c r="P2406" s="2" t="s">
        <v>39</v>
      </c>
      <c r="Q2406" s="2" t="s">
        <v>39</v>
      </c>
      <c r="R2406" s="2" t="s">
        <v>39</v>
      </c>
      <c r="S2406" s="2" t="s">
        <v>39</v>
      </c>
      <c r="T2406" s="2" t="s">
        <v>39</v>
      </c>
      <c r="U2406" s="2" t="s">
        <v>39</v>
      </c>
      <c r="V2406" s="2" t="s">
        <v>39</v>
      </c>
      <c r="W2406" s="2" t="s">
        <v>39</v>
      </c>
      <c r="X2406" s="2" t="s">
        <v>39</v>
      </c>
      <c r="Y2406" s="2" t="s">
        <v>39</v>
      </c>
      <c r="Z2406" s="2" t="s">
        <v>38</v>
      </c>
      <c r="AA2406" s="2" t="s">
        <v>38</v>
      </c>
      <c r="AB2406" s="2" t="s">
        <v>39</v>
      </c>
      <c r="AC2406" s="2" t="s">
        <v>38</v>
      </c>
      <c r="AD2406" s="2" t="s">
        <v>39</v>
      </c>
      <c r="AE2406" s="2" t="s">
        <v>40</v>
      </c>
    </row>
    <row r="2407" spans="1:31" ht="409.5">
      <c r="A2407" s="2">
        <v>2718249</v>
      </c>
      <c r="B2407" s="2">
        <f>HYPERLINK("https://platform.v2.vetology.net/cases/2718249/screening-report/1?type=pdf&amp;v=v6&amp;scorecard=1&amp;secret_key=BX%25IJ%24%2F65ieZ%29f6", 2718249)</f>
        <v>2718249</v>
      </c>
      <c r="C2407" s="2">
        <f>HYPERLINK("https://platform.v2.vetology.net/report/v/final/"&amp;2718249, 2718249)</f>
        <v>2718249</v>
      </c>
      <c r="D2407" s="2" t="s">
        <v>7733</v>
      </c>
      <c r="E2407" s="2" t="s">
        <v>7734</v>
      </c>
      <c r="F2407" s="2" t="s">
        <v>7735</v>
      </c>
      <c r="G2407" s="2" t="s">
        <v>127</v>
      </c>
      <c r="H2407" s="2" t="s">
        <v>7601</v>
      </c>
      <c r="I2407" s="2" t="s">
        <v>36</v>
      </c>
      <c r="J2407" s="2" t="s">
        <v>37</v>
      </c>
      <c r="K2407" s="2" t="s">
        <v>39</v>
      </c>
      <c r="L2407" s="2" t="s">
        <v>38</v>
      </c>
      <c r="M2407" s="2" t="s">
        <v>38</v>
      </c>
      <c r="N2407" s="2" t="s">
        <v>38</v>
      </c>
      <c r="O2407" s="2" t="s">
        <v>38</v>
      </c>
      <c r="P2407" s="2" t="s">
        <v>38</v>
      </c>
      <c r="Q2407" s="2" t="s">
        <v>38</v>
      </c>
      <c r="R2407" s="2" t="s">
        <v>38</v>
      </c>
      <c r="S2407" s="2" t="s">
        <v>38</v>
      </c>
      <c r="T2407" s="2" t="s">
        <v>38</v>
      </c>
      <c r="U2407" s="2" t="s">
        <v>39</v>
      </c>
      <c r="V2407" s="2" t="s">
        <v>39</v>
      </c>
      <c r="W2407" s="2" t="s">
        <v>38</v>
      </c>
      <c r="X2407" s="2" t="s">
        <v>38</v>
      </c>
      <c r="Y2407" s="2" t="s">
        <v>39</v>
      </c>
      <c r="Z2407" s="2" t="s">
        <v>38</v>
      </c>
      <c r="AA2407" s="2" t="s">
        <v>38</v>
      </c>
      <c r="AB2407" s="2" t="s">
        <v>38</v>
      </c>
      <c r="AC2407" s="2" t="s">
        <v>38</v>
      </c>
      <c r="AD2407" s="2" t="s">
        <v>38</v>
      </c>
      <c r="AE2407" s="2" t="s">
        <v>40</v>
      </c>
    </row>
    <row r="2408" spans="1:31" ht="409.5">
      <c r="A2408" s="2">
        <v>2718242</v>
      </c>
      <c r="B2408" s="2">
        <f>HYPERLINK("https://platform.v2.vetology.net/cases/2718242/screening-report/1?type=pdf&amp;v=v6&amp;scorecard=1&amp;secret_key=BX%25IJ%24%2F65ieZ%29f6", 2718242)</f>
        <v>2718242</v>
      </c>
      <c r="C2408" s="2">
        <f>HYPERLINK("https://platform.v2.vetology.net/report/v/final/"&amp;2718242, 2718242)</f>
        <v>2718242</v>
      </c>
      <c r="D2408" s="2" t="s">
        <v>7736</v>
      </c>
      <c r="E2408" s="2" t="s">
        <v>7737</v>
      </c>
      <c r="F2408" s="2"/>
      <c r="G2408" s="2" t="s">
        <v>507</v>
      </c>
      <c r="H2408" s="2" t="s">
        <v>7738</v>
      </c>
      <c r="I2408" s="2" t="s">
        <v>59</v>
      </c>
      <c r="J2408" s="2" t="s">
        <v>37</v>
      </c>
      <c r="K2408" s="2" t="s">
        <v>38</v>
      </c>
      <c r="L2408" s="2" t="s">
        <v>39</v>
      </c>
      <c r="M2408" s="2" t="s">
        <v>39</v>
      </c>
      <c r="N2408" s="2" t="s">
        <v>39</v>
      </c>
      <c r="O2408" s="2" t="s">
        <v>39</v>
      </c>
      <c r="P2408" s="2" t="s">
        <v>39</v>
      </c>
      <c r="Q2408" s="2" t="s">
        <v>39</v>
      </c>
      <c r="R2408" s="2" t="s">
        <v>39</v>
      </c>
      <c r="S2408" s="2" t="s">
        <v>39</v>
      </c>
      <c r="T2408" s="2" t="s">
        <v>39</v>
      </c>
      <c r="U2408" s="2" t="s">
        <v>39</v>
      </c>
      <c r="V2408" s="2" t="s">
        <v>38</v>
      </c>
      <c r="W2408" s="2" t="s">
        <v>38</v>
      </c>
      <c r="X2408" s="2" t="s">
        <v>39</v>
      </c>
      <c r="Y2408" s="2" t="s">
        <v>39</v>
      </c>
      <c r="Z2408" s="2" t="s">
        <v>39</v>
      </c>
      <c r="AA2408" s="2" t="s">
        <v>38</v>
      </c>
      <c r="AB2408" s="2" t="s">
        <v>39</v>
      </c>
      <c r="AC2408" s="2" t="s">
        <v>38</v>
      </c>
      <c r="AD2408" s="2" t="s">
        <v>38</v>
      </c>
      <c r="AE2408" s="2" t="s">
        <v>40</v>
      </c>
    </row>
    <row r="2409" spans="1:31" ht="409.5">
      <c r="A2409" s="2">
        <v>2718126</v>
      </c>
      <c r="B2409" s="2">
        <f>HYPERLINK("https://platform.v2.vetology.net/cases/2718126/screening-report/1?type=pdf&amp;v=v6&amp;scorecard=1&amp;secret_key=BX%25IJ%24%2F65ieZ%29f6", 2718126)</f>
        <v>2718126</v>
      </c>
      <c r="C2409" s="2">
        <f>HYPERLINK("https://platform.v2.vetology.net/report/v/final/"&amp;2718126, 2718126)</f>
        <v>2718126</v>
      </c>
      <c r="D2409" s="2" t="s">
        <v>7739</v>
      </c>
      <c r="E2409" s="2" t="s">
        <v>7740</v>
      </c>
      <c r="F2409" s="2" t="s">
        <v>43</v>
      </c>
      <c r="G2409" s="2" t="s">
        <v>44</v>
      </c>
      <c r="H2409" s="2" t="s">
        <v>7741</v>
      </c>
      <c r="I2409" s="2" t="s">
        <v>73</v>
      </c>
      <c r="J2409" s="2" t="s">
        <v>74</v>
      </c>
      <c r="K2409" s="2" t="s">
        <v>38</v>
      </c>
      <c r="L2409" s="2" t="s">
        <v>38</v>
      </c>
      <c r="M2409" s="2" t="s">
        <v>38</v>
      </c>
      <c r="N2409" s="2" t="s">
        <v>38</v>
      </c>
      <c r="O2409" s="2" t="s">
        <v>38</v>
      </c>
      <c r="P2409" s="2" t="s">
        <v>38</v>
      </c>
      <c r="Q2409" s="2" t="s">
        <v>38</v>
      </c>
      <c r="R2409" s="2" t="s">
        <v>38</v>
      </c>
      <c r="S2409" s="2" t="s">
        <v>38</v>
      </c>
      <c r="T2409" s="2" t="s">
        <v>38</v>
      </c>
      <c r="U2409" s="2" t="s">
        <v>38</v>
      </c>
      <c r="V2409" s="2" t="s">
        <v>38</v>
      </c>
      <c r="W2409" s="2" t="s">
        <v>39</v>
      </c>
      <c r="X2409" s="2" t="s">
        <v>38</v>
      </c>
      <c r="Y2409" s="2" t="s">
        <v>39</v>
      </c>
      <c r="Z2409" s="2" t="s">
        <v>38</v>
      </c>
      <c r="AA2409" s="2" t="s">
        <v>38</v>
      </c>
      <c r="AB2409" s="2" t="s">
        <v>38</v>
      </c>
      <c r="AC2409" s="2" t="s">
        <v>38</v>
      </c>
      <c r="AD2409" s="2" t="s">
        <v>39</v>
      </c>
      <c r="AE2409" s="2" t="s">
        <v>39</v>
      </c>
    </row>
    <row r="2410" spans="1:31" ht="409.5">
      <c r="A2410" s="2">
        <v>2718121</v>
      </c>
      <c r="B2410" s="2">
        <f>HYPERLINK("https://platform.v2.vetology.net/cases/2718121/screening-report/1?type=pdf&amp;v=v6&amp;scorecard=1&amp;secret_key=BX%25IJ%24%2F65ieZ%29f6", 2718121)</f>
        <v>2718121</v>
      </c>
      <c r="C2410" s="2">
        <f>HYPERLINK("https://platform.v2.vetology.net/report/v/final/"&amp;2718121, 2718121)</f>
        <v>2718121</v>
      </c>
      <c r="D2410" s="2" t="s">
        <v>7742</v>
      </c>
      <c r="E2410" s="2" t="s">
        <v>7743</v>
      </c>
      <c r="F2410" s="2" t="s">
        <v>1897</v>
      </c>
      <c r="G2410" s="2" t="s">
        <v>81</v>
      </c>
      <c r="H2410" s="2" t="s">
        <v>2618</v>
      </c>
      <c r="I2410" s="2" t="s">
        <v>59</v>
      </c>
      <c r="J2410" s="2" t="s">
        <v>37</v>
      </c>
      <c r="K2410" s="2" t="s">
        <v>39</v>
      </c>
      <c r="L2410" s="2" t="s">
        <v>38</v>
      </c>
      <c r="M2410" s="2" t="s">
        <v>39</v>
      </c>
      <c r="N2410" s="2" t="s">
        <v>38</v>
      </c>
      <c r="O2410" s="2" t="s">
        <v>39</v>
      </c>
      <c r="P2410" s="2" t="s">
        <v>39</v>
      </c>
      <c r="Q2410" s="2" t="s">
        <v>39</v>
      </c>
      <c r="R2410" s="2" t="s">
        <v>38</v>
      </c>
      <c r="S2410" s="2" t="s">
        <v>39</v>
      </c>
      <c r="T2410" s="2" t="s">
        <v>39</v>
      </c>
      <c r="U2410" s="2" t="s">
        <v>39</v>
      </c>
      <c r="V2410" s="2" t="s">
        <v>39</v>
      </c>
      <c r="W2410" s="2" t="s">
        <v>39</v>
      </c>
      <c r="X2410" s="2" t="s">
        <v>39</v>
      </c>
      <c r="Y2410" s="2" t="s">
        <v>39</v>
      </c>
      <c r="Z2410" s="2" t="s">
        <v>38</v>
      </c>
      <c r="AA2410" s="2" t="s">
        <v>38</v>
      </c>
      <c r="AB2410" s="2" t="s">
        <v>39</v>
      </c>
      <c r="AC2410" s="2" t="s">
        <v>38</v>
      </c>
      <c r="AD2410" s="2" t="s">
        <v>38</v>
      </c>
      <c r="AE2410" s="2"/>
    </row>
    <row r="2411" spans="1:31" ht="409.5">
      <c r="A2411" s="2">
        <v>2718114</v>
      </c>
      <c r="B2411" s="2">
        <f>HYPERLINK("https://platform.v2.vetology.net/cases/2718114/screening-report/1?type=pdf&amp;v=v6&amp;scorecard=1&amp;secret_key=BX%25IJ%24%2F65ieZ%29f6", 2718114)</f>
        <v>2718114</v>
      </c>
      <c r="C2411" s="2">
        <f>HYPERLINK("https://platform.v2.vetology.net/report/v/final/"&amp;2718114, 2718114)</f>
        <v>2718114</v>
      </c>
      <c r="D2411" s="2" t="s">
        <v>7744</v>
      </c>
      <c r="E2411" s="2" t="s">
        <v>7745</v>
      </c>
      <c r="F2411" s="2" t="s">
        <v>7746</v>
      </c>
      <c r="G2411" s="2" t="s">
        <v>53</v>
      </c>
      <c r="H2411" s="2" t="s">
        <v>222</v>
      </c>
      <c r="I2411" s="2" t="s">
        <v>36</v>
      </c>
      <c r="J2411" s="2" t="s">
        <v>37</v>
      </c>
      <c r="K2411" s="2" t="s">
        <v>39</v>
      </c>
      <c r="L2411" s="2" t="s">
        <v>39</v>
      </c>
      <c r="M2411" s="2" t="s">
        <v>38</v>
      </c>
      <c r="N2411" s="2" t="s">
        <v>38</v>
      </c>
      <c r="O2411" s="2" t="s">
        <v>38</v>
      </c>
      <c r="P2411" s="2" t="s">
        <v>39</v>
      </c>
      <c r="Q2411" s="2" t="s">
        <v>39</v>
      </c>
      <c r="R2411" s="2" t="s">
        <v>38</v>
      </c>
      <c r="S2411" s="2" t="s">
        <v>38</v>
      </c>
      <c r="T2411" s="2" t="s">
        <v>39</v>
      </c>
      <c r="U2411" s="2" t="s">
        <v>39</v>
      </c>
      <c r="V2411" s="2" t="s">
        <v>39</v>
      </c>
      <c r="W2411" s="2" t="s">
        <v>38</v>
      </c>
      <c r="X2411" s="2" t="s">
        <v>39</v>
      </c>
      <c r="Y2411" s="2" t="s">
        <v>39</v>
      </c>
      <c r="Z2411" s="2" t="s">
        <v>38</v>
      </c>
      <c r="AA2411" s="2" t="s">
        <v>38</v>
      </c>
      <c r="AB2411" s="2" t="s">
        <v>39</v>
      </c>
      <c r="AC2411" s="2" t="s">
        <v>38</v>
      </c>
      <c r="AD2411" s="2" t="s">
        <v>39</v>
      </c>
      <c r="AE2411" s="2" t="s">
        <v>39</v>
      </c>
    </row>
    <row r="2412" spans="1:31" ht="409.5">
      <c r="A2412" s="2">
        <v>2718083</v>
      </c>
      <c r="B2412" s="2">
        <f>HYPERLINK("https://platform.v2.vetology.net/cases/2718083/screening-report/1?type=pdf&amp;v=v6&amp;scorecard=1&amp;secret_key=BX%25IJ%24%2F65ieZ%29f6", 2718083)</f>
        <v>2718083</v>
      </c>
      <c r="C2412" s="2">
        <f>HYPERLINK("https://platform.v2.vetology.net/report/v/final/"&amp;2718083, 2718083)</f>
        <v>2718083</v>
      </c>
      <c r="D2412" s="2" t="s">
        <v>7747</v>
      </c>
      <c r="E2412" s="2" t="s">
        <v>7748</v>
      </c>
      <c r="F2412" s="2" t="s">
        <v>7749</v>
      </c>
      <c r="G2412" s="2" t="s">
        <v>53</v>
      </c>
      <c r="H2412" s="2" t="s">
        <v>69</v>
      </c>
      <c r="I2412" s="2" t="s">
        <v>46</v>
      </c>
      <c r="J2412" s="2"/>
      <c r="K2412" s="2" t="s">
        <v>39</v>
      </c>
      <c r="L2412" s="2" t="s">
        <v>39</v>
      </c>
      <c r="M2412" s="2" t="s">
        <v>39</v>
      </c>
      <c r="N2412" s="2" t="s">
        <v>39</v>
      </c>
      <c r="O2412" s="2" t="s">
        <v>39</v>
      </c>
      <c r="P2412" s="2" t="s">
        <v>39</v>
      </c>
      <c r="Q2412" s="2" t="s">
        <v>39</v>
      </c>
      <c r="R2412" s="2" t="s">
        <v>39</v>
      </c>
      <c r="S2412" s="2" t="s">
        <v>39</v>
      </c>
      <c r="T2412" s="2" t="s">
        <v>39</v>
      </c>
      <c r="U2412" s="2" t="s">
        <v>39</v>
      </c>
      <c r="V2412" s="2" t="s">
        <v>39</v>
      </c>
      <c r="W2412" s="2" t="s">
        <v>39</v>
      </c>
      <c r="X2412" s="2" t="s">
        <v>39</v>
      </c>
      <c r="Y2412" s="2" t="s">
        <v>39</v>
      </c>
      <c r="Z2412" s="2" t="s">
        <v>39</v>
      </c>
      <c r="AA2412" s="2" t="s">
        <v>39</v>
      </c>
      <c r="AB2412" s="2" t="s">
        <v>39</v>
      </c>
      <c r="AC2412" s="2" t="s">
        <v>39</v>
      </c>
      <c r="AD2412" s="2" t="s">
        <v>39</v>
      </c>
      <c r="AE2412" s="2" t="s">
        <v>39</v>
      </c>
    </row>
    <row r="2413" spans="1:31" ht="409.5">
      <c r="A2413" s="2">
        <v>2718061</v>
      </c>
      <c r="B2413" s="2">
        <f>HYPERLINK("https://platform.v2.vetology.net/cases/2718061/screening-report/1?type=pdf&amp;v=v6&amp;scorecard=1&amp;secret_key=BX%25IJ%24%2F65ieZ%29f6", 2718061)</f>
        <v>2718061</v>
      </c>
      <c r="C2413" s="2">
        <f>HYPERLINK("https://platform.v2.vetology.net/report/v/final/"&amp;2718061, 2718061)</f>
        <v>2718061</v>
      </c>
      <c r="D2413" s="2" t="s">
        <v>7750</v>
      </c>
      <c r="E2413" s="2" t="s">
        <v>7751</v>
      </c>
      <c r="F2413" s="2" t="s">
        <v>7752</v>
      </c>
      <c r="G2413" s="2" t="s">
        <v>53</v>
      </c>
      <c r="H2413" s="2" t="s">
        <v>398</v>
      </c>
      <c r="I2413" s="2" t="s">
        <v>46</v>
      </c>
      <c r="J2413" s="2"/>
      <c r="K2413" s="2" t="s">
        <v>38</v>
      </c>
      <c r="L2413" s="2" t="s">
        <v>39</v>
      </c>
      <c r="M2413" s="2" t="s">
        <v>39</v>
      </c>
      <c r="N2413" s="2" t="s">
        <v>39</v>
      </c>
      <c r="O2413" s="2" t="s">
        <v>39</v>
      </c>
      <c r="P2413" s="2" t="s">
        <v>39</v>
      </c>
      <c r="Q2413" s="2" t="s">
        <v>39</v>
      </c>
      <c r="R2413" s="2" t="s">
        <v>39</v>
      </c>
      <c r="S2413" s="2" t="s">
        <v>39</v>
      </c>
      <c r="T2413" s="2" t="s">
        <v>39</v>
      </c>
      <c r="U2413" s="2" t="s">
        <v>39</v>
      </c>
      <c r="V2413" s="2" t="s">
        <v>39</v>
      </c>
      <c r="W2413" s="2" t="s">
        <v>39</v>
      </c>
      <c r="X2413" s="2" t="s">
        <v>39</v>
      </c>
      <c r="Y2413" s="2" t="s">
        <v>39</v>
      </c>
      <c r="Z2413" s="2" t="s">
        <v>39</v>
      </c>
      <c r="AA2413" s="2" t="s">
        <v>39</v>
      </c>
      <c r="AB2413" s="2" t="s">
        <v>39</v>
      </c>
      <c r="AC2413" s="2" t="s">
        <v>39</v>
      </c>
      <c r="AD2413" s="2" t="s">
        <v>39</v>
      </c>
      <c r="AE2413" s="2" t="s">
        <v>39</v>
      </c>
    </row>
    <row r="2414" spans="1:31" ht="409.5">
      <c r="A2414" s="2">
        <v>2718055</v>
      </c>
      <c r="B2414" s="2">
        <f>HYPERLINK("https://platform.v2.vetology.net/cases/2718055/screening-report/1?type=pdf&amp;v=v6&amp;scorecard=1&amp;secret_key=BX%25IJ%24%2F65ieZ%29f6", 2718055)</f>
        <v>2718055</v>
      </c>
      <c r="C2414" s="2">
        <f>HYPERLINK("https://platform.v2.vetology.net/report/v/final/"&amp;2718055, 2718055)</f>
        <v>2718055</v>
      </c>
      <c r="D2414" s="2" t="s">
        <v>7753</v>
      </c>
      <c r="E2414" s="2" t="s">
        <v>7754</v>
      </c>
      <c r="F2414" s="2" t="s">
        <v>43</v>
      </c>
      <c r="G2414" s="2" t="s">
        <v>507</v>
      </c>
      <c r="H2414" s="2" t="s">
        <v>3668</v>
      </c>
      <c r="I2414" s="2" t="s">
        <v>36</v>
      </c>
      <c r="J2414" s="2" t="s">
        <v>37</v>
      </c>
      <c r="K2414" s="2" t="s">
        <v>39</v>
      </c>
      <c r="L2414" s="2" t="s">
        <v>38</v>
      </c>
      <c r="M2414" s="2" t="s">
        <v>39</v>
      </c>
      <c r="N2414" s="2" t="s">
        <v>39</v>
      </c>
      <c r="O2414" s="2" t="s">
        <v>38</v>
      </c>
      <c r="P2414" s="2" t="s">
        <v>39</v>
      </c>
      <c r="Q2414" s="2" t="s">
        <v>39</v>
      </c>
      <c r="R2414" s="2" t="s">
        <v>39</v>
      </c>
      <c r="S2414" s="2" t="s">
        <v>38</v>
      </c>
      <c r="T2414" s="2" t="s">
        <v>39</v>
      </c>
      <c r="U2414" s="2" t="s">
        <v>39</v>
      </c>
      <c r="V2414" s="2" t="s">
        <v>38</v>
      </c>
      <c r="W2414" s="2" t="s">
        <v>38</v>
      </c>
      <c r="X2414" s="2" t="s">
        <v>39</v>
      </c>
      <c r="Y2414" s="2" t="s">
        <v>39</v>
      </c>
      <c r="Z2414" s="2" t="s">
        <v>38</v>
      </c>
      <c r="AA2414" s="2" t="s">
        <v>39</v>
      </c>
      <c r="AB2414" s="2" t="s">
        <v>39</v>
      </c>
      <c r="AC2414" s="2" t="s">
        <v>38</v>
      </c>
      <c r="AD2414" s="2" t="s">
        <v>38</v>
      </c>
      <c r="AE2414" s="2" t="s">
        <v>39</v>
      </c>
    </row>
    <row r="2415" spans="1:31" ht="409.5">
      <c r="A2415" s="2">
        <v>2718022</v>
      </c>
      <c r="B2415" s="2">
        <f>HYPERLINK("https://platform.v2.vetology.net/cases/2718022/screening-report/1?type=pdf&amp;v=v6&amp;scorecard=1&amp;secret_key=BX%25IJ%24%2F65ieZ%29f6", 2718022)</f>
        <v>2718022</v>
      </c>
      <c r="C2415" s="2">
        <f>HYPERLINK("https://platform.v2.vetology.net/report/v/final/"&amp;2718022, 2718022)</f>
        <v>2718022</v>
      </c>
      <c r="D2415" s="2" t="s">
        <v>7755</v>
      </c>
      <c r="E2415" s="2" t="s">
        <v>7756</v>
      </c>
      <c r="F2415" s="2" t="s">
        <v>7757</v>
      </c>
      <c r="G2415" s="2" t="s">
        <v>556</v>
      </c>
      <c r="H2415" s="2" t="s">
        <v>7758</v>
      </c>
      <c r="I2415" s="2" t="s">
        <v>73</v>
      </c>
      <c r="J2415" s="2" t="s">
        <v>74</v>
      </c>
      <c r="K2415" s="2" t="s">
        <v>38</v>
      </c>
      <c r="L2415" s="2" t="s">
        <v>38</v>
      </c>
      <c r="M2415" s="2" t="s">
        <v>38</v>
      </c>
      <c r="N2415" s="2" t="s">
        <v>38</v>
      </c>
      <c r="O2415" s="2" t="s">
        <v>38</v>
      </c>
      <c r="P2415" s="2" t="s">
        <v>38</v>
      </c>
      <c r="Q2415" s="2" t="s">
        <v>38</v>
      </c>
      <c r="R2415" s="2" t="s">
        <v>38</v>
      </c>
      <c r="S2415" s="2" t="s">
        <v>38</v>
      </c>
      <c r="T2415" s="2" t="s">
        <v>38</v>
      </c>
      <c r="U2415" s="2" t="s">
        <v>38</v>
      </c>
      <c r="V2415" s="2" t="s">
        <v>38</v>
      </c>
      <c r="W2415" s="2" t="s">
        <v>38</v>
      </c>
      <c r="X2415" s="2" t="s">
        <v>38</v>
      </c>
      <c r="Y2415" s="2" t="s">
        <v>38</v>
      </c>
      <c r="Z2415" s="2" t="s">
        <v>38</v>
      </c>
      <c r="AA2415" s="2" t="s">
        <v>38</v>
      </c>
      <c r="AB2415" s="2" t="s">
        <v>38</v>
      </c>
      <c r="AC2415" s="2" t="s">
        <v>38</v>
      </c>
      <c r="AD2415" s="2" t="s">
        <v>38</v>
      </c>
      <c r="AE2415" s="2" t="s">
        <v>40</v>
      </c>
    </row>
    <row r="2416" spans="1:31" ht="409.5">
      <c r="A2416" s="2">
        <v>2718016</v>
      </c>
      <c r="B2416" s="2">
        <f>HYPERLINK("https://platform.v2.vetology.net/cases/2718016/screening-report/1?type=pdf&amp;v=v6&amp;scorecard=1&amp;secret_key=BX%25IJ%24%2F65ieZ%29f6", 2718016)</f>
        <v>2718016</v>
      </c>
      <c r="C2416" s="2">
        <f>HYPERLINK("https://platform.v2.vetology.net/report/v/final/"&amp;2718016, 2718016)</f>
        <v>2718016</v>
      </c>
      <c r="D2416" s="2" t="s">
        <v>7759</v>
      </c>
      <c r="E2416" s="2" t="s">
        <v>7760</v>
      </c>
      <c r="F2416" s="2" t="s">
        <v>7761</v>
      </c>
      <c r="G2416" s="2" t="s">
        <v>507</v>
      </c>
      <c r="H2416" s="2" t="s">
        <v>7762</v>
      </c>
      <c r="I2416" s="2" t="s">
        <v>36</v>
      </c>
      <c r="J2416" s="2" t="s">
        <v>37</v>
      </c>
      <c r="K2416" s="2" t="s">
        <v>38</v>
      </c>
      <c r="L2416" s="2" t="s">
        <v>38</v>
      </c>
      <c r="M2416" s="2" t="s">
        <v>38</v>
      </c>
      <c r="N2416" s="2" t="s">
        <v>38</v>
      </c>
      <c r="O2416" s="2" t="s">
        <v>38</v>
      </c>
      <c r="P2416" s="2" t="s">
        <v>38</v>
      </c>
      <c r="Q2416" s="2" t="s">
        <v>39</v>
      </c>
      <c r="R2416" s="2" t="s">
        <v>39</v>
      </c>
      <c r="S2416" s="2" t="s">
        <v>38</v>
      </c>
      <c r="T2416" s="2" t="s">
        <v>38</v>
      </c>
      <c r="U2416" s="2" t="s">
        <v>39</v>
      </c>
      <c r="V2416" s="2" t="s">
        <v>39</v>
      </c>
      <c r="W2416" s="2" t="s">
        <v>38</v>
      </c>
      <c r="X2416" s="2" t="s">
        <v>38</v>
      </c>
      <c r="Y2416" s="2" t="s">
        <v>39</v>
      </c>
      <c r="Z2416" s="2" t="s">
        <v>38</v>
      </c>
      <c r="AA2416" s="2" t="s">
        <v>38</v>
      </c>
      <c r="AB2416" s="2" t="s">
        <v>39</v>
      </c>
      <c r="AC2416" s="2" t="s">
        <v>39</v>
      </c>
      <c r="AD2416" s="2" t="s">
        <v>38</v>
      </c>
      <c r="AE2416" s="2" t="s">
        <v>39</v>
      </c>
    </row>
    <row r="2417" spans="1:31" ht="409.5">
      <c r="A2417" s="2">
        <v>2718005</v>
      </c>
      <c r="B2417" s="2">
        <f>HYPERLINK("https://platform.v2.vetology.net/cases/2718005/screening-report/1?type=pdf&amp;v=v6&amp;scorecard=1&amp;secret_key=BX%25IJ%24%2F65ieZ%29f6", 2718005)</f>
        <v>2718005</v>
      </c>
      <c r="C2417" s="2">
        <f>HYPERLINK("https://platform.v2.vetology.net/report/v/final/"&amp;2718005, 2718005)</f>
        <v>2718005</v>
      </c>
      <c r="D2417" s="2" t="s">
        <v>7763</v>
      </c>
      <c r="E2417" s="2" t="s">
        <v>7764</v>
      </c>
      <c r="F2417" s="2" t="s">
        <v>7765</v>
      </c>
      <c r="G2417" s="2" t="s">
        <v>111</v>
      </c>
      <c r="H2417" s="2" t="s">
        <v>5391</v>
      </c>
      <c r="I2417" s="2" t="s">
        <v>36</v>
      </c>
      <c r="J2417" s="2" t="s">
        <v>37</v>
      </c>
      <c r="K2417" s="2" t="s">
        <v>38</v>
      </c>
      <c r="L2417" s="2" t="s">
        <v>39</v>
      </c>
      <c r="M2417" s="2" t="s">
        <v>39</v>
      </c>
      <c r="N2417" s="2" t="s">
        <v>38</v>
      </c>
      <c r="O2417" s="2" t="s">
        <v>38</v>
      </c>
      <c r="P2417" s="2" t="s">
        <v>39</v>
      </c>
      <c r="Q2417" s="2" t="s">
        <v>39</v>
      </c>
      <c r="R2417" s="2" t="s">
        <v>39</v>
      </c>
      <c r="S2417" s="2" t="s">
        <v>38</v>
      </c>
      <c r="T2417" s="2" t="s">
        <v>39</v>
      </c>
      <c r="U2417" s="2" t="s">
        <v>38</v>
      </c>
      <c r="V2417" s="2" t="s">
        <v>38</v>
      </c>
      <c r="W2417" s="2" t="s">
        <v>38</v>
      </c>
      <c r="X2417" s="2" t="s">
        <v>39</v>
      </c>
      <c r="Y2417" s="2" t="s">
        <v>39</v>
      </c>
      <c r="Z2417" s="2" t="s">
        <v>38</v>
      </c>
      <c r="AA2417" s="2" t="s">
        <v>38</v>
      </c>
      <c r="AB2417" s="2" t="s">
        <v>39</v>
      </c>
      <c r="AC2417" s="2" t="s">
        <v>38</v>
      </c>
      <c r="AD2417" s="2" t="s">
        <v>38</v>
      </c>
      <c r="AE2417" s="2" t="s">
        <v>40</v>
      </c>
    </row>
    <row r="2418" spans="1:31" ht="409.5">
      <c r="A2418" s="2">
        <v>2717998</v>
      </c>
      <c r="B2418" s="2">
        <f>HYPERLINK("https://platform.v2.vetology.net/cases/2717998/screening-report/1?type=pdf&amp;v=v6&amp;scorecard=1&amp;secret_key=BX%25IJ%24%2F65ieZ%29f6", 2717998)</f>
        <v>2717998</v>
      </c>
      <c r="C2418" s="2">
        <f>HYPERLINK("https://platform.v2.vetology.net/report/v/final/"&amp;2717998, 2717998)</f>
        <v>2717998</v>
      </c>
      <c r="D2418" s="2" t="s">
        <v>7766</v>
      </c>
      <c r="E2418" s="2" t="s">
        <v>7767</v>
      </c>
      <c r="F2418" s="2" t="s">
        <v>7768</v>
      </c>
      <c r="G2418" s="2" t="s">
        <v>556</v>
      </c>
      <c r="H2418" s="2" t="s">
        <v>1656</v>
      </c>
      <c r="I2418" s="2" t="s">
        <v>36</v>
      </c>
      <c r="J2418" s="2" t="s">
        <v>37</v>
      </c>
      <c r="K2418" s="2" t="s">
        <v>39</v>
      </c>
      <c r="L2418" s="2" t="s">
        <v>39</v>
      </c>
      <c r="M2418" s="2" t="s">
        <v>38</v>
      </c>
      <c r="N2418" s="2" t="s">
        <v>39</v>
      </c>
      <c r="O2418" s="2" t="s">
        <v>38</v>
      </c>
      <c r="P2418" s="2" t="s">
        <v>39</v>
      </c>
      <c r="Q2418" s="2" t="s">
        <v>39</v>
      </c>
      <c r="R2418" s="2" t="s">
        <v>38</v>
      </c>
      <c r="S2418" s="2" t="s">
        <v>38</v>
      </c>
      <c r="T2418" s="2" t="s">
        <v>38</v>
      </c>
      <c r="U2418" s="2" t="s">
        <v>38</v>
      </c>
      <c r="V2418" s="2" t="s">
        <v>38</v>
      </c>
      <c r="W2418" s="2" t="s">
        <v>38</v>
      </c>
      <c r="X2418" s="2" t="s">
        <v>39</v>
      </c>
      <c r="Y2418" s="2" t="s">
        <v>39</v>
      </c>
      <c r="Z2418" s="2" t="s">
        <v>38</v>
      </c>
      <c r="AA2418" s="2" t="s">
        <v>38</v>
      </c>
      <c r="AB2418" s="2" t="s">
        <v>39</v>
      </c>
      <c r="AC2418" s="2" t="s">
        <v>38</v>
      </c>
      <c r="AD2418" s="2" t="s">
        <v>38</v>
      </c>
      <c r="AE2418" s="2" t="s">
        <v>39</v>
      </c>
    </row>
    <row r="2419" spans="1:31" ht="409.5">
      <c r="A2419" s="2">
        <v>2717997</v>
      </c>
      <c r="B2419" s="2">
        <f>HYPERLINK("https://platform.v2.vetology.net/cases/2717997/screening-report/1?type=pdf&amp;v=v6&amp;scorecard=1&amp;secret_key=BX%25IJ%24%2F65ieZ%29f6", 2717997)</f>
        <v>2717997</v>
      </c>
      <c r="C2419" s="2">
        <f>HYPERLINK("https://platform.v2.vetology.net/report/v/final/"&amp;2717997, 2717997)</f>
        <v>2717997</v>
      </c>
      <c r="D2419" s="2" t="s">
        <v>7769</v>
      </c>
      <c r="E2419" s="2" t="s">
        <v>7770</v>
      </c>
      <c r="F2419" s="2" t="s">
        <v>7771</v>
      </c>
      <c r="G2419" s="2" t="s">
        <v>556</v>
      </c>
      <c r="H2419" s="2" t="s">
        <v>7772</v>
      </c>
      <c r="I2419" s="2" t="s">
        <v>129</v>
      </c>
      <c r="J2419" s="2" t="s">
        <v>74</v>
      </c>
      <c r="K2419" s="2" t="s">
        <v>39</v>
      </c>
      <c r="L2419" s="2" t="s">
        <v>38</v>
      </c>
      <c r="M2419" s="2" t="s">
        <v>38</v>
      </c>
      <c r="N2419" s="2" t="s">
        <v>38</v>
      </c>
      <c r="O2419" s="2" t="s">
        <v>38</v>
      </c>
      <c r="P2419" s="2" t="s">
        <v>39</v>
      </c>
      <c r="Q2419" s="2" t="s">
        <v>38</v>
      </c>
      <c r="R2419" s="2" t="s">
        <v>38</v>
      </c>
      <c r="S2419" s="2" t="s">
        <v>38</v>
      </c>
      <c r="T2419" s="2" t="s">
        <v>39</v>
      </c>
      <c r="U2419" s="2" t="s">
        <v>39</v>
      </c>
      <c r="V2419" s="2" t="s">
        <v>39</v>
      </c>
      <c r="W2419" s="2" t="s">
        <v>38</v>
      </c>
      <c r="X2419" s="2" t="s">
        <v>39</v>
      </c>
      <c r="Y2419" s="2" t="s">
        <v>39</v>
      </c>
      <c r="Z2419" s="2" t="s">
        <v>38</v>
      </c>
      <c r="AA2419" s="2" t="s">
        <v>38</v>
      </c>
      <c r="AB2419" s="2" t="s">
        <v>38</v>
      </c>
      <c r="AC2419" s="2" t="s">
        <v>38</v>
      </c>
      <c r="AD2419" s="2" t="s">
        <v>38</v>
      </c>
      <c r="AE2419" s="2"/>
    </row>
    <row r="2420" spans="1:31" ht="409.5">
      <c r="A2420" s="2">
        <v>2717989</v>
      </c>
      <c r="B2420" s="2">
        <f>HYPERLINK("https://platform.v2.vetology.net/cases/2717989/screening-report/1?type=pdf&amp;v=v6&amp;scorecard=1&amp;secret_key=BX%25IJ%24%2F65ieZ%29f6", 2717989)</f>
        <v>2717989</v>
      </c>
      <c r="C2420" s="2">
        <f>HYPERLINK("https://platform.v2.vetology.net/report/v/final/"&amp;2717989, 2717989)</f>
        <v>2717989</v>
      </c>
      <c r="D2420" s="2" t="s">
        <v>7773</v>
      </c>
      <c r="E2420" s="2" t="s">
        <v>7774</v>
      </c>
      <c r="F2420" s="2" t="s">
        <v>7775</v>
      </c>
      <c r="G2420" s="2" t="s">
        <v>53</v>
      </c>
      <c r="H2420" s="2" t="s">
        <v>7776</v>
      </c>
      <c r="I2420" s="2" t="s">
        <v>257</v>
      </c>
      <c r="J2420" s="2" t="s">
        <v>74</v>
      </c>
      <c r="K2420" s="2" t="s">
        <v>38</v>
      </c>
      <c r="L2420" s="2" t="s">
        <v>38</v>
      </c>
      <c r="M2420" s="2" t="s">
        <v>38</v>
      </c>
      <c r="N2420" s="2" t="s">
        <v>38</v>
      </c>
      <c r="O2420" s="2" t="s">
        <v>38</v>
      </c>
      <c r="P2420" s="2" t="s">
        <v>38</v>
      </c>
      <c r="Q2420" s="2" t="s">
        <v>38</v>
      </c>
      <c r="R2420" s="2" t="s">
        <v>38</v>
      </c>
      <c r="S2420" s="2" t="s">
        <v>38</v>
      </c>
      <c r="T2420" s="2" t="s">
        <v>38</v>
      </c>
      <c r="U2420" s="2" t="s">
        <v>38</v>
      </c>
      <c r="V2420" s="2" t="s">
        <v>38</v>
      </c>
      <c r="W2420" s="2" t="s">
        <v>38</v>
      </c>
      <c r="X2420" s="2" t="s">
        <v>38</v>
      </c>
      <c r="Y2420" s="2" t="s">
        <v>38</v>
      </c>
      <c r="Z2420" s="2" t="s">
        <v>38</v>
      </c>
      <c r="AA2420" s="2" t="s">
        <v>38</v>
      </c>
      <c r="AB2420" s="2" t="s">
        <v>38</v>
      </c>
      <c r="AC2420" s="2" t="s">
        <v>38</v>
      </c>
      <c r="AD2420" s="2" t="s">
        <v>38</v>
      </c>
      <c r="AE2420" s="2"/>
    </row>
    <row r="2421" spans="1:31" ht="409.5">
      <c r="A2421" s="2">
        <v>2717983</v>
      </c>
      <c r="B2421" s="2">
        <f>HYPERLINK("https://platform.v2.vetology.net/cases/2717983/screening-report/1?type=pdf&amp;v=v6&amp;scorecard=1&amp;secret_key=BX%25IJ%24%2F65ieZ%29f6", 2717983)</f>
        <v>2717983</v>
      </c>
      <c r="C2421" s="2">
        <f>HYPERLINK("https://platform.v2.vetology.net/report/v/final/"&amp;2717983, 2717983)</f>
        <v>2717983</v>
      </c>
      <c r="D2421" s="2" t="s">
        <v>7777</v>
      </c>
      <c r="E2421" s="2" t="s">
        <v>7778</v>
      </c>
      <c r="F2421" s="2" t="s">
        <v>7779</v>
      </c>
      <c r="G2421" s="2" t="s">
        <v>111</v>
      </c>
      <c r="H2421" s="2" t="s">
        <v>277</v>
      </c>
      <c r="I2421" s="2" t="s">
        <v>46</v>
      </c>
      <c r="J2421" s="2"/>
      <c r="K2421" s="2" t="s">
        <v>39</v>
      </c>
      <c r="L2421" s="2" t="s">
        <v>38</v>
      </c>
      <c r="M2421" s="2" t="s">
        <v>39</v>
      </c>
      <c r="N2421" s="2" t="s">
        <v>39</v>
      </c>
      <c r="O2421" s="2" t="s">
        <v>39</v>
      </c>
      <c r="P2421" s="2" t="s">
        <v>39</v>
      </c>
      <c r="Q2421" s="2" t="s">
        <v>39</v>
      </c>
      <c r="R2421" s="2" t="s">
        <v>39</v>
      </c>
      <c r="S2421" s="2" t="s">
        <v>39</v>
      </c>
      <c r="T2421" s="2" t="s">
        <v>39</v>
      </c>
      <c r="U2421" s="2" t="s">
        <v>39</v>
      </c>
      <c r="V2421" s="2" t="s">
        <v>39</v>
      </c>
      <c r="W2421" s="2" t="s">
        <v>39</v>
      </c>
      <c r="X2421" s="2" t="s">
        <v>39</v>
      </c>
      <c r="Y2421" s="2" t="s">
        <v>39</v>
      </c>
      <c r="Z2421" s="2" t="s">
        <v>39</v>
      </c>
      <c r="AA2421" s="2" t="s">
        <v>39</v>
      </c>
      <c r="AB2421" s="2" t="s">
        <v>39</v>
      </c>
      <c r="AC2421" s="2" t="s">
        <v>39</v>
      </c>
      <c r="AD2421" s="2" t="s">
        <v>38</v>
      </c>
      <c r="AE2421" s="2" t="s">
        <v>39</v>
      </c>
    </row>
    <row r="2422" spans="1:31" ht="409.5">
      <c r="A2422" s="2">
        <v>2717971</v>
      </c>
      <c r="B2422" s="2">
        <f>HYPERLINK("https://platform.v2.vetology.net/cases/2717971/screening-report/1?type=pdf&amp;v=v6&amp;scorecard=1&amp;secret_key=BX%25IJ%24%2F65ieZ%29f6", 2717971)</f>
        <v>2717971</v>
      </c>
      <c r="C2422" s="2">
        <f>HYPERLINK("https://platform.v2.vetology.net/report/v/final/"&amp;2717971, 2717971)</f>
        <v>2717971</v>
      </c>
      <c r="D2422" s="2" t="s">
        <v>7780</v>
      </c>
      <c r="E2422" s="2" t="s">
        <v>7781</v>
      </c>
      <c r="F2422" s="2"/>
      <c r="G2422" s="2" t="s">
        <v>507</v>
      </c>
      <c r="H2422" s="2" t="s">
        <v>69</v>
      </c>
      <c r="I2422" s="2" t="s">
        <v>36</v>
      </c>
      <c r="J2422" s="2" t="s">
        <v>37</v>
      </c>
      <c r="K2422" s="2" t="s">
        <v>39</v>
      </c>
      <c r="L2422" s="2" t="s">
        <v>39</v>
      </c>
      <c r="M2422" s="2" t="s">
        <v>39</v>
      </c>
      <c r="N2422" s="2" t="s">
        <v>39</v>
      </c>
      <c r="O2422" s="2" t="s">
        <v>38</v>
      </c>
      <c r="P2422" s="2" t="s">
        <v>39</v>
      </c>
      <c r="Q2422" s="2" t="s">
        <v>39</v>
      </c>
      <c r="R2422" s="2" t="s">
        <v>39</v>
      </c>
      <c r="S2422" s="2" t="s">
        <v>39</v>
      </c>
      <c r="T2422" s="2" t="s">
        <v>39</v>
      </c>
      <c r="U2422" s="2" t="s">
        <v>39</v>
      </c>
      <c r="V2422" s="2" t="s">
        <v>39</v>
      </c>
      <c r="W2422" s="2" t="s">
        <v>39</v>
      </c>
      <c r="X2422" s="2" t="s">
        <v>39</v>
      </c>
      <c r="Y2422" s="2" t="s">
        <v>39</v>
      </c>
      <c r="Z2422" s="2" t="s">
        <v>39</v>
      </c>
      <c r="AA2422" s="2" t="s">
        <v>38</v>
      </c>
      <c r="AB2422" s="2" t="s">
        <v>39</v>
      </c>
      <c r="AC2422" s="2" t="s">
        <v>38</v>
      </c>
      <c r="AD2422" s="2" t="s">
        <v>38</v>
      </c>
      <c r="AE2422" s="2" t="s">
        <v>39</v>
      </c>
    </row>
    <row r="2423" spans="1:31" ht="409.5">
      <c r="A2423" s="2">
        <v>2717853</v>
      </c>
      <c r="B2423" s="2">
        <f>HYPERLINK("https://platform.v2.vetology.net/cases/2717853/screening-report/1?type=pdf&amp;v=v6&amp;scorecard=1&amp;secret_key=BX%25IJ%24%2F65ieZ%29f6", 2717853)</f>
        <v>2717853</v>
      </c>
      <c r="C2423" s="2">
        <f>HYPERLINK("https://platform.v2.vetology.net/report/v/final/"&amp;2717853, 2717853)</f>
        <v>2717853</v>
      </c>
      <c r="D2423" s="2" t="s">
        <v>7782</v>
      </c>
      <c r="E2423" s="2" t="s">
        <v>7783</v>
      </c>
      <c r="F2423" s="2" t="s">
        <v>7784</v>
      </c>
      <c r="G2423" s="2" t="s">
        <v>111</v>
      </c>
      <c r="H2423" s="2" t="s">
        <v>7785</v>
      </c>
      <c r="I2423" s="2" t="s">
        <v>36</v>
      </c>
      <c r="J2423" s="2" t="s">
        <v>37</v>
      </c>
      <c r="K2423" s="2" t="s">
        <v>38</v>
      </c>
      <c r="L2423" s="2" t="s">
        <v>38</v>
      </c>
      <c r="M2423" s="2" t="s">
        <v>38</v>
      </c>
      <c r="N2423" s="2" t="s">
        <v>38</v>
      </c>
      <c r="O2423" s="2" t="s">
        <v>38</v>
      </c>
      <c r="P2423" s="2" t="s">
        <v>38</v>
      </c>
      <c r="Q2423" s="2" t="s">
        <v>39</v>
      </c>
      <c r="R2423" s="2" t="s">
        <v>38</v>
      </c>
      <c r="S2423" s="2" t="s">
        <v>38</v>
      </c>
      <c r="T2423" s="2" t="s">
        <v>38</v>
      </c>
      <c r="U2423" s="2" t="s">
        <v>39</v>
      </c>
      <c r="V2423" s="2" t="s">
        <v>38</v>
      </c>
      <c r="W2423" s="2" t="s">
        <v>38</v>
      </c>
      <c r="X2423" s="2" t="s">
        <v>39</v>
      </c>
      <c r="Y2423" s="2" t="s">
        <v>39</v>
      </c>
      <c r="Z2423" s="2" t="s">
        <v>38</v>
      </c>
      <c r="AA2423" s="2" t="s">
        <v>38</v>
      </c>
      <c r="AB2423" s="2" t="s">
        <v>39</v>
      </c>
      <c r="AC2423" s="2" t="s">
        <v>38</v>
      </c>
      <c r="AD2423" s="2" t="s">
        <v>38</v>
      </c>
      <c r="AE2423" s="2" t="s">
        <v>40</v>
      </c>
    </row>
    <row r="2424" spans="1:31" ht="409.5">
      <c r="A2424" s="2">
        <v>2717832</v>
      </c>
      <c r="B2424" s="2">
        <f>HYPERLINK("https://platform.v2.vetology.net/cases/2717832/screening-report/1?type=pdf&amp;v=v6&amp;scorecard=1&amp;secret_key=BX%25IJ%24%2F65ieZ%29f6", 2717832)</f>
        <v>2717832</v>
      </c>
      <c r="C2424" s="2">
        <f>HYPERLINK("https://platform.v2.vetology.net/report/v/final/"&amp;2717832, 2717832)</f>
        <v>2717832</v>
      </c>
      <c r="D2424" s="2" t="s">
        <v>7786</v>
      </c>
      <c r="E2424" s="2" t="s">
        <v>7787</v>
      </c>
      <c r="F2424" s="2" t="s">
        <v>7788</v>
      </c>
      <c r="G2424" s="2" t="s">
        <v>53</v>
      </c>
      <c r="H2424" s="2" t="s">
        <v>7789</v>
      </c>
      <c r="I2424" s="2" t="s">
        <v>36</v>
      </c>
      <c r="J2424" s="2" t="s">
        <v>37</v>
      </c>
      <c r="K2424" s="2" t="s">
        <v>38</v>
      </c>
      <c r="L2424" s="2" t="s">
        <v>38</v>
      </c>
      <c r="M2424" s="2" t="s">
        <v>39</v>
      </c>
      <c r="N2424" s="2" t="s">
        <v>38</v>
      </c>
      <c r="O2424" s="2" t="s">
        <v>38</v>
      </c>
      <c r="P2424" s="2" t="s">
        <v>39</v>
      </c>
      <c r="Q2424" s="2" t="s">
        <v>39</v>
      </c>
      <c r="R2424" s="2" t="s">
        <v>38</v>
      </c>
      <c r="S2424" s="2" t="s">
        <v>38</v>
      </c>
      <c r="T2424" s="2" t="s">
        <v>38</v>
      </c>
      <c r="U2424" s="2" t="s">
        <v>38</v>
      </c>
      <c r="V2424" s="2" t="s">
        <v>38</v>
      </c>
      <c r="W2424" s="2" t="s">
        <v>38</v>
      </c>
      <c r="X2424" s="2" t="s">
        <v>39</v>
      </c>
      <c r="Y2424" s="2" t="s">
        <v>39</v>
      </c>
      <c r="Z2424" s="2" t="s">
        <v>38</v>
      </c>
      <c r="AA2424" s="2" t="s">
        <v>38</v>
      </c>
      <c r="AB2424" s="2" t="s">
        <v>39</v>
      </c>
      <c r="AC2424" s="2" t="s">
        <v>38</v>
      </c>
      <c r="AD2424" s="2" t="s">
        <v>38</v>
      </c>
      <c r="AE2424" s="2" t="s">
        <v>39</v>
      </c>
    </row>
    <row r="2425" spans="1:31" ht="409.5">
      <c r="A2425" s="2">
        <v>2717830</v>
      </c>
      <c r="B2425" s="2">
        <f>HYPERLINK("https://platform.v2.vetology.net/cases/2717830/screening-report/1?type=pdf&amp;v=v6&amp;scorecard=1&amp;secret_key=BX%25IJ%24%2F65ieZ%29f6", 2717830)</f>
        <v>2717830</v>
      </c>
      <c r="C2425" s="2">
        <f>HYPERLINK("https://platform.v2.vetology.net/report/v/final/"&amp;2717830, 2717830)</f>
        <v>2717830</v>
      </c>
      <c r="D2425" s="2" t="s">
        <v>7790</v>
      </c>
      <c r="E2425" s="2" t="s">
        <v>7791</v>
      </c>
      <c r="F2425" s="2" t="s">
        <v>43</v>
      </c>
      <c r="G2425" s="2" t="s">
        <v>100</v>
      </c>
      <c r="H2425" s="2" t="s">
        <v>7792</v>
      </c>
      <c r="I2425" s="2" t="s">
        <v>73</v>
      </c>
      <c r="J2425" s="2" t="s">
        <v>74</v>
      </c>
      <c r="K2425" s="2" t="s">
        <v>38</v>
      </c>
      <c r="L2425" s="2" t="s">
        <v>39</v>
      </c>
      <c r="M2425" s="2" t="s">
        <v>39</v>
      </c>
      <c r="N2425" s="2" t="s">
        <v>38</v>
      </c>
      <c r="O2425" s="2" t="s">
        <v>38</v>
      </c>
      <c r="P2425" s="2" t="s">
        <v>38</v>
      </c>
      <c r="Q2425" s="2" t="s">
        <v>38</v>
      </c>
      <c r="R2425" s="2" t="s">
        <v>39</v>
      </c>
      <c r="S2425" s="2" t="s">
        <v>38</v>
      </c>
      <c r="T2425" s="2" t="s">
        <v>38</v>
      </c>
      <c r="U2425" s="2" t="s">
        <v>38</v>
      </c>
      <c r="V2425" s="2" t="s">
        <v>38</v>
      </c>
      <c r="W2425" s="2" t="s">
        <v>38</v>
      </c>
      <c r="X2425" s="2" t="s">
        <v>38</v>
      </c>
      <c r="Y2425" s="2" t="s">
        <v>39</v>
      </c>
      <c r="Z2425" s="2" t="s">
        <v>39</v>
      </c>
      <c r="AA2425" s="2" t="s">
        <v>38</v>
      </c>
      <c r="AB2425" s="2" t="s">
        <v>38</v>
      </c>
      <c r="AC2425" s="2" t="s">
        <v>38</v>
      </c>
      <c r="AD2425" s="2" t="s">
        <v>39</v>
      </c>
      <c r="AE2425" s="2" t="s">
        <v>40</v>
      </c>
    </row>
    <row r="2426" spans="1:31" ht="409.5">
      <c r="A2426" s="2">
        <v>2717810</v>
      </c>
      <c r="B2426" s="2">
        <f>HYPERLINK("https://platform.v2.vetology.net/cases/2717810/screening-report/1?type=pdf&amp;v=v6&amp;scorecard=1&amp;secret_key=BX%25IJ%24%2F65ieZ%29f6", 2717810)</f>
        <v>2717810</v>
      </c>
      <c r="C2426" s="2">
        <f>HYPERLINK("https://platform.v2.vetology.net/report/v/final/"&amp;2717810, 2717810)</f>
        <v>2717810</v>
      </c>
      <c r="D2426" s="2" t="s">
        <v>7793</v>
      </c>
      <c r="E2426" s="2" t="s">
        <v>7794</v>
      </c>
      <c r="F2426" s="2" t="s">
        <v>787</v>
      </c>
      <c r="G2426" s="2" t="s">
        <v>100</v>
      </c>
      <c r="H2426" s="2" t="s">
        <v>7795</v>
      </c>
      <c r="I2426" s="2" t="s">
        <v>129</v>
      </c>
      <c r="J2426" s="2" t="s">
        <v>74</v>
      </c>
      <c r="K2426" s="2" t="s">
        <v>38</v>
      </c>
      <c r="L2426" s="2" t="s">
        <v>39</v>
      </c>
      <c r="M2426" s="2" t="s">
        <v>38</v>
      </c>
      <c r="N2426" s="2" t="s">
        <v>38</v>
      </c>
      <c r="O2426" s="2" t="s">
        <v>38</v>
      </c>
      <c r="P2426" s="2" t="s">
        <v>38</v>
      </c>
      <c r="Q2426" s="2" t="s">
        <v>38</v>
      </c>
      <c r="R2426" s="2" t="s">
        <v>39</v>
      </c>
      <c r="S2426" s="2" t="s">
        <v>38</v>
      </c>
      <c r="T2426" s="2" t="s">
        <v>39</v>
      </c>
      <c r="U2426" s="2" t="s">
        <v>39</v>
      </c>
      <c r="V2426" s="2" t="s">
        <v>38</v>
      </c>
      <c r="W2426" s="2" t="s">
        <v>38</v>
      </c>
      <c r="X2426" s="2" t="s">
        <v>38</v>
      </c>
      <c r="Y2426" s="2" t="s">
        <v>38</v>
      </c>
      <c r="Z2426" s="2" t="s">
        <v>38</v>
      </c>
      <c r="AA2426" s="2" t="s">
        <v>38</v>
      </c>
      <c r="AB2426" s="2" t="s">
        <v>38</v>
      </c>
      <c r="AC2426" s="2" t="s">
        <v>38</v>
      </c>
      <c r="AD2426" s="2" t="s">
        <v>39</v>
      </c>
      <c r="AE2426" s="2" t="s">
        <v>40</v>
      </c>
    </row>
    <row r="2427" spans="1:31" ht="409.5">
      <c r="A2427" s="2">
        <v>2717772</v>
      </c>
      <c r="B2427" s="2">
        <f>HYPERLINK("https://platform.v2.vetology.net/cases/2717772/screening-report/1?type=pdf&amp;v=v6&amp;scorecard=1&amp;secret_key=BX%25IJ%24%2F65ieZ%29f6", 2717772)</f>
        <v>2717772</v>
      </c>
      <c r="C2427" s="2">
        <f>HYPERLINK("https://platform.v2.vetology.net/report/v/final/"&amp;2717772, 2717772)</f>
        <v>2717772</v>
      </c>
      <c r="D2427" s="2" t="s">
        <v>7796</v>
      </c>
      <c r="E2427" s="2" t="s">
        <v>7797</v>
      </c>
      <c r="F2427" s="2" t="s">
        <v>43</v>
      </c>
      <c r="G2427" s="2" t="s">
        <v>100</v>
      </c>
      <c r="H2427" s="2" t="s">
        <v>45</v>
      </c>
      <c r="I2427" s="2" t="s">
        <v>46</v>
      </c>
      <c r="J2427" s="2"/>
      <c r="K2427" s="2" t="s">
        <v>39</v>
      </c>
      <c r="L2427" s="2" t="s">
        <v>39</v>
      </c>
      <c r="M2427" s="2" t="s">
        <v>39</v>
      </c>
      <c r="N2427" s="2" t="s">
        <v>39</v>
      </c>
      <c r="O2427" s="2" t="s">
        <v>39</v>
      </c>
      <c r="P2427" s="2" t="s">
        <v>39</v>
      </c>
      <c r="Q2427" s="2" t="s">
        <v>39</v>
      </c>
      <c r="R2427" s="2" t="s">
        <v>38</v>
      </c>
      <c r="S2427" s="2" t="s">
        <v>39</v>
      </c>
      <c r="T2427" s="2" t="s">
        <v>38</v>
      </c>
      <c r="U2427" s="2" t="s">
        <v>39</v>
      </c>
      <c r="V2427" s="2" t="s">
        <v>39</v>
      </c>
      <c r="W2427" s="2" t="s">
        <v>39</v>
      </c>
      <c r="X2427" s="2" t="s">
        <v>39</v>
      </c>
      <c r="Y2427" s="2" t="s">
        <v>39</v>
      </c>
      <c r="Z2427" s="2" t="s">
        <v>38</v>
      </c>
      <c r="AA2427" s="2" t="s">
        <v>39</v>
      </c>
      <c r="AB2427" s="2" t="s">
        <v>39</v>
      </c>
      <c r="AC2427" s="2" t="s">
        <v>38</v>
      </c>
      <c r="AD2427" s="2" t="s">
        <v>38</v>
      </c>
      <c r="AE2427" s="2" t="s">
        <v>39</v>
      </c>
    </row>
    <row r="2428" spans="1:31" ht="409.5">
      <c r="A2428" s="2">
        <v>2717769</v>
      </c>
      <c r="B2428" s="2">
        <f>HYPERLINK("https://platform.v2.vetology.net/cases/2717769/screening-report/1?type=pdf&amp;v=v6&amp;scorecard=1&amp;secret_key=BX%25IJ%24%2F65ieZ%29f6", 2717769)</f>
        <v>2717769</v>
      </c>
      <c r="C2428" s="2">
        <f>HYPERLINK("https://platform.v2.vetology.net/report/v/final/"&amp;2717769, 2717769)</f>
        <v>2717769</v>
      </c>
      <c r="D2428" s="2" t="s">
        <v>7798</v>
      </c>
      <c r="E2428" s="2" t="s">
        <v>7799</v>
      </c>
      <c r="F2428" s="2" t="s">
        <v>43</v>
      </c>
      <c r="G2428" s="2" t="s">
        <v>100</v>
      </c>
      <c r="H2428" s="2" t="s">
        <v>797</v>
      </c>
      <c r="I2428" s="2" t="s">
        <v>59</v>
      </c>
      <c r="J2428" s="2" t="s">
        <v>37</v>
      </c>
      <c r="K2428" s="2" t="s">
        <v>38</v>
      </c>
      <c r="L2428" s="2" t="s">
        <v>39</v>
      </c>
      <c r="M2428" s="2" t="s">
        <v>39</v>
      </c>
      <c r="N2428" s="2" t="s">
        <v>39</v>
      </c>
      <c r="O2428" s="2" t="s">
        <v>38</v>
      </c>
      <c r="P2428" s="2" t="s">
        <v>39</v>
      </c>
      <c r="Q2428" s="2" t="s">
        <v>39</v>
      </c>
      <c r="R2428" s="2" t="s">
        <v>38</v>
      </c>
      <c r="S2428" s="2" t="s">
        <v>39</v>
      </c>
      <c r="T2428" s="2" t="s">
        <v>38</v>
      </c>
      <c r="U2428" s="2" t="s">
        <v>39</v>
      </c>
      <c r="V2428" s="2" t="s">
        <v>38</v>
      </c>
      <c r="W2428" s="2" t="s">
        <v>38</v>
      </c>
      <c r="X2428" s="2" t="s">
        <v>39</v>
      </c>
      <c r="Y2428" s="2" t="s">
        <v>39</v>
      </c>
      <c r="Z2428" s="2" t="s">
        <v>39</v>
      </c>
      <c r="AA2428" s="2" t="s">
        <v>39</v>
      </c>
      <c r="AB2428" s="2" t="s">
        <v>39</v>
      </c>
      <c r="AC2428" s="2" t="s">
        <v>38</v>
      </c>
      <c r="AD2428" s="2" t="s">
        <v>39</v>
      </c>
      <c r="AE2428" s="2" t="s">
        <v>40</v>
      </c>
    </row>
    <row r="2429" spans="1:31" ht="409.5">
      <c r="A2429" s="2">
        <v>2717761</v>
      </c>
      <c r="B2429" s="2">
        <f>HYPERLINK("https://platform.v2.vetology.net/cases/2717761/screening-report/1?type=pdf&amp;v=v6&amp;scorecard=1&amp;secret_key=BX%25IJ%24%2F65ieZ%29f6", 2717761)</f>
        <v>2717761</v>
      </c>
      <c r="C2429" s="2">
        <f>HYPERLINK("https://platform.v2.vetology.net/report/v/final/"&amp;2717761, 2717761)</f>
        <v>2717761</v>
      </c>
      <c r="D2429" s="2" t="s">
        <v>7800</v>
      </c>
      <c r="E2429" s="2" t="s">
        <v>7801</v>
      </c>
      <c r="F2429" s="2" t="s">
        <v>2082</v>
      </c>
      <c r="G2429" s="2" t="s">
        <v>170</v>
      </c>
      <c r="H2429" s="2" t="s">
        <v>394</v>
      </c>
      <c r="I2429" s="2" t="s">
        <v>59</v>
      </c>
      <c r="J2429" s="2" t="s">
        <v>37</v>
      </c>
      <c r="K2429" s="2" t="s">
        <v>38</v>
      </c>
      <c r="L2429" s="2" t="s">
        <v>39</v>
      </c>
      <c r="M2429" s="2" t="s">
        <v>39</v>
      </c>
      <c r="N2429" s="2" t="s">
        <v>39</v>
      </c>
      <c r="O2429" s="2" t="s">
        <v>39</v>
      </c>
      <c r="P2429" s="2" t="s">
        <v>39</v>
      </c>
      <c r="Q2429" s="2" t="s">
        <v>39</v>
      </c>
      <c r="R2429" s="2" t="s">
        <v>39</v>
      </c>
      <c r="S2429" s="2" t="s">
        <v>39</v>
      </c>
      <c r="T2429" s="2" t="s">
        <v>39</v>
      </c>
      <c r="U2429" s="2" t="s">
        <v>38</v>
      </c>
      <c r="V2429" s="2" t="s">
        <v>38</v>
      </c>
      <c r="W2429" s="2" t="s">
        <v>39</v>
      </c>
      <c r="X2429" s="2" t="s">
        <v>39</v>
      </c>
      <c r="Y2429" s="2" t="s">
        <v>39</v>
      </c>
      <c r="Z2429" s="2" t="s">
        <v>39</v>
      </c>
      <c r="AA2429" s="2" t="s">
        <v>39</v>
      </c>
      <c r="AB2429" s="2" t="s">
        <v>39</v>
      </c>
      <c r="AC2429" s="2" t="s">
        <v>39</v>
      </c>
      <c r="AD2429" s="2" t="s">
        <v>39</v>
      </c>
      <c r="AE2429" s="2" t="s">
        <v>39</v>
      </c>
    </row>
    <row r="2430" spans="1:31" ht="409.5">
      <c r="A2430" s="2">
        <v>2717742</v>
      </c>
      <c r="B2430" s="2">
        <f>HYPERLINK("https://platform.v2.vetology.net/cases/2717742/screening-report/1?type=pdf&amp;v=v6&amp;scorecard=1&amp;secret_key=BX%25IJ%24%2F65ieZ%29f6", 2717742)</f>
        <v>2717742</v>
      </c>
      <c r="C2430" s="2">
        <f>HYPERLINK("https://platform.v2.vetology.net/report/v/final/"&amp;2717742, 2717742)</f>
        <v>2717742</v>
      </c>
      <c r="D2430" s="2" t="s">
        <v>7802</v>
      </c>
      <c r="E2430" s="2" t="s">
        <v>7803</v>
      </c>
      <c r="F2430" s="2"/>
      <c r="G2430" s="2" t="s">
        <v>100</v>
      </c>
      <c r="H2430" s="2" t="s">
        <v>182</v>
      </c>
      <c r="I2430" s="2" t="s">
        <v>46</v>
      </c>
      <c r="J2430" s="2"/>
      <c r="K2430" s="2" t="s">
        <v>38</v>
      </c>
      <c r="L2430" s="2" t="s">
        <v>39</v>
      </c>
      <c r="M2430" s="2" t="s">
        <v>39</v>
      </c>
      <c r="N2430" s="2" t="s">
        <v>39</v>
      </c>
      <c r="O2430" s="2" t="s">
        <v>38</v>
      </c>
      <c r="P2430" s="2" t="s">
        <v>39</v>
      </c>
      <c r="Q2430" s="2" t="s">
        <v>39</v>
      </c>
      <c r="R2430" s="2" t="s">
        <v>38</v>
      </c>
      <c r="S2430" s="2" t="s">
        <v>39</v>
      </c>
      <c r="T2430" s="2" t="s">
        <v>39</v>
      </c>
      <c r="U2430" s="2" t="s">
        <v>39</v>
      </c>
      <c r="V2430" s="2" t="s">
        <v>39</v>
      </c>
      <c r="W2430" s="2" t="s">
        <v>39</v>
      </c>
      <c r="X2430" s="2" t="s">
        <v>39</v>
      </c>
      <c r="Y2430" s="2" t="s">
        <v>39</v>
      </c>
      <c r="Z2430" s="2" t="s">
        <v>39</v>
      </c>
      <c r="AA2430" s="2" t="s">
        <v>39</v>
      </c>
      <c r="AB2430" s="2" t="s">
        <v>39</v>
      </c>
      <c r="AC2430" s="2" t="s">
        <v>38</v>
      </c>
      <c r="AD2430" s="2" t="s">
        <v>39</v>
      </c>
      <c r="AE2430" s="2" t="s">
        <v>40</v>
      </c>
    </row>
    <row r="2431" spans="1:31" ht="409.5">
      <c r="A2431" s="2">
        <v>2717740</v>
      </c>
      <c r="B2431" s="2">
        <f>HYPERLINK("https://platform.v2.vetology.net/cases/2717740/screening-report/1?type=pdf&amp;v=v6&amp;scorecard=1&amp;secret_key=BX%25IJ%24%2F65ieZ%29f6", 2717740)</f>
        <v>2717740</v>
      </c>
      <c r="C2431" s="2">
        <f>HYPERLINK("https://platform.v2.vetology.net/report/v/final/"&amp;2717740, 2717740)</f>
        <v>2717740</v>
      </c>
      <c r="D2431" s="2" t="s">
        <v>7804</v>
      </c>
      <c r="E2431" s="2" t="s">
        <v>7805</v>
      </c>
      <c r="F2431" s="2" t="s">
        <v>6139</v>
      </c>
      <c r="G2431" s="2" t="s">
        <v>127</v>
      </c>
      <c r="H2431" s="2" t="s">
        <v>7806</v>
      </c>
      <c r="I2431" s="2" t="s">
        <v>36</v>
      </c>
      <c r="J2431" s="2" t="s">
        <v>37</v>
      </c>
      <c r="K2431" s="2" t="s">
        <v>38</v>
      </c>
      <c r="L2431" s="2" t="s">
        <v>38</v>
      </c>
      <c r="M2431" s="2" t="s">
        <v>38</v>
      </c>
      <c r="N2431" s="2" t="s">
        <v>38</v>
      </c>
      <c r="O2431" s="2" t="s">
        <v>38</v>
      </c>
      <c r="P2431" s="2" t="s">
        <v>39</v>
      </c>
      <c r="Q2431" s="2" t="s">
        <v>39</v>
      </c>
      <c r="R2431" s="2" t="s">
        <v>38</v>
      </c>
      <c r="S2431" s="2" t="s">
        <v>38</v>
      </c>
      <c r="T2431" s="2" t="s">
        <v>38</v>
      </c>
      <c r="U2431" s="2" t="s">
        <v>38</v>
      </c>
      <c r="V2431" s="2" t="s">
        <v>38</v>
      </c>
      <c r="W2431" s="2" t="s">
        <v>38</v>
      </c>
      <c r="X2431" s="2" t="s">
        <v>39</v>
      </c>
      <c r="Y2431" s="2" t="s">
        <v>39</v>
      </c>
      <c r="Z2431" s="2" t="s">
        <v>38</v>
      </c>
      <c r="AA2431" s="2" t="s">
        <v>38</v>
      </c>
      <c r="AB2431" s="2" t="s">
        <v>39</v>
      </c>
      <c r="AC2431" s="2" t="s">
        <v>38</v>
      </c>
      <c r="AD2431" s="2" t="s">
        <v>38</v>
      </c>
      <c r="AE2431" s="2" t="s">
        <v>40</v>
      </c>
    </row>
    <row r="2432" spans="1:31" ht="409.5">
      <c r="A2432" s="2">
        <v>2717733</v>
      </c>
      <c r="B2432" s="2">
        <f>HYPERLINK("https://platform.v2.vetology.net/cases/2717733/screening-report/1?type=pdf&amp;v=v6&amp;scorecard=1&amp;secret_key=BX%25IJ%24%2F65ieZ%29f6", 2717733)</f>
        <v>2717733</v>
      </c>
      <c r="C2432" s="2">
        <f>HYPERLINK("https://platform.v2.vetology.net/report/v/final/"&amp;2717733, 2717733)</f>
        <v>2717733</v>
      </c>
      <c r="D2432" s="2" t="s">
        <v>1543</v>
      </c>
      <c r="E2432" s="2" t="s">
        <v>1073</v>
      </c>
      <c r="F2432" s="2" t="s">
        <v>7807</v>
      </c>
      <c r="G2432" s="2" t="s">
        <v>100</v>
      </c>
      <c r="H2432" s="2" t="s">
        <v>7808</v>
      </c>
      <c r="I2432" s="2" t="s">
        <v>257</v>
      </c>
      <c r="J2432" s="2" t="s">
        <v>74</v>
      </c>
      <c r="K2432" s="2" t="s">
        <v>38</v>
      </c>
      <c r="L2432" s="2" t="s">
        <v>38</v>
      </c>
      <c r="M2432" s="2" t="s">
        <v>38</v>
      </c>
      <c r="N2432" s="2" t="s">
        <v>38</v>
      </c>
      <c r="O2432" s="2" t="s">
        <v>38</v>
      </c>
      <c r="P2432" s="2" t="s">
        <v>38</v>
      </c>
      <c r="Q2432" s="2" t="s">
        <v>38</v>
      </c>
      <c r="R2432" s="2" t="s">
        <v>38</v>
      </c>
      <c r="S2432" s="2" t="s">
        <v>38</v>
      </c>
      <c r="T2432" s="2" t="s">
        <v>38</v>
      </c>
      <c r="U2432" s="2" t="s">
        <v>38</v>
      </c>
      <c r="V2432" s="2" t="s">
        <v>38</v>
      </c>
      <c r="W2432" s="2" t="s">
        <v>38</v>
      </c>
      <c r="X2432" s="2" t="s">
        <v>38</v>
      </c>
      <c r="Y2432" s="2" t="s">
        <v>38</v>
      </c>
      <c r="Z2432" s="2" t="s">
        <v>38</v>
      </c>
      <c r="AA2432" s="2" t="s">
        <v>38</v>
      </c>
      <c r="AB2432" s="2" t="s">
        <v>38</v>
      </c>
      <c r="AC2432" s="2" t="s">
        <v>38</v>
      </c>
      <c r="AD2432" s="2" t="s">
        <v>38</v>
      </c>
      <c r="AE2432" s="2" t="s">
        <v>40</v>
      </c>
    </row>
    <row r="2433" spans="1:31" ht="409.5">
      <c r="A2433" s="2">
        <v>2717714</v>
      </c>
      <c r="B2433" s="2">
        <f>HYPERLINK("https://platform.v2.vetology.net/cases/2717714/screening-report/1?type=pdf&amp;v=v6&amp;scorecard=1&amp;secret_key=BX%25IJ%24%2F65ieZ%29f6", 2717714)</f>
        <v>2717714</v>
      </c>
      <c r="C2433" s="2">
        <f>HYPERLINK("https://platform.v2.vetology.net/report/v/final/"&amp;2717714, 2717714)</f>
        <v>2717714</v>
      </c>
      <c r="D2433" s="2" t="s">
        <v>7809</v>
      </c>
      <c r="E2433" s="2" t="s">
        <v>7810</v>
      </c>
      <c r="F2433" s="2"/>
      <c r="G2433" s="2" t="s">
        <v>507</v>
      </c>
      <c r="H2433" s="2" t="s">
        <v>7811</v>
      </c>
      <c r="I2433" s="2" t="s">
        <v>36</v>
      </c>
      <c r="J2433" s="2" t="s">
        <v>37</v>
      </c>
      <c r="K2433" s="2" t="s">
        <v>39</v>
      </c>
      <c r="L2433" s="2" t="s">
        <v>38</v>
      </c>
      <c r="M2433" s="2" t="s">
        <v>38</v>
      </c>
      <c r="N2433" s="2" t="s">
        <v>39</v>
      </c>
      <c r="O2433" s="2" t="s">
        <v>38</v>
      </c>
      <c r="P2433" s="2" t="s">
        <v>39</v>
      </c>
      <c r="Q2433" s="2" t="s">
        <v>39</v>
      </c>
      <c r="R2433" s="2" t="s">
        <v>38</v>
      </c>
      <c r="S2433" s="2" t="s">
        <v>39</v>
      </c>
      <c r="T2433" s="2" t="s">
        <v>39</v>
      </c>
      <c r="U2433" s="2" t="s">
        <v>39</v>
      </c>
      <c r="V2433" s="2" t="s">
        <v>39</v>
      </c>
      <c r="W2433" s="2" t="s">
        <v>38</v>
      </c>
      <c r="X2433" s="2" t="s">
        <v>39</v>
      </c>
      <c r="Y2433" s="2" t="s">
        <v>39</v>
      </c>
      <c r="Z2433" s="2" t="s">
        <v>38</v>
      </c>
      <c r="AA2433" s="2" t="s">
        <v>38</v>
      </c>
      <c r="AB2433" s="2" t="s">
        <v>39</v>
      </c>
      <c r="AC2433" s="2" t="s">
        <v>38</v>
      </c>
      <c r="AD2433" s="2" t="s">
        <v>38</v>
      </c>
      <c r="AE2433" s="2" t="s">
        <v>39</v>
      </c>
    </row>
    <row r="2434" spans="1:31" ht="409.5">
      <c r="A2434" s="2">
        <v>2717702</v>
      </c>
      <c r="B2434" s="2">
        <f>HYPERLINK("https://platform.v2.vetology.net/cases/2717702/screening-report/1?type=pdf&amp;v=v6&amp;scorecard=1&amp;secret_key=BX%25IJ%24%2F65ieZ%29f6", 2717702)</f>
        <v>2717702</v>
      </c>
      <c r="C2434" s="2">
        <f>HYPERLINK("https://platform.v2.vetology.net/report/v/final/"&amp;2717702, 2717702)</f>
        <v>2717702</v>
      </c>
      <c r="D2434" s="2" t="s">
        <v>1090</v>
      </c>
      <c r="E2434" s="2" t="s">
        <v>1091</v>
      </c>
      <c r="F2434" s="2" t="s">
        <v>787</v>
      </c>
      <c r="G2434" s="2" t="s">
        <v>100</v>
      </c>
      <c r="H2434" s="2" t="s">
        <v>7812</v>
      </c>
      <c r="I2434" s="2" t="s">
        <v>36</v>
      </c>
      <c r="J2434" s="2" t="s">
        <v>37</v>
      </c>
      <c r="K2434" s="2" t="s">
        <v>38</v>
      </c>
      <c r="L2434" s="2" t="s">
        <v>38</v>
      </c>
      <c r="M2434" s="2" t="s">
        <v>38</v>
      </c>
      <c r="N2434" s="2" t="s">
        <v>38</v>
      </c>
      <c r="O2434" s="2" t="s">
        <v>38</v>
      </c>
      <c r="P2434" s="2" t="s">
        <v>39</v>
      </c>
      <c r="Q2434" s="2" t="s">
        <v>39</v>
      </c>
      <c r="R2434" s="2" t="s">
        <v>38</v>
      </c>
      <c r="S2434" s="2" t="s">
        <v>38</v>
      </c>
      <c r="T2434" s="2" t="s">
        <v>38</v>
      </c>
      <c r="U2434" s="2" t="s">
        <v>38</v>
      </c>
      <c r="V2434" s="2" t="s">
        <v>38</v>
      </c>
      <c r="W2434" s="2" t="s">
        <v>38</v>
      </c>
      <c r="X2434" s="2" t="s">
        <v>39</v>
      </c>
      <c r="Y2434" s="2" t="s">
        <v>38</v>
      </c>
      <c r="Z2434" s="2" t="s">
        <v>38</v>
      </c>
      <c r="AA2434" s="2" t="s">
        <v>38</v>
      </c>
      <c r="AB2434" s="2" t="s">
        <v>39</v>
      </c>
      <c r="AC2434" s="2" t="s">
        <v>38</v>
      </c>
      <c r="AD2434" s="2" t="s">
        <v>38</v>
      </c>
      <c r="AE2434" s="2"/>
    </row>
    <row r="2435" spans="1:31" ht="409.5">
      <c r="A2435" s="2">
        <v>2717658</v>
      </c>
      <c r="B2435" s="2">
        <f>HYPERLINK("https://platform.v2.vetology.net/cases/2717658/screening-report/1?type=pdf&amp;v=v6&amp;scorecard=1&amp;secret_key=BX%25IJ%24%2F65ieZ%29f6", 2717658)</f>
        <v>2717658</v>
      </c>
      <c r="C2435" s="2">
        <f>HYPERLINK("https://platform.v2.vetology.net/report/v/final/"&amp;2717658, 2717658)</f>
        <v>2717658</v>
      </c>
      <c r="D2435" s="2" t="s">
        <v>7813</v>
      </c>
      <c r="E2435" s="2" t="s">
        <v>7814</v>
      </c>
      <c r="F2435" s="2" t="s">
        <v>7815</v>
      </c>
      <c r="G2435" s="2" t="s">
        <v>111</v>
      </c>
      <c r="H2435" s="2" t="s">
        <v>7816</v>
      </c>
      <c r="I2435" s="2" t="s">
        <v>36</v>
      </c>
      <c r="J2435" s="2" t="s">
        <v>37</v>
      </c>
      <c r="K2435" s="2" t="s">
        <v>38</v>
      </c>
      <c r="L2435" s="2" t="s">
        <v>38</v>
      </c>
      <c r="M2435" s="2" t="s">
        <v>39</v>
      </c>
      <c r="N2435" s="2" t="s">
        <v>38</v>
      </c>
      <c r="O2435" s="2" t="s">
        <v>39</v>
      </c>
      <c r="P2435" s="2" t="s">
        <v>39</v>
      </c>
      <c r="Q2435" s="2" t="s">
        <v>39</v>
      </c>
      <c r="R2435" s="2" t="s">
        <v>39</v>
      </c>
      <c r="S2435" s="2" t="s">
        <v>38</v>
      </c>
      <c r="T2435" s="2" t="s">
        <v>39</v>
      </c>
      <c r="U2435" s="2" t="s">
        <v>39</v>
      </c>
      <c r="V2435" s="2" t="s">
        <v>39</v>
      </c>
      <c r="W2435" s="2" t="s">
        <v>39</v>
      </c>
      <c r="X2435" s="2" t="s">
        <v>39</v>
      </c>
      <c r="Y2435" s="2" t="s">
        <v>39</v>
      </c>
      <c r="Z2435" s="2" t="s">
        <v>38</v>
      </c>
      <c r="AA2435" s="2" t="s">
        <v>39</v>
      </c>
      <c r="AB2435" s="2" t="s">
        <v>39</v>
      </c>
      <c r="AC2435" s="2" t="s">
        <v>38</v>
      </c>
      <c r="AD2435" s="2" t="s">
        <v>39</v>
      </c>
      <c r="AE2435" s="2" t="s">
        <v>40</v>
      </c>
    </row>
    <row r="2436" spans="1:31" ht="409.5">
      <c r="A2436" s="2">
        <v>2717592</v>
      </c>
      <c r="B2436" s="2">
        <f>HYPERLINK("https://platform.v2.vetology.net/cases/2717592/screening-report/1?type=pdf&amp;v=v6&amp;scorecard=1&amp;secret_key=BX%25IJ%24%2F65ieZ%29f6", 2717592)</f>
        <v>2717592</v>
      </c>
      <c r="C2436" s="2">
        <f>HYPERLINK("https://platform.v2.vetology.net/report/v/final/"&amp;2717592, 2717592)</f>
        <v>2717592</v>
      </c>
      <c r="D2436" s="2" t="s">
        <v>7817</v>
      </c>
      <c r="E2436" s="2" t="s">
        <v>7818</v>
      </c>
      <c r="F2436" s="2" t="s">
        <v>7819</v>
      </c>
      <c r="G2436" s="2" t="s">
        <v>170</v>
      </c>
      <c r="H2436" s="2" t="s">
        <v>7820</v>
      </c>
      <c r="I2436" s="2" t="s">
        <v>73</v>
      </c>
      <c r="J2436" s="2" t="s">
        <v>74</v>
      </c>
      <c r="K2436" s="2" t="s">
        <v>38</v>
      </c>
      <c r="L2436" s="2" t="s">
        <v>38</v>
      </c>
      <c r="M2436" s="2" t="s">
        <v>38</v>
      </c>
      <c r="N2436" s="2" t="s">
        <v>38</v>
      </c>
      <c r="O2436" s="2" t="s">
        <v>38</v>
      </c>
      <c r="P2436" s="2" t="s">
        <v>38</v>
      </c>
      <c r="Q2436" s="2" t="s">
        <v>38</v>
      </c>
      <c r="R2436" s="2" t="s">
        <v>38</v>
      </c>
      <c r="S2436" s="2" t="s">
        <v>38</v>
      </c>
      <c r="T2436" s="2" t="s">
        <v>38</v>
      </c>
      <c r="U2436" s="2" t="s">
        <v>38</v>
      </c>
      <c r="V2436" s="2" t="s">
        <v>38</v>
      </c>
      <c r="W2436" s="2" t="s">
        <v>38</v>
      </c>
      <c r="X2436" s="2" t="s">
        <v>38</v>
      </c>
      <c r="Y2436" s="2" t="s">
        <v>38</v>
      </c>
      <c r="Z2436" s="2" t="s">
        <v>38</v>
      </c>
      <c r="AA2436" s="2" t="s">
        <v>38</v>
      </c>
      <c r="AB2436" s="2" t="s">
        <v>38</v>
      </c>
      <c r="AC2436" s="2" t="s">
        <v>38</v>
      </c>
      <c r="AD2436" s="2" t="s">
        <v>38</v>
      </c>
      <c r="AE2436" s="2" t="s">
        <v>40</v>
      </c>
    </row>
    <row r="2437" spans="1:31" ht="409.5">
      <c r="A2437" s="2">
        <v>2717559</v>
      </c>
      <c r="B2437" s="2">
        <f>HYPERLINK("https://platform.v2.vetology.net/cases/2717559/screening-report/1?type=pdf&amp;v=v6&amp;scorecard=1&amp;secret_key=BX%25IJ%24%2F65ieZ%29f6", 2717559)</f>
        <v>2717559</v>
      </c>
      <c r="C2437" s="2">
        <f>HYPERLINK("https://platform.v2.vetology.net/report/v/final/"&amp;2717559, 2717559)</f>
        <v>2717559</v>
      </c>
      <c r="D2437" s="2" t="s">
        <v>7821</v>
      </c>
      <c r="E2437" s="2" t="s">
        <v>7822</v>
      </c>
      <c r="F2437" s="2" t="s">
        <v>7823</v>
      </c>
      <c r="G2437" s="2" t="s">
        <v>145</v>
      </c>
      <c r="H2437" s="2" t="s">
        <v>7824</v>
      </c>
      <c r="I2437" s="2" t="s">
        <v>73</v>
      </c>
      <c r="J2437" s="2" t="s">
        <v>74</v>
      </c>
      <c r="K2437" s="2" t="s">
        <v>38</v>
      </c>
      <c r="L2437" s="2" t="s">
        <v>38</v>
      </c>
      <c r="M2437" s="2" t="s">
        <v>38</v>
      </c>
      <c r="N2437" s="2" t="s">
        <v>38</v>
      </c>
      <c r="O2437" s="2" t="s">
        <v>38</v>
      </c>
      <c r="P2437" s="2" t="s">
        <v>38</v>
      </c>
      <c r="Q2437" s="2" t="s">
        <v>38</v>
      </c>
      <c r="R2437" s="2" t="s">
        <v>38</v>
      </c>
      <c r="S2437" s="2" t="s">
        <v>38</v>
      </c>
      <c r="T2437" s="2" t="s">
        <v>38</v>
      </c>
      <c r="U2437" s="2" t="s">
        <v>38</v>
      </c>
      <c r="V2437" s="2" t="s">
        <v>38</v>
      </c>
      <c r="W2437" s="2" t="s">
        <v>38</v>
      </c>
      <c r="X2437" s="2" t="s">
        <v>38</v>
      </c>
      <c r="Y2437" s="2" t="s">
        <v>39</v>
      </c>
      <c r="Z2437" s="2" t="s">
        <v>38</v>
      </c>
      <c r="AA2437" s="2" t="s">
        <v>38</v>
      </c>
      <c r="AB2437" s="2" t="s">
        <v>38</v>
      </c>
      <c r="AC2437" s="2" t="s">
        <v>38</v>
      </c>
      <c r="AD2437" s="2" t="s">
        <v>38</v>
      </c>
      <c r="AE2437" s="2" t="s">
        <v>39</v>
      </c>
    </row>
    <row r="2438" spans="1:31" ht="409.5">
      <c r="A2438" s="2">
        <v>2717529</v>
      </c>
      <c r="B2438" s="2">
        <f>HYPERLINK("https://platform.v2.vetology.net/cases/2717529/screening-report/1?type=pdf&amp;v=v6&amp;scorecard=1&amp;secret_key=BX%25IJ%24%2F65ieZ%29f6", 2717529)</f>
        <v>2717529</v>
      </c>
      <c r="C2438" s="2">
        <f>HYPERLINK("https://platform.v2.vetology.net/report/v/final/"&amp;2717529, 2717529)</f>
        <v>2717529</v>
      </c>
      <c r="D2438" s="2" t="s">
        <v>7825</v>
      </c>
      <c r="E2438" s="2" t="s">
        <v>7826</v>
      </c>
      <c r="F2438" s="2" t="s">
        <v>7732</v>
      </c>
      <c r="G2438" s="2" t="s">
        <v>170</v>
      </c>
      <c r="H2438" s="2" t="s">
        <v>7827</v>
      </c>
      <c r="I2438" s="2" t="s">
        <v>129</v>
      </c>
      <c r="J2438" s="2" t="s">
        <v>74</v>
      </c>
      <c r="K2438" s="2" t="s">
        <v>38</v>
      </c>
      <c r="L2438" s="2" t="s">
        <v>38</v>
      </c>
      <c r="M2438" s="2" t="s">
        <v>38</v>
      </c>
      <c r="N2438" s="2" t="s">
        <v>38</v>
      </c>
      <c r="O2438" s="2" t="s">
        <v>38</v>
      </c>
      <c r="P2438" s="2" t="s">
        <v>39</v>
      </c>
      <c r="Q2438" s="2" t="s">
        <v>38</v>
      </c>
      <c r="R2438" s="2" t="s">
        <v>39</v>
      </c>
      <c r="S2438" s="2" t="s">
        <v>38</v>
      </c>
      <c r="T2438" s="2" t="s">
        <v>38</v>
      </c>
      <c r="U2438" s="2" t="s">
        <v>39</v>
      </c>
      <c r="V2438" s="2" t="s">
        <v>38</v>
      </c>
      <c r="W2438" s="2" t="s">
        <v>38</v>
      </c>
      <c r="X2438" s="2" t="s">
        <v>38</v>
      </c>
      <c r="Y2438" s="2" t="s">
        <v>39</v>
      </c>
      <c r="Z2438" s="2" t="s">
        <v>38</v>
      </c>
      <c r="AA2438" s="2" t="s">
        <v>38</v>
      </c>
      <c r="AB2438" s="2" t="s">
        <v>38</v>
      </c>
      <c r="AC2438" s="2" t="s">
        <v>38</v>
      </c>
      <c r="AD2438" s="2" t="s">
        <v>39</v>
      </c>
      <c r="AE2438" s="2" t="s">
        <v>39</v>
      </c>
    </row>
    <row r="2439" spans="1:31" ht="409.5">
      <c r="A2439" s="2">
        <v>2717526</v>
      </c>
      <c r="B2439" s="2">
        <f>HYPERLINK("https://platform.v2.vetology.net/cases/2717526/screening-report/1?type=pdf&amp;v=v6&amp;scorecard=1&amp;secret_key=BX%25IJ%24%2F65ieZ%29f6", 2717526)</f>
        <v>2717526</v>
      </c>
      <c r="C2439" s="2">
        <f>HYPERLINK("https://platform.v2.vetology.net/report/v/final/"&amp;2717526, 2717526)</f>
        <v>2717526</v>
      </c>
      <c r="D2439" s="2" t="s">
        <v>7828</v>
      </c>
      <c r="E2439" s="2" t="s">
        <v>7829</v>
      </c>
      <c r="F2439" s="2" t="s">
        <v>787</v>
      </c>
      <c r="G2439" s="2" t="s">
        <v>100</v>
      </c>
      <c r="H2439" s="2" t="s">
        <v>93</v>
      </c>
      <c r="I2439" s="2" t="s">
        <v>59</v>
      </c>
      <c r="J2439" s="2" t="s">
        <v>37</v>
      </c>
      <c r="K2439" s="2" t="s">
        <v>38</v>
      </c>
      <c r="L2439" s="2" t="s">
        <v>39</v>
      </c>
      <c r="M2439" s="2" t="s">
        <v>39</v>
      </c>
      <c r="N2439" s="2" t="s">
        <v>38</v>
      </c>
      <c r="O2439" s="2" t="s">
        <v>39</v>
      </c>
      <c r="P2439" s="2" t="s">
        <v>39</v>
      </c>
      <c r="Q2439" s="2" t="s">
        <v>39</v>
      </c>
      <c r="R2439" s="2" t="s">
        <v>39</v>
      </c>
      <c r="S2439" s="2" t="s">
        <v>39</v>
      </c>
      <c r="T2439" s="2" t="s">
        <v>38</v>
      </c>
      <c r="U2439" s="2" t="s">
        <v>38</v>
      </c>
      <c r="V2439" s="2" t="s">
        <v>38</v>
      </c>
      <c r="W2439" s="2" t="s">
        <v>39</v>
      </c>
      <c r="X2439" s="2" t="s">
        <v>39</v>
      </c>
      <c r="Y2439" s="2" t="s">
        <v>39</v>
      </c>
      <c r="Z2439" s="2" t="s">
        <v>38</v>
      </c>
      <c r="AA2439" s="2" t="s">
        <v>38</v>
      </c>
      <c r="AB2439" s="2" t="s">
        <v>39</v>
      </c>
      <c r="AC2439" s="2" t="s">
        <v>38</v>
      </c>
      <c r="AD2439" s="2" t="s">
        <v>39</v>
      </c>
      <c r="AE2439" s="2" t="s">
        <v>40</v>
      </c>
    </row>
    <row r="2440" spans="1:31" ht="409.5">
      <c r="A2440" s="2">
        <v>2717512</v>
      </c>
      <c r="B2440" s="2">
        <f>HYPERLINK("https://platform.v2.vetology.net/cases/2717512/screening-report/1?type=pdf&amp;v=v6&amp;scorecard=1&amp;secret_key=BX%25IJ%24%2F65ieZ%29f6", 2717512)</f>
        <v>2717512</v>
      </c>
      <c r="C2440" s="2">
        <f>HYPERLINK("https://platform.v2.vetology.net/report/v/final/"&amp;2717512, 2717512)</f>
        <v>2717512</v>
      </c>
      <c r="D2440" s="2" t="s">
        <v>7830</v>
      </c>
      <c r="E2440" s="2" t="s">
        <v>7831</v>
      </c>
      <c r="F2440" s="2" t="s">
        <v>43</v>
      </c>
      <c r="G2440" s="2" t="s">
        <v>507</v>
      </c>
      <c r="H2440" s="2" t="s">
        <v>7832</v>
      </c>
      <c r="I2440" s="2" t="s">
        <v>36</v>
      </c>
      <c r="J2440" s="2" t="s">
        <v>37</v>
      </c>
      <c r="K2440" s="2" t="s">
        <v>39</v>
      </c>
      <c r="L2440" s="2" t="s">
        <v>38</v>
      </c>
      <c r="M2440" s="2" t="s">
        <v>38</v>
      </c>
      <c r="N2440" s="2" t="s">
        <v>39</v>
      </c>
      <c r="O2440" s="2" t="s">
        <v>38</v>
      </c>
      <c r="P2440" s="2" t="s">
        <v>39</v>
      </c>
      <c r="Q2440" s="2" t="s">
        <v>39</v>
      </c>
      <c r="R2440" s="2" t="s">
        <v>38</v>
      </c>
      <c r="S2440" s="2" t="s">
        <v>38</v>
      </c>
      <c r="T2440" s="2" t="s">
        <v>39</v>
      </c>
      <c r="U2440" s="2" t="s">
        <v>39</v>
      </c>
      <c r="V2440" s="2" t="s">
        <v>39</v>
      </c>
      <c r="W2440" s="2" t="s">
        <v>39</v>
      </c>
      <c r="X2440" s="2" t="s">
        <v>39</v>
      </c>
      <c r="Y2440" s="2" t="s">
        <v>39</v>
      </c>
      <c r="Z2440" s="2" t="s">
        <v>38</v>
      </c>
      <c r="AA2440" s="2" t="s">
        <v>39</v>
      </c>
      <c r="AB2440" s="2" t="s">
        <v>39</v>
      </c>
      <c r="AC2440" s="2" t="s">
        <v>38</v>
      </c>
      <c r="AD2440" s="2" t="s">
        <v>38</v>
      </c>
      <c r="AE2440" s="2" t="s">
        <v>39</v>
      </c>
    </row>
    <row r="2441" spans="1:31" ht="409.5">
      <c r="A2441" s="2">
        <v>2717492</v>
      </c>
      <c r="B2441" s="2">
        <f>HYPERLINK("https://platform.v2.vetology.net/cases/2717492/screening-report/1?type=pdf&amp;v=v6&amp;scorecard=1&amp;secret_key=BX%25IJ%24%2F65ieZ%29f6", 2717492)</f>
        <v>2717492</v>
      </c>
      <c r="C2441" s="2">
        <f>HYPERLINK("https://platform.v2.vetology.net/report/v/final/"&amp;2717492, 2717492)</f>
        <v>2717492</v>
      </c>
      <c r="D2441" s="2" t="s">
        <v>7833</v>
      </c>
      <c r="E2441" s="2" t="s">
        <v>7834</v>
      </c>
      <c r="F2441" s="2"/>
      <c r="G2441" s="2" t="s">
        <v>507</v>
      </c>
      <c r="H2441" s="2" t="s">
        <v>7835</v>
      </c>
      <c r="I2441" s="2" t="s">
        <v>129</v>
      </c>
      <c r="J2441" s="2" t="s">
        <v>74</v>
      </c>
      <c r="K2441" s="2" t="s">
        <v>39</v>
      </c>
      <c r="L2441" s="2" t="s">
        <v>38</v>
      </c>
      <c r="M2441" s="2" t="s">
        <v>38</v>
      </c>
      <c r="N2441" s="2" t="s">
        <v>38</v>
      </c>
      <c r="O2441" s="2" t="s">
        <v>38</v>
      </c>
      <c r="P2441" s="2" t="s">
        <v>38</v>
      </c>
      <c r="Q2441" s="2" t="s">
        <v>38</v>
      </c>
      <c r="R2441" s="2" t="s">
        <v>38</v>
      </c>
      <c r="S2441" s="2" t="s">
        <v>38</v>
      </c>
      <c r="T2441" s="2" t="s">
        <v>38</v>
      </c>
      <c r="U2441" s="2" t="s">
        <v>39</v>
      </c>
      <c r="V2441" s="2" t="s">
        <v>39</v>
      </c>
      <c r="W2441" s="2" t="s">
        <v>38</v>
      </c>
      <c r="X2441" s="2" t="s">
        <v>38</v>
      </c>
      <c r="Y2441" s="2" t="s">
        <v>39</v>
      </c>
      <c r="Z2441" s="2" t="s">
        <v>38</v>
      </c>
      <c r="AA2441" s="2" t="s">
        <v>38</v>
      </c>
      <c r="AB2441" s="2" t="s">
        <v>38</v>
      </c>
      <c r="AC2441" s="2" t="s">
        <v>38</v>
      </c>
      <c r="AD2441" s="2" t="s">
        <v>38</v>
      </c>
      <c r="AE2441" s="2" t="s">
        <v>40</v>
      </c>
    </row>
    <row r="2442" spans="1:31" ht="409.5">
      <c r="A2442" s="2">
        <v>2717487</v>
      </c>
      <c r="B2442" s="2">
        <f>HYPERLINK("https://platform.v2.vetology.net/cases/2717487/screening-report/1?type=pdf&amp;v=v6&amp;scorecard=1&amp;secret_key=BX%25IJ%24%2F65ieZ%29f6", 2717487)</f>
        <v>2717487</v>
      </c>
      <c r="C2442" s="2">
        <f>HYPERLINK("https://platform.v2.vetology.net/report/v/final/"&amp;2717487, 2717487)</f>
        <v>2717487</v>
      </c>
      <c r="D2442" s="2" t="s">
        <v>7836</v>
      </c>
      <c r="E2442" s="2" t="s">
        <v>7837</v>
      </c>
      <c r="F2442" s="2"/>
      <c r="G2442" s="2" t="s">
        <v>81</v>
      </c>
      <c r="H2442" s="2" t="s">
        <v>7838</v>
      </c>
      <c r="I2442" s="2" t="s">
        <v>36</v>
      </c>
      <c r="J2442" s="2" t="s">
        <v>37</v>
      </c>
      <c r="K2442" s="2" t="s">
        <v>39</v>
      </c>
      <c r="L2442" s="2" t="s">
        <v>38</v>
      </c>
      <c r="M2442" s="2" t="s">
        <v>39</v>
      </c>
      <c r="N2442" s="2" t="s">
        <v>38</v>
      </c>
      <c r="O2442" s="2" t="s">
        <v>38</v>
      </c>
      <c r="P2442" s="2" t="s">
        <v>39</v>
      </c>
      <c r="Q2442" s="2" t="s">
        <v>39</v>
      </c>
      <c r="R2442" s="2" t="s">
        <v>38</v>
      </c>
      <c r="S2442" s="2" t="s">
        <v>38</v>
      </c>
      <c r="T2442" s="2" t="s">
        <v>38</v>
      </c>
      <c r="U2442" s="2" t="s">
        <v>38</v>
      </c>
      <c r="V2442" s="2" t="s">
        <v>38</v>
      </c>
      <c r="W2442" s="2" t="s">
        <v>38</v>
      </c>
      <c r="X2442" s="2" t="s">
        <v>39</v>
      </c>
      <c r="Y2442" s="2" t="s">
        <v>39</v>
      </c>
      <c r="Z2442" s="2" t="s">
        <v>38</v>
      </c>
      <c r="AA2442" s="2" t="s">
        <v>39</v>
      </c>
      <c r="AB2442" s="2" t="s">
        <v>39</v>
      </c>
      <c r="AC2442" s="2" t="s">
        <v>38</v>
      </c>
      <c r="AD2442" s="2" t="s">
        <v>38</v>
      </c>
      <c r="AE2442" s="2" t="s">
        <v>39</v>
      </c>
    </row>
    <row r="2443" spans="1:31" ht="409.5">
      <c r="A2443" s="2">
        <v>2717482</v>
      </c>
      <c r="B2443" s="2">
        <f>HYPERLINK("https://platform.v2.vetology.net/cases/2717482/screening-report/1?type=pdf&amp;v=v6&amp;scorecard=1&amp;secret_key=BX%25IJ%24%2F65ieZ%29f6", 2717482)</f>
        <v>2717482</v>
      </c>
      <c r="C2443" s="2">
        <f>HYPERLINK("https://platform.v2.vetology.net/report/v/final/"&amp;2717482, 2717482)</f>
        <v>2717482</v>
      </c>
      <c r="D2443" s="2" t="s">
        <v>7839</v>
      </c>
      <c r="E2443" s="2" t="s">
        <v>7840</v>
      </c>
      <c r="F2443" s="2" t="s">
        <v>3605</v>
      </c>
      <c r="G2443" s="2" t="s">
        <v>170</v>
      </c>
      <c r="H2443" s="2" t="s">
        <v>7841</v>
      </c>
      <c r="I2443" s="2" t="s">
        <v>36</v>
      </c>
      <c r="J2443" s="2" t="s">
        <v>37</v>
      </c>
      <c r="K2443" s="2" t="s">
        <v>38</v>
      </c>
      <c r="L2443" s="2" t="s">
        <v>39</v>
      </c>
      <c r="M2443" s="2" t="s">
        <v>38</v>
      </c>
      <c r="N2443" s="2" t="s">
        <v>38</v>
      </c>
      <c r="O2443" s="2" t="s">
        <v>38</v>
      </c>
      <c r="P2443" s="2" t="s">
        <v>39</v>
      </c>
      <c r="Q2443" s="2" t="s">
        <v>39</v>
      </c>
      <c r="R2443" s="2" t="s">
        <v>39</v>
      </c>
      <c r="S2443" s="2" t="s">
        <v>39</v>
      </c>
      <c r="T2443" s="2" t="s">
        <v>39</v>
      </c>
      <c r="U2443" s="2" t="s">
        <v>38</v>
      </c>
      <c r="V2443" s="2" t="s">
        <v>38</v>
      </c>
      <c r="W2443" s="2" t="s">
        <v>38</v>
      </c>
      <c r="X2443" s="2" t="s">
        <v>38</v>
      </c>
      <c r="Y2443" s="2" t="s">
        <v>39</v>
      </c>
      <c r="Z2443" s="2" t="s">
        <v>38</v>
      </c>
      <c r="AA2443" s="2" t="s">
        <v>38</v>
      </c>
      <c r="AB2443" s="2" t="s">
        <v>39</v>
      </c>
      <c r="AC2443" s="2" t="s">
        <v>38</v>
      </c>
      <c r="AD2443" s="2" t="s">
        <v>39</v>
      </c>
      <c r="AE2443" s="2" t="s">
        <v>39</v>
      </c>
    </row>
    <row r="2444" spans="1:31" ht="409.5">
      <c r="A2444" s="2">
        <v>2717473</v>
      </c>
      <c r="B2444" s="2">
        <f>HYPERLINK("https://platform.v2.vetology.net/cases/2717473/screening-report/1?type=pdf&amp;v=v6&amp;scorecard=1&amp;secret_key=BX%25IJ%24%2F65ieZ%29f6", 2717473)</f>
        <v>2717473</v>
      </c>
      <c r="C2444" s="2">
        <f>HYPERLINK("https://platform.v2.vetology.net/report/v/final/"&amp;2717473, 2717473)</f>
        <v>2717473</v>
      </c>
      <c r="D2444" s="2" t="s">
        <v>7842</v>
      </c>
      <c r="E2444" s="2" t="s">
        <v>7843</v>
      </c>
      <c r="F2444" s="2" t="s">
        <v>7844</v>
      </c>
      <c r="G2444" s="2" t="s">
        <v>170</v>
      </c>
      <c r="H2444" s="2" t="s">
        <v>5698</v>
      </c>
      <c r="I2444" s="2" t="s">
        <v>257</v>
      </c>
      <c r="J2444" s="2" t="s">
        <v>74</v>
      </c>
      <c r="K2444" s="2" t="s">
        <v>38</v>
      </c>
      <c r="L2444" s="2" t="s">
        <v>38</v>
      </c>
      <c r="M2444" s="2" t="s">
        <v>38</v>
      </c>
      <c r="N2444" s="2" t="s">
        <v>38</v>
      </c>
      <c r="O2444" s="2" t="s">
        <v>38</v>
      </c>
      <c r="P2444" s="2" t="s">
        <v>38</v>
      </c>
      <c r="Q2444" s="2" t="s">
        <v>38</v>
      </c>
      <c r="R2444" s="2" t="s">
        <v>38</v>
      </c>
      <c r="S2444" s="2" t="s">
        <v>38</v>
      </c>
      <c r="T2444" s="2" t="s">
        <v>38</v>
      </c>
      <c r="U2444" s="2" t="s">
        <v>38</v>
      </c>
      <c r="V2444" s="2" t="s">
        <v>38</v>
      </c>
      <c r="W2444" s="2" t="s">
        <v>38</v>
      </c>
      <c r="X2444" s="2" t="s">
        <v>38</v>
      </c>
      <c r="Y2444" s="2" t="s">
        <v>38</v>
      </c>
      <c r="Z2444" s="2" t="s">
        <v>38</v>
      </c>
      <c r="AA2444" s="2" t="s">
        <v>38</v>
      </c>
      <c r="AB2444" s="2" t="s">
        <v>38</v>
      </c>
      <c r="AC2444" s="2" t="s">
        <v>38</v>
      </c>
      <c r="AD2444" s="2" t="s">
        <v>38</v>
      </c>
      <c r="AE2444" s="2" t="s">
        <v>40</v>
      </c>
    </row>
    <row r="2445" spans="1:31" ht="409.5">
      <c r="A2445" s="2">
        <v>2717472</v>
      </c>
      <c r="B2445" s="2">
        <f>HYPERLINK("https://platform.v2.vetology.net/cases/2717472/screening-report/1?type=pdf&amp;v=v6&amp;scorecard=1&amp;secret_key=BX%25IJ%24%2F65ieZ%29f6", 2717472)</f>
        <v>2717472</v>
      </c>
      <c r="C2445" s="2">
        <f>HYPERLINK("https://platform.v2.vetology.net/report/v/final/"&amp;2717472, 2717472)</f>
        <v>2717472</v>
      </c>
      <c r="D2445" s="2" t="s">
        <v>7845</v>
      </c>
      <c r="E2445" s="2" t="s">
        <v>7846</v>
      </c>
      <c r="F2445" s="2"/>
      <c r="G2445" s="2" t="s">
        <v>100</v>
      </c>
      <c r="H2445" s="2" t="s">
        <v>398</v>
      </c>
      <c r="I2445" s="2" t="s">
        <v>46</v>
      </c>
      <c r="J2445" s="2"/>
      <c r="K2445" s="2" t="s">
        <v>38</v>
      </c>
      <c r="L2445" s="2" t="s">
        <v>39</v>
      </c>
      <c r="M2445" s="2" t="s">
        <v>39</v>
      </c>
      <c r="N2445" s="2" t="s">
        <v>39</v>
      </c>
      <c r="O2445" s="2" t="s">
        <v>39</v>
      </c>
      <c r="P2445" s="2" t="s">
        <v>39</v>
      </c>
      <c r="Q2445" s="2" t="s">
        <v>39</v>
      </c>
      <c r="R2445" s="2" t="s">
        <v>39</v>
      </c>
      <c r="S2445" s="2" t="s">
        <v>39</v>
      </c>
      <c r="T2445" s="2" t="s">
        <v>39</v>
      </c>
      <c r="U2445" s="2" t="s">
        <v>39</v>
      </c>
      <c r="V2445" s="2" t="s">
        <v>38</v>
      </c>
      <c r="W2445" s="2" t="s">
        <v>39</v>
      </c>
      <c r="X2445" s="2" t="s">
        <v>39</v>
      </c>
      <c r="Y2445" s="2" t="s">
        <v>39</v>
      </c>
      <c r="Z2445" s="2" t="s">
        <v>39</v>
      </c>
      <c r="AA2445" s="2" t="s">
        <v>39</v>
      </c>
      <c r="AB2445" s="2" t="s">
        <v>39</v>
      </c>
      <c r="AC2445" s="2" t="s">
        <v>39</v>
      </c>
      <c r="AD2445" s="2" t="s">
        <v>39</v>
      </c>
      <c r="AE2445" s="2" t="s">
        <v>40</v>
      </c>
    </row>
    <row r="2446" spans="1:31" ht="409.5">
      <c r="A2446" s="2">
        <v>2717429</v>
      </c>
      <c r="B2446" s="2">
        <f>HYPERLINK("https://platform.v2.vetology.net/cases/2717429/screening-report/1?type=pdf&amp;v=v6&amp;scorecard=1&amp;secret_key=BX%25IJ%24%2F65ieZ%29f6", 2717429)</f>
        <v>2717429</v>
      </c>
      <c r="C2446" s="2">
        <f>HYPERLINK("https://platform.v2.vetology.net/report/v/final/"&amp;2717429, 2717429)</f>
        <v>2717429</v>
      </c>
      <c r="D2446" s="2" t="s">
        <v>7847</v>
      </c>
      <c r="E2446" s="2" t="s">
        <v>7848</v>
      </c>
      <c r="F2446" s="2" t="s">
        <v>7849</v>
      </c>
      <c r="G2446" s="2" t="s">
        <v>170</v>
      </c>
      <c r="H2446" s="2" t="s">
        <v>69</v>
      </c>
      <c r="I2446" s="2" t="s">
        <v>46</v>
      </c>
      <c r="J2446" s="2"/>
      <c r="K2446" s="2" t="s">
        <v>39</v>
      </c>
      <c r="L2446" s="2" t="s">
        <v>39</v>
      </c>
      <c r="M2446" s="2" t="s">
        <v>39</v>
      </c>
      <c r="N2446" s="2" t="s">
        <v>39</v>
      </c>
      <c r="O2446" s="2" t="s">
        <v>39</v>
      </c>
      <c r="P2446" s="2" t="s">
        <v>39</v>
      </c>
      <c r="Q2446" s="2" t="s">
        <v>39</v>
      </c>
      <c r="R2446" s="2" t="s">
        <v>39</v>
      </c>
      <c r="S2446" s="2" t="s">
        <v>39</v>
      </c>
      <c r="T2446" s="2" t="s">
        <v>39</v>
      </c>
      <c r="U2446" s="2" t="s">
        <v>39</v>
      </c>
      <c r="V2446" s="2" t="s">
        <v>39</v>
      </c>
      <c r="W2446" s="2" t="s">
        <v>38</v>
      </c>
      <c r="X2446" s="2" t="s">
        <v>39</v>
      </c>
      <c r="Y2446" s="2" t="s">
        <v>39</v>
      </c>
      <c r="Z2446" s="2" t="s">
        <v>39</v>
      </c>
      <c r="AA2446" s="2" t="s">
        <v>39</v>
      </c>
      <c r="AB2446" s="2" t="s">
        <v>39</v>
      </c>
      <c r="AC2446" s="2" t="s">
        <v>39</v>
      </c>
      <c r="AD2446" s="2" t="s">
        <v>39</v>
      </c>
      <c r="AE2446" s="2" t="s">
        <v>39</v>
      </c>
    </row>
    <row r="2447" spans="1:31" ht="409.5">
      <c r="A2447" s="2">
        <v>2717428</v>
      </c>
      <c r="B2447" s="2">
        <f>HYPERLINK("https://platform.v2.vetology.net/cases/2717428/screening-report/1?type=pdf&amp;v=v6&amp;scorecard=1&amp;secret_key=BX%25IJ%24%2F65ieZ%29f6", 2717428)</f>
        <v>2717428</v>
      </c>
      <c r="C2447" s="2">
        <f>HYPERLINK("https://platform.v2.vetology.net/report/v/final/"&amp;2717428, 2717428)</f>
        <v>2717428</v>
      </c>
      <c r="D2447" s="2" t="s">
        <v>7850</v>
      </c>
      <c r="E2447" s="2" t="s">
        <v>7851</v>
      </c>
      <c r="F2447" s="2"/>
      <c r="G2447" s="2" t="s">
        <v>100</v>
      </c>
      <c r="H2447" s="2" t="s">
        <v>7852</v>
      </c>
      <c r="I2447" s="2" t="s">
        <v>73</v>
      </c>
      <c r="J2447" s="2" t="s">
        <v>74</v>
      </c>
      <c r="K2447" s="2" t="s">
        <v>38</v>
      </c>
      <c r="L2447" s="2" t="s">
        <v>39</v>
      </c>
      <c r="M2447" s="2" t="s">
        <v>39</v>
      </c>
      <c r="N2447" s="2" t="s">
        <v>38</v>
      </c>
      <c r="O2447" s="2" t="s">
        <v>39</v>
      </c>
      <c r="P2447" s="2" t="s">
        <v>38</v>
      </c>
      <c r="Q2447" s="2" t="s">
        <v>38</v>
      </c>
      <c r="R2447" s="2" t="s">
        <v>38</v>
      </c>
      <c r="S2447" s="2" t="s">
        <v>38</v>
      </c>
      <c r="T2447" s="2" t="s">
        <v>38</v>
      </c>
      <c r="U2447" s="2" t="s">
        <v>38</v>
      </c>
      <c r="V2447" s="2" t="s">
        <v>38</v>
      </c>
      <c r="W2447" s="2" t="s">
        <v>38</v>
      </c>
      <c r="X2447" s="2" t="s">
        <v>38</v>
      </c>
      <c r="Y2447" s="2" t="s">
        <v>39</v>
      </c>
      <c r="Z2447" s="2" t="s">
        <v>38</v>
      </c>
      <c r="AA2447" s="2" t="s">
        <v>38</v>
      </c>
      <c r="AB2447" s="2" t="s">
        <v>38</v>
      </c>
      <c r="AC2447" s="2" t="s">
        <v>38</v>
      </c>
      <c r="AD2447" s="2" t="s">
        <v>39</v>
      </c>
      <c r="AE2447" s="2" t="s">
        <v>39</v>
      </c>
    </row>
    <row r="2448" spans="1:31" ht="409.5">
      <c r="A2448" s="2">
        <v>2717394</v>
      </c>
      <c r="B2448" s="2">
        <f>HYPERLINK("https://platform.v2.vetology.net/cases/2717394/screening-report/1?type=pdf&amp;v=v6&amp;scorecard=1&amp;secret_key=BX%25IJ%24%2F65ieZ%29f6", 2717394)</f>
        <v>2717394</v>
      </c>
      <c r="C2448" s="2">
        <f>HYPERLINK("https://platform.v2.vetology.net/report/v/final/"&amp;2717394, 2717394)</f>
        <v>2717394</v>
      </c>
      <c r="D2448" s="2" t="s">
        <v>7853</v>
      </c>
      <c r="E2448" s="2" t="s">
        <v>7854</v>
      </c>
      <c r="F2448" s="2" t="s">
        <v>7855</v>
      </c>
      <c r="G2448" s="2" t="s">
        <v>127</v>
      </c>
      <c r="H2448" s="2" t="s">
        <v>7856</v>
      </c>
      <c r="I2448" s="2" t="s">
        <v>36</v>
      </c>
      <c r="J2448" s="2" t="s">
        <v>37</v>
      </c>
      <c r="K2448" s="2" t="s">
        <v>38</v>
      </c>
      <c r="L2448" s="2" t="s">
        <v>38</v>
      </c>
      <c r="M2448" s="2" t="s">
        <v>38</v>
      </c>
      <c r="N2448" s="2" t="s">
        <v>38</v>
      </c>
      <c r="O2448" s="2" t="s">
        <v>38</v>
      </c>
      <c r="P2448" s="2" t="s">
        <v>39</v>
      </c>
      <c r="Q2448" s="2" t="s">
        <v>39</v>
      </c>
      <c r="R2448" s="2" t="s">
        <v>38</v>
      </c>
      <c r="S2448" s="2" t="s">
        <v>38</v>
      </c>
      <c r="T2448" s="2" t="s">
        <v>39</v>
      </c>
      <c r="U2448" s="2" t="s">
        <v>38</v>
      </c>
      <c r="V2448" s="2" t="s">
        <v>38</v>
      </c>
      <c r="W2448" s="2" t="s">
        <v>38</v>
      </c>
      <c r="X2448" s="2" t="s">
        <v>39</v>
      </c>
      <c r="Y2448" s="2" t="s">
        <v>38</v>
      </c>
      <c r="Z2448" s="2" t="s">
        <v>38</v>
      </c>
      <c r="AA2448" s="2" t="s">
        <v>38</v>
      </c>
      <c r="AB2448" s="2" t="s">
        <v>39</v>
      </c>
      <c r="AC2448" s="2" t="s">
        <v>38</v>
      </c>
      <c r="AD2448" s="2" t="s">
        <v>38</v>
      </c>
      <c r="AE2448" s="2" t="s">
        <v>40</v>
      </c>
    </row>
    <row r="2449" spans="1:31" ht="409.5">
      <c r="A2449" s="2">
        <v>2717393</v>
      </c>
      <c r="B2449" s="2">
        <f>HYPERLINK("https://platform.v2.vetology.net/cases/2717393/screening-report/1?type=pdf&amp;v=v6&amp;scorecard=1&amp;secret_key=BX%25IJ%24%2F65ieZ%29f6", 2717393)</f>
        <v>2717393</v>
      </c>
      <c r="C2449" s="2">
        <f>HYPERLINK("https://platform.v2.vetology.net/report/v/final/"&amp;2717393, 2717393)</f>
        <v>2717393</v>
      </c>
      <c r="D2449" s="2" t="s">
        <v>7857</v>
      </c>
      <c r="E2449" s="2" t="s">
        <v>7858</v>
      </c>
      <c r="F2449" s="2" t="s">
        <v>7859</v>
      </c>
      <c r="G2449" s="2" t="s">
        <v>111</v>
      </c>
      <c r="H2449" s="2" t="s">
        <v>7860</v>
      </c>
      <c r="I2449" s="2" t="s">
        <v>36</v>
      </c>
      <c r="J2449" s="2" t="s">
        <v>37</v>
      </c>
      <c r="K2449" s="2" t="s">
        <v>38</v>
      </c>
      <c r="L2449" s="2" t="s">
        <v>38</v>
      </c>
      <c r="M2449" s="2" t="s">
        <v>38</v>
      </c>
      <c r="N2449" s="2" t="s">
        <v>39</v>
      </c>
      <c r="O2449" s="2" t="s">
        <v>39</v>
      </c>
      <c r="P2449" s="2" t="s">
        <v>38</v>
      </c>
      <c r="Q2449" s="2" t="s">
        <v>39</v>
      </c>
      <c r="R2449" s="2" t="s">
        <v>39</v>
      </c>
      <c r="S2449" s="2" t="s">
        <v>38</v>
      </c>
      <c r="T2449" s="2" t="s">
        <v>39</v>
      </c>
      <c r="U2449" s="2" t="s">
        <v>38</v>
      </c>
      <c r="V2449" s="2" t="s">
        <v>38</v>
      </c>
      <c r="W2449" s="2" t="s">
        <v>38</v>
      </c>
      <c r="X2449" s="2" t="s">
        <v>39</v>
      </c>
      <c r="Y2449" s="2" t="s">
        <v>39</v>
      </c>
      <c r="Z2449" s="2" t="s">
        <v>38</v>
      </c>
      <c r="AA2449" s="2" t="s">
        <v>38</v>
      </c>
      <c r="AB2449" s="2" t="s">
        <v>39</v>
      </c>
      <c r="AC2449" s="2" t="s">
        <v>38</v>
      </c>
      <c r="AD2449" s="2" t="s">
        <v>39</v>
      </c>
      <c r="AE2449" s="2" t="s">
        <v>40</v>
      </c>
    </row>
    <row r="2450" spans="1:31" ht="409.5">
      <c r="A2450" s="2">
        <v>2717376</v>
      </c>
      <c r="B2450" s="2">
        <f>HYPERLINK("https://platform.v2.vetology.net/cases/2717376/screening-report/1?type=pdf&amp;v=v6&amp;scorecard=1&amp;secret_key=BX%25IJ%24%2F65ieZ%29f6", 2717376)</f>
        <v>2717376</v>
      </c>
      <c r="C2450" s="2">
        <f>HYPERLINK("https://platform.v2.vetology.net/report/v/final/"&amp;2717376, 2717376)</f>
        <v>2717376</v>
      </c>
      <c r="D2450" s="2" t="s">
        <v>7861</v>
      </c>
      <c r="E2450" s="2" t="s">
        <v>7862</v>
      </c>
      <c r="F2450" s="2" t="s">
        <v>7863</v>
      </c>
      <c r="G2450" s="2" t="s">
        <v>111</v>
      </c>
      <c r="H2450" s="2" t="s">
        <v>7864</v>
      </c>
      <c r="I2450" s="2" t="s">
        <v>257</v>
      </c>
      <c r="J2450" s="2" t="s">
        <v>74</v>
      </c>
      <c r="K2450" s="2" t="s">
        <v>38</v>
      </c>
      <c r="L2450" s="2" t="s">
        <v>38</v>
      </c>
      <c r="M2450" s="2" t="s">
        <v>38</v>
      </c>
      <c r="N2450" s="2" t="s">
        <v>38</v>
      </c>
      <c r="O2450" s="2" t="s">
        <v>38</v>
      </c>
      <c r="P2450" s="2" t="s">
        <v>38</v>
      </c>
      <c r="Q2450" s="2" t="s">
        <v>38</v>
      </c>
      <c r="R2450" s="2" t="s">
        <v>38</v>
      </c>
      <c r="S2450" s="2" t="s">
        <v>38</v>
      </c>
      <c r="T2450" s="2" t="s">
        <v>38</v>
      </c>
      <c r="U2450" s="2" t="s">
        <v>38</v>
      </c>
      <c r="V2450" s="2" t="s">
        <v>38</v>
      </c>
      <c r="W2450" s="2" t="s">
        <v>38</v>
      </c>
      <c r="X2450" s="2" t="s">
        <v>38</v>
      </c>
      <c r="Y2450" s="2" t="s">
        <v>38</v>
      </c>
      <c r="Z2450" s="2" t="s">
        <v>38</v>
      </c>
      <c r="AA2450" s="2" t="s">
        <v>38</v>
      </c>
      <c r="AB2450" s="2" t="s">
        <v>38</v>
      </c>
      <c r="AC2450" s="2" t="s">
        <v>38</v>
      </c>
      <c r="AD2450" s="2" t="s">
        <v>38</v>
      </c>
      <c r="AE2450" s="2"/>
    </row>
    <row r="2451" spans="1:31" ht="409.5">
      <c r="A2451" s="2">
        <v>2717371</v>
      </c>
      <c r="B2451" s="2">
        <f>HYPERLINK("https://platform.v2.vetology.net/cases/2717371/screening-report/1?type=pdf&amp;v=v6&amp;scorecard=1&amp;secret_key=BX%25IJ%24%2F65ieZ%29f6", 2717371)</f>
        <v>2717371</v>
      </c>
      <c r="C2451" s="2">
        <f>HYPERLINK("https://platform.v2.vetology.net/report/v/final/"&amp;2717371, 2717371)</f>
        <v>2717371</v>
      </c>
      <c r="D2451" s="2" t="s">
        <v>7865</v>
      </c>
      <c r="E2451" s="2" t="s">
        <v>7866</v>
      </c>
      <c r="F2451" s="2" t="s">
        <v>7867</v>
      </c>
      <c r="G2451" s="2" t="s">
        <v>170</v>
      </c>
      <c r="H2451" s="2" t="s">
        <v>7868</v>
      </c>
      <c r="I2451" s="2" t="s">
        <v>36</v>
      </c>
      <c r="J2451" s="2" t="s">
        <v>37</v>
      </c>
      <c r="K2451" s="2" t="s">
        <v>38</v>
      </c>
      <c r="L2451" s="2" t="s">
        <v>39</v>
      </c>
      <c r="M2451" s="2" t="s">
        <v>38</v>
      </c>
      <c r="N2451" s="2" t="s">
        <v>39</v>
      </c>
      <c r="O2451" s="2" t="s">
        <v>39</v>
      </c>
      <c r="P2451" s="2" t="s">
        <v>39</v>
      </c>
      <c r="Q2451" s="2" t="s">
        <v>39</v>
      </c>
      <c r="R2451" s="2" t="s">
        <v>38</v>
      </c>
      <c r="S2451" s="2" t="s">
        <v>39</v>
      </c>
      <c r="T2451" s="2" t="s">
        <v>38</v>
      </c>
      <c r="U2451" s="2" t="s">
        <v>39</v>
      </c>
      <c r="V2451" s="2" t="s">
        <v>39</v>
      </c>
      <c r="W2451" s="2" t="s">
        <v>38</v>
      </c>
      <c r="X2451" s="2" t="s">
        <v>39</v>
      </c>
      <c r="Y2451" s="2" t="s">
        <v>39</v>
      </c>
      <c r="Z2451" s="2" t="s">
        <v>38</v>
      </c>
      <c r="AA2451" s="2" t="s">
        <v>39</v>
      </c>
      <c r="AB2451" s="2" t="s">
        <v>39</v>
      </c>
      <c r="AC2451" s="2" t="s">
        <v>38</v>
      </c>
      <c r="AD2451" s="2" t="s">
        <v>39</v>
      </c>
      <c r="AE2451" s="2" t="s">
        <v>40</v>
      </c>
    </row>
    <row r="2452" spans="1:31" ht="409.5">
      <c r="A2452" s="2">
        <v>2717362</v>
      </c>
      <c r="B2452" s="2">
        <f>HYPERLINK("https://platform.v2.vetology.net/cases/2717362/screening-report/1?type=pdf&amp;v=v6&amp;scorecard=1&amp;secret_key=BX%25IJ%24%2F65ieZ%29f6", 2717362)</f>
        <v>2717362</v>
      </c>
      <c r="C2452" s="2">
        <f>HYPERLINK("https://platform.v2.vetology.net/report/v/final/"&amp;2717362, 2717362)</f>
        <v>2717362</v>
      </c>
      <c r="D2452" s="2" t="s">
        <v>7869</v>
      </c>
      <c r="E2452" s="2" t="s">
        <v>7870</v>
      </c>
      <c r="F2452" s="2" t="s">
        <v>7871</v>
      </c>
      <c r="G2452" s="2" t="s">
        <v>170</v>
      </c>
      <c r="H2452" s="2" t="s">
        <v>7872</v>
      </c>
      <c r="I2452" s="2" t="s">
        <v>36</v>
      </c>
      <c r="J2452" s="2" t="s">
        <v>37</v>
      </c>
      <c r="K2452" s="2" t="s">
        <v>38</v>
      </c>
      <c r="L2452" s="2" t="s">
        <v>38</v>
      </c>
      <c r="M2452" s="2" t="s">
        <v>38</v>
      </c>
      <c r="N2452" s="2" t="s">
        <v>38</v>
      </c>
      <c r="O2452" s="2" t="s">
        <v>38</v>
      </c>
      <c r="P2452" s="2" t="s">
        <v>39</v>
      </c>
      <c r="Q2452" s="2" t="s">
        <v>39</v>
      </c>
      <c r="R2452" s="2" t="s">
        <v>38</v>
      </c>
      <c r="S2452" s="2" t="s">
        <v>38</v>
      </c>
      <c r="T2452" s="2" t="s">
        <v>38</v>
      </c>
      <c r="U2452" s="2" t="s">
        <v>38</v>
      </c>
      <c r="V2452" s="2" t="s">
        <v>38</v>
      </c>
      <c r="W2452" s="2" t="s">
        <v>38</v>
      </c>
      <c r="X2452" s="2" t="s">
        <v>39</v>
      </c>
      <c r="Y2452" s="2" t="s">
        <v>39</v>
      </c>
      <c r="Z2452" s="2" t="s">
        <v>38</v>
      </c>
      <c r="AA2452" s="2" t="s">
        <v>38</v>
      </c>
      <c r="AB2452" s="2" t="s">
        <v>39</v>
      </c>
      <c r="AC2452" s="2" t="s">
        <v>38</v>
      </c>
      <c r="AD2452" s="2" t="s">
        <v>38</v>
      </c>
      <c r="AE2452" s="2" t="s">
        <v>39</v>
      </c>
    </row>
    <row r="2453" spans="1:31" ht="409.5">
      <c r="A2453" s="2">
        <v>2717345</v>
      </c>
      <c r="B2453" s="2">
        <f>HYPERLINK("https://platform.v2.vetology.net/cases/2717345/screening-report/1?type=pdf&amp;v=v6&amp;scorecard=1&amp;secret_key=BX%25IJ%24%2F65ieZ%29f6", 2717345)</f>
        <v>2717345</v>
      </c>
      <c r="C2453" s="2">
        <f>HYPERLINK("https://platform.v2.vetology.net/report/v/final/"&amp;2717345, 2717345)</f>
        <v>2717345</v>
      </c>
      <c r="D2453" s="2" t="s">
        <v>7873</v>
      </c>
      <c r="E2453" s="2" t="s">
        <v>7874</v>
      </c>
      <c r="F2453" s="2" t="s">
        <v>7336</v>
      </c>
      <c r="G2453" s="2" t="s">
        <v>111</v>
      </c>
      <c r="H2453" s="2" t="s">
        <v>62</v>
      </c>
      <c r="I2453" s="2" t="s">
        <v>46</v>
      </c>
      <c r="J2453" s="2"/>
      <c r="K2453" s="2" t="s">
        <v>39</v>
      </c>
      <c r="L2453" s="2" t="s">
        <v>39</v>
      </c>
      <c r="M2453" s="2" t="s">
        <v>39</v>
      </c>
      <c r="N2453" s="2" t="s">
        <v>39</v>
      </c>
      <c r="O2453" s="2" t="s">
        <v>39</v>
      </c>
      <c r="P2453" s="2" t="s">
        <v>39</v>
      </c>
      <c r="Q2453" s="2" t="s">
        <v>39</v>
      </c>
      <c r="R2453" s="2" t="s">
        <v>38</v>
      </c>
      <c r="S2453" s="2" t="s">
        <v>38</v>
      </c>
      <c r="T2453" s="2" t="s">
        <v>39</v>
      </c>
      <c r="U2453" s="2" t="s">
        <v>39</v>
      </c>
      <c r="V2453" s="2" t="s">
        <v>39</v>
      </c>
      <c r="W2453" s="2" t="s">
        <v>38</v>
      </c>
      <c r="X2453" s="2" t="s">
        <v>39</v>
      </c>
      <c r="Y2453" s="2" t="s">
        <v>39</v>
      </c>
      <c r="Z2453" s="2" t="s">
        <v>38</v>
      </c>
      <c r="AA2453" s="2" t="s">
        <v>38</v>
      </c>
      <c r="AB2453" s="2" t="s">
        <v>39</v>
      </c>
      <c r="AC2453" s="2" t="s">
        <v>38</v>
      </c>
      <c r="AD2453" s="2" t="s">
        <v>38</v>
      </c>
      <c r="AE2453" s="2" t="s">
        <v>40</v>
      </c>
    </row>
    <row r="2454" spans="1:31" ht="409.5">
      <c r="A2454" s="2">
        <v>2717328</v>
      </c>
      <c r="B2454" s="2">
        <f>HYPERLINK("https://platform.v2.vetology.net/cases/2717328/screening-report/1?type=pdf&amp;v=v6&amp;scorecard=1&amp;secret_key=BX%25IJ%24%2F65ieZ%29f6", 2717328)</f>
        <v>2717328</v>
      </c>
      <c r="C2454" s="2">
        <f>HYPERLINK("https://platform.v2.vetology.net/report/v/final/"&amp;2717328, 2717328)</f>
        <v>2717328</v>
      </c>
      <c r="D2454" s="2" t="s">
        <v>7875</v>
      </c>
      <c r="E2454" s="2" t="s">
        <v>7876</v>
      </c>
      <c r="F2454" s="2" t="s">
        <v>7877</v>
      </c>
      <c r="G2454" s="2" t="s">
        <v>111</v>
      </c>
      <c r="H2454" s="2" t="s">
        <v>7878</v>
      </c>
      <c r="I2454" s="2" t="s">
        <v>36</v>
      </c>
      <c r="J2454" s="2" t="s">
        <v>37</v>
      </c>
      <c r="K2454" s="2" t="s">
        <v>38</v>
      </c>
      <c r="L2454" s="2" t="s">
        <v>38</v>
      </c>
      <c r="M2454" s="2" t="s">
        <v>38</v>
      </c>
      <c r="N2454" s="2" t="s">
        <v>38</v>
      </c>
      <c r="O2454" s="2" t="s">
        <v>38</v>
      </c>
      <c r="P2454" s="2" t="s">
        <v>39</v>
      </c>
      <c r="Q2454" s="2" t="s">
        <v>39</v>
      </c>
      <c r="R2454" s="2" t="s">
        <v>38</v>
      </c>
      <c r="S2454" s="2" t="s">
        <v>38</v>
      </c>
      <c r="T2454" s="2" t="s">
        <v>38</v>
      </c>
      <c r="U2454" s="2" t="s">
        <v>38</v>
      </c>
      <c r="V2454" s="2" t="s">
        <v>38</v>
      </c>
      <c r="W2454" s="2" t="s">
        <v>38</v>
      </c>
      <c r="X2454" s="2" t="s">
        <v>38</v>
      </c>
      <c r="Y2454" s="2" t="s">
        <v>38</v>
      </c>
      <c r="Z2454" s="2" t="s">
        <v>38</v>
      </c>
      <c r="AA2454" s="2" t="s">
        <v>38</v>
      </c>
      <c r="AB2454" s="2" t="s">
        <v>38</v>
      </c>
      <c r="AC2454" s="2" t="s">
        <v>38</v>
      </c>
      <c r="AD2454" s="2" t="s">
        <v>38</v>
      </c>
      <c r="AE2454" s="2" t="s">
        <v>40</v>
      </c>
    </row>
    <row r="2455" spans="1:31" ht="409.5">
      <c r="A2455" s="2">
        <v>2717310</v>
      </c>
      <c r="B2455" s="2">
        <f>HYPERLINK("https://platform.v2.vetology.net/cases/2717310/screening-report/1?type=pdf&amp;v=v6&amp;scorecard=1&amp;secret_key=BX%25IJ%24%2F65ieZ%29f6", 2717310)</f>
        <v>2717310</v>
      </c>
      <c r="C2455" s="2">
        <f>HYPERLINK("https://platform.v2.vetology.net/report/v/final/"&amp;2717310, 2717310)</f>
        <v>2717310</v>
      </c>
      <c r="D2455" s="2" t="s">
        <v>7879</v>
      </c>
      <c r="E2455" s="2" t="s">
        <v>7880</v>
      </c>
      <c r="F2455" s="2" t="s">
        <v>851</v>
      </c>
      <c r="G2455" s="2" t="s">
        <v>111</v>
      </c>
      <c r="H2455" s="2" t="s">
        <v>7881</v>
      </c>
      <c r="I2455" s="2" t="s">
        <v>36</v>
      </c>
      <c r="J2455" s="2" t="s">
        <v>37</v>
      </c>
      <c r="K2455" s="2" t="s">
        <v>39</v>
      </c>
      <c r="L2455" s="2" t="s">
        <v>38</v>
      </c>
      <c r="M2455" s="2" t="s">
        <v>38</v>
      </c>
      <c r="N2455" s="2" t="s">
        <v>38</v>
      </c>
      <c r="O2455" s="2" t="s">
        <v>38</v>
      </c>
      <c r="P2455" s="2" t="s">
        <v>39</v>
      </c>
      <c r="Q2455" s="2" t="s">
        <v>39</v>
      </c>
      <c r="R2455" s="2" t="s">
        <v>38</v>
      </c>
      <c r="S2455" s="2" t="s">
        <v>38</v>
      </c>
      <c r="T2455" s="2" t="s">
        <v>39</v>
      </c>
      <c r="U2455" s="2" t="s">
        <v>39</v>
      </c>
      <c r="V2455" s="2" t="s">
        <v>39</v>
      </c>
      <c r="W2455" s="2" t="s">
        <v>39</v>
      </c>
      <c r="X2455" s="2" t="s">
        <v>39</v>
      </c>
      <c r="Y2455" s="2" t="s">
        <v>39</v>
      </c>
      <c r="Z2455" s="2" t="s">
        <v>38</v>
      </c>
      <c r="AA2455" s="2" t="s">
        <v>39</v>
      </c>
      <c r="AB2455" s="2" t="s">
        <v>39</v>
      </c>
      <c r="AC2455" s="2" t="s">
        <v>38</v>
      </c>
      <c r="AD2455" s="2" t="s">
        <v>39</v>
      </c>
      <c r="AE2455" s="2" t="s">
        <v>39</v>
      </c>
    </row>
    <row r="2456" spans="1:31" ht="409.5">
      <c r="A2456" s="2">
        <v>2717258</v>
      </c>
      <c r="B2456" s="2">
        <f>HYPERLINK("https://platform.v2.vetology.net/cases/2717258/screening-report/1?type=pdf&amp;v=v6&amp;scorecard=1&amp;secret_key=BX%25IJ%24%2F65ieZ%29f6", 2717258)</f>
        <v>2717258</v>
      </c>
      <c r="C2456" s="2">
        <f>HYPERLINK("https://platform.v2.vetology.net/report/v/final/"&amp;2717258, 2717258)</f>
        <v>2717258</v>
      </c>
      <c r="D2456" s="2" t="s">
        <v>7882</v>
      </c>
      <c r="E2456" s="2" t="s">
        <v>513</v>
      </c>
      <c r="F2456" s="2" t="s">
        <v>7883</v>
      </c>
      <c r="G2456" s="2" t="s">
        <v>111</v>
      </c>
      <c r="H2456" s="2" t="s">
        <v>45</v>
      </c>
      <c r="I2456" s="2" t="s">
        <v>46</v>
      </c>
      <c r="J2456" s="2"/>
      <c r="K2456" s="2" t="s">
        <v>39</v>
      </c>
      <c r="L2456" s="2" t="s">
        <v>39</v>
      </c>
      <c r="M2456" s="2" t="s">
        <v>39</v>
      </c>
      <c r="N2456" s="2" t="s">
        <v>39</v>
      </c>
      <c r="O2456" s="2" t="s">
        <v>39</v>
      </c>
      <c r="P2456" s="2" t="s">
        <v>39</v>
      </c>
      <c r="Q2456" s="2" t="s">
        <v>39</v>
      </c>
      <c r="R2456" s="2" t="s">
        <v>38</v>
      </c>
      <c r="S2456" s="2" t="s">
        <v>39</v>
      </c>
      <c r="T2456" s="2" t="s">
        <v>39</v>
      </c>
      <c r="U2456" s="2" t="s">
        <v>39</v>
      </c>
      <c r="V2456" s="2" t="s">
        <v>39</v>
      </c>
      <c r="W2456" s="2" t="s">
        <v>38</v>
      </c>
      <c r="X2456" s="2" t="s">
        <v>39</v>
      </c>
      <c r="Y2456" s="2" t="s">
        <v>39</v>
      </c>
      <c r="Z2456" s="2" t="s">
        <v>38</v>
      </c>
      <c r="AA2456" s="2" t="s">
        <v>38</v>
      </c>
      <c r="AB2456" s="2" t="s">
        <v>39</v>
      </c>
      <c r="AC2456" s="2" t="s">
        <v>38</v>
      </c>
      <c r="AD2456" s="2" t="s">
        <v>38</v>
      </c>
      <c r="AE2456" s="2" t="s">
        <v>39</v>
      </c>
    </row>
    <row r="2457" spans="1:31" ht="409.5">
      <c r="A2457" s="2">
        <v>2717131</v>
      </c>
      <c r="B2457" s="2">
        <f>HYPERLINK("https://platform.v2.vetology.net/cases/2717131/screening-report/1?type=pdf&amp;v=v6&amp;scorecard=1&amp;secret_key=BX%25IJ%24%2F65ieZ%29f6", 2717131)</f>
        <v>2717131</v>
      </c>
      <c r="C2457" s="2">
        <f>HYPERLINK("https://platform.v2.vetology.net/report/v/final/"&amp;2717131, 2717131)</f>
        <v>2717131</v>
      </c>
      <c r="D2457" s="2" t="s">
        <v>7884</v>
      </c>
      <c r="E2457" s="2" t="s">
        <v>118</v>
      </c>
      <c r="F2457" s="2" t="s">
        <v>7885</v>
      </c>
      <c r="G2457" s="2" t="s">
        <v>111</v>
      </c>
      <c r="H2457" s="2" t="s">
        <v>1446</v>
      </c>
      <c r="I2457" s="2" t="s">
        <v>36</v>
      </c>
      <c r="J2457" s="2" t="s">
        <v>37</v>
      </c>
      <c r="K2457" s="2" t="s">
        <v>39</v>
      </c>
      <c r="L2457" s="2" t="s">
        <v>39</v>
      </c>
      <c r="M2457" s="2" t="s">
        <v>38</v>
      </c>
      <c r="N2457" s="2" t="s">
        <v>39</v>
      </c>
      <c r="O2457" s="2" t="s">
        <v>39</v>
      </c>
      <c r="P2457" s="2" t="s">
        <v>39</v>
      </c>
      <c r="Q2457" s="2" t="s">
        <v>39</v>
      </c>
      <c r="R2457" s="2" t="s">
        <v>38</v>
      </c>
      <c r="S2457" s="2" t="s">
        <v>39</v>
      </c>
      <c r="T2457" s="2" t="s">
        <v>39</v>
      </c>
      <c r="U2457" s="2" t="s">
        <v>39</v>
      </c>
      <c r="V2457" s="2" t="s">
        <v>39</v>
      </c>
      <c r="W2457" s="2" t="s">
        <v>38</v>
      </c>
      <c r="X2457" s="2" t="s">
        <v>39</v>
      </c>
      <c r="Y2457" s="2" t="s">
        <v>39</v>
      </c>
      <c r="Z2457" s="2" t="s">
        <v>38</v>
      </c>
      <c r="AA2457" s="2" t="s">
        <v>39</v>
      </c>
      <c r="AB2457" s="2" t="s">
        <v>39</v>
      </c>
      <c r="AC2457" s="2" t="s">
        <v>38</v>
      </c>
      <c r="AD2457" s="2" t="s">
        <v>39</v>
      </c>
      <c r="AE2457" s="2" t="s">
        <v>39</v>
      </c>
    </row>
    <row r="2458" spans="1:31" ht="409.5">
      <c r="A2458" s="2">
        <v>2717122</v>
      </c>
      <c r="B2458" s="2">
        <f>HYPERLINK("https://platform.v2.vetology.net/cases/2717122/screening-report/1?type=pdf&amp;v=v6&amp;scorecard=1&amp;secret_key=BX%25IJ%24%2F65ieZ%29f6", 2717122)</f>
        <v>2717122</v>
      </c>
      <c r="C2458" s="2">
        <f>HYPERLINK("https://platform.v2.vetology.net/report/v/final/"&amp;2717122, 2717122)</f>
        <v>2717122</v>
      </c>
      <c r="D2458" s="2" t="s">
        <v>7886</v>
      </c>
      <c r="E2458" s="2" t="s">
        <v>7887</v>
      </c>
      <c r="F2458" s="2" t="s">
        <v>43</v>
      </c>
      <c r="G2458" s="2" t="s">
        <v>507</v>
      </c>
      <c r="H2458" s="2" t="s">
        <v>7888</v>
      </c>
      <c r="I2458" s="2" t="s">
        <v>36</v>
      </c>
      <c r="J2458" s="2" t="s">
        <v>37</v>
      </c>
      <c r="K2458" s="2" t="s">
        <v>38</v>
      </c>
      <c r="L2458" s="2" t="s">
        <v>38</v>
      </c>
      <c r="M2458" s="2" t="s">
        <v>38</v>
      </c>
      <c r="N2458" s="2" t="s">
        <v>38</v>
      </c>
      <c r="O2458" s="2" t="s">
        <v>38</v>
      </c>
      <c r="P2458" s="2" t="s">
        <v>38</v>
      </c>
      <c r="Q2458" s="2" t="s">
        <v>39</v>
      </c>
      <c r="R2458" s="2" t="s">
        <v>38</v>
      </c>
      <c r="S2458" s="2" t="s">
        <v>38</v>
      </c>
      <c r="T2458" s="2" t="s">
        <v>38</v>
      </c>
      <c r="U2458" s="2" t="s">
        <v>38</v>
      </c>
      <c r="V2458" s="2" t="s">
        <v>38</v>
      </c>
      <c r="W2458" s="2" t="s">
        <v>38</v>
      </c>
      <c r="X2458" s="2" t="s">
        <v>38</v>
      </c>
      <c r="Y2458" s="2" t="s">
        <v>38</v>
      </c>
      <c r="Z2458" s="2" t="s">
        <v>38</v>
      </c>
      <c r="AA2458" s="2" t="s">
        <v>38</v>
      </c>
      <c r="AB2458" s="2" t="s">
        <v>38</v>
      </c>
      <c r="AC2458" s="2" t="s">
        <v>38</v>
      </c>
      <c r="AD2458" s="2" t="s">
        <v>38</v>
      </c>
      <c r="AE2458" s="2" t="s">
        <v>40</v>
      </c>
    </row>
    <row r="2459" spans="1:31" ht="409.5">
      <c r="A2459" s="2">
        <v>2717107</v>
      </c>
      <c r="B2459" s="2">
        <f>HYPERLINK("https://platform.v2.vetology.net/cases/2717107/screening-report/1?type=pdf&amp;v=v6&amp;scorecard=1&amp;secret_key=BX%25IJ%24%2F65ieZ%29f6", 2717107)</f>
        <v>2717107</v>
      </c>
      <c r="C2459" s="2">
        <f>HYPERLINK("https://platform.v2.vetology.net/report/v/final/"&amp;2717107, 2717107)</f>
        <v>2717107</v>
      </c>
      <c r="D2459" s="2" t="s">
        <v>7889</v>
      </c>
      <c r="E2459" s="2" t="s">
        <v>7890</v>
      </c>
      <c r="F2459" s="2" t="s">
        <v>43</v>
      </c>
      <c r="G2459" s="2" t="s">
        <v>507</v>
      </c>
      <c r="H2459" s="2" t="s">
        <v>7891</v>
      </c>
      <c r="I2459" s="2" t="s">
        <v>36</v>
      </c>
      <c r="J2459" s="2" t="s">
        <v>37</v>
      </c>
      <c r="K2459" s="2" t="s">
        <v>38</v>
      </c>
      <c r="L2459" s="2" t="s">
        <v>38</v>
      </c>
      <c r="M2459" s="2" t="s">
        <v>38</v>
      </c>
      <c r="N2459" s="2" t="s">
        <v>38</v>
      </c>
      <c r="O2459" s="2" t="s">
        <v>38</v>
      </c>
      <c r="P2459" s="2" t="s">
        <v>38</v>
      </c>
      <c r="Q2459" s="2" t="s">
        <v>38</v>
      </c>
      <c r="R2459" s="2" t="s">
        <v>38</v>
      </c>
      <c r="S2459" s="2" t="s">
        <v>38</v>
      </c>
      <c r="T2459" s="2" t="s">
        <v>38</v>
      </c>
      <c r="U2459" s="2" t="s">
        <v>38</v>
      </c>
      <c r="V2459" s="2" t="s">
        <v>38</v>
      </c>
      <c r="W2459" s="2" t="s">
        <v>38</v>
      </c>
      <c r="X2459" s="2" t="s">
        <v>38</v>
      </c>
      <c r="Y2459" s="2" t="s">
        <v>38</v>
      </c>
      <c r="Z2459" s="2" t="s">
        <v>38</v>
      </c>
      <c r="AA2459" s="2" t="s">
        <v>38</v>
      </c>
      <c r="AB2459" s="2" t="s">
        <v>38</v>
      </c>
      <c r="AC2459" s="2" t="s">
        <v>38</v>
      </c>
      <c r="AD2459" s="2" t="s">
        <v>38</v>
      </c>
      <c r="AE2459" s="2" t="s">
        <v>39</v>
      </c>
    </row>
    <row r="2460" spans="1:31" ht="409.5">
      <c r="A2460" s="2">
        <v>2717103</v>
      </c>
      <c r="B2460" s="2">
        <f>HYPERLINK("https://platform.v2.vetology.net/cases/2717103/screening-report/1?type=pdf&amp;v=v6&amp;scorecard=1&amp;secret_key=BX%25IJ%24%2F65ieZ%29f6", 2717103)</f>
        <v>2717103</v>
      </c>
      <c r="C2460" s="2">
        <f>HYPERLINK("https://platform.v2.vetology.net/report/v/final/"&amp;2717103, 2717103)</f>
        <v>2717103</v>
      </c>
      <c r="D2460" s="2" t="s">
        <v>302</v>
      </c>
      <c r="E2460" s="2" t="s">
        <v>99</v>
      </c>
      <c r="F2460" s="2" t="s">
        <v>7892</v>
      </c>
      <c r="G2460" s="2" t="s">
        <v>100</v>
      </c>
      <c r="H2460" s="2" t="s">
        <v>7893</v>
      </c>
      <c r="I2460" s="2" t="s">
        <v>59</v>
      </c>
      <c r="J2460" s="2" t="s">
        <v>37</v>
      </c>
      <c r="K2460" s="2" t="s">
        <v>39</v>
      </c>
      <c r="L2460" s="2" t="s">
        <v>39</v>
      </c>
      <c r="M2460" s="2" t="s">
        <v>39</v>
      </c>
      <c r="N2460" s="2" t="s">
        <v>38</v>
      </c>
      <c r="O2460" s="2" t="s">
        <v>39</v>
      </c>
      <c r="P2460" s="2" t="s">
        <v>39</v>
      </c>
      <c r="Q2460" s="2" t="s">
        <v>39</v>
      </c>
      <c r="R2460" s="2" t="s">
        <v>38</v>
      </c>
      <c r="S2460" s="2" t="s">
        <v>39</v>
      </c>
      <c r="T2460" s="2" t="s">
        <v>39</v>
      </c>
      <c r="U2460" s="2" t="s">
        <v>39</v>
      </c>
      <c r="V2460" s="2" t="s">
        <v>38</v>
      </c>
      <c r="W2460" s="2" t="s">
        <v>39</v>
      </c>
      <c r="X2460" s="2" t="s">
        <v>39</v>
      </c>
      <c r="Y2460" s="2" t="s">
        <v>39</v>
      </c>
      <c r="Z2460" s="2" t="s">
        <v>39</v>
      </c>
      <c r="AA2460" s="2" t="s">
        <v>39</v>
      </c>
      <c r="AB2460" s="2" t="s">
        <v>39</v>
      </c>
      <c r="AC2460" s="2" t="s">
        <v>38</v>
      </c>
      <c r="AD2460" s="2" t="s">
        <v>39</v>
      </c>
      <c r="AE2460" s="2" t="s">
        <v>39</v>
      </c>
    </row>
    <row r="2461" spans="1:31" ht="409.5">
      <c r="A2461" s="2">
        <v>2717072</v>
      </c>
      <c r="B2461" s="2">
        <f>HYPERLINK("https://platform.v2.vetology.net/cases/2717072/screening-report/1?type=pdf&amp;v=v6&amp;scorecard=1&amp;secret_key=BX%25IJ%24%2F65ieZ%29f6", 2717072)</f>
        <v>2717072</v>
      </c>
      <c r="C2461" s="2">
        <f>HYPERLINK("https://platform.v2.vetology.net/report/v/final/"&amp;2717072, 2717072)</f>
        <v>2717072</v>
      </c>
      <c r="D2461" s="2" t="s">
        <v>7894</v>
      </c>
      <c r="E2461" s="2" t="s">
        <v>7895</v>
      </c>
      <c r="F2461" s="2" t="s">
        <v>7896</v>
      </c>
      <c r="G2461" s="2" t="s">
        <v>127</v>
      </c>
      <c r="H2461" s="2" t="s">
        <v>45</v>
      </c>
      <c r="I2461" s="2" t="s">
        <v>46</v>
      </c>
      <c r="J2461" s="2"/>
      <c r="K2461" s="2" t="s">
        <v>39</v>
      </c>
      <c r="L2461" s="2" t="s">
        <v>39</v>
      </c>
      <c r="M2461" s="2" t="s">
        <v>39</v>
      </c>
      <c r="N2461" s="2" t="s">
        <v>39</v>
      </c>
      <c r="O2461" s="2" t="s">
        <v>39</v>
      </c>
      <c r="P2461" s="2" t="s">
        <v>39</v>
      </c>
      <c r="Q2461" s="2" t="s">
        <v>39</v>
      </c>
      <c r="R2461" s="2" t="s">
        <v>38</v>
      </c>
      <c r="S2461" s="2" t="s">
        <v>39</v>
      </c>
      <c r="T2461" s="2" t="s">
        <v>39</v>
      </c>
      <c r="U2461" s="2" t="s">
        <v>38</v>
      </c>
      <c r="V2461" s="2" t="s">
        <v>38</v>
      </c>
      <c r="W2461" s="2" t="s">
        <v>38</v>
      </c>
      <c r="X2461" s="2" t="s">
        <v>39</v>
      </c>
      <c r="Y2461" s="2" t="s">
        <v>39</v>
      </c>
      <c r="Z2461" s="2" t="s">
        <v>38</v>
      </c>
      <c r="AA2461" s="2" t="s">
        <v>39</v>
      </c>
      <c r="AB2461" s="2" t="s">
        <v>39</v>
      </c>
      <c r="AC2461" s="2" t="s">
        <v>38</v>
      </c>
      <c r="AD2461" s="2" t="s">
        <v>39</v>
      </c>
      <c r="AE2461" s="2" t="s">
        <v>39</v>
      </c>
    </row>
    <row r="2462" spans="1:31" ht="409.5">
      <c r="A2462" s="2">
        <v>2717036</v>
      </c>
      <c r="B2462" s="2">
        <f>HYPERLINK("https://platform.v2.vetology.net/cases/2717036/screening-report/1?type=pdf&amp;v=v6&amp;scorecard=1&amp;secret_key=BX%25IJ%24%2F65ieZ%29f6", 2717036)</f>
        <v>2717036</v>
      </c>
      <c r="C2462" s="2">
        <f>HYPERLINK("https://platform.v2.vetology.net/report/v/final/"&amp;2717036, 2717036)</f>
        <v>2717036</v>
      </c>
      <c r="D2462" s="2" t="s">
        <v>7897</v>
      </c>
      <c r="E2462" s="2" t="s">
        <v>7898</v>
      </c>
      <c r="F2462" s="2" t="s">
        <v>7899</v>
      </c>
      <c r="G2462" s="2" t="s">
        <v>251</v>
      </c>
      <c r="H2462" s="2" t="s">
        <v>7900</v>
      </c>
      <c r="I2462" s="2" t="s">
        <v>36</v>
      </c>
      <c r="J2462" s="2" t="s">
        <v>37</v>
      </c>
      <c r="K2462" s="2" t="s">
        <v>38</v>
      </c>
      <c r="L2462" s="2" t="s">
        <v>38</v>
      </c>
      <c r="M2462" s="2" t="s">
        <v>38</v>
      </c>
      <c r="N2462" s="2" t="s">
        <v>38</v>
      </c>
      <c r="O2462" s="2" t="s">
        <v>38</v>
      </c>
      <c r="P2462" s="2" t="s">
        <v>38</v>
      </c>
      <c r="Q2462" s="2" t="s">
        <v>39</v>
      </c>
      <c r="R2462" s="2" t="s">
        <v>38</v>
      </c>
      <c r="S2462" s="2" t="s">
        <v>38</v>
      </c>
      <c r="T2462" s="2" t="s">
        <v>38</v>
      </c>
      <c r="U2462" s="2" t="s">
        <v>38</v>
      </c>
      <c r="V2462" s="2" t="s">
        <v>38</v>
      </c>
      <c r="W2462" s="2" t="s">
        <v>38</v>
      </c>
      <c r="X2462" s="2" t="s">
        <v>39</v>
      </c>
      <c r="Y2462" s="2" t="s">
        <v>39</v>
      </c>
      <c r="Z2462" s="2" t="s">
        <v>38</v>
      </c>
      <c r="AA2462" s="2" t="s">
        <v>38</v>
      </c>
      <c r="AB2462" s="2" t="s">
        <v>39</v>
      </c>
      <c r="AC2462" s="2" t="s">
        <v>38</v>
      </c>
      <c r="AD2462" s="2" t="s">
        <v>38</v>
      </c>
      <c r="AE2462" s="2" t="s">
        <v>39</v>
      </c>
    </row>
    <row r="2463" spans="1:31" ht="409.5">
      <c r="A2463" s="2">
        <v>2717028</v>
      </c>
      <c r="B2463" s="2">
        <f>HYPERLINK("https://platform.v2.vetology.net/cases/2717028/screening-report/1?type=pdf&amp;v=v6&amp;scorecard=1&amp;secret_key=BX%25IJ%24%2F65ieZ%29f6", 2717028)</f>
        <v>2717028</v>
      </c>
      <c r="C2463" s="2">
        <f>HYPERLINK("https://platform.v2.vetology.net/report/v/final/"&amp;2717028, 2717028)</f>
        <v>2717028</v>
      </c>
      <c r="D2463" s="2" t="s">
        <v>7901</v>
      </c>
      <c r="E2463" s="2" t="s">
        <v>7902</v>
      </c>
      <c r="F2463" s="2" t="s">
        <v>1354</v>
      </c>
      <c r="G2463" s="2" t="s">
        <v>111</v>
      </c>
      <c r="H2463" s="2" t="s">
        <v>7903</v>
      </c>
      <c r="I2463" s="2" t="s">
        <v>73</v>
      </c>
      <c r="J2463" s="2" t="s">
        <v>74</v>
      </c>
      <c r="K2463" s="2" t="s">
        <v>38</v>
      </c>
      <c r="L2463" s="2" t="s">
        <v>38</v>
      </c>
      <c r="M2463" s="2" t="s">
        <v>38</v>
      </c>
      <c r="N2463" s="2" t="s">
        <v>38</v>
      </c>
      <c r="O2463" s="2" t="s">
        <v>38</v>
      </c>
      <c r="P2463" s="2" t="s">
        <v>38</v>
      </c>
      <c r="Q2463" s="2" t="s">
        <v>38</v>
      </c>
      <c r="R2463" s="2" t="s">
        <v>38</v>
      </c>
      <c r="S2463" s="2" t="s">
        <v>38</v>
      </c>
      <c r="T2463" s="2" t="s">
        <v>38</v>
      </c>
      <c r="U2463" s="2" t="s">
        <v>38</v>
      </c>
      <c r="V2463" s="2" t="s">
        <v>38</v>
      </c>
      <c r="W2463" s="2" t="s">
        <v>38</v>
      </c>
      <c r="X2463" s="2" t="s">
        <v>38</v>
      </c>
      <c r="Y2463" s="2" t="s">
        <v>38</v>
      </c>
      <c r="Z2463" s="2" t="s">
        <v>38</v>
      </c>
      <c r="AA2463" s="2" t="s">
        <v>38</v>
      </c>
      <c r="AB2463" s="2" t="s">
        <v>38</v>
      </c>
      <c r="AC2463" s="2" t="s">
        <v>38</v>
      </c>
      <c r="AD2463" s="2" t="s">
        <v>39</v>
      </c>
      <c r="AE2463" s="2" t="s">
        <v>40</v>
      </c>
    </row>
    <row r="2464" spans="1:31" ht="409.5">
      <c r="A2464" s="2">
        <v>2716976</v>
      </c>
      <c r="B2464" s="2">
        <f>HYPERLINK("https://platform.v2.vetology.net/cases/2716976/screening-report/1?type=pdf&amp;v=v6&amp;scorecard=1&amp;secret_key=BX%25IJ%24%2F65ieZ%29f6", 2716976)</f>
        <v>2716976</v>
      </c>
      <c r="C2464" s="2">
        <f>HYPERLINK("https://platform.v2.vetology.net/report/v/final/"&amp;2716976, 2716976)</f>
        <v>2716976</v>
      </c>
      <c r="D2464" s="2" t="s">
        <v>7904</v>
      </c>
      <c r="E2464" s="2" t="s">
        <v>7905</v>
      </c>
      <c r="F2464" s="2" t="s">
        <v>7906</v>
      </c>
      <c r="G2464" s="2" t="s">
        <v>127</v>
      </c>
      <c r="H2464" s="2" t="s">
        <v>7907</v>
      </c>
      <c r="I2464" s="2" t="s">
        <v>129</v>
      </c>
      <c r="J2464" s="2" t="s">
        <v>74</v>
      </c>
      <c r="K2464" s="2" t="s">
        <v>39</v>
      </c>
      <c r="L2464" s="2" t="s">
        <v>38</v>
      </c>
      <c r="M2464" s="2" t="s">
        <v>38</v>
      </c>
      <c r="N2464" s="2" t="s">
        <v>38</v>
      </c>
      <c r="O2464" s="2" t="s">
        <v>38</v>
      </c>
      <c r="P2464" s="2" t="s">
        <v>38</v>
      </c>
      <c r="Q2464" s="2" t="s">
        <v>38</v>
      </c>
      <c r="R2464" s="2" t="s">
        <v>38</v>
      </c>
      <c r="S2464" s="2" t="s">
        <v>38</v>
      </c>
      <c r="T2464" s="2" t="s">
        <v>38</v>
      </c>
      <c r="U2464" s="2" t="s">
        <v>39</v>
      </c>
      <c r="V2464" s="2" t="s">
        <v>39</v>
      </c>
      <c r="W2464" s="2" t="s">
        <v>38</v>
      </c>
      <c r="X2464" s="2" t="s">
        <v>38</v>
      </c>
      <c r="Y2464" s="2" t="s">
        <v>39</v>
      </c>
      <c r="Z2464" s="2" t="s">
        <v>38</v>
      </c>
      <c r="AA2464" s="2" t="s">
        <v>38</v>
      </c>
      <c r="AB2464" s="2" t="s">
        <v>38</v>
      </c>
      <c r="AC2464" s="2" t="s">
        <v>38</v>
      </c>
      <c r="AD2464" s="2" t="s">
        <v>38</v>
      </c>
      <c r="AE2464" s="2"/>
    </row>
    <row r="2465" spans="1:31" ht="409.5">
      <c r="A2465" s="2">
        <v>2716966</v>
      </c>
      <c r="B2465" s="2">
        <f>HYPERLINK("https://platform.v2.vetology.net/cases/2716966/screening-report/1?type=pdf&amp;v=v6&amp;scorecard=1&amp;secret_key=BX%25IJ%24%2F65ieZ%29f6", 2716966)</f>
        <v>2716966</v>
      </c>
      <c r="C2465" s="2">
        <f>HYPERLINK("https://platform.v2.vetology.net/report/v/final/"&amp;2716966, 2716966)</f>
        <v>2716966</v>
      </c>
      <c r="D2465" s="2" t="s">
        <v>7908</v>
      </c>
      <c r="E2465" s="2" t="s">
        <v>7909</v>
      </c>
      <c r="F2465" s="2" t="s">
        <v>7910</v>
      </c>
      <c r="G2465" s="2" t="s">
        <v>145</v>
      </c>
      <c r="H2465" s="2" t="s">
        <v>7911</v>
      </c>
      <c r="I2465" s="2" t="s">
        <v>73</v>
      </c>
      <c r="J2465" s="2" t="s">
        <v>74</v>
      </c>
      <c r="K2465" s="2" t="s">
        <v>38</v>
      </c>
      <c r="L2465" s="2" t="s">
        <v>38</v>
      </c>
      <c r="M2465" s="2" t="s">
        <v>38</v>
      </c>
      <c r="N2465" s="2" t="s">
        <v>38</v>
      </c>
      <c r="O2465" s="2" t="s">
        <v>38</v>
      </c>
      <c r="P2465" s="2" t="s">
        <v>38</v>
      </c>
      <c r="Q2465" s="2" t="s">
        <v>38</v>
      </c>
      <c r="R2465" s="2" t="s">
        <v>38</v>
      </c>
      <c r="S2465" s="2" t="s">
        <v>38</v>
      </c>
      <c r="T2465" s="2" t="s">
        <v>38</v>
      </c>
      <c r="U2465" s="2" t="s">
        <v>38</v>
      </c>
      <c r="V2465" s="2" t="s">
        <v>38</v>
      </c>
      <c r="W2465" s="2" t="s">
        <v>38</v>
      </c>
      <c r="X2465" s="2" t="s">
        <v>38</v>
      </c>
      <c r="Y2465" s="2" t="s">
        <v>38</v>
      </c>
      <c r="Z2465" s="2" t="s">
        <v>38</v>
      </c>
      <c r="AA2465" s="2" t="s">
        <v>38</v>
      </c>
      <c r="AB2465" s="2" t="s">
        <v>38</v>
      </c>
      <c r="AC2465" s="2" t="s">
        <v>38</v>
      </c>
      <c r="AD2465" s="2" t="s">
        <v>38</v>
      </c>
      <c r="AE2465" s="2" t="s">
        <v>40</v>
      </c>
    </row>
    <row r="2466" spans="1:31" ht="409.5">
      <c r="A2466" s="2">
        <v>2716910</v>
      </c>
      <c r="B2466" s="2">
        <f>HYPERLINK("https://platform.v2.vetology.net/cases/2716910/screening-report/1?type=pdf&amp;v=v6&amp;scorecard=1&amp;secret_key=BX%25IJ%24%2F65ieZ%29f6", 2716910)</f>
        <v>2716910</v>
      </c>
      <c r="C2466" s="2">
        <f>HYPERLINK("https://platform.v2.vetology.net/report/v/final/"&amp;2716910, 2716910)</f>
        <v>2716910</v>
      </c>
      <c r="D2466" s="2" t="s">
        <v>7912</v>
      </c>
      <c r="E2466" s="2" t="s">
        <v>7913</v>
      </c>
      <c r="F2466" s="2" t="s">
        <v>7914</v>
      </c>
      <c r="G2466" s="2" t="s">
        <v>170</v>
      </c>
      <c r="H2466" s="2" t="s">
        <v>7915</v>
      </c>
      <c r="I2466" s="2" t="s">
        <v>257</v>
      </c>
      <c r="J2466" s="2" t="s">
        <v>74</v>
      </c>
      <c r="K2466" s="2" t="s">
        <v>38</v>
      </c>
      <c r="L2466" s="2" t="s">
        <v>38</v>
      </c>
      <c r="M2466" s="2" t="s">
        <v>38</v>
      </c>
      <c r="N2466" s="2" t="s">
        <v>38</v>
      </c>
      <c r="O2466" s="2" t="s">
        <v>38</v>
      </c>
      <c r="P2466" s="2" t="s">
        <v>38</v>
      </c>
      <c r="Q2466" s="2" t="s">
        <v>38</v>
      </c>
      <c r="R2466" s="2" t="s">
        <v>38</v>
      </c>
      <c r="S2466" s="2" t="s">
        <v>38</v>
      </c>
      <c r="T2466" s="2" t="s">
        <v>38</v>
      </c>
      <c r="U2466" s="2" t="s">
        <v>38</v>
      </c>
      <c r="V2466" s="2" t="s">
        <v>38</v>
      </c>
      <c r="W2466" s="2" t="s">
        <v>38</v>
      </c>
      <c r="X2466" s="2" t="s">
        <v>38</v>
      </c>
      <c r="Y2466" s="2" t="s">
        <v>38</v>
      </c>
      <c r="Z2466" s="2" t="s">
        <v>38</v>
      </c>
      <c r="AA2466" s="2" t="s">
        <v>38</v>
      </c>
      <c r="AB2466" s="2" t="s">
        <v>38</v>
      </c>
      <c r="AC2466" s="2" t="s">
        <v>38</v>
      </c>
      <c r="AD2466" s="2" t="s">
        <v>38</v>
      </c>
      <c r="AE2466" s="2" t="s">
        <v>39</v>
      </c>
    </row>
    <row r="2467" spans="1:31" ht="409.5">
      <c r="A2467" s="2">
        <v>2716892</v>
      </c>
      <c r="B2467" s="2">
        <f>HYPERLINK("https://platform.v2.vetology.net/cases/2716892/screening-report/1?type=pdf&amp;v=v6&amp;scorecard=1&amp;secret_key=BX%25IJ%24%2F65ieZ%29f6", 2716892)</f>
        <v>2716892</v>
      </c>
      <c r="C2467" s="2">
        <f>HYPERLINK("https://platform.v2.vetology.net/report/v/final/"&amp;2716892, 2716892)</f>
        <v>2716892</v>
      </c>
      <c r="D2467" s="2" t="s">
        <v>7916</v>
      </c>
      <c r="E2467" s="2" t="s">
        <v>7917</v>
      </c>
      <c r="F2467" s="2" t="s">
        <v>7918</v>
      </c>
      <c r="G2467" s="2" t="s">
        <v>170</v>
      </c>
      <c r="H2467" s="2" t="s">
        <v>69</v>
      </c>
      <c r="I2467" s="2" t="s">
        <v>46</v>
      </c>
      <c r="J2467" s="2"/>
      <c r="K2467" s="2" t="s">
        <v>39</v>
      </c>
      <c r="L2467" s="2" t="s">
        <v>39</v>
      </c>
      <c r="M2467" s="2" t="s">
        <v>39</v>
      </c>
      <c r="N2467" s="2" t="s">
        <v>39</v>
      </c>
      <c r="O2467" s="2" t="s">
        <v>38</v>
      </c>
      <c r="P2467" s="2" t="s">
        <v>39</v>
      </c>
      <c r="Q2467" s="2" t="s">
        <v>39</v>
      </c>
      <c r="R2467" s="2" t="s">
        <v>39</v>
      </c>
      <c r="S2467" s="2" t="s">
        <v>39</v>
      </c>
      <c r="T2467" s="2" t="s">
        <v>39</v>
      </c>
      <c r="U2467" s="2" t="s">
        <v>39</v>
      </c>
      <c r="V2467" s="2" t="s">
        <v>39</v>
      </c>
      <c r="W2467" s="2" t="s">
        <v>38</v>
      </c>
      <c r="X2467" s="2" t="s">
        <v>39</v>
      </c>
      <c r="Y2467" s="2" t="s">
        <v>39</v>
      </c>
      <c r="Z2467" s="2" t="s">
        <v>39</v>
      </c>
      <c r="AA2467" s="2" t="s">
        <v>39</v>
      </c>
      <c r="AB2467" s="2" t="s">
        <v>39</v>
      </c>
      <c r="AC2467" s="2" t="s">
        <v>38</v>
      </c>
      <c r="AD2467" s="2" t="s">
        <v>38</v>
      </c>
      <c r="AE2467" s="2" t="s">
        <v>39</v>
      </c>
    </row>
    <row r="2468" spans="1:31" ht="409.5">
      <c r="A2468" s="2">
        <v>2716878</v>
      </c>
      <c r="B2468" s="2">
        <f>HYPERLINK("https://platform.v2.vetology.net/cases/2716878/screening-report/1?type=pdf&amp;v=v6&amp;scorecard=1&amp;secret_key=BX%25IJ%24%2F65ieZ%29f6", 2716878)</f>
        <v>2716878</v>
      </c>
      <c r="C2468" s="2">
        <f>HYPERLINK("https://platform.v2.vetology.net/report/v/final/"&amp;2716878, 2716878)</f>
        <v>2716878</v>
      </c>
      <c r="D2468" s="2" t="s">
        <v>7919</v>
      </c>
      <c r="E2468" s="2" t="s">
        <v>7920</v>
      </c>
      <c r="F2468" s="2" t="s">
        <v>7921</v>
      </c>
      <c r="G2468" s="2" t="s">
        <v>53</v>
      </c>
      <c r="H2468" s="2" t="s">
        <v>7922</v>
      </c>
      <c r="I2468" s="2" t="s">
        <v>129</v>
      </c>
      <c r="J2468" s="2" t="s">
        <v>74</v>
      </c>
      <c r="K2468" s="2" t="s">
        <v>39</v>
      </c>
      <c r="L2468" s="2" t="s">
        <v>39</v>
      </c>
      <c r="M2468" s="2" t="s">
        <v>38</v>
      </c>
      <c r="N2468" s="2" t="s">
        <v>38</v>
      </c>
      <c r="O2468" s="2" t="s">
        <v>38</v>
      </c>
      <c r="P2468" s="2" t="s">
        <v>39</v>
      </c>
      <c r="Q2468" s="2" t="s">
        <v>38</v>
      </c>
      <c r="R2468" s="2" t="s">
        <v>38</v>
      </c>
      <c r="S2468" s="2" t="s">
        <v>38</v>
      </c>
      <c r="T2468" s="2" t="s">
        <v>38</v>
      </c>
      <c r="U2468" s="2" t="s">
        <v>39</v>
      </c>
      <c r="V2468" s="2" t="s">
        <v>39</v>
      </c>
      <c r="W2468" s="2" t="s">
        <v>38</v>
      </c>
      <c r="X2468" s="2" t="s">
        <v>38</v>
      </c>
      <c r="Y2468" s="2" t="s">
        <v>39</v>
      </c>
      <c r="Z2468" s="2" t="s">
        <v>38</v>
      </c>
      <c r="AA2468" s="2" t="s">
        <v>39</v>
      </c>
      <c r="AB2468" s="2" t="s">
        <v>39</v>
      </c>
      <c r="AC2468" s="2" t="s">
        <v>38</v>
      </c>
      <c r="AD2468" s="2" t="s">
        <v>39</v>
      </c>
      <c r="AE2468" s="2"/>
    </row>
    <row r="2469" spans="1:31" ht="409.5">
      <c r="A2469" s="2">
        <v>2716838</v>
      </c>
      <c r="B2469" s="2">
        <f>HYPERLINK("https://platform.v2.vetology.net/cases/2716838/screening-report/1?type=pdf&amp;v=v6&amp;scorecard=1&amp;secret_key=BX%25IJ%24%2F65ieZ%29f6", 2716838)</f>
        <v>2716838</v>
      </c>
      <c r="C2469" s="2">
        <f>HYPERLINK("https://platform.v2.vetology.net/report/v/final/"&amp;2716838, 2716838)</f>
        <v>2716838</v>
      </c>
      <c r="D2469" s="2" t="s">
        <v>7923</v>
      </c>
      <c r="E2469" s="2" t="s">
        <v>7924</v>
      </c>
      <c r="F2469" s="2" t="s">
        <v>7925</v>
      </c>
      <c r="G2469" s="2" t="s">
        <v>127</v>
      </c>
      <c r="H2469" s="2" t="s">
        <v>7926</v>
      </c>
      <c r="I2469" s="2" t="s">
        <v>129</v>
      </c>
      <c r="J2469" s="2" t="s">
        <v>74</v>
      </c>
      <c r="K2469" s="2" t="s">
        <v>39</v>
      </c>
      <c r="L2469" s="2" t="s">
        <v>39</v>
      </c>
      <c r="M2469" s="2" t="s">
        <v>38</v>
      </c>
      <c r="N2469" s="2" t="s">
        <v>38</v>
      </c>
      <c r="O2469" s="2" t="s">
        <v>38</v>
      </c>
      <c r="P2469" s="2" t="s">
        <v>38</v>
      </c>
      <c r="Q2469" s="2" t="s">
        <v>38</v>
      </c>
      <c r="R2469" s="2" t="s">
        <v>39</v>
      </c>
      <c r="S2469" s="2" t="s">
        <v>39</v>
      </c>
      <c r="T2469" s="2" t="s">
        <v>38</v>
      </c>
      <c r="U2469" s="2" t="s">
        <v>39</v>
      </c>
      <c r="V2469" s="2" t="s">
        <v>38</v>
      </c>
      <c r="W2469" s="2" t="s">
        <v>39</v>
      </c>
      <c r="X2469" s="2" t="s">
        <v>38</v>
      </c>
      <c r="Y2469" s="2" t="s">
        <v>39</v>
      </c>
      <c r="Z2469" s="2" t="s">
        <v>39</v>
      </c>
      <c r="AA2469" s="2" t="s">
        <v>39</v>
      </c>
      <c r="AB2469" s="2" t="s">
        <v>38</v>
      </c>
      <c r="AC2469" s="2" t="s">
        <v>39</v>
      </c>
      <c r="AD2469" s="2" t="s">
        <v>39</v>
      </c>
      <c r="AE2469" s="2" t="s">
        <v>39</v>
      </c>
    </row>
    <row r="2470" spans="1:31" ht="409.5">
      <c r="A2470" s="2">
        <v>2716828</v>
      </c>
      <c r="B2470" s="2">
        <f>HYPERLINK("https://platform.v2.vetology.net/cases/2716828/screening-report/1?type=pdf&amp;v=v6&amp;scorecard=1&amp;secret_key=BX%25IJ%24%2F65ieZ%29f6", 2716828)</f>
        <v>2716828</v>
      </c>
      <c r="C2470" s="2">
        <f>HYPERLINK("https://platform.v2.vetology.net/report/v/final/"&amp;2716828, 2716828)</f>
        <v>2716828</v>
      </c>
      <c r="D2470" s="2" t="s">
        <v>7927</v>
      </c>
      <c r="E2470" s="2" t="s">
        <v>7928</v>
      </c>
      <c r="F2470" s="2" t="s">
        <v>7929</v>
      </c>
      <c r="G2470" s="2" t="s">
        <v>170</v>
      </c>
      <c r="H2470" s="2" t="s">
        <v>69</v>
      </c>
      <c r="I2470" s="2" t="s">
        <v>46</v>
      </c>
      <c r="J2470" s="2"/>
      <c r="K2470" s="2" t="s">
        <v>39</v>
      </c>
      <c r="L2470" s="2" t="s">
        <v>39</v>
      </c>
      <c r="M2470" s="2" t="s">
        <v>39</v>
      </c>
      <c r="N2470" s="2" t="s">
        <v>39</v>
      </c>
      <c r="O2470" s="2" t="s">
        <v>39</v>
      </c>
      <c r="P2470" s="2" t="s">
        <v>39</v>
      </c>
      <c r="Q2470" s="2" t="s">
        <v>39</v>
      </c>
      <c r="R2470" s="2" t="s">
        <v>39</v>
      </c>
      <c r="S2470" s="2" t="s">
        <v>39</v>
      </c>
      <c r="T2470" s="2" t="s">
        <v>39</v>
      </c>
      <c r="U2470" s="2" t="s">
        <v>39</v>
      </c>
      <c r="V2470" s="2" t="s">
        <v>39</v>
      </c>
      <c r="W2470" s="2" t="s">
        <v>39</v>
      </c>
      <c r="X2470" s="2" t="s">
        <v>39</v>
      </c>
      <c r="Y2470" s="2" t="s">
        <v>39</v>
      </c>
      <c r="Z2470" s="2" t="s">
        <v>39</v>
      </c>
      <c r="AA2470" s="2" t="s">
        <v>39</v>
      </c>
      <c r="AB2470" s="2" t="s">
        <v>39</v>
      </c>
      <c r="AC2470" s="2" t="s">
        <v>39</v>
      </c>
      <c r="AD2470" s="2" t="s">
        <v>38</v>
      </c>
      <c r="AE2470" s="2" t="s">
        <v>39</v>
      </c>
    </row>
    <row r="2471" spans="1:31" ht="409.5">
      <c r="A2471" s="2">
        <v>2716808</v>
      </c>
      <c r="B2471" s="2">
        <f>HYPERLINK("https://platform.v2.vetology.net/cases/2716808/screening-report/1?type=pdf&amp;v=v6&amp;scorecard=1&amp;secret_key=BX%25IJ%24%2F65ieZ%29f6", 2716808)</f>
        <v>2716808</v>
      </c>
      <c r="C2471" s="2">
        <f>HYPERLINK("https://platform.v2.vetology.net/report/v/final/"&amp;2716808, 2716808)</f>
        <v>2716808</v>
      </c>
      <c r="D2471" s="2" t="s">
        <v>1090</v>
      </c>
      <c r="E2471" s="2" t="s">
        <v>7930</v>
      </c>
      <c r="F2471" s="2"/>
      <c r="G2471" s="2" t="s">
        <v>100</v>
      </c>
      <c r="H2471" s="2" t="s">
        <v>7931</v>
      </c>
      <c r="I2471" s="2" t="s">
        <v>36</v>
      </c>
      <c r="J2471" s="2" t="s">
        <v>37</v>
      </c>
      <c r="K2471" s="2" t="s">
        <v>38</v>
      </c>
      <c r="L2471" s="2" t="s">
        <v>38</v>
      </c>
      <c r="M2471" s="2" t="s">
        <v>38</v>
      </c>
      <c r="N2471" s="2" t="s">
        <v>38</v>
      </c>
      <c r="O2471" s="2" t="s">
        <v>38</v>
      </c>
      <c r="P2471" s="2" t="s">
        <v>39</v>
      </c>
      <c r="Q2471" s="2" t="s">
        <v>39</v>
      </c>
      <c r="R2471" s="2" t="s">
        <v>39</v>
      </c>
      <c r="S2471" s="2" t="s">
        <v>38</v>
      </c>
      <c r="T2471" s="2" t="s">
        <v>39</v>
      </c>
      <c r="U2471" s="2" t="s">
        <v>39</v>
      </c>
      <c r="V2471" s="2" t="s">
        <v>38</v>
      </c>
      <c r="W2471" s="2" t="s">
        <v>39</v>
      </c>
      <c r="X2471" s="2" t="s">
        <v>39</v>
      </c>
      <c r="Y2471" s="2" t="s">
        <v>39</v>
      </c>
      <c r="Z2471" s="2" t="s">
        <v>38</v>
      </c>
      <c r="AA2471" s="2" t="s">
        <v>38</v>
      </c>
      <c r="AB2471" s="2" t="s">
        <v>39</v>
      </c>
      <c r="AC2471" s="2" t="s">
        <v>38</v>
      </c>
      <c r="AD2471" s="2" t="s">
        <v>39</v>
      </c>
      <c r="AE2471" s="2" t="s">
        <v>40</v>
      </c>
    </row>
    <row r="2472" spans="1:31" ht="409.5">
      <c r="A2472" s="2">
        <v>2716807</v>
      </c>
      <c r="B2472" s="2">
        <f>HYPERLINK("https://platform.v2.vetology.net/cases/2716807/screening-report/1?type=pdf&amp;v=v6&amp;scorecard=1&amp;secret_key=BX%25IJ%24%2F65ieZ%29f6", 2716807)</f>
        <v>2716807</v>
      </c>
      <c r="C2472" s="2">
        <f>HYPERLINK("https://platform.v2.vetology.net/report/v/final/"&amp;2716807, 2716807)</f>
        <v>2716807</v>
      </c>
      <c r="D2472" s="2" t="s">
        <v>7932</v>
      </c>
      <c r="E2472" s="2" t="s">
        <v>7933</v>
      </c>
      <c r="F2472" s="2" t="s">
        <v>7934</v>
      </c>
      <c r="G2472" s="2" t="s">
        <v>53</v>
      </c>
      <c r="H2472" s="2" t="s">
        <v>7935</v>
      </c>
      <c r="I2472" s="2" t="s">
        <v>36</v>
      </c>
      <c r="J2472" s="2" t="s">
        <v>37</v>
      </c>
      <c r="K2472" s="2" t="s">
        <v>38</v>
      </c>
      <c r="L2472" s="2" t="s">
        <v>38</v>
      </c>
      <c r="M2472" s="2" t="s">
        <v>38</v>
      </c>
      <c r="N2472" s="2" t="s">
        <v>38</v>
      </c>
      <c r="O2472" s="2" t="s">
        <v>38</v>
      </c>
      <c r="P2472" s="2" t="s">
        <v>39</v>
      </c>
      <c r="Q2472" s="2" t="s">
        <v>39</v>
      </c>
      <c r="R2472" s="2" t="s">
        <v>38</v>
      </c>
      <c r="S2472" s="2" t="s">
        <v>38</v>
      </c>
      <c r="T2472" s="2" t="s">
        <v>38</v>
      </c>
      <c r="U2472" s="2" t="s">
        <v>38</v>
      </c>
      <c r="V2472" s="2" t="s">
        <v>38</v>
      </c>
      <c r="W2472" s="2" t="s">
        <v>38</v>
      </c>
      <c r="X2472" s="2" t="s">
        <v>39</v>
      </c>
      <c r="Y2472" s="2" t="s">
        <v>39</v>
      </c>
      <c r="Z2472" s="2" t="s">
        <v>38</v>
      </c>
      <c r="AA2472" s="2" t="s">
        <v>38</v>
      </c>
      <c r="AB2472" s="2" t="s">
        <v>39</v>
      </c>
      <c r="AC2472" s="2" t="s">
        <v>38</v>
      </c>
      <c r="AD2472" s="2" t="s">
        <v>38</v>
      </c>
      <c r="AE2472" s="2" t="s">
        <v>39</v>
      </c>
    </row>
    <row r="2473" spans="1:31" ht="409.5">
      <c r="A2473" s="2">
        <v>2716800</v>
      </c>
      <c r="B2473" s="2">
        <f>HYPERLINK("https://platform.v2.vetology.net/cases/2716800/screening-report/1?type=pdf&amp;v=v6&amp;scorecard=1&amp;secret_key=BX%25IJ%24%2F65ieZ%29f6", 2716800)</f>
        <v>2716800</v>
      </c>
      <c r="C2473" s="2">
        <f>HYPERLINK("https://platform.v2.vetology.net/report/v/final/"&amp;2716800, 2716800)</f>
        <v>2716800</v>
      </c>
      <c r="D2473" s="2" t="s">
        <v>7936</v>
      </c>
      <c r="E2473" s="2" t="s">
        <v>7937</v>
      </c>
      <c r="F2473" s="2" t="s">
        <v>43</v>
      </c>
      <c r="G2473" s="2" t="s">
        <v>100</v>
      </c>
      <c r="H2473" s="2" t="s">
        <v>7938</v>
      </c>
      <c r="I2473" s="2" t="s">
        <v>684</v>
      </c>
      <c r="J2473" s="2" t="s">
        <v>74</v>
      </c>
      <c r="K2473" s="2" t="s">
        <v>39</v>
      </c>
      <c r="L2473" s="2" t="s">
        <v>39</v>
      </c>
      <c r="M2473" s="2" t="s">
        <v>39</v>
      </c>
      <c r="N2473" s="2" t="s">
        <v>39</v>
      </c>
      <c r="O2473" s="2" t="s">
        <v>39</v>
      </c>
      <c r="P2473" s="2" t="s">
        <v>39</v>
      </c>
      <c r="Q2473" s="2" t="s">
        <v>38</v>
      </c>
      <c r="R2473" s="2" t="s">
        <v>38</v>
      </c>
      <c r="S2473" s="2" t="s">
        <v>39</v>
      </c>
      <c r="T2473" s="2" t="s">
        <v>38</v>
      </c>
      <c r="U2473" s="2" t="s">
        <v>39</v>
      </c>
      <c r="V2473" s="2" t="s">
        <v>39</v>
      </c>
      <c r="W2473" s="2" t="s">
        <v>38</v>
      </c>
      <c r="X2473" s="2" t="s">
        <v>38</v>
      </c>
      <c r="Y2473" s="2" t="s">
        <v>39</v>
      </c>
      <c r="Z2473" s="2" t="s">
        <v>39</v>
      </c>
      <c r="AA2473" s="2" t="s">
        <v>39</v>
      </c>
      <c r="AB2473" s="2" t="s">
        <v>38</v>
      </c>
      <c r="AC2473" s="2" t="s">
        <v>38</v>
      </c>
      <c r="AD2473" s="2" t="s">
        <v>39</v>
      </c>
      <c r="AE2473" s="2" t="s">
        <v>39</v>
      </c>
    </row>
    <row r="2474" spans="1:31" ht="409.5">
      <c r="A2474" s="2">
        <v>2716795</v>
      </c>
      <c r="B2474" s="2">
        <f>HYPERLINK("https://platform.v2.vetology.net/cases/2716795/screening-report/1?type=pdf&amp;v=v6&amp;scorecard=1&amp;secret_key=BX%25IJ%24%2F65ieZ%29f6", 2716795)</f>
        <v>2716795</v>
      </c>
      <c r="C2474" s="2">
        <f>HYPERLINK("https://platform.v2.vetology.net/report/v/final/"&amp;2716795, 2716795)</f>
        <v>2716795</v>
      </c>
      <c r="D2474" s="2" t="s">
        <v>7939</v>
      </c>
      <c r="E2474" s="2" t="s">
        <v>7940</v>
      </c>
      <c r="F2474" s="2" t="s">
        <v>43</v>
      </c>
      <c r="G2474" s="2" t="s">
        <v>507</v>
      </c>
      <c r="H2474" s="2" t="s">
        <v>7941</v>
      </c>
      <c r="I2474" s="2" t="s">
        <v>129</v>
      </c>
      <c r="J2474" s="2" t="s">
        <v>74</v>
      </c>
      <c r="K2474" s="2" t="s">
        <v>39</v>
      </c>
      <c r="L2474" s="2" t="s">
        <v>38</v>
      </c>
      <c r="M2474" s="2" t="s">
        <v>39</v>
      </c>
      <c r="N2474" s="2" t="s">
        <v>39</v>
      </c>
      <c r="O2474" s="2" t="s">
        <v>39</v>
      </c>
      <c r="P2474" s="2" t="s">
        <v>38</v>
      </c>
      <c r="Q2474" s="2" t="s">
        <v>38</v>
      </c>
      <c r="R2474" s="2" t="s">
        <v>39</v>
      </c>
      <c r="S2474" s="2" t="s">
        <v>39</v>
      </c>
      <c r="T2474" s="2" t="s">
        <v>38</v>
      </c>
      <c r="U2474" s="2" t="s">
        <v>39</v>
      </c>
      <c r="V2474" s="2" t="s">
        <v>39</v>
      </c>
      <c r="W2474" s="2" t="s">
        <v>39</v>
      </c>
      <c r="X2474" s="2" t="s">
        <v>38</v>
      </c>
      <c r="Y2474" s="2" t="s">
        <v>39</v>
      </c>
      <c r="Z2474" s="2" t="s">
        <v>39</v>
      </c>
      <c r="AA2474" s="2" t="s">
        <v>39</v>
      </c>
      <c r="AB2474" s="2" t="s">
        <v>38</v>
      </c>
      <c r="AC2474" s="2" t="s">
        <v>39</v>
      </c>
      <c r="AD2474" s="2" t="s">
        <v>39</v>
      </c>
      <c r="AE2474" s="2"/>
    </row>
    <row r="2475" spans="1:31" ht="409.5">
      <c r="A2475" s="2">
        <v>2716788</v>
      </c>
      <c r="B2475" s="2">
        <f>HYPERLINK("https://platform.v2.vetology.net/cases/2716788/screening-report/1?type=pdf&amp;v=v6&amp;scorecard=1&amp;secret_key=BX%25IJ%24%2F65ieZ%29f6", 2716788)</f>
        <v>2716788</v>
      </c>
      <c r="C2475" s="2">
        <f>HYPERLINK("https://platform.v2.vetology.net/report/v/final/"&amp;2716788, 2716788)</f>
        <v>2716788</v>
      </c>
      <c r="D2475" s="2" t="s">
        <v>7942</v>
      </c>
      <c r="E2475" s="2" t="s">
        <v>7943</v>
      </c>
      <c r="F2475" s="2" t="s">
        <v>7944</v>
      </c>
      <c r="G2475" s="2" t="s">
        <v>170</v>
      </c>
      <c r="H2475" s="2" t="s">
        <v>7945</v>
      </c>
      <c r="I2475" s="2" t="s">
        <v>36</v>
      </c>
      <c r="J2475" s="2" t="s">
        <v>37</v>
      </c>
      <c r="K2475" s="2" t="s">
        <v>39</v>
      </c>
      <c r="L2475" s="2" t="s">
        <v>38</v>
      </c>
      <c r="M2475" s="2" t="s">
        <v>38</v>
      </c>
      <c r="N2475" s="2" t="s">
        <v>39</v>
      </c>
      <c r="O2475" s="2" t="s">
        <v>38</v>
      </c>
      <c r="P2475" s="2" t="s">
        <v>38</v>
      </c>
      <c r="Q2475" s="2" t="s">
        <v>38</v>
      </c>
      <c r="R2475" s="2" t="s">
        <v>39</v>
      </c>
      <c r="S2475" s="2" t="s">
        <v>39</v>
      </c>
      <c r="T2475" s="2" t="s">
        <v>38</v>
      </c>
      <c r="U2475" s="2" t="s">
        <v>39</v>
      </c>
      <c r="V2475" s="2" t="s">
        <v>39</v>
      </c>
      <c r="W2475" s="2" t="s">
        <v>38</v>
      </c>
      <c r="X2475" s="2" t="s">
        <v>38</v>
      </c>
      <c r="Y2475" s="2" t="s">
        <v>38</v>
      </c>
      <c r="Z2475" s="2" t="s">
        <v>38</v>
      </c>
      <c r="AA2475" s="2" t="s">
        <v>38</v>
      </c>
      <c r="AB2475" s="2" t="s">
        <v>38</v>
      </c>
      <c r="AC2475" s="2" t="s">
        <v>38</v>
      </c>
      <c r="AD2475" s="2" t="s">
        <v>38</v>
      </c>
      <c r="AE2475" s="2" t="s">
        <v>40</v>
      </c>
    </row>
    <row r="2476" spans="1:31" ht="409.5">
      <c r="A2476" s="2">
        <v>2716766</v>
      </c>
      <c r="B2476" s="2">
        <f>HYPERLINK("https://platform.v2.vetology.net/cases/2716766/screening-report/1?type=pdf&amp;v=v6&amp;scorecard=1&amp;secret_key=BX%25IJ%24%2F65ieZ%29f6", 2716766)</f>
        <v>2716766</v>
      </c>
      <c r="C2476" s="2">
        <f>HYPERLINK("https://platform.v2.vetology.net/report/v/final/"&amp;2716766, 2716766)</f>
        <v>2716766</v>
      </c>
      <c r="D2476" s="2" t="s">
        <v>7946</v>
      </c>
      <c r="E2476" s="2" t="s">
        <v>7947</v>
      </c>
      <c r="F2476" s="2" t="s">
        <v>7948</v>
      </c>
      <c r="G2476" s="2" t="s">
        <v>127</v>
      </c>
      <c r="H2476" s="2" t="s">
        <v>3035</v>
      </c>
      <c r="I2476" s="2" t="s">
        <v>36</v>
      </c>
      <c r="J2476" s="2" t="s">
        <v>37</v>
      </c>
      <c r="K2476" s="2" t="s">
        <v>39</v>
      </c>
      <c r="L2476" s="2" t="s">
        <v>39</v>
      </c>
      <c r="M2476" s="2" t="s">
        <v>38</v>
      </c>
      <c r="N2476" s="2" t="s">
        <v>39</v>
      </c>
      <c r="O2476" s="2" t="s">
        <v>39</v>
      </c>
      <c r="P2476" s="2" t="s">
        <v>39</v>
      </c>
      <c r="Q2476" s="2" t="s">
        <v>39</v>
      </c>
      <c r="R2476" s="2" t="s">
        <v>38</v>
      </c>
      <c r="S2476" s="2" t="s">
        <v>39</v>
      </c>
      <c r="T2476" s="2" t="s">
        <v>39</v>
      </c>
      <c r="U2476" s="2" t="s">
        <v>39</v>
      </c>
      <c r="V2476" s="2" t="s">
        <v>39</v>
      </c>
      <c r="W2476" s="2" t="s">
        <v>38</v>
      </c>
      <c r="X2476" s="2" t="s">
        <v>39</v>
      </c>
      <c r="Y2476" s="2" t="s">
        <v>39</v>
      </c>
      <c r="Z2476" s="2" t="s">
        <v>39</v>
      </c>
      <c r="AA2476" s="2" t="s">
        <v>39</v>
      </c>
      <c r="AB2476" s="2" t="s">
        <v>39</v>
      </c>
      <c r="AC2476" s="2" t="s">
        <v>38</v>
      </c>
      <c r="AD2476" s="2" t="s">
        <v>39</v>
      </c>
      <c r="AE2476" s="2" t="s">
        <v>39</v>
      </c>
    </row>
    <row r="2477" spans="1:31" ht="409.5">
      <c r="A2477" s="2">
        <v>2716752</v>
      </c>
      <c r="B2477" s="2">
        <f>HYPERLINK("https://platform.v2.vetology.net/cases/2716752/screening-report/1?type=pdf&amp;v=v6&amp;scorecard=1&amp;secret_key=BX%25IJ%24%2F65ieZ%29f6", 2716752)</f>
        <v>2716752</v>
      </c>
      <c r="C2477" s="2">
        <f>HYPERLINK("https://platform.v2.vetology.net/report/v/final/"&amp;2716752, 2716752)</f>
        <v>2716752</v>
      </c>
      <c r="D2477" s="2" t="s">
        <v>7949</v>
      </c>
      <c r="E2477" s="2" t="s">
        <v>513</v>
      </c>
      <c r="F2477" s="2" t="s">
        <v>7950</v>
      </c>
      <c r="G2477" s="2" t="s">
        <v>111</v>
      </c>
      <c r="H2477" s="2" t="s">
        <v>7951</v>
      </c>
      <c r="I2477" s="2" t="s">
        <v>36</v>
      </c>
      <c r="J2477" s="2" t="s">
        <v>37</v>
      </c>
      <c r="K2477" s="2" t="s">
        <v>38</v>
      </c>
      <c r="L2477" s="2" t="s">
        <v>38</v>
      </c>
      <c r="M2477" s="2" t="s">
        <v>38</v>
      </c>
      <c r="N2477" s="2" t="s">
        <v>39</v>
      </c>
      <c r="O2477" s="2" t="s">
        <v>38</v>
      </c>
      <c r="P2477" s="2" t="s">
        <v>39</v>
      </c>
      <c r="Q2477" s="2" t="s">
        <v>39</v>
      </c>
      <c r="R2477" s="2" t="s">
        <v>38</v>
      </c>
      <c r="S2477" s="2" t="s">
        <v>38</v>
      </c>
      <c r="T2477" s="2" t="s">
        <v>38</v>
      </c>
      <c r="U2477" s="2" t="s">
        <v>39</v>
      </c>
      <c r="V2477" s="2" t="s">
        <v>39</v>
      </c>
      <c r="W2477" s="2" t="s">
        <v>38</v>
      </c>
      <c r="X2477" s="2" t="s">
        <v>39</v>
      </c>
      <c r="Y2477" s="2" t="s">
        <v>39</v>
      </c>
      <c r="Z2477" s="2" t="s">
        <v>38</v>
      </c>
      <c r="AA2477" s="2" t="s">
        <v>38</v>
      </c>
      <c r="AB2477" s="2" t="s">
        <v>39</v>
      </c>
      <c r="AC2477" s="2" t="s">
        <v>38</v>
      </c>
      <c r="AD2477" s="2" t="s">
        <v>38</v>
      </c>
      <c r="AE2477" s="2" t="s">
        <v>39</v>
      </c>
    </row>
    <row r="2478" spans="1:31" ht="409.5">
      <c r="A2478" s="2">
        <v>2716745</v>
      </c>
      <c r="B2478" s="2">
        <f>HYPERLINK("https://platform.v2.vetology.net/cases/2716745/screening-report/1?type=pdf&amp;v=v6&amp;scorecard=1&amp;secret_key=BX%25IJ%24%2F65ieZ%29f6", 2716745)</f>
        <v>2716745</v>
      </c>
      <c r="C2478" s="2">
        <f>HYPERLINK("https://platform.v2.vetology.net/report/v/final/"&amp;2716745, 2716745)</f>
        <v>2716745</v>
      </c>
      <c r="D2478" s="2" t="s">
        <v>7952</v>
      </c>
      <c r="E2478" s="2" t="s">
        <v>7953</v>
      </c>
      <c r="F2478" s="2" t="s">
        <v>7954</v>
      </c>
      <c r="G2478" s="2" t="s">
        <v>53</v>
      </c>
      <c r="H2478" s="2" t="s">
        <v>398</v>
      </c>
      <c r="I2478" s="2" t="s">
        <v>46</v>
      </c>
      <c r="J2478" s="2"/>
      <c r="K2478" s="2" t="s">
        <v>38</v>
      </c>
      <c r="L2478" s="2" t="s">
        <v>39</v>
      </c>
      <c r="M2478" s="2" t="s">
        <v>39</v>
      </c>
      <c r="N2478" s="2" t="s">
        <v>39</v>
      </c>
      <c r="O2478" s="2" t="s">
        <v>39</v>
      </c>
      <c r="P2478" s="2" t="s">
        <v>39</v>
      </c>
      <c r="Q2478" s="2" t="s">
        <v>39</v>
      </c>
      <c r="R2478" s="2" t="s">
        <v>39</v>
      </c>
      <c r="S2478" s="2" t="s">
        <v>39</v>
      </c>
      <c r="T2478" s="2" t="s">
        <v>39</v>
      </c>
      <c r="U2478" s="2" t="s">
        <v>39</v>
      </c>
      <c r="V2478" s="2" t="s">
        <v>39</v>
      </c>
      <c r="W2478" s="2" t="s">
        <v>39</v>
      </c>
      <c r="X2478" s="2" t="s">
        <v>39</v>
      </c>
      <c r="Y2478" s="2" t="s">
        <v>39</v>
      </c>
      <c r="Z2478" s="2" t="s">
        <v>39</v>
      </c>
      <c r="AA2478" s="2" t="s">
        <v>39</v>
      </c>
      <c r="AB2478" s="2" t="s">
        <v>39</v>
      </c>
      <c r="AC2478" s="2" t="s">
        <v>39</v>
      </c>
      <c r="AD2478" s="2" t="s">
        <v>39</v>
      </c>
      <c r="AE2478" s="2" t="s">
        <v>39</v>
      </c>
    </row>
    <row r="2479" spans="1:31" ht="409.5">
      <c r="A2479" s="2">
        <v>2716714</v>
      </c>
      <c r="B2479" s="2">
        <f>HYPERLINK("https://platform.v2.vetology.net/cases/2716714/screening-report/1?type=pdf&amp;v=v6&amp;scorecard=1&amp;secret_key=BX%25IJ%24%2F65ieZ%29f6", 2716714)</f>
        <v>2716714</v>
      </c>
      <c r="C2479" s="2">
        <f>HYPERLINK("https://platform.v2.vetology.net/report/v/final/"&amp;2716714, 2716714)</f>
        <v>2716714</v>
      </c>
      <c r="D2479" s="2" t="s">
        <v>7955</v>
      </c>
      <c r="E2479" s="2" t="s">
        <v>7956</v>
      </c>
      <c r="F2479" s="2" t="s">
        <v>7957</v>
      </c>
      <c r="G2479" s="2" t="s">
        <v>170</v>
      </c>
      <c r="H2479" s="2" t="s">
        <v>7958</v>
      </c>
      <c r="I2479" s="2" t="s">
        <v>36</v>
      </c>
      <c r="J2479" s="2" t="s">
        <v>37</v>
      </c>
      <c r="K2479" s="2" t="s">
        <v>38</v>
      </c>
      <c r="L2479" s="2" t="s">
        <v>38</v>
      </c>
      <c r="M2479" s="2" t="s">
        <v>38</v>
      </c>
      <c r="N2479" s="2" t="s">
        <v>38</v>
      </c>
      <c r="O2479" s="2" t="s">
        <v>38</v>
      </c>
      <c r="P2479" s="2" t="s">
        <v>39</v>
      </c>
      <c r="Q2479" s="2" t="s">
        <v>39</v>
      </c>
      <c r="R2479" s="2" t="s">
        <v>38</v>
      </c>
      <c r="S2479" s="2" t="s">
        <v>38</v>
      </c>
      <c r="T2479" s="2" t="s">
        <v>39</v>
      </c>
      <c r="U2479" s="2" t="s">
        <v>38</v>
      </c>
      <c r="V2479" s="2" t="s">
        <v>38</v>
      </c>
      <c r="W2479" s="2" t="s">
        <v>38</v>
      </c>
      <c r="X2479" s="2" t="s">
        <v>38</v>
      </c>
      <c r="Y2479" s="2" t="s">
        <v>38</v>
      </c>
      <c r="Z2479" s="2" t="s">
        <v>38</v>
      </c>
      <c r="AA2479" s="2" t="s">
        <v>38</v>
      </c>
      <c r="AB2479" s="2" t="s">
        <v>38</v>
      </c>
      <c r="AC2479" s="2" t="s">
        <v>38</v>
      </c>
      <c r="AD2479" s="2" t="s">
        <v>38</v>
      </c>
      <c r="AE2479" s="2" t="s">
        <v>40</v>
      </c>
    </row>
    <row r="2480" spans="1:31" ht="409.5">
      <c r="A2480" s="2">
        <v>2716681</v>
      </c>
      <c r="B2480" s="2">
        <f>HYPERLINK("https://platform.v2.vetology.net/cases/2716681/screening-report/1?type=pdf&amp;v=v6&amp;scorecard=1&amp;secret_key=BX%25IJ%24%2F65ieZ%29f6", 2716681)</f>
        <v>2716681</v>
      </c>
      <c r="C2480" s="2">
        <f>HYPERLINK("https://platform.v2.vetology.net/report/v/final/"&amp;2716681, 2716681)</f>
        <v>2716681</v>
      </c>
      <c r="D2480" s="2" t="s">
        <v>7959</v>
      </c>
      <c r="E2480" s="2" t="s">
        <v>7960</v>
      </c>
      <c r="F2480" s="2" t="s">
        <v>7961</v>
      </c>
      <c r="G2480" s="2" t="s">
        <v>53</v>
      </c>
      <c r="H2480" s="2" t="s">
        <v>69</v>
      </c>
      <c r="I2480" s="2" t="s">
        <v>46</v>
      </c>
      <c r="J2480" s="2"/>
      <c r="K2480" s="2" t="s">
        <v>39</v>
      </c>
      <c r="L2480" s="2" t="s">
        <v>39</v>
      </c>
      <c r="M2480" s="2" t="s">
        <v>39</v>
      </c>
      <c r="N2480" s="2" t="s">
        <v>39</v>
      </c>
      <c r="O2480" s="2" t="s">
        <v>39</v>
      </c>
      <c r="P2480" s="2" t="s">
        <v>39</v>
      </c>
      <c r="Q2480" s="2" t="s">
        <v>39</v>
      </c>
      <c r="R2480" s="2" t="s">
        <v>39</v>
      </c>
      <c r="S2480" s="2" t="s">
        <v>39</v>
      </c>
      <c r="T2480" s="2" t="s">
        <v>39</v>
      </c>
      <c r="U2480" s="2" t="s">
        <v>39</v>
      </c>
      <c r="V2480" s="2" t="s">
        <v>39</v>
      </c>
      <c r="W2480" s="2" t="s">
        <v>39</v>
      </c>
      <c r="X2480" s="2" t="s">
        <v>39</v>
      </c>
      <c r="Y2480" s="2" t="s">
        <v>39</v>
      </c>
      <c r="Z2480" s="2" t="s">
        <v>39</v>
      </c>
      <c r="AA2480" s="2" t="s">
        <v>39</v>
      </c>
      <c r="AB2480" s="2" t="s">
        <v>39</v>
      </c>
      <c r="AC2480" s="2" t="s">
        <v>39</v>
      </c>
      <c r="AD2480" s="2" t="s">
        <v>39</v>
      </c>
      <c r="AE2480" s="2" t="s">
        <v>39</v>
      </c>
    </row>
    <row r="2481" spans="1:31" ht="409.5">
      <c r="A2481" s="2">
        <v>2716629</v>
      </c>
      <c r="B2481" s="2">
        <f>HYPERLINK("https://platform.v2.vetology.net/cases/2716629/screening-report/1?type=pdf&amp;v=v6&amp;scorecard=1&amp;secret_key=BX%25IJ%24%2F65ieZ%29f6", 2716629)</f>
        <v>2716629</v>
      </c>
      <c r="C2481" s="2">
        <f>HYPERLINK("https://platform.v2.vetology.net/report/v/final/"&amp;2716629, 2716629)</f>
        <v>2716629</v>
      </c>
      <c r="D2481" s="2" t="s">
        <v>7962</v>
      </c>
      <c r="E2481" s="2" t="s">
        <v>7963</v>
      </c>
      <c r="F2481" s="2" t="s">
        <v>7964</v>
      </c>
      <c r="G2481" s="2" t="s">
        <v>170</v>
      </c>
      <c r="H2481" s="2" t="s">
        <v>2518</v>
      </c>
      <c r="I2481" s="2" t="s">
        <v>59</v>
      </c>
      <c r="J2481" s="2" t="s">
        <v>37</v>
      </c>
      <c r="K2481" s="2" t="s">
        <v>38</v>
      </c>
      <c r="L2481" s="2" t="s">
        <v>39</v>
      </c>
      <c r="M2481" s="2" t="s">
        <v>39</v>
      </c>
      <c r="N2481" s="2" t="s">
        <v>38</v>
      </c>
      <c r="O2481" s="2" t="s">
        <v>39</v>
      </c>
      <c r="P2481" s="2" t="s">
        <v>39</v>
      </c>
      <c r="Q2481" s="2" t="s">
        <v>38</v>
      </c>
      <c r="R2481" s="2" t="s">
        <v>39</v>
      </c>
      <c r="S2481" s="2" t="s">
        <v>39</v>
      </c>
      <c r="T2481" s="2" t="s">
        <v>39</v>
      </c>
      <c r="U2481" s="2" t="s">
        <v>38</v>
      </c>
      <c r="V2481" s="2" t="s">
        <v>38</v>
      </c>
      <c r="W2481" s="2" t="s">
        <v>39</v>
      </c>
      <c r="X2481" s="2" t="s">
        <v>39</v>
      </c>
      <c r="Y2481" s="2" t="s">
        <v>39</v>
      </c>
      <c r="Z2481" s="2" t="s">
        <v>39</v>
      </c>
      <c r="AA2481" s="2" t="s">
        <v>39</v>
      </c>
      <c r="AB2481" s="2" t="s">
        <v>39</v>
      </c>
      <c r="AC2481" s="2" t="s">
        <v>39</v>
      </c>
      <c r="AD2481" s="2" t="s">
        <v>38</v>
      </c>
      <c r="AE2481" s="2"/>
    </row>
    <row r="2482" spans="1:31" ht="409.5">
      <c r="A2482" s="2">
        <v>2716594</v>
      </c>
      <c r="B2482" s="2">
        <f>HYPERLINK("https://platform.v2.vetology.net/cases/2716594/screening-report/1?type=pdf&amp;v=v6&amp;scorecard=1&amp;secret_key=BX%25IJ%24%2F65ieZ%29f6", 2716594)</f>
        <v>2716594</v>
      </c>
      <c r="C2482" s="2">
        <f>HYPERLINK("https://platform.v2.vetology.net/report/v/final/"&amp;2716594, 2716594)</f>
        <v>2716594</v>
      </c>
      <c r="D2482" s="2" t="s">
        <v>7965</v>
      </c>
      <c r="E2482" s="2" t="s">
        <v>7966</v>
      </c>
      <c r="F2482" s="2" t="s">
        <v>7967</v>
      </c>
      <c r="G2482" s="2" t="s">
        <v>127</v>
      </c>
      <c r="H2482" s="2" t="s">
        <v>69</v>
      </c>
      <c r="I2482" s="2" t="s">
        <v>46</v>
      </c>
      <c r="J2482" s="2"/>
      <c r="K2482" s="2" t="s">
        <v>39</v>
      </c>
      <c r="L2482" s="2" t="s">
        <v>39</v>
      </c>
      <c r="M2482" s="2" t="s">
        <v>39</v>
      </c>
      <c r="N2482" s="2" t="s">
        <v>39</v>
      </c>
      <c r="O2482" s="2" t="s">
        <v>39</v>
      </c>
      <c r="P2482" s="2" t="s">
        <v>39</v>
      </c>
      <c r="Q2482" s="2" t="s">
        <v>39</v>
      </c>
      <c r="R2482" s="2" t="s">
        <v>39</v>
      </c>
      <c r="S2482" s="2" t="s">
        <v>39</v>
      </c>
      <c r="T2482" s="2" t="s">
        <v>39</v>
      </c>
      <c r="U2482" s="2" t="s">
        <v>39</v>
      </c>
      <c r="V2482" s="2" t="s">
        <v>39</v>
      </c>
      <c r="W2482" s="2" t="s">
        <v>39</v>
      </c>
      <c r="X2482" s="2" t="s">
        <v>38</v>
      </c>
      <c r="Y2482" s="2" t="s">
        <v>39</v>
      </c>
      <c r="Z2482" s="2" t="s">
        <v>39</v>
      </c>
      <c r="AA2482" s="2" t="s">
        <v>39</v>
      </c>
      <c r="AB2482" s="2" t="s">
        <v>38</v>
      </c>
      <c r="AC2482" s="2" t="s">
        <v>38</v>
      </c>
      <c r="AD2482" s="2" t="s">
        <v>39</v>
      </c>
      <c r="AE2482" s="2" t="s">
        <v>39</v>
      </c>
    </row>
    <row r="2483" spans="1:31" ht="409.5">
      <c r="A2483" s="2">
        <v>2716585</v>
      </c>
      <c r="B2483" s="2">
        <f>HYPERLINK("https://platform.v2.vetology.net/cases/2716585/screening-report/1?type=pdf&amp;v=v6&amp;scorecard=1&amp;secret_key=BX%25IJ%24%2F65ieZ%29f6", 2716585)</f>
        <v>2716585</v>
      </c>
      <c r="C2483" s="2">
        <f>HYPERLINK("https://platform.v2.vetology.net/report/v/final/"&amp;2716585, 2716585)</f>
        <v>2716585</v>
      </c>
      <c r="D2483" s="2" t="s">
        <v>7968</v>
      </c>
      <c r="E2483" s="2" t="s">
        <v>7969</v>
      </c>
      <c r="F2483" s="2" t="s">
        <v>7970</v>
      </c>
      <c r="G2483" s="2" t="s">
        <v>111</v>
      </c>
      <c r="H2483" s="2" t="s">
        <v>7971</v>
      </c>
      <c r="I2483" s="2" t="s">
        <v>36</v>
      </c>
      <c r="J2483" s="2" t="s">
        <v>37</v>
      </c>
      <c r="K2483" s="2" t="s">
        <v>39</v>
      </c>
      <c r="L2483" s="2" t="s">
        <v>38</v>
      </c>
      <c r="M2483" s="2" t="s">
        <v>38</v>
      </c>
      <c r="N2483" s="2" t="s">
        <v>38</v>
      </c>
      <c r="O2483" s="2" t="s">
        <v>38</v>
      </c>
      <c r="P2483" s="2" t="s">
        <v>38</v>
      </c>
      <c r="Q2483" s="2" t="s">
        <v>39</v>
      </c>
      <c r="R2483" s="2" t="s">
        <v>38</v>
      </c>
      <c r="S2483" s="2" t="s">
        <v>39</v>
      </c>
      <c r="T2483" s="2" t="s">
        <v>39</v>
      </c>
      <c r="U2483" s="2" t="s">
        <v>38</v>
      </c>
      <c r="V2483" s="2" t="s">
        <v>39</v>
      </c>
      <c r="W2483" s="2" t="s">
        <v>38</v>
      </c>
      <c r="X2483" s="2" t="s">
        <v>39</v>
      </c>
      <c r="Y2483" s="2" t="s">
        <v>39</v>
      </c>
      <c r="Z2483" s="2" t="s">
        <v>38</v>
      </c>
      <c r="AA2483" s="2" t="s">
        <v>38</v>
      </c>
      <c r="AB2483" s="2" t="s">
        <v>39</v>
      </c>
      <c r="AC2483" s="2" t="s">
        <v>38</v>
      </c>
      <c r="AD2483" s="2" t="s">
        <v>38</v>
      </c>
      <c r="AE2483" s="2"/>
    </row>
    <row r="2484" spans="1:31" ht="409.5">
      <c r="A2484" s="2">
        <v>2716583</v>
      </c>
      <c r="B2484" s="2">
        <f>HYPERLINK("https://platform.v2.vetology.net/cases/2716583/screening-report/1?type=pdf&amp;v=v6&amp;scorecard=1&amp;secret_key=BX%25IJ%24%2F65ieZ%29f6", 2716583)</f>
        <v>2716583</v>
      </c>
      <c r="C2484" s="2">
        <f>HYPERLINK("https://platform.v2.vetology.net/report/v/final/"&amp;2716583, 2716583)</f>
        <v>2716583</v>
      </c>
      <c r="D2484" s="2" t="s">
        <v>7972</v>
      </c>
      <c r="E2484" s="2" t="s">
        <v>7973</v>
      </c>
      <c r="F2484" s="2" t="s">
        <v>4822</v>
      </c>
      <c r="G2484" s="2" t="s">
        <v>111</v>
      </c>
      <c r="H2484" s="2" t="s">
        <v>7974</v>
      </c>
      <c r="I2484" s="2" t="s">
        <v>73</v>
      </c>
      <c r="J2484" s="2" t="s">
        <v>74</v>
      </c>
      <c r="K2484" s="2" t="s">
        <v>38</v>
      </c>
      <c r="L2484" s="2" t="s">
        <v>38</v>
      </c>
      <c r="M2484" s="2" t="s">
        <v>38</v>
      </c>
      <c r="N2484" s="2" t="s">
        <v>38</v>
      </c>
      <c r="O2484" s="2" t="s">
        <v>38</v>
      </c>
      <c r="P2484" s="2" t="s">
        <v>38</v>
      </c>
      <c r="Q2484" s="2" t="s">
        <v>38</v>
      </c>
      <c r="R2484" s="2" t="s">
        <v>38</v>
      </c>
      <c r="S2484" s="2" t="s">
        <v>38</v>
      </c>
      <c r="T2484" s="2" t="s">
        <v>38</v>
      </c>
      <c r="U2484" s="2" t="s">
        <v>38</v>
      </c>
      <c r="V2484" s="2" t="s">
        <v>38</v>
      </c>
      <c r="W2484" s="2" t="s">
        <v>38</v>
      </c>
      <c r="X2484" s="2" t="s">
        <v>38</v>
      </c>
      <c r="Y2484" s="2" t="s">
        <v>39</v>
      </c>
      <c r="Z2484" s="2" t="s">
        <v>38</v>
      </c>
      <c r="AA2484" s="2" t="s">
        <v>38</v>
      </c>
      <c r="AB2484" s="2" t="s">
        <v>38</v>
      </c>
      <c r="AC2484" s="2" t="s">
        <v>38</v>
      </c>
      <c r="AD2484" s="2" t="s">
        <v>38</v>
      </c>
      <c r="AE2484" s="2" t="s">
        <v>39</v>
      </c>
    </row>
    <row r="2485" spans="1:31" ht="409.5">
      <c r="A2485" s="2">
        <v>2716582</v>
      </c>
      <c r="B2485" s="2">
        <f>HYPERLINK("https://platform.v2.vetology.net/cases/2716582/screening-report/1?type=pdf&amp;v=v6&amp;scorecard=1&amp;secret_key=BX%25IJ%24%2F65ieZ%29f6", 2716582)</f>
        <v>2716582</v>
      </c>
      <c r="C2485" s="2">
        <f>HYPERLINK("https://platform.v2.vetology.net/report/v/final/"&amp;2716582, 2716582)</f>
        <v>2716582</v>
      </c>
      <c r="D2485" s="2" t="s">
        <v>7975</v>
      </c>
      <c r="E2485" s="2" t="s">
        <v>7976</v>
      </c>
      <c r="F2485" s="2"/>
      <c r="G2485" s="2" t="s">
        <v>100</v>
      </c>
      <c r="H2485" s="2" t="s">
        <v>515</v>
      </c>
      <c r="I2485" s="2" t="s">
        <v>36</v>
      </c>
      <c r="J2485" s="2" t="s">
        <v>37</v>
      </c>
      <c r="K2485" s="2" t="s">
        <v>39</v>
      </c>
      <c r="L2485" s="2" t="s">
        <v>39</v>
      </c>
      <c r="M2485" s="2" t="s">
        <v>38</v>
      </c>
      <c r="N2485" s="2" t="s">
        <v>39</v>
      </c>
      <c r="O2485" s="2" t="s">
        <v>39</v>
      </c>
      <c r="P2485" s="2" t="s">
        <v>39</v>
      </c>
      <c r="Q2485" s="2" t="s">
        <v>39</v>
      </c>
      <c r="R2485" s="2" t="s">
        <v>39</v>
      </c>
      <c r="S2485" s="2" t="s">
        <v>39</v>
      </c>
      <c r="T2485" s="2" t="s">
        <v>39</v>
      </c>
      <c r="U2485" s="2" t="s">
        <v>39</v>
      </c>
      <c r="V2485" s="2" t="s">
        <v>39</v>
      </c>
      <c r="W2485" s="2" t="s">
        <v>38</v>
      </c>
      <c r="X2485" s="2" t="s">
        <v>39</v>
      </c>
      <c r="Y2485" s="2" t="s">
        <v>39</v>
      </c>
      <c r="Z2485" s="2" t="s">
        <v>38</v>
      </c>
      <c r="AA2485" s="2" t="s">
        <v>38</v>
      </c>
      <c r="AB2485" s="2" t="s">
        <v>39</v>
      </c>
      <c r="AC2485" s="2" t="s">
        <v>38</v>
      </c>
      <c r="AD2485" s="2" t="s">
        <v>38</v>
      </c>
      <c r="AE2485" s="2" t="s">
        <v>40</v>
      </c>
    </row>
    <row r="2486" spans="1:31" ht="409.5">
      <c r="A2486" s="2">
        <v>2716579</v>
      </c>
      <c r="B2486" s="2">
        <f>HYPERLINK("https://platform.v2.vetology.net/cases/2716579/screening-report/1?type=pdf&amp;v=v6&amp;scorecard=1&amp;secret_key=BX%25IJ%24%2F65ieZ%29f6", 2716579)</f>
        <v>2716579</v>
      </c>
      <c r="C2486" s="2">
        <f>HYPERLINK("https://platform.v2.vetology.net/report/v/final/"&amp;2716579, 2716579)</f>
        <v>2716579</v>
      </c>
      <c r="D2486" s="2" t="s">
        <v>7977</v>
      </c>
      <c r="E2486" s="2" t="s">
        <v>7978</v>
      </c>
      <c r="F2486" s="2" t="s">
        <v>7979</v>
      </c>
      <c r="G2486" s="2" t="s">
        <v>127</v>
      </c>
      <c r="H2486" s="2" t="s">
        <v>7980</v>
      </c>
      <c r="I2486" s="2" t="s">
        <v>36</v>
      </c>
      <c r="J2486" s="2" t="s">
        <v>37</v>
      </c>
      <c r="K2486" s="2" t="s">
        <v>38</v>
      </c>
      <c r="L2486" s="2" t="s">
        <v>38</v>
      </c>
      <c r="M2486" s="2" t="s">
        <v>38</v>
      </c>
      <c r="N2486" s="2" t="s">
        <v>38</v>
      </c>
      <c r="O2486" s="2" t="s">
        <v>38</v>
      </c>
      <c r="P2486" s="2" t="s">
        <v>39</v>
      </c>
      <c r="Q2486" s="2" t="s">
        <v>39</v>
      </c>
      <c r="R2486" s="2" t="s">
        <v>39</v>
      </c>
      <c r="S2486" s="2" t="s">
        <v>38</v>
      </c>
      <c r="T2486" s="2" t="s">
        <v>39</v>
      </c>
      <c r="U2486" s="2" t="s">
        <v>38</v>
      </c>
      <c r="V2486" s="2" t="s">
        <v>38</v>
      </c>
      <c r="W2486" s="2" t="s">
        <v>38</v>
      </c>
      <c r="X2486" s="2" t="s">
        <v>39</v>
      </c>
      <c r="Y2486" s="2" t="s">
        <v>39</v>
      </c>
      <c r="Z2486" s="2" t="s">
        <v>38</v>
      </c>
      <c r="AA2486" s="2" t="s">
        <v>39</v>
      </c>
      <c r="AB2486" s="2" t="s">
        <v>39</v>
      </c>
      <c r="AC2486" s="2" t="s">
        <v>38</v>
      </c>
      <c r="AD2486" s="2" t="s">
        <v>39</v>
      </c>
      <c r="AE2486" s="2" t="s">
        <v>40</v>
      </c>
    </row>
    <row r="2487" spans="1:31" ht="409.5">
      <c r="A2487" s="2">
        <v>2716575</v>
      </c>
      <c r="B2487" s="2">
        <f>HYPERLINK("https://platform.v2.vetology.net/cases/2716575/screening-report/1?type=pdf&amp;v=v6&amp;scorecard=1&amp;secret_key=BX%25IJ%24%2F65ieZ%29f6", 2716575)</f>
        <v>2716575</v>
      </c>
      <c r="C2487" s="2">
        <f>HYPERLINK("https://platform.v2.vetology.net/report/v/final/"&amp;2716575, 2716575)</f>
        <v>2716575</v>
      </c>
      <c r="D2487" s="2" t="s">
        <v>7981</v>
      </c>
      <c r="E2487" s="2" t="s">
        <v>7982</v>
      </c>
      <c r="F2487" s="2" t="s">
        <v>7983</v>
      </c>
      <c r="G2487" s="2" t="s">
        <v>170</v>
      </c>
      <c r="H2487" s="2" t="s">
        <v>7984</v>
      </c>
      <c r="I2487" s="2" t="s">
        <v>36</v>
      </c>
      <c r="J2487" s="2" t="s">
        <v>37</v>
      </c>
      <c r="K2487" s="2" t="s">
        <v>38</v>
      </c>
      <c r="L2487" s="2" t="s">
        <v>39</v>
      </c>
      <c r="M2487" s="2" t="s">
        <v>38</v>
      </c>
      <c r="N2487" s="2" t="s">
        <v>38</v>
      </c>
      <c r="O2487" s="2" t="s">
        <v>38</v>
      </c>
      <c r="P2487" s="2" t="s">
        <v>38</v>
      </c>
      <c r="Q2487" s="2" t="s">
        <v>38</v>
      </c>
      <c r="R2487" s="2" t="s">
        <v>38</v>
      </c>
      <c r="S2487" s="2" t="s">
        <v>39</v>
      </c>
      <c r="T2487" s="2" t="s">
        <v>38</v>
      </c>
      <c r="U2487" s="2" t="s">
        <v>38</v>
      </c>
      <c r="V2487" s="2" t="s">
        <v>38</v>
      </c>
      <c r="W2487" s="2" t="s">
        <v>38</v>
      </c>
      <c r="X2487" s="2" t="s">
        <v>38</v>
      </c>
      <c r="Y2487" s="2" t="s">
        <v>39</v>
      </c>
      <c r="Z2487" s="2" t="s">
        <v>38</v>
      </c>
      <c r="AA2487" s="2" t="s">
        <v>39</v>
      </c>
      <c r="AB2487" s="2" t="s">
        <v>38</v>
      </c>
      <c r="AC2487" s="2" t="s">
        <v>38</v>
      </c>
      <c r="AD2487" s="2" t="s">
        <v>39</v>
      </c>
      <c r="AE2487" s="2" t="s">
        <v>39</v>
      </c>
    </row>
    <row r="2488" spans="1:31" ht="409.5">
      <c r="A2488" s="2">
        <v>2716569</v>
      </c>
      <c r="B2488" s="2">
        <f>HYPERLINK("https://platform.v2.vetology.net/cases/2716569/screening-report/1?type=pdf&amp;v=v6&amp;scorecard=1&amp;secret_key=BX%25IJ%24%2F65ieZ%29f6", 2716569)</f>
        <v>2716569</v>
      </c>
      <c r="C2488" s="2">
        <f>HYPERLINK("https://platform.v2.vetology.net/report/v/final/"&amp;2716569, 2716569)</f>
        <v>2716569</v>
      </c>
      <c r="D2488" s="2" t="s">
        <v>7985</v>
      </c>
      <c r="E2488" s="2" t="s">
        <v>7986</v>
      </c>
      <c r="F2488" s="2" t="s">
        <v>7987</v>
      </c>
      <c r="G2488" s="2" t="s">
        <v>170</v>
      </c>
      <c r="H2488" s="2" t="s">
        <v>7988</v>
      </c>
      <c r="I2488" s="2" t="s">
        <v>36</v>
      </c>
      <c r="J2488" s="2" t="s">
        <v>37</v>
      </c>
      <c r="K2488" s="2" t="s">
        <v>39</v>
      </c>
      <c r="L2488" s="2" t="s">
        <v>38</v>
      </c>
      <c r="M2488" s="2" t="s">
        <v>38</v>
      </c>
      <c r="N2488" s="2" t="s">
        <v>38</v>
      </c>
      <c r="O2488" s="2" t="s">
        <v>38</v>
      </c>
      <c r="P2488" s="2" t="s">
        <v>38</v>
      </c>
      <c r="Q2488" s="2" t="s">
        <v>39</v>
      </c>
      <c r="R2488" s="2" t="s">
        <v>38</v>
      </c>
      <c r="S2488" s="2" t="s">
        <v>38</v>
      </c>
      <c r="T2488" s="2" t="s">
        <v>38</v>
      </c>
      <c r="U2488" s="2" t="s">
        <v>39</v>
      </c>
      <c r="V2488" s="2" t="s">
        <v>39</v>
      </c>
      <c r="W2488" s="2" t="s">
        <v>38</v>
      </c>
      <c r="X2488" s="2" t="s">
        <v>39</v>
      </c>
      <c r="Y2488" s="2" t="s">
        <v>39</v>
      </c>
      <c r="Z2488" s="2" t="s">
        <v>38</v>
      </c>
      <c r="AA2488" s="2" t="s">
        <v>38</v>
      </c>
      <c r="AB2488" s="2" t="s">
        <v>39</v>
      </c>
      <c r="AC2488" s="2" t="s">
        <v>38</v>
      </c>
      <c r="AD2488" s="2" t="s">
        <v>38</v>
      </c>
      <c r="AE2488" s="2"/>
    </row>
    <row r="2489" spans="1:31" ht="409.5">
      <c r="A2489" s="2">
        <v>2716558</v>
      </c>
      <c r="B2489" s="2">
        <f>HYPERLINK("https://platform.v2.vetology.net/cases/2716558/screening-report/1?type=pdf&amp;v=v6&amp;scorecard=1&amp;secret_key=BX%25IJ%24%2F65ieZ%29f6", 2716558)</f>
        <v>2716558</v>
      </c>
      <c r="C2489" s="2">
        <f>HYPERLINK("https://platform.v2.vetology.net/report/v/final/"&amp;2716558, 2716558)</f>
        <v>2716558</v>
      </c>
      <c r="D2489" s="2" t="s">
        <v>7989</v>
      </c>
      <c r="E2489" s="2" t="s">
        <v>7990</v>
      </c>
      <c r="F2489" s="2" t="s">
        <v>7991</v>
      </c>
      <c r="G2489" s="2" t="s">
        <v>111</v>
      </c>
      <c r="H2489" s="2" t="s">
        <v>7992</v>
      </c>
      <c r="I2489" s="2" t="s">
        <v>36</v>
      </c>
      <c r="J2489" s="2" t="s">
        <v>37</v>
      </c>
      <c r="K2489" s="2" t="s">
        <v>38</v>
      </c>
      <c r="L2489" s="2" t="s">
        <v>38</v>
      </c>
      <c r="M2489" s="2" t="s">
        <v>38</v>
      </c>
      <c r="N2489" s="2" t="s">
        <v>38</v>
      </c>
      <c r="O2489" s="2" t="s">
        <v>38</v>
      </c>
      <c r="P2489" s="2" t="s">
        <v>39</v>
      </c>
      <c r="Q2489" s="2" t="s">
        <v>39</v>
      </c>
      <c r="R2489" s="2" t="s">
        <v>38</v>
      </c>
      <c r="S2489" s="2" t="s">
        <v>38</v>
      </c>
      <c r="T2489" s="2" t="s">
        <v>39</v>
      </c>
      <c r="U2489" s="2" t="s">
        <v>38</v>
      </c>
      <c r="V2489" s="2" t="s">
        <v>38</v>
      </c>
      <c r="W2489" s="2" t="s">
        <v>38</v>
      </c>
      <c r="X2489" s="2" t="s">
        <v>38</v>
      </c>
      <c r="Y2489" s="2" t="s">
        <v>38</v>
      </c>
      <c r="Z2489" s="2" t="s">
        <v>38</v>
      </c>
      <c r="AA2489" s="2" t="s">
        <v>38</v>
      </c>
      <c r="AB2489" s="2" t="s">
        <v>38</v>
      </c>
      <c r="AC2489" s="2" t="s">
        <v>38</v>
      </c>
      <c r="AD2489" s="2" t="s">
        <v>38</v>
      </c>
      <c r="AE2489" s="2" t="s">
        <v>40</v>
      </c>
    </row>
    <row r="2490" spans="1:31" ht="409.5">
      <c r="A2490" s="2">
        <v>2716554</v>
      </c>
      <c r="B2490" s="2">
        <f>HYPERLINK("https://platform.v2.vetology.net/cases/2716554/screening-report/1?type=pdf&amp;v=v6&amp;scorecard=1&amp;secret_key=BX%25IJ%24%2F65ieZ%29f6", 2716554)</f>
        <v>2716554</v>
      </c>
      <c r="C2490" s="2">
        <f>HYPERLINK("https://platform.v2.vetology.net/report/v/final/"&amp;2716554, 2716554)</f>
        <v>2716554</v>
      </c>
      <c r="D2490" s="2" t="s">
        <v>7993</v>
      </c>
      <c r="E2490" s="2" t="s">
        <v>7994</v>
      </c>
      <c r="F2490" s="2" t="s">
        <v>1433</v>
      </c>
      <c r="G2490" s="2" t="s">
        <v>100</v>
      </c>
      <c r="H2490" s="2" t="s">
        <v>7995</v>
      </c>
      <c r="I2490" s="2" t="s">
        <v>129</v>
      </c>
      <c r="J2490" s="2" t="s">
        <v>74</v>
      </c>
      <c r="K2490" s="2" t="s">
        <v>38</v>
      </c>
      <c r="L2490" s="2" t="s">
        <v>38</v>
      </c>
      <c r="M2490" s="2" t="s">
        <v>39</v>
      </c>
      <c r="N2490" s="2" t="s">
        <v>38</v>
      </c>
      <c r="O2490" s="2" t="s">
        <v>38</v>
      </c>
      <c r="P2490" s="2" t="s">
        <v>38</v>
      </c>
      <c r="Q2490" s="2" t="s">
        <v>38</v>
      </c>
      <c r="R2490" s="2" t="s">
        <v>39</v>
      </c>
      <c r="S2490" s="2" t="s">
        <v>39</v>
      </c>
      <c r="T2490" s="2" t="s">
        <v>38</v>
      </c>
      <c r="U2490" s="2" t="s">
        <v>39</v>
      </c>
      <c r="V2490" s="2" t="s">
        <v>38</v>
      </c>
      <c r="W2490" s="2" t="s">
        <v>38</v>
      </c>
      <c r="X2490" s="2" t="s">
        <v>38</v>
      </c>
      <c r="Y2490" s="2" t="s">
        <v>38</v>
      </c>
      <c r="Z2490" s="2" t="s">
        <v>39</v>
      </c>
      <c r="AA2490" s="2" t="s">
        <v>38</v>
      </c>
      <c r="AB2490" s="2" t="s">
        <v>38</v>
      </c>
      <c r="AC2490" s="2" t="s">
        <v>38</v>
      </c>
      <c r="AD2490" s="2" t="s">
        <v>38</v>
      </c>
      <c r="AE2490" s="2" t="s">
        <v>40</v>
      </c>
    </row>
    <row r="2491" spans="1:31" ht="409.5">
      <c r="A2491" s="2">
        <v>2716541</v>
      </c>
      <c r="B2491" s="2">
        <f>HYPERLINK("https://platform.v2.vetology.net/cases/2716541/screening-report/1?type=pdf&amp;v=v6&amp;scorecard=1&amp;secret_key=BX%25IJ%24%2F65ieZ%29f6", 2716541)</f>
        <v>2716541</v>
      </c>
      <c r="C2491" s="2">
        <f>HYPERLINK("https://platform.v2.vetology.net/report/v/final/"&amp;2716541, 2716541)</f>
        <v>2716541</v>
      </c>
      <c r="D2491" s="2" t="s">
        <v>7996</v>
      </c>
      <c r="E2491" s="2" t="s">
        <v>7997</v>
      </c>
      <c r="F2491" s="2" t="s">
        <v>7998</v>
      </c>
      <c r="G2491" s="2" t="s">
        <v>145</v>
      </c>
      <c r="H2491" s="2" t="s">
        <v>7999</v>
      </c>
      <c r="I2491" s="2" t="s">
        <v>36</v>
      </c>
      <c r="J2491" s="2" t="s">
        <v>37</v>
      </c>
      <c r="K2491" s="2" t="s">
        <v>38</v>
      </c>
      <c r="L2491" s="2" t="s">
        <v>38</v>
      </c>
      <c r="M2491" s="2" t="s">
        <v>38</v>
      </c>
      <c r="N2491" s="2" t="s">
        <v>38</v>
      </c>
      <c r="O2491" s="2" t="s">
        <v>38</v>
      </c>
      <c r="P2491" s="2" t="s">
        <v>39</v>
      </c>
      <c r="Q2491" s="2" t="s">
        <v>39</v>
      </c>
      <c r="R2491" s="2" t="s">
        <v>38</v>
      </c>
      <c r="S2491" s="2" t="s">
        <v>38</v>
      </c>
      <c r="T2491" s="2" t="s">
        <v>39</v>
      </c>
      <c r="U2491" s="2" t="s">
        <v>38</v>
      </c>
      <c r="V2491" s="2" t="s">
        <v>38</v>
      </c>
      <c r="W2491" s="2" t="s">
        <v>38</v>
      </c>
      <c r="X2491" s="2" t="s">
        <v>39</v>
      </c>
      <c r="Y2491" s="2" t="s">
        <v>39</v>
      </c>
      <c r="Z2491" s="2" t="s">
        <v>38</v>
      </c>
      <c r="AA2491" s="2" t="s">
        <v>38</v>
      </c>
      <c r="AB2491" s="2" t="s">
        <v>39</v>
      </c>
      <c r="AC2491" s="2" t="s">
        <v>38</v>
      </c>
      <c r="AD2491" s="2" t="s">
        <v>38</v>
      </c>
      <c r="AE2491" s="2" t="s">
        <v>40</v>
      </c>
    </row>
    <row r="2492" spans="1:31" ht="409.5">
      <c r="A2492" s="2">
        <v>2716535</v>
      </c>
      <c r="B2492" s="2">
        <f>HYPERLINK("https://platform.v2.vetology.net/cases/2716535/screening-report/1?type=pdf&amp;v=v6&amp;scorecard=1&amp;secret_key=BX%25IJ%24%2F65ieZ%29f6", 2716535)</f>
        <v>2716535</v>
      </c>
      <c r="C2492" s="2">
        <f>HYPERLINK("https://platform.v2.vetology.net/report/v/final/"&amp;2716535, 2716535)</f>
        <v>2716535</v>
      </c>
      <c r="D2492" s="2" t="s">
        <v>8000</v>
      </c>
      <c r="E2492" s="2" t="s">
        <v>8001</v>
      </c>
      <c r="F2492" s="2"/>
      <c r="G2492" s="2" t="s">
        <v>100</v>
      </c>
      <c r="H2492" s="2" t="s">
        <v>8002</v>
      </c>
      <c r="I2492" s="2" t="s">
        <v>73</v>
      </c>
      <c r="J2492" s="2" t="s">
        <v>74</v>
      </c>
      <c r="K2492" s="2" t="s">
        <v>38</v>
      </c>
      <c r="L2492" s="2" t="s">
        <v>38</v>
      </c>
      <c r="M2492" s="2" t="s">
        <v>38</v>
      </c>
      <c r="N2492" s="2" t="s">
        <v>38</v>
      </c>
      <c r="O2492" s="2" t="s">
        <v>38</v>
      </c>
      <c r="P2492" s="2" t="s">
        <v>38</v>
      </c>
      <c r="Q2492" s="2" t="s">
        <v>38</v>
      </c>
      <c r="R2492" s="2" t="s">
        <v>38</v>
      </c>
      <c r="S2492" s="2" t="s">
        <v>38</v>
      </c>
      <c r="T2492" s="2" t="s">
        <v>38</v>
      </c>
      <c r="U2492" s="2" t="s">
        <v>38</v>
      </c>
      <c r="V2492" s="2" t="s">
        <v>38</v>
      </c>
      <c r="W2492" s="2" t="s">
        <v>38</v>
      </c>
      <c r="X2492" s="2" t="s">
        <v>38</v>
      </c>
      <c r="Y2492" s="2" t="s">
        <v>39</v>
      </c>
      <c r="Z2492" s="2" t="s">
        <v>38</v>
      </c>
      <c r="AA2492" s="2" t="s">
        <v>38</v>
      </c>
      <c r="AB2492" s="2" t="s">
        <v>38</v>
      </c>
      <c r="AC2492" s="2" t="s">
        <v>38</v>
      </c>
      <c r="AD2492" s="2" t="s">
        <v>38</v>
      </c>
      <c r="AE2492" s="2" t="s">
        <v>40</v>
      </c>
    </row>
    <row r="2493" spans="1:31" ht="409.5">
      <c r="A2493" s="2">
        <v>2716533</v>
      </c>
      <c r="B2493" s="2">
        <f>HYPERLINK("https://platform.v2.vetology.net/cases/2716533/screening-report/1?type=pdf&amp;v=v6&amp;scorecard=1&amp;secret_key=BX%25IJ%24%2F65ieZ%29f6", 2716533)</f>
        <v>2716533</v>
      </c>
      <c r="C2493" s="2">
        <f>HYPERLINK("https://platform.v2.vetology.net/report/v/final/"&amp;2716533, 2716533)</f>
        <v>2716533</v>
      </c>
      <c r="D2493" s="2" t="s">
        <v>8003</v>
      </c>
      <c r="E2493" s="2" t="s">
        <v>854</v>
      </c>
      <c r="F2493" s="2" t="s">
        <v>8004</v>
      </c>
      <c r="G2493" s="2" t="s">
        <v>111</v>
      </c>
      <c r="H2493" s="2" t="s">
        <v>4527</v>
      </c>
      <c r="I2493" s="2" t="s">
        <v>36</v>
      </c>
      <c r="J2493" s="2" t="s">
        <v>37</v>
      </c>
      <c r="K2493" s="2" t="s">
        <v>38</v>
      </c>
      <c r="L2493" s="2" t="s">
        <v>38</v>
      </c>
      <c r="M2493" s="2" t="s">
        <v>38</v>
      </c>
      <c r="N2493" s="2" t="s">
        <v>38</v>
      </c>
      <c r="O2493" s="2" t="s">
        <v>38</v>
      </c>
      <c r="P2493" s="2" t="s">
        <v>38</v>
      </c>
      <c r="Q2493" s="2" t="s">
        <v>39</v>
      </c>
      <c r="R2493" s="2" t="s">
        <v>38</v>
      </c>
      <c r="S2493" s="2" t="s">
        <v>38</v>
      </c>
      <c r="T2493" s="2" t="s">
        <v>39</v>
      </c>
      <c r="U2493" s="2" t="s">
        <v>38</v>
      </c>
      <c r="V2493" s="2" t="s">
        <v>38</v>
      </c>
      <c r="W2493" s="2" t="s">
        <v>38</v>
      </c>
      <c r="X2493" s="2" t="s">
        <v>39</v>
      </c>
      <c r="Y2493" s="2" t="s">
        <v>39</v>
      </c>
      <c r="Z2493" s="2" t="s">
        <v>38</v>
      </c>
      <c r="AA2493" s="2" t="s">
        <v>38</v>
      </c>
      <c r="AB2493" s="2" t="s">
        <v>39</v>
      </c>
      <c r="AC2493" s="2" t="s">
        <v>38</v>
      </c>
      <c r="AD2493" s="2" t="s">
        <v>38</v>
      </c>
      <c r="AE2493" s="2" t="s">
        <v>39</v>
      </c>
    </row>
    <row r="2494" spans="1:31" ht="409.5">
      <c r="A2494" s="2">
        <v>2716509</v>
      </c>
      <c r="B2494" s="2">
        <f>HYPERLINK("https://platform.v2.vetology.net/cases/2716509/screening-report/1?type=pdf&amp;v=v6&amp;scorecard=1&amp;secret_key=BX%25IJ%24%2F65ieZ%29f6", 2716509)</f>
        <v>2716509</v>
      </c>
      <c r="C2494" s="2">
        <f>HYPERLINK("https://platform.v2.vetology.net/report/v/final/"&amp;2716509, 2716509)</f>
        <v>2716509</v>
      </c>
      <c r="D2494" s="2" t="s">
        <v>8005</v>
      </c>
      <c r="E2494" s="2" t="s">
        <v>8006</v>
      </c>
      <c r="F2494" s="2" t="s">
        <v>8007</v>
      </c>
      <c r="G2494" s="2" t="s">
        <v>111</v>
      </c>
      <c r="H2494" s="2" t="s">
        <v>8008</v>
      </c>
      <c r="I2494" s="2" t="s">
        <v>684</v>
      </c>
      <c r="J2494" s="2" t="s">
        <v>74</v>
      </c>
      <c r="K2494" s="2" t="s">
        <v>39</v>
      </c>
      <c r="L2494" s="2" t="s">
        <v>39</v>
      </c>
      <c r="M2494" s="2" t="s">
        <v>39</v>
      </c>
      <c r="N2494" s="2" t="s">
        <v>38</v>
      </c>
      <c r="O2494" s="2" t="s">
        <v>39</v>
      </c>
      <c r="P2494" s="2" t="s">
        <v>39</v>
      </c>
      <c r="Q2494" s="2" t="s">
        <v>38</v>
      </c>
      <c r="R2494" s="2" t="s">
        <v>39</v>
      </c>
      <c r="S2494" s="2" t="s">
        <v>39</v>
      </c>
      <c r="T2494" s="2" t="s">
        <v>38</v>
      </c>
      <c r="U2494" s="2" t="s">
        <v>39</v>
      </c>
      <c r="V2494" s="2" t="s">
        <v>38</v>
      </c>
      <c r="W2494" s="2" t="s">
        <v>38</v>
      </c>
      <c r="X2494" s="2" t="s">
        <v>38</v>
      </c>
      <c r="Y2494" s="2" t="s">
        <v>38</v>
      </c>
      <c r="Z2494" s="2" t="s">
        <v>39</v>
      </c>
      <c r="AA2494" s="2" t="s">
        <v>38</v>
      </c>
      <c r="AB2494" s="2" t="s">
        <v>39</v>
      </c>
      <c r="AC2494" s="2" t="s">
        <v>38</v>
      </c>
      <c r="AD2494" s="2" t="s">
        <v>39</v>
      </c>
      <c r="AE2494" s="2" t="s">
        <v>40</v>
      </c>
    </row>
    <row r="2495" spans="1:31" ht="409.5">
      <c r="A2495" s="2">
        <v>2716405</v>
      </c>
      <c r="B2495" s="2">
        <f>HYPERLINK("https://platform.v2.vetology.net/cases/2716405/screening-report/1?type=pdf&amp;v=v6&amp;scorecard=1&amp;secret_key=BX%25IJ%24%2F65ieZ%29f6", 2716405)</f>
        <v>2716405</v>
      </c>
      <c r="C2495" s="2">
        <f>HYPERLINK("https://platform.v2.vetology.net/report/v/final/"&amp;2716405, 2716405)</f>
        <v>2716405</v>
      </c>
      <c r="D2495" s="2" t="s">
        <v>8009</v>
      </c>
      <c r="E2495" s="2" t="s">
        <v>8010</v>
      </c>
      <c r="F2495" s="2" t="s">
        <v>8011</v>
      </c>
      <c r="G2495" s="2" t="s">
        <v>170</v>
      </c>
      <c r="H2495" s="2" t="s">
        <v>8012</v>
      </c>
      <c r="I2495" s="2" t="s">
        <v>73</v>
      </c>
      <c r="J2495" s="2" t="s">
        <v>74</v>
      </c>
      <c r="K2495" s="2" t="s">
        <v>38</v>
      </c>
      <c r="L2495" s="2" t="s">
        <v>38</v>
      </c>
      <c r="M2495" s="2" t="s">
        <v>38</v>
      </c>
      <c r="N2495" s="2" t="s">
        <v>38</v>
      </c>
      <c r="O2495" s="2" t="s">
        <v>38</v>
      </c>
      <c r="P2495" s="2" t="s">
        <v>38</v>
      </c>
      <c r="Q2495" s="2" t="s">
        <v>38</v>
      </c>
      <c r="R2495" s="2" t="s">
        <v>39</v>
      </c>
      <c r="S2495" s="2" t="s">
        <v>38</v>
      </c>
      <c r="T2495" s="2" t="s">
        <v>38</v>
      </c>
      <c r="U2495" s="2" t="s">
        <v>38</v>
      </c>
      <c r="V2495" s="2" t="s">
        <v>38</v>
      </c>
      <c r="W2495" s="2" t="s">
        <v>38</v>
      </c>
      <c r="X2495" s="2" t="s">
        <v>38</v>
      </c>
      <c r="Y2495" s="2" t="s">
        <v>38</v>
      </c>
      <c r="Z2495" s="2" t="s">
        <v>38</v>
      </c>
      <c r="AA2495" s="2" t="s">
        <v>38</v>
      </c>
      <c r="AB2495" s="2" t="s">
        <v>38</v>
      </c>
      <c r="AC2495" s="2" t="s">
        <v>38</v>
      </c>
      <c r="AD2495" s="2" t="s">
        <v>38</v>
      </c>
      <c r="AE2495" s="2" t="s">
        <v>40</v>
      </c>
    </row>
    <row r="2496" spans="1:31" ht="409.5">
      <c r="A2496" s="2">
        <v>2716382</v>
      </c>
      <c r="B2496" s="2">
        <f>HYPERLINK("https://platform.v2.vetology.net/cases/2716382/screening-report/1?type=pdf&amp;v=v6&amp;scorecard=1&amp;secret_key=BX%25IJ%24%2F65ieZ%29f6", 2716382)</f>
        <v>2716382</v>
      </c>
      <c r="C2496" s="2">
        <f>HYPERLINK("https://platform.v2.vetology.net/report/v/final/"&amp;2716382, 2716382)</f>
        <v>2716382</v>
      </c>
      <c r="D2496" s="2" t="s">
        <v>8013</v>
      </c>
      <c r="E2496" s="2" t="s">
        <v>8014</v>
      </c>
      <c r="F2496" s="2" t="s">
        <v>8015</v>
      </c>
      <c r="G2496" s="2" t="s">
        <v>170</v>
      </c>
      <c r="H2496" s="2" t="s">
        <v>8016</v>
      </c>
      <c r="I2496" s="2" t="s">
        <v>73</v>
      </c>
      <c r="J2496" s="2" t="s">
        <v>74</v>
      </c>
      <c r="K2496" s="2" t="s">
        <v>38</v>
      </c>
      <c r="L2496" s="2" t="s">
        <v>38</v>
      </c>
      <c r="M2496" s="2" t="s">
        <v>38</v>
      </c>
      <c r="N2496" s="2" t="s">
        <v>38</v>
      </c>
      <c r="O2496" s="2" t="s">
        <v>38</v>
      </c>
      <c r="P2496" s="2" t="s">
        <v>38</v>
      </c>
      <c r="Q2496" s="2" t="s">
        <v>38</v>
      </c>
      <c r="R2496" s="2" t="s">
        <v>38</v>
      </c>
      <c r="S2496" s="2" t="s">
        <v>38</v>
      </c>
      <c r="T2496" s="2" t="s">
        <v>38</v>
      </c>
      <c r="U2496" s="2" t="s">
        <v>38</v>
      </c>
      <c r="V2496" s="2" t="s">
        <v>38</v>
      </c>
      <c r="W2496" s="2" t="s">
        <v>38</v>
      </c>
      <c r="X2496" s="2" t="s">
        <v>38</v>
      </c>
      <c r="Y2496" s="2" t="s">
        <v>38</v>
      </c>
      <c r="Z2496" s="2" t="s">
        <v>38</v>
      </c>
      <c r="AA2496" s="2" t="s">
        <v>38</v>
      </c>
      <c r="AB2496" s="2" t="s">
        <v>38</v>
      </c>
      <c r="AC2496" s="2" t="s">
        <v>38</v>
      </c>
      <c r="AD2496" s="2" t="s">
        <v>38</v>
      </c>
      <c r="AE2496" s="2" t="s">
        <v>40</v>
      </c>
    </row>
    <row r="2497" spans="1:31" ht="409.5">
      <c r="A2497" s="2">
        <v>2716377</v>
      </c>
      <c r="B2497" s="2">
        <f>HYPERLINK("https://platform.v2.vetology.net/cases/2716377/screening-report/1?type=pdf&amp;v=v6&amp;scorecard=1&amp;secret_key=BX%25IJ%24%2F65ieZ%29f6", 2716377)</f>
        <v>2716377</v>
      </c>
      <c r="C2497" s="2">
        <f>HYPERLINK("https://platform.v2.vetology.net/report/v/final/"&amp;2716377, 2716377)</f>
        <v>2716377</v>
      </c>
      <c r="D2497" s="2" t="s">
        <v>8017</v>
      </c>
      <c r="E2497" s="2" t="s">
        <v>8018</v>
      </c>
      <c r="F2497" s="2" t="s">
        <v>8019</v>
      </c>
      <c r="G2497" s="2" t="s">
        <v>556</v>
      </c>
      <c r="H2497" s="2" t="s">
        <v>8020</v>
      </c>
      <c r="I2497" s="2" t="s">
        <v>257</v>
      </c>
      <c r="J2497" s="2" t="s">
        <v>74</v>
      </c>
      <c r="K2497" s="2" t="s">
        <v>38</v>
      </c>
      <c r="L2497" s="2" t="s">
        <v>38</v>
      </c>
      <c r="M2497" s="2" t="s">
        <v>38</v>
      </c>
      <c r="N2497" s="2" t="s">
        <v>38</v>
      </c>
      <c r="O2497" s="2" t="s">
        <v>38</v>
      </c>
      <c r="P2497" s="2" t="s">
        <v>38</v>
      </c>
      <c r="Q2497" s="2" t="s">
        <v>38</v>
      </c>
      <c r="R2497" s="2" t="s">
        <v>38</v>
      </c>
      <c r="S2497" s="2" t="s">
        <v>38</v>
      </c>
      <c r="T2497" s="2" t="s">
        <v>38</v>
      </c>
      <c r="U2497" s="2" t="s">
        <v>38</v>
      </c>
      <c r="V2497" s="2" t="s">
        <v>38</v>
      </c>
      <c r="W2497" s="2" t="s">
        <v>38</v>
      </c>
      <c r="X2497" s="2" t="s">
        <v>38</v>
      </c>
      <c r="Y2497" s="2" t="s">
        <v>38</v>
      </c>
      <c r="Z2497" s="2" t="s">
        <v>38</v>
      </c>
      <c r="AA2497" s="2" t="s">
        <v>38</v>
      </c>
      <c r="AB2497" s="2" t="s">
        <v>38</v>
      </c>
      <c r="AC2497" s="2" t="s">
        <v>38</v>
      </c>
      <c r="AD2497" s="2" t="s">
        <v>38</v>
      </c>
      <c r="AE2497" s="2" t="s">
        <v>39</v>
      </c>
    </row>
    <row r="2498" spans="1:31" ht="409.5">
      <c r="A2498" s="2">
        <v>2716370</v>
      </c>
      <c r="B2498" s="2">
        <f>HYPERLINK("https://platform.v2.vetology.net/cases/2716370/screening-report/1?type=pdf&amp;v=v6&amp;scorecard=1&amp;secret_key=BX%25IJ%24%2F65ieZ%29f6", 2716370)</f>
        <v>2716370</v>
      </c>
      <c r="C2498" s="2">
        <f>HYPERLINK("https://platform.v2.vetology.net/report/v/final/"&amp;2716370, 2716370)</f>
        <v>2716370</v>
      </c>
      <c r="D2498" s="2" t="s">
        <v>8021</v>
      </c>
      <c r="E2498" s="2" t="s">
        <v>8022</v>
      </c>
      <c r="F2498" s="2" t="s">
        <v>2082</v>
      </c>
      <c r="G2498" s="2" t="s">
        <v>170</v>
      </c>
      <c r="H2498" s="2" t="s">
        <v>45</v>
      </c>
      <c r="I2498" s="2" t="s">
        <v>46</v>
      </c>
      <c r="J2498" s="2"/>
      <c r="K2498" s="2" t="s">
        <v>39</v>
      </c>
      <c r="L2498" s="2" t="s">
        <v>39</v>
      </c>
      <c r="M2498" s="2" t="s">
        <v>39</v>
      </c>
      <c r="N2498" s="2" t="s">
        <v>39</v>
      </c>
      <c r="O2498" s="2" t="s">
        <v>39</v>
      </c>
      <c r="P2498" s="2" t="s">
        <v>39</v>
      </c>
      <c r="Q2498" s="2" t="s">
        <v>39</v>
      </c>
      <c r="R2498" s="2" t="s">
        <v>38</v>
      </c>
      <c r="S2498" s="2" t="s">
        <v>39</v>
      </c>
      <c r="T2498" s="2" t="s">
        <v>39</v>
      </c>
      <c r="U2498" s="2" t="s">
        <v>39</v>
      </c>
      <c r="V2498" s="2" t="s">
        <v>39</v>
      </c>
      <c r="W2498" s="2" t="s">
        <v>39</v>
      </c>
      <c r="X2498" s="2" t="s">
        <v>39</v>
      </c>
      <c r="Y2498" s="2" t="s">
        <v>39</v>
      </c>
      <c r="Z2498" s="2" t="s">
        <v>39</v>
      </c>
      <c r="AA2498" s="2" t="s">
        <v>39</v>
      </c>
      <c r="AB2498" s="2" t="s">
        <v>39</v>
      </c>
      <c r="AC2498" s="2" t="s">
        <v>38</v>
      </c>
      <c r="AD2498" s="2" t="s">
        <v>39</v>
      </c>
      <c r="AE2498" s="2" t="s">
        <v>40</v>
      </c>
    </row>
    <row r="2499" spans="1:31" ht="409.5">
      <c r="A2499" s="2">
        <v>2716301</v>
      </c>
      <c r="B2499" s="2">
        <f>HYPERLINK("https://platform.v2.vetology.net/cases/2716301/screening-report/1?type=pdf&amp;v=v6&amp;scorecard=1&amp;secret_key=BX%25IJ%24%2F65ieZ%29f6", 2716301)</f>
        <v>2716301</v>
      </c>
      <c r="C2499" s="2">
        <f>HYPERLINK("https://platform.v2.vetology.net/report/v/final/"&amp;2716301, 2716301)</f>
        <v>2716301</v>
      </c>
      <c r="D2499" s="2" t="s">
        <v>8023</v>
      </c>
      <c r="E2499" s="2" t="s">
        <v>8024</v>
      </c>
      <c r="F2499" s="2" t="s">
        <v>8025</v>
      </c>
      <c r="G2499" s="2" t="s">
        <v>170</v>
      </c>
      <c r="H2499" s="2" t="s">
        <v>8026</v>
      </c>
      <c r="I2499" s="2" t="s">
        <v>813</v>
      </c>
      <c r="J2499" s="2" t="s">
        <v>37</v>
      </c>
      <c r="K2499" s="2" t="s">
        <v>39</v>
      </c>
      <c r="L2499" s="2" t="s">
        <v>39</v>
      </c>
      <c r="M2499" s="2" t="s">
        <v>39</v>
      </c>
      <c r="N2499" s="2" t="s">
        <v>39</v>
      </c>
      <c r="O2499" s="2" t="s">
        <v>39</v>
      </c>
      <c r="P2499" s="2" t="s">
        <v>39</v>
      </c>
      <c r="Q2499" s="2" t="s">
        <v>39</v>
      </c>
      <c r="R2499" s="2" t="s">
        <v>38</v>
      </c>
      <c r="S2499" s="2" t="s">
        <v>38</v>
      </c>
      <c r="T2499" s="2" t="s">
        <v>39</v>
      </c>
      <c r="U2499" s="2" t="s">
        <v>39</v>
      </c>
      <c r="V2499" s="2" t="s">
        <v>39</v>
      </c>
      <c r="W2499" s="2" t="s">
        <v>38</v>
      </c>
      <c r="X2499" s="2" t="s">
        <v>39</v>
      </c>
      <c r="Y2499" s="2" t="s">
        <v>39</v>
      </c>
      <c r="Z2499" s="2" t="s">
        <v>38</v>
      </c>
      <c r="AA2499" s="2" t="s">
        <v>39</v>
      </c>
      <c r="AB2499" s="2" t="s">
        <v>39</v>
      </c>
      <c r="AC2499" s="2" t="s">
        <v>38</v>
      </c>
      <c r="AD2499" s="2" t="s">
        <v>39</v>
      </c>
      <c r="AE2499" s="2" t="s">
        <v>39</v>
      </c>
    </row>
    <row r="2500" spans="1:31" ht="409.5">
      <c r="A2500" s="2">
        <v>2716291</v>
      </c>
      <c r="B2500" s="2">
        <f>HYPERLINK("https://platform.v2.vetology.net/cases/2716291/screening-report/1?type=pdf&amp;v=v6&amp;scorecard=1&amp;secret_key=BX%25IJ%24%2F65ieZ%29f6", 2716291)</f>
        <v>2716291</v>
      </c>
      <c r="C2500" s="2">
        <f>HYPERLINK("https://platform.v2.vetology.net/report/v/final/"&amp;2716291, 2716291)</f>
        <v>2716291</v>
      </c>
      <c r="D2500" s="2" t="s">
        <v>8027</v>
      </c>
      <c r="E2500" s="2" t="s">
        <v>8028</v>
      </c>
      <c r="F2500" s="2" t="s">
        <v>8029</v>
      </c>
      <c r="G2500" s="2" t="s">
        <v>111</v>
      </c>
      <c r="H2500" s="2" t="s">
        <v>8030</v>
      </c>
      <c r="I2500" s="2" t="s">
        <v>36</v>
      </c>
      <c r="J2500" s="2" t="s">
        <v>37</v>
      </c>
      <c r="K2500" s="2" t="s">
        <v>39</v>
      </c>
      <c r="L2500" s="2" t="s">
        <v>39</v>
      </c>
      <c r="M2500" s="2" t="s">
        <v>38</v>
      </c>
      <c r="N2500" s="2" t="s">
        <v>39</v>
      </c>
      <c r="O2500" s="2" t="s">
        <v>38</v>
      </c>
      <c r="P2500" s="2" t="s">
        <v>38</v>
      </c>
      <c r="Q2500" s="2" t="s">
        <v>39</v>
      </c>
      <c r="R2500" s="2" t="s">
        <v>38</v>
      </c>
      <c r="S2500" s="2" t="s">
        <v>39</v>
      </c>
      <c r="T2500" s="2" t="s">
        <v>39</v>
      </c>
      <c r="U2500" s="2" t="s">
        <v>39</v>
      </c>
      <c r="V2500" s="2" t="s">
        <v>38</v>
      </c>
      <c r="W2500" s="2" t="s">
        <v>38</v>
      </c>
      <c r="X2500" s="2" t="s">
        <v>39</v>
      </c>
      <c r="Y2500" s="2" t="s">
        <v>39</v>
      </c>
      <c r="Z2500" s="2" t="s">
        <v>38</v>
      </c>
      <c r="AA2500" s="2" t="s">
        <v>38</v>
      </c>
      <c r="AB2500" s="2" t="s">
        <v>39</v>
      </c>
      <c r="AC2500" s="2" t="s">
        <v>38</v>
      </c>
      <c r="AD2500" s="2" t="s">
        <v>39</v>
      </c>
      <c r="AE2500" s="2" t="s">
        <v>40</v>
      </c>
    </row>
    <row r="2501" spans="1:31" ht="409.5">
      <c r="A2501" s="2">
        <v>2716249</v>
      </c>
      <c r="B2501" s="2">
        <f>HYPERLINK("https://platform.v2.vetology.net/cases/2716249/screening-report/1?type=pdf&amp;v=v6&amp;scorecard=1&amp;secret_key=BX%25IJ%24%2F65ieZ%29f6", 2716249)</f>
        <v>2716249</v>
      </c>
      <c r="C2501" s="2">
        <f>HYPERLINK("https://platform.v2.vetology.net/report/v/final/"&amp;2716249, 2716249)</f>
        <v>2716249</v>
      </c>
      <c r="D2501" s="2" t="s">
        <v>8031</v>
      </c>
      <c r="E2501" s="2" t="s">
        <v>8032</v>
      </c>
      <c r="F2501" s="2" t="s">
        <v>8033</v>
      </c>
      <c r="G2501" s="2" t="s">
        <v>127</v>
      </c>
      <c r="H2501" s="2" t="s">
        <v>8034</v>
      </c>
      <c r="I2501" s="2" t="s">
        <v>73</v>
      </c>
      <c r="J2501" s="2" t="s">
        <v>74</v>
      </c>
      <c r="K2501" s="2" t="s">
        <v>38</v>
      </c>
      <c r="L2501" s="2" t="s">
        <v>38</v>
      </c>
      <c r="M2501" s="2" t="s">
        <v>38</v>
      </c>
      <c r="N2501" s="2" t="s">
        <v>38</v>
      </c>
      <c r="O2501" s="2" t="s">
        <v>38</v>
      </c>
      <c r="P2501" s="2" t="s">
        <v>38</v>
      </c>
      <c r="Q2501" s="2" t="s">
        <v>38</v>
      </c>
      <c r="R2501" s="2" t="s">
        <v>39</v>
      </c>
      <c r="S2501" s="2" t="s">
        <v>38</v>
      </c>
      <c r="T2501" s="2" t="s">
        <v>38</v>
      </c>
      <c r="U2501" s="2" t="s">
        <v>38</v>
      </c>
      <c r="V2501" s="2" t="s">
        <v>38</v>
      </c>
      <c r="W2501" s="2" t="s">
        <v>39</v>
      </c>
      <c r="X2501" s="2" t="s">
        <v>38</v>
      </c>
      <c r="Y2501" s="2" t="s">
        <v>39</v>
      </c>
      <c r="Z2501" s="2" t="s">
        <v>39</v>
      </c>
      <c r="AA2501" s="2" t="s">
        <v>38</v>
      </c>
      <c r="AB2501" s="2" t="s">
        <v>38</v>
      </c>
      <c r="AC2501" s="2" t="s">
        <v>38</v>
      </c>
      <c r="AD2501" s="2" t="s">
        <v>38</v>
      </c>
      <c r="AE2501" s="2" t="s">
        <v>40</v>
      </c>
    </row>
    <row r="2502" spans="1:31" ht="409.5">
      <c r="A2502" s="2">
        <v>2716240</v>
      </c>
      <c r="B2502" s="2">
        <f>HYPERLINK("https://platform.v2.vetology.net/cases/2716240/screening-report/1?type=pdf&amp;v=v6&amp;scorecard=1&amp;secret_key=BX%25IJ%24%2F65ieZ%29f6", 2716240)</f>
        <v>2716240</v>
      </c>
      <c r="C2502" s="2">
        <f>HYPERLINK("https://platform.v2.vetology.net/report/v/final/"&amp;2716240, 2716240)</f>
        <v>2716240</v>
      </c>
      <c r="D2502" s="2" t="s">
        <v>8035</v>
      </c>
      <c r="E2502" s="2" t="s">
        <v>1091</v>
      </c>
      <c r="F2502" s="2" t="s">
        <v>8036</v>
      </c>
      <c r="G2502" s="2" t="s">
        <v>100</v>
      </c>
      <c r="H2502" s="2" t="s">
        <v>69</v>
      </c>
      <c r="I2502" s="2" t="s">
        <v>46</v>
      </c>
      <c r="J2502" s="2"/>
      <c r="K2502" s="2" t="s">
        <v>39</v>
      </c>
      <c r="L2502" s="2" t="s">
        <v>39</v>
      </c>
      <c r="M2502" s="2" t="s">
        <v>39</v>
      </c>
      <c r="N2502" s="2" t="s">
        <v>39</v>
      </c>
      <c r="O2502" s="2" t="s">
        <v>39</v>
      </c>
      <c r="P2502" s="2" t="s">
        <v>39</v>
      </c>
      <c r="Q2502" s="2" t="s">
        <v>39</v>
      </c>
      <c r="R2502" s="2" t="s">
        <v>39</v>
      </c>
      <c r="S2502" s="2" t="s">
        <v>39</v>
      </c>
      <c r="T2502" s="2" t="s">
        <v>39</v>
      </c>
      <c r="U2502" s="2" t="s">
        <v>39</v>
      </c>
      <c r="V2502" s="2" t="s">
        <v>38</v>
      </c>
      <c r="W2502" s="2" t="s">
        <v>38</v>
      </c>
      <c r="X2502" s="2" t="s">
        <v>39</v>
      </c>
      <c r="Y2502" s="2" t="s">
        <v>39</v>
      </c>
      <c r="Z2502" s="2" t="s">
        <v>38</v>
      </c>
      <c r="AA2502" s="2" t="s">
        <v>39</v>
      </c>
      <c r="AB2502" s="2" t="s">
        <v>39</v>
      </c>
      <c r="AC2502" s="2" t="s">
        <v>38</v>
      </c>
      <c r="AD2502" s="2" t="s">
        <v>38</v>
      </c>
      <c r="AE2502" s="2" t="s">
        <v>39</v>
      </c>
    </row>
    <row r="2503" spans="1:31" ht="409.5">
      <c r="A2503" s="2">
        <v>2716223</v>
      </c>
      <c r="B2503" s="2">
        <f>HYPERLINK("https://platform.v2.vetology.net/cases/2716223/screening-report/1?type=pdf&amp;v=v6&amp;scorecard=1&amp;secret_key=BX%25IJ%24%2F65ieZ%29f6", 2716223)</f>
        <v>2716223</v>
      </c>
      <c r="C2503" s="2">
        <f>HYPERLINK("https://platform.v2.vetology.net/report/v/final/"&amp;2716223, 2716223)</f>
        <v>2716223</v>
      </c>
      <c r="D2503" s="2" t="s">
        <v>8037</v>
      </c>
      <c r="E2503" s="2" t="s">
        <v>8038</v>
      </c>
      <c r="F2503" s="2" t="s">
        <v>8039</v>
      </c>
      <c r="G2503" s="2" t="s">
        <v>170</v>
      </c>
      <c r="H2503" s="2" t="s">
        <v>45</v>
      </c>
      <c r="I2503" s="2" t="s">
        <v>46</v>
      </c>
      <c r="J2503" s="2"/>
      <c r="K2503" s="2" t="s">
        <v>39</v>
      </c>
      <c r="L2503" s="2" t="s">
        <v>39</v>
      </c>
      <c r="M2503" s="2" t="s">
        <v>39</v>
      </c>
      <c r="N2503" s="2" t="s">
        <v>39</v>
      </c>
      <c r="O2503" s="2" t="s">
        <v>38</v>
      </c>
      <c r="P2503" s="2" t="s">
        <v>39</v>
      </c>
      <c r="Q2503" s="2" t="s">
        <v>39</v>
      </c>
      <c r="R2503" s="2" t="s">
        <v>38</v>
      </c>
      <c r="S2503" s="2" t="s">
        <v>39</v>
      </c>
      <c r="T2503" s="2" t="s">
        <v>39</v>
      </c>
      <c r="U2503" s="2" t="s">
        <v>39</v>
      </c>
      <c r="V2503" s="2" t="s">
        <v>39</v>
      </c>
      <c r="W2503" s="2" t="s">
        <v>39</v>
      </c>
      <c r="X2503" s="2" t="s">
        <v>39</v>
      </c>
      <c r="Y2503" s="2" t="s">
        <v>39</v>
      </c>
      <c r="Z2503" s="2" t="s">
        <v>39</v>
      </c>
      <c r="AA2503" s="2" t="s">
        <v>39</v>
      </c>
      <c r="AB2503" s="2" t="s">
        <v>39</v>
      </c>
      <c r="AC2503" s="2" t="s">
        <v>38</v>
      </c>
      <c r="AD2503" s="2" t="s">
        <v>38</v>
      </c>
      <c r="AE2503" s="2" t="s">
        <v>40</v>
      </c>
    </row>
    <row r="2504" spans="1:31" ht="409.5">
      <c r="A2504" s="2">
        <v>2716178</v>
      </c>
      <c r="B2504" s="2">
        <f>HYPERLINK("https://platform.v2.vetology.net/cases/2716178/screening-report/1?type=pdf&amp;v=v6&amp;scorecard=1&amp;secret_key=BX%25IJ%24%2F65ieZ%29f6", 2716178)</f>
        <v>2716178</v>
      </c>
      <c r="C2504" s="2">
        <f>HYPERLINK("https://platform.v2.vetology.net/report/v/final/"&amp;2716178, 2716178)</f>
        <v>2716178</v>
      </c>
      <c r="D2504" s="2" t="s">
        <v>302</v>
      </c>
      <c r="E2504" s="2" t="s">
        <v>99</v>
      </c>
      <c r="F2504" s="2"/>
      <c r="G2504" s="2" t="s">
        <v>100</v>
      </c>
      <c r="H2504" s="2" t="s">
        <v>45</v>
      </c>
      <c r="I2504" s="2" t="s">
        <v>46</v>
      </c>
      <c r="J2504" s="2"/>
      <c r="K2504" s="2" t="s">
        <v>39</v>
      </c>
      <c r="L2504" s="2" t="s">
        <v>39</v>
      </c>
      <c r="M2504" s="2" t="s">
        <v>39</v>
      </c>
      <c r="N2504" s="2" t="s">
        <v>39</v>
      </c>
      <c r="O2504" s="2" t="s">
        <v>39</v>
      </c>
      <c r="P2504" s="2" t="s">
        <v>39</v>
      </c>
      <c r="Q2504" s="2" t="s">
        <v>39</v>
      </c>
      <c r="R2504" s="2" t="s">
        <v>38</v>
      </c>
      <c r="S2504" s="2" t="s">
        <v>39</v>
      </c>
      <c r="T2504" s="2" t="s">
        <v>39</v>
      </c>
      <c r="U2504" s="2" t="s">
        <v>39</v>
      </c>
      <c r="V2504" s="2" t="s">
        <v>38</v>
      </c>
      <c r="W2504" s="2" t="s">
        <v>38</v>
      </c>
      <c r="X2504" s="2" t="s">
        <v>39</v>
      </c>
      <c r="Y2504" s="2" t="s">
        <v>39</v>
      </c>
      <c r="Z2504" s="2" t="s">
        <v>38</v>
      </c>
      <c r="AA2504" s="2" t="s">
        <v>39</v>
      </c>
      <c r="AB2504" s="2" t="s">
        <v>39</v>
      </c>
      <c r="AC2504" s="2" t="s">
        <v>38</v>
      </c>
      <c r="AD2504" s="2" t="s">
        <v>38</v>
      </c>
      <c r="AE2504" s="2" t="s">
        <v>40</v>
      </c>
    </row>
    <row r="2505" spans="1:31" ht="409.5">
      <c r="A2505" s="2">
        <v>2716176</v>
      </c>
      <c r="B2505" s="2">
        <f>HYPERLINK("https://platform.v2.vetology.net/cases/2716176/screening-report/1?type=pdf&amp;v=v6&amp;scorecard=1&amp;secret_key=BX%25IJ%24%2F65ieZ%29f6", 2716176)</f>
        <v>2716176</v>
      </c>
      <c r="C2505" s="2">
        <f>HYPERLINK("https://platform.v2.vetology.net/report/v/final/"&amp;2716176, 2716176)</f>
        <v>2716176</v>
      </c>
      <c r="D2505" s="2" t="s">
        <v>8040</v>
      </c>
      <c r="E2505" s="2" t="s">
        <v>8041</v>
      </c>
      <c r="F2505" s="2" t="s">
        <v>4216</v>
      </c>
      <c r="G2505" s="2" t="s">
        <v>170</v>
      </c>
      <c r="H2505" s="2" t="s">
        <v>8042</v>
      </c>
      <c r="I2505" s="2" t="s">
        <v>73</v>
      </c>
      <c r="J2505" s="2" t="s">
        <v>74</v>
      </c>
      <c r="K2505" s="2" t="s">
        <v>38</v>
      </c>
      <c r="L2505" s="2" t="s">
        <v>38</v>
      </c>
      <c r="M2505" s="2" t="s">
        <v>38</v>
      </c>
      <c r="N2505" s="2" t="s">
        <v>38</v>
      </c>
      <c r="O2505" s="2" t="s">
        <v>38</v>
      </c>
      <c r="P2505" s="2" t="s">
        <v>38</v>
      </c>
      <c r="Q2505" s="2" t="s">
        <v>38</v>
      </c>
      <c r="R2505" s="2" t="s">
        <v>38</v>
      </c>
      <c r="S2505" s="2" t="s">
        <v>38</v>
      </c>
      <c r="T2505" s="2" t="s">
        <v>38</v>
      </c>
      <c r="U2505" s="2" t="s">
        <v>38</v>
      </c>
      <c r="V2505" s="2" t="s">
        <v>38</v>
      </c>
      <c r="W2505" s="2" t="s">
        <v>38</v>
      </c>
      <c r="X2505" s="2" t="s">
        <v>38</v>
      </c>
      <c r="Y2505" s="2" t="s">
        <v>39</v>
      </c>
      <c r="Z2505" s="2" t="s">
        <v>38</v>
      </c>
      <c r="AA2505" s="2" t="s">
        <v>38</v>
      </c>
      <c r="AB2505" s="2" t="s">
        <v>38</v>
      </c>
      <c r="AC2505" s="2" t="s">
        <v>38</v>
      </c>
      <c r="AD2505" s="2" t="s">
        <v>39</v>
      </c>
      <c r="AE2505" s="2" t="s">
        <v>40</v>
      </c>
    </row>
    <row r="2506" spans="1:31" ht="409.5">
      <c r="A2506" s="2">
        <v>2716170</v>
      </c>
      <c r="B2506" s="2">
        <f>HYPERLINK("https://platform.v2.vetology.net/cases/2716170/screening-report/1?type=pdf&amp;v=v6&amp;scorecard=1&amp;secret_key=BX%25IJ%24%2F65ieZ%29f6", 2716170)</f>
        <v>2716170</v>
      </c>
      <c r="C2506" s="2">
        <f>HYPERLINK("https://platform.v2.vetology.net/report/v/final/"&amp;2716170, 2716170)</f>
        <v>2716170</v>
      </c>
      <c r="D2506" s="2" t="s">
        <v>8043</v>
      </c>
      <c r="E2506" s="2" t="s">
        <v>8044</v>
      </c>
      <c r="F2506" s="2" t="s">
        <v>6272</v>
      </c>
      <c r="G2506" s="2" t="s">
        <v>170</v>
      </c>
      <c r="H2506" s="2" t="s">
        <v>8045</v>
      </c>
      <c r="I2506" s="2" t="s">
        <v>73</v>
      </c>
      <c r="J2506" s="2" t="s">
        <v>74</v>
      </c>
      <c r="K2506" s="2" t="s">
        <v>38</v>
      </c>
      <c r="L2506" s="2" t="s">
        <v>38</v>
      </c>
      <c r="M2506" s="2" t="s">
        <v>38</v>
      </c>
      <c r="N2506" s="2" t="s">
        <v>38</v>
      </c>
      <c r="O2506" s="2" t="s">
        <v>38</v>
      </c>
      <c r="P2506" s="2" t="s">
        <v>38</v>
      </c>
      <c r="Q2506" s="2" t="s">
        <v>38</v>
      </c>
      <c r="R2506" s="2" t="s">
        <v>39</v>
      </c>
      <c r="S2506" s="2" t="s">
        <v>38</v>
      </c>
      <c r="T2506" s="2" t="s">
        <v>38</v>
      </c>
      <c r="U2506" s="2" t="s">
        <v>38</v>
      </c>
      <c r="V2506" s="2" t="s">
        <v>38</v>
      </c>
      <c r="W2506" s="2" t="s">
        <v>38</v>
      </c>
      <c r="X2506" s="2" t="s">
        <v>38</v>
      </c>
      <c r="Y2506" s="2" t="s">
        <v>38</v>
      </c>
      <c r="Z2506" s="2" t="s">
        <v>38</v>
      </c>
      <c r="AA2506" s="2" t="s">
        <v>38</v>
      </c>
      <c r="AB2506" s="2" t="s">
        <v>38</v>
      </c>
      <c r="AC2506" s="2" t="s">
        <v>38</v>
      </c>
      <c r="AD2506" s="2" t="s">
        <v>38</v>
      </c>
      <c r="AE2506" s="2" t="s">
        <v>39</v>
      </c>
    </row>
    <row r="2507" spans="1:31" ht="409.5">
      <c r="A2507" s="2">
        <v>2716060</v>
      </c>
      <c r="B2507" s="2">
        <f>HYPERLINK("https://platform.v2.vetology.net/cases/2716060/screening-report/1?type=pdf&amp;v=v6&amp;scorecard=1&amp;secret_key=BX%25IJ%24%2F65ieZ%29f6", 2716060)</f>
        <v>2716060</v>
      </c>
      <c r="C2507" s="2">
        <f>HYPERLINK("https://platform.v2.vetology.net/report/v/final/"&amp;2716060, 2716060)</f>
        <v>2716060</v>
      </c>
      <c r="D2507" s="2" t="s">
        <v>8046</v>
      </c>
      <c r="E2507" s="2" t="s">
        <v>8047</v>
      </c>
      <c r="F2507" s="2" t="s">
        <v>43</v>
      </c>
      <c r="G2507" s="2" t="s">
        <v>100</v>
      </c>
      <c r="H2507" s="2" t="s">
        <v>8048</v>
      </c>
      <c r="I2507" s="2" t="s">
        <v>73</v>
      </c>
      <c r="J2507" s="2" t="s">
        <v>74</v>
      </c>
      <c r="K2507" s="2" t="s">
        <v>38</v>
      </c>
      <c r="L2507" s="2" t="s">
        <v>39</v>
      </c>
      <c r="M2507" s="2" t="s">
        <v>38</v>
      </c>
      <c r="N2507" s="2" t="s">
        <v>38</v>
      </c>
      <c r="O2507" s="2" t="s">
        <v>38</v>
      </c>
      <c r="P2507" s="2" t="s">
        <v>38</v>
      </c>
      <c r="Q2507" s="2" t="s">
        <v>38</v>
      </c>
      <c r="R2507" s="2" t="s">
        <v>39</v>
      </c>
      <c r="S2507" s="2" t="s">
        <v>39</v>
      </c>
      <c r="T2507" s="2" t="s">
        <v>38</v>
      </c>
      <c r="U2507" s="2" t="s">
        <v>38</v>
      </c>
      <c r="V2507" s="2" t="s">
        <v>38</v>
      </c>
      <c r="W2507" s="2" t="s">
        <v>38</v>
      </c>
      <c r="X2507" s="2" t="s">
        <v>38</v>
      </c>
      <c r="Y2507" s="2" t="s">
        <v>39</v>
      </c>
      <c r="Z2507" s="2" t="s">
        <v>38</v>
      </c>
      <c r="AA2507" s="2" t="s">
        <v>38</v>
      </c>
      <c r="AB2507" s="2" t="s">
        <v>38</v>
      </c>
      <c r="AC2507" s="2" t="s">
        <v>38</v>
      </c>
      <c r="AD2507" s="2" t="s">
        <v>39</v>
      </c>
      <c r="AE2507" s="2" t="s">
        <v>40</v>
      </c>
    </row>
    <row r="2508" spans="1:31" ht="409.5">
      <c r="A2508" s="2">
        <v>2716049</v>
      </c>
      <c r="B2508" s="2">
        <f>HYPERLINK("https://platform.v2.vetology.net/cases/2716049/screening-report/1?type=pdf&amp;v=v6&amp;scorecard=1&amp;secret_key=BX%25IJ%24%2F65ieZ%29f6", 2716049)</f>
        <v>2716049</v>
      </c>
      <c r="C2508" s="2">
        <f>HYPERLINK("https://platform.v2.vetology.net/report/v/final/"&amp;2716049, 2716049)</f>
        <v>2716049</v>
      </c>
      <c r="D2508" s="2" t="s">
        <v>8049</v>
      </c>
      <c r="E2508" s="2" t="s">
        <v>8050</v>
      </c>
      <c r="F2508" s="2" t="s">
        <v>8051</v>
      </c>
      <c r="G2508" s="2" t="s">
        <v>824</v>
      </c>
      <c r="H2508" s="2" t="s">
        <v>8052</v>
      </c>
      <c r="I2508" s="2" t="s">
        <v>73</v>
      </c>
      <c r="J2508" s="2" t="s">
        <v>74</v>
      </c>
      <c r="K2508" s="2" t="s">
        <v>38</v>
      </c>
      <c r="L2508" s="2" t="s">
        <v>38</v>
      </c>
      <c r="M2508" s="2" t="s">
        <v>38</v>
      </c>
      <c r="N2508" s="2" t="s">
        <v>38</v>
      </c>
      <c r="O2508" s="2" t="s">
        <v>38</v>
      </c>
      <c r="P2508" s="2" t="s">
        <v>38</v>
      </c>
      <c r="Q2508" s="2" t="s">
        <v>38</v>
      </c>
      <c r="R2508" s="2" t="s">
        <v>38</v>
      </c>
      <c r="S2508" s="2" t="s">
        <v>38</v>
      </c>
      <c r="T2508" s="2" t="s">
        <v>38</v>
      </c>
      <c r="U2508" s="2" t="s">
        <v>38</v>
      </c>
      <c r="V2508" s="2" t="s">
        <v>38</v>
      </c>
      <c r="W2508" s="2" t="s">
        <v>38</v>
      </c>
      <c r="X2508" s="2" t="s">
        <v>38</v>
      </c>
      <c r="Y2508" s="2" t="s">
        <v>38</v>
      </c>
      <c r="Z2508" s="2" t="s">
        <v>38</v>
      </c>
      <c r="AA2508" s="2" t="s">
        <v>38</v>
      </c>
      <c r="AB2508" s="2" t="s">
        <v>38</v>
      </c>
      <c r="AC2508" s="2" t="s">
        <v>38</v>
      </c>
      <c r="AD2508" s="2" t="s">
        <v>38</v>
      </c>
      <c r="AE2508" s="2" t="s">
        <v>40</v>
      </c>
    </row>
    <row r="2509" spans="1:31" ht="409.5">
      <c r="A2509" s="2">
        <v>2716025</v>
      </c>
      <c r="B2509" s="2">
        <f>HYPERLINK("https://platform.v2.vetology.net/cases/2716025/screening-report/1?type=pdf&amp;v=v6&amp;scorecard=1&amp;secret_key=BX%25IJ%24%2F65ieZ%29f6", 2716025)</f>
        <v>2716025</v>
      </c>
      <c r="C2509" s="2">
        <f>HYPERLINK("https://platform.v2.vetology.net/report/v/final/"&amp;2716025, 2716025)</f>
        <v>2716025</v>
      </c>
      <c r="D2509" s="2" t="s">
        <v>8053</v>
      </c>
      <c r="E2509" s="2" t="s">
        <v>8054</v>
      </c>
      <c r="F2509" s="2" t="s">
        <v>8055</v>
      </c>
      <c r="G2509" s="2" t="s">
        <v>824</v>
      </c>
      <c r="H2509" s="2" t="s">
        <v>8056</v>
      </c>
      <c r="I2509" s="2" t="s">
        <v>684</v>
      </c>
      <c r="J2509" s="2" t="s">
        <v>74</v>
      </c>
      <c r="K2509" s="2" t="s">
        <v>39</v>
      </c>
      <c r="L2509" s="2" t="s">
        <v>39</v>
      </c>
      <c r="M2509" s="2" t="s">
        <v>39</v>
      </c>
      <c r="N2509" s="2" t="s">
        <v>39</v>
      </c>
      <c r="O2509" s="2" t="s">
        <v>39</v>
      </c>
      <c r="P2509" s="2" t="s">
        <v>39</v>
      </c>
      <c r="Q2509" s="2" t="s">
        <v>38</v>
      </c>
      <c r="R2509" s="2" t="s">
        <v>39</v>
      </c>
      <c r="S2509" s="2" t="s">
        <v>39</v>
      </c>
      <c r="T2509" s="2" t="s">
        <v>39</v>
      </c>
      <c r="U2509" s="2" t="s">
        <v>39</v>
      </c>
      <c r="V2509" s="2" t="s">
        <v>38</v>
      </c>
      <c r="W2509" s="2" t="s">
        <v>39</v>
      </c>
      <c r="X2509" s="2" t="s">
        <v>38</v>
      </c>
      <c r="Y2509" s="2" t="s">
        <v>39</v>
      </c>
      <c r="Z2509" s="2" t="s">
        <v>39</v>
      </c>
      <c r="AA2509" s="2" t="s">
        <v>39</v>
      </c>
      <c r="AB2509" s="2" t="s">
        <v>38</v>
      </c>
      <c r="AC2509" s="2" t="s">
        <v>39</v>
      </c>
      <c r="AD2509" s="2" t="s">
        <v>39</v>
      </c>
      <c r="AE2509" s="2" t="s">
        <v>39</v>
      </c>
    </row>
    <row r="2510" spans="1:31" ht="409.5">
      <c r="A2510" s="2">
        <v>2715990</v>
      </c>
      <c r="B2510" s="2">
        <f>HYPERLINK("https://platform.v2.vetology.net/cases/2715990/screening-report/1?type=pdf&amp;v=v6&amp;scorecard=1&amp;secret_key=BX%25IJ%24%2F65ieZ%29f6", 2715990)</f>
        <v>2715990</v>
      </c>
      <c r="C2510" s="2">
        <f>HYPERLINK("https://platform.v2.vetology.net/report/v/final/"&amp;2715990, 2715990)</f>
        <v>2715990</v>
      </c>
      <c r="D2510" s="2" t="s">
        <v>8057</v>
      </c>
      <c r="E2510" s="2" t="s">
        <v>4067</v>
      </c>
      <c r="F2510" s="2" t="s">
        <v>356</v>
      </c>
      <c r="G2510" s="2" t="s">
        <v>100</v>
      </c>
      <c r="H2510" s="2" t="s">
        <v>3025</v>
      </c>
      <c r="I2510" s="2" t="s">
        <v>129</v>
      </c>
      <c r="J2510" s="2" t="s">
        <v>74</v>
      </c>
      <c r="K2510" s="2" t="s">
        <v>38</v>
      </c>
      <c r="L2510" s="2" t="s">
        <v>39</v>
      </c>
      <c r="M2510" s="2" t="s">
        <v>38</v>
      </c>
      <c r="N2510" s="2" t="s">
        <v>39</v>
      </c>
      <c r="O2510" s="2" t="s">
        <v>39</v>
      </c>
      <c r="P2510" s="2" t="s">
        <v>39</v>
      </c>
      <c r="Q2510" s="2" t="s">
        <v>38</v>
      </c>
      <c r="R2510" s="2" t="s">
        <v>39</v>
      </c>
      <c r="S2510" s="2" t="s">
        <v>39</v>
      </c>
      <c r="T2510" s="2" t="s">
        <v>39</v>
      </c>
      <c r="U2510" s="2" t="s">
        <v>39</v>
      </c>
      <c r="V2510" s="2" t="s">
        <v>39</v>
      </c>
      <c r="W2510" s="2" t="s">
        <v>39</v>
      </c>
      <c r="X2510" s="2" t="s">
        <v>38</v>
      </c>
      <c r="Y2510" s="2" t="s">
        <v>39</v>
      </c>
      <c r="Z2510" s="2" t="s">
        <v>39</v>
      </c>
      <c r="AA2510" s="2" t="s">
        <v>39</v>
      </c>
      <c r="AB2510" s="2" t="s">
        <v>38</v>
      </c>
      <c r="AC2510" s="2" t="s">
        <v>39</v>
      </c>
      <c r="AD2510" s="2" t="s">
        <v>38</v>
      </c>
      <c r="AE2510" s="2" t="s">
        <v>39</v>
      </c>
    </row>
    <row r="2511" spans="1:31" ht="409.5">
      <c r="A2511" s="2">
        <v>2715932</v>
      </c>
      <c r="B2511" s="2">
        <f>HYPERLINK("https://platform.v2.vetology.net/cases/2715932/screening-report/1?type=pdf&amp;v=v6&amp;scorecard=1&amp;secret_key=BX%25IJ%24%2F65ieZ%29f6", 2715932)</f>
        <v>2715932</v>
      </c>
      <c r="C2511" s="2">
        <f>HYPERLINK("https://platform.v2.vetology.net/report/v/final/"&amp;2715932, 2715932)</f>
        <v>2715932</v>
      </c>
      <c r="D2511" s="2" t="s">
        <v>8058</v>
      </c>
      <c r="E2511" s="2" t="s">
        <v>8059</v>
      </c>
      <c r="F2511" s="2" t="s">
        <v>6419</v>
      </c>
      <c r="G2511" s="2" t="s">
        <v>824</v>
      </c>
      <c r="H2511" s="2" t="s">
        <v>8060</v>
      </c>
      <c r="I2511" s="2" t="s">
        <v>257</v>
      </c>
      <c r="J2511" s="2" t="s">
        <v>74</v>
      </c>
      <c r="K2511" s="2" t="s">
        <v>38</v>
      </c>
      <c r="L2511" s="2" t="s">
        <v>38</v>
      </c>
      <c r="M2511" s="2" t="s">
        <v>38</v>
      </c>
      <c r="N2511" s="2" t="s">
        <v>38</v>
      </c>
      <c r="O2511" s="2" t="s">
        <v>38</v>
      </c>
      <c r="P2511" s="2" t="s">
        <v>38</v>
      </c>
      <c r="Q2511" s="2" t="s">
        <v>38</v>
      </c>
      <c r="R2511" s="2" t="s">
        <v>38</v>
      </c>
      <c r="S2511" s="2" t="s">
        <v>38</v>
      </c>
      <c r="T2511" s="2" t="s">
        <v>38</v>
      </c>
      <c r="U2511" s="2" t="s">
        <v>38</v>
      </c>
      <c r="V2511" s="2" t="s">
        <v>38</v>
      </c>
      <c r="W2511" s="2" t="s">
        <v>38</v>
      </c>
      <c r="X2511" s="2" t="s">
        <v>38</v>
      </c>
      <c r="Y2511" s="2" t="s">
        <v>38</v>
      </c>
      <c r="Z2511" s="2" t="s">
        <v>38</v>
      </c>
      <c r="AA2511" s="2" t="s">
        <v>38</v>
      </c>
      <c r="AB2511" s="2" t="s">
        <v>38</v>
      </c>
      <c r="AC2511" s="2" t="s">
        <v>38</v>
      </c>
      <c r="AD2511" s="2" t="s">
        <v>38</v>
      </c>
      <c r="AE2511" s="2" t="s">
        <v>40</v>
      </c>
    </row>
    <row r="2512" spans="1:31" ht="409.5">
      <c r="A2512" s="2">
        <v>2715913</v>
      </c>
      <c r="B2512" s="2">
        <f>HYPERLINK("https://platform.v2.vetology.net/cases/2715913/screening-report/1?type=pdf&amp;v=v6&amp;scorecard=1&amp;secret_key=BX%25IJ%24%2F65ieZ%29f6", 2715913)</f>
        <v>2715913</v>
      </c>
      <c r="C2512" s="2">
        <f>HYPERLINK("https://platform.v2.vetology.net/report/v/final/"&amp;2715913, 2715913)</f>
        <v>2715913</v>
      </c>
      <c r="D2512" s="2" t="s">
        <v>8061</v>
      </c>
      <c r="E2512" s="2" t="s">
        <v>8062</v>
      </c>
      <c r="F2512" s="2" t="s">
        <v>8063</v>
      </c>
      <c r="G2512" s="2" t="s">
        <v>53</v>
      </c>
      <c r="H2512" s="2" t="s">
        <v>69</v>
      </c>
      <c r="I2512" s="2" t="s">
        <v>46</v>
      </c>
      <c r="J2512" s="2"/>
      <c r="K2512" s="2" t="s">
        <v>39</v>
      </c>
      <c r="L2512" s="2" t="s">
        <v>39</v>
      </c>
      <c r="M2512" s="2" t="s">
        <v>39</v>
      </c>
      <c r="N2512" s="2" t="s">
        <v>39</v>
      </c>
      <c r="O2512" s="2" t="s">
        <v>39</v>
      </c>
      <c r="P2512" s="2" t="s">
        <v>39</v>
      </c>
      <c r="Q2512" s="2" t="s">
        <v>39</v>
      </c>
      <c r="R2512" s="2" t="s">
        <v>39</v>
      </c>
      <c r="S2512" s="2" t="s">
        <v>39</v>
      </c>
      <c r="T2512" s="2" t="s">
        <v>39</v>
      </c>
      <c r="U2512" s="2" t="s">
        <v>39</v>
      </c>
      <c r="V2512" s="2" t="s">
        <v>39</v>
      </c>
      <c r="W2512" s="2" t="s">
        <v>39</v>
      </c>
      <c r="X2512" s="2" t="s">
        <v>39</v>
      </c>
      <c r="Y2512" s="2" t="s">
        <v>39</v>
      </c>
      <c r="Z2512" s="2" t="s">
        <v>39</v>
      </c>
      <c r="AA2512" s="2" t="s">
        <v>39</v>
      </c>
      <c r="AB2512" s="2" t="s">
        <v>39</v>
      </c>
      <c r="AC2512" s="2" t="s">
        <v>38</v>
      </c>
      <c r="AD2512" s="2" t="s">
        <v>39</v>
      </c>
      <c r="AE2512" s="2" t="s">
        <v>39</v>
      </c>
    </row>
    <row r="2513" spans="1:31" ht="409.5">
      <c r="A2513" s="2">
        <v>2715901</v>
      </c>
      <c r="B2513" s="2">
        <f>HYPERLINK("https://platform.v2.vetology.net/cases/2715901/screening-report/1?type=pdf&amp;v=v6&amp;scorecard=1&amp;secret_key=BX%25IJ%24%2F65ieZ%29f6", 2715901)</f>
        <v>2715901</v>
      </c>
      <c r="C2513" s="2">
        <f>HYPERLINK("https://platform.v2.vetology.net/report/v/final/"&amp;2715901, 2715901)</f>
        <v>2715901</v>
      </c>
      <c r="D2513" s="2" t="s">
        <v>8064</v>
      </c>
      <c r="E2513" s="2" t="s">
        <v>8065</v>
      </c>
      <c r="F2513" s="2" t="s">
        <v>8066</v>
      </c>
      <c r="G2513" s="2" t="s">
        <v>127</v>
      </c>
      <c r="H2513" s="2" t="s">
        <v>2323</v>
      </c>
      <c r="I2513" s="2" t="s">
        <v>59</v>
      </c>
      <c r="J2513" s="2" t="s">
        <v>37</v>
      </c>
      <c r="K2513" s="2" t="s">
        <v>38</v>
      </c>
      <c r="L2513" s="2" t="s">
        <v>39</v>
      </c>
      <c r="M2513" s="2" t="s">
        <v>39</v>
      </c>
      <c r="N2513" s="2" t="s">
        <v>39</v>
      </c>
      <c r="O2513" s="2" t="s">
        <v>39</v>
      </c>
      <c r="P2513" s="2" t="s">
        <v>39</v>
      </c>
      <c r="Q2513" s="2" t="s">
        <v>39</v>
      </c>
      <c r="R2513" s="2" t="s">
        <v>38</v>
      </c>
      <c r="S2513" s="2" t="s">
        <v>38</v>
      </c>
      <c r="T2513" s="2" t="s">
        <v>39</v>
      </c>
      <c r="U2513" s="2" t="s">
        <v>38</v>
      </c>
      <c r="V2513" s="2" t="s">
        <v>38</v>
      </c>
      <c r="W2513" s="2" t="s">
        <v>39</v>
      </c>
      <c r="X2513" s="2" t="s">
        <v>39</v>
      </c>
      <c r="Y2513" s="2" t="s">
        <v>39</v>
      </c>
      <c r="Z2513" s="2" t="s">
        <v>38</v>
      </c>
      <c r="AA2513" s="2" t="s">
        <v>39</v>
      </c>
      <c r="AB2513" s="2" t="s">
        <v>39</v>
      </c>
      <c r="AC2513" s="2" t="s">
        <v>38</v>
      </c>
      <c r="AD2513" s="2" t="s">
        <v>38</v>
      </c>
      <c r="AE2513" s="2" t="s">
        <v>39</v>
      </c>
    </row>
    <row r="2514" spans="1:31" ht="409.5">
      <c r="A2514" s="2">
        <v>2715862</v>
      </c>
      <c r="B2514" s="2">
        <f>HYPERLINK("https://platform.v2.vetology.net/cases/2715862/screening-report/1?type=pdf&amp;v=v6&amp;scorecard=1&amp;secret_key=BX%25IJ%24%2F65ieZ%29f6", 2715862)</f>
        <v>2715862</v>
      </c>
      <c r="C2514" s="2">
        <f>HYPERLINK("https://platform.v2.vetology.net/report/v/final/"&amp;2715862, 2715862)</f>
        <v>2715862</v>
      </c>
      <c r="D2514" s="2" t="s">
        <v>8067</v>
      </c>
      <c r="E2514" s="2" t="s">
        <v>8068</v>
      </c>
      <c r="F2514" s="2" t="s">
        <v>8069</v>
      </c>
      <c r="G2514" s="2" t="s">
        <v>53</v>
      </c>
      <c r="H2514" s="2" t="s">
        <v>8070</v>
      </c>
      <c r="I2514" s="2" t="s">
        <v>129</v>
      </c>
      <c r="J2514" s="2" t="s">
        <v>74</v>
      </c>
      <c r="K2514" s="2" t="s">
        <v>38</v>
      </c>
      <c r="L2514" s="2" t="s">
        <v>38</v>
      </c>
      <c r="M2514" s="2" t="s">
        <v>38</v>
      </c>
      <c r="N2514" s="2" t="s">
        <v>38</v>
      </c>
      <c r="O2514" s="2" t="s">
        <v>38</v>
      </c>
      <c r="P2514" s="2" t="s">
        <v>38</v>
      </c>
      <c r="Q2514" s="2" t="s">
        <v>38</v>
      </c>
      <c r="R2514" s="2" t="s">
        <v>38</v>
      </c>
      <c r="S2514" s="2" t="s">
        <v>38</v>
      </c>
      <c r="T2514" s="2" t="s">
        <v>38</v>
      </c>
      <c r="U2514" s="2" t="s">
        <v>39</v>
      </c>
      <c r="V2514" s="2" t="s">
        <v>38</v>
      </c>
      <c r="W2514" s="2" t="s">
        <v>38</v>
      </c>
      <c r="X2514" s="2" t="s">
        <v>38</v>
      </c>
      <c r="Y2514" s="2" t="s">
        <v>38</v>
      </c>
      <c r="Z2514" s="2" t="s">
        <v>38</v>
      </c>
      <c r="AA2514" s="2" t="s">
        <v>38</v>
      </c>
      <c r="AB2514" s="2" t="s">
        <v>38</v>
      </c>
      <c r="AC2514" s="2" t="s">
        <v>38</v>
      </c>
      <c r="AD2514" s="2" t="s">
        <v>39</v>
      </c>
      <c r="AE2514" s="2" t="s">
        <v>39</v>
      </c>
    </row>
    <row r="2515" spans="1:31" ht="409.5">
      <c r="A2515" s="2">
        <v>2715836</v>
      </c>
      <c r="B2515" s="2">
        <f>HYPERLINK("https://platform.v2.vetology.net/cases/2715836/screening-report/1?type=pdf&amp;v=v6&amp;scorecard=1&amp;secret_key=BX%25IJ%24%2F65ieZ%29f6", 2715836)</f>
        <v>2715836</v>
      </c>
      <c r="C2515" s="2">
        <f>HYPERLINK("https://platform.v2.vetology.net/report/v/final/"&amp;2715836, 2715836)</f>
        <v>2715836</v>
      </c>
      <c r="D2515" s="2" t="s">
        <v>8071</v>
      </c>
      <c r="E2515" s="2" t="s">
        <v>8072</v>
      </c>
      <c r="F2515" s="2" t="s">
        <v>8073</v>
      </c>
      <c r="G2515" s="2" t="s">
        <v>53</v>
      </c>
      <c r="H2515" s="2" t="s">
        <v>8074</v>
      </c>
      <c r="I2515" s="2" t="s">
        <v>36</v>
      </c>
      <c r="J2515" s="2" t="s">
        <v>37</v>
      </c>
      <c r="K2515" s="2" t="s">
        <v>38</v>
      </c>
      <c r="L2515" s="2" t="s">
        <v>38</v>
      </c>
      <c r="M2515" s="2" t="s">
        <v>39</v>
      </c>
      <c r="N2515" s="2" t="s">
        <v>38</v>
      </c>
      <c r="O2515" s="2" t="s">
        <v>38</v>
      </c>
      <c r="P2515" s="2" t="s">
        <v>39</v>
      </c>
      <c r="Q2515" s="2" t="s">
        <v>39</v>
      </c>
      <c r="R2515" s="2" t="s">
        <v>38</v>
      </c>
      <c r="S2515" s="2" t="s">
        <v>38</v>
      </c>
      <c r="T2515" s="2" t="s">
        <v>38</v>
      </c>
      <c r="U2515" s="2" t="s">
        <v>38</v>
      </c>
      <c r="V2515" s="2" t="s">
        <v>38</v>
      </c>
      <c r="W2515" s="2" t="s">
        <v>38</v>
      </c>
      <c r="X2515" s="2" t="s">
        <v>39</v>
      </c>
      <c r="Y2515" s="2" t="s">
        <v>38</v>
      </c>
      <c r="Z2515" s="2" t="s">
        <v>38</v>
      </c>
      <c r="AA2515" s="2" t="s">
        <v>38</v>
      </c>
      <c r="AB2515" s="2" t="s">
        <v>39</v>
      </c>
      <c r="AC2515" s="2" t="s">
        <v>38</v>
      </c>
      <c r="AD2515" s="2" t="s">
        <v>38</v>
      </c>
      <c r="AE2515" s="2" t="s">
        <v>39</v>
      </c>
    </row>
    <row r="2516" spans="1:31" ht="409.5">
      <c r="A2516" s="2">
        <v>2715822</v>
      </c>
      <c r="B2516" s="2">
        <f>HYPERLINK("https://platform.v2.vetology.net/cases/2715822/screening-report/1?type=pdf&amp;v=v6&amp;scorecard=1&amp;secret_key=BX%25IJ%24%2F65ieZ%29f6", 2715822)</f>
        <v>2715822</v>
      </c>
      <c r="C2516" s="2">
        <f>HYPERLINK("https://platform.v2.vetology.net/report/v/final/"&amp;2715822, 2715822)</f>
        <v>2715822</v>
      </c>
      <c r="D2516" s="2" t="s">
        <v>8075</v>
      </c>
      <c r="E2516" s="2" t="s">
        <v>8076</v>
      </c>
      <c r="F2516" s="2" t="s">
        <v>8077</v>
      </c>
      <c r="G2516" s="2" t="s">
        <v>53</v>
      </c>
      <c r="H2516" s="2" t="s">
        <v>394</v>
      </c>
      <c r="I2516" s="2" t="s">
        <v>59</v>
      </c>
      <c r="J2516" s="2" t="s">
        <v>37</v>
      </c>
      <c r="K2516" s="2" t="s">
        <v>38</v>
      </c>
      <c r="L2516" s="2" t="s">
        <v>39</v>
      </c>
      <c r="M2516" s="2" t="s">
        <v>39</v>
      </c>
      <c r="N2516" s="2" t="s">
        <v>39</v>
      </c>
      <c r="O2516" s="2" t="s">
        <v>39</v>
      </c>
      <c r="P2516" s="2" t="s">
        <v>39</v>
      </c>
      <c r="Q2516" s="2" t="s">
        <v>39</v>
      </c>
      <c r="R2516" s="2" t="s">
        <v>39</v>
      </c>
      <c r="S2516" s="2" t="s">
        <v>39</v>
      </c>
      <c r="T2516" s="2" t="s">
        <v>39</v>
      </c>
      <c r="U2516" s="2" t="s">
        <v>39</v>
      </c>
      <c r="V2516" s="2" t="s">
        <v>38</v>
      </c>
      <c r="W2516" s="2" t="s">
        <v>39</v>
      </c>
      <c r="X2516" s="2" t="s">
        <v>39</v>
      </c>
      <c r="Y2516" s="2" t="s">
        <v>39</v>
      </c>
      <c r="Z2516" s="2" t="s">
        <v>39</v>
      </c>
      <c r="AA2516" s="2" t="s">
        <v>39</v>
      </c>
      <c r="AB2516" s="2" t="s">
        <v>39</v>
      </c>
      <c r="AC2516" s="2" t="s">
        <v>38</v>
      </c>
      <c r="AD2516" s="2" t="s">
        <v>39</v>
      </c>
      <c r="AE2516" s="2" t="s">
        <v>39</v>
      </c>
    </row>
    <row r="2517" spans="1:31" ht="409.5">
      <c r="A2517" s="2">
        <v>2715817</v>
      </c>
      <c r="B2517" s="2">
        <f>HYPERLINK("https://platform.v2.vetology.net/cases/2715817/screening-report/1?type=pdf&amp;v=v6&amp;scorecard=1&amp;secret_key=BX%25IJ%24%2F65ieZ%29f6", 2715817)</f>
        <v>2715817</v>
      </c>
      <c r="C2517" s="2">
        <f>HYPERLINK("https://platform.v2.vetology.net/report/v/final/"&amp;2715817, 2715817)</f>
        <v>2715817</v>
      </c>
      <c r="D2517" s="2" t="s">
        <v>8078</v>
      </c>
      <c r="E2517" s="2" t="s">
        <v>8079</v>
      </c>
      <c r="F2517" s="2"/>
      <c r="G2517" s="2" t="s">
        <v>81</v>
      </c>
      <c r="H2517" s="2" t="s">
        <v>8080</v>
      </c>
      <c r="I2517" s="2" t="s">
        <v>73</v>
      </c>
      <c r="J2517" s="2" t="s">
        <v>74</v>
      </c>
      <c r="K2517" s="2" t="s">
        <v>38</v>
      </c>
      <c r="L2517" s="2" t="s">
        <v>38</v>
      </c>
      <c r="M2517" s="2" t="s">
        <v>38</v>
      </c>
      <c r="N2517" s="2" t="s">
        <v>38</v>
      </c>
      <c r="O2517" s="2" t="s">
        <v>38</v>
      </c>
      <c r="P2517" s="2" t="s">
        <v>38</v>
      </c>
      <c r="Q2517" s="2" t="s">
        <v>38</v>
      </c>
      <c r="R2517" s="2" t="s">
        <v>38</v>
      </c>
      <c r="S2517" s="2" t="s">
        <v>38</v>
      </c>
      <c r="T2517" s="2" t="s">
        <v>38</v>
      </c>
      <c r="U2517" s="2" t="s">
        <v>39</v>
      </c>
      <c r="V2517" s="2" t="s">
        <v>38</v>
      </c>
      <c r="W2517" s="2" t="s">
        <v>38</v>
      </c>
      <c r="X2517" s="2" t="s">
        <v>38</v>
      </c>
      <c r="Y2517" s="2" t="s">
        <v>39</v>
      </c>
      <c r="Z2517" s="2" t="s">
        <v>38</v>
      </c>
      <c r="AA2517" s="2" t="s">
        <v>38</v>
      </c>
      <c r="AB2517" s="2" t="s">
        <v>38</v>
      </c>
      <c r="AC2517" s="2" t="s">
        <v>38</v>
      </c>
      <c r="AD2517" s="2" t="s">
        <v>38</v>
      </c>
      <c r="AE2517" s="2" t="s">
        <v>40</v>
      </c>
    </row>
    <row r="2518" spans="1:31" ht="409.5">
      <c r="A2518" s="2">
        <v>2715815</v>
      </c>
      <c r="B2518" s="2">
        <f>HYPERLINK("https://platform.v2.vetology.net/cases/2715815/screening-report/1?type=pdf&amp;v=v6&amp;scorecard=1&amp;secret_key=BX%25IJ%24%2F65ieZ%29f6", 2715815)</f>
        <v>2715815</v>
      </c>
      <c r="C2518" s="2">
        <f>HYPERLINK("https://platform.v2.vetology.net/report/v/final/"&amp;2715815, 2715815)</f>
        <v>2715815</v>
      </c>
      <c r="D2518" s="2" t="s">
        <v>8081</v>
      </c>
      <c r="E2518" s="2" t="s">
        <v>8082</v>
      </c>
      <c r="F2518" s="2" t="s">
        <v>8083</v>
      </c>
      <c r="G2518" s="2" t="s">
        <v>111</v>
      </c>
      <c r="H2518" s="2" t="s">
        <v>8084</v>
      </c>
      <c r="I2518" s="2" t="s">
        <v>36</v>
      </c>
      <c r="J2518" s="2" t="s">
        <v>37</v>
      </c>
      <c r="K2518" s="2" t="s">
        <v>38</v>
      </c>
      <c r="L2518" s="2" t="s">
        <v>38</v>
      </c>
      <c r="M2518" s="2" t="s">
        <v>38</v>
      </c>
      <c r="N2518" s="2" t="s">
        <v>38</v>
      </c>
      <c r="O2518" s="2" t="s">
        <v>38</v>
      </c>
      <c r="P2518" s="2" t="s">
        <v>38</v>
      </c>
      <c r="Q2518" s="2" t="s">
        <v>39</v>
      </c>
      <c r="R2518" s="2" t="s">
        <v>38</v>
      </c>
      <c r="S2518" s="2" t="s">
        <v>38</v>
      </c>
      <c r="T2518" s="2" t="s">
        <v>38</v>
      </c>
      <c r="U2518" s="2" t="s">
        <v>38</v>
      </c>
      <c r="V2518" s="2" t="s">
        <v>38</v>
      </c>
      <c r="W2518" s="2" t="s">
        <v>38</v>
      </c>
      <c r="X2518" s="2" t="s">
        <v>38</v>
      </c>
      <c r="Y2518" s="2" t="s">
        <v>39</v>
      </c>
      <c r="Z2518" s="2" t="s">
        <v>38</v>
      </c>
      <c r="AA2518" s="2" t="s">
        <v>38</v>
      </c>
      <c r="AB2518" s="2" t="s">
        <v>39</v>
      </c>
      <c r="AC2518" s="2" t="s">
        <v>38</v>
      </c>
      <c r="AD2518" s="2" t="s">
        <v>38</v>
      </c>
      <c r="AE2518" s="2" t="s">
        <v>39</v>
      </c>
    </row>
    <row r="2519" spans="1:31" ht="409.5">
      <c r="A2519" s="2">
        <v>2715800</v>
      </c>
      <c r="B2519" s="2">
        <f>HYPERLINK("https://platform.v2.vetology.net/cases/2715800/screening-report/1?type=pdf&amp;v=v6&amp;scorecard=1&amp;secret_key=BX%25IJ%24%2F65ieZ%29f6", 2715800)</f>
        <v>2715800</v>
      </c>
      <c r="C2519" s="2">
        <f>HYPERLINK("https://platform.v2.vetology.net/report/v/final/"&amp;2715800, 2715800)</f>
        <v>2715800</v>
      </c>
      <c r="D2519" s="2" t="s">
        <v>8085</v>
      </c>
      <c r="E2519" s="2" t="s">
        <v>8086</v>
      </c>
      <c r="F2519" s="2" t="s">
        <v>8087</v>
      </c>
      <c r="G2519" s="2" t="s">
        <v>111</v>
      </c>
      <c r="H2519" s="2" t="s">
        <v>398</v>
      </c>
      <c r="I2519" s="2" t="s">
        <v>46</v>
      </c>
      <c r="J2519" s="2"/>
      <c r="K2519" s="2" t="s">
        <v>38</v>
      </c>
      <c r="L2519" s="2" t="s">
        <v>39</v>
      </c>
      <c r="M2519" s="2" t="s">
        <v>39</v>
      </c>
      <c r="N2519" s="2" t="s">
        <v>39</v>
      </c>
      <c r="O2519" s="2" t="s">
        <v>39</v>
      </c>
      <c r="P2519" s="2" t="s">
        <v>39</v>
      </c>
      <c r="Q2519" s="2" t="s">
        <v>39</v>
      </c>
      <c r="R2519" s="2" t="s">
        <v>39</v>
      </c>
      <c r="S2519" s="2" t="s">
        <v>39</v>
      </c>
      <c r="T2519" s="2" t="s">
        <v>39</v>
      </c>
      <c r="U2519" s="2" t="s">
        <v>39</v>
      </c>
      <c r="V2519" s="2" t="s">
        <v>39</v>
      </c>
      <c r="W2519" s="2" t="s">
        <v>39</v>
      </c>
      <c r="X2519" s="2" t="s">
        <v>39</v>
      </c>
      <c r="Y2519" s="2" t="s">
        <v>39</v>
      </c>
      <c r="Z2519" s="2" t="s">
        <v>39</v>
      </c>
      <c r="AA2519" s="2" t="s">
        <v>39</v>
      </c>
      <c r="AB2519" s="2" t="s">
        <v>39</v>
      </c>
      <c r="AC2519" s="2" t="s">
        <v>39</v>
      </c>
      <c r="AD2519" s="2" t="s">
        <v>39</v>
      </c>
      <c r="AE2519" s="2" t="s">
        <v>39</v>
      </c>
    </row>
    <row r="2520" spans="1:31" ht="409.5">
      <c r="A2520" s="2">
        <v>2715735</v>
      </c>
      <c r="B2520" s="2">
        <f>HYPERLINK("https://platform.v2.vetology.net/cases/2715735/screening-report/1?type=pdf&amp;v=v6&amp;scorecard=1&amp;secret_key=BX%25IJ%24%2F65ieZ%29f6", 2715735)</f>
        <v>2715735</v>
      </c>
      <c r="C2520" s="2">
        <f>HYPERLINK("https://platform.v2.vetology.net/report/v/final/"&amp;2715735, 2715735)</f>
        <v>2715735</v>
      </c>
      <c r="D2520" s="2" t="s">
        <v>8088</v>
      </c>
      <c r="E2520" s="2" t="s">
        <v>8089</v>
      </c>
      <c r="F2520" s="2" t="s">
        <v>43</v>
      </c>
      <c r="G2520" s="2" t="s">
        <v>507</v>
      </c>
      <c r="H2520" s="2" t="s">
        <v>530</v>
      </c>
      <c r="I2520" s="2" t="s">
        <v>59</v>
      </c>
      <c r="J2520" s="2" t="s">
        <v>37</v>
      </c>
      <c r="K2520" s="2" t="s">
        <v>38</v>
      </c>
      <c r="L2520" s="2" t="s">
        <v>39</v>
      </c>
      <c r="M2520" s="2" t="s">
        <v>39</v>
      </c>
      <c r="N2520" s="2" t="s">
        <v>39</v>
      </c>
      <c r="O2520" s="2" t="s">
        <v>39</v>
      </c>
      <c r="P2520" s="2" t="s">
        <v>39</v>
      </c>
      <c r="Q2520" s="2" t="s">
        <v>39</v>
      </c>
      <c r="R2520" s="2" t="s">
        <v>39</v>
      </c>
      <c r="S2520" s="2" t="s">
        <v>39</v>
      </c>
      <c r="T2520" s="2" t="s">
        <v>39</v>
      </c>
      <c r="U2520" s="2" t="s">
        <v>38</v>
      </c>
      <c r="V2520" s="2" t="s">
        <v>38</v>
      </c>
      <c r="W2520" s="2" t="s">
        <v>39</v>
      </c>
      <c r="X2520" s="2" t="s">
        <v>39</v>
      </c>
      <c r="Y2520" s="2" t="s">
        <v>39</v>
      </c>
      <c r="Z2520" s="2" t="s">
        <v>39</v>
      </c>
      <c r="AA2520" s="2" t="s">
        <v>39</v>
      </c>
      <c r="AB2520" s="2" t="s">
        <v>39</v>
      </c>
      <c r="AC2520" s="2" t="s">
        <v>39</v>
      </c>
      <c r="AD2520" s="2" t="s">
        <v>39</v>
      </c>
      <c r="AE2520" s="2" t="s">
        <v>39</v>
      </c>
    </row>
    <row r="2521" spans="1:31" ht="409.5">
      <c r="A2521" s="2">
        <v>2715717</v>
      </c>
      <c r="B2521" s="2">
        <f>HYPERLINK("https://platform.v2.vetology.net/cases/2715717/screening-report/1?type=pdf&amp;v=v6&amp;scorecard=1&amp;secret_key=BX%25IJ%24%2F65ieZ%29f6", 2715717)</f>
        <v>2715717</v>
      </c>
      <c r="C2521" s="2">
        <f>HYPERLINK("https://platform.v2.vetology.net/report/v/final/"&amp;2715717, 2715717)</f>
        <v>2715717</v>
      </c>
      <c r="D2521" s="2" t="s">
        <v>8090</v>
      </c>
      <c r="E2521" s="2" t="s">
        <v>8091</v>
      </c>
      <c r="F2521" s="2" t="s">
        <v>8092</v>
      </c>
      <c r="G2521" s="2" t="s">
        <v>111</v>
      </c>
      <c r="H2521" s="2" t="s">
        <v>8093</v>
      </c>
      <c r="I2521" s="2" t="s">
        <v>129</v>
      </c>
      <c r="J2521" s="2" t="s">
        <v>74</v>
      </c>
      <c r="K2521" s="2" t="s">
        <v>39</v>
      </c>
      <c r="L2521" s="2" t="s">
        <v>39</v>
      </c>
      <c r="M2521" s="2" t="s">
        <v>38</v>
      </c>
      <c r="N2521" s="2" t="s">
        <v>39</v>
      </c>
      <c r="O2521" s="2" t="s">
        <v>38</v>
      </c>
      <c r="P2521" s="2" t="s">
        <v>39</v>
      </c>
      <c r="Q2521" s="2" t="s">
        <v>38</v>
      </c>
      <c r="R2521" s="2" t="s">
        <v>38</v>
      </c>
      <c r="S2521" s="2" t="s">
        <v>38</v>
      </c>
      <c r="T2521" s="2" t="s">
        <v>38</v>
      </c>
      <c r="U2521" s="2" t="s">
        <v>39</v>
      </c>
      <c r="V2521" s="2" t="s">
        <v>39</v>
      </c>
      <c r="W2521" s="2" t="s">
        <v>38</v>
      </c>
      <c r="X2521" s="2" t="s">
        <v>38</v>
      </c>
      <c r="Y2521" s="2" t="s">
        <v>39</v>
      </c>
      <c r="Z2521" s="2" t="s">
        <v>38</v>
      </c>
      <c r="AA2521" s="2" t="s">
        <v>38</v>
      </c>
      <c r="AB2521" s="2" t="s">
        <v>38</v>
      </c>
      <c r="AC2521" s="2" t="s">
        <v>39</v>
      </c>
      <c r="AD2521" s="2" t="s">
        <v>39</v>
      </c>
      <c r="AE2521" s="2" t="s">
        <v>40</v>
      </c>
    </row>
    <row r="2522" spans="1:31" ht="409.5">
      <c r="A2522" s="2">
        <v>2715682</v>
      </c>
      <c r="B2522" s="2">
        <f>HYPERLINK("https://platform.v2.vetology.net/cases/2715682/screening-report/1?type=pdf&amp;v=v6&amp;scorecard=1&amp;secret_key=BX%25IJ%24%2F65ieZ%29f6", 2715682)</f>
        <v>2715682</v>
      </c>
      <c r="C2522" s="2">
        <f>HYPERLINK("https://platform.v2.vetology.net/report/v/final/"&amp;2715682, 2715682)</f>
        <v>2715682</v>
      </c>
      <c r="D2522" s="2" t="s">
        <v>8094</v>
      </c>
      <c r="E2522" s="2" t="s">
        <v>8095</v>
      </c>
      <c r="F2522" s="2" t="s">
        <v>8096</v>
      </c>
      <c r="G2522" s="2" t="s">
        <v>8097</v>
      </c>
      <c r="H2522" s="2" t="s">
        <v>8098</v>
      </c>
      <c r="I2522" s="2" t="s">
        <v>73</v>
      </c>
      <c r="J2522" s="2" t="s">
        <v>74</v>
      </c>
      <c r="K2522" s="2" t="s">
        <v>38</v>
      </c>
      <c r="L2522" s="2" t="s">
        <v>38</v>
      </c>
      <c r="M2522" s="2" t="s">
        <v>38</v>
      </c>
      <c r="N2522" s="2" t="s">
        <v>38</v>
      </c>
      <c r="O2522" s="2" t="s">
        <v>39</v>
      </c>
      <c r="P2522" s="2" t="s">
        <v>38</v>
      </c>
      <c r="Q2522" s="2" t="s">
        <v>38</v>
      </c>
      <c r="R2522" s="2" t="s">
        <v>38</v>
      </c>
      <c r="S2522" s="2" t="s">
        <v>38</v>
      </c>
      <c r="T2522" s="2" t="s">
        <v>38</v>
      </c>
      <c r="U2522" s="2" t="s">
        <v>38</v>
      </c>
      <c r="V2522" s="2" t="s">
        <v>38</v>
      </c>
      <c r="W2522" s="2" t="s">
        <v>38</v>
      </c>
      <c r="X2522" s="2" t="s">
        <v>38</v>
      </c>
      <c r="Y2522" s="2" t="s">
        <v>38</v>
      </c>
      <c r="Z2522" s="2" t="s">
        <v>38</v>
      </c>
      <c r="AA2522" s="2" t="s">
        <v>38</v>
      </c>
      <c r="AB2522" s="2" t="s">
        <v>38</v>
      </c>
      <c r="AC2522" s="2" t="s">
        <v>38</v>
      </c>
      <c r="AD2522" s="2" t="s">
        <v>38</v>
      </c>
      <c r="AE2522" s="2" t="s">
        <v>40</v>
      </c>
    </row>
    <row r="2523" spans="1:31" ht="409.5">
      <c r="A2523" s="2">
        <v>2715669</v>
      </c>
      <c r="B2523" s="2">
        <f>HYPERLINK("https://platform.v2.vetology.net/cases/2715669/screening-report/1?type=pdf&amp;v=v6&amp;scorecard=1&amp;secret_key=BX%25IJ%24%2F65ieZ%29f6", 2715669)</f>
        <v>2715669</v>
      </c>
      <c r="C2523" s="2">
        <f>HYPERLINK("https://platform.v2.vetology.net/report/v/final/"&amp;2715669, 2715669)</f>
        <v>2715669</v>
      </c>
      <c r="D2523" s="2" t="s">
        <v>8099</v>
      </c>
      <c r="E2523" s="2" t="s">
        <v>8100</v>
      </c>
      <c r="F2523" s="2" t="s">
        <v>8101</v>
      </c>
      <c r="G2523" s="2" t="s">
        <v>111</v>
      </c>
      <c r="H2523" s="2" t="s">
        <v>8102</v>
      </c>
      <c r="I2523" s="2" t="s">
        <v>257</v>
      </c>
      <c r="J2523" s="2" t="s">
        <v>74</v>
      </c>
      <c r="K2523" s="2" t="s">
        <v>38</v>
      </c>
      <c r="L2523" s="2" t="s">
        <v>38</v>
      </c>
      <c r="M2523" s="2" t="s">
        <v>38</v>
      </c>
      <c r="N2523" s="2" t="s">
        <v>38</v>
      </c>
      <c r="O2523" s="2" t="s">
        <v>38</v>
      </c>
      <c r="P2523" s="2" t="s">
        <v>38</v>
      </c>
      <c r="Q2523" s="2" t="s">
        <v>38</v>
      </c>
      <c r="R2523" s="2" t="s">
        <v>38</v>
      </c>
      <c r="S2523" s="2" t="s">
        <v>38</v>
      </c>
      <c r="T2523" s="2" t="s">
        <v>38</v>
      </c>
      <c r="U2523" s="2" t="s">
        <v>38</v>
      </c>
      <c r="V2523" s="2" t="s">
        <v>38</v>
      </c>
      <c r="W2523" s="2" t="s">
        <v>38</v>
      </c>
      <c r="X2523" s="2" t="s">
        <v>38</v>
      </c>
      <c r="Y2523" s="2" t="s">
        <v>38</v>
      </c>
      <c r="Z2523" s="2" t="s">
        <v>38</v>
      </c>
      <c r="AA2523" s="2" t="s">
        <v>38</v>
      </c>
      <c r="AB2523" s="2" t="s">
        <v>38</v>
      </c>
      <c r="AC2523" s="2" t="s">
        <v>38</v>
      </c>
      <c r="AD2523" s="2" t="s">
        <v>38</v>
      </c>
      <c r="AE2523" s="2" t="s">
        <v>40</v>
      </c>
    </row>
    <row r="2524" spans="1:31" ht="409.5">
      <c r="A2524" s="2">
        <v>2715653</v>
      </c>
      <c r="B2524" s="2">
        <f>HYPERLINK("https://platform.v2.vetology.net/cases/2715653/screening-report/1?type=pdf&amp;v=v6&amp;scorecard=1&amp;secret_key=BX%25IJ%24%2F65ieZ%29f6", 2715653)</f>
        <v>2715653</v>
      </c>
      <c r="C2524" s="2">
        <f>HYPERLINK("https://platform.v2.vetology.net/report/v/final/"&amp;2715653, 2715653)</f>
        <v>2715653</v>
      </c>
      <c r="D2524" s="2" t="s">
        <v>8103</v>
      </c>
      <c r="E2524" s="2" t="s">
        <v>8104</v>
      </c>
      <c r="F2524" s="2"/>
      <c r="G2524" s="2" t="s">
        <v>507</v>
      </c>
      <c r="H2524" s="2" t="s">
        <v>7260</v>
      </c>
      <c r="I2524" s="2" t="s">
        <v>36</v>
      </c>
      <c r="J2524" s="2" t="s">
        <v>37</v>
      </c>
      <c r="K2524" s="2" t="s">
        <v>38</v>
      </c>
      <c r="L2524" s="2" t="s">
        <v>38</v>
      </c>
      <c r="M2524" s="2" t="s">
        <v>38</v>
      </c>
      <c r="N2524" s="2" t="s">
        <v>39</v>
      </c>
      <c r="O2524" s="2" t="s">
        <v>38</v>
      </c>
      <c r="P2524" s="2" t="s">
        <v>39</v>
      </c>
      <c r="Q2524" s="2" t="s">
        <v>39</v>
      </c>
      <c r="R2524" s="2" t="s">
        <v>38</v>
      </c>
      <c r="S2524" s="2" t="s">
        <v>38</v>
      </c>
      <c r="T2524" s="2" t="s">
        <v>39</v>
      </c>
      <c r="U2524" s="2" t="s">
        <v>38</v>
      </c>
      <c r="V2524" s="2" t="s">
        <v>38</v>
      </c>
      <c r="W2524" s="2" t="s">
        <v>38</v>
      </c>
      <c r="X2524" s="2" t="s">
        <v>39</v>
      </c>
      <c r="Y2524" s="2" t="s">
        <v>39</v>
      </c>
      <c r="Z2524" s="2" t="s">
        <v>38</v>
      </c>
      <c r="AA2524" s="2" t="s">
        <v>38</v>
      </c>
      <c r="AB2524" s="2" t="s">
        <v>39</v>
      </c>
      <c r="AC2524" s="2" t="s">
        <v>38</v>
      </c>
      <c r="AD2524" s="2" t="s">
        <v>39</v>
      </c>
      <c r="AE2524" s="2" t="s">
        <v>40</v>
      </c>
    </row>
    <row r="2525" spans="1:31" ht="409.5">
      <c r="A2525" s="2">
        <v>2715617</v>
      </c>
      <c r="B2525" s="2">
        <f>HYPERLINK("https://platform.v2.vetology.net/cases/2715617/screening-report/1?type=pdf&amp;v=v6&amp;scorecard=1&amp;secret_key=BX%25IJ%24%2F65ieZ%29f6", 2715617)</f>
        <v>2715617</v>
      </c>
      <c r="C2525" s="2">
        <f>HYPERLINK("https://platform.v2.vetology.net/report/v/final/"&amp;2715617, 2715617)</f>
        <v>2715617</v>
      </c>
      <c r="D2525" s="2" t="s">
        <v>8105</v>
      </c>
      <c r="E2525" s="2" t="s">
        <v>8106</v>
      </c>
      <c r="F2525" s="2" t="s">
        <v>43</v>
      </c>
      <c r="G2525" s="2" t="s">
        <v>507</v>
      </c>
      <c r="H2525" s="2" t="s">
        <v>62</v>
      </c>
      <c r="I2525" s="2" t="s">
        <v>46</v>
      </c>
      <c r="J2525" s="2"/>
      <c r="K2525" s="2" t="s">
        <v>39</v>
      </c>
      <c r="L2525" s="2" t="s">
        <v>39</v>
      </c>
      <c r="M2525" s="2" t="s">
        <v>39</v>
      </c>
      <c r="N2525" s="2" t="s">
        <v>39</v>
      </c>
      <c r="O2525" s="2" t="s">
        <v>39</v>
      </c>
      <c r="P2525" s="2" t="s">
        <v>39</v>
      </c>
      <c r="Q2525" s="2" t="s">
        <v>39</v>
      </c>
      <c r="R2525" s="2" t="s">
        <v>38</v>
      </c>
      <c r="S2525" s="2" t="s">
        <v>38</v>
      </c>
      <c r="T2525" s="2" t="s">
        <v>39</v>
      </c>
      <c r="U2525" s="2" t="s">
        <v>39</v>
      </c>
      <c r="V2525" s="2" t="s">
        <v>39</v>
      </c>
      <c r="W2525" s="2" t="s">
        <v>39</v>
      </c>
      <c r="X2525" s="2" t="s">
        <v>39</v>
      </c>
      <c r="Y2525" s="2" t="s">
        <v>39</v>
      </c>
      <c r="Z2525" s="2" t="s">
        <v>39</v>
      </c>
      <c r="AA2525" s="2" t="s">
        <v>39</v>
      </c>
      <c r="AB2525" s="2" t="s">
        <v>39</v>
      </c>
      <c r="AC2525" s="2" t="s">
        <v>38</v>
      </c>
      <c r="AD2525" s="2" t="s">
        <v>38</v>
      </c>
      <c r="AE2525" s="2" t="s">
        <v>39</v>
      </c>
    </row>
    <row r="2526" spans="1:31" ht="409.5">
      <c r="A2526" s="2">
        <v>2715601</v>
      </c>
      <c r="B2526" s="2">
        <f>HYPERLINK("https://platform.v2.vetology.net/cases/2715601/screening-report/1?type=pdf&amp;v=v6&amp;scorecard=1&amp;secret_key=BX%25IJ%24%2F65ieZ%29f6", 2715601)</f>
        <v>2715601</v>
      </c>
      <c r="C2526" s="2">
        <f>HYPERLINK("https://platform.v2.vetology.net/report/v/final/"&amp;2715601, 2715601)</f>
        <v>2715601</v>
      </c>
      <c r="D2526" s="2" t="s">
        <v>8107</v>
      </c>
      <c r="E2526" s="2" t="s">
        <v>8108</v>
      </c>
      <c r="F2526" s="2" t="s">
        <v>43</v>
      </c>
      <c r="G2526" s="2" t="s">
        <v>507</v>
      </c>
      <c r="H2526" s="2" t="s">
        <v>8109</v>
      </c>
      <c r="I2526" s="2" t="s">
        <v>36</v>
      </c>
      <c r="J2526" s="2" t="s">
        <v>37</v>
      </c>
      <c r="K2526" s="2" t="s">
        <v>38</v>
      </c>
      <c r="L2526" s="2" t="s">
        <v>38</v>
      </c>
      <c r="M2526" s="2" t="s">
        <v>39</v>
      </c>
      <c r="N2526" s="2" t="s">
        <v>38</v>
      </c>
      <c r="O2526" s="2" t="s">
        <v>38</v>
      </c>
      <c r="P2526" s="2" t="s">
        <v>39</v>
      </c>
      <c r="Q2526" s="2" t="s">
        <v>39</v>
      </c>
      <c r="R2526" s="2" t="s">
        <v>38</v>
      </c>
      <c r="S2526" s="2" t="s">
        <v>38</v>
      </c>
      <c r="T2526" s="2" t="s">
        <v>38</v>
      </c>
      <c r="U2526" s="2" t="s">
        <v>38</v>
      </c>
      <c r="V2526" s="2" t="s">
        <v>38</v>
      </c>
      <c r="W2526" s="2" t="s">
        <v>38</v>
      </c>
      <c r="X2526" s="2" t="s">
        <v>39</v>
      </c>
      <c r="Y2526" s="2" t="s">
        <v>38</v>
      </c>
      <c r="Z2526" s="2" t="s">
        <v>38</v>
      </c>
      <c r="AA2526" s="2" t="s">
        <v>38</v>
      </c>
      <c r="AB2526" s="2" t="s">
        <v>39</v>
      </c>
      <c r="AC2526" s="2" t="s">
        <v>38</v>
      </c>
      <c r="AD2526" s="2" t="s">
        <v>38</v>
      </c>
      <c r="AE2526" s="2" t="s">
        <v>39</v>
      </c>
    </row>
    <row r="2527" spans="1:31" ht="409.5">
      <c r="A2527" s="2">
        <v>2715583</v>
      </c>
      <c r="B2527" s="2">
        <f>HYPERLINK("https://platform.v2.vetology.net/cases/2715583/screening-report/1?type=pdf&amp;v=v6&amp;scorecard=1&amp;secret_key=BX%25IJ%24%2F65ieZ%29f6", 2715583)</f>
        <v>2715583</v>
      </c>
      <c r="C2527" s="2">
        <f>HYPERLINK("https://platform.v2.vetology.net/report/v/final/"&amp;2715583, 2715583)</f>
        <v>2715583</v>
      </c>
      <c r="D2527" s="2" t="s">
        <v>8110</v>
      </c>
      <c r="E2527" s="2" t="s">
        <v>8111</v>
      </c>
      <c r="F2527" s="2" t="s">
        <v>1354</v>
      </c>
      <c r="G2527" s="2" t="s">
        <v>111</v>
      </c>
      <c r="H2527" s="2" t="s">
        <v>8112</v>
      </c>
      <c r="I2527" s="2" t="s">
        <v>73</v>
      </c>
      <c r="J2527" s="2" t="s">
        <v>74</v>
      </c>
      <c r="K2527" s="2" t="s">
        <v>38</v>
      </c>
      <c r="L2527" s="2" t="s">
        <v>38</v>
      </c>
      <c r="M2527" s="2" t="s">
        <v>38</v>
      </c>
      <c r="N2527" s="2" t="s">
        <v>38</v>
      </c>
      <c r="O2527" s="2" t="s">
        <v>38</v>
      </c>
      <c r="P2527" s="2" t="s">
        <v>38</v>
      </c>
      <c r="Q2527" s="2" t="s">
        <v>38</v>
      </c>
      <c r="R2527" s="2" t="s">
        <v>38</v>
      </c>
      <c r="S2527" s="2" t="s">
        <v>38</v>
      </c>
      <c r="T2527" s="2" t="s">
        <v>38</v>
      </c>
      <c r="U2527" s="2" t="s">
        <v>38</v>
      </c>
      <c r="V2527" s="2" t="s">
        <v>38</v>
      </c>
      <c r="W2527" s="2" t="s">
        <v>38</v>
      </c>
      <c r="X2527" s="2" t="s">
        <v>38</v>
      </c>
      <c r="Y2527" s="2" t="s">
        <v>38</v>
      </c>
      <c r="Z2527" s="2" t="s">
        <v>38</v>
      </c>
      <c r="AA2527" s="2" t="s">
        <v>38</v>
      </c>
      <c r="AB2527" s="2" t="s">
        <v>38</v>
      </c>
      <c r="AC2527" s="2" t="s">
        <v>38</v>
      </c>
      <c r="AD2527" s="2" t="s">
        <v>38</v>
      </c>
      <c r="AE2527" s="2" t="s">
        <v>40</v>
      </c>
    </row>
    <row r="2528" spans="1:31" ht="409.5">
      <c r="A2528" s="2">
        <v>2715520</v>
      </c>
      <c r="B2528" s="2">
        <f>HYPERLINK("https://platform.v2.vetology.net/cases/2715520/screening-report/1?type=pdf&amp;v=v6&amp;scorecard=1&amp;secret_key=BX%25IJ%24%2F65ieZ%29f6", 2715520)</f>
        <v>2715520</v>
      </c>
      <c r="C2528" s="2">
        <f>HYPERLINK("https://platform.v2.vetology.net/report/v/final/"&amp;2715520, 2715520)</f>
        <v>2715520</v>
      </c>
      <c r="D2528" s="2" t="s">
        <v>8113</v>
      </c>
      <c r="E2528" s="2" t="s">
        <v>8114</v>
      </c>
      <c r="F2528" s="2" t="s">
        <v>8115</v>
      </c>
      <c r="G2528" s="2" t="s">
        <v>170</v>
      </c>
      <c r="H2528" s="2" t="s">
        <v>1420</v>
      </c>
      <c r="I2528" s="2" t="s">
        <v>36</v>
      </c>
      <c r="J2528" s="2" t="s">
        <v>37</v>
      </c>
      <c r="K2528" s="2" t="s">
        <v>38</v>
      </c>
      <c r="L2528" s="2" t="s">
        <v>38</v>
      </c>
      <c r="M2528" s="2" t="s">
        <v>39</v>
      </c>
      <c r="N2528" s="2" t="s">
        <v>39</v>
      </c>
      <c r="O2528" s="2" t="s">
        <v>38</v>
      </c>
      <c r="P2528" s="2" t="s">
        <v>39</v>
      </c>
      <c r="Q2528" s="2" t="s">
        <v>39</v>
      </c>
      <c r="R2528" s="2" t="s">
        <v>39</v>
      </c>
      <c r="S2528" s="2" t="s">
        <v>39</v>
      </c>
      <c r="T2528" s="2" t="s">
        <v>39</v>
      </c>
      <c r="U2528" s="2" t="s">
        <v>38</v>
      </c>
      <c r="V2528" s="2" t="s">
        <v>38</v>
      </c>
      <c r="W2528" s="2" t="s">
        <v>38</v>
      </c>
      <c r="X2528" s="2" t="s">
        <v>39</v>
      </c>
      <c r="Y2528" s="2" t="s">
        <v>39</v>
      </c>
      <c r="Z2528" s="2" t="s">
        <v>38</v>
      </c>
      <c r="AA2528" s="2" t="s">
        <v>39</v>
      </c>
      <c r="AB2528" s="2" t="s">
        <v>39</v>
      </c>
      <c r="AC2528" s="2" t="s">
        <v>38</v>
      </c>
      <c r="AD2528" s="2" t="s">
        <v>38</v>
      </c>
      <c r="AE2528" s="2" t="s">
        <v>40</v>
      </c>
    </row>
    <row r="2529" spans="1:31" ht="409.5">
      <c r="A2529" s="2">
        <v>2715513</v>
      </c>
      <c r="B2529" s="2">
        <f>HYPERLINK("https://platform.v2.vetology.net/cases/2715513/screening-report/1?type=pdf&amp;v=v6&amp;scorecard=1&amp;secret_key=BX%25IJ%24%2F65ieZ%29f6", 2715513)</f>
        <v>2715513</v>
      </c>
      <c r="C2529" s="2">
        <f>HYPERLINK("https://platform.v2.vetology.net/report/v/final/"&amp;2715513, 2715513)</f>
        <v>2715513</v>
      </c>
      <c r="D2529" s="2" t="s">
        <v>8116</v>
      </c>
      <c r="E2529" s="2" t="s">
        <v>8117</v>
      </c>
      <c r="F2529" s="2" t="s">
        <v>8118</v>
      </c>
      <c r="G2529" s="2" t="s">
        <v>53</v>
      </c>
      <c r="H2529" s="2" t="s">
        <v>201</v>
      </c>
      <c r="I2529" s="2" t="s">
        <v>36</v>
      </c>
      <c r="J2529" s="2" t="s">
        <v>37</v>
      </c>
      <c r="K2529" s="2" t="s">
        <v>39</v>
      </c>
      <c r="L2529" s="2" t="s">
        <v>39</v>
      </c>
      <c r="M2529" s="2" t="s">
        <v>38</v>
      </c>
      <c r="N2529" s="2" t="s">
        <v>38</v>
      </c>
      <c r="O2529" s="2" t="s">
        <v>38</v>
      </c>
      <c r="P2529" s="2" t="s">
        <v>39</v>
      </c>
      <c r="Q2529" s="2" t="s">
        <v>39</v>
      </c>
      <c r="R2529" s="2" t="s">
        <v>39</v>
      </c>
      <c r="S2529" s="2" t="s">
        <v>39</v>
      </c>
      <c r="T2529" s="2" t="s">
        <v>39</v>
      </c>
      <c r="U2529" s="2" t="s">
        <v>39</v>
      </c>
      <c r="V2529" s="2" t="s">
        <v>39</v>
      </c>
      <c r="W2529" s="2" t="s">
        <v>38</v>
      </c>
      <c r="X2529" s="2" t="s">
        <v>39</v>
      </c>
      <c r="Y2529" s="2" t="s">
        <v>39</v>
      </c>
      <c r="Z2529" s="2" t="s">
        <v>38</v>
      </c>
      <c r="AA2529" s="2" t="s">
        <v>39</v>
      </c>
      <c r="AB2529" s="2" t="s">
        <v>39</v>
      </c>
      <c r="AC2529" s="2" t="s">
        <v>38</v>
      </c>
      <c r="AD2529" s="2" t="s">
        <v>38</v>
      </c>
      <c r="AE2529" s="2" t="s">
        <v>39</v>
      </c>
    </row>
    <row r="2530" spans="1:31" ht="409.5">
      <c r="A2530" s="2">
        <v>2715503</v>
      </c>
      <c r="B2530" s="2">
        <f>HYPERLINK("https://platform.v2.vetology.net/cases/2715503/screening-report/1?type=pdf&amp;v=v6&amp;scorecard=1&amp;secret_key=BX%25IJ%24%2F65ieZ%29f6", 2715503)</f>
        <v>2715503</v>
      </c>
      <c r="C2530" s="2">
        <f>HYPERLINK("https://platform.v2.vetology.net/report/v/final/"&amp;2715503, 2715503)</f>
        <v>2715503</v>
      </c>
      <c r="D2530" s="2" t="s">
        <v>8119</v>
      </c>
      <c r="E2530" s="2" t="s">
        <v>8120</v>
      </c>
      <c r="F2530" s="2" t="s">
        <v>3177</v>
      </c>
      <c r="G2530" s="2" t="s">
        <v>111</v>
      </c>
      <c r="H2530" s="2" t="s">
        <v>8121</v>
      </c>
      <c r="I2530" s="2" t="s">
        <v>73</v>
      </c>
      <c r="J2530" s="2" t="s">
        <v>74</v>
      </c>
      <c r="K2530" s="2" t="s">
        <v>38</v>
      </c>
      <c r="L2530" s="2" t="s">
        <v>38</v>
      </c>
      <c r="M2530" s="2" t="s">
        <v>38</v>
      </c>
      <c r="N2530" s="2" t="s">
        <v>38</v>
      </c>
      <c r="O2530" s="2" t="s">
        <v>38</v>
      </c>
      <c r="P2530" s="2" t="s">
        <v>38</v>
      </c>
      <c r="Q2530" s="2" t="s">
        <v>38</v>
      </c>
      <c r="R2530" s="2" t="s">
        <v>38</v>
      </c>
      <c r="S2530" s="2" t="s">
        <v>38</v>
      </c>
      <c r="T2530" s="2" t="s">
        <v>38</v>
      </c>
      <c r="U2530" s="2" t="s">
        <v>38</v>
      </c>
      <c r="V2530" s="2" t="s">
        <v>38</v>
      </c>
      <c r="W2530" s="2" t="s">
        <v>38</v>
      </c>
      <c r="X2530" s="2" t="s">
        <v>38</v>
      </c>
      <c r="Y2530" s="2" t="s">
        <v>38</v>
      </c>
      <c r="Z2530" s="2" t="s">
        <v>38</v>
      </c>
      <c r="AA2530" s="2" t="s">
        <v>38</v>
      </c>
      <c r="AB2530" s="2" t="s">
        <v>38</v>
      </c>
      <c r="AC2530" s="2" t="s">
        <v>38</v>
      </c>
      <c r="AD2530" s="2" t="s">
        <v>38</v>
      </c>
      <c r="AE2530" s="2" t="s">
        <v>40</v>
      </c>
    </row>
    <row r="2531" spans="1:31" ht="409.5">
      <c r="A2531" s="2">
        <v>2715484</v>
      </c>
      <c r="B2531" s="2">
        <f>HYPERLINK("https://platform.v2.vetology.net/cases/2715484/screening-report/1?type=pdf&amp;v=v6&amp;scorecard=1&amp;secret_key=BX%25IJ%24%2F65ieZ%29f6", 2715484)</f>
        <v>2715484</v>
      </c>
      <c r="C2531" s="2">
        <f>HYPERLINK("https://platform.v2.vetology.net/report/v/final/"&amp;2715484, 2715484)</f>
        <v>2715484</v>
      </c>
      <c r="D2531" s="2" t="s">
        <v>8122</v>
      </c>
      <c r="E2531" s="2" t="s">
        <v>8123</v>
      </c>
      <c r="F2531" s="2" t="s">
        <v>8124</v>
      </c>
      <c r="G2531" s="2" t="s">
        <v>53</v>
      </c>
      <c r="H2531" s="2" t="s">
        <v>7988</v>
      </c>
      <c r="I2531" s="2" t="s">
        <v>36</v>
      </c>
      <c r="J2531" s="2" t="s">
        <v>37</v>
      </c>
      <c r="K2531" s="2" t="s">
        <v>38</v>
      </c>
      <c r="L2531" s="2" t="s">
        <v>38</v>
      </c>
      <c r="M2531" s="2" t="s">
        <v>38</v>
      </c>
      <c r="N2531" s="2" t="s">
        <v>38</v>
      </c>
      <c r="O2531" s="2" t="s">
        <v>38</v>
      </c>
      <c r="P2531" s="2" t="s">
        <v>38</v>
      </c>
      <c r="Q2531" s="2" t="s">
        <v>39</v>
      </c>
      <c r="R2531" s="2" t="s">
        <v>38</v>
      </c>
      <c r="S2531" s="2" t="s">
        <v>38</v>
      </c>
      <c r="T2531" s="2" t="s">
        <v>39</v>
      </c>
      <c r="U2531" s="2" t="s">
        <v>38</v>
      </c>
      <c r="V2531" s="2" t="s">
        <v>38</v>
      </c>
      <c r="W2531" s="2" t="s">
        <v>39</v>
      </c>
      <c r="X2531" s="2" t="s">
        <v>39</v>
      </c>
      <c r="Y2531" s="2" t="s">
        <v>39</v>
      </c>
      <c r="Z2531" s="2" t="s">
        <v>38</v>
      </c>
      <c r="AA2531" s="2" t="s">
        <v>38</v>
      </c>
      <c r="AB2531" s="2" t="s">
        <v>39</v>
      </c>
      <c r="AC2531" s="2" t="s">
        <v>38</v>
      </c>
      <c r="AD2531" s="2" t="s">
        <v>38</v>
      </c>
      <c r="AE2531" s="2" t="s">
        <v>39</v>
      </c>
    </row>
    <row r="2532" spans="1:31" ht="409.5">
      <c r="A2532" s="2">
        <v>2715432</v>
      </c>
      <c r="B2532" s="2">
        <f>HYPERLINK("https://platform.v2.vetology.net/cases/2715432/screening-report/1?type=pdf&amp;v=v6&amp;scorecard=1&amp;secret_key=BX%25IJ%24%2F65ieZ%29f6", 2715432)</f>
        <v>2715432</v>
      </c>
      <c r="C2532" s="2">
        <f>HYPERLINK("https://platform.v2.vetology.net/report/v/final/"&amp;2715432, 2715432)</f>
        <v>2715432</v>
      </c>
      <c r="D2532" s="2" t="s">
        <v>8125</v>
      </c>
      <c r="E2532" s="2" t="s">
        <v>8126</v>
      </c>
      <c r="F2532" s="2" t="s">
        <v>8127</v>
      </c>
      <c r="G2532" s="2" t="s">
        <v>53</v>
      </c>
      <c r="H2532" s="2" t="s">
        <v>8128</v>
      </c>
      <c r="I2532" s="2" t="s">
        <v>73</v>
      </c>
      <c r="J2532" s="2" t="s">
        <v>74</v>
      </c>
      <c r="K2532" s="2" t="s">
        <v>38</v>
      </c>
      <c r="L2532" s="2" t="s">
        <v>38</v>
      </c>
      <c r="M2532" s="2" t="s">
        <v>38</v>
      </c>
      <c r="N2532" s="2" t="s">
        <v>38</v>
      </c>
      <c r="O2532" s="2" t="s">
        <v>38</v>
      </c>
      <c r="P2532" s="2" t="s">
        <v>38</v>
      </c>
      <c r="Q2532" s="2" t="s">
        <v>38</v>
      </c>
      <c r="R2532" s="2" t="s">
        <v>38</v>
      </c>
      <c r="S2532" s="2" t="s">
        <v>38</v>
      </c>
      <c r="T2532" s="2" t="s">
        <v>38</v>
      </c>
      <c r="U2532" s="2" t="s">
        <v>38</v>
      </c>
      <c r="V2532" s="2" t="s">
        <v>38</v>
      </c>
      <c r="W2532" s="2" t="s">
        <v>38</v>
      </c>
      <c r="X2532" s="2" t="s">
        <v>38</v>
      </c>
      <c r="Y2532" s="2" t="s">
        <v>38</v>
      </c>
      <c r="Z2532" s="2" t="s">
        <v>38</v>
      </c>
      <c r="AA2532" s="2" t="s">
        <v>38</v>
      </c>
      <c r="AB2532" s="2" t="s">
        <v>38</v>
      </c>
      <c r="AC2532" s="2" t="s">
        <v>38</v>
      </c>
      <c r="AD2532" s="2" t="s">
        <v>38</v>
      </c>
      <c r="AE2532" s="2" t="s">
        <v>39</v>
      </c>
    </row>
    <row r="2533" spans="1:31" ht="409.5">
      <c r="A2533" s="2">
        <v>2715413</v>
      </c>
      <c r="B2533" s="2">
        <f>HYPERLINK("https://platform.v2.vetology.net/cases/2715413/screening-report/1?type=pdf&amp;v=v6&amp;scorecard=1&amp;secret_key=BX%25IJ%24%2F65ieZ%29f6", 2715413)</f>
        <v>2715413</v>
      </c>
      <c r="C2533" s="2">
        <f>HYPERLINK("https://platform.v2.vetology.net/report/v/final/"&amp;2715413, 2715413)</f>
        <v>2715413</v>
      </c>
      <c r="D2533" s="2" t="s">
        <v>8129</v>
      </c>
      <c r="E2533" s="2" t="s">
        <v>8130</v>
      </c>
      <c r="F2533" s="2" t="s">
        <v>7600</v>
      </c>
      <c r="G2533" s="2" t="s">
        <v>111</v>
      </c>
      <c r="H2533" s="2" t="s">
        <v>611</v>
      </c>
      <c r="I2533" s="2" t="s">
        <v>46</v>
      </c>
      <c r="J2533" s="2"/>
      <c r="K2533" s="2" t="s">
        <v>39</v>
      </c>
      <c r="L2533" s="2" t="s">
        <v>39</v>
      </c>
      <c r="M2533" s="2" t="s">
        <v>39</v>
      </c>
      <c r="N2533" s="2" t="s">
        <v>39</v>
      </c>
      <c r="O2533" s="2" t="s">
        <v>39</v>
      </c>
      <c r="P2533" s="2" t="s">
        <v>39</v>
      </c>
      <c r="Q2533" s="2" t="s">
        <v>39</v>
      </c>
      <c r="R2533" s="2" t="s">
        <v>39</v>
      </c>
      <c r="S2533" s="2" t="s">
        <v>39</v>
      </c>
      <c r="T2533" s="2" t="s">
        <v>39</v>
      </c>
      <c r="U2533" s="2" t="s">
        <v>39</v>
      </c>
      <c r="V2533" s="2" t="s">
        <v>38</v>
      </c>
      <c r="W2533" s="2" t="s">
        <v>39</v>
      </c>
      <c r="X2533" s="2" t="s">
        <v>39</v>
      </c>
      <c r="Y2533" s="2" t="s">
        <v>39</v>
      </c>
      <c r="Z2533" s="2" t="s">
        <v>39</v>
      </c>
      <c r="AA2533" s="2" t="s">
        <v>39</v>
      </c>
      <c r="AB2533" s="2" t="s">
        <v>39</v>
      </c>
      <c r="AC2533" s="2" t="s">
        <v>38</v>
      </c>
      <c r="AD2533" s="2" t="s">
        <v>39</v>
      </c>
      <c r="AE2533" s="2" t="s">
        <v>39</v>
      </c>
    </row>
    <row r="2534" spans="1:31" ht="409.5">
      <c r="A2534" s="2">
        <v>2715407</v>
      </c>
      <c r="B2534" s="2">
        <f>HYPERLINK("https://platform.v2.vetology.net/cases/2715407/screening-report/1?type=pdf&amp;v=v6&amp;scorecard=1&amp;secret_key=BX%25IJ%24%2F65ieZ%29f6", 2715407)</f>
        <v>2715407</v>
      </c>
      <c r="C2534" s="2">
        <f>HYPERLINK("https://platform.v2.vetology.net/report/v/final/"&amp;2715407, 2715407)</f>
        <v>2715407</v>
      </c>
      <c r="D2534" s="2" t="s">
        <v>8131</v>
      </c>
      <c r="E2534" s="2" t="s">
        <v>8132</v>
      </c>
      <c r="F2534" s="2"/>
      <c r="G2534" s="2" t="s">
        <v>81</v>
      </c>
      <c r="H2534" s="2" t="s">
        <v>1372</v>
      </c>
      <c r="I2534" s="2" t="s">
        <v>36</v>
      </c>
      <c r="J2534" s="2" t="s">
        <v>37</v>
      </c>
      <c r="K2534" s="2" t="s">
        <v>38</v>
      </c>
      <c r="L2534" s="2" t="s">
        <v>38</v>
      </c>
      <c r="M2534" s="2" t="s">
        <v>38</v>
      </c>
      <c r="N2534" s="2" t="s">
        <v>38</v>
      </c>
      <c r="O2534" s="2" t="s">
        <v>39</v>
      </c>
      <c r="P2534" s="2" t="s">
        <v>39</v>
      </c>
      <c r="Q2534" s="2" t="s">
        <v>39</v>
      </c>
      <c r="R2534" s="2" t="s">
        <v>38</v>
      </c>
      <c r="S2534" s="2" t="s">
        <v>38</v>
      </c>
      <c r="T2534" s="2" t="s">
        <v>39</v>
      </c>
      <c r="U2534" s="2" t="s">
        <v>38</v>
      </c>
      <c r="V2534" s="2" t="s">
        <v>38</v>
      </c>
      <c r="W2534" s="2" t="s">
        <v>38</v>
      </c>
      <c r="X2534" s="2" t="s">
        <v>38</v>
      </c>
      <c r="Y2534" s="2" t="s">
        <v>38</v>
      </c>
      <c r="Z2534" s="2" t="s">
        <v>38</v>
      </c>
      <c r="AA2534" s="2" t="s">
        <v>38</v>
      </c>
      <c r="AB2534" s="2" t="s">
        <v>39</v>
      </c>
      <c r="AC2534" s="2" t="s">
        <v>38</v>
      </c>
      <c r="AD2534" s="2" t="s">
        <v>38</v>
      </c>
      <c r="AE2534" s="2" t="s">
        <v>40</v>
      </c>
    </row>
    <row r="2535" spans="1:31" ht="409.5">
      <c r="A2535" s="2">
        <v>2715389</v>
      </c>
      <c r="B2535" s="2">
        <f>HYPERLINK("https://platform.v2.vetology.net/cases/2715389/screening-report/1?type=pdf&amp;v=v6&amp;scorecard=1&amp;secret_key=BX%25IJ%24%2F65ieZ%29f6", 2715389)</f>
        <v>2715389</v>
      </c>
      <c r="C2535" s="2">
        <f>HYPERLINK("https://platform.v2.vetology.net/report/v/final/"&amp;2715389, 2715389)</f>
        <v>2715389</v>
      </c>
      <c r="D2535" s="2" t="s">
        <v>8133</v>
      </c>
      <c r="E2535" s="2" t="s">
        <v>8134</v>
      </c>
      <c r="F2535" s="2" t="s">
        <v>43</v>
      </c>
      <c r="G2535" s="2" t="s">
        <v>100</v>
      </c>
      <c r="H2535" s="2" t="s">
        <v>8135</v>
      </c>
      <c r="I2535" s="2" t="s">
        <v>36</v>
      </c>
      <c r="J2535" s="2" t="s">
        <v>37</v>
      </c>
      <c r="K2535" s="2" t="s">
        <v>39</v>
      </c>
      <c r="L2535" s="2" t="s">
        <v>38</v>
      </c>
      <c r="M2535" s="2" t="s">
        <v>38</v>
      </c>
      <c r="N2535" s="2" t="s">
        <v>39</v>
      </c>
      <c r="O2535" s="2" t="s">
        <v>38</v>
      </c>
      <c r="P2535" s="2" t="s">
        <v>39</v>
      </c>
      <c r="Q2535" s="2" t="s">
        <v>39</v>
      </c>
      <c r="R2535" s="2" t="s">
        <v>38</v>
      </c>
      <c r="S2535" s="2" t="s">
        <v>38</v>
      </c>
      <c r="T2535" s="2" t="s">
        <v>38</v>
      </c>
      <c r="U2535" s="2" t="s">
        <v>39</v>
      </c>
      <c r="V2535" s="2" t="s">
        <v>39</v>
      </c>
      <c r="W2535" s="2" t="s">
        <v>38</v>
      </c>
      <c r="X2535" s="2" t="s">
        <v>39</v>
      </c>
      <c r="Y2535" s="2" t="s">
        <v>39</v>
      </c>
      <c r="Z2535" s="2" t="s">
        <v>38</v>
      </c>
      <c r="AA2535" s="2" t="s">
        <v>38</v>
      </c>
      <c r="AB2535" s="2" t="s">
        <v>39</v>
      </c>
      <c r="AC2535" s="2" t="s">
        <v>38</v>
      </c>
      <c r="AD2535" s="2" t="s">
        <v>38</v>
      </c>
      <c r="AE2535" s="2" t="s">
        <v>39</v>
      </c>
    </row>
    <row r="2536" spans="1:31" ht="409.5">
      <c r="A2536" s="2">
        <v>2715358</v>
      </c>
      <c r="B2536" s="2">
        <f>HYPERLINK("https://platform.v2.vetology.net/cases/2715358/screening-report/1?type=pdf&amp;v=v6&amp;scorecard=1&amp;secret_key=BX%25IJ%24%2F65ieZ%29f6", 2715358)</f>
        <v>2715358</v>
      </c>
      <c r="C2536" s="2">
        <f>HYPERLINK("https://platform.v2.vetology.net/report/v/final/"&amp;2715358, 2715358)</f>
        <v>2715358</v>
      </c>
      <c r="D2536" s="2" t="s">
        <v>8136</v>
      </c>
      <c r="E2536" s="2" t="s">
        <v>8137</v>
      </c>
      <c r="F2536" s="2" t="s">
        <v>8138</v>
      </c>
      <c r="G2536" s="2" t="s">
        <v>251</v>
      </c>
      <c r="H2536" s="2" t="s">
        <v>62</v>
      </c>
      <c r="I2536" s="2" t="s">
        <v>46</v>
      </c>
      <c r="J2536" s="2"/>
      <c r="K2536" s="2" t="s">
        <v>39</v>
      </c>
      <c r="L2536" s="2" t="s">
        <v>39</v>
      </c>
      <c r="M2536" s="2" t="s">
        <v>39</v>
      </c>
      <c r="N2536" s="2" t="s">
        <v>39</v>
      </c>
      <c r="O2536" s="2" t="s">
        <v>38</v>
      </c>
      <c r="P2536" s="2" t="s">
        <v>39</v>
      </c>
      <c r="Q2536" s="2" t="s">
        <v>39</v>
      </c>
      <c r="R2536" s="2" t="s">
        <v>38</v>
      </c>
      <c r="S2536" s="2" t="s">
        <v>38</v>
      </c>
      <c r="T2536" s="2" t="s">
        <v>39</v>
      </c>
      <c r="U2536" s="2" t="s">
        <v>39</v>
      </c>
      <c r="V2536" s="2" t="s">
        <v>39</v>
      </c>
      <c r="W2536" s="2" t="s">
        <v>38</v>
      </c>
      <c r="X2536" s="2" t="s">
        <v>39</v>
      </c>
      <c r="Y2536" s="2" t="s">
        <v>39</v>
      </c>
      <c r="Z2536" s="2" t="s">
        <v>39</v>
      </c>
      <c r="AA2536" s="2" t="s">
        <v>39</v>
      </c>
      <c r="AB2536" s="2" t="s">
        <v>39</v>
      </c>
      <c r="AC2536" s="2" t="s">
        <v>38</v>
      </c>
      <c r="AD2536" s="2" t="s">
        <v>39</v>
      </c>
      <c r="AE2536" s="2" t="s">
        <v>39</v>
      </c>
    </row>
    <row r="2537" spans="1:31" ht="409.5">
      <c r="A2537" s="2">
        <v>2715356</v>
      </c>
      <c r="B2537" s="2">
        <f>HYPERLINK("https://platform.v2.vetology.net/cases/2715356/screening-report/1?type=pdf&amp;v=v6&amp;scorecard=1&amp;secret_key=BX%25IJ%24%2F65ieZ%29f6", 2715356)</f>
        <v>2715356</v>
      </c>
      <c r="C2537" s="2">
        <f>HYPERLINK("https://platform.v2.vetology.net/report/v/final/"&amp;2715356, 2715356)</f>
        <v>2715356</v>
      </c>
      <c r="D2537" s="2" t="s">
        <v>8139</v>
      </c>
      <c r="E2537" s="2" t="s">
        <v>8140</v>
      </c>
      <c r="F2537" s="2" t="s">
        <v>8141</v>
      </c>
      <c r="G2537" s="2" t="s">
        <v>251</v>
      </c>
      <c r="H2537" s="2" t="s">
        <v>8142</v>
      </c>
      <c r="I2537" s="2" t="s">
        <v>36</v>
      </c>
      <c r="J2537" s="2" t="s">
        <v>37</v>
      </c>
      <c r="K2537" s="2" t="s">
        <v>38</v>
      </c>
      <c r="L2537" s="2" t="s">
        <v>38</v>
      </c>
      <c r="M2537" s="2" t="s">
        <v>39</v>
      </c>
      <c r="N2537" s="2" t="s">
        <v>38</v>
      </c>
      <c r="O2537" s="2" t="s">
        <v>39</v>
      </c>
      <c r="P2537" s="2" t="s">
        <v>39</v>
      </c>
      <c r="Q2537" s="2" t="s">
        <v>39</v>
      </c>
      <c r="R2537" s="2" t="s">
        <v>39</v>
      </c>
      <c r="S2537" s="2" t="s">
        <v>38</v>
      </c>
      <c r="T2537" s="2" t="s">
        <v>39</v>
      </c>
      <c r="U2537" s="2" t="s">
        <v>38</v>
      </c>
      <c r="V2537" s="2" t="s">
        <v>38</v>
      </c>
      <c r="W2537" s="2" t="s">
        <v>39</v>
      </c>
      <c r="X2537" s="2" t="s">
        <v>39</v>
      </c>
      <c r="Y2537" s="2" t="s">
        <v>39</v>
      </c>
      <c r="Z2537" s="2" t="s">
        <v>38</v>
      </c>
      <c r="AA2537" s="2" t="s">
        <v>38</v>
      </c>
      <c r="AB2537" s="2" t="s">
        <v>39</v>
      </c>
      <c r="AC2537" s="2" t="s">
        <v>38</v>
      </c>
      <c r="AD2537" s="2" t="s">
        <v>38</v>
      </c>
      <c r="AE2537" s="2" t="s">
        <v>39</v>
      </c>
    </row>
    <row r="2538" spans="1:31" ht="409.5">
      <c r="A2538" s="2">
        <v>2715321</v>
      </c>
      <c r="B2538" s="2">
        <f>HYPERLINK("https://platform.v2.vetology.net/cases/2715321/screening-report/1?type=pdf&amp;v=v6&amp;scorecard=1&amp;secret_key=BX%25IJ%24%2F65ieZ%29f6", 2715321)</f>
        <v>2715321</v>
      </c>
      <c r="C2538" s="2">
        <f>HYPERLINK("https://platform.v2.vetology.net/report/v/final/"&amp;2715321, 2715321)</f>
        <v>2715321</v>
      </c>
      <c r="D2538" s="2" t="s">
        <v>8143</v>
      </c>
      <c r="E2538" s="2" t="s">
        <v>8144</v>
      </c>
      <c r="F2538" s="2" t="s">
        <v>8145</v>
      </c>
      <c r="G2538" s="2" t="s">
        <v>53</v>
      </c>
      <c r="H2538" s="2" t="s">
        <v>8146</v>
      </c>
      <c r="I2538" s="2" t="s">
        <v>36</v>
      </c>
      <c r="J2538" s="2" t="s">
        <v>37</v>
      </c>
      <c r="K2538" s="2" t="s">
        <v>38</v>
      </c>
      <c r="L2538" s="2" t="s">
        <v>38</v>
      </c>
      <c r="M2538" s="2" t="s">
        <v>39</v>
      </c>
      <c r="N2538" s="2" t="s">
        <v>38</v>
      </c>
      <c r="O2538" s="2" t="s">
        <v>38</v>
      </c>
      <c r="P2538" s="2" t="s">
        <v>38</v>
      </c>
      <c r="Q2538" s="2" t="s">
        <v>39</v>
      </c>
      <c r="R2538" s="2" t="s">
        <v>38</v>
      </c>
      <c r="S2538" s="2" t="s">
        <v>38</v>
      </c>
      <c r="T2538" s="2" t="s">
        <v>38</v>
      </c>
      <c r="U2538" s="2" t="s">
        <v>38</v>
      </c>
      <c r="V2538" s="2" t="s">
        <v>38</v>
      </c>
      <c r="W2538" s="2" t="s">
        <v>38</v>
      </c>
      <c r="X2538" s="2" t="s">
        <v>39</v>
      </c>
      <c r="Y2538" s="2" t="s">
        <v>38</v>
      </c>
      <c r="Z2538" s="2" t="s">
        <v>38</v>
      </c>
      <c r="AA2538" s="2" t="s">
        <v>38</v>
      </c>
      <c r="AB2538" s="2" t="s">
        <v>39</v>
      </c>
      <c r="AC2538" s="2" t="s">
        <v>38</v>
      </c>
      <c r="AD2538" s="2" t="s">
        <v>38</v>
      </c>
      <c r="AE2538" s="2" t="s">
        <v>39</v>
      </c>
    </row>
    <row r="2539" spans="1:31" ht="409.5">
      <c r="A2539" s="2">
        <v>2715319</v>
      </c>
      <c r="B2539" s="2">
        <f>HYPERLINK("https://platform.v2.vetology.net/cases/2715319/screening-report/1?type=pdf&amp;v=v6&amp;scorecard=1&amp;secret_key=BX%25IJ%24%2F65ieZ%29f6", 2715319)</f>
        <v>2715319</v>
      </c>
      <c r="C2539" s="2">
        <f>HYPERLINK("https://platform.v2.vetology.net/report/v/final/"&amp;2715319, 2715319)</f>
        <v>2715319</v>
      </c>
      <c r="D2539" s="2" t="s">
        <v>8147</v>
      </c>
      <c r="E2539" s="2" t="s">
        <v>8148</v>
      </c>
      <c r="F2539" s="2" t="s">
        <v>8149</v>
      </c>
      <c r="G2539" s="2" t="s">
        <v>53</v>
      </c>
      <c r="H2539" s="2" t="s">
        <v>2816</v>
      </c>
      <c r="I2539" s="2" t="s">
        <v>36</v>
      </c>
      <c r="J2539" s="2" t="s">
        <v>37</v>
      </c>
      <c r="K2539" s="2" t="s">
        <v>39</v>
      </c>
      <c r="L2539" s="2" t="s">
        <v>38</v>
      </c>
      <c r="M2539" s="2" t="s">
        <v>39</v>
      </c>
      <c r="N2539" s="2" t="s">
        <v>39</v>
      </c>
      <c r="O2539" s="2" t="s">
        <v>39</v>
      </c>
      <c r="P2539" s="2" t="s">
        <v>39</v>
      </c>
      <c r="Q2539" s="2" t="s">
        <v>39</v>
      </c>
      <c r="R2539" s="2" t="s">
        <v>39</v>
      </c>
      <c r="S2539" s="2" t="s">
        <v>39</v>
      </c>
      <c r="T2539" s="2" t="s">
        <v>39</v>
      </c>
      <c r="U2539" s="2" t="s">
        <v>39</v>
      </c>
      <c r="V2539" s="2" t="s">
        <v>38</v>
      </c>
      <c r="W2539" s="2" t="s">
        <v>39</v>
      </c>
      <c r="X2539" s="2" t="s">
        <v>39</v>
      </c>
      <c r="Y2539" s="2" t="s">
        <v>39</v>
      </c>
      <c r="Z2539" s="2" t="s">
        <v>39</v>
      </c>
      <c r="AA2539" s="2" t="s">
        <v>39</v>
      </c>
      <c r="AB2539" s="2" t="s">
        <v>39</v>
      </c>
      <c r="AC2539" s="2" t="s">
        <v>39</v>
      </c>
      <c r="AD2539" s="2" t="s">
        <v>39</v>
      </c>
      <c r="AE2539" s="2" t="s">
        <v>39</v>
      </c>
    </row>
    <row r="2540" spans="1:31" ht="409.5">
      <c r="A2540" s="2">
        <v>2715302</v>
      </c>
      <c r="B2540" s="2">
        <f>HYPERLINK("https://platform.v2.vetology.net/cases/2715302/screening-report/1?type=pdf&amp;v=v6&amp;scorecard=1&amp;secret_key=BX%25IJ%24%2F65ieZ%29f6", 2715302)</f>
        <v>2715302</v>
      </c>
      <c r="C2540" s="2">
        <f>HYPERLINK("https://platform.v2.vetology.net/report/v/final/"&amp;2715302, 2715302)</f>
        <v>2715302</v>
      </c>
      <c r="D2540" s="2" t="s">
        <v>8150</v>
      </c>
      <c r="E2540" s="2" t="s">
        <v>8151</v>
      </c>
      <c r="F2540" s="2"/>
      <c r="G2540" s="2" t="s">
        <v>100</v>
      </c>
      <c r="H2540" s="2" t="s">
        <v>8152</v>
      </c>
      <c r="I2540" s="2" t="s">
        <v>36</v>
      </c>
      <c r="J2540" s="2" t="s">
        <v>37</v>
      </c>
      <c r="K2540" s="2" t="s">
        <v>39</v>
      </c>
      <c r="L2540" s="2" t="s">
        <v>38</v>
      </c>
      <c r="M2540" s="2" t="s">
        <v>38</v>
      </c>
      <c r="N2540" s="2" t="s">
        <v>39</v>
      </c>
      <c r="O2540" s="2" t="s">
        <v>38</v>
      </c>
      <c r="P2540" s="2" t="s">
        <v>38</v>
      </c>
      <c r="Q2540" s="2" t="s">
        <v>39</v>
      </c>
      <c r="R2540" s="2" t="s">
        <v>38</v>
      </c>
      <c r="S2540" s="2" t="s">
        <v>39</v>
      </c>
      <c r="T2540" s="2" t="s">
        <v>39</v>
      </c>
      <c r="U2540" s="2" t="s">
        <v>39</v>
      </c>
      <c r="V2540" s="2" t="s">
        <v>38</v>
      </c>
      <c r="W2540" s="2" t="s">
        <v>39</v>
      </c>
      <c r="X2540" s="2" t="s">
        <v>39</v>
      </c>
      <c r="Y2540" s="2" t="s">
        <v>39</v>
      </c>
      <c r="Z2540" s="2" t="s">
        <v>38</v>
      </c>
      <c r="AA2540" s="2" t="s">
        <v>38</v>
      </c>
      <c r="AB2540" s="2" t="s">
        <v>39</v>
      </c>
      <c r="AC2540" s="2" t="s">
        <v>38</v>
      </c>
      <c r="AD2540" s="2" t="s">
        <v>39</v>
      </c>
      <c r="AE2540" s="2" t="s">
        <v>40</v>
      </c>
    </row>
    <row r="2541" spans="1:31" ht="409.5">
      <c r="A2541" s="2">
        <v>2715291</v>
      </c>
      <c r="B2541" s="2">
        <f>HYPERLINK("https://platform.v2.vetology.net/cases/2715291/screening-report/1?type=pdf&amp;v=v6&amp;scorecard=1&amp;secret_key=BX%25IJ%24%2F65ieZ%29f6", 2715291)</f>
        <v>2715291</v>
      </c>
      <c r="C2541" s="2">
        <f>HYPERLINK("https://platform.v2.vetology.net/report/v/final/"&amp;2715291, 2715291)</f>
        <v>2715291</v>
      </c>
      <c r="D2541" s="2" t="s">
        <v>8153</v>
      </c>
      <c r="E2541" s="2" t="s">
        <v>8154</v>
      </c>
      <c r="F2541" s="2" t="s">
        <v>8155</v>
      </c>
      <c r="G2541" s="2" t="s">
        <v>111</v>
      </c>
      <c r="H2541" s="2" t="s">
        <v>8156</v>
      </c>
      <c r="I2541" s="2" t="s">
        <v>129</v>
      </c>
      <c r="J2541" s="2" t="s">
        <v>74</v>
      </c>
      <c r="K2541" s="2" t="s">
        <v>39</v>
      </c>
      <c r="L2541" s="2" t="s">
        <v>39</v>
      </c>
      <c r="M2541" s="2" t="s">
        <v>38</v>
      </c>
      <c r="N2541" s="2" t="s">
        <v>39</v>
      </c>
      <c r="O2541" s="2" t="s">
        <v>38</v>
      </c>
      <c r="P2541" s="2" t="s">
        <v>38</v>
      </c>
      <c r="Q2541" s="2" t="s">
        <v>38</v>
      </c>
      <c r="R2541" s="2" t="s">
        <v>39</v>
      </c>
      <c r="S2541" s="2" t="s">
        <v>39</v>
      </c>
      <c r="T2541" s="2" t="s">
        <v>38</v>
      </c>
      <c r="U2541" s="2" t="s">
        <v>39</v>
      </c>
      <c r="V2541" s="2" t="s">
        <v>39</v>
      </c>
      <c r="W2541" s="2" t="s">
        <v>38</v>
      </c>
      <c r="X2541" s="2" t="s">
        <v>38</v>
      </c>
      <c r="Y2541" s="2" t="s">
        <v>39</v>
      </c>
      <c r="Z2541" s="2" t="s">
        <v>38</v>
      </c>
      <c r="AA2541" s="2" t="s">
        <v>38</v>
      </c>
      <c r="AB2541" s="2" t="s">
        <v>38</v>
      </c>
      <c r="AC2541" s="2" t="s">
        <v>39</v>
      </c>
      <c r="AD2541" s="2" t="s">
        <v>38</v>
      </c>
      <c r="AE2541" s="2" t="s">
        <v>39</v>
      </c>
    </row>
    <row r="2542" spans="1:31" ht="409.5">
      <c r="A2542" s="2">
        <v>2715236</v>
      </c>
      <c r="B2542" s="2">
        <f>HYPERLINK("https://platform.v2.vetology.net/cases/2715236/screening-report/1?type=pdf&amp;v=v6&amp;scorecard=1&amp;secret_key=BX%25IJ%24%2F65ieZ%29f6", 2715236)</f>
        <v>2715236</v>
      </c>
      <c r="C2542" s="2">
        <f>HYPERLINK("https://platform.v2.vetology.net/report/v/final/"&amp;2715236, 2715236)</f>
        <v>2715236</v>
      </c>
      <c r="D2542" s="2" t="s">
        <v>3694</v>
      </c>
      <c r="E2542" s="2" t="s">
        <v>3695</v>
      </c>
      <c r="F2542" s="2" t="s">
        <v>8157</v>
      </c>
      <c r="G2542" s="2" t="s">
        <v>111</v>
      </c>
      <c r="H2542" s="2" t="s">
        <v>7027</v>
      </c>
      <c r="I2542" s="2" t="s">
        <v>59</v>
      </c>
      <c r="J2542" s="2" t="s">
        <v>37</v>
      </c>
      <c r="K2542" s="2" t="s">
        <v>38</v>
      </c>
      <c r="L2542" s="2" t="s">
        <v>38</v>
      </c>
      <c r="M2542" s="2" t="s">
        <v>39</v>
      </c>
      <c r="N2542" s="2" t="s">
        <v>39</v>
      </c>
      <c r="O2542" s="2" t="s">
        <v>39</v>
      </c>
      <c r="P2542" s="2" t="s">
        <v>39</v>
      </c>
      <c r="Q2542" s="2" t="s">
        <v>39</v>
      </c>
      <c r="R2542" s="2" t="s">
        <v>39</v>
      </c>
      <c r="S2542" s="2" t="s">
        <v>39</v>
      </c>
      <c r="T2542" s="2" t="s">
        <v>39</v>
      </c>
      <c r="U2542" s="2" t="s">
        <v>39</v>
      </c>
      <c r="V2542" s="2" t="s">
        <v>38</v>
      </c>
      <c r="W2542" s="2" t="s">
        <v>39</v>
      </c>
      <c r="X2542" s="2" t="s">
        <v>39</v>
      </c>
      <c r="Y2542" s="2" t="s">
        <v>39</v>
      </c>
      <c r="Z2542" s="2" t="s">
        <v>38</v>
      </c>
      <c r="AA2542" s="2" t="s">
        <v>39</v>
      </c>
      <c r="AB2542" s="2" t="s">
        <v>39</v>
      </c>
      <c r="AC2542" s="2" t="s">
        <v>39</v>
      </c>
      <c r="AD2542" s="2" t="s">
        <v>38</v>
      </c>
      <c r="AE2542" s="2" t="s">
        <v>39</v>
      </c>
    </row>
    <row r="2543" spans="1:31" ht="409.5">
      <c r="A2543" s="2">
        <v>2715234</v>
      </c>
      <c r="B2543" s="2">
        <f>HYPERLINK("https://platform.v2.vetology.net/cases/2715234/screening-report/1?type=pdf&amp;v=v6&amp;scorecard=1&amp;secret_key=BX%25IJ%24%2F65ieZ%29f6", 2715234)</f>
        <v>2715234</v>
      </c>
      <c r="C2543" s="2">
        <f>HYPERLINK("https://platform.v2.vetology.net/report/v/final/"&amp;2715234, 2715234)</f>
        <v>2715234</v>
      </c>
      <c r="D2543" s="2" t="s">
        <v>8158</v>
      </c>
      <c r="E2543" s="2" t="s">
        <v>8159</v>
      </c>
      <c r="F2543" s="2" t="s">
        <v>8160</v>
      </c>
      <c r="G2543" s="2" t="s">
        <v>53</v>
      </c>
      <c r="H2543" s="2" t="s">
        <v>8161</v>
      </c>
      <c r="I2543" s="2" t="s">
        <v>73</v>
      </c>
      <c r="J2543" s="2" t="s">
        <v>74</v>
      </c>
      <c r="K2543" s="2" t="s">
        <v>38</v>
      </c>
      <c r="L2543" s="2" t="s">
        <v>38</v>
      </c>
      <c r="M2543" s="2" t="s">
        <v>38</v>
      </c>
      <c r="N2543" s="2" t="s">
        <v>38</v>
      </c>
      <c r="O2543" s="2" t="s">
        <v>38</v>
      </c>
      <c r="P2543" s="2" t="s">
        <v>38</v>
      </c>
      <c r="Q2543" s="2" t="s">
        <v>38</v>
      </c>
      <c r="R2543" s="2" t="s">
        <v>38</v>
      </c>
      <c r="S2543" s="2" t="s">
        <v>38</v>
      </c>
      <c r="T2543" s="2" t="s">
        <v>38</v>
      </c>
      <c r="U2543" s="2" t="s">
        <v>38</v>
      </c>
      <c r="V2543" s="2" t="s">
        <v>38</v>
      </c>
      <c r="W2543" s="2" t="s">
        <v>38</v>
      </c>
      <c r="X2543" s="2" t="s">
        <v>38</v>
      </c>
      <c r="Y2543" s="2" t="s">
        <v>38</v>
      </c>
      <c r="Z2543" s="2" t="s">
        <v>38</v>
      </c>
      <c r="AA2543" s="2" t="s">
        <v>38</v>
      </c>
      <c r="AB2543" s="2" t="s">
        <v>38</v>
      </c>
      <c r="AC2543" s="2" t="s">
        <v>38</v>
      </c>
      <c r="AD2543" s="2" t="s">
        <v>38</v>
      </c>
      <c r="AE2543" s="2" t="s">
        <v>39</v>
      </c>
    </row>
    <row r="2544" spans="1:31" ht="409.5">
      <c r="A2544" s="2">
        <v>2715222</v>
      </c>
      <c r="B2544" s="2">
        <f>HYPERLINK("https://platform.v2.vetology.net/cases/2715222/screening-report/1?type=pdf&amp;v=v6&amp;scorecard=1&amp;secret_key=BX%25IJ%24%2F65ieZ%29f6", 2715222)</f>
        <v>2715222</v>
      </c>
      <c r="C2544" s="2">
        <f>HYPERLINK("https://platform.v2.vetology.net/report/v/final/"&amp;2715222, 2715222)</f>
        <v>2715222</v>
      </c>
      <c r="D2544" s="2" t="s">
        <v>8162</v>
      </c>
      <c r="E2544" s="2" t="s">
        <v>8163</v>
      </c>
      <c r="F2544" s="2" t="s">
        <v>8164</v>
      </c>
      <c r="G2544" s="2" t="s">
        <v>111</v>
      </c>
      <c r="H2544" s="2" t="s">
        <v>8165</v>
      </c>
      <c r="I2544" s="2" t="s">
        <v>36</v>
      </c>
      <c r="J2544" s="2" t="s">
        <v>37</v>
      </c>
      <c r="K2544" s="2" t="s">
        <v>39</v>
      </c>
      <c r="L2544" s="2" t="s">
        <v>38</v>
      </c>
      <c r="M2544" s="2" t="s">
        <v>38</v>
      </c>
      <c r="N2544" s="2" t="s">
        <v>39</v>
      </c>
      <c r="O2544" s="2" t="s">
        <v>38</v>
      </c>
      <c r="P2544" s="2" t="s">
        <v>38</v>
      </c>
      <c r="Q2544" s="2" t="s">
        <v>38</v>
      </c>
      <c r="R2544" s="2" t="s">
        <v>39</v>
      </c>
      <c r="S2544" s="2" t="s">
        <v>38</v>
      </c>
      <c r="T2544" s="2" t="s">
        <v>38</v>
      </c>
      <c r="U2544" s="2" t="s">
        <v>39</v>
      </c>
      <c r="V2544" s="2" t="s">
        <v>39</v>
      </c>
      <c r="W2544" s="2" t="s">
        <v>38</v>
      </c>
      <c r="X2544" s="2" t="s">
        <v>38</v>
      </c>
      <c r="Y2544" s="2" t="s">
        <v>39</v>
      </c>
      <c r="Z2544" s="2" t="s">
        <v>38</v>
      </c>
      <c r="AA2544" s="2" t="s">
        <v>38</v>
      </c>
      <c r="AB2544" s="2" t="s">
        <v>38</v>
      </c>
      <c r="AC2544" s="2" t="s">
        <v>38</v>
      </c>
      <c r="AD2544" s="2" t="s">
        <v>39</v>
      </c>
      <c r="AE2544" s="2" t="s">
        <v>40</v>
      </c>
    </row>
    <row r="2545" spans="1:31" ht="409.5">
      <c r="A2545" s="2">
        <v>2715221</v>
      </c>
      <c r="B2545" s="2">
        <f>HYPERLINK("https://platform.v2.vetology.net/cases/2715221/screening-report/1?type=pdf&amp;v=v6&amp;scorecard=1&amp;secret_key=BX%25IJ%24%2F65ieZ%29f6", 2715221)</f>
        <v>2715221</v>
      </c>
      <c r="C2545" s="2">
        <f>HYPERLINK("https://platform.v2.vetology.net/report/v/final/"&amp;2715221, 2715221)</f>
        <v>2715221</v>
      </c>
      <c r="D2545" s="2" t="s">
        <v>8166</v>
      </c>
      <c r="E2545" s="2" t="s">
        <v>8167</v>
      </c>
      <c r="F2545" s="2" t="s">
        <v>8168</v>
      </c>
      <c r="G2545" s="2" t="s">
        <v>111</v>
      </c>
      <c r="H2545" s="2" t="s">
        <v>8169</v>
      </c>
      <c r="I2545" s="2" t="s">
        <v>73</v>
      </c>
      <c r="J2545" s="2" t="s">
        <v>74</v>
      </c>
      <c r="K2545" s="2" t="s">
        <v>38</v>
      </c>
      <c r="L2545" s="2" t="s">
        <v>38</v>
      </c>
      <c r="M2545" s="2" t="s">
        <v>38</v>
      </c>
      <c r="N2545" s="2" t="s">
        <v>38</v>
      </c>
      <c r="O2545" s="2" t="s">
        <v>38</v>
      </c>
      <c r="P2545" s="2" t="s">
        <v>38</v>
      </c>
      <c r="Q2545" s="2" t="s">
        <v>38</v>
      </c>
      <c r="R2545" s="2" t="s">
        <v>38</v>
      </c>
      <c r="S2545" s="2" t="s">
        <v>38</v>
      </c>
      <c r="T2545" s="2" t="s">
        <v>38</v>
      </c>
      <c r="U2545" s="2" t="s">
        <v>38</v>
      </c>
      <c r="V2545" s="2" t="s">
        <v>38</v>
      </c>
      <c r="W2545" s="2" t="s">
        <v>38</v>
      </c>
      <c r="X2545" s="2" t="s">
        <v>38</v>
      </c>
      <c r="Y2545" s="2" t="s">
        <v>39</v>
      </c>
      <c r="Z2545" s="2" t="s">
        <v>38</v>
      </c>
      <c r="AA2545" s="2" t="s">
        <v>38</v>
      </c>
      <c r="AB2545" s="2" t="s">
        <v>38</v>
      </c>
      <c r="AC2545" s="2" t="s">
        <v>38</v>
      </c>
      <c r="AD2545" s="2" t="s">
        <v>38</v>
      </c>
      <c r="AE2545" s="2" t="s">
        <v>39</v>
      </c>
    </row>
    <row r="2546" spans="1:31" ht="409.5">
      <c r="A2546" s="2">
        <v>2715213</v>
      </c>
      <c r="B2546" s="2">
        <f>HYPERLINK("https://platform.v2.vetology.net/cases/2715213/screening-report/1?type=pdf&amp;v=v6&amp;scorecard=1&amp;secret_key=BX%25IJ%24%2F65ieZ%29f6", 2715213)</f>
        <v>2715213</v>
      </c>
      <c r="C2546" s="2">
        <f>HYPERLINK("https://platform.v2.vetology.net/report/v/final/"&amp;2715213, 2715213)</f>
        <v>2715213</v>
      </c>
      <c r="D2546" s="2" t="s">
        <v>1090</v>
      </c>
      <c r="E2546" s="2" t="s">
        <v>8170</v>
      </c>
      <c r="F2546" s="2" t="s">
        <v>787</v>
      </c>
      <c r="G2546" s="2" t="s">
        <v>100</v>
      </c>
      <c r="H2546" s="2" t="s">
        <v>277</v>
      </c>
      <c r="I2546" s="2" t="s">
        <v>46</v>
      </c>
      <c r="J2546" s="2"/>
      <c r="K2546" s="2" t="s">
        <v>39</v>
      </c>
      <c r="L2546" s="2" t="s">
        <v>38</v>
      </c>
      <c r="M2546" s="2" t="s">
        <v>39</v>
      </c>
      <c r="N2546" s="2" t="s">
        <v>39</v>
      </c>
      <c r="O2546" s="2" t="s">
        <v>39</v>
      </c>
      <c r="P2546" s="2" t="s">
        <v>39</v>
      </c>
      <c r="Q2546" s="2" t="s">
        <v>39</v>
      </c>
      <c r="R2546" s="2" t="s">
        <v>39</v>
      </c>
      <c r="S2546" s="2" t="s">
        <v>39</v>
      </c>
      <c r="T2546" s="2" t="s">
        <v>39</v>
      </c>
      <c r="U2546" s="2" t="s">
        <v>39</v>
      </c>
      <c r="V2546" s="2" t="s">
        <v>38</v>
      </c>
      <c r="W2546" s="2" t="s">
        <v>39</v>
      </c>
      <c r="X2546" s="2" t="s">
        <v>39</v>
      </c>
      <c r="Y2546" s="2" t="s">
        <v>39</v>
      </c>
      <c r="Z2546" s="2" t="s">
        <v>39</v>
      </c>
      <c r="AA2546" s="2" t="s">
        <v>39</v>
      </c>
      <c r="AB2546" s="2" t="s">
        <v>39</v>
      </c>
      <c r="AC2546" s="2" t="s">
        <v>39</v>
      </c>
      <c r="AD2546" s="2" t="s">
        <v>39</v>
      </c>
      <c r="AE2546" s="2" t="s">
        <v>39</v>
      </c>
    </row>
    <row r="2547" spans="1:31" ht="409.5">
      <c r="A2547" s="2">
        <v>2715212</v>
      </c>
      <c r="B2547" s="2">
        <f>HYPERLINK("https://platform.v2.vetology.net/cases/2715212/screening-report/1?type=pdf&amp;v=v6&amp;scorecard=1&amp;secret_key=BX%25IJ%24%2F65ieZ%29f6", 2715212)</f>
        <v>2715212</v>
      </c>
      <c r="C2547" s="2">
        <f>HYPERLINK("https://platform.v2.vetology.net/report/v/final/"&amp;2715212, 2715212)</f>
        <v>2715212</v>
      </c>
      <c r="D2547" s="2" t="s">
        <v>3694</v>
      </c>
      <c r="E2547" s="2" t="s">
        <v>3695</v>
      </c>
      <c r="F2547" s="2" t="s">
        <v>3696</v>
      </c>
      <c r="G2547" s="2" t="s">
        <v>111</v>
      </c>
      <c r="H2547" s="2" t="s">
        <v>8171</v>
      </c>
      <c r="I2547" s="2" t="s">
        <v>129</v>
      </c>
      <c r="J2547" s="2" t="s">
        <v>74</v>
      </c>
      <c r="K2547" s="2" t="s">
        <v>39</v>
      </c>
      <c r="L2547" s="2" t="s">
        <v>38</v>
      </c>
      <c r="M2547" s="2" t="s">
        <v>38</v>
      </c>
      <c r="N2547" s="2" t="s">
        <v>38</v>
      </c>
      <c r="O2547" s="2" t="s">
        <v>38</v>
      </c>
      <c r="P2547" s="2" t="s">
        <v>38</v>
      </c>
      <c r="Q2547" s="2" t="s">
        <v>38</v>
      </c>
      <c r="R2547" s="2" t="s">
        <v>38</v>
      </c>
      <c r="S2547" s="2" t="s">
        <v>38</v>
      </c>
      <c r="T2547" s="2" t="s">
        <v>38</v>
      </c>
      <c r="U2547" s="2" t="s">
        <v>39</v>
      </c>
      <c r="V2547" s="2" t="s">
        <v>38</v>
      </c>
      <c r="W2547" s="2" t="s">
        <v>38</v>
      </c>
      <c r="X2547" s="2" t="s">
        <v>38</v>
      </c>
      <c r="Y2547" s="2" t="s">
        <v>39</v>
      </c>
      <c r="Z2547" s="2" t="s">
        <v>38</v>
      </c>
      <c r="AA2547" s="2" t="s">
        <v>38</v>
      </c>
      <c r="AB2547" s="2" t="s">
        <v>38</v>
      </c>
      <c r="AC2547" s="2" t="s">
        <v>38</v>
      </c>
      <c r="AD2547" s="2" t="s">
        <v>38</v>
      </c>
      <c r="AE2547" s="2" t="s">
        <v>39</v>
      </c>
    </row>
    <row r="2548" spans="1:31" ht="409.5">
      <c r="A2548" s="2">
        <v>2715184</v>
      </c>
      <c r="B2548" s="2">
        <f>HYPERLINK("https://platform.v2.vetology.net/cases/2715184/screening-report/1?type=pdf&amp;v=v6&amp;scorecard=1&amp;secret_key=BX%25IJ%24%2F65ieZ%29f6", 2715184)</f>
        <v>2715184</v>
      </c>
      <c r="C2548" s="2">
        <f>HYPERLINK("https://platform.v2.vetology.net/report/v/final/"&amp;2715184, 2715184)</f>
        <v>2715184</v>
      </c>
      <c r="D2548" s="2" t="s">
        <v>8172</v>
      </c>
      <c r="E2548" s="2" t="s">
        <v>8173</v>
      </c>
      <c r="F2548" s="2"/>
      <c r="G2548" s="2" t="s">
        <v>507</v>
      </c>
      <c r="H2548" s="2" t="s">
        <v>8174</v>
      </c>
      <c r="I2548" s="2" t="s">
        <v>257</v>
      </c>
      <c r="J2548" s="2" t="s">
        <v>74</v>
      </c>
      <c r="K2548" s="2" t="s">
        <v>38</v>
      </c>
      <c r="L2548" s="2" t="s">
        <v>38</v>
      </c>
      <c r="M2548" s="2" t="s">
        <v>38</v>
      </c>
      <c r="N2548" s="2" t="s">
        <v>38</v>
      </c>
      <c r="O2548" s="2" t="s">
        <v>38</v>
      </c>
      <c r="P2548" s="2" t="s">
        <v>38</v>
      </c>
      <c r="Q2548" s="2" t="s">
        <v>38</v>
      </c>
      <c r="R2548" s="2" t="s">
        <v>38</v>
      </c>
      <c r="S2548" s="2" t="s">
        <v>38</v>
      </c>
      <c r="T2548" s="2" t="s">
        <v>38</v>
      </c>
      <c r="U2548" s="2" t="s">
        <v>38</v>
      </c>
      <c r="V2548" s="2" t="s">
        <v>38</v>
      </c>
      <c r="W2548" s="2" t="s">
        <v>38</v>
      </c>
      <c r="X2548" s="2" t="s">
        <v>38</v>
      </c>
      <c r="Y2548" s="2" t="s">
        <v>38</v>
      </c>
      <c r="Z2548" s="2" t="s">
        <v>38</v>
      </c>
      <c r="AA2548" s="2" t="s">
        <v>38</v>
      </c>
      <c r="AB2548" s="2" t="s">
        <v>38</v>
      </c>
      <c r="AC2548" s="2" t="s">
        <v>38</v>
      </c>
      <c r="AD2548" s="2" t="s">
        <v>38</v>
      </c>
      <c r="AE2548" s="2" t="s">
        <v>40</v>
      </c>
    </row>
    <row r="2549" spans="1:31" ht="409.5">
      <c r="A2549" s="2">
        <v>2715183</v>
      </c>
      <c r="B2549" s="2">
        <f>HYPERLINK("https://platform.v2.vetology.net/cases/2715183/screening-report/1?type=pdf&amp;v=v6&amp;scorecard=1&amp;secret_key=BX%25IJ%24%2F65ieZ%29f6", 2715183)</f>
        <v>2715183</v>
      </c>
      <c r="C2549" s="2">
        <f>HYPERLINK("https://platform.v2.vetology.net/report/v/final/"&amp;2715183, 2715183)</f>
        <v>2715183</v>
      </c>
      <c r="D2549" s="2" t="s">
        <v>8175</v>
      </c>
      <c r="E2549" s="2" t="s">
        <v>8176</v>
      </c>
      <c r="F2549" s="2" t="s">
        <v>8177</v>
      </c>
      <c r="G2549" s="2" t="s">
        <v>111</v>
      </c>
      <c r="H2549" s="2" t="s">
        <v>8178</v>
      </c>
      <c r="I2549" s="2" t="s">
        <v>36</v>
      </c>
      <c r="J2549" s="2" t="s">
        <v>37</v>
      </c>
      <c r="K2549" s="2" t="s">
        <v>39</v>
      </c>
      <c r="L2549" s="2" t="s">
        <v>39</v>
      </c>
      <c r="M2549" s="2" t="s">
        <v>38</v>
      </c>
      <c r="N2549" s="2" t="s">
        <v>38</v>
      </c>
      <c r="O2549" s="2" t="s">
        <v>38</v>
      </c>
      <c r="P2549" s="2" t="s">
        <v>38</v>
      </c>
      <c r="Q2549" s="2" t="s">
        <v>39</v>
      </c>
      <c r="R2549" s="2" t="s">
        <v>38</v>
      </c>
      <c r="S2549" s="2" t="s">
        <v>39</v>
      </c>
      <c r="T2549" s="2" t="s">
        <v>38</v>
      </c>
      <c r="U2549" s="2" t="s">
        <v>39</v>
      </c>
      <c r="V2549" s="2" t="s">
        <v>39</v>
      </c>
      <c r="W2549" s="2" t="s">
        <v>38</v>
      </c>
      <c r="X2549" s="2" t="s">
        <v>39</v>
      </c>
      <c r="Y2549" s="2" t="s">
        <v>39</v>
      </c>
      <c r="Z2549" s="2" t="s">
        <v>38</v>
      </c>
      <c r="AA2549" s="2" t="s">
        <v>39</v>
      </c>
      <c r="AB2549" s="2" t="s">
        <v>39</v>
      </c>
      <c r="AC2549" s="2" t="s">
        <v>38</v>
      </c>
      <c r="AD2549" s="2" t="s">
        <v>39</v>
      </c>
      <c r="AE2549" s="2" t="s">
        <v>39</v>
      </c>
    </row>
    <row r="2550" spans="1:31" ht="409.5">
      <c r="A2550" s="2">
        <v>2715150</v>
      </c>
      <c r="B2550" s="2">
        <f>HYPERLINK("https://platform.v2.vetology.net/cases/2715150/screening-report/1?type=pdf&amp;v=v6&amp;scorecard=1&amp;secret_key=BX%25IJ%24%2F65ieZ%29f6", 2715150)</f>
        <v>2715150</v>
      </c>
      <c r="C2550" s="2">
        <f>HYPERLINK("https://platform.v2.vetology.net/report/v/final/"&amp;2715150, 2715150)</f>
        <v>2715150</v>
      </c>
      <c r="D2550" s="2" t="s">
        <v>8179</v>
      </c>
      <c r="E2550" s="2" t="s">
        <v>8180</v>
      </c>
      <c r="F2550" s="2" t="s">
        <v>8181</v>
      </c>
      <c r="G2550" s="2" t="s">
        <v>53</v>
      </c>
      <c r="H2550" s="2" t="s">
        <v>8182</v>
      </c>
      <c r="I2550" s="2" t="s">
        <v>36</v>
      </c>
      <c r="J2550" s="2" t="s">
        <v>37</v>
      </c>
      <c r="K2550" s="2" t="s">
        <v>38</v>
      </c>
      <c r="L2550" s="2" t="s">
        <v>38</v>
      </c>
      <c r="M2550" s="2" t="s">
        <v>38</v>
      </c>
      <c r="N2550" s="2" t="s">
        <v>38</v>
      </c>
      <c r="O2550" s="2" t="s">
        <v>38</v>
      </c>
      <c r="P2550" s="2" t="s">
        <v>39</v>
      </c>
      <c r="Q2550" s="2" t="s">
        <v>38</v>
      </c>
      <c r="R2550" s="2" t="s">
        <v>38</v>
      </c>
      <c r="S2550" s="2" t="s">
        <v>38</v>
      </c>
      <c r="T2550" s="2" t="s">
        <v>38</v>
      </c>
      <c r="U2550" s="2" t="s">
        <v>38</v>
      </c>
      <c r="V2550" s="2" t="s">
        <v>38</v>
      </c>
      <c r="W2550" s="2" t="s">
        <v>38</v>
      </c>
      <c r="X2550" s="2" t="s">
        <v>39</v>
      </c>
      <c r="Y2550" s="2" t="s">
        <v>39</v>
      </c>
      <c r="Z2550" s="2" t="s">
        <v>38</v>
      </c>
      <c r="AA2550" s="2" t="s">
        <v>38</v>
      </c>
      <c r="AB2550" s="2" t="s">
        <v>38</v>
      </c>
      <c r="AC2550" s="2" t="s">
        <v>38</v>
      </c>
      <c r="AD2550" s="2" t="s">
        <v>38</v>
      </c>
      <c r="AE2550" s="2" t="s">
        <v>39</v>
      </c>
    </row>
    <row r="2551" spans="1:31" ht="409.5">
      <c r="A2551" s="2">
        <v>2715129</v>
      </c>
      <c r="B2551" s="2">
        <f>HYPERLINK("https://platform.v2.vetology.net/cases/2715129/screening-report/1?type=pdf&amp;v=v6&amp;scorecard=1&amp;secret_key=BX%25IJ%24%2F65ieZ%29f6", 2715129)</f>
        <v>2715129</v>
      </c>
      <c r="C2551" s="2">
        <f>HYPERLINK("https://platform.v2.vetology.net/report/v/final/"&amp;2715129, 2715129)</f>
        <v>2715129</v>
      </c>
      <c r="D2551" s="2" t="s">
        <v>8183</v>
      </c>
      <c r="E2551" s="2" t="s">
        <v>8184</v>
      </c>
      <c r="F2551" s="2" t="s">
        <v>8185</v>
      </c>
      <c r="G2551" s="2" t="s">
        <v>53</v>
      </c>
      <c r="H2551" s="2" t="s">
        <v>8186</v>
      </c>
      <c r="I2551" s="2" t="s">
        <v>73</v>
      </c>
      <c r="J2551" s="2" t="s">
        <v>74</v>
      </c>
      <c r="K2551" s="2" t="s">
        <v>38</v>
      </c>
      <c r="L2551" s="2" t="s">
        <v>38</v>
      </c>
      <c r="M2551" s="2" t="s">
        <v>39</v>
      </c>
      <c r="N2551" s="2" t="s">
        <v>38</v>
      </c>
      <c r="O2551" s="2" t="s">
        <v>38</v>
      </c>
      <c r="P2551" s="2" t="s">
        <v>38</v>
      </c>
      <c r="Q2551" s="2" t="s">
        <v>38</v>
      </c>
      <c r="R2551" s="2" t="s">
        <v>38</v>
      </c>
      <c r="S2551" s="2" t="s">
        <v>38</v>
      </c>
      <c r="T2551" s="2" t="s">
        <v>38</v>
      </c>
      <c r="U2551" s="2" t="s">
        <v>38</v>
      </c>
      <c r="V2551" s="2" t="s">
        <v>38</v>
      </c>
      <c r="W2551" s="2" t="s">
        <v>39</v>
      </c>
      <c r="X2551" s="2" t="s">
        <v>38</v>
      </c>
      <c r="Y2551" s="2" t="s">
        <v>38</v>
      </c>
      <c r="Z2551" s="2" t="s">
        <v>39</v>
      </c>
      <c r="AA2551" s="2" t="s">
        <v>38</v>
      </c>
      <c r="AB2551" s="2" t="s">
        <v>39</v>
      </c>
      <c r="AC2551" s="2" t="s">
        <v>38</v>
      </c>
      <c r="AD2551" s="2" t="s">
        <v>39</v>
      </c>
      <c r="AE2551" s="2" t="s">
        <v>40</v>
      </c>
    </row>
    <row r="2552" spans="1:31" ht="409.5">
      <c r="A2552" s="2">
        <v>2715117</v>
      </c>
      <c r="B2552" s="2">
        <f>HYPERLINK("https://platform.v2.vetology.net/cases/2715117/screening-report/1?type=pdf&amp;v=v6&amp;scorecard=1&amp;secret_key=BX%25IJ%24%2F65ieZ%29f6", 2715117)</f>
        <v>2715117</v>
      </c>
      <c r="C2552" s="2">
        <f>HYPERLINK("https://platform.v2.vetology.net/report/v/final/"&amp;2715117, 2715117)</f>
        <v>2715117</v>
      </c>
      <c r="D2552" s="2" t="s">
        <v>8187</v>
      </c>
      <c r="E2552" s="2" t="s">
        <v>8188</v>
      </c>
      <c r="F2552" s="2" t="s">
        <v>8189</v>
      </c>
      <c r="G2552" s="2" t="s">
        <v>53</v>
      </c>
      <c r="H2552" s="2" t="s">
        <v>8190</v>
      </c>
      <c r="I2552" s="2" t="s">
        <v>36</v>
      </c>
      <c r="J2552" s="2" t="s">
        <v>37</v>
      </c>
      <c r="K2552" s="2" t="s">
        <v>39</v>
      </c>
      <c r="L2552" s="2" t="s">
        <v>38</v>
      </c>
      <c r="M2552" s="2" t="s">
        <v>38</v>
      </c>
      <c r="N2552" s="2" t="s">
        <v>38</v>
      </c>
      <c r="O2552" s="2" t="s">
        <v>38</v>
      </c>
      <c r="P2552" s="2" t="s">
        <v>38</v>
      </c>
      <c r="Q2552" s="2" t="s">
        <v>39</v>
      </c>
      <c r="R2552" s="2" t="s">
        <v>38</v>
      </c>
      <c r="S2552" s="2" t="s">
        <v>38</v>
      </c>
      <c r="T2552" s="2" t="s">
        <v>38</v>
      </c>
      <c r="U2552" s="2" t="s">
        <v>39</v>
      </c>
      <c r="V2552" s="2" t="s">
        <v>38</v>
      </c>
      <c r="W2552" s="2" t="s">
        <v>38</v>
      </c>
      <c r="X2552" s="2" t="s">
        <v>39</v>
      </c>
      <c r="Y2552" s="2" t="s">
        <v>39</v>
      </c>
      <c r="Z2552" s="2" t="s">
        <v>38</v>
      </c>
      <c r="AA2552" s="2" t="s">
        <v>38</v>
      </c>
      <c r="AB2552" s="2" t="s">
        <v>39</v>
      </c>
      <c r="AC2552" s="2" t="s">
        <v>38</v>
      </c>
      <c r="AD2552" s="2" t="s">
        <v>38</v>
      </c>
      <c r="AE2552" s="2" t="s">
        <v>40</v>
      </c>
    </row>
    <row r="2553" spans="1:31" ht="409.5">
      <c r="A2553" s="2">
        <v>2715113</v>
      </c>
      <c r="B2553" s="2">
        <f>HYPERLINK("https://platform.v2.vetology.net/cases/2715113/screening-report/1?type=pdf&amp;v=v6&amp;scorecard=1&amp;secret_key=BX%25IJ%24%2F65ieZ%29f6", 2715113)</f>
        <v>2715113</v>
      </c>
      <c r="C2553" s="2">
        <f>HYPERLINK("https://platform.v2.vetology.net/report/v/final/"&amp;2715113, 2715113)</f>
        <v>2715113</v>
      </c>
      <c r="D2553" s="2" t="s">
        <v>8191</v>
      </c>
      <c r="E2553" s="2" t="s">
        <v>8192</v>
      </c>
      <c r="F2553" s="2" t="s">
        <v>8193</v>
      </c>
      <c r="G2553" s="2" t="s">
        <v>111</v>
      </c>
      <c r="H2553" s="2" t="s">
        <v>69</v>
      </c>
      <c r="I2553" s="2" t="s">
        <v>46</v>
      </c>
      <c r="J2553" s="2"/>
      <c r="K2553" s="2" t="s">
        <v>39</v>
      </c>
      <c r="L2553" s="2" t="s">
        <v>39</v>
      </c>
      <c r="M2553" s="2" t="s">
        <v>39</v>
      </c>
      <c r="N2553" s="2" t="s">
        <v>39</v>
      </c>
      <c r="O2553" s="2" t="s">
        <v>39</v>
      </c>
      <c r="P2553" s="2" t="s">
        <v>39</v>
      </c>
      <c r="Q2553" s="2" t="s">
        <v>39</v>
      </c>
      <c r="R2553" s="2" t="s">
        <v>39</v>
      </c>
      <c r="S2553" s="2" t="s">
        <v>39</v>
      </c>
      <c r="T2553" s="2" t="s">
        <v>39</v>
      </c>
      <c r="U2553" s="2" t="s">
        <v>39</v>
      </c>
      <c r="V2553" s="2" t="s">
        <v>39</v>
      </c>
      <c r="W2553" s="2" t="s">
        <v>39</v>
      </c>
      <c r="X2553" s="2" t="s">
        <v>39</v>
      </c>
      <c r="Y2553" s="2" t="s">
        <v>39</v>
      </c>
      <c r="Z2553" s="2" t="s">
        <v>39</v>
      </c>
      <c r="AA2553" s="2" t="s">
        <v>39</v>
      </c>
      <c r="AB2553" s="2" t="s">
        <v>39</v>
      </c>
      <c r="AC2553" s="2" t="s">
        <v>39</v>
      </c>
      <c r="AD2553" s="2" t="s">
        <v>39</v>
      </c>
      <c r="AE2553" s="2" t="s">
        <v>39</v>
      </c>
    </row>
    <row r="2554" spans="1:31" ht="409.5">
      <c r="A2554" s="2">
        <v>2715081</v>
      </c>
      <c r="B2554" s="2">
        <f>HYPERLINK("https://platform.v2.vetology.net/cases/2715081/screening-report/1?type=pdf&amp;v=v6&amp;scorecard=1&amp;secret_key=BX%25IJ%24%2F65ieZ%29f6", 2715081)</f>
        <v>2715081</v>
      </c>
      <c r="C2554" s="2">
        <f>HYPERLINK("https://platform.v2.vetology.net/report/v/final/"&amp;2715081, 2715081)</f>
        <v>2715081</v>
      </c>
      <c r="D2554" s="2" t="s">
        <v>8194</v>
      </c>
      <c r="E2554" s="2" t="s">
        <v>8195</v>
      </c>
      <c r="F2554" s="2"/>
      <c r="G2554" s="2" t="s">
        <v>100</v>
      </c>
      <c r="H2554" s="2" t="s">
        <v>8196</v>
      </c>
      <c r="I2554" s="2" t="s">
        <v>36</v>
      </c>
      <c r="J2554" s="2" t="s">
        <v>37</v>
      </c>
      <c r="K2554" s="2" t="s">
        <v>39</v>
      </c>
      <c r="L2554" s="2" t="s">
        <v>38</v>
      </c>
      <c r="M2554" s="2" t="s">
        <v>38</v>
      </c>
      <c r="N2554" s="2" t="s">
        <v>39</v>
      </c>
      <c r="O2554" s="2" t="s">
        <v>39</v>
      </c>
      <c r="P2554" s="2" t="s">
        <v>39</v>
      </c>
      <c r="Q2554" s="2" t="s">
        <v>39</v>
      </c>
      <c r="R2554" s="2" t="s">
        <v>38</v>
      </c>
      <c r="S2554" s="2" t="s">
        <v>38</v>
      </c>
      <c r="T2554" s="2" t="s">
        <v>39</v>
      </c>
      <c r="U2554" s="2" t="s">
        <v>39</v>
      </c>
      <c r="V2554" s="2" t="s">
        <v>39</v>
      </c>
      <c r="W2554" s="2" t="s">
        <v>38</v>
      </c>
      <c r="X2554" s="2" t="s">
        <v>39</v>
      </c>
      <c r="Y2554" s="2" t="s">
        <v>38</v>
      </c>
      <c r="Z2554" s="2" t="s">
        <v>38</v>
      </c>
      <c r="AA2554" s="2" t="s">
        <v>39</v>
      </c>
      <c r="AB2554" s="2" t="s">
        <v>39</v>
      </c>
      <c r="AC2554" s="2" t="s">
        <v>38</v>
      </c>
      <c r="AD2554" s="2" t="s">
        <v>38</v>
      </c>
      <c r="AE2554" s="2" t="s">
        <v>40</v>
      </c>
    </row>
    <row r="2555" spans="1:31" ht="409.5">
      <c r="A2555" s="2">
        <v>2715072</v>
      </c>
      <c r="B2555" s="2">
        <f>HYPERLINK("https://platform.v2.vetology.net/cases/2715072/screening-report/1?type=pdf&amp;v=v6&amp;scorecard=1&amp;secret_key=BX%25IJ%24%2F65ieZ%29f6", 2715072)</f>
        <v>2715072</v>
      </c>
      <c r="C2555" s="2">
        <f>HYPERLINK("https://platform.v2.vetology.net/report/v/final/"&amp;2715072, 2715072)</f>
        <v>2715072</v>
      </c>
      <c r="D2555" s="2" t="s">
        <v>8197</v>
      </c>
      <c r="E2555" s="2" t="s">
        <v>8198</v>
      </c>
      <c r="F2555" s="2" t="s">
        <v>43</v>
      </c>
      <c r="G2555" s="2" t="s">
        <v>100</v>
      </c>
      <c r="H2555" s="2" t="s">
        <v>8199</v>
      </c>
      <c r="I2555" s="2" t="s">
        <v>129</v>
      </c>
      <c r="J2555" s="2" t="s">
        <v>74</v>
      </c>
      <c r="K2555" s="2" t="s">
        <v>38</v>
      </c>
      <c r="L2555" s="2" t="s">
        <v>38</v>
      </c>
      <c r="M2555" s="2" t="s">
        <v>38</v>
      </c>
      <c r="N2555" s="2" t="s">
        <v>38</v>
      </c>
      <c r="O2555" s="2" t="s">
        <v>38</v>
      </c>
      <c r="P2555" s="2" t="s">
        <v>38</v>
      </c>
      <c r="Q2555" s="2" t="s">
        <v>38</v>
      </c>
      <c r="R2555" s="2" t="s">
        <v>38</v>
      </c>
      <c r="S2555" s="2" t="s">
        <v>38</v>
      </c>
      <c r="T2555" s="2" t="s">
        <v>39</v>
      </c>
      <c r="U2555" s="2" t="s">
        <v>39</v>
      </c>
      <c r="V2555" s="2" t="s">
        <v>38</v>
      </c>
      <c r="W2555" s="2" t="s">
        <v>38</v>
      </c>
      <c r="X2555" s="2" t="s">
        <v>38</v>
      </c>
      <c r="Y2555" s="2" t="s">
        <v>39</v>
      </c>
      <c r="Z2555" s="2" t="s">
        <v>38</v>
      </c>
      <c r="AA2555" s="2" t="s">
        <v>38</v>
      </c>
      <c r="AB2555" s="2" t="s">
        <v>38</v>
      </c>
      <c r="AC2555" s="2" t="s">
        <v>38</v>
      </c>
      <c r="AD2555" s="2" t="s">
        <v>38</v>
      </c>
      <c r="AE2555" s="2" t="s">
        <v>39</v>
      </c>
    </row>
    <row r="2556" spans="1:31" ht="409.5">
      <c r="A2556" s="2">
        <v>2715068</v>
      </c>
      <c r="B2556" s="2">
        <f>HYPERLINK("https://platform.v2.vetology.net/cases/2715068/screening-report/1?type=pdf&amp;v=v6&amp;scorecard=1&amp;secret_key=BX%25IJ%24%2F65ieZ%29f6", 2715068)</f>
        <v>2715068</v>
      </c>
      <c r="C2556" s="2">
        <f>HYPERLINK("https://platform.v2.vetology.net/report/v/final/"&amp;2715068, 2715068)</f>
        <v>2715068</v>
      </c>
      <c r="D2556" s="2" t="s">
        <v>8200</v>
      </c>
      <c r="E2556" s="2" t="s">
        <v>8201</v>
      </c>
      <c r="F2556" s="2" t="s">
        <v>8202</v>
      </c>
      <c r="G2556" s="2" t="s">
        <v>111</v>
      </c>
      <c r="H2556" s="2" t="s">
        <v>8203</v>
      </c>
      <c r="I2556" s="2" t="s">
        <v>73</v>
      </c>
      <c r="J2556" s="2" t="s">
        <v>74</v>
      </c>
      <c r="K2556" s="2" t="s">
        <v>38</v>
      </c>
      <c r="L2556" s="2" t="s">
        <v>38</v>
      </c>
      <c r="M2556" s="2" t="s">
        <v>38</v>
      </c>
      <c r="N2556" s="2" t="s">
        <v>38</v>
      </c>
      <c r="O2556" s="2" t="s">
        <v>38</v>
      </c>
      <c r="P2556" s="2" t="s">
        <v>38</v>
      </c>
      <c r="Q2556" s="2" t="s">
        <v>38</v>
      </c>
      <c r="R2556" s="2" t="s">
        <v>38</v>
      </c>
      <c r="S2556" s="2" t="s">
        <v>38</v>
      </c>
      <c r="T2556" s="2" t="s">
        <v>38</v>
      </c>
      <c r="U2556" s="2" t="s">
        <v>39</v>
      </c>
      <c r="V2556" s="2" t="s">
        <v>38</v>
      </c>
      <c r="W2556" s="2" t="s">
        <v>38</v>
      </c>
      <c r="X2556" s="2" t="s">
        <v>38</v>
      </c>
      <c r="Y2556" s="2" t="s">
        <v>38</v>
      </c>
      <c r="Z2556" s="2" t="s">
        <v>38</v>
      </c>
      <c r="AA2556" s="2" t="s">
        <v>38</v>
      </c>
      <c r="AB2556" s="2" t="s">
        <v>38</v>
      </c>
      <c r="AC2556" s="2" t="s">
        <v>38</v>
      </c>
      <c r="AD2556" s="2" t="s">
        <v>38</v>
      </c>
      <c r="AE2556" s="2" t="s">
        <v>40</v>
      </c>
    </row>
    <row r="2557" spans="1:31" ht="409.5">
      <c r="A2557" s="2">
        <v>2715065</v>
      </c>
      <c r="B2557" s="2">
        <f>HYPERLINK("https://platform.v2.vetology.net/cases/2715065/screening-report/1?type=pdf&amp;v=v6&amp;scorecard=1&amp;secret_key=BX%25IJ%24%2F65ieZ%29f6", 2715065)</f>
        <v>2715065</v>
      </c>
      <c r="C2557" s="2">
        <f>HYPERLINK("https://platform.v2.vetology.net/report/v/final/"&amp;2715065, 2715065)</f>
        <v>2715065</v>
      </c>
      <c r="D2557" s="2" t="s">
        <v>8204</v>
      </c>
      <c r="E2557" s="2" t="s">
        <v>8205</v>
      </c>
      <c r="F2557" s="2" t="s">
        <v>8206</v>
      </c>
      <c r="G2557" s="2" t="s">
        <v>170</v>
      </c>
      <c r="H2557" s="2" t="s">
        <v>62</v>
      </c>
      <c r="I2557" s="2" t="s">
        <v>46</v>
      </c>
      <c r="J2557" s="2"/>
      <c r="K2557" s="2" t="s">
        <v>39</v>
      </c>
      <c r="L2557" s="2" t="s">
        <v>39</v>
      </c>
      <c r="M2557" s="2" t="s">
        <v>39</v>
      </c>
      <c r="N2557" s="2" t="s">
        <v>39</v>
      </c>
      <c r="O2557" s="2" t="s">
        <v>39</v>
      </c>
      <c r="P2557" s="2" t="s">
        <v>39</v>
      </c>
      <c r="Q2557" s="2" t="s">
        <v>39</v>
      </c>
      <c r="R2557" s="2" t="s">
        <v>38</v>
      </c>
      <c r="S2557" s="2" t="s">
        <v>38</v>
      </c>
      <c r="T2557" s="2" t="s">
        <v>39</v>
      </c>
      <c r="U2557" s="2" t="s">
        <v>39</v>
      </c>
      <c r="V2557" s="2" t="s">
        <v>38</v>
      </c>
      <c r="W2557" s="2" t="s">
        <v>38</v>
      </c>
      <c r="X2557" s="2" t="s">
        <v>39</v>
      </c>
      <c r="Y2557" s="2" t="s">
        <v>39</v>
      </c>
      <c r="Z2557" s="2" t="s">
        <v>39</v>
      </c>
      <c r="AA2557" s="2" t="s">
        <v>39</v>
      </c>
      <c r="AB2557" s="2" t="s">
        <v>39</v>
      </c>
      <c r="AC2557" s="2" t="s">
        <v>38</v>
      </c>
      <c r="AD2557" s="2" t="s">
        <v>38</v>
      </c>
      <c r="AE2557" s="2" t="s">
        <v>40</v>
      </c>
    </row>
    <row r="2558" spans="1:31" ht="409.5">
      <c r="A2558" s="2">
        <v>2714961</v>
      </c>
      <c r="B2558" s="2">
        <f>HYPERLINK("https://platform.v2.vetology.net/cases/2714961/screening-report/1?type=pdf&amp;v=v6&amp;scorecard=1&amp;secret_key=BX%25IJ%24%2F65ieZ%29f6", 2714961)</f>
        <v>2714961</v>
      </c>
      <c r="C2558" s="2">
        <f>HYPERLINK("https://platform.v2.vetology.net/report/v/final/"&amp;2714961, 2714961)</f>
        <v>2714961</v>
      </c>
      <c r="D2558" s="2" t="s">
        <v>8207</v>
      </c>
      <c r="E2558" s="2" t="s">
        <v>8208</v>
      </c>
      <c r="F2558" s="2" t="s">
        <v>8209</v>
      </c>
      <c r="G2558" s="2" t="s">
        <v>53</v>
      </c>
      <c r="H2558" s="2" t="s">
        <v>4050</v>
      </c>
      <c r="I2558" s="2" t="s">
        <v>36</v>
      </c>
      <c r="J2558" s="2" t="s">
        <v>37</v>
      </c>
      <c r="K2558" s="2" t="s">
        <v>38</v>
      </c>
      <c r="L2558" s="2" t="s">
        <v>39</v>
      </c>
      <c r="M2558" s="2" t="s">
        <v>38</v>
      </c>
      <c r="N2558" s="2" t="s">
        <v>39</v>
      </c>
      <c r="O2558" s="2" t="s">
        <v>38</v>
      </c>
      <c r="P2558" s="2" t="s">
        <v>39</v>
      </c>
      <c r="Q2558" s="2" t="s">
        <v>39</v>
      </c>
      <c r="R2558" s="2" t="s">
        <v>39</v>
      </c>
      <c r="S2558" s="2" t="s">
        <v>39</v>
      </c>
      <c r="T2558" s="2" t="s">
        <v>39</v>
      </c>
      <c r="U2558" s="2" t="s">
        <v>38</v>
      </c>
      <c r="V2558" s="2" t="s">
        <v>38</v>
      </c>
      <c r="W2558" s="2" t="s">
        <v>39</v>
      </c>
      <c r="X2558" s="2" t="s">
        <v>39</v>
      </c>
      <c r="Y2558" s="2" t="s">
        <v>39</v>
      </c>
      <c r="Z2558" s="2" t="s">
        <v>38</v>
      </c>
      <c r="AA2558" s="2" t="s">
        <v>39</v>
      </c>
      <c r="AB2558" s="2" t="s">
        <v>39</v>
      </c>
      <c r="AC2558" s="2" t="s">
        <v>38</v>
      </c>
      <c r="AD2558" s="2" t="s">
        <v>39</v>
      </c>
      <c r="AE2558" s="2" t="s">
        <v>40</v>
      </c>
    </row>
    <row r="2559" spans="1:31" ht="409.5">
      <c r="A2559" s="2">
        <v>2714934</v>
      </c>
      <c r="B2559" s="2">
        <f>HYPERLINK("https://platform.v2.vetology.net/cases/2714934/screening-report/1?type=pdf&amp;v=v6&amp;scorecard=1&amp;secret_key=BX%25IJ%24%2F65ieZ%29f6", 2714934)</f>
        <v>2714934</v>
      </c>
      <c r="C2559" s="2">
        <f>HYPERLINK("https://platform.v2.vetology.net/report/v/final/"&amp;2714934, 2714934)</f>
        <v>2714934</v>
      </c>
      <c r="D2559" s="2" t="s">
        <v>8210</v>
      </c>
      <c r="E2559" s="2" t="s">
        <v>8211</v>
      </c>
      <c r="F2559" s="2"/>
      <c r="G2559" s="2" t="s">
        <v>81</v>
      </c>
      <c r="H2559" s="2" t="s">
        <v>8212</v>
      </c>
      <c r="I2559" s="2" t="s">
        <v>36</v>
      </c>
      <c r="J2559" s="2" t="s">
        <v>37</v>
      </c>
      <c r="K2559" s="2" t="s">
        <v>39</v>
      </c>
      <c r="L2559" s="2" t="s">
        <v>38</v>
      </c>
      <c r="M2559" s="2" t="s">
        <v>38</v>
      </c>
      <c r="N2559" s="2" t="s">
        <v>38</v>
      </c>
      <c r="O2559" s="2" t="s">
        <v>38</v>
      </c>
      <c r="P2559" s="2" t="s">
        <v>39</v>
      </c>
      <c r="Q2559" s="2" t="s">
        <v>39</v>
      </c>
      <c r="R2559" s="2" t="s">
        <v>39</v>
      </c>
      <c r="S2559" s="2" t="s">
        <v>39</v>
      </c>
      <c r="T2559" s="2" t="s">
        <v>38</v>
      </c>
      <c r="U2559" s="2" t="s">
        <v>39</v>
      </c>
      <c r="V2559" s="2" t="s">
        <v>39</v>
      </c>
      <c r="W2559" s="2" t="s">
        <v>39</v>
      </c>
      <c r="X2559" s="2" t="s">
        <v>39</v>
      </c>
      <c r="Y2559" s="2" t="s">
        <v>39</v>
      </c>
      <c r="Z2559" s="2" t="s">
        <v>38</v>
      </c>
      <c r="AA2559" s="2" t="s">
        <v>39</v>
      </c>
      <c r="AB2559" s="2" t="s">
        <v>39</v>
      </c>
      <c r="AC2559" s="2" t="s">
        <v>38</v>
      </c>
      <c r="AD2559" s="2" t="s">
        <v>39</v>
      </c>
      <c r="AE2559" s="2" t="s">
        <v>40</v>
      </c>
    </row>
    <row r="2560" spans="1:31" ht="409.5">
      <c r="A2560" s="2">
        <v>2714925</v>
      </c>
      <c r="B2560" s="2">
        <f>HYPERLINK("https://platform.v2.vetology.net/cases/2714925/screening-report/1?type=pdf&amp;v=v6&amp;scorecard=1&amp;secret_key=BX%25IJ%24%2F65ieZ%29f6", 2714925)</f>
        <v>2714925</v>
      </c>
      <c r="C2560" s="2">
        <f>HYPERLINK("https://platform.v2.vetology.net/report/v/final/"&amp;2714925, 2714925)</f>
        <v>2714925</v>
      </c>
      <c r="D2560" s="2" t="s">
        <v>8213</v>
      </c>
      <c r="E2560" s="2" t="s">
        <v>8214</v>
      </c>
      <c r="F2560" s="2" t="s">
        <v>8215</v>
      </c>
      <c r="G2560" s="2" t="s">
        <v>53</v>
      </c>
      <c r="H2560" s="2" t="s">
        <v>801</v>
      </c>
      <c r="I2560" s="2" t="s">
        <v>59</v>
      </c>
      <c r="J2560" s="2" t="s">
        <v>37</v>
      </c>
      <c r="K2560" s="2" t="s">
        <v>38</v>
      </c>
      <c r="L2560" s="2" t="s">
        <v>39</v>
      </c>
      <c r="M2560" s="2" t="s">
        <v>39</v>
      </c>
      <c r="N2560" s="2" t="s">
        <v>39</v>
      </c>
      <c r="O2560" s="2" t="s">
        <v>39</v>
      </c>
      <c r="P2560" s="2" t="s">
        <v>39</v>
      </c>
      <c r="Q2560" s="2" t="s">
        <v>39</v>
      </c>
      <c r="R2560" s="2" t="s">
        <v>38</v>
      </c>
      <c r="S2560" s="2" t="s">
        <v>39</v>
      </c>
      <c r="T2560" s="2" t="s">
        <v>39</v>
      </c>
      <c r="U2560" s="2" t="s">
        <v>38</v>
      </c>
      <c r="V2560" s="2" t="s">
        <v>38</v>
      </c>
      <c r="W2560" s="2" t="s">
        <v>39</v>
      </c>
      <c r="X2560" s="2" t="s">
        <v>39</v>
      </c>
      <c r="Y2560" s="2" t="s">
        <v>39</v>
      </c>
      <c r="Z2560" s="2" t="s">
        <v>39</v>
      </c>
      <c r="AA2560" s="2" t="s">
        <v>39</v>
      </c>
      <c r="AB2560" s="2" t="s">
        <v>39</v>
      </c>
      <c r="AC2560" s="2" t="s">
        <v>38</v>
      </c>
      <c r="AD2560" s="2" t="s">
        <v>39</v>
      </c>
      <c r="AE2560" s="2" t="s">
        <v>40</v>
      </c>
    </row>
    <row r="2561" spans="1:31" ht="409.5">
      <c r="A2561" s="2">
        <v>2714916</v>
      </c>
      <c r="B2561" s="2">
        <f>HYPERLINK("https://platform.v2.vetology.net/cases/2714916/screening-report/1?type=pdf&amp;v=v6&amp;scorecard=1&amp;secret_key=BX%25IJ%24%2F65ieZ%29f6", 2714916)</f>
        <v>2714916</v>
      </c>
      <c r="C2561" s="2">
        <f>HYPERLINK("https://platform.v2.vetology.net/report/v/final/"&amp;2714916, 2714916)</f>
        <v>2714916</v>
      </c>
      <c r="D2561" s="2" t="s">
        <v>8216</v>
      </c>
      <c r="E2561" s="2" t="s">
        <v>8217</v>
      </c>
      <c r="F2561" s="2" t="s">
        <v>8218</v>
      </c>
      <c r="G2561" s="2" t="s">
        <v>251</v>
      </c>
      <c r="H2561" s="2" t="s">
        <v>394</v>
      </c>
      <c r="I2561" s="2" t="s">
        <v>59</v>
      </c>
      <c r="J2561" s="2" t="s">
        <v>37</v>
      </c>
      <c r="K2561" s="2" t="s">
        <v>38</v>
      </c>
      <c r="L2561" s="2" t="s">
        <v>39</v>
      </c>
      <c r="M2561" s="2" t="s">
        <v>39</v>
      </c>
      <c r="N2561" s="2" t="s">
        <v>39</v>
      </c>
      <c r="O2561" s="2" t="s">
        <v>39</v>
      </c>
      <c r="P2561" s="2" t="s">
        <v>39</v>
      </c>
      <c r="Q2561" s="2" t="s">
        <v>39</v>
      </c>
      <c r="R2561" s="2" t="s">
        <v>39</v>
      </c>
      <c r="S2561" s="2" t="s">
        <v>39</v>
      </c>
      <c r="T2561" s="2" t="s">
        <v>38</v>
      </c>
      <c r="U2561" s="2" t="s">
        <v>38</v>
      </c>
      <c r="V2561" s="2" t="s">
        <v>38</v>
      </c>
      <c r="W2561" s="2" t="s">
        <v>39</v>
      </c>
      <c r="X2561" s="2" t="s">
        <v>39</v>
      </c>
      <c r="Y2561" s="2" t="s">
        <v>39</v>
      </c>
      <c r="Z2561" s="2" t="s">
        <v>39</v>
      </c>
      <c r="AA2561" s="2" t="s">
        <v>39</v>
      </c>
      <c r="AB2561" s="2" t="s">
        <v>39</v>
      </c>
      <c r="AC2561" s="2" t="s">
        <v>39</v>
      </c>
      <c r="AD2561" s="2" t="s">
        <v>39</v>
      </c>
      <c r="AE2561" s="2" t="s">
        <v>39</v>
      </c>
    </row>
    <row r="2562" spans="1:31" ht="409.5">
      <c r="A2562" s="2">
        <v>2714908</v>
      </c>
      <c r="B2562" s="2">
        <f>HYPERLINK("https://platform.v2.vetology.net/cases/2714908/screening-report/1?type=pdf&amp;v=v6&amp;scorecard=1&amp;secret_key=BX%25IJ%24%2F65ieZ%29f6", 2714908)</f>
        <v>2714908</v>
      </c>
      <c r="C2562" s="2">
        <f>HYPERLINK("https://platform.v2.vetology.net/report/v/final/"&amp;2714908, 2714908)</f>
        <v>2714908</v>
      </c>
      <c r="D2562" s="2" t="s">
        <v>8219</v>
      </c>
      <c r="E2562" s="2" t="s">
        <v>2520</v>
      </c>
      <c r="F2562" s="2" t="s">
        <v>2521</v>
      </c>
      <c r="G2562" s="2" t="s">
        <v>100</v>
      </c>
      <c r="H2562" s="2" t="s">
        <v>8220</v>
      </c>
      <c r="I2562" s="2" t="s">
        <v>36</v>
      </c>
      <c r="J2562" s="2" t="s">
        <v>37</v>
      </c>
      <c r="K2562" s="2" t="s">
        <v>38</v>
      </c>
      <c r="L2562" s="2" t="s">
        <v>38</v>
      </c>
      <c r="M2562" s="2" t="s">
        <v>39</v>
      </c>
      <c r="N2562" s="2" t="s">
        <v>39</v>
      </c>
      <c r="O2562" s="2" t="s">
        <v>38</v>
      </c>
      <c r="P2562" s="2" t="s">
        <v>39</v>
      </c>
      <c r="Q2562" s="2" t="s">
        <v>39</v>
      </c>
      <c r="R2562" s="2" t="s">
        <v>38</v>
      </c>
      <c r="S2562" s="2" t="s">
        <v>38</v>
      </c>
      <c r="T2562" s="2" t="s">
        <v>38</v>
      </c>
      <c r="U2562" s="2" t="s">
        <v>39</v>
      </c>
      <c r="V2562" s="2" t="s">
        <v>38</v>
      </c>
      <c r="W2562" s="2" t="s">
        <v>38</v>
      </c>
      <c r="X2562" s="2" t="s">
        <v>39</v>
      </c>
      <c r="Y2562" s="2" t="s">
        <v>39</v>
      </c>
      <c r="Z2562" s="2" t="s">
        <v>38</v>
      </c>
      <c r="AA2562" s="2" t="s">
        <v>39</v>
      </c>
      <c r="AB2562" s="2" t="s">
        <v>39</v>
      </c>
      <c r="AC2562" s="2" t="s">
        <v>39</v>
      </c>
      <c r="AD2562" s="2" t="s">
        <v>38</v>
      </c>
      <c r="AE2562" s="2" t="s">
        <v>39</v>
      </c>
    </row>
    <row r="2563" spans="1:31" ht="409.5">
      <c r="A2563" s="2">
        <v>2714899</v>
      </c>
      <c r="B2563" s="2">
        <f>HYPERLINK("https://platform.v2.vetology.net/cases/2714899/screening-report/1?type=pdf&amp;v=v6&amp;scorecard=1&amp;secret_key=BX%25IJ%24%2F65ieZ%29f6", 2714899)</f>
        <v>2714899</v>
      </c>
      <c r="C2563" s="2">
        <f>HYPERLINK("https://platform.v2.vetology.net/report/v/final/"&amp;2714899, 2714899)</f>
        <v>2714899</v>
      </c>
      <c r="D2563" s="2" t="s">
        <v>8221</v>
      </c>
      <c r="E2563" s="2" t="s">
        <v>8222</v>
      </c>
      <c r="F2563" s="2" t="s">
        <v>43</v>
      </c>
      <c r="G2563" s="2" t="s">
        <v>507</v>
      </c>
      <c r="H2563" s="2" t="s">
        <v>69</v>
      </c>
      <c r="I2563" s="2" t="s">
        <v>46</v>
      </c>
      <c r="J2563" s="2"/>
      <c r="K2563" s="2" t="s">
        <v>39</v>
      </c>
      <c r="L2563" s="2" t="s">
        <v>39</v>
      </c>
      <c r="M2563" s="2" t="s">
        <v>39</v>
      </c>
      <c r="N2563" s="2" t="s">
        <v>39</v>
      </c>
      <c r="O2563" s="2" t="s">
        <v>39</v>
      </c>
      <c r="P2563" s="2" t="s">
        <v>39</v>
      </c>
      <c r="Q2563" s="2" t="s">
        <v>39</v>
      </c>
      <c r="R2563" s="2" t="s">
        <v>39</v>
      </c>
      <c r="S2563" s="2" t="s">
        <v>39</v>
      </c>
      <c r="T2563" s="2" t="s">
        <v>39</v>
      </c>
      <c r="U2563" s="2" t="s">
        <v>39</v>
      </c>
      <c r="V2563" s="2" t="s">
        <v>39</v>
      </c>
      <c r="W2563" s="2" t="s">
        <v>38</v>
      </c>
      <c r="X2563" s="2" t="s">
        <v>39</v>
      </c>
      <c r="Y2563" s="2" t="s">
        <v>38</v>
      </c>
      <c r="Z2563" s="2" t="s">
        <v>38</v>
      </c>
      <c r="AA2563" s="2" t="s">
        <v>38</v>
      </c>
      <c r="AB2563" s="2" t="s">
        <v>39</v>
      </c>
      <c r="AC2563" s="2" t="s">
        <v>38</v>
      </c>
      <c r="AD2563" s="2" t="s">
        <v>38</v>
      </c>
      <c r="AE2563" s="2" t="s">
        <v>40</v>
      </c>
    </row>
    <row r="2564" spans="1:31" ht="409.5">
      <c r="A2564" s="2">
        <v>2714886</v>
      </c>
      <c r="B2564" s="2">
        <f>HYPERLINK("https://platform.v2.vetology.net/cases/2714886/screening-report/1?type=pdf&amp;v=v6&amp;scorecard=1&amp;secret_key=BX%25IJ%24%2F65ieZ%29f6", 2714886)</f>
        <v>2714886</v>
      </c>
      <c r="C2564" s="2">
        <f>HYPERLINK("https://platform.v2.vetology.net/report/v/final/"&amp;2714886, 2714886)</f>
        <v>2714886</v>
      </c>
      <c r="D2564" s="2" t="s">
        <v>302</v>
      </c>
      <c r="E2564" s="2" t="s">
        <v>99</v>
      </c>
      <c r="F2564" s="2"/>
      <c r="G2564" s="2" t="s">
        <v>100</v>
      </c>
      <c r="H2564" s="2" t="s">
        <v>1818</v>
      </c>
      <c r="I2564" s="2" t="s">
        <v>36</v>
      </c>
      <c r="J2564" s="2" t="s">
        <v>37</v>
      </c>
      <c r="K2564" s="2" t="s">
        <v>38</v>
      </c>
      <c r="L2564" s="2" t="s">
        <v>38</v>
      </c>
      <c r="M2564" s="2" t="s">
        <v>38</v>
      </c>
      <c r="N2564" s="2" t="s">
        <v>38</v>
      </c>
      <c r="O2564" s="2" t="s">
        <v>39</v>
      </c>
      <c r="P2564" s="2" t="s">
        <v>39</v>
      </c>
      <c r="Q2564" s="2" t="s">
        <v>39</v>
      </c>
      <c r="R2564" s="2" t="s">
        <v>38</v>
      </c>
      <c r="S2564" s="2" t="s">
        <v>38</v>
      </c>
      <c r="T2564" s="2" t="s">
        <v>39</v>
      </c>
      <c r="U2564" s="2" t="s">
        <v>38</v>
      </c>
      <c r="V2564" s="2" t="s">
        <v>38</v>
      </c>
      <c r="W2564" s="2" t="s">
        <v>38</v>
      </c>
      <c r="X2564" s="2" t="s">
        <v>39</v>
      </c>
      <c r="Y2564" s="2" t="s">
        <v>39</v>
      </c>
      <c r="Z2564" s="2" t="s">
        <v>38</v>
      </c>
      <c r="AA2564" s="2" t="s">
        <v>38</v>
      </c>
      <c r="AB2564" s="2" t="s">
        <v>39</v>
      </c>
      <c r="AC2564" s="2" t="s">
        <v>38</v>
      </c>
      <c r="AD2564" s="2" t="s">
        <v>38</v>
      </c>
      <c r="AE2564" s="2" t="s">
        <v>40</v>
      </c>
    </row>
    <row r="2565" spans="1:31" ht="409.5">
      <c r="A2565" s="2">
        <v>2714876</v>
      </c>
      <c r="B2565" s="2">
        <f>HYPERLINK("https://platform.v2.vetology.net/cases/2714876/screening-report/1?type=pdf&amp;v=v6&amp;scorecard=1&amp;secret_key=BX%25IJ%24%2F65ieZ%29f6", 2714876)</f>
        <v>2714876</v>
      </c>
      <c r="C2565" s="2">
        <f>HYPERLINK("https://platform.v2.vetology.net/report/v/final/"&amp;2714876, 2714876)</f>
        <v>2714876</v>
      </c>
      <c r="D2565" s="2" t="s">
        <v>8223</v>
      </c>
      <c r="E2565" s="2" t="s">
        <v>8224</v>
      </c>
      <c r="F2565" s="2" t="s">
        <v>8225</v>
      </c>
      <c r="G2565" s="2" t="s">
        <v>53</v>
      </c>
      <c r="H2565" s="2" t="s">
        <v>158</v>
      </c>
      <c r="I2565" s="2" t="s">
        <v>59</v>
      </c>
      <c r="J2565" s="2" t="s">
        <v>37</v>
      </c>
      <c r="K2565" s="2" t="s">
        <v>38</v>
      </c>
      <c r="L2565" s="2" t="s">
        <v>39</v>
      </c>
      <c r="M2565" s="2" t="s">
        <v>39</v>
      </c>
      <c r="N2565" s="2" t="s">
        <v>39</v>
      </c>
      <c r="O2565" s="2" t="s">
        <v>39</v>
      </c>
      <c r="P2565" s="2" t="s">
        <v>39</v>
      </c>
      <c r="Q2565" s="2" t="s">
        <v>39</v>
      </c>
      <c r="R2565" s="2" t="s">
        <v>39</v>
      </c>
      <c r="S2565" s="2" t="s">
        <v>39</v>
      </c>
      <c r="T2565" s="2" t="s">
        <v>39</v>
      </c>
      <c r="U2565" s="2" t="s">
        <v>38</v>
      </c>
      <c r="V2565" s="2" t="s">
        <v>39</v>
      </c>
      <c r="W2565" s="2" t="s">
        <v>39</v>
      </c>
      <c r="X2565" s="2" t="s">
        <v>39</v>
      </c>
      <c r="Y2565" s="2" t="s">
        <v>39</v>
      </c>
      <c r="Z2565" s="2" t="s">
        <v>39</v>
      </c>
      <c r="AA2565" s="2" t="s">
        <v>39</v>
      </c>
      <c r="AB2565" s="2" t="s">
        <v>39</v>
      </c>
      <c r="AC2565" s="2" t="s">
        <v>39</v>
      </c>
      <c r="AD2565" s="2" t="s">
        <v>39</v>
      </c>
      <c r="AE2565" s="2" t="s">
        <v>39</v>
      </c>
    </row>
    <row r="2566" spans="1:31" ht="409.5">
      <c r="A2566" s="2">
        <v>2714827</v>
      </c>
      <c r="B2566" s="2">
        <f>HYPERLINK("https://platform.v2.vetology.net/cases/2714827/screening-report/1?type=pdf&amp;v=v6&amp;scorecard=1&amp;secret_key=BX%25IJ%24%2F65ieZ%29f6", 2714827)</f>
        <v>2714827</v>
      </c>
      <c r="C2566" s="2">
        <f>HYPERLINK("https://platform.v2.vetology.net/report/v/final/"&amp;2714827, 2714827)</f>
        <v>2714827</v>
      </c>
      <c r="D2566" s="2" t="s">
        <v>8226</v>
      </c>
      <c r="E2566" s="2" t="s">
        <v>8227</v>
      </c>
      <c r="F2566" s="2" t="s">
        <v>8228</v>
      </c>
      <c r="G2566" s="2" t="s">
        <v>170</v>
      </c>
      <c r="H2566" s="2" t="s">
        <v>2049</v>
      </c>
      <c r="I2566" s="2" t="s">
        <v>36</v>
      </c>
      <c r="J2566" s="2" t="s">
        <v>37</v>
      </c>
      <c r="K2566" s="2" t="s">
        <v>38</v>
      </c>
      <c r="L2566" s="2" t="s">
        <v>39</v>
      </c>
      <c r="M2566" s="2" t="s">
        <v>38</v>
      </c>
      <c r="N2566" s="2" t="s">
        <v>39</v>
      </c>
      <c r="O2566" s="2" t="s">
        <v>38</v>
      </c>
      <c r="P2566" s="2" t="s">
        <v>39</v>
      </c>
      <c r="Q2566" s="2" t="s">
        <v>39</v>
      </c>
      <c r="R2566" s="2" t="s">
        <v>38</v>
      </c>
      <c r="S2566" s="2" t="s">
        <v>39</v>
      </c>
      <c r="T2566" s="2" t="s">
        <v>39</v>
      </c>
      <c r="U2566" s="2" t="s">
        <v>38</v>
      </c>
      <c r="V2566" s="2" t="s">
        <v>38</v>
      </c>
      <c r="W2566" s="2" t="s">
        <v>38</v>
      </c>
      <c r="X2566" s="2" t="s">
        <v>39</v>
      </c>
      <c r="Y2566" s="2" t="s">
        <v>39</v>
      </c>
      <c r="Z2566" s="2" t="s">
        <v>38</v>
      </c>
      <c r="AA2566" s="2" t="s">
        <v>39</v>
      </c>
      <c r="AB2566" s="2" t="s">
        <v>39</v>
      </c>
      <c r="AC2566" s="2" t="s">
        <v>38</v>
      </c>
      <c r="AD2566" s="2" t="s">
        <v>39</v>
      </c>
      <c r="AE2566" s="2" t="s">
        <v>39</v>
      </c>
    </row>
    <row r="2567" spans="1:31" ht="409.5">
      <c r="A2567" s="2">
        <v>2714809</v>
      </c>
      <c r="B2567" s="2">
        <f>HYPERLINK("https://platform.v2.vetology.net/cases/2714809/screening-report/1?type=pdf&amp;v=v6&amp;scorecard=1&amp;secret_key=BX%25IJ%24%2F65ieZ%29f6", 2714809)</f>
        <v>2714809</v>
      </c>
      <c r="C2567" s="2">
        <f>HYPERLINK("https://platform.v2.vetology.net/report/v/final/"&amp;2714809, 2714809)</f>
        <v>2714809</v>
      </c>
      <c r="D2567" s="2" t="s">
        <v>8229</v>
      </c>
      <c r="E2567" s="2" t="s">
        <v>8230</v>
      </c>
      <c r="F2567" s="2" t="s">
        <v>8231</v>
      </c>
      <c r="G2567" s="2" t="s">
        <v>111</v>
      </c>
      <c r="H2567" s="2" t="s">
        <v>8232</v>
      </c>
      <c r="I2567" s="2" t="s">
        <v>36</v>
      </c>
      <c r="J2567" s="2" t="s">
        <v>37</v>
      </c>
      <c r="K2567" s="2" t="s">
        <v>38</v>
      </c>
      <c r="L2567" s="2" t="s">
        <v>38</v>
      </c>
      <c r="M2567" s="2" t="s">
        <v>38</v>
      </c>
      <c r="N2567" s="2" t="s">
        <v>38</v>
      </c>
      <c r="O2567" s="2" t="s">
        <v>38</v>
      </c>
      <c r="P2567" s="2" t="s">
        <v>39</v>
      </c>
      <c r="Q2567" s="2" t="s">
        <v>39</v>
      </c>
      <c r="R2567" s="2" t="s">
        <v>38</v>
      </c>
      <c r="S2567" s="2" t="s">
        <v>38</v>
      </c>
      <c r="T2567" s="2" t="s">
        <v>38</v>
      </c>
      <c r="U2567" s="2" t="s">
        <v>38</v>
      </c>
      <c r="V2567" s="2" t="s">
        <v>38</v>
      </c>
      <c r="W2567" s="2" t="s">
        <v>39</v>
      </c>
      <c r="X2567" s="2" t="s">
        <v>39</v>
      </c>
      <c r="Y2567" s="2" t="s">
        <v>39</v>
      </c>
      <c r="Z2567" s="2" t="s">
        <v>38</v>
      </c>
      <c r="AA2567" s="2" t="s">
        <v>38</v>
      </c>
      <c r="AB2567" s="2" t="s">
        <v>39</v>
      </c>
      <c r="AC2567" s="2" t="s">
        <v>38</v>
      </c>
      <c r="AD2567" s="2" t="s">
        <v>38</v>
      </c>
      <c r="AE2567" s="2" t="s">
        <v>40</v>
      </c>
    </row>
    <row r="2568" spans="1:31" ht="409.5">
      <c r="A2568" s="2">
        <v>2714805</v>
      </c>
      <c r="B2568" s="2">
        <f>HYPERLINK("https://platform.v2.vetology.net/cases/2714805/screening-report/1?type=pdf&amp;v=v6&amp;scorecard=1&amp;secret_key=BX%25IJ%24%2F65ieZ%29f6", 2714805)</f>
        <v>2714805</v>
      </c>
      <c r="C2568" s="2">
        <f>HYPERLINK("https://platform.v2.vetology.net/report/v/final/"&amp;2714805, 2714805)</f>
        <v>2714805</v>
      </c>
      <c r="D2568" s="2" t="s">
        <v>8233</v>
      </c>
      <c r="E2568" s="2" t="s">
        <v>8234</v>
      </c>
      <c r="F2568" s="2" t="s">
        <v>43</v>
      </c>
      <c r="G2568" s="2" t="s">
        <v>100</v>
      </c>
      <c r="H2568" s="2" t="s">
        <v>222</v>
      </c>
      <c r="I2568" s="2" t="s">
        <v>36</v>
      </c>
      <c r="J2568" s="2" t="s">
        <v>37</v>
      </c>
      <c r="K2568" s="2" t="s">
        <v>39</v>
      </c>
      <c r="L2568" s="2" t="s">
        <v>39</v>
      </c>
      <c r="M2568" s="2" t="s">
        <v>38</v>
      </c>
      <c r="N2568" s="2" t="s">
        <v>38</v>
      </c>
      <c r="O2568" s="2" t="s">
        <v>38</v>
      </c>
      <c r="P2568" s="2" t="s">
        <v>39</v>
      </c>
      <c r="Q2568" s="2" t="s">
        <v>39</v>
      </c>
      <c r="R2568" s="2" t="s">
        <v>38</v>
      </c>
      <c r="S2568" s="2" t="s">
        <v>38</v>
      </c>
      <c r="T2568" s="2" t="s">
        <v>39</v>
      </c>
      <c r="U2568" s="2" t="s">
        <v>39</v>
      </c>
      <c r="V2568" s="2" t="s">
        <v>39</v>
      </c>
      <c r="W2568" s="2" t="s">
        <v>38</v>
      </c>
      <c r="X2568" s="2" t="s">
        <v>39</v>
      </c>
      <c r="Y2568" s="2" t="s">
        <v>39</v>
      </c>
      <c r="Z2568" s="2" t="s">
        <v>38</v>
      </c>
      <c r="AA2568" s="2" t="s">
        <v>39</v>
      </c>
      <c r="AB2568" s="2" t="s">
        <v>39</v>
      </c>
      <c r="AC2568" s="2" t="s">
        <v>38</v>
      </c>
      <c r="AD2568" s="2" t="s">
        <v>38</v>
      </c>
      <c r="AE2568" s="2" t="s">
        <v>39</v>
      </c>
    </row>
    <row r="2569" spans="1:31" ht="409.5">
      <c r="A2569" s="2">
        <v>2714781</v>
      </c>
      <c r="B2569" s="2">
        <f>HYPERLINK("https://platform.v2.vetology.net/cases/2714781/screening-report/1?type=pdf&amp;v=v6&amp;scorecard=1&amp;secret_key=BX%25IJ%24%2F65ieZ%29f6", 2714781)</f>
        <v>2714781</v>
      </c>
      <c r="C2569" s="2">
        <f>HYPERLINK("https://platform.v2.vetology.net/report/v/final/"&amp;2714781, 2714781)</f>
        <v>2714781</v>
      </c>
      <c r="D2569" s="2" t="s">
        <v>2629</v>
      </c>
      <c r="E2569" s="2" t="s">
        <v>118</v>
      </c>
      <c r="F2569" s="2" t="s">
        <v>1498</v>
      </c>
      <c r="G2569" s="2" t="s">
        <v>111</v>
      </c>
      <c r="H2569" s="2" t="s">
        <v>8235</v>
      </c>
      <c r="I2569" s="2" t="s">
        <v>36</v>
      </c>
      <c r="J2569" s="2" t="s">
        <v>37</v>
      </c>
      <c r="K2569" s="2" t="s">
        <v>39</v>
      </c>
      <c r="L2569" s="2" t="s">
        <v>39</v>
      </c>
      <c r="M2569" s="2" t="s">
        <v>38</v>
      </c>
      <c r="N2569" s="2" t="s">
        <v>39</v>
      </c>
      <c r="O2569" s="2" t="s">
        <v>38</v>
      </c>
      <c r="P2569" s="2" t="s">
        <v>39</v>
      </c>
      <c r="Q2569" s="2" t="s">
        <v>39</v>
      </c>
      <c r="R2569" s="2" t="s">
        <v>39</v>
      </c>
      <c r="S2569" s="2" t="s">
        <v>38</v>
      </c>
      <c r="T2569" s="2" t="s">
        <v>39</v>
      </c>
      <c r="U2569" s="2" t="s">
        <v>39</v>
      </c>
      <c r="V2569" s="2" t="s">
        <v>39</v>
      </c>
      <c r="W2569" s="2" t="s">
        <v>38</v>
      </c>
      <c r="X2569" s="2" t="s">
        <v>39</v>
      </c>
      <c r="Y2569" s="2" t="s">
        <v>39</v>
      </c>
      <c r="Z2569" s="2" t="s">
        <v>38</v>
      </c>
      <c r="AA2569" s="2" t="s">
        <v>38</v>
      </c>
      <c r="AB2569" s="2" t="s">
        <v>39</v>
      </c>
      <c r="AC2569" s="2" t="s">
        <v>38</v>
      </c>
      <c r="AD2569" s="2" t="s">
        <v>39</v>
      </c>
      <c r="AE2569" s="2" t="s">
        <v>39</v>
      </c>
    </row>
    <row r="2570" spans="1:31" ht="409.5">
      <c r="A2570" s="2">
        <v>2714775</v>
      </c>
      <c r="B2570" s="2">
        <f>HYPERLINK("https://platform.v2.vetology.net/cases/2714775/screening-report/1?type=pdf&amp;v=v6&amp;scorecard=1&amp;secret_key=BX%25IJ%24%2F65ieZ%29f6", 2714775)</f>
        <v>2714775</v>
      </c>
      <c r="C2570" s="2">
        <f>HYPERLINK("https://platform.v2.vetology.net/report/v/final/"&amp;2714775, 2714775)</f>
        <v>2714775</v>
      </c>
      <c r="D2570" s="2" t="s">
        <v>8236</v>
      </c>
      <c r="E2570" s="2" t="s">
        <v>8237</v>
      </c>
      <c r="F2570" s="2" t="s">
        <v>8238</v>
      </c>
      <c r="G2570" s="2" t="s">
        <v>170</v>
      </c>
      <c r="H2570" s="2" t="s">
        <v>797</v>
      </c>
      <c r="I2570" s="2" t="s">
        <v>59</v>
      </c>
      <c r="J2570" s="2" t="s">
        <v>37</v>
      </c>
      <c r="K2570" s="2" t="s">
        <v>38</v>
      </c>
      <c r="L2570" s="2" t="s">
        <v>39</v>
      </c>
      <c r="M2570" s="2" t="s">
        <v>39</v>
      </c>
      <c r="N2570" s="2" t="s">
        <v>39</v>
      </c>
      <c r="O2570" s="2" t="s">
        <v>39</v>
      </c>
      <c r="P2570" s="2" t="s">
        <v>39</v>
      </c>
      <c r="Q2570" s="2" t="s">
        <v>39</v>
      </c>
      <c r="R2570" s="2" t="s">
        <v>38</v>
      </c>
      <c r="S2570" s="2" t="s">
        <v>39</v>
      </c>
      <c r="T2570" s="2" t="s">
        <v>38</v>
      </c>
      <c r="U2570" s="2" t="s">
        <v>38</v>
      </c>
      <c r="V2570" s="2" t="s">
        <v>38</v>
      </c>
      <c r="W2570" s="2" t="s">
        <v>38</v>
      </c>
      <c r="X2570" s="2" t="s">
        <v>39</v>
      </c>
      <c r="Y2570" s="2" t="s">
        <v>39</v>
      </c>
      <c r="Z2570" s="2" t="s">
        <v>38</v>
      </c>
      <c r="AA2570" s="2" t="s">
        <v>39</v>
      </c>
      <c r="AB2570" s="2" t="s">
        <v>39</v>
      </c>
      <c r="AC2570" s="2" t="s">
        <v>38</v>
      </c>
      <c r="AD2570" s="2" t="s">
        <v>39</v>
      </c>
      <c r="AE2570" s="2" t="s">
        <v>39</v>
      </c>
    </row>
    <row r="2571" spans="1:31" ht="409.5">
      <c r="A2571" s="2">
        <v>2714768</v>
      </c>
      <c r="B2571" s="2">
        <f>HYPERLINK("https://platform.v2.vetology.net/cases/2714768/screening-report/1?type=pdf&amp;v=v6&amp;scorecard=1&amp;secret_key=BX%25IJ%24%2F65ieZ%29f6", 2714768)</f>
        <v>2714768</v>
      </c>
      <c r="C2571" s="2">
        <f>HYPERLINK("https://platform.v2.vetology.net/report/v/final/"&amp;2714768, 2714768)</f>
        <v>2714768</v>
      </c>
      <c r="D2571" s="2" t="s">
        <v>8239</v>
      </c>
      <c r="E2571" s="2" t="s">
        <v>8240</v>
      </c>
      <c r="F2571" s="2" t="s">
        <v>2000</v>
      </c>
      <c r="G2571" s="2" t="s">
        <v>100</v>
      </c>
      <c r="H2571" s="2" t="s">
        <v>8241</v>
      </c>
      <c r="I2571" s="2" t="s">
        <v>36</v>
      </c>
      <c r="J2571" s="2" t="s">
        <v>37</v>
      </c>
      <c r="K2571" s="2" t="s">
        <v>39</v>
      </c>
      <c r="L2571" s="2" t="s">
        <v>38</v>
      </c>
      <c r="M2571" s="2" t="s">
        <v>38</v>
      </c>
      <c r="N2571" s="2" t="s">
        <v>38</v>
      </c>
      <c r="O2571" s="2" t="s">
        <v>38</v>
      </c>
      <c r="P2571" s="2" t="s">
        <v>38</v>
      </c>
      <c r="Q2571" s="2" t="s">
        <v>38</v>
      </c>
      <c r="R2571" s="2" t="s">
        <v>38</v>
      </c>
      <c r="S2571" s="2" t="s">
        <v>38</v>
      </c>
      <c r="T2571" s="2" t="s">
        <v>38</v>
      </c>
      <c r="U2571" s="2" t="s">
        <v>39</v>
      </c>
      <c r="V2571" s="2" t="s">
        <v>39</v>
      </c>
      <c r="W2571" s="2" t="s">
        <v>38</v>
      </c>
      <c r="X2571" s="2" t="s">
        <v>38</v>
      </c>
      <c r="Y2571" s="2" t="s">
        <v>38</v>
      </c>
      <c r="Z2571" s="2" t="s">
        <v>38</v>
      </c>
      <c r="AA2571" s="2" t="s">
        <v>38</v>
      </c>
      <c r="AB2571" s="2" t="s">
        <v>38</v>
      </c>
      <c r="AC2571" s="2" t="s">
        <v>38</v>
      </c>
      <c r="AD2571" s="2" t="s">
        <v>38</v>
      </c>
      <c r="AE2571" s="2" t="s">
        <v>40</v>
      </c>
    </row>
    <row r="2572" spans="1:31" ht="409.5">
      <c r="A2572" s="2">
        <v>2714753</v>
      </c>
      <c r="B2572" s="2">
        <f>HYPERLINK("https://platform.v2.vetology.net/cases/2714753/screening-report/1?type=pdf&amp;v=v6&amp;scorecard=1&amp;secret_key=BX%25IJ%24%2F65ieZ%29f6", 2714753)</f>
        <v>2714753</v>
      </c>
      <c r="C2572" s="2">
        <f>HYPERLINK("https://platform.v2.vetology.net/report/v/final/"&amp;2714753, 2714753)</f>
        <v>2714753</v>
      </c>
      <c r="D2572" s="2" t="s">
        <v>8242</v>
      </c>
      <c r="E2572" s="2" t="s">
        <v>8243</v>
      </c>
      <c r="F2572" s="2" t="s">
        <v>8244</v>
      </c>
      <c r="G2572" s="2" t="s">
        <v>111</v>
      </c>
      <c r="H2572" s="2" t="s">
        <v>8245</v>
      </c>
      <c r="I2572" s="2" t="s">
        <v>73</v>
      </c>
      <c r="J2572" s="2" t="s">
        <v>74</v>
      </c>
      <c r="K2572" s="2" t="s">
        <v>38</v>
      </c>
      <c r="L2572" s="2" t="s">
        <v>38</v>
      </c>
      <c r="M2572" s="2" t="s">
        <v>38</v>
      </c>
      <c r="N2572" s="2" t="s">
        <v>38</v>
      </c>
      <c r="O2572" s="2" t="s">
        <v>38</v>
      </c>
      <c r="P2572" s="2" t="s">
        <v>38</v>
      </c>
      <c r="Q2572" s="2" t="s">
        <v>38</v>
      </c>
      <c r="R2572" s="2" t="s">
        <v>38</v>
      </c>
      <c r="S2572" s="2" t="s">
        <v>38</v>
      </c>
      <c r="T2572" s="2" t="s">
        <v>38</v>
      </c>
      <c r="U2572" s="2" t="s">
        <v>38</v>
      </c>
      <c r="V2572" s="2" t="s">
        <v>38</v>
      </c>
      <c r="W2572" s="2" t="s">
        <v>38</v>
      </c>
      <c r="X2572" s="2" t="s">
        <v>38</v>
      </c>
      <c r="Y2572" s="2" t="s">
        <v>38</v>
      </c>
      <c r="Z2572" s="2" t="s">
        <v>38</v>
      </c>
      <c r="AA2572" s="2" t="s">
        <v>38</v>
      </c>
      <c r="AB2572" s="2" t="s">
        <v>38</v>
      </c>
      <c r="AC2572" s="2" t="s">
        <v>38</v>
      </c>
      <c r="AD2572" s="2" t="s">
        <v>38</v>
      </c>
      <c r="AE2572" s="2" t="s">
        <v>40</v>
      </c>
    </row>
    <row r="2573" spans="1:31" ht="409.5">
      <c r="A2573" s="2">
        <v>2714733</v>
      </c>
      <c r="B2573" s="2">
        <f>HYPERLINK("https://platform.v2.vetology.net/cases/2714733/screening-report/1?type=pdf&amp;v=v6&amp;scorecard=1&amp;secret_key=BX%25IJ%24%2F65ieZ%29f6", 2714733)</f>
        <v>2714733</v>
      </c>
      <c r="C2573" s="2">
        <f>HYPERLINK("https://platform.v2.vetology.net/report/v/final/"&amp;2714733, 2714733)</f>
        <v>2714733</v>
      </c>
      <c r="D2573" s="2" t="s">
        <v>8246</v>
      </c>
      <c r="E2573" s="2" t="s">
        <v>8247</v>
      </c>
      <c r="F2573" s="2" t="s">
        <v>8248</v>
      </c>
      <c r="G2573" s="2" t="s">
        <v>507</v>
      </c>
      <c r="H2573" s="2" t="s">
        <v>1175</v>
      </c>
      <c r="I2573" s="2" t="s">
        <v>36</v>
      </c>
      <c r="J2573" s="2" t="s">
        <v>37</v>
      </c>
      <c r="K2573" s="2" t="s">
        <v>39</v>
      </c>
      <c r="L2573" s="2" t="s">
        <v>39</v>
      </c>
      <c r="M2573" s="2" t="s">
        <v>38</v>
      </c>
      <c r="N2573" s="2" t="s">
        <v>39</v>
      </c>
      <c r="O2573" s="2" t="s">
        <v>38</v>
      </c>
      <c r="P2573" s="2" t="s">
        <v>39</v>
      </c>
      <c r="Q2573" s="2" t="s">
        <v>39</v>
      </c>
      <c r="R2573" s="2" t="s">
        <v>38</v>
      </c>
      <c r="S2573" s="2" t="s">
        <v>39</v>
      </c>
      <c r="T2573" s="2" t="s">
        <v>39</v>
      </c>
      <c r="U2573" s="2" t="s">
        <v>39</v>
      </c>
      <c r="V2573" s="2" t="s">
        <v>39</v>
      </c>
      <c r="W2573" s="2" t="s">
        <v>39</v>
      </c>
      <c r="X2573" s="2" t="s">
        <v>39</v>
      </c>
      <c r="Y2573" s="2" t="s">
        <v>39</v>
      </c>
      <c r="Z2573" s="2" t="s">
        <v>39</v>
      </c>
      <c r="AA2573" s="2" t="s">
        <v>39</v>
      </c>
      <c r="AB2573" s="2" t="s">
        <v>39</v>
      </c>
      <c r="AC2573" s="2" t="s">
        <v>39</v>
      </c>
      <c r="AD2573" s="2" t="s">
        <v>39</v>
      </c>
      <c r="AE2573" s="2" t="s">
        <v>39</v>
      </c>
    </row>
    <row r="2574" spans="1:31" ht="409.5">
      <c r="A2574" s="2">
        <v>2714716</v>
      </c>
      <c r="B2574" s="2">
        <f>HYPERLINK("https://platform.v2.vetology.net/cases/2714716/screening-report/1?type=pdf&amp;v=v6&amp;scorecard=1&amp;secret_key=BX%25IJ%24%2F65ieZ%29f6", 2714716)</f>
        <v>2714716</v>
      </c>
      <c r="C2574" s="2">
        <f>HYPERLINK("https://platform.v2.vetology.net/report/v/final/"&amp;2714716, 2714716)</f>
        <v>2714716</v>
      </c>
      <c r="D2574" s="2" t="s">
        <v>8249</v>
      </c>
      <c r="E2574" s="2" t="s">
        <v>8250</v>
      </c>
      <c r="F2574" s="2" t="s">
        <v>2086</v>
      </c>
      <c r="G2574" s="2" t="s">
        <v>100</v>
      </c>
      <c r="H2574" s="2" t="s">
        <v>8251</v>
      </c>
      <c r="I2574" s="2" t="s">
        <v>36</v>
      </c>
      <c r="J2574" s="2" t="s">
        <v>37</v>
      </c>
      <c r="K2574" s="2" t="s">
        <v>39</v>
      </c>
      <c r="L2574" s="2" t="s">
        <v>38</v>
      </c>
      <c r="M2574" s="2" t="s">
        <v>39</v>
      </c>
      <c r="N2574" s="2" t="s">
        <v>38</v>
      </c>
      <c r="O2574" s="2" t="s">
        <v>38</v>
      </c>
      <c r="P2574" s="2" t="s">
        <v>39</v>
      </c>
      <c r="Q2574" s="2" t="s">
        <v>39</v>
      </c>
      <c r="R2574" s="2" t="s">
        <v>39</v>
      </c>
      <c r="S2574" s="2" t="s">
        <v>39</v>
      </c>
      <c r="T2574" s="2" t="s">
        <v>38</v>
      </c>
      <c r="U2574" s="2" t="s">
        <v>39</v>
      </c>
      <c r="V2574" s="2" t="s">
        <v>39</v>
      </c>
      <c r="W2574" s="2" t="s">
        <v>38</v>
      </c>
      <c r="X2574" s="2" t="s">
        <v>39</v>
      </c>
      <c r="Y2574" s="2" t="s">
        <v>39</v>
      </c>
      <c r="Z2574" s="2" t="s">
        <v>39</v>
      </c>
      <c r="AA2574" s="2" t="s">
        <v>39</v>
      </c>
      <c r="AB2574" s="2" t="s">
        <v>39</v>
      </c>
      <c r="AC2574" s="2" t="s">
        <v>38</v>
      </c>
      <c r="AD2574" s="2" t="s">
        <v>39</v>
      </c>
      <c r="AE2574" s="2" t="s">
        <v>39</v>
      </c>
    </row>
    <row r="2575" spans="1:31" ht="409.5">
      <c r="A2575" s="2">
        <v>2714710</v>
      </c>
      <c r="B2575" s="2">
        <f>HYPERLINK("https://platform.v2.vetology.net/cases/2714710/screening-report/1?type=pdf&amp;v=v6&amp;scorecard=1&amp;secret_key=BX%25IJ%24%2F65ieZ%29f6", 2714710)</f>
        <v>2714710</v>
      </c>
      <c r="C2575" s="2">
        <f>HYPERLINK("https://platform.v2.vetology.net/report/v/final/"&amp;2714710, 2714710)</f>
        <v>2714710</v>
      </c>
      <c r="D2575" s="2" t="s">
        <v>8252</v>
      </c>
      <c r="E2575" s="2" t="s">
        <v>8253</v>
      </c>
      <c r="F2575" s="2" t="s">
        <v>8254</v>
      </c>
      <c r="G2575" s="2" t="s">
        <v>507</v>
      </c>
      <c r="H2575" s="2" t="s">
        <v>45</v>
      </c>
      <c r="I2575" s="2" t="s">
        <v>46</v>
      </c>
      <c r="J2575" s="2"/>
      <c r="K2575" s="2" t="s">
        <v>39</v>
      </c>
      <c r="L2575" s="2" t="s">
        <v>39</v>
      </c>
      <c r="M2575" s="2" t="s">
        <v>39</v>
      </c>
      <c r="N2575" s="2" t="s">
        <v>39</v>
      </c>
      <c r="O2575" s="2" t="s">
        <v>39</v>
      </c>
      <c r="P2575" s="2" t="s">
        <v>39</v>
      </c>
      <c r="Q2575" s="2" t="s">
        <v>39</v>
      </c>
      <c r="R2575" s="2" t="s">
        <v>38</v>
      </c>
      <c r="S2575" s="2" t="s">
        <v>39</v>
      </c>
      <c r="T2575" s="2" t="s">
        <v>39</v>
      </c>
      <c r="U2575" s="2" t="s">
        <v>39</v>
      </c>
      <c r="V2575" s="2" t="s">
        <v>38</v>
      </c>
      <c r="W2575" s="2" t="s">
        <v>39</v>
      </c>
      <c r="X2575" s="2" t="s">
        <v>39</v>
      </c>
      <c r="Y2575" s="2" t="s">
        <v>39</v>
      </c>
      <c r="Z2575" s="2" t="s">
        <v>39</v>
      </c>
      <c r="AA2575" s="2" t="s">
        <v>39</v>
      </c>
      <c r="AB2575" s="2" t="s">
        <v>39</v>
      </c>
      <c r="AC2575" s="2" t="s">
        <v>39</v>
      </c>
      <c r="AD2575" s="2" t="s">
        <v>39</v>
      </c>
      <c r="AE2575" s="2" t="s">
        <v>39</v>
      </c>
    </row>
    <row r="2576" spans="1:31" ht="409.5">
      <c r="A2576" s="2">
        <v>2714707</v>
      </c>
      <c r="B2576" s="2">
        <f>HYPERLINK("https://platform.v2.vetology.net/cases/2714707/screening-report/1?type=pdf&amp;v=v6&amp;scorecard=1&amp;secret_key=BX%25IJ%24%2F65ieZ%29f6", 2714707)</f>
        <v>2714707</v>
      </c>
      <c r="C2576" s="2">
        <f>HYPERLINK("https://platform.v2.vetology.net/report/v/final/"&amp;2714707, 2714707)</f>
        <v>2714707</v>
      </c>
      <c r="D2576" s="2" t="s">
        <v>8255</v>
      </c>
      <c r="E2576" s="2" t="s">
        <v>8256</v>
      </c>
      <c r="F2576" s="2" t="s">
        <v>8257</v>
      </c>
      <c r="G2576" s="2" t="s">
        <v>53</v>
      </c>
      <c r="H2576" s="2" t="s">
        <v>8258</v>
      </c>
      <c r="I2576" s="2" t="s">
        <v>36</v>
      </c>
      <c r="J2576" s="2" t="s">
        <v>37</v>
      </c>
      <c r="K2576" s="2" t="s">
        <v>38</v>
      </c>
      <c r="L2576" s="2" t="s">
        <v>38</v>
      </c>
      <c r="M2576" s="2" t="s">
        <v>38</v>
      </c>
      <c r="N2576" s="2" t="s">
        <v>38</v>
      </c>
      <c r="O2576" s="2" t="s">
        <v>38</v>
      </c>
      <c r="P2576" s="2" t="s">
        <v>39</v>
      </c>
      <c r="Q2576" s="2" t="s">
        <v>39</v>
      </c>
      <c r="R2576" s="2" t="s">
        <v>38</v>
      </c>
      <c r="S2576" s="2" t="s">
        <v>39</v>
      </c>
      <c r="T2576" s="2" t="s">
        <v>39</v>
      </c>
      <c r="U2576" s="2" t="s">
        <v>39</v>
      </c>
      <c r="V2576" s="2" t="s">
        <v>38</v>
      </c>
      <c r="W2576" s="2" t="s">
        <v>38</v>
      </c>
      <c r="X2576" s="2" t="s">
        <v>39</v>
      </c>
      <c r="Y2576" s="2" t="s">
        <v>38</v>
      </c>
      <c r="Z2576" s="2" t="s">
        <v>38</v>
      </c>
      <c r="AA2576" s="2" t="s">
        <v>38</v>
      </c>
      <c r="AB2576" s="2" t="s">
        <v>39</v>
      </c>
      <c r="AC2576" s="2" t="s">
        <v>38</v>
      </c>
      <c r="AD2576" s="2" t="s">
        <v>38</v>
      </c>
      <c r="AE2576" s="2" t="s">
        <v>39</v>
      </c>
    </row>
    <row r="2577" spans="1:31" ht="409.5">
      <c r="A2577" s="2">
        <v>2714661</v>
      </c>
      <c r="B2577" s="2">
        <f>HYPERLINK("https://platform.v2.vetology.net/cases/2714661/screening-report/1?type=pdf&amp;v=v6&amp;scorecard=1&amp;secret_key=BX%25IJ%24%2F65ieZ%29f6", 2714661)</f>
        <v>2714661</v>
      </c>
      <c r="C2577" s="2">
        <f>HYPERLINK("https://platform.v2.vetology.net/report/v/final/"&amp;2714661, 2714661)</f>
        <v>2714661</v>
      </c>
      <c r="D2577" s="2" t="s">
        <v>8259</v>
      </c>
      <c r="E2577" s="2" t="s">
        <v>8260</v>
      </c>
      <c r="F2577" s="2" t="s">
        <v>8261</v>
      </c>
      <c r="G2577" s="2" t="s">
        <v>170</v>
      </c>
      <c r="H2577" s="2" t="s">
        <v>537</v>
      </c>
      <c r="I2577" s="2" t="s">
        <v>59</v>
      </c>
      <c r="J2577" s="2" t="s">
        <v>37</v>
      </c>
      <c r="K2577" s="2" t="s">
        <v>38</v>
      </c>
      <c r="L2577" s="2" t="s">
        <v>39</v>
      </c>
      <c r="M2577" s="2" t="s">
        <v>39</v>
      </c>
      <c r="N2577" s="2" t="s">
        <v>39</v>
      </c>
      <c r="O2577" s="2" t="s">
        <v>39</v>
      </c>
      <c r="P2577" s="2" t="s">
        <v>39</v>
      </c>
      <c r="Q2577" s="2" t="s">
        <v>39</v>
      </c>
      <c r="R2577" s="2" t="s">
        <v>39</v>
      </c>
      <c r="S2577" s="2" t="s">
        <v>39</v>
      </c>
      <c r="T2577" s="2" t="s">
        <v>39</v>
      </c>
      <c r="U2577" s="2" t="s">
        <v>38</v>
      </c>
      <c r="V2577" s="2" t="s">
        <v>38</v>
      </c>
      <c r="W2577" s="2" t="s">
        <v>39</v>
      </c>
      <c r="X2577" s="2" t="s">
        <v>39</v>
      </c>
      <c r="Y2577" s="2" t="s">
        <v>39</v>
      </c>
      <c r="Z2577" s="2" t="s">
        <v>39</v>
      </c>
      <c r="AA2577" s="2" t="s">
        <v>39</v>
      </c>
      <c r="AB2577" s="2" t="s">
        <v>39</v>
      </c>
      <c r="AC2577" s="2" t="s">
        <v>39</v>
      </c>
      <c r="AD2577" s="2" t="s">
        <v>39</v>
      </c>
      <c r="AE2577" s="2" t="s">
        <v>39</v>
      </c>
    </row>
    <row r="2578" spans="1:31" ht="409.5">
      <c r="A2578" s="2">
        <v>2714503</v>
      </c>
      <c r="B2578" s="2">
        <f>HYPERLINK("https://platform.v2.vetology.net/cases/2714503/screening-report/1?type=pdf&amp;v=v6&amp;scorecard=1&amp;secret_key=BX%25IJ%24%2F65ieZ%29f6", 2714503)</f>
        <v>2714503</v>
      </c>
      <c r="C2578" s="2">
        <f>HYPERLINK("https://platform.v2.vetology.net/report/v/final/"&amp;2714503, 2714503)</f>
        <v>2714503</v>
      </c>
      <c r="D2578" s="2" t="s">
        <v>8262</v>
      </c>
      <c r="E2578" s="2" t="s">
        <v>8263</v>
      </c>
      <c r="F2578" s="2"/>
      <c r="G2578" s="2" t="s">
        <v>100</v>
      </c>
      <c r="H2578" s="2" t="s">
        <v>69</v>
      </c>
      <c r="I2578" s="2" t="s">
        <v>46</v>
      </c>
      <c r="J2578" s="2"/>
      <c r="K2578" s="2" t="s">
        <v>39</v>
      </c>
      <c r="L2578" s="2" t="s">
        <v>39</v>
      </c>
      <c r="M2578" s="2" t="s">
        <v>39</v>
      </c>
      <c r="N2578" s="2" t="s">
        <v>39</v>
      </c>
      <c r="O2578" s="2" t="s">
        <v>39</v>
      </c>
      <c r="P2578" s="2" t="s">
        <v>39</v>
      </c>
      <c r="Q2578" s="2" t="s">
        <v>39</v>
      </c>
      <c r="R2578" s="2" t="s">
        <v>39</v>
      </c>
      <c r="S2578" s="2" t="s">
        <v>39</v>
      </c>
      <c r="T2578" s="2" t="s">
        <v>39</v>
      </c>
      <c r="U2578" s="2" t="s">
        <v>39</v>
      </c>
      <c r="V2578" s="2" t="s">
        <v>39</v>
      </c>
      <c r="W2578" s="2" t="s">
        <v>39</v>
      </c>
      <c r="X2578" s="2" t="s">
        <v>39</v>
      </c>
      <c r="Y2578" s="2" t="s">
        <v>39</v>
      </c>
      <c r="Z2578" s="2" t="s">
        <v>39</v>
      </c>
      <c r="AA2578" s="2" t="s">
        <v>39</v>
      </c>
      <c r="AB2578" s="2" t="s">
        <v>39</v>
      </c>
      <c r="AC2578" s="2" t="s">
        <v>39</v>
      </c>
      <c r="AD2578" s="2" t="s">
        <v>39</v>
      </c>
      <c r="AE2578" s="2" t="s">
        <v>39</v>
      </c>
    </row>
    <row r="2579" spans="1:31" ht="409.5">
      <c r="A2579" s="2">
        <v>2714492</v>
      </c>
      <c r="B2579" s="2">
        <f>HYPERLINK("https://platform.v2.vetology.net/cases/2714492/screening-report/1?type=pdf&amp;v=v6&amp;scorecard=1&amp;secret_key=BX%25IJ%24%2F65ieZ%29f6", 2714492)</f>
        <v>2714492</v>
      </c>
      <c r="C2579" s="2">
        <f>HYPERLINK("https://platform.v2.vetology.net/report/v/final/"&amp;2714492, 2714492)</f>
        <v>2714492</v>
      </c>
      <c r="D2579" s="2" t="s">
        <v>8264</v>
      </c>
      <c r="E2579" s="2" t="s">
        <v>8265</v>
      </c>
      <c r="F2579" s="2" t="s">
        <v>8266</v>
      </c>
      <c r="G2579" s="2" t="s">
        <v>53</v>
      </c>
      <c r="H2579" s="2" t="s">
        <v>8267</v>
      </c>
      <c r="I2579" s="2" t="s">
        <v>36</v>
      </c>
      <c r="J2579" s="2" t="s">
        <v>37</v>
      </c>
      <c r="K2579" s="2" t="s">
        <v>38</v>
      </c>
      <c r="L2579" s="2" t="s">
        <v>38</v>
      </c>
      <c r="M2579" s="2" t="s">
        <v>38</v>
      </c>
      <c r="N2579" s="2" t="s">
        <v>38</v>
      </c>
      <c r="O2579" s="2" t="s">
        <v>38</v>
      </c>
      <c r="P2579" s="2" t="s">
        <v>38</v>
      </c>
      <c r="Q2579" s="2" t="s">
        <v>38</v>
      </c>
      <c r="R2579" s="2" t="s">
        <v>38</v>
      </c>
      <c r="S2579" s="2" t="s">
        <v>38</v>
      </c>
      <c r="T2579" s="2" t="s">
        <v>38</v>
      </c>
      <c r="U2579" s="2" t="s">
        <v>38</v>
      </c>
      <c r="V2579" s="2" t="s">
        <v>38</v>
      </c>
      <c r="W2579" s="2" t="s">
        <v>38</v>
      </c>
      <c r="X2579" s="2" t="s">
        <v>39</v>
      </c>
      <c r="Y2579" s="2" t="s">
        <v>38</v>
      </c>
      <c r="Z2579" s="2" t="s">
        <v>38</v>
      </c>
      <c r="AA2579" s="2" t="s">
        <v>38</v>
      </c>
      <c r="AB2579" s="2" t="s">
        <v>39</v>
      </c>
      <c r="AC2579" s="2" t="s">
        <v>38</v>
      </c>
      <c r="AD2579" s="2" t="s">
        <v>38</v>
      </c>
      <c r="AE2579" s="2" t="s">
        <v>39</v>
      </c>
    </row>
    <row r="2580" spans="1:31" ht="409.5">
      <c r="A2580" s="2">
        <v>2714479</v>
      </c>
      <c r="B2580" s="2">
        <f>HYPERLINK("https://platform.v2.vetology.net/cases/2714479/screening-report/1?type=pdf&amp;v=v6&amp;scorecard=1&amp;secret_key=BX%25IJ%24%2F65ieZ%29f6", 2714479)</f>
        <v>2714479</v>
      </c>
      <c r="C2580" s="2">
        <f>HYPERLINK("https://platform.v2.vetology.net/report/v/final/"&amp;2714479, 2714479)</f>
        <v>2714479</v>
      </c>
      <c r="D2580" s="2" t="s">
        <v>8268</v>
      </c>
      <c r="E2580" s="2" t="s">
        <v>8269</v>
      </c>
      <c r="F2580" s="2" t="s">
        <v>8270</v>
      </c>
      <c r="G2580" s="2" t="s">
        <v>34</v>
      </c>
      <c r="H2580" s="2" t="s">
        <v>8271</v>
      </c>
      <c r="I2580" s="2" t="s">
        <v>257</v>
      </c>
      <c r="J2580" s="2" t="s">
        <v>74</v>
      </c>
      <c r="K2580" s="2" t="s">
        <v>38</v>
      </c>
      <c r="L2580" s="2" t="s">
        <v>38</v>
      </c>
      <c r="M2580" s="2" t="s">
        <v>38</v>
      </c>
      <c r="N2580" s="2" t="s">
        <v>38</v>
      </c>
      <c r="O2580" s="2" t="s">
        <v>38</v>
      </c>
      <c r="P2580" s="2" t="s">
        <v>38</v>
      </c>
      <c r="Q2580" s="2" t="s">
        <v>38</v>
      </c>
      <c r="R2580" s="2" t="s">
        <v>38</v>
      </c>
      <c r="S2580" s="2" t="s">
        <v>38</v>
      </c>
      <c r="T2580" s="2" t="s">
        <v>38</v>
      </c>
      <c r="U2580" s="2" t="s">
        <v>38</v>
      </c>
      <c r="V2580" s="2" t="s">
        <v>38</v>
      </c>
      <c r="W2580" s="2" t="s">
        <v>38</v>
      </c>
      <c r="X2580" s="2" t="s">
        <v>38</v>
      </c>
      <c r="Y2580" s="2" t="s">
        <v>38</v>
      </c>
      <c r="Z2580" s="2" t="s">
        <v>38</v>
      </c>
      <c r="AA2580" s="2" t="s">
        <v>38</v>
      </c>
      <c r="AB2580" s="2" t="s">
        <v>38</v>
      </c>
      <c r="AC2580" s="2" t="s">
        <v>38</v>
      </c>
      <c r="AD2580" s="2" t="s">
        <v>39</v>
      </c>
      <c r="AE2580" s="2" t="s">
        <v>39</v>
      </c>
    </row>
    <row r="2581" spans="1:31" ht="409.5">
      <c r="A2581" s="2">
        <v>2714400</v>
      </c>
      <c r="B2581" s="2">
        <f>HYPERLINK("https://platform.v2.vetology.net/cases/2714400/screening-report/1?type=pdf&amp;v=v6&amp;scorecard=1&amp;secret_key=BX%25IJ%24%2F65ieZ%29f6", 2714400)</f>
        <v>2714400</v>
      </c>
      <c r="C2581" s="2">
        <f>HYPERLINK("https://platform.v2.vetology.net/report/v/final/"&amp;2714400, 2714400)</f>
        <v>2714400</v>
      </c>
      <c r="D2581" s="2" t="s">
        <v>8272</v>
      </c>
      <c r="E2581" s="2" t="s">
        <v>8273</v>
      </c>
      <c r="F2581" s="2" t="s">
        <v>8274</v>
      </c>
      <c r="G2581" s="2" t="s">
        <v>251</v>
      </c>
      <c r="H2581" s="2" t="s">
        <v>69</v>
      </c>
      <c r="I2581" s="2" t="s">
        <v>46</v>
      </c>
      <c r="J2581" s="2"/>
      <c r="K2581" s="2" t="s">
        <v>39</v>
      </c>
      <c r="L2581" s="2" t="s">
        <v>39</v>
      </c>
      <c r="M2581" s="2" t="s">
        <v>39</v>
      </c>
      <c r="N2581" s="2" t="s">
        <v>39</v>
      </c>
      <c r="O2581" s="2" t="s">
        <v>39</v>
      </c>
      <c r="P2581" s="2" t="s">
        <v>39</v>
      </c>
      <c r="Q2581" s="2" t="s">
        <v>39</v>
      </c>
      <c r="R2581" s="2" t="s">
        <v>39</v>
      </c>
      <c r="S2581" s="2" t="s">
        <v>39</v>
      </c>
      <c r="T2581" s="2" t="s">
        <v>39</v>
      </c>
      <c r="U2581" s="2" t="s">
        <v>39</v>
      </c>
      <c r="V2581" s="2" t="s">
        <v>39</v>
      </c>
      <c r="W2581" s="2" t="s">
        <v>39</v>
      </c>
      <c r="X2581" s="2" t="s">
        <v>39</v>
      </c>
      <c r="Y2581" s="2" t="s">
        <v>39</v>
      </c>
      <c r="Z2581" s="2" t="s">
        <v>39</v>
      </c>
      <c r="AA2581" s="2" t="s">
        <v>39</v>
      </c>
      <c r="AB2581" s="2" t="s">
        <v>39</v>
      </c>
      <c r="AC2581" s="2" t="s">
        <v>39</v>
      </c>
      <c r="AD2581" s="2" t="s">
        <v>39</v>
      </c>
      <c r="AE2581" s="2" t="s">
        <v>40</v>
      </c>
    </row>
    <row r="2582" spans="1:31" ht="409.5">
      <c r="A2582" s="2">
        <v>2714398</v>
      </c>
      <c r="B2582" s="2">
        <f>HYPERLINK("https://platform.v2.vetology.net/cases/2714398/screening-report/1?type=pdf&amp;v=v6&amp;scorecard=1&amp;secret_key=BX%25IJ%24%2F65ieZ%29f6", 2714398)</f>
        <v>2714398</v>
      </c>
      <c r="C2582" s="2">
        <f>HYPERLINK("https://platform.v2.vetology.net/report/v/final/"&amp;2714398, 2714398)</f>
        <v>2714398</v>
      </c>
      <c r="D2582" s="2" t="s">
        <v>8275</v>
      </c>
      <c r="E2582" s="2" t="s">
        <v>8276</v>
      </c>
      <c r="F2582" s="2" t="s">
        <v>8277</v>
      </c>
      <c r="G2582" s="2" t="s">
        <v>251</v>
      </c>
      <c r="H2582" s="2" t="s">
        <v>398</v>
      </c>
      <c r="I2582" s="2" t="s">
        <v>46</v>
      </c>
      <c r="J2582" s="2"/>
      <c r="K2582" s="2" t="s">
        <v>38</v>
      </c>
      <c r="L2582" s="2" t="s">
        <v>39</v>
      </c>
      <c r="M2582" s="2" t="s">
        <v>39</v>
      </c>
      <c r="N2582" s="2" t="s">
        <v>39</v>
      </c>
      <c r="O2582" s="2" t="s">
        <v>39</v>
      </c>
      <c r="P2582" s="2" t="s">
        <v>39</v>
      </c>
      <c r="Q2582" s="2" t="s">
        <v>39</v>
      </c>
      <c r="R2582" s="2" t="s">
        <v>39</v>
      </c>
      <c r="S2582" s="2" t="s">
        <v>39</v>
      </c>
      <c r="T2582" s="2" t="s">
        <v>39</v>
      </c>
      <c r="U2582" s="2" t="s">
        <v>38</v>
      </c>
      <c r="V2582" s="2" t="s">
        <v>38</v>
      </c>
      <c r="W2582" s="2" t="s">
        <v>39</v>
      </c>
      <c r="X2582" s="2" t="s">
        <v>39</v>
      </c>
      <c r="Y2582" s="2" t="s">
        <v>39</v>
      </c>
      <c r="Z2582" s="2" t="s">
        <v>39</v>
      </c>
      <c r="AA2582" s="2" t="s">
        <v>39</v>
      </c>
      <c r="AB2582" s="2" t="s">
        <v>39</v>
      </c>
      <c r="AC2582" s="2" t="s">
        <v>39</v>
      </c>
      <c r="AD2582" s="2" t="s">
        <v>39</v>
      </c>
      <c r="AE2582" s="2" t="s">
        <v>39</v>
      </c>
    </row>
    <row r="2583" spans="1:31" ht="409.5">
      <c r="A2583" s="2">
        <v>2714376</v>
      </c>
      <c r="B2583" s="2">
        <f>HYPERLINK("https://platform.v2.vetology.net/cases/2714376/screening-report/1?type=pdf&amp;v=v6&amp;scorecard=1&amp;secret_key=BX%25IJ%24%2F65ieZ%29f6", 2714376)</f>
        <v>2714376</v>
      </c>
      <c r="C2583" s="2">
        <f>HYPERLINK("https://platform.v2.vetology.net/report/v/final/"&amp;2714376, 2714376)</f>
        <v>2714376</v>
      </c>
      <c r="D2583" s="2" t="s">
        <v>8278</v>
      </c>
      <c r="E2583" s="2" t="s">
        <v>8279</v>
      </c>
      <c r="F2583" s="2" t="s">
        <v>8280</v>
      </c>
      <c r="G2583" s="2" t="s">
        <v>170</v>
      </c>
      <c r="H2583" s="2" t="s">
        <v>8281</v>
      </c>
      <c r="I2583" s="2" t="s">
        <v>129</v>
      </c>
      <c r="J2583" s="2" t="s">
        <v>74</v>
      </c>
      <c r="K2583" s="2" t="s">
        <v>39</v>
      </c>
      <c r="L2583" s="2" t="s">
        <v>38</v>
      </c>
      <c r="M2583" s="2" t="s">
        <v>38</v>
      </c>
      <c r="N2583" s="2" t="s">
        <v>38</v>
      </c>
      <c r="O2583" s="2" t="s">
        <v>38</v>
      </c>
      <c r="P2583" s="2" t="s">
        <v>38</v>
      </c>
      <c r="Q2583" s="2" t="s">
        <v>38</v>
      </c>
      <c r="R2583" s="2" t="s">
        <v>38</v>
      </c>
      <c r="S2583" s="2" t="s">
        <v>38</v>
      </c>
      <c r="T2583" s="2" t="s">
        <v>38</v>
      </c>
      <c r="U2583" s="2" t="s">
        <v>39</v>
      </c>
      <c r="V2583" s="2" t="s">
        <v>39</v>
      </c>
      <c r="W2583" s="2" t="s">
        <v>38</v>
      </c>
      <c r="X2583" s="2" t="s">
        <v>38</v>
      </c>
      <c r="Y2583" s="2" t="s">
        <v>38</v>
      </c>
      <c r="Z2583" s="2" t="s">
        <v>38</v>
      </c>
      <c r="AA2583" s="2" t="s">
        <v>38</v>
      </c>
      <c r="AB2583" s="2" t="s">
        <v>38</v>
      </c>
      <c r="AC2583" s="2" t="s">
        <v>38</v>
      </c>
      <c r="AD2583" s="2" t="s">
        <v>38</v>
      </c>
      <c r="AE2583" s="2" t="s">
        <v>39</v>
      </c>
    </row>
    <row r="2584" spans="1:31" ht="409.5">
      <c r="A2584" s="2">
        <v>2714360</v>
      </c>
      <c r="B2584" s="2">
        <f>HYPERLINK("https://platform.v2.vetology.net/cases/2714360/screening-report/1?type=pdf&amp;v=v6&amp;scorecard=1&amp;secret_key=BX%25IJ%24%2F65ieZ%29f6", 2714360)</f>
        <v>2714360</v>
      </c>
      <c r="C2584" s="2">
        <f>HYPERLINK("https://platform.v2.vetology.net/report/v/final/"&amp;2714360, 2714360)</f>
        <v>2714360</v>
      </c>
      <c r="D2584" s="2" t="s">
        <v>8282</v>
      </c>
      <c r="E2584" s="2" t="s">
        <v>8283</v>
      </c>
      <c r="F2584" s="2" t="s">
        <v>8284</v>
      </c>
      <c r="G2584" s="2" t="s">
        <v>170</v>
      </c>
      <c r="H2584" s="2" t="s">
        <v>2195</v>
      </c>
      <c r="I2584" s="2" t="s">
        <v>46</v>
      </c>
      <c r="J2584" s="2"/>
      <c r="K2584" s="2" t="s">
        <v>39</v>
      </c>
      <c r="L2584" s="2" t="s">
        <v>38</v>
      </c>
      <c r="M2584" s="2" t="s">
        <v>39</v>
      </c>
      <c r="N2584" s="2" t="s">
        <v>39</v>
      </c>
      <c r="O2584" s="2" t="s">
        <v>39</v>
      </c>
      <c r="P2584" s="2" t="s">
        <v>39</v>
      </c>
      <c r="Q2584" s="2" t="s">
        <v>39</v>
      </c>
      <c r="R2584" s="2" t="s">
        <v>38</v>
      </c>
      <c r="S2584" s="2" t="s">
        <v>38</v>
      </c>
      <c r="T2584" s="2" t="s">
        <v>38</v>
      </c>
      <c r="U2584" s="2" t="s">
        <v>38</v>
      </c>
      <c r="V2584" s="2" t="s">
        <v>38</v>
      </c>
      <c r="W2584" s="2" t="s">
        <v>38</v>
      </c>
      <c r="X2584" s="2" t="s">
        <v>39</v>
      </c>
      <c r="Y2584" s="2" t="s">
        <v>39</v>
      </c>
      <c r="Z2584" s="2" t="s">
        <v>38</v>
      </c>
      <c r="AA2584" s="2" t="s">
        <v>38</v>
      </c>
      <c r="AB2584" s="2" t="s">
        <v>39</v>
      </c>
      <c r="AC2584" s="2" t="s">
        <v>38</v>
      </c>
      <c r="AD2584" s="2" t="s">
        <v>38</v>
      </c>
      <c r="AE2584" s="2" t="s">
        <v>39</v>
      </c>
    </row>
    <row r="2585" spans="1:31" ht="409.5">
      <c r="A2585" s="2">
        <v>2714333</v>
      </c>
      <c r="B2585" s="2">
        <f>HYPERLINK("https://platform.v2.vetology.net/cases/2714333/screening-report/1?type=pdf&amp;v=v6&amp;scorecard=1&amp;secret_key=BX%25IJ%24%2F65ieZ%29f6", 2714333)</f>
        <v>2714333</v>
      </c>
      <c r="C2585" s="2">
        <f>HYPERLINK("https://platform.v2.vetology.net/report/v/final/"&amp;2714333, 2714333)</f>
        <v>2714333</v>
      </c>
      <c r="D2585" s="2" t="s">
        <v>8285</v>
      </c>
      <c r="E2585" s="2" t="s">
        <v>8286</v>
      </c>
      <c r="F2585" s="2" t="s">
        <v>8287</v>
      </c>
      <c r="G2585" s="2" t="s">
        <v>170</v>
      </c>
      <c r="H2585" s="2" t="s">
        <v>1275</v>
      </c>
      <c r="I2585" s="2" t="s">
        <v>59</v>
      </c>
      <c r="J2585" s="2" t="s">
        <v>37</v>
      </c>
      <c r="K2585" s="2" t="s">
        <v>39</v>
      </c>
      <c r="L2585" s="2" t="s">
        <v>39</v>
      </c>
      <c r="M2585" s="2" t="s">
        <v>39</v>
      </c>
      <c r="N2585" s="2" t="s">
        <v>38</v>
      </c>
      <c r="O2585" s="2" t="s">
        <v>39</v>
      </c>
      <c r="P2585" s="2" t="s">
        <v>39</v>
      </c>
      <c r="Q2585" s="2" t="s">
        <v>39</v>
      </c>
      <c r="R2585" s="2" t="s">
        <v>39</v>
      </c>
      <c r="S2585" s="2" t="s">
        <v>39</v>
      </c>
      <c r="T2585" s="2" t="s">
        <v>39</v>
      </c>
      <c r="U2585" s="2" t="s">
        <v>39</v>
      </c>
      <c r="V2585" s="2" t="s">
        <v>39</v>
      </c>
      <c r="W2585" s="2" t="s">
        <v>38</v>
      </c>
      <c r="X2585" s="2" t="s">
        <v>39</v>
      </c>
      <c r="Y2585" s="2" t="s">
        <v>39</v>
      </c>
      <c r="Z2585" s="2" t="s">
        <v>39</v>
      </c>
      <c r="AA2585" s="2" t="s">
        <v>38</v>
      </c>
      <c r="AB2585" s="2" t="s">
        <v>39</v>
      </c>
      <c r="AC2585" s="2" t="s">
        <v>38</v>
      </c>
      <c r="AD2585" s="2" t="s">
        <v>38</v>
      </c>
      <c r="AE2585" s="2" t="s">
        <v>39</v>
      </c>
    </row>
    <row r="2586" spans="1:31" ht="409.5">
      <c r="A2586" s="2">
        <v>2714327</v>
      </c>
      <c r="B2586" s="2">
        <f>HYPERLINK("https://platform.v2.vetology.net/cases/2714327/screening-report/1?type=pdf&amp;v=v6&amp;scorecard=1&amp;secret_key=BX%25IJ%24%2F65ieZ%29f6", 2714327)</f>
        <v>2714327</v>
      </c>
      <c r="C2586" s="2">
        <f>HYPERLINK("https://platform.v2.vetology.net/report/v/final/"&amp;2714327, 2714327)</f>
        <v>2714327</v>
      </c>
      <c r="D2586" s="2" t="s">
        <v>8288</v>
      </c>
      <c r="E2586" s="2" t="s">
        <v>8289</v>
      </c>
      <c r="F2586" s="2" t="s">
        <v>8290</v>
      </c>
      <c r="G2586" s="2" t="s">
        <v>53</v>
      </c>
      <c r="H2586" s="2" t="s">
        <v>8291</v>
      </c>
      <c r="I2586" s="2" t="s">
        <v>36</v>
      </c>
      <c r="J2586" s="2" t="s">
        <v>37</v>
      </c>
      <c r="K2586" s="2" t="s">
        <v>38</v>
      </c>
      <c r="L2586" s="2" t="s">
        <v>39</v>
      </c>
      <c r="M2586" s="2" t="s">
        <v>39</v>
      </c>
      <c r="N2586" s="2" t="s">
        <v>38</v>
      </c>
      <c r="O2586" s="2" t="s">
        <v>38</v>
      </c>
      <c r="P2586" s="2" t="s">
        <v>38</v>
      </c>
      <c r="Q2586" s="2" t="s">
        <v>39</v>
      </c>
      <c r="R2586" s="2" t="s">
        <v>39</v>
      </c>
      <c r="S2586" s="2" t="s">
        <v>39</v>
      </c>
      <c r="T2586" s="2" t="s">
        <v>39</v>
      </c>
      <c r="U2586" s="2" t="s">
        <v>39</v>
      </c>
      <c r="V2586" s="2" t="s">
        <v>38</v>
      </c>
      <c r="W2586" s="2" t="s">
        <v>38</v>
      </c>
      <c r="X2586" s="2" t="s">
        <v>38</v>
      </c>
      <c r="Y2586" s="2" t="s">
        <v>39</v>
      </c>
      <c r="Z2586" s="2" t="s">
        <v>38</v>
      </c>
      <c r="AA2586" s="2" t="s">
        <v>39</v>
      </c>
      <c r="AB2586" s="2" t="s">
        <v>39</v>
      </c>
      <c r="AC2586" s="2" t="s">
        <v>38</v>
      </c>
      <c r="AD2586" s="2" t="s">
        <v>38</v>
      </c>
      <c r="AE2586" s="2" t="s">
        <v>39</v>
      </c>
    </row>
    <row r="2587" spans="1:31" ht="409.5">
      <c r="A2587" s="2">
        <v>2714303</v>
      </c>
      <c r="B2587" s="2">
        <f>HYPERLINK("https://platform.v2.vetology.net/cases/2714303/screening-report/1?type=pdf&amp;v=v6&amp;scorecard=1&amp;secret_key=BX%25IJ%24%2F65ieZ%29f6", 2714303)</f>
        <v>2714303</v>
      </c>
      <c r="C2587" s="2">
        <f>HYPERLINK("https://platform.v2.vetology.net/report/v/final/"&amp;2714303, 2714303)</f>
        <v>2714303</v>
      </c>
      <c r="D2587" s="2" t="s">
        <v>8292</v>
      </c>
      <c r="E2587" s="2" t="s">
        <v>8293</v>
      </c>
      <c r="F2587" s="2" t="s">
        <v>8294</v>
      </c>
      <c r="G2587" s="2" t="s">
        <v>53</v>
      </c>
      <c r="H2587" s="2" t="s">
        <v>69</v>
      </c>
      <c r="I2587" s="2" t="s">
        <v>46</v>
      </c>
      <c r="J2587" s="2"/>
      <c r="K2587" s="2" t="s">
        <v>39</v>
      </c>
      <c r="L2587" s="2" t="s">
        <v>39</v>
      </c>
      <c r="M2587" s="2" t="s">
        <v>39</v>
      </c>
      <c r="N2587" s="2" t="s">
        <v>39</v>
      </c>
      <c r="O2587" s="2" t="s">
        <v>39</v>
      </c>
      <c r="P2587" s="2" t="s">
        <v>39</v>
      </c>
      <c r="Q2587" s="2" t="s">
        <v>39</v>
      </c>
      <c r="R2587" s="2" t="s">
        <v>39</v>
      </c>
      <c r="S2587" s="2" t="s">
        <v>39</v>
      </c>
      <c r="T2587" s="2" t="s">
        <v>39</v>
      </c>
      <c r="U2587" s="2" t="s">
        <v>39</v>
      </c>
      <c r="V2587" s="2" t="s">
        <v>39</v>
      </c>
      <c r="W2587" s="2" t="s">
        <v>38</v>
      </c>
      <c r="X2587" s="2" t="s">
        <v>39</v>
      </c>
      <c r="Y2587" s="2" t="s">
        <v>39</v>
      </c>
      <c r="Z2587" s="2" t="s">
        <v>39</v>
      </c>
      <c r="AA2587" s="2" t="s">
        <v>39</v>
      </c>
      <c r="AB2587" s="2" t="s">
        <v>39</v>
      </c>
      <c r="AC2587" s="2" t="s">
        <v>38</v>
      </c>
      <c r="AD2587" s="2" t="s">
        <v>39</v>
      </c>
      <c r="AE2587" s="2" t="s">
        <v>39</v>
      </c>
    </row>
    <row r="2588" spans="1:31" ht="409.5">
      <c r="A2588" s="2">
        <v>2714232</v>
      </c>
      <c r="B2588" s="2">
        <f>HYPERLINK("https://platform.v2.vetology.net/cases/2714232/screening-report/1?type=pdf&amp;v=v6&amp;scorecard=1&amp;secret_key=BX%25IJ%24%2F65ieZ%29f6", 2714232)</f>
        <v>2714232</v>
      </c>
      <c r="C2588" s="2">
        <f>HYPERLINK("https://platform.v2.vetology.net/report/v/final/"&amp;2714232, 2714232)</f>
        <v>2714232</v>
      </c>
      <c r="D2588" s="2" t="s">
        <v>8295</v>
      </c>
      <c r="E2588" s="2" t="s">
        <v>8296</v>
      </c>
      <c r="F2588" s="2" t="s">
        <v>43</v>
      </c>
      <c r="G2588" s="2" t="s">
        <v>507</v>
      </c>
      <c r="H2588" s="2" t="s">
        <v>45</v>
      </c>
      <c r="I2588" s="2" t="s">
        <v>46</v>
      </c>
      <c r="J2588" s="2"/>
      <c r="K2588" s="2" t="s">
        <v>39</v>
      </c>
      <c r="L2588" s="2" t="s">
        <v>39</v>
      </c>
      <c r="M2588" s="2" t="s">
        <v>39</v>
      </c>
      <c r="N2588" s="2" t="s">
        <v>39</v>
      </c>
      <c r="O2588" s="2" t="s">
        <v>39</v>
      </c>
      <c r="P2588" s="2" t="s">
        <v>39</v>
      </c>
      <c r="Q2588" s="2" t="s">
        <v>39</v>
      </c>
      <c r="R2588" s="2" t="s">
        <v>38</v>
      </c>
      <c r="S2588" s="2" t="s">
        <v>39</v>
      </c>
      <c r="T2588" s="2" t="s">
        <v>39</v>
      </c>
      <c r="U2588" s="2" t="s">
        <v>39</v>
      </c>
      <c r="V2588" s="2" t="s">
        <v>39</v>
      </c>
      <c r="W2588" s="2" t="s">
        <v>38</v>
      </c>
      <c r="X2588" s="2" t="s">
        <v>39</v>
      </c>
      <c r="Y2588" s="2" t="s">
        <v>39</v>
      </c>
      <c r="Z2588" s="2" t="s">
        <v>39</v>
      </c>
      <c r="AA2588" s="2" t="s">
        <v>39</v>
      </c>
      <c r="AB2588" s="2" t="s">
        <v>39</v>
      </c>
      <c r="AC2588" s="2" t="s">
        <v>38</v>
      </c>
      <c r="AD2588" s="2" t="s">
        <v>39</v>
      </c>
      <c r="AE2588" s="2" t="s">
        <v>39</v>
      </c>
    </row>
    <row r="2589" spans="1:31" ht="409.5">
      <c r="A2589" s="2">
        <v>2714199</v>
      </c>
      <c r="B2589" s="2">
        <f>HYPERLINK("https://platform.v2.vetology.net/cases/2714199/screening-report/1?type=pdf&amp;v=v6&amp;scorecard=1&amp;secret_key=BX%25IJ%24%2F65ieZ%29f6", 2714199)</f>
        <v>2714199</v>
      </c>
      <c r="C2589" s="2">
        <f>HYPERLINK("https://platform.v2.vetology.net/report/v/final/"&amp;2714199, 2714199)</f>
        <v>2714199</v>
      </c>
      <c r="D2589" s="2" t="s">
        <v>8297</v>
      </c>
      <c r="E2589" s="2" t="s">
        <v>8298</v>
      </c>
      <c r="F2589" s="2" t="s">
        <v>8299</v>
      </c>
      <c r="G2589" s="2" t="s">
        <v>251</v>
      </c>
      <c r="H2589" s="2" t="s">
        <v>69</v>
      </c>
      <c r="I2589" s="2" t="s">
        <v>46</v>
      </c>
      <c r="J2589" s="2"/>
      <c r="K2589" s="2" t="s">
        <v>39</v>
      </c>
      <c r="L2589" s="2" t="s">
        <v>39</v>
      </c>
      <c r="M2589" s="2" t="s">
        <v>39</v>
      </c>
      <c r="N2589" s="2" t="s">
        <v>39</v>
      </c>
      <c r="O2589" s="2" t="s">
        <v>39</v>
      </c>
      <c r="P2589" s="2" t="s">
        <v>39</v>
      </c>
      <c r="Q2589" s="2" t="s">
        <v>39</v>
      </c>
      <c r="R2589" s="2" t="s">
        <v>39</v>
      </c>
      <c r="S2589" s="2" t="s">
        <v>39</v>
      </c>
      <c r="T2589" s="2" t="s">
        <v>39</v>
      </c>
      <c r="U2589" s="2" t="s">
        <v>39</v>
      </c>
      <c r="V2589" s="2" t="s">
        <v>39</v>
      </c>
      <c r="W2589" s="2" t="s">
        <v>39</v>
      </c>
      <c r="X2589" s="2" t="s">
        <v>39</v>
      </c>
      <c r="Y2589" s="2" t="s">
        <v>39</v>
      </c>
      <c r="Z2589" s="2" t="s">
        <v>39</v>
      </c>
      <c r="AA2589" s="2" t="s">
        <v>39</v>
      </c>
      <c r="AB2589" s="2" t="s">
        <v>39</v>
      </c>
      <c r="AC2589" s="2" t="s">
        <v>39</v>
      </c>
      <c r="AD2589" s="2" t="s">
        <v>39</v>
      </c>
      <c r="AE2589" s="2"/>
    </row>
    <row r="2590" spans="1:31" ht="409.5">
      <c r="A2590" s="2">
        <v>2714197</v>
      </c>
      <c r="B2590" s="2">
        <f>HYPERLINK("https://platform.v2.vetology.net/cases/2714197/screening-report/1?type=pdf&amp;v=v6&amp;scorecard=1&amp;secret_key=BX%25IJ%24%2F65ieZ%29f6", 2714197)</f>
        <v>2714197</v>
      </c>
      <c r="C2590" s="2">
        <f>HYPERLINK("https://platform.v2.vetology.net/report/v/final/"&amp;2714197, 2714197)</f>
        <v>2714197</v>
      </c>
      <c r="D2590" s="2" t="s">
        <v>8300</v>
      </c>
      <c r="E2590" s="2" t="s">
        <v>8301</v>
      </c>
      <c r="F2590" s="2" t="s">
        <v>43</v>
      </c>
      <c r="G2590" s="2" t="s">
        <v>507</v>
      </c>
      <c r="H2590" s="2" t="s">
        <v>69</v>
      </c>
      <c r="I2590" s="2" t="s">
        <v>46</v>
      </c>
      <c r="J2590" s="2"/>
      <c r="K2590" s="2" t="s">
        <v>39</v>
      </c>
      <c r="L2590" s="2" t="s">
        <v>39</v>
      </c>
      <c r="M2590" s="2" t="s">
        <v>39</v>
      </c>
      <c r="N2590" s="2" t="s">
        <v>39</v>
      </c>
      <c r="O2590" s="2" t="s">
        <v>39</v>
      </c>
      <c r="P2590" s="2" t="s">
        <v>39</v>
      </c>
      <c r="Q2590" s="2" t="s">
        <v>39</v>
      </c>
      <c r="R2590" s="2" t="s">
        <v>39</v>
      </c>
      <c r="S2590" s="2" t="s">
        <v>39</v>
      </c>
      <c r="T2590" s="2" t="s">
        <v>39</v>
      </c>
      <c r="U2590" s="2" t="s">
        <v>39</v>
      </c>
      <c r="V2590" s="2" t="s">
        <v>39</v>
      </c>
      <c r="W2590" s="2" t="s">
        <v>39</v>
      </c>
      <c r="X2590" s="2" t="s">
        <v>39</v>
      </c>
      <c r="Y2590" s="2" t="s">
        <v>39</v>
      </c>
      <c r="Z2590" s="2" t="s">
        <v>39</v>
      </c>
      <c r="AA2590" s="2" t="s">
        <v>39</v>
      </c>
      <c r="AB2590" s="2" t="s">
        <v>39</v>
      </c>
      <c r="AC2590" s="2" t="s">
        <v>39</v>
      </c>
      <c r="AD2590" s="2" t="s">
        <v>38</v>
      </c>
      <c r="AE2590" s="2" t="s">
        <v>39</v>
      </c>
    </row>
    <row r="2591" spans="1:31" ht="409.5">
      <c r="A2591" s="2">
        <v>2714187</v>
      </c>
      <c r="B2591" s="2">
        <f>HYPERLINK("https://platform.v2.vetology.net/cases/2714187/screening-report/1?type=pdf&amp;v=v6&amp;scorecard=1&amp;secret_key=BX%25IJ%24%2F65ieZ%29f6", 2714187)</f>
        <v>2714187</v>
      </c>
      <c r="C2591" s="2">
        <f>HYPERLINK("https://platform.v2.vetology.net/report/v/final/"&amp;2714187, 2714187)</f>
        <v>2714187</v>
      </c>
      <c r="D2591" s="2" t="s">
        <v>8302</v>
      </c>
      <c r="E2591" s="2" t="s">
        <v>8303</v>
      </c>
      <c r="F2591" s="2" t="s">
        <v>8304</v>
      </c>
      <c r="G2591" s="2" t="s">
        <v>170</v>
      </c>
      <c r="H2591" s="2" t="s">
        <v>182</v>
      </c>
      <c r="I2591" s="2" t="s">
        <v>46</v>
      </c>
      <c r="J2591" s="2"/>
      <c r="K2591" s="2" t="s">
        <v>38</v>
      </c>
      <c r="L2591" s="2" t="s">
        <v>39</v>
      </c>
      <c r="M2591" s="2" t="s">
        <v>39</v>
      </c>
      <c r="N2591" s="2" t="s">
        <v>39</v>
      </c>
      <c r="O2591" s="2" t="s">
        <v>39</v>
      </c>
      <c r="P2591" s="2" t="s">
        <v>39</v>
      </c>
      <c r="Q2591" s="2" t="s">
        <v>39</v>
      </c>
      <c r="R2591" s="2" t="s">
        <v>38</v>
      </c>
      <c r="S2591" s="2" t="s">
        <v>39</v>
      </c>
      <c r="T2591" s="2" t="s">
        <v>39</v>
      </c>
      <c r="U2591" s="2" t="s">
        <v>39</v>
      </c>
      <c r="V2591" s="2" t="s">
        <v>39</v>
      </c>
      <c r="W2591" s="2" t="s">
        <v>39</v>
      </c>
      <c r="X2591" s="2" t="s">
        <v>39</v>
      </c>
      <c r="Y2591" s="2" t="s">
        <v>39</v>
      </c>
      <c r="Z2591" s="2" t="s">
        <v>39</v>
      </c>
      <c r="AA2591" s="2" t="s">
        <v>39</v>
      </c>
      <c r="AB2591" s="2" t="s">
        <v>39</v>
      </c>
      <c r="AC2591" s="2" t="s">
        <v>38</v>
      </c>
      <c r="AD2591" s="2" t="s">
        <v>39</v>
      </c>
      <c r="AE2591" s="2" t="s">
        <v>40</v>
      </c>
    </row>
    <row r="2592" spans="1:31" ht="409.5">
      <c r="A2592" s="2">
        <v>2714181</v>
      </c>
      <c r="B2592" s="2">
        <f>HYPERLINK("https://platform.v2.vetology.net/cases/2714181/screening-report/1?type=pdf&amp;v=v6&amp;scorecard=1&amp;secret_key=BX%25IJ%24%2F65ieZ%29f6", 2714181)</f>
        <v>2714181</v>
      </c>
      <c r="C2592" s="2">
        <f>HYPERLINK("https://platform.v2.vetology.net/report/v/final/"&amp;2714181, 2714181)</f>
        <v>2714181</v>
      </c>
      <c r="D2592" s="2" t="s">
        <v>8305</v>
      </c>
      <c r="E2592" s="2" t="s">
        <v>8306</v>
      </c>
      <c r="F2592" s="2" t="s">
        <v>8307</v>
      </c>
      <c r="G2592" s="2" t="s">
        <v>170</v>
      </c>
      <c r="H2592" s="2" t="s">
        <v>8308</v>
      </c>
      <c r="I2592" s="2" t="s">
        <v>129</v>
      </c>
      <c r="J2592" s="2" t="s">
        <v>74</v>
      </c>
      <c r="K2592" s="2" t="s">
        <v>38</v>
      </c>
      <c r="L2592" s="2" t="s">
        <v>38</v>
      </c>
      <c r="M2592" s="2" t="s">
        <v>38</v>
      </c>
      <c r="N2592" s="2" t="s">
        <v>38</v>
      </c>
      <c r="O2592" s="2" t="s">
        <v>38</v>
      </c>
      <c r="P2592" s="2" t="s">
        <v>38</v>
      </c>
      <c r="Q2592" s="2" t="s">
        <v>38</v>
      </c>
      <c r="R2592" s="2" t="s">
        <v>38</v>
      </c>
      <c r="S2592" s="2" t="s">
        <v>38</v>
      </c>
      <c r="T2592" s="2" t="s">
        <v>38</v>
      </c>
      <c r="U2592" s="2" t="s">
        <v>38</v>
      </c>
      <c r="V2592" s="2" t="s">
        <v>38</v>
      </c>
      <c r="W2592" s="2" t="s">
        <v>38</v>
      </c>
      <c r="X2592" s="2" t="s">
        <v>38</v>
      </c>
      <c r="Y2592" s="2" t="s">
        <v>39</v>
      </c>
      <c r="Z2592" s="2" t="s">
        <v>38</v>
      </c>
      <c r="AA2592" s="2" t="s">
        <v>38</v>
      </c>
      <c r="AB2592" s="2" t="s">
        <v>38</v>
      </c>
      <c r="AC2592" s="2" t="s">
        <v>38</v>
      </c>
      <c r="AD2592" s="2" t="s">
        <v>38</v>
      </c>
      <c r="AE2592" s="2" t="s">
        <v>39</v>
      </c>
    </row>
    <row r="2593" spans="1:31" ht="409.5">
      <c r="A2593" s="2">
        <v>2714179</v>
      </c>
      <c r="B2593" s="2">
        <f>HYPERLINK("https://platform.v2.vetology.net/cases/2714179/screening-report/1?type=pdf&amp;v=v6&amp;scorecard=1&amp;secret_key=BX%25IJ%24%2F65ieZ%29f6", 2714179)</f>
        <v>2714179</v>
      </c>
      <c r="C2593" s="2">
        <f>HYPERLINK("https://platform.v2.vetology.net/report/v/final/"&amp;2714179, 2714179)</f>
        <v>2714179</v>
      </c>
      <c r="D2593" s="2" t="s">
        <v>2629</v>
      </c>
      <c r="E2593" s="2" t="s">
        <v>118</v>
      </c>
      <c r="F2593" s="2" t="s">
        <v>2753</v>
      </c>
      <c r="G2593" s="2" t="s">
        <v>111</v>
      </c>
      <c r="H2593" s="2" t="s">
        <v>8309</v>
      </c>
      <c r="I2593" s="2" t="s">
        <v>36</v>
      </c>
      <c r="J2593" s="2" t="s">
        <v>37</v>
      </c>
      <c r="K2593" s="2" t="s">
        <v>39</v>
      </c>
      <c r="L2593" s="2" t="s">
        <v>38</v>
      </c>
      <c r="M2593" s="2" t="s">
        <v>38</v>
      </c>
      <c r="N2593" s="2" t="s">
        <v>38</v>
      </c>
      <c r="O2593" s="2" t="s">
        <v>38</v>
      </c>
      <c r="P2593" s="2" t="s">
        <v>39</v>
      </c>
      <c r="Q2593" s="2" t="s">
        <v>39</v>
      </c>
      <c r="R2593" s="2" t="s">
        <v>38</v>
      </c>
      <c r="S2593" s="2" t="s">
        <v>38</v>
      </c>
      <c r="T2593" s="2" t="s">
        <v>39</v>
      </c>
      <c r="U2593" s="2" t="s">
        <v>38</v>
      </c>
      <c r="V2593" s="2" t="s">
        <v>39</v>
      </c>
      <c r="W2593" s="2" t="s">
        <v>38</v>
      </c>
      <c r="X2593" s="2" t="s">
        <v>39</v>
      </c>
      <c r="Y2593" s="2" t="s">
        <v>38</v>
      </c>
      <c r="Z2593" s="2" t="s">
        <v>38</v>
      </c>
      <c r="AA2593" s="2" t="s">
        <v>39</v>
      </c>
      <c r="AB2593" s="2" t="s">
        <v>39</v>
      </c>
      <c r="AC2593" s="2" t="s">
        <v>38</v>
      </c>
      <c r="AD2593" s="2" t="s">
        <v>38</v>
      </c>
      <c r="AE2593" s="2" t="s">
        <v>39</v>
      </c>
    </row>
    <row r="2594" spans="1:31" ht="409.5">
      <c r="A2594" s="2">
        <v>2714165</v>
      </c>
      <c r="B2594" s="2">
        <f>HYPERLINK("https://platform.v2.vetology.net/cases/2714165/screening-report/1?type=pdf&amp;v=v6&amp;scorecard=1&amp;secret_key=BX%25IJ%24%2F65ieZ%29f6", 2714165)</f>
        <v>2714165</v>
      </c>
      <c r="C2594" s="2">
        <f>HYPERLINK("https://platform.v2.vetology.net/report/v/final/"&amp;2714165, 2714165)</f>
        <v>2714165</v>
      </c>
      <c r="D2594" s="2" t="s">
        <v>8310</v>
      </c>
      <c r="E2594" s="2" t="s">
        <v>8311</v>
      </c>
      <c r="F2594" s="2" t="s">
        <v>8312</v>
      </c>
      <c r="G2594" s="2" t="s">
        <v>53</v>
      </c>
      <c r="H2594" s="2" t="s">
        <v>3465</v>
      </c>
      <c r="I2594" s="2" t="s">
        <v>59</v>
      </c>
      <c r="J2594" s="2" t="s">
        <v>37</v>
      </c>
      <c r="K2594" s="2" t="s">
        <v>39</v>
      </c>
      <c r="L2594" s="2" t="s">
        <v>39</v>
      </c>
      <c r="M2594" s="2" t="s">
        <v>39</v>
      </c>
      <c r="N2594" s="2" t="s">
        <v>38</v>
      </c>
      <c r="O2594" s="2" t="s">
        <v>39</v>
      </c>
      <c r="P2594" s="2" t="s">
        <v>39</v>
      </c>
      <c r="Q2594" s="2" t="s">
        <v>39</v>
      </c>
      <c r="R2594" s="2" t="s">
        <v>38</v>
      </c>
      <c r="S2594" s="2" t="s">
        <v>38</v>
      </c>
      <c r="T2594" s="2" t="s">
        <v>38</v>
      </c>
      <c r="U2594" s="2" t="s">
        <v>39</v>
      </c>
      <c r="V2594" s="2" t="s">
        <v>39</v>
      </c>
      <c r="W2594" s="2" t="s">
        <v>39</v>
      </c>
      <c r="X2594" s="2" t="s">
        <v>39</v>
      </c>
      <c r="Y2594" s="2" t="s">
        <v>39</v>
      </c>
      <c r="Z2594" s="2" t="s">
        <v>38</v>
      </c>
      <c r="AA2594" s="2" t="s">
        <v>39</v>
      </c>
      <c r="AB2594" s="2" t="s">
        <v>39</v>
      </c>
      <c r="AC2594" s="2" t="s">
        <v>38</v>
      </c>
      <c r="AD2594" s="2" t="s">
        <v>38</v>
      </c>
      <c r="AE2594" s="2" t="s">
        <v>39</v>
      </c>
    </row>
    <row r="2595" spans="1:31" ht="409.5">
      <c r="A2595" s="2">
        <v>2714143</v>
      </c>
      <c r="B2595" s="2">
        <f>HYPERLINK("https://platform.v2.vetology.net/cases/2714143/screening-report/1?type=pdf&amp;v=v6&amp;scorecard=1&amp;secret_key=BX%25IJ%24%2F65ieZ%29f6", 2714143)</f>
        <v>2714143</v>
      </c>
      <c r="C2595" s="2">
        <f>HYPERLINK("https://platform.v2.vetology.net/report/v/final/"&amp;2714143, 2714143)</f>
        <v>2714143</v>
      </c>
      <c r="D2595" s="2" t="s">
        <v>8313</v>
      </c>
      <c r="E2595" s="2" t="s">
        <v>8314</v>
      </c>
      <c r="F2595" s="2" t="s">
        <v>8315</v>
      </c>
      <c r="G2595" s="2" t="s">
        <v>127</v>
      </c>
      <c r="H2595" s="2" t="s">
        <v>8316</v>
      </c>
      <c r="I2595" s="2" t="s">
        <v>73</v>
      </c>
      <c r="J2595" s="2" t="s">
        <v>74</v>
      </c>
      <c r="K2595" s="2" t="s">
        <v>38</v>
      </c>
      <c r="L2595" s="2" t="s">
        <v>38</v>
      </c>
      <c r="M2595" s="2" t="s">
        <v>38</v>
      </c>
      <c r="N2595" s="2" t="s">
        <v>38</v>
      </c>
      <c r="O2595" s="2" t="s">
        <v>38</v>
      </c>
      <c r="P2595" s="2" t="s">
        <v>38</v>
      </c>
      <c r="Q2595" s="2" t="s">
        <v>38</v>
      </c>
      <c r="R2595" s="2" t="s">
        <v>38</v>
      </c>
      <c r="S2595" s="2" t="s">
        <v>38</v>
      </c>
      <c r="T2595" s="2" t="s">
        <v>38</v>
      </c>
      <c r="U2595" s="2" t="s">
        <v>38</v>
      </c>
      <c r="V2595" s="2" t="s">
        <v>38</v>
      </c>
      <c r="W2595" s="2" t="s">
        <v>38</v>
      </c>
      <c r="X2595" s="2" t="s">
        <v>38</v>
      </c>
      <c r="Y2595" s="2" t="s">
        <v>38</v>
      </c>
      <c r="Z2595" s="2" t="s">
        <v>38</v>
      </c>
      <c r="AA2595" s="2" t="s">
        <v>38</v>
      </c>
      <c r="AB2595" s="2" t="s">
        <v>38</v>
      </c>
      <c r="AC2595" s="2" t="s">
        <v>38</v>
      </c>
      <c r="AD2595" s="2" t="s">
        <v>38</v>
      </c>
      <c r="AE2595" s="2" t="s">
        <v>40</v>
      </c>
    </row>
    <row r="2596" spans="1:31" ht="409.5">
      <c r="A2596" s="2">
        <v>2714138</v>
      </c>
      <c r="B2596" s="2">
        <f>HYPERLINK("https://platform.v2.vetology.net/cases/2714138/screening-report/1?type=pdf&amp;v=v6&amp;scorecard=1&amp;secret_key=BX%25IJ%24%2F65ieZ%29f6", 2714138)</f>
        <v>2714138</v>
      </c>
      <c r="C2596" s="2">
        <f>HYPERLINK("https://platform.v2.vetology.net/report/v/final/"&amp;2714138, 2714138)</f>
        <v>2714138</v>
      </c>
      <c r="D2596" s="2" t="s">
        <v>8317</v>
      </c>
      <c r="E2596" s="2" t="s">
        <v>8318</v>
      </c>
      <c r="F2596" s="2" t="s">
        <v>8319</v>
      </c>
      <c r="G2596" s="2" t="s">
        <v>170</v>
      </c>
      <c r="H2596" s="2" t="s">
        <v>8320</v>
      </c>
      <c r="I2596" s="2" t="s">
        <v>36</v>
      </c>
      <c r="J2596" s="2" t="s">
        <v>37</v>
      </c>
      <c r="K2596" s="2" t="s">
        <v>38</v>
      </c>
      <c r="L2596" s="2" t="s">
        <v>39</v>
      </c>
      <c r="M2596" s="2" t="s">
        <v>39</v>
      </c>
      <c r="N2596" s="2" t="s">
        <v>39</v>
      </c>
      <c r="O2596" s="2" t="s">
        <v>39</v>
      </c>
      <c r="P2596" s="2" t="s">
        <v>39</v>
      </c>
      <c r="Q2596" s="2" t="s">
        <v>39</v>
      </c>
      <c r="R2596" s="2" t="s">
        <v>38</v>
      </c>
      <c r="S2596" s="2" t="s">
        <v>38</v>
      </c>
      <c r="T2596" s="2" t="s">
        <v>38</v>
      </c>
      <c r="U2596" s="2" t="s">
        <v>38</v>
      </c>
      <c r="V2596" s="2" t="s">
        <v>38</v>
      </c>
      <c r="W2596" s="2" t="s">
        <v>38</v>
      </c>
      <c r="X2596" s="2" t="s">
        <v>39</v>
      </c>
      <c r="Y2596" s="2" t="s">
        <v>38</v>
      </c>
      <c r="Z2596" s="2" t="s">
        <v>38</v>
      </c>
      <c r="AA2596" s="2" t="s">
        <v>38</v>
      </c>
      <c r="AB2596" s="2" t="s">
        <v>39</v>
      </c>
      <c r="AC2596" s="2" t="s">
        <v>38</v>
      </c>
      <c r="AD2596" s="2" t="s">
        <v>38</v>
      </c>
      <c r="AE2596" s="2" t="s">
        <v>39</v>
      </c>
    </row>
    <row r="2597" spans="1:31" ht="409.5">
      <c r="A2597" s="2">
        <v>2714136</v>
      </c>
      <c r="B2597" s="2">
        <f>HYPERLINK("https://platform.v2.vetology.net/cases/2714136/screening-report/1?type=pdf&amp;v=v6&amp;scorecard=1&amp;secret_key=BX%25IJ%24%2F65ieZ%29f6", 2714136)</f>
        <v>2714136</v>
      </c>
      <c r="C2597" s="2">
        <f>HYPERLINK("https://platform.v2.vetology.net/report/v/final/"&amp;2714136, 2714136)</f>
        <v>2714136</v>
      </c>
      <c r="D2597" s="2" t="s">
        <v>8321</v>
      </c>
      <c r="E2597" s="2" t="s">
        <v>8322</v>
      </c>
      <c r="F2597" s="2" t="s">
        <v>8323</v>
      </c>
      <c r="G2597" s="2" t="s">
        <v>53</v>
      </c>
      <c r="H2597" s="2" t="s">
        <v>8324</v>
      </c>
      <c r="I2597" s="2" t="s">
        <v>36</v>
      </c>
      <c r="J2597" s="2" t="s">
        <v>37</v>
      </c>
      <c r="K2597" s="2" t="s">
        <v>38</v>
      </c>
      <c r="L2597" s="2" t="s">
        <v>38</v>
      </c>
      <c r="M2597" s="2" t="s">
        <v>38</v>
      </c>
      <c r="N2597" s="2" t="s">
        <v>39</v>
      </c>
      <c r="O2597" s="2" t="s">
        <v>38</v>
      </c>
      <c r="P2597" s="2" t="s">
        <v>38</v>
      </c>
      <c r="Q2597" s="2" t="s">
        <v>39</v>
      </c>
      <c r="R2597" s="2" t="s">
        <v>38</v>
      </c>
      <c r="S2597" s="2" t="s">
        <v>38</v>
      </c>
      <c r="T2597" s="2" t="s">
        <v>38</v>
      </c>
      <c r="U2597" s="2" t="s">
        <v>39</v>
      </c>
      <c r="V2597" s="2" t="s">
        <v>39</v>
      </c>
      <c r="W2597" s="2" t="s">
        <v>39</v>
      </c>
      <c r="X2597" s="2" t="s">
        <v>39</v>
      </c>
      <c r="Y2597" s="2" t="s">
        <v>39</v>
      </c>
      <c r="Z2597" s="2" t="s">
        <v>38</v>
      </c>
      <c r="AA2597" s="2" t="s">
        <v>39</v>
      </c>
      <c r="AB2597" s="2" t="s">
        <v>39</v>
      </c>
      <c r="AC2597" s="2" t="s">
        <v>38</v>
      </c>
      <c r="AD2597" s="2" t="s">
        <v>38</v>
      </c>
      <c r="AE2597" s="2" t="s">
        <v>40</v>
      </c>
    </row>
    <row r="2598" spans="1:31" ht="409.5">
      <c r="A2598" s="2">
        <v>2714128</v>
      </c>
      <c r="B2598" s="2">
        <f>HYPERLINK("https://platform.v2.vetology.net/cases/2714128/screening-report/1?type=pdf&amp;v=v6&amp;scorecard=1&amp;secret_key=BX%25IJ%24%2F65ieZ%29f6", 2714128)</f>
        <v>2714128</v>
      </c>
      <c r="C2598" s="2">
        <f>HYPERLINK("https://platform.v2.vetology.net/report/v/final/"&amp;2714128, 2714128)</f>
        <v>2714128</v>
      </c>
      <c r="D2598" s="2" t="s">
        <v>8325</v>
      </c>
      <c r="E2598" s="2" t="s">
        <v>8326</v>
      </c>
      <c r="F2598" s="2" t="s">
        <v>8327</v>
      </c>
      <c r="G2598" s="2" t="s">
        <v>127</v>
      </c>
      <c r="H2598" s="2" t="s">
        <v>45</v>
      </c>
      <c r="I2598" s="2" t="s">
        <v>46</v>
      </c>
      <c r="J2598" s="2"/>
      <c r="K2598" s="2" t="s">
        <v>39</v>
      </c>
      <c r="L2598" s="2" t="s">
        <v>39</v>
      </c>
      <c r="M2598" s="2" t="s">
        <v>39</v>
      </c>
      <c r="N2598" s="2" t="s">
        <v>39</v>
      </c>
      <c r="O2598" s="2" t="s">
        <v>39</v>
      </c>
      <c r="P2598" s="2" t="s">
        <v>39</v>
      </c>
      <c r="Q2598" s="2" t="s">
        <v>39</v>
      </c>
      <c r="R2598" s="2" t="s">
        <v>38</v>
      </c>
      <c r="S2598" s="2" t="s">
        <v>39</v>
      </c>
      <c r="T2598" s="2" t="s">
        <v>39</v>
      </c>
      <c r="U2598" s="2" t="s">
        <v>39</v>
      </c>
      <c r="V2598" s="2" t="s">
        <v>38</v>
      </c>
      <c r="W2598" s="2" t="s">
        <v>39</v>
      </c>
      <c r="X2598" s="2" t="s">
        <v>39</v>
      </c>
      <c r="Y2598" s="2" t="s">
        <v>39</v>
      </c>
      <c r="Z2598" s="2" t="s">
        <v>39</v>
      </c>
      <c r="AA2598" s="2" t="s">
        <v>39</v>
      </c>
      <c r="AB2598" s="2" t="s">
        <v>39</v>
      </c>
      <c r="AC2598" s="2" t="s">
        <v>38</v>
      </c>
      <c r="AD2598" s="2" t="s">
        <v>39</v>
      </c>
      <c r="AE2598" s="2" t="s">
        <v>39</v>
      </c>
    </row>
    <row r="2599" spans="1:31" ht="409.5">
      <c r="A2599" s="2">
        <v>2714069</v>
      </c>
      <c r="B2599" s="2">
        <f>HYPERLINK("https://platform.v2.vetology.net/cases/2714069/screening-report/1?type=pdf&amp;v=v6&amp;scorecard=1&amp;secret_key=BX%25IJ%24%2F65ieZ%29f6", 2714069)</f>
        <v>2714069</v>
      </c>
      <c r="C2599" s="2">
        <f>HYPERLINK("https://platform.v2.vetology.net/report/v/final/"&amp;2714069, 2714069)</f>
        <v>2714069</v>
      </c>
      <c r="D2599" s="2" t="s">
        <v>8328</v>
      </c>
      <c r="E2599" s="2" t="s">
        <v>8329</v>
      </c>
      <c r="F2599" s="2" t="s">
        <v>8330</v>
      </c>
      <c r="G2599" s="2" t="s">
        <v>170</v>
      </c>
      <c r="H2599" s="2" t="s">
        <v>69</v>
      </c>
      <c r="I2599" s="2" t="s">
        <v>46</v>
      </c>
      <c r="J2599" s="2"/>
      <c r="K2599" s="2" t="s">
        <v>39</v>
      </c>
      <c r="L2599" s="2" t="s">
        <v>39</v>
      </c>
      <c r="M2599" s="2" t="s">
        <v>39</v>
      </c>
      <c r="N2599" s="2" t="s">
        <v>39</v>
      </c>
      <c r="O2599" s="2" t="s">
        <v>39</v>
      </c>
      <c r="P2599" s="2" t="s">
        <v>39</v>
      </c>
      <c r="Q2599" s="2" t="s">
        <v>39</v>
      </c>
      <c r="R2599" s="2" t="s">
        <v>39</v>
      </c>
      <c r="S2599" s="2" t="s">
        <v>39</v>
      </c>
      <c r="T2599" s="2" t="s">
        <v>39</v>
      </c>
      <c r="U2599" s="2" t="s">
        <v>39</v>
      </c>
      <c r="V2599" s="2" t="s">
        <v>39</v>
      </c>
      <c r="W2599" s="2" t="s">
        <v>39</v>
      </c>
      <c r="X2599" s="2" t="s">
        <v>39</v>
      </c>
      <c r="Y2599" s="2" t="s">
        <v>39</v>
      </c>
      <c r="Z2599" s="2" t="s">
        <v>39</v>
      </c>
      <c r="AA2599" s="2" t="s">
        <v>39</v>
      </c>
      <c r="AB2599" s="2" t="s">
        <v>39</v>
      </c>
      <c r="AC2599" s="2" t="s">
        <v>39</v>
      </c>
      <c r="AD2599" s="2" t="s">
        <v>39</v>
      </c>
      <c r="AE2599" s="2" t="s">
        <v>39</v>
      </c>
    </row>
    <row r="2600" spans="1:31" ht="409.5">
      <c r="A2600" s="2">
        <v>2714067</v>
      </c>
      <c r="B2600" s="2">
        <f>HYPERLINK("https://platform.v2.vetology.net/cases/2714067/screening-report/1?type=pdf&amp;v=v6&amp;scorecard=1&amp;secret_key=BX%25IJ%24%2F65ieZ%29f6", 2714067)</f>
        <v>2714067</v>
      </c>
      <c r="C2600" s="2">
        <f>HYPERLINK("https://platform.v2.vetology.net/report/v/final/"&amp;2714067, 2714067)</f>
        <v>2714067</v>
      </c>
      <c r="D2600" s="2" t="s">
        <v>8331</v>
      </c>
      <c r="E2600" s="2" t="s">
        <v>8332</v>
      </c>
      <c r="F2600" s="2" t="s">
        <v>43</v>
      </c>
      <c r="G2600" s="2" t="s">
        <v>100</v>
      </c>
      <c r="H2600" s="2" t="s">
        <v>8333</v>
      </c>
      <c r="I2600" s="2" t="s">
        <v>36</v>
      </c>
      <c r="J2600" s="2" t="s">
        <v>37</v>
      </c>
      <c r="K2600" s="2" t="s">
        <v>38</v>
      </c>
      <c r="L2600" s="2" t="s">
        <v>38</v>
      </c>
      <c r="M2600" s="2" t="s">
        <v>39</v>
      </c>
      <c r="N2600" s="2" t="s">
        <v>38</v>
      </c>
      <c r="O2600" s="2" t="s">
        <v>38</v>
      </c>
      <c r="P2600" s="2" t="s">
        <v>39</v>
      </c>
      <c r="Q2600" s="2" t="s">
        <v>39</v>
      </c>
      <c r="R2600" s="2" t="s">
        <v>38</v>
      </c>
      <c r="S2600" s="2" t="s">
        <v>38</v>
      </c>
      <c r="T2600" s="2" t="s">
        <v>39</v>
      </c>
      <c r="U2600" s="2" t="s">
        <v>38</v>
      </c>
      <c r="V2600" s="2" t="s">
        <v>38</v>
      </c>
      <c r="W2600" s="2" t="s">
        <v>38</v>
      </c>
      <c r="X2600" s="2" t="s">
        <v>39</v>
      </c>
      <c r="Y2600" s="2" t="s">
        <v>39</v>
      </c>
      <c r="Z2600" s="2" t="s">
        <v>38</v>
      </c>
      <c r="AA2600" s="2" t="s">
        <v>38</v>
      </c>
      <c r="AB2600" s="2" t="s">
        <v>39</v>
      </c>
      <c r="AC2600" s="2" t="s">
        <v>38</v>
      </c>
      <c r="AD2600" s="2" t="s">
        <v>38</v>
      </c>
      <c r="AE2600" s="2" t="s">
        <v>39</v>
      </c>
    </row>
    <row r="2601" spans="1:31" ht="409.5">
      <c r="A2601" s="2">
        <v>2714035</v>
      </c>
      <c r="B2601" s="2">
        <f>HYPERLINK("https://platform.v2.vetology.net/cases/2714035/screening-report/1?type=pdf&amp;v=v6&amp;scorecard=1&amp;secret_key=BX%25IJ%24%2F65ieZ%29f6", 2714035)</f>
        <v>2714035</v>
      </c>
      <c r="C2601" s="2">
        <f>HYPERLINK("https://platform.v2.vetology.net/report/v/final/"&amp;2714035, 2714035)</f>
        <v>2714035</v>
      </c>
      <c r="D2601" s="2" t="s">
        <v>8334</v>
      </c>
      <c r="E2601" s="2" t="s">
        <v>8335</v>
      </c>
      <c r="F2601" s="2" t="s">
        <v>8336</v>
      </c>
      <c r="G2601" s="2" t="s">
        <v>111</v>
      </c>
      <c r="H2601" s="2" t="s">
        <v>69</v>
      </c>
      <c r="I2601" s="2" t="s">
        <v>46</v>
      </c>
      <c r="J2601" s="2"/>
      <c r="K2601" s="2" t="s">
        <v>39</v>
      </c>
      <c r="L2601" s="2" t="s">
        <v>39</v>
      </c>
      <c r="M2601" s="2" t="s">
        <v>39</v>
      </c>
      <c r="N2601" s="2" t="s">
        <v>39</v>
      </c>
      <c r="O2601" s="2" t="s">
        <v>39</v>
      </c>
      <c r="P2601" s="2" t="s">
        <v>39</v>
      </c>
      <c r="Q2601" s="2" t="s">
        <v>39</v>
      </c>
      <c r="R2601" s="2" t="s">
        <v>39</v>
      </c>
      <c r="S2601" s="2" t="s">
        <v>39</v>
      </c>
      <c r="T2601" s="2" t="s">
        <v>39</v>
      </c>
      <c r="U2601" s="2" t="s">
        <v>39</v>
      </c>
      <c r="V2601" s="2" t="s">
        <v>39</v>
      </c>
      <c r="W2601" s="2" t="s">
        <v>38</v>
      </c>
      <c r="X2601" s="2" t="s">
        <v>39</v>
      </c>
      <c r="Y2601" s="2" t="s">
        <v>39</v>
      </c>
      <c r="Z2601" s="2" t="s">
        <v>39</v>
      </c>
      <c r="AA2601" s="2" t="s">
        <v>39</v>
      </c>
      <c r="AB2601" s="2" t="s">
        <v>39</v>
      </c>
      <c r="AC2601" s="2" t="s">
        <v>39</v>
      </c>
      <c r="AD2601" s="2" t="s">
        <v>38</v>
      </c>
      <c r="AE2601" s="2" t="s">
        <v>39</v>
      </c>
    </row>
    <row r="2602" spans="1:31" ht="409.5">
      <c r="A2602" s="2">
        <v>2714027</v>
      </c>
      <c r="B2602" s="2">
        <f>HYPERLINK("https://platform.v2.vetology.net/cases/2714027/screening-report/1?type=pdf&amp;v=v6&amp;scorecard=1&amp;secret_key=BX%25IJ%24%2F65ieZ%29f6", 2714027)</f>
        <v>2714027</v>
      </c>
      <c r="C2602" s="2">
        <f>HYPERLINK("https://platform.v2.vetology.net/report/v/final/"&amp;2714027, 2714027)</f>
        <v>2714027</v>
      </c>
      <c r="D2602" s="2" t="s">
        <v>8337</v>
      </c>
      <c r="E2602" s="2" t="s">
        <v>8338</v>
      </c>
      <c r="F2602" s="2" t="s">
        <v>8339</v>
      </c>
      <c r="G2602" s="2" t="s">
        <v>53</v>
      </c>
      <c r="H2602" s="2" t="s">
        <v>2842</v>
      </c>
      <c r="I2602" s="2" t="s">
        <v>36</v>
      </c>
      <c r="J2602" s="2" t="s">
        <v>37</v>
      </c>
      <c r="K2602" s="2" t="s">
        <v>39</v>
      </c>
      <c r="L2602" s="2" t="s">
        <v>38</v>
      </c>
      <c r="M2602" s="2" t="s">
        <v>39</v>
      </c>
      <c r="N2602" s="2" t="s">
        <v>38</v>
      </c>
      <c r="O2602" s="2" t="s">
        <v>38</v>
      </c>
      <c r="P2602" s="2" t="s">
        <v>39</v>
      </c>
      <c r="Q2602" s="2" t="s">
        <v>39</v>
      </c>
      <c r="R2602" s="2" t="s">
        <v>38</v>
      </c>
      <c r="S2602" s="2" t="s">
        <v>38</v>
      </c>
      <c r="T2602" s="2" t="s">
        <v>39</v>
      </c>
      <c r="U2602" s="2" t="s">
        <v>39</v>
      </c>
      <c r="V2602" s="2" t="s">
        <v>39</v>
      </c>
      <c r="W2602" s="2" t="s">
        <v>38</v>
      </c>
      <c r="X2602" s="2" t="s">
        <v>39</v>
      </c>
      <c r="Y2602" s="2" t="s">
        <v>39</v>
      </c>
      <c r="Z2602" s="2" t="s">
        <v>38</v>
      </c>
      <c r="AA2602" s="2" t="s">
        <v>38</v>
      </c>
      <c r="AB2602" s="2" t="s">
        <v>39</v>
      </c>
      <c r="AC2602" s="2" t="s">
        <v>38</v>
      </c>
      <c r="AD2602" s="2" t="s">
        <v>38</v>
      </c>
      <c r="AE2602" s="2" t="s">
        <v>39</v>
      </c>
    </row>
    <row r="2603" spans="1:31" ht="409.5">
      <c r="A2603" s="2">
        <v>2714013</v>
      </c>
      <c r="B2603" s="2">
        <f>HYPERLINK("https://platform.v2.vetology.net/cases/2714013/screening-report/1?type=pdf&amp;v=v6&amp;scorecard=1&amp;secret_key=BX%25IJ%24%2F65ieZ%29f6", 2714013)</f>
        <v>2714013</v>
      </c>
      <c r="C2603" s="2">
        <f>HYPERLINK("https://platform.v2.vetology.net/report/v/final/"&amp;2714013, 2714013)</f>
        <v>2714013</v>
      </c>
      <c r="D2603" s="2" t="s">
        <v>8340</v>
      </c>
      <c r="E2603" s="2" t="s">
        <v>8341</v>
      </c>
      <c r="F2603" s="2" t="s">
        <v>8342</v>
      </c>
      <c r="G2603" s="2" t="s">
        <v>53</v>
      </c>
      <c r="H2603" s="2" t="s">
        <v>3697</v>
      </c>
      <c r="I2603" s="2" t="s">
        <v>36</v>
      </c>
      <c r="J2603" s="2" t="s">
        <v>37</v>
      </c>
      <c r="K2603" s="2" t="s">
        <v>38</v>
      </c>
      <c r="L2603" s="2" t="s">
        <v>39</v>
      </c>
      <c r="M2603" s="2" t="s">
        <v>38</v>
      </c>
      <c r="N2603" s="2" t="s">
        <v>39</v>
      </c>
      <c r="O2603" s="2" t="s">
        <v>38</v>
      </c>
      <c r="P2603" s="2" t="s">
        <v>39</v>
      </c>
      <c r="Q2603" s="2" t="s">
        <v>39</v>
      </c>
      <c r="R2603" s="2" t="s">
        <v>39</v>
      </c>
      <c r="S2603" s="2" t="s">
        <v>39</v>
      </c>
      <c r="T2603" s="2" t="s">
        <v>38</v>
      </c>
      <c r="U2603" s="2" t="s">
        <v>39</v>
      </c>
      <c r="V2603" s="2" t="s">
        <v>38</v>
      </c>
      <c r="W2603" s="2" t="s">
        <v>39</v>
      </c>
      <c r="X2603" s="2" t="s">
        <v>39</v>
      </c>
      <c r="Y2603" s="2" t="s">
        <v>39</v>
      </c>
      <c r="Z2603" s="2" t="s">
        <v>38</v>
      </c>
      <c r="AA2603" s="2" t="s">
        <v>39</v>
      </c>
      <c r="AB2603" s="2" t="s">
        <v>39</v>
      </c>
      <c r="AC2603" s="2" t="s">
        <v>39</v>
      </c>
      <c r="AD2603" s="2" t="s">
        <v>39</v>
      </c>
      <c r="AE2603" s="2" t="s">
        <v>39</v>
      </c>
    </row>
    <row r="2604" spans="1:31" ht="409.5">
      <c r="A2604" s="2">
        <v>2713997</v>
      </c>
      <c r="B2604" s="2">
        <f>HYPERLINK("https://platform.v2.vetology.net/cases/2713997/screening-report/1?type=pdf&amp;v=v6&amp;scorecard=1&amp;secret_key=BX%25IJ%24%2F65ieZ%29f6", 2713997)</f>
        <v>2713997</v>
      </c>
      <c r="C2604" s="2">
        <f>HYPERLINK("https://platform.v2.vetology.net/report/v/final/"&amp;2713997, 2713997)</f>
        <v>2713997</v>
      </c>
      <c r="D2604" s="2" t="s">
        <v>8343</v>
      </c>
      <c r="E2604" s="2" t="s">
        <v>8344</v>
      </c>
      <c r="F2604" s="2" t="s">
        <v>8345</v>
      </c>
      <c r="G2604" s="2" t="s">
        <v>53</v>
      </c>
      <c r="H2604" s="2" t="s">
        <v>8346</v>
      </c>
      <c r="I2604" s="2" t="s">
        <v>73</v>
      </c>
      <c r="J2604" s="2" t="s">
        <v>74</v>
      </c>
      <c r="K2604" s="2" t="s">
        <v>38</v>
      </c>
      <c r="L2604" s="2" t="s">
        <v>38</v>
      </c>
      <c r="M2604" s="2" t="s">
        <v>38</v>
      </c>
      <c r="N2604" s="2" t="s">
        <v>38</v>
      </c>
      <c r="O2604" s="2" t="s">
        <v>38</v>
      </c>
      <c r="P2604" s="2" t="s">
        <v>38</v>
      </c>
      <c r="Q2604" s="2" t="s">
        <v>38</v>
      </c>
      <c r="R2604" s="2" t="s">
        <v>38</v>
      </c>
      <c r="S2604" s="2" t="s">
        <v>38</v>
      </c>
      <c r="T2604" s="2" t="s">
        <v>38</v>
      </c>
      <c r="U2604" s="2" t="s">
        <v>38</v>
      </c>
      <c r="V2604" s="2" t="s">
        <v>38</v>
      </c>
      <c r="W2604" s="2" t="s">
        <v>38</v>
      </c>
      <c r="X2604" s="2" t="s">
        <v>38</v>
      </c>
      <c r="Y2604" s="2" t="s">
        <v>38</v>
      </c>
      <c r="Z2604" s="2" t="s">
        <v>38</v>
      </c>
      <c r="AA2604" s="2" t="s">
        <v>38</v>
      </c>
      <c r="AB2604" s="2" t="s">
        <v>38</v>
      </c>
      <c r="AC2604" s="2" t="s">
        <v>38</v>
      </c>
      <c r="AD2604" s="2" t="s">
        <v>38</v>
      </c>
      <c r="AE2604" s="2" t="s">
        <v>40</v>
      </c>
    </row>
    <row r="2605" spans="1:31" ht="409.5">
      <c r="A2605" s="2">
        <v>2713996</v>
      </c>
      <c r="B2605" s="2">
        <f>HYPERLINK("https://platform.v2.vetology.net/cases/2713996/screening-report/1?type=pdf&amp;v=v6&amp;scorecard=1&amp;secret_key=BX%25IJ%24%2F65ieZ%29f6", 2713996)</f>
        <v>2713996</v>
      </c>
      <c r="C2605" s="2">
        <f>HYPERLINK("https://platform.v2.vetology.net/report/v/final/"&amp;2713996, 2713996)</f>
        <v>2713996</v>
      </c>
      <c r="D2605" s="2" t="s">
        <v>8347</v>
      </c>
      <c r="E2605" s="2" t="s">
        <v>8348</v>
      </c>
      <c r="F2605" s="2" t="s">
        <v>43</v>
      </c>
      <c r="G2605" s="2" t="s">
        <v>100</v>
      </c>
      <c r="H2605" s="2" t="s">
        <v>8349</v>
      </c>
      <c r="I2605" s="2" t="s">
        <v>36</v>
      </c>
      <c r="J2605" s="2" t="s">
        <v>37</v>
      </c>
      <c r="K2605" s="2" t="s">
        <v>38</v>
      </c>
      <c r="L2605" s="2" t="s">
        <v>38</v>
      </c>
      <c r="M2605" s="2" t="s">
        <v>38</v>
      </c>
      <c r="N2605" s="2" t="s">
        <v>38</v>
      </c>
      <c r="O2605" s="2" t="s">
        <v>38</v>
      </c>
      <c r="P2605" s="2" t="s">
        <v>38</v>
      </c>
      <c r="Q2605" s="2" t="s">
        <v>39</v>
      </c>
      <c r="R2605" s="2" t="s">
        <v>38</v>
      </c>
      <c r="S2605" s="2" t="s">
        <v>38</v>
      </c>
      <c r="T2605" s="2" t="s">
        <v>38</v>
      </c>
      <c r="U2605" s="2" t="s">
        <v>38</v>
      </c>
      <c r="V2605" s="2" t="s">
        <v>38</v>
      </c>
      <c r="W2605" s="2" t="s">
        <v>38</v>
      </c>
      <c r="X2605" s="2" t="s">
        <v>39</v>
      </c>
      <c r="Y2605" s="2" t="s">
        <v>39</v>
      </c>
      <c r="Z2605" s="2" t="s">
        <v>38</v>
      </c>
      <c r="AA2605" s="2" t="s">
        <v>38</v>
      </c>
      <c r="AB2605" s="2" t="s">
        <v>38</v>
      </c>
      <c r="AC2605" s="2" t="s">
        <v>38</v>
      </c>
      <c r="AD2605" s="2" t="s">
        <v>38</v>
      </c>
      <c r="AE2605" s="2" t="s">
        <v>40</v>
      </c>
    </row>
    <row r="2606" spans="1:31" ht="409.5">
      <c r="A2606" s="2">
        <v>2713992</v>
      </c>
      <c r="B2606" s="2">
        <f>HYPERLINK("https://platform.v2.vetology.net/cases/2713992/screening-report/1?type=pdf&amp;v=v6&amp;scorecard=1&amp;secret_key=BX%25IJ%24%2F65ieZ%29f6", 2713992)</f>
        <v>2713992</v>
      </c>
      <c r="C2606" s="2">
        <f>HYPERLINK("https://platform.v2.vetology.net/report/v/final/"&amp;2713992, 2713992)</f>
        <v>2713992</v>
      </c>
      <c r="D2606" s="2" t="s">
        <v>8350</v>
      </c>
      <c r="E2606" s="2" t="s">
        <v>8351</v>
      </c>
      <c r="F2606" s="2" t="s">
        <v>43</v>
      </c>
      <c r="G2606" s="2" t="s">
        <v>100</v>
      </c>
      <c r="H2606" s="2" t="s">
        <v>8352</v>
      </c>
      <c r="I2606" s="2" t="s">
        <v>36</v>
      </c>
      <c r="J2606" s="2" t="s">
        <v>37</v>
      </c>
      <c r="K2606" s="2" t="s">
        <v>38</v>
      </c>
      <c r="L2606" s="2" t="s">
        <v>38</v>
      </c>
      <c r="M2606" s="2" t="s">
        <v>38</v>
      </c>
      <c r="N2606" s="2" t="s">
        <v>38</v>
      </c>
      <c r="O2606" s="2" t="s">
        <v>38</v>
      </c>
      <c r="P2606" s="2" t="s">
        <v>38</v>
      </c>
      <c r="Q2606" s="2" t="s">
        <v>39</v>
      </c>
      <c r="R2606" s="2" t="s">
        <v>38</v>
      </c>
      <c r="S2606" s="2" t="s">
        <v>38</v>
      </c>
      <c r="T2606" s="2" t="s">
        <v>38</v>
      </c>
      <c r="U2606" s="2" t="s">
        <v>38</v>
      </c>
      <c r="V2606" s="2" t="s">
        <v>38</v>
      </c>
      <c r="W2606" s="2" t="s">
        <v>38</v>
      </c>
      <c r="X2606" s="2" t="s">
        <v>39</v>
      </c>
      <c r="Y2606" s="2" t="s">
        <v>39</v>
      </c>
      <c r="Z2606" s="2" t="s">
        <v>38</v>
      </c>
      <c r="AA2606" s="2" t="s">
        <v>38</v>
      </c>
      <c r="AB2606" s="2" t="s">
        <v>39</v>
      </c>
      <c r="AC2606" s="2" t="s">
        <v>39</v>
      </c>
      <c r="AD2606" s="2" t="s">
        <v>38</v>
      </c>
      <c r="AE2606" s="2"/>
    </row>
    <row r="2607" spans="1:31" ht="409.5">
      <c r="A2607" s="2">
        <v>2713987</v>
      </c>
      <c r="B2607" s="2">
        <f>HYPERLINK("https://platform.v2.vetology.net/cases/2713987/screening-report/1?type=pdf&amp;v=v6&amp;scorecard=1&amp;secret_key=BX%25IJ%24%2F65ieZ%29f6", 2713987)</f>
        <v>2713987</v>
      </c>
      <c r="C2607" s="2">
        <f>HYPERLINK("https://platform.v2.vetology.net/report/v/final/"&amp;2713987, 2713987)</f>
        <v>2713987</v>
      </c>
      <c r="D2607" s="2" t="s">
        <v>8353</v>
      </c>
      <c r="E2607" s="2" t="s">
        <v>2600</v>
      </c>
      <c r="F2607" s="2" t="s">
        <v>43</v>
      </c>
      <c r="G2607" s="2" t="s">
        <v>100</v>
      </c>
      <c r="H2607" s="2" t="s">
        <v>8354</v>
      </c>
      <c r="I2607" s="2" t="s">
        <v>73</v>
      </c>
      <c r="J2607" s="2" t="s">
        <v>74</v>
      </c>
      <c r="K2607" s="2" t="s">
        <v>38</v>
      </c>
      <c r="L2607" s="2" t="s">
        <v>38</v>
      </c>
      <c r="M2607" s="2" t="s">
        <v>38</v>
      </c>
      <c r="N2607" s="2" t="s">
        <v>38</v>
      </c>
      <c r="O2607" s="2" t="s">
        <v>38</v>
      </c>
      <c r="P2607" s="2" t="s">
        <v>38</v>
      </c>
      <c r="Q2607" s="2" t="s">
        <v>38</v>
      </c>
      <c r="R2607" s="2" t="s">
        <v>38</v>
      </c>
      <c r="S2607" s="2" t="s">
        <v>38</v>
      </c>
      <c r="T2607" s="2" t="s">
        <v>38</v>
      </c>
      <c r="U2607" s="2" t="s">
        <v>38</v>
      </c>
      <c r="V2607" s="2" t="s">
        <v>38</v>
      </c>
      <c r="W2607" s="2" t="s">
        <v>38</v>
      </c>
      <c r="X2607" s="2" t="s">
        <v>38</v>
      </c>
      <c r="Y2607" s="2" t="s">
        <v>38</v>
      </c>
      <c r="Z2607" s="2" t="s">
        <v>38</v>
      </c>
      <c r="AA2607" s="2" t="s">
        <v>38</v>
      </c>
      <c r="AB2607" s="2" t="s">
        <v>38</v>
      </c>
      <c r="AC2607" s="2" t="s">
        <v>38</v>
      </c>
      <c r="AD2607" s="2" t="s">
        <v>39</v>
      </c>
      <c r="AE2607" s="2" t="s">
        <v>40</v>
      </c>
    </row>
    <row r="2608" spans="1:31" ht="409.5">
      <c r="A2608" s="2">
        <v>2713971</v>
      </c>
      <c r="B2608" s="2">
        <f>HYPERLINK("https://platform.v2.vetology.net/cases/2713971/screening-report/1?type=pdf&amp;v=v6&amp;scorecard=1&amp;secret_key=BX%25IJ%24%2F65ieZ%29f6", 2713971)</f>
        <v>2713971</v>
      </c>
      <c r="C2608" s="2">
        <f>HYPERLINK("https://platform.v2.vetology.net/report/v/final/"&amp;2713971, 2713971)</f>
        <v>2713971</v>
      </c>
      <c r="D2608" s="2" t="s">
        <v>8355</v>
      </c>
      <c r="E2608" s="2" t="s">
        <v>8356</v>
      </c>
      <c r="F2608" s="2" t="s">
        <v>2082</v>
      </c>
      <c r="G2608" s="2" t="s">
        <v>170</v>
      </c>
      <c r="H2608" s="2" t="s">
        <v>2092</v>
      </c>
      <c r="I2608" s="2" t="s">
        <v>813</v>
      </c>
      <c r="J2608" s="2" t="s">
        <v>37</v>
      </c>
      <c r="K2608" s="2" t="s">
        <v>39</v>
      </c>
      <c r="L2608" s="2" t="s">
        <v>39</v>
      </c>
      <c r="M2608" s="2" t="s">
        <v>39</v>
      </c>
      <c r="N2608" s="2" t="s">
        <v>39</v>
      </c>
      <c r="O2608" s="2" t="s">
        <v>39</v>
      </c>
      <c r="P2608" s="2" t="s">
        <v>39</v>
      </c>
      <c r="Q2608" s="2" t="s">
        <v>39</v>
      </c>
      <c r="R2608" s="2" t="s">
        <v>38</v>
      </c>
      <c r="S2608" s="2" t="s">
        <v>39</v>
      </c>
      <c r="T2608" s="2" t="s">
        <v>38</v>
      </c>
      <c r="U2608" s="2" t="s">
        <v>39</v>
      </c>
      <c r="V2608" s="2" t="s">
        <v>38</v>
      </c>
      <c r="W2608" s="2" t="s">
        <v>38</v>
      </c>
      <c r="X2608" s="2" t="s">
        <v>39</v>
      </c>
      <c r="Y2608" s="2" t="s">
        <v>39</v>
      </c>
      <c r="Z2608" s="2" t="s">
        <v>39</v>
      </c>
      <c r="AA2608" s="2" t="s">
        <v>38</v>
      </c>
      <c r="AB2608" s="2" t="s">
        <v>39</v>
      </c>
      <c r="AC2608" s="2" t="s">
        <v>38</v>
      </c>
      <c r="AD2608" s="2" t="s">
        <v>38</v>
      </c>
      <c r="AE2608" s="2"/>
    </row>
    <row r="2609" spans="1:31" ht="409.5">
      <c r="A2609" s="2">
        <v>2713951</v>
      </c>
      <c r="B2609" s="2">
        <f>HYPERLINK("https://platform.v2.vetology.net/cases/2713951/screening-report/1?type=pdf&amp;v=v6&amp;scorecard=1&amp;secret_key=BX%25IJ%24%2F65ieZ%29f6", 2713951)</f>
        <v>2713951</v>
      </c>
      <c r="C2609" s="2">
        <f>HYPERLINK("https://platform.v2.vetology.net/report/v/final/"&amp;2713951, 2713951)</f>
        <v>2713951</v>
      </c>
      <c r="D2609" s="2" t="s">
        <v>8357</v>
      </c>
      <c r="E2609" s="2" t="s">
        <v>8358</v>
      </c>
      <c r="F2609" s="2" t="s">
        <v>8359</v>
      </c>
      <c r="G2609" s="2" t="s">
        <v>34</v>
      </c>
      <c r="H2609" s="2" t="s">
        <v>8360</v>
      </c>
      <c r="I2609" s="2" t="s">
        <v>129</v>
      </c>
      <c r="J2609" s="2" t="s">
        <v>74</v>
      </c>
      <c r="K2609" s="2" t="s">
        <v>38</v>
      </c>
      <c r="L2609" s="2" t="s">
        <v>39</v>
      </c>
      <c r="M2609" s="2" t="s">
        <v>38</v>
      </c>
      <c r="N2609" s="2" t="s">
        <v>39</v>
      </c>
      <c r="O2609" s="2" t="s">
        <v>38</v>
      </c>
      <c r="P2609" s="2" t="s">
        <v>38</v>
      </c>
      <c r="Q2609" s="2" t="s">
        <v>38</v>
      </c>
      <c r="R2609" s="2" t="s">
        <v>39</v>
      </c>
      <c r="S2609" s="2" t="s">
        <v>39</v>
      </c>
      <c r="T2609" s="2" t="s">
        <v>38</v>
      </c>
      <c r="U2609" s="2" t="s">
        <v>39</v>
      </c>
      <c r="V2609" s="2" t="s">
        <v>38</v>
      </c>
      <c r="W2609" s="2" t="s">
        <v>38</v>
      </c>
      <c r="X2609" s="2" t="s">
        <v>38</v>
      </c>
      <c r="Y2609" s="2" t="s">
        <v>39</v>
      </c>
      <c r="Z2609" s="2" t="s">
        <v>38</v>
      </c>
      <c r="AA2609" s="2" t="s">
        <v>39</v>
      </c>
      <c r="AB2609" s="2" t="s">
        <v>38</v>
      </c>
      <c r="AC2609" s="2" t="s">
        <v>38</v>
      </c>
      <c r="AD2609" s="2" t="s">
        <v>39</v>
      </c>
      <c r="AE2609" s="2" t="s">
        <v>40</v>
      </c>
    </row>
    <row r="2610" spans="1:31" ht="409.5">
      <c r="A2610" s="2">
        <v>2713933</v>
      </c>
      <c r="B2610" s="2">
        <f>HYPERLINK("https://platform.v2.vetology.net/cases/2713933/screening-report/1?type=pdf&amp;v=v6&amp;scorecard=1&amp;secret_key=BX%25IJ%24%2F65ieZ%29f6", 2713933)</f>
        <v>2713933</v>
      </c>
      <c r="C2610" s="2">
        <f>HYPERLINK("https://platform.v2.vetology.net/report/v/final/"&amp;2713933, 2713933)</f>
        <v>2713933</v>
      </c>
      <c r="D2610" s="2" t="s">
        <v>8361</v>
      </c>
      <c r="E2610" s="2" t="s">
        <v>8362</v>
      </c>
      <c r="F2610" s="2" t="s">
        <v>8363</v>
      </c>
      <c r="G2610" s="2" t="s">
        <v>507</v>
      </c>
      <c r="H2610" s="2" t="s">
        <v>69</v>
      </c>
      <c r="I2610" s="2" t="s">
        <v>46</v>
      </c>
      <c r="J2610" s="2"/>
      <c r="K2610" s="2" t="s">
        <v>39</v>
      </c>
      <c r="L2610" s="2" t="s">
        <v>39</v>
      </c>
      <c r="M2610" s="2" t="s">
        <v>39</v>
      </c>
      <c r="N2610" s="2" t="s">
        <v>39</v>
      </c>
      <c r="O2610" s="2" t="s">
        <v>39</v>
      </c>
      <c r="P2610" s="2" t="s">
        <v>39</v>
      </c>
      <c r="Q2610" s="2" t="s">
        <v>39</v>
      </c>
      <c r="R2610" s="2" t="s">
        <v>39</v>
      </c>
      <c r="S2610" s="2" t="s">
        <v>39</v>
      </c>
      <c r="T2610" s="2" t="s">
        <v>39</v>
      </c>
      <c r="U2610" s="2" t="s">
        <v>39</v>
      </c>
      <c r="V2610" s="2" t="s">
        <v>39</v>
      </c>
      <c r="W2610" s="2" t="s">
        <v>39</v>
      </c>
      <c r="X2610" s="2" t="s">
        <v>39</v>
      </c>
      <c r="Y2610" s="2" t="s">
        <v>39</v>
      </c>
      <c r="Z2610" s="2" t="s">
        <v>39</v>
      </c>
      <c r="AA2610" s="2" t="s">
        <v>39</v>
      </c>
      <c r="AB2610" s="2" t="s">
        <v>39</v>
      </c>
      <c r="AC2610" s="2" t="s">
        <v>39</v>
      </c>
      <c r="AD2610" s="2" t="s">
        <v>39</v>
      </c>
      <c r="AE2610" s="2"/>
    </row>
    <row r="2611" spans="1:31" ht="409.5">
      <c r="A2611" s="2">
        <v>2713918</v>
      </c>
      <c r="B2611" s="2">
        <f>HYPERLINK("https://platform.v2.vetology.net/cases/2713918/screening-report/1?type=pdf&amp;v=v6&amp;scorecard=1&amp;secret_key=BX%25IJ%24%2F65ieZ%29f6", 2713918)</f>
        <v>2713918</v>
      </c>
      <c r="C2611" s="2">
        <f>HYPERLINK("https://platform.v2.vetology.net/report/v/final/"&amp;2713918, 2713918)</f>
        <v>2713918</v>
      </c>
      <c r="D2611" s="2" t="s">
        <v>8364</v>
      </c>
      <c r="E2611" s="2" t="s">
        <v>8365</v>
      </c>
      <c r="F2611" s="2" t="s">
        <v>8366</v>
      </c>
      <c r="G2611" s="2" t="s">
        <v>53</v>
      </c>
      <c r="H2611" s="2" t="s">
        <v>93</v>
      </c>
      <c r="I2611" s="2" t="s">
        <v>59</v>
      </c>
      <c r="J2611" s="2" t="s">
        <v>37</v>
      </c>
      <c r="K2611" s="2" t="s">
        <v>38</v>
      </c>
      <c r="L2611" s="2" t="s">
        <v>39</v>
      </c>
      <c r="M2611" s="2" t="s">
        <v>39</v>
      </c>
      <c r="N2611" s="2" t="s">
        <v>38</v>
      </c>
      <c r="O2611" s="2" t="s">
        <v>39</v>
      </c>
      <c r="P2611" s="2" t="s">
        <v>39</v>
      </c>
      <c r="Q2611" s="2" t="s">
        <v>39</v>
      </c>
      <c r="R2611" s="2" t="s">
        <v>39</v>
      </c>
      <c r="S2611" s="2" t="s">
        <v>39</v>
      </c>
      <c r="T2611" s="2" t="s">
        <v>39</v>
      </c>
      <c r="U2611" s="2" t="s">
        <v>38</v>
      </c>
      <c r="V2611" s="2" t="s">
        <v>38</v>
      </c>
      <c r="W2611" s="2" t="s">
        <v>38</v>
      </c>
      <c r="X2611" s="2" t="s">
        <v>39</v>
      </c>
      <c r="Y2611" s="2" t="s">
        <v>39</v>
      </c>
      <c r="Z2611" s="2" t="s">
        <v>38</v>
      </c>
      <c r="AA2611" s="2" t="s">
        <v>38</v>
      </c>
      <c r="AB2611" s="2" t="s">
        <v>39</v>
      </c>
      <c r="AC2611" s="2" t="s">
        <v>38</v>
      </c>
      <c r="AD2611" s="2" t="s">
        <v>39</v>
      </c>
      <c r="AE2611" s="2" t="s">
        <v>39</v>
      </c>
    </row>
    <row r="2612" spans="1:31" ht="409.5">
      <c r="A2612" s="2">
        <v>2713913</v>
      </c>
      <c r="B2612" s="2">
        <f>HYPERLINK("https://platform.v2.vetology.net/cases/2713913/screening-report/1?type=pdf&amp;v=v6&amp;scorecard=1&amp;secret_key=BX%25IJ%24%2F65ieZ%29f6", 2713913)</f>
        <v>2713913</v>
      </c>
      <c r="C2612" s="2">
        <f>HYPERLINK("https://platform.v2.vetology.net/report/v/final/"&amp;2713913, 2713913)</f>
        <v>2713913</v>
      </c>
      <c r="D2612" s="2" t="s">
        <v>8367</v>
      </c>
      <c r="E2612" s="2" t="s">
        <v>8368</v>
      </c>
      <c r="F2612" s="2" t="s">
        <v>2340</v>
      </c>
      <c r="G2612" s="2" t="s">
        <v>170</v>
      </c>
      <c r="H2612" s="2" t="s">
        <v>8369</v>
      </c>
      <c r="I2612" s="2" t="s">
        <v>36</v>
      </c>
      <c r="J2612" s="2" t="s">
        <v>37</v>
      </c>
      <c r="K2612" s="2" t="s">
        <v>38</v>
      </c>
      <c r="L2612" s="2" t="s">
        <v>38</v>
      </c>
      <c r="M2612" s="2" t="s">
        <v>38</v>
      </c>
      <c r="N2612" s="2" t="s">
        <v>38</v>
      </c>
      <c r="O2612" s="2" t="s">
        <v>38</v>
      </c>
      <c r="P2612" s="2" t="s">
        <v>38</v>
      </c>
      <c r="Q2612" s="2" t="s">
        <v>38</v>
      </c>
      <c r="R2612" s="2" t="s">
        <v>38</v>
      </c>
      <c r="S2612" s="2" t="s">
        <v>38</v>
      </c>
      <c r="T2612" s="2" t="s">
        <v>38</v>
      </c>
      <c r="U2612" s="2" t="s">
        <v>38</v>
      </c>
      <c r="V2612" s="2" t="s">
        <v>38</v>
      </c>
      <c r="W2612" s="2" t="s">
        <v>38</v>
      </c>
      <c r="X2612" s="2" t="s">
        <v>38</v>
      </c>
      <c r="Y2612" s="2" t="s">
        <v>38</v>
      </c>
      <c r="Z2612" s="2" t="s">
        <v>38</v>
      </c>
      <c r="AA2612" s="2" t="s">
        <v>38</v>
      </c>
      <c r="AB2612" s="2" t="s">
        <v>39</v>
      </c>
      <c r="AC2612" s="2" t="s">
        <v>38</v>
      </c>
      <c r="AD2612" s="2" t="s">
        <v>38</v>
      </c>
      <c r="AE2612" s="2" t="s">
        <v>39</v>
      </c>
    </row>
    <row r="2613" spans="1:31" ht="409.5">
      <c r="A2613" s="2">
        <v>2713883</v>
      </c>
      <c r="B2613" s="2">
        <f>HYPERLINK("https://platform.v2.vetology.net/cases/2713883/screening-report/1?type=pdf&amp;v=v6&amp;scorecard=1&amp;secret_key=BX%25IJ%24%2F65ieZ%29f6", 2713883)</f>
        <v>2713883</v>
      </c>
      <c r="C2613" s="2">
        <f>HYPERLINK("https://platform.v2.vetology.net/report/v/final/"&amp;2713883, 2713883)</f>
        <v>2713883</v>
      </c>
      <c r="D2613" s="2" t="s">
        <v>8370</v>
      </c>
      <c r="E2613" s="2" t="s">
        <v>8371</v>
      </c>
      <c r="F2613" s="2" t="s">
        <v>229</v>
      </c>
      <c r="G2613" s="2" t="s">
        <v>170</v>
      </c>
      <c r="H2613" s="2" t="s">
        <v>93</v>
      </c>
      <c r="I2613" s="2" t="s">
        <v>59</v>
      </c>
      <c r="J2613" s="2" t="s">
        <v>37</v>
      </c>
      <c r="K2613" s="2" t="s">
        <v>38</v>
      </c>
      <c r="L2613" s="2" t="s">
        <v>39</v>
      </c>
      <c r="M2613" s="2" t="s">
        <v>39</v>
      </c>
      <c r="N2613" s="2" t="s">
        <v>38</v>
      </c>
      <c r="O2613" s="2" t="s">
        <v>39</v>
      </c>
      <c r="P2613" s="2" t="s">
        <v>39</v>
      </c>
      <c r="Q2613" s="2" t="s">
        <v>39</v>
      </c>
      <c r="R2613" s="2" t="s">
        <v>39</v>
      </c>
      <c r="S2613" s="2" t="s">
        <v>39</v>
      </c>
      <c r="T2613" s="2" t="s">
        <v>39</v>
      </c>
      <c r="U2613" s="2" t="s">
        <v>38</v>
      </c>
      <c r="V2613" s="2" t="s">
        <v>38</v>
      </c>
      <c r="W2613" s="2" t="s">
        <v>39</v>
      </c>
      <c r="X2613" s="2" t="s">
        <v>39</v>
      </c>
      <c r="Y2613" s="2" t="s">
        <v>39</v>
      </c>
      <c r="Z2613" s="2" t="s">
        <v>38</v>
      </c>
      <c r="AA2613" s="2" t="s">
        <v>39</v>
      </c>
      <c r="AB2613" s="2" t="s">
        <v>39</v>
      </c>
      <c r="AC2613" s="2" t="s">
        <v>38</v>
      </c>
      <c r="AD2613" s="2" t="s">
        <v>39</v>
      </c>
      <c r="AE2613" s="2" t="s">
        <v>39</v>
      </c>
    </row>
    <row r="2614" spans="1:31" ht="409.5">
      <c r="A2614" s="2">
        <v>2713867</v>
      </c>
      <c r="B2614" s="2">
        <f>HYPERLINK("https://platform.v2.vetology.net/cases/2713867/screening-report/1?type=pdf&amp;v=v6&amp;scorecard=1&amp;secret_key=BX%25IJ%24%2F65ieZ%29f6", 2713867)</f>
        <v>2713867</v>
      </c>
      <c r="C2614" s="2">
        <f>HYPERLINK("https://platform.v2.vetology.net/report/v/final/"&amp;2713867, 2713867)</f>
        <v>2713867</v>
      </c>
      <c r="D2614" s="2" t="s">
        <v>8372</v>
      </c>
      <c r="E2614" s="2" t="s">
        <v>8373</v>
      </c>
      <c r="F2614" s="2" t="s">
        <v>8374</v>
      </c>
      <c r="G2614" s="2" t="s">
        <v>100</v>
      </c>
      <c r="H2614" s="2" t="s">
        <v>394</v>
      </c>
      <c r="I2614" s="2" t="s">
        <v>59</v>
      </c>
      <c r="J2614" s="2" t="s">
        <v>37</v>
      </c>
      <c r="K2614" s="2" t="s">
        <v>38</v>
      </c>
      <c r="L2614" s="2" t="s">
        <v>39</v>
      </c>
      <c r="M2614" s="2" t="s">
        <v>39</v>
      </c>
      <c r="N2614" s="2" t="s">
        <v>39</v>
      </c>
      <c r="O2614" s="2" t="s">
        <v>39</v>
      </c>
      <c r="P2614" s="2" t="s">
        <v>39</v>
      </c>
      <c r="Q2614" s="2" t="s">
        <v>39</v>
      </c>
      <c r="R2614" s="2" t="s">
        <v>39</v>
      </c>
      <c r="S2614" s="2" t="s">
        <v>39</v>
      </c>
      <c r="T2614" s="2" t="s">
        <v>39</v>
      </c>
      <c r="U2614" s="2" t="s">
        <v>38</v>
      </c>
      <c r="V2614" s="2" t="s">
        <v>38</v>
      </c>
      <c r="W2614" s="2" t="s">
        <v>39</v>
      </c>
      <c r="X2614" s="2" t="s">
        <v>39</v>
      </c>
      <c r="Y2614" s="2" t="s">
        <v>39</v>
      </c>
      <c r="Z2614" s="2" t="s">
        <v>39</v>
      </c>
      <c r="AA2614" s="2" t="s">
        <v>39</v>
      </c>
      <c r="AB2614" s="2" t="s">
        <v>39</v>
      </c>
      <c r="AC2614" s="2" t="s">
        <v>39</v>
      </c>
      <c r="AD2614" s="2" t="s">
        <v>39</v>
      </c>
      <c r="AE2614" s="2" t="s">
        <v>39</v>
      </c>
    </row>
    <row r="2615" spans="1:31" ht="409.5">
      <c r="A2615" s="2">
        <v>2713857</v>
      </c>
      <c r="B2615" s="2">
        <f>HYPERLINK("https://platform.v2.vetology.net/cases/2713857/screening-report/1?type=pdf&amp;v=v6&amp;scorecard=1&amp;secret_key=BX%25IJ%24%2F65ieZ%29f6", 2713857)</f>
        <v>2713857</v>
      </c>
      <c r="C2615" s="2">
        <f>HYPERLINK("https://platform.v2.vetology.net/report/v/final/"&amp;2713857, 2713857)</f>
        <v>2713857</v>
      </c>
      <c r="D2615" s="2" t="s">
        <v>8375</v>
      </c>
      <c r="E2615" s="2" t="s">
        <v>8376</v>
      </c>
      <c r="F2615" s="2" t="s">
        <v>8377</v>
      </c>
      <c r="G2615" s="2" t="s">
        <v>34</v>
      </c>
      <c r="H2615" s="2" t="s">
        <v>45</v>
      </c>
      <c r="I2615" s="2" t="s">
        <v>46</v>
      </c>
      <c r="J2615" s="2"/>
      <c r="K2615" s="2" t="s">
        <v>39</v>
      </c>
      <c r="L2615" s="2" t="s">
        <v>39</v>
      </c>
      <c r="M2615" s="2" t="s">
        <v>39</v>
      </c>
      <c r="N2615" s="2" t="s">
        <v>39</v>
      </c>
      <c r="O2615" s="2" t="s">
        <v>39</v>
      </c>
      <c r="P2615" s="2" t="s">
        <v>39</v>
      </c>
      <c r="Q2615" s="2" t="s">
        <v>39</v>
      </c>
      <c r="R2615" s="2" t="s">
        <v>38</v>
      </c>
      <c r="S2615" s="2" t="s">
        <v>39</v>
      </c>
      <c r="T2615" s="2" t="s">
        <v>39</v>
      </c>
      <c r="U2615" s="2" t="s">
        <v>39</v>
      </c>
      <c r="V2615" s="2" t="s">
        <v>38</v>
      </c>
      <c r="W2615" s="2" t="s">
        <v>38</v>
      </c>
      <c r="X2615" s="2" t="s">
        <v>39</v>
      </c>
      <c r="Y2615" s="2" t="s">
        <v>39</v>
      </c>
      <c r="Z2615" s="2" t="s">
        <v>38</v>
      </c>
      <c r="AA2615" s="2" t="s">
        <v>39</v>
      </c>
      <c r="AB2615" s="2" t="s">
        <v>39</v>
      </c>
      <c r="AC2615" s="2" t="s">
        <v>38</v>
      </c>
      <c r="AD2615" s="2" t="s">
        <v>38</v>
      </c>
      <c r="AE2615" s="2" t="s">
        <v>39</v>
      </c>
    </row>
    <row r="2616" spans="1:31" ht="409.5">
      <c r="A2616" s="2">
        <v>2713851</v>
      </c>
      <c r="B2616" s="2">
        <f>HYPERLINK("https://platform.v2.vetology.net/cases/2713851/screening-report/1?type=pdf&amp;v=v6&amp;scorecard=1&amp;secret_key=BX%25IJ%24%2F65ieZ%29f6", 2713851)</f>
        <v>2713851</v>
      </c>
      <c r="C2616" s="2">
        <f>HYPERLINK("https://platform.v2.vetology.net/report/v/final/"&amp;2713851, 2713851)</f>
        <v>2713851</v>
      </c>
      <c r="D2616" s="2" t="s">
        <v>8378</v>
      </c>
      <c r="E2616" s="2" t="s">
        <v>8379</v>
      </c>
      <c r="F2616" s="2" t="s">
        <v>8380</v>
      </c>
      <c r="G2616" s="2" t="s">
        <v>170</v>
      </c>
      <c r="H2616" s="2" t="s">
        <v>8381</v>
      </c>
      <c r="I2616" s="2" t="s">
        <v>36</v>
      </c>
      <c r="J2616" s="2" t="s">
        <v>37</v>
      </c>
      <c r="K2616" s="2" t="s">
        <v>38</v>
      </c>
      <c r="L2616" s="2" t="s">
        <v>38</v>
      </c>
      <c r="M2616" s="2" t="s">
        <v>38</v>
      </c>
      <c r="N2616" s="2" t="s">
        <v>38</v>
      </c>
      <c r="O2616" s="2" t="s">
        <v>38</v>
      </c>
      <c r="P2616" s="2" t="s">
        <v>39</v>
      </c>
      <c r="Q2616" s="2" t="s">
        <v>39</v>
      </c>
      <c r="R2616" s="2" t="s">
        <v>39</v>
      </c>
      <c r="S2616" s="2" t="s">
        <v>38</v>
      </c>
      <c r="T2616" s="2" t="s">
        <v>39</v>
      </c>
      <c r="U2616" s="2" t="s">
        <v>38</v>
      </c>
      <c r="V2616" s="2" t="s">
        <v>38</v>
      </c>
      <c r="W2616" s="2" t="s">
        <v>38</v>
      </c>
      <c r="X2616" s="2" t="s">
        <v>39</v>
      </c>
      <c r="Y2616" s="2" t="s">
        <v>39</v>
      </c>
      <c r="Z2616" s="2" t="s">
        <v>38</v>
      </c>
      <c r="AA2616" s="2" t="s">
        <v>38</v>
      </c>
      <c r="AB2616" s="2" t="s">
        <v>38</v>
      </c>
      <c r="AC2616" s="2" t="s">
        <v>38</v>
      </c>
      <c r="AD2616" s="2" t="s">
        <v>38</v>
      </c>
      <c r="AE2616" s="2" t="s">
        <v>40</v>
      </c>
    </row>
    <row r="2617" spans="1:31" ht="409.5">
      <c r="A2617" s="2">
        <v>2713785</v>
      </c>
      <c r="B2617" s="2">
        <f>HYPERLINK("https://platform.v2.vetology.net/cases/2713785/screening-report/1?type=pdf&amp;v=v6&amp;scorecard=1&amp;secret_key=BX%25IJ%24%2F65ieZ%29f6", 2713785)</f>
        <v>2713785</v>
      </c>
      <c r="C2617" s="2">
        <f>HYPERLINK("https://platform.v2.vetology.net/report/v/final/"&amp;2713785, 2713785)</f>
        <v>2713785</v>
      </c>
      <c r="D2617" s="2" t="s">
        <v>8382</v>
      </c>
      <c r="E2617" s="2" t="s">
        <v>8383</v>
      </c>
      <c r="F2617" s="2" t="s">
        <v>8384</v>
      </c>
      <c r="G2617" s="2" t="s">
        <v>251</v>
      </c>
      <c r="H2617" s="2" t="s">
        <v>828</v>
      </c>
      <c r="I2617" s="2" t="s">
        <v>36</v>
      </c>
      <c r="J2617" s="2" t="s">
        <v>37</v>
      </c>
      <c r="K2617" s="2" t="s">
        <v>39</v>
      </c>
      <c r="L2617" s="2" t="s">
        <v>38</v>
      </c>
      <c r="M2617" s="2" t="s">
        <v>39</v>
      </c>
      <c r="N2617" s="2" t="s">
        <v>39</v>
      </c>
      <c r="O2617" s="2" t="s">
        <v>39</v>
      </c>
      <c r="P2617" s="2" t="s">
        <v>39</v>
      </c>
      <c r="Q2617" s="2" t="s">
        <v>39</v>
      </c>
      <c r="R2617" s="2" t="s">
        <v>39</v>
      </c>
      <c r="S2617" s="2" t="s">
        <v>39</v>
      </c>
      <c r="T2617" s="2" t="s">
        <v>39</v>
      </c>
      <c r="U2617" s="2" t="s">
        <v>39</v>
      </c>
      <c r="V2617" s="2" t="s">
        <v>39</v>
      </c>
      <c r="W2617" s="2" t="s">
        <v>39</v>
      </c>
      <c r="X2617" s="2" t="s">
        <v>39</v>
      </c>
      <c r="Y2617" s="2" t="s">
        <v>39</v>
      </c>
      <c r="Z2617" s="2" t="s">
        <v>39</v>
      </c>
      <c r="AA2617" s="2" t="s">
        <v>39</v>
      </c>
      <c r="AB2617" s="2" t="s">
        <v>39</v>
      </c>
      <c r="AC2617" s="2" t="s">
        <v>38</v>
      </c>
      <c r="AD2617" s="2" t="s">
        <v>39</v>
      </c>
      <c r="AE2617" s="2" t="s">
        <v>39</v>
      </c>
    </row>
    <row r="2618" spans="1:31" ht="409.5">
      <c r="A2618" s="2">
        <v>2713774</v>
      </c>
      <c r="B2618" s="2">
        <f>HYPERLINK("https://platform.v2.vetology.net/cases/2713774/screening-report/1?type=pdf&amp;v=v6&amp;scorecard=1&amp;secret_key=BX%25IJ%24%2F65ieZ%29f6", 2713774)</f>
        <v>2713774</v>
      </c>
      <c r="C2618" s="2">
        <f>HYPERLINK("https://platform.v2.vetology.net/report/v/final/"&amp;2713774, 2713774)</f>
        <v>2713774</v>
      </c>
      <c r="D2618" s="2" t="s">
        <v>8385</v>
      </c>
      <c r="E2618" s="2" t="s">
        <v>8386</v>
      </c>
      <c r="F2618" s="2" t="s">
        <v>8387</v>
      </c>
      <c r="G2618" s="2" t="s">
        <v>170</v>
      </c>
      <c r="H2618" s="2" t="s">
        <v>8388</v>
      </c>
      <c r="I2618" s="2" t="s">
        <v>36</v>
      </c>
      <c r="J2618" s="2" t="s">
        <v>37</v>
      </c>
      <c r="K2618" s="2" t="s">
        <v>39</v>
      </c>
      <c r="L2618" s="2" t="s">
        <v>38</v>
      </c>
      <c r="M2618" s="2" t="s">
        <v>38</v>
      </c>
      <c r="N2618" s="2" t="s">
        <v>38</v>
      </c>
      <c r="O2618" s="2" t="s">
        <v>38</v>
      </c>
      <c r="P2618" s="2" t="s">
        <v>38</v>
      </c>
      <c r="Q2618" s="2" t="s">
        <v>39</v>
      </c>
      <c r="R2618" s="2" t="s">
        <v>38</v>
      </c>
      <c r="S2618" s="2" t="s">
        <v>38</v>
      </c>
      <c r="T2618" s="2" t="s">
        <v>38</v>
      </c>
      <c r="U2618" s="2" t="s">
        <v>39</v>
      </c>
      <c r="V2618" s="2" t="s">
        <v>38</v>
      </c>
      <c r="W2618" s="2" t="s">
        <v>38</v>
      </c>
      <c r="X2618" s="2" t="s">
        <v>39</v>
      </c>
      <c r="Y2618" s="2" t="s">
        <v>38</v>
      </c>
      <c r="Z2618" s="2" t="s">
        <v>38</v>
      </c>
      <c r="AA2618" s="2" t="s">
        <v>38</v>
      </c>
      <c r="AB2618" s="2" t="s">
        <v>39</v>
      </c>
      <c r="AC2618" s="2" t="s">
        <v>38</v>
      </c>
      <c r="AD2618" s="2" t="s">
        <v>38</v>
      </c>
      <c r="AE2618" s="2" t="s">
        <v>40</v>
      </c>
    </row>
    <row r="2619" spans="1:31" ht="409.5">
      <c r="A2619" s="2">
        <v>2713710</v>
      </c>
      <c r="B2619" s="2">
        <f>HYPERLINK("https://platform.v2.vetology.net/cases/2713710/screening-report/1?type=pdf&amp;v=v6&amp;scorecard=1&amp;secret_key=BX%25IJ%24%2F65ieZ%29f6", 2713710)</f>
        <v>2713710</v>
      </c>
      <c r="C2619" s="2">
        <f>HYPERLINK("https://platform.v2.vetology.net/report/v/final/"&amp;2713710, 2713710)</f>
        <v>2713710</v>
      </c>
      <c r="D2619" s="2" t="s">
        <v>8389</v>
      </c>
      <c r="E2619" s="2" t="s">
        <v>8390</v>
      </c>
      <c r="F2619" s="2" t="s">
        <v>8391</v>
      </c>
      <c r="G2619" s="2" t="s">
        <v>34</v>
      </c>
      <c r="H2619" s="2" t="s">
        <v>8392</v>
      </c>
      <c r="I2619" s="2" t="s">
        <v>36</v>
      </c>
      <c r="J2619" s="2" t="s">
        <v>37</v>
      </c>
      <c r="K2619" s="2" t="s">
        <v>38</v>
      </c>
      <c r="L2619" s="2" t="s">
        <v>39</v>
      </c>
      <c r="M2619" s="2" t="s">
        <v>38</v>
      </c>
      <c r="N2619" s="2" t="s">
        <v>38</v>
      </c>
      <c r="O2619" s="2" t="s">
        <v>38</v>
      </c>
      <c r="P2619" s="2" t="s">
        <v>39</v>
      </c>
      <c r="Q2619" s="2" t="s">
        <v>39</v>
      </c>
      <c r="R2619" s="2" t="s">
        <v>39</v>
      </c>
      <c r="S2619" s="2" t="s">
        <v>39</v>
      </c>
      <c r="T2619" s="2" t="s">
        <v>39</v>
      </c>
      <c r="U2619" s="2" t="s">
        <v>39</v>
      </c>
      <c r="V2619" s="2" t="s">
        <v>38</v>
      </c>
      <c r="W2619" s="2" t="s">
        <v>38</v>
      </c>
      <c r="X2619" s="2" t="s">
        <v>39</v>
      </c>
      <c r="Y2619" s="2" t="s">
        <v>39</v>
      </c>
      <c r="Z2619" s="2" t="s">
        <v>39</v>
      </c>
      <c r="AA2619" s="2" t="s">
        <v>39</v>
      </c>
      <c r="AB2619" s="2" t="s">
        <v>39</v>
      </c>
      <c r="AC2619" s="2" t="s">
        <v>38</v>
      </c>
      <c r="AD2619" s="2" t="s">
        <v>39</v>
      </c>
      <c r="AE2619" s="2" t="s">
        <v>40</v>
      </c>
    </row>
    <row r="2620" spans="1:31" ht="409.5">
      <c r="A2620" s="2">
        <v>2713693</v>
      </c>
      <c r="B2620" s="2">
        <f>HYPERLINK("https://platform.v2.vetology.net/cases/2713693/screening-report/1?type=pdf&amp;v=v6&amp;scorecard=1&amp;secret_key=BX%25IJ%24%2F65ieZ%29f6", 2713693)</f>
        <v>2713693</v>
      </c>
      <c r="C2620" s="2">
        <f>HYPERLINK("https://platform.v2.vetology.net/report/v/final/"&amp;2713693, 2713693)</f>
        <v>2713693</v>
      </c>
      <c r="D2620" s="2" t="s">
        <v>8393</v>
      </c>
      <c r="E2620" s="2" t="s">
        <v>8394</v>
      </c>
      <c r="F2620" s="2" t="s">
        <v>8395</v>
      </c>
      <c r="G2620" s="2" t="s">
        <v>170</v>
      </c>
      <c r="H2620" s="2" t="s">
        <v>1930</v>
      </c>
      <c r="I2620" s="2" t="s">
        <v>36</v>
      </c>
      <c r="J2620" s="2" t="s">
        <v>37</v>
      </c>
      <c r="K2620" s="2" t="s">
        <v>38</v>
      </c>
      <c r="L2620" s="2" t="s">
        <v>38</v>
      </c>
      <c r="M2620" s="2" t="s">
        <v>38</v>
      </c>
      <c r="N2620" s="2" t="s">
        <v>38</v>
      </c>
      <c r="O2620" s="2" t="s">
        <v>38</v>
      </c>
      <c r="P2620" s="2" t="s">
        <v>38</v>
      </c>
      <c r="Q2620" s="2" t="s">
        <v>39</v>
      </c>
      <c r="R2620" s="2" t="s">
        <v>39</v>
      </c>
      <c r="S2620" s="2" t="s">
        <v>38</v>
      </c>
      <c r="T2620" s="2" t="s">
        <v>39</v>
      </c>
      <c r="U2620" s="2" t="s">
        <v>39</v>
      </c>
      <c r="V2620" s="2" t="s">
        <v>38</v>
      </c>
      <c r="W2620" s="2" t="s">
        <v>38</v>
      </c>
      <c r="X2620" s="2" t="s">
        <v>38</v>
      </c>
      <c r="Y2620" s="2" t="s">
        <v>39</v>
      </c>
      <c r="Z2620" s="2" t="s">
        <v>39</v>
      </c>
      <c r="AA2620" s="2" t="s">
        <v>38</v>
      </c>
      <c r="AB2620" s="2" t="s">
        <v>38</v>
      </c>
      <c r="AC2620" s="2" t="s">
        <v>38</v>
      </c>
      <c r="AD2620" s="2" t="s">
        <v>39</v>
      </c>
      <c r="AE2620" s="2" t="s">
        <v>40</v>
      </c>
    </row>
    <row r="2621" spans="1:31" ht="409.5">
      <c r="A2621" s="2">
        <v>2713690</v>
      </c>
      <c r="B2621" s="2">
        <f>HYPERLINK("https://platform.v2.vetology.net/cases/2713690/screening-report/1?type=pdf&amp;v=v6&amp;scorecard=1&amp;secret_key=BX%25IJ%24%2F65ieZ%29f6", 2713690)</f>
        <v>2713690</v>
      </c>
      <c r="C2621" s="2">
        <f>HYPERLINK("https://platform.v2.vetology.net/report/v/final/"&amp;2713690, 2713690)</f>
        <v>2713690</v>
      </c>
      <c r="D2621" s="2" t="s">
        <v>8396</v>
      </c>
      <c r="E2621" s="2" t="s">
        <v>8397</v>
      </c>
      <c r="F2621" s="2" t="s">
        <v>8398</v>
      </c>
      <c r="G2621" s="2" t="s">
        <v>170</v>
      </c>
      <c r="H2621" s="2" t="s">
        <v>8399</v>
      </c>
      <c r="I2621" s="2" t="s">
        <v>73</v>
      </c>
      <c r="J2621" s="2" t="s">
        <v>74</v>
      </c>
      <c r="K2621" s="2" t="s">
        <v>38</v>
      </c>
      <c r="L2621" s="2" t="s">
        <v>38</v>
      </c>
      <c r="M2621" s="2" t="s">
        <v>38</v>
      </c>
      <c r="N2621" s="2" t="s">
        <v>38</v>
      </c>
      <c r="O2621" s="2" t="s">
        <v>38</v>
      </c>
      <c r="P2621" s="2" t="s">
        <v>38</v>
      </c>
      <c r="Q2621" s="2" t="s">
        <v>38</v>
      </c>
      <c r="R2621" s="2" t="s">
        <v>38</v>
      </c>
      <c r="S2621" s="2" t="s">
        <v>38</v>
      </c>
      <c r="T2621" s="2" t="s">
        <v>38</v>
      </c>
      <c r="U2621" s="2" t="s">
        <v>38</v>
      </c>
      <c r="V2621" s="2" t="s">
        <v>38</v>
      </c>
      <c r="W2621" s="2" t="s">
        <v>38</v>
      </c>
      <c r="X2621" s="2" t="s">
        <v>38</v>
      </c>
      <c r="Y2621" s="2" t="s">
        <v>38</v>
      </c>
      <c r="Z2621" s="2" t="s">
        <v>38</v>
      </c>
      <c r="AA2621" s="2" t="s">
        <v>38</v>
      </c>
      <c r="AB2621" s="2" t="s">
        <v>38</v>
      </c>
      <c r="AC2621" s="2" t="s">
        <v>38</v>
      </c>
      <c r="AD2621" s="2" t="s">
        <v>38</v>
      </c>
      <c r="AE2621" s="2" t="s">
        <v>40</v>
      </c>
    </row>
    <row r="2622" spans="1:31" ht="409.5">
      <c r="A2622" s="2">
        <v>2713571</v>
      </c>
      <c r="B2622" s="2">
        <f>HYPERLINK("https://platform.v2.vetology.net/cases/2713571/screening-report/1?type=pdf&amp;v=v6&amp;scorecard=1&amp;secret_key=BX%25IJ%24%2F65ieZ%29f6", 2713571)</f>
        <v>2713571</v>
      </c>
      <c r="C2622" s="2">
        <f>HYPERLINK("https://platform.v2.vetology.net/report/v/final/"&amp;2713571, 2713571)</f>
        <v>2713571</v>
      </c>
      <c r="D2622" s="2" t="s">
        <v>8400</v>
      </c>
      <c r="E2622" s="2" t="s">
        <v>8401</v>
      </c>
      <c r="F2622" s="2" t="s">
        <v>8402</v>
      </c>
      <c r="G2622" s="2" t="s">
        <v>111</v>
      </c>
      <c r="H2622" s="2" t="s">
        <v>93</v>
      </c>
      <c r="I2622" s="2" t="s">
        <v>59</v>
      </c>
      <c r="J2622" s="2" t="s">
        <v>37</v>
      </c>
      <c r="K2622" s="2" t="s">
        <v>38</v>
      </c>
      <c r="L2622" s="2" t="s">
        <v>39</v>
      </c>
      <c r="M2622" s="2" t="s">
        <v>39</v>
      </c>
      <c r="N2622" s="2" t="s">
        <v>38</v>
      </c>
      <c r="O2622" s="2" t="s">
        <v>39</v>
      </c>
      <c r="P2622" s="2" t="s">
        <v>39</v>
      </c>
      <c r="Q2622" s="2" t="s">
        <v>39</v>
      </c>
      <c r="R2622" s="2" t="s">
        <v>39</v>
      </c>
      <c r="S2622" s="2" t="s">
        <v>39</v>
      </c>
      <c r="T2622" s="2" t="s">
        <v>39</v>
      </c>
      <c r="U2622" s="2" t="s">
        <v>38</v>
      </c>
      <c r="V2622" s="2" t="s">
        <v>38</v>
      </c>
      <c r="W2622" s="2" t="s">
        <v>39</v>
      </c>
      <c r="X2622" s="2" t="s">
        <v>39</v>
      </c>
      <c r="Y2622" s="2" t="s">
        <v>39</v>
      </c>
      <c r="Z2622" s="2" t="s">
        <v>39</v>
      </c>
      <c r="AA2622" s="2" t="s">
        <v>39</v>
      </c>
      <c r="AB2622" s="2" t="s">
        <v>39</v>
      </c>
      <c r="AC2622" s="2" t="s">
        <v>39</v>
      </c>
      <c r="AD2622" s="2" t="s">
        <v>39</v>
      </c>
      <c r="AE2622" s="2" t="s">
        <v>39</v>
      </c>
    </row>
    <row r="2623" spans="1:31" ht="409.5">
      <c r="A2623" s="2">
        <v>2713544</v>
      </c>
      <c r="B2623" s="2">
        <f>HYPERLINK("https://platform.v2.vetology.net/cases/2713544/screening-report/1?type=pdf&amp;v=v6&amp;scorecard=1&amp;secret_key=BX%25IJ%24%2F65ieZ%29f6", 2713544)</f>
        <v>2713544</v>
      </c>
      <c r="C2623" s="2">
        <f>HYPERLINK("https://platform.v2.vetology.net/report/v/final/"&amp;2713544, 2713544)</f>
        <v>2713544</v>
      </c>
      <c r="D2623" s="2" t="s">
        <v>8403</v>
      </c>
      <c r="E2623" s="2" t="s">
        <v>8404</v>
      </c>
      <c r="F2623" s="2" t="s">
        <v>8405</v>
      </c>
      <c r="G2623" s="2" t="s">
        <v>53</v>
      </c>
      <c r="H2623" s="2" t="s">
        <v>8406</v>
      </c>
      <c r="I2623" s="2" t="s">
        <v>73</v>
      </c>
      <c r="J2623" s="2" t="s">
        <v>74</v>
      </c>
      <c r="K2623" s="2" t="s">
        <v>38</v>
      </c>
      <c r="L2623" s="2" t="s">
        <v>38</v>
      </c>
      <c r="M2623" s="2" t="s">
        <v>38</v>
      </c>
      <c r="N2623" s="2" t="s">
        <v>38</v>
      </c>
      <c r="O2623" s="2" t="s">
        <v>38</v>
      </c>
      <c r="P2623" s="2" t="s">
        <v>38</v>
      </c>
      <c r="Q2623" s="2" t="s">
        <v>38</v>
      </c>
      <c r="R2623" s="2" t="s">
        <v>39</v>
      </c>
      <c r="S2623" s="2" t="s">
        <v>38</v>
      </c>
      <c r="T2623" s="2" t="s">
        <v>38</v>
      </c>
      <c r="U2623" s="2" t="s">
        <v>38</v>
      </c>
      <c r="V2623" s="2" t="s">
        <v>38</v>
      </c>
      <c r="W2623" s="2" t="s">
        <v>38</v>
      </c>
      <c r="X2623" s="2" t="s">
        <v>38</v>
      </c>
      <c r="Y2623" s="2" t="s">
        <v>38</v>
      </c>
      <c r="Z2623" s="2" t="s">
        <v>38</v>
      </c>
      <c r="AA2623" s="2" t="s">
        <v>38</v>
      </c>
      <c r="AB2623" s="2" t="s">
        <v>38</v>
      </c>
      <c r="AC2623" s="2" t="s">
        <v>38</v>
      </c>
      <c r="AD2623" s="2" t="s">
        <v>39</v>
      </c>
      <c r="AE2623" s="2" t="s">
        <v>40</v>
      </c>
    </row>
    <row r="2624" spans="1:31" ht="409.5">
      <c r="A2624" s="2">
        <v>2713542</v>
      </c>
      <c r="B2624" s="2">
        <f>HYPERLINK("https://platform.v2.vetology.net/cases/2713542/screening-report/1?type=pdf&amp;v=v6&amp;scorecard=1&amp;secret_key=BX%25IJ%24%2F65ieZ%29f6", 2713542)</f>
        <v>2713542</v>
      </c>
      <c r="C2624" s="2">
        <f>HYPERLINK("https://platform.v2.vetology.net/report/v/final/"&amp;2713542, 2713542)</f>
        <v>2713542</v>
      </c>
      <c r="D2624" s="2" t="s">
        <v>8407</v>
      </c>
      <c r="E2624" s="2" t="s">
        <v>8408</v>
      </c>
      <c r="F2624" s="2" t="s">
        <v>8409</v>
      </c>
      <c r="G2624" s="2" t="s">
        <v>34</v>
      </c>
      <c r="H2624" s="2" t="s">
        <v>8410</v>
      </c>
      <c r="I2624" s="2" t="s">
        <v>257</v>
      </c>
      <c r="J2624" s="2" t="s">
        <v>74</v>
      </c>
      <c r="K2624" s="2" t="s">
        <v>38</v>
      </c>
      <c r="L2624" s="2" t="s">
        <v>38</v>
      </c>
      <c r="M2624" s="2" t="s">
        <v>38</v>
      </c>
      <c r="N2624" s="2" t="s">
        <v>38</v>
      </c>
      <c r="O2624" s="2" t="s">
        <v>38</v>
      </c>
      <c r="P2624" s="2" t="s">
        <v>38</v>
      </c>
      <c r="Q2624" s="2" t="s">
        <v>38</v>
      </c>
      <c r="R2624" s="2" t="s">
        <v>38</v>
      </c>
      <c r="S2624" s="2" t="s">
        <v>38</v>
      </c>
      <c r="T2624" s="2" t="s">
        <v>38</v>
      </c>
      <c r="U2624" s="2" t="s">
        <v>38</v>
      </c>
      <c r="V2624" s="2" t="s">
        <v>38</v>
      </c>
      <c r="W2624" s="2" t="s">
        <v>38</v>
      </c>
      <c r="X2624" s="2" t="s">
        <v>38</v>
      </c>
      <c r="Y2624" s="2" t="s">
        <v>39</v>
      </c>
      <c r="Z2624" s="2" t="s">
        <v>38</v>
      </c>
      <c r="AA2624" s="2" t="s">
        <v>38</v>
      </c>
      <c r="AB2624" s="2" t="s">
        <v>38</v>
      </c>
      <c r="AC2624" s="2" t="s">
        <v>38</v>
      </c>
      <c r="AD2624" s="2" t="s">
        <v>38</v>
      </c>
      <c r="AE2624" s="2" t="s">
        <v>39</v>
      </c>
    </row>
    <row r="2625" spans="1:31" ht="409.5">
      <c r="A2625" s="2">
        <v>2713529</v>
      </c>
      <c r="B2625" s="2">
        <f>HYPERLINK("https://platform.v2.vetology.net/cases/2713529/screening-report/1?type=pdf&amp;v=v6&amp;scorecard=1&amp;secret_key=BX%25IJ%24%2F65ieZ%29f6", 2713529)</f>
        <v>2713529</v>
      </c>
      <c r="C2625" s="2">
        <f>HYPERLINK("https://platform.v2.vetology.net/report/v/final/"&amp;2713529, 2713529)</f>
        <v>2713529</v>
      </c>
      <c r="D2625" s="2" t="s">
        <v>8411</v>
      </c>
      <c r="E2625" s="2" t="s">
        <v>8412</v>
      </c>
      <c r="F2625" s="2" t="s">
        <v>8413</v>
      </c>
      <c r="G2625" s="2" t="s">
        <v>127</v>
      </c>
      <c r="H2625" s="2" t="s">
        <v>8414</v>
      </c>
      <c r="I2625" s="2" t="s">
        <v>257</v>
      </c>
      <c r="J2625" s="2" t="s">
        <v>74</v>
      </c>
      <c r="K2625" s="2" t="s">
        <v>38</v>
      </c>
      <c r="L2625" s="2" t="s">
        <v>38</v>
      </c>
      <c r="M2625" s="2" t="s">
        <v>38</v>
      </c>
      <c r="N2625" s="2" t="s">
        <v>38</v>
      </c>
      <c r="O2625" s="2" t="s">
        <v>38</v>
      </c>
      <c r="P2625" s="2" t="s">
        <v>38</v>
      </c>
      <c r="Q2625" s="2" t="s">
        <v>38</v>
      </c>
      <c r="R2625" s="2" t="s">
        <v>38</v>
      </c>
      <c r="S2625" s="2" t="s">
        <v>38</v>
      </c>
      <c r="T2625" s="2" t="s">
        <v>38</v>
      </c>
      <c r="U2625" s="2" t="s">
        <v>38</v>
      </c>
      <c r="V2625" s="2" t="s">
        <v>38</v>
      </c>
      <c r="W2625" s="2" t="s">
        <v>38</v>
      </c>
      <c r="X2625" s="2" t="s">
        <v>38</v>
      </c>
      <c r="Y2625" s="2" t="s">
        <v>39</v>
      </c>
      <c r="Z2625" s="2" t="s">
        <v>38</v>
      </c>
      <c r="AA2625" s="2" t="s">
        <v>38</v>
      </c>
      <c r="AB2625" s="2" t="s">
        <v>38</v>
      </c>
      <c r="AC2625" s="2" t="s">
        <v>38</v>
      </c>
      <c r="AD2625" s="2" t="s">
        <v>39</v>
      </c>
      <c r="AE2625" s="2" t="s">
        <v>40</v>
      </c>
    </row>
    <row r="2626" spans="1:31" ht="409.5">
      <c r="A2626" s="2">
        <v>2713524</v>
      </c>
      <c r="B2626" s="2">
        <f>HYPERLINK("https://platform.v2.vetology.net/cases/2713524/screening-report/1?type=pdf&amp;v=v6&amp;scorecard=1&amp;secret_key=BX%25IJ%24%2F65ieZ%29f6", 2713524)</f>
        <v>2713524</v>
      </c>
      <c r="C2626" s="2">
        <f>HYPERLINK("https://platform.v2.vetology.net/report/v/final/"&amp;2713524, 2713524)</f>
        <v>2713524</v>
      </c>
      <c r="D2626" s="2" t="s">
        <v>853</v>
      </c>
      <c r="E2626" s="2" t="s">
        <v>8415</v>
      </c>
      <c r="F2626" s="2" t="s">
        <v>8416</v>
      </c>
      <c r="G2626" s="2" t="s">
        <v>111</v>
      </c>
      <c r="H2626" s="2" t="s">
        <v>201</v>
      </c>
      <c r="I2626" s="2" t="s">
        <v>36</v>
      </c>
      <c r="J2626" s="2" t="s">
        <v>37</v>
      </c>
      <c r="K2626" s="2" t="s">
        <v>39</v>
      </c>
      <c r="L2626" s="2" t="s">
        <v>39</v>
      </c>
      <c r="M2626" s="2" t="s">
        <v>38</v>
      </c>
      <c r="N2626" s="2" t="s">
        <v>38</v>
      </c>
      <c r="O2626" s="2" t="s">
        <v>39</v>
      </c>
      <c r="P2626" s="2" t="s">
        <v>39</v>
      </c>
      <c r="Q2626" s="2" t="s">
        <v>39</v>
      </c>
      <c r="R2626" s="2" t="s">
        <v>39</v>
      </c>
      <c r="S2626" s="2" t="s">
        <v>39</v>
      </c>
      <c r="T2626" s="2" t="s">
        <v>39</v>
      </c>
      <c r="U2626" s="2" t="s">
        <v>39</v>
      </c>
      <c r="V2626" s="2" t="s">
        <v>39</v>
      </c>
      <c r="W2626" s="2" t="s">
        <v>39</v>
      </c>
      <c r="X2626" s="2" t="s">
        <v>39</v>
      </c>
      <c r="Y2626" s="2" t="s">
        <v>39</v>
      </c>
      <c r="Z2626" s="2" t="s">
        <v>38</v>
      </c>
      <c r="AA2626" s="2" t="s">
        <v>38</v>
      </c>
      <c r="AB2626" s="2" t="s">
        <v>39</v>
      </c>
      <c r="AC2626" s="2" t="s">
        <v>38</v>
      </c>
      <c r="AD2626" s="2" t="s">
        <v>39</v>
      </c>
      <c r="AE2626" s="2" t="s">
        <v>39</v>
      </c>
    </row>
    <row r="2627" spans="1:31" ht="409.5">
      <c r="A2627" s="2">
        <v>2713520</v>
      </c>
      <c r="B2627" s="2">
        <f>HYPERLINK("https://platform.v2.vetology.net/cases/2713520/screening-report/1?type=pdf&amp;v=v6&amp;scorecard=1&amp;secret_key=BX%25IJ%24%2F65ieZ%29f6", 2713520)</f>
        <v>2713520</v>
      </c>
      <c r="C2627" s="2">
        <f>HYPERLINK("https://platform.v2.vetology.net/report/v/final/"&amp;2713520, 2713520)</f>
        <v>2713520</v>
      </c>
      <c r="D2627" s="2" t="s">
        <v>8417</v>
      </c>
      <c r="E2627" s="2" t="s">
        <v>8418</v>
      </c>
      <c r="F2627" s="2" t="s">
        <v>8419</v>
      </c>
      <c r="G2627" s="2" t="s">
        <v>34</v>
      </c>
      <c r="H2627" s="2" t="s">
        <v>625</v>
      </c>
      <c r="I2627" s="2" t="s">
        <v>257</v>
      </c>
      <c r="J2627" s="2" t="s">
        <v>74</v>
      </c>
      <c r="K2627" s="2" t="s">
        <v>38</v>
      </c>
      <c r="L2627" s="2" t="s">
        <v>38</v>
      </c>
      <c r="M2627" s="2" t="s">
        <v>38</v>
      </c>
      <c r="N2627" s="2" t="s">
        <v>38</v>
      </c>
      <c r="O2627" s="2" t="s">
        <v>38</v>
      </c>
      <c r="P2627" s="2" t="s">
        <v>38</v>
      </c>
      <c r="Q2627" s="2" t="s">
        <v>38</v>
      </c>
      <c r="R2627" s="2" t="s">
        <v>38</v>
      </c>
      <c r="S2627" s="2" t="s">
        <v>38</v>
      </c>
      <c r="T2627" s="2" t="s">
        <v>38</v>
      </c>
      <c r="U2627" s="2" t="s">
        <v>38</v>
      </c>
      <c r="V2627" s="2" t="s">
        <v>38</v>
      </c>
      <c r="W2627" s="2" t="s">
        <v>38</v>
      </c>
      <c r="X2627" s="2" t="s">
        <v>38</v>
      </c>
      <c r="Y2627" s="2" t="s">
        <v>38</v>
      </c>
      <c r="Z2627" s="2" t="s">
        <v>38</v>
      </c>
      <c r="AA2627" s="2" t="s">
        <v>38</v>
      </c>
      <c r="AB2627" s="2" t="s">
        <v>38</v>
      </c>
      <c r="AC2627" s="2" t="s">
        <v>38</v>
      </c>
      <c r="AD2627" s="2" t="s">
        <v>38</v>
      </c>
      <c r="AE2627" s="2" t="s">
        <v>40</v>
      </c>
    </row>
    <row r="2628" spans="1:31" ht="409.5">
      <c r="A2628" s="2">
        <v>2713506</v>
      </c>
      <c r="B2628" s="2">
        <f>HYPERLINK("https://platform.v2.vetology.net/cases/2713506/screening-report/1?type=pdf&amp;v=v6&amp;scorecard=1&amp;secret_key=BX%25IJ%24%2F65ieZ%29f6", 2713506)</f>
        <v>2713506</v>
      </c>
      <c r="C2628" s="2">
        <f>HYPERLINK("https://platform.v2.vetology.net/report/v/final/"&amp;2713506, 2713506)</f>
        <v>2713506</v>
      </c>
      <c r="D2628" s="2" t="s">
        <v>8420</v>
      </c>
      <c r="E2628" s="2" t="s">
        <v>8421</v>
      </c>
      <c r="F2628" s="2" t="s">
        <v>8422</v>
      </c>
      <c r="G2628" s="2" t="s">
        <v>8097</v>
      </c>
      <c r="H2628" s="2" t="s">
        <v>69</v>
      </c>
      <c r="I2628" s="2" t="s">
        <v>46</v>
      </c>
      <c r="J2628" s="2"/>
      <c r="K2628" s="2" t="s">
        <v>39</v>
      </c>
      <c r="L2628" s="2" t="s">
        <v>39</v>
      </c>
      <c r="M2628" s="2" t="s">
        <v>39</v>
      </c>
      <c r="N2628" s="2" t="s">
        <v>39</v>
      </c>
      <c r="O2628" s="2" t="s">
        <v>39</v>
      </c>
      <c r="P2628" s="2" t="s">
        <v>39</v>
      </c>
      <c r="Q2628" s="2" t="s">
        <v>39</v>
      </c>
      <c r="R2628" s="2" t="s">
        <v>39</v>
      </c>
      <c r="S2628" s="2" t="s">
        <v>39</v>
      </c>
      <c r="T2628" s="2" t="s">
        <v>39</v>
      </c>
      <c r="U2628" s="2" t="s">
        <v>39</v>
      </c>
      <c r="V2628" s="2" t="s">
        <v>39</v>
      </c>
      <c r="W2628" s="2" t="s">
        <v>39</v>
      </c>
      <c r="X2628" s="2" t="s">
        <v>39</v>
      </c>
      <c r="Y2628" s="2" t="s">
        <v>39</v>
      </c>
      <c r="Z2628" s="2" t="s">
        <v>39</v>
      </c>
      <c r="AA2628" s="2" t="s">
        <v>39</v>
      </c>
      <c r="AB2628" s="2" t="s">
        <v>39</v>
      </c>
      <c r="AC2628" s="2" t="s">
        <v>39</v>
      </c>
      <c r="AD2628" s="2" t="s">
        <v>39</v>
      </c>
      <c r="AE2628" s="2" t="s">
        <v>39</v>
      </c>
    </row>
    <row r="2629" spans="1:31" ht="409.5">
      <c r="A2629" s="2">
        <v>2713500</v>
      </c>
      <c r="B2629" s="2">
        <f>HYPERLINK("https://platform.v2.vetology.net/cases/2713500/screening-report/1?type=pdf&amp;v=v6&amp;scorecard=1&amp;secret_key=BX%25IJ%24%2F65ieZ%29f6", 2713500)</f>
        <v>2713500</v>
      </c>
      <c r="C2629" s="2">
        <f>HYPERLINK("https://platform.v2.vetology.net/report/v/final/"&amp;2713500, 2713500)</f>
        <v>2713500</v>
      </c>
      <c r="D2629" s="2" t="s">
        <v>8423</v>
      </c>
      <c r="E2629" s="2" t="s">
        <v>8424</v>
      </c>
      <c r="F2629" s="2" t="s">
        <v>8425</v>
      </c>
      <c r="G2629" s="2" t="s">
        <v>34</v>
      </c>
      <c r="H2629" s="2" t="s">
        <v>8426</v>
      </c>
      <c r="I2629" s="2" t="s">
        <v>257</v>
      </c>
      <c r="J2629" s="2" t="s">
        <v>74</v>
      </c>
      <c r="K2629" s="2" t="s">
        <v>38</v>
      </c>
      <c r="L2629" s="2" t="s">
        <v>38</v>
      </c>
      <c r="M2629" s="2" t="s">
        <v>38</v>
      </c>
      <c r="N2629" s="2" t="s">
        <v>38</v>
      </c>
      <c r="O2629" s="2" t="s">
        <v>38</v>
      </c>
      <c r="P2629" s="2" t="s">
        <v>38</v>
      </c>
      <c r="Q2629" s="2" t="s">
        <v>38</v>
      </c>
      <c r="R2629" s="2" t="s">
        <v>38</v>
      </c>
      <c r="S2629" s="2" t="s">
        <v>38</v>
      </c>
      <c r="T2629" s="2" t="s">
        <v>38</v>
      </c>
      <c r="U2629" s="2" t="s">
        <v>38</v>
      </c>
      <c r="V2629" s="2" t="s">
        <v>38</v>
      </c>
      <c r="W2629" s="2" t="s">
        <v>38</v>
      </c>
      <c r="X2629" s="2" t="s">
        <v>38</v>
      </c>
      <c r="Y2629" s="2" t="s">
        <v>38</v>
      </c>
      <c r="Z2629" s="2" t="s">
        <v>38</v>
      </c>
      <c r="AA2629" s="2" t="s">
        <v>38</v>
      </c>
      <c r="AB2629" s="2" t="s">
        <v>38</v>
      </c>
      <c r="AC2629" s="2" t="s">
        <v>38</v>
      </c>
      <c r="AD2629" s="2" t="s">
        <v>38</v>
      </c>
      <c r="AE2629" s="2" t="s">
        <v>40</v>
      </c>
    </row>
    <row r="2630" spans="1:31" ht="409.5">
      <c r="A2630" s="2">
        <v>2713497</v>
      </c>
      <c r="B2630" s="2">
        <f>HYPERLINK("https://platform.v2.vetology.net/cases/2713497/screening-report/1?type=pdf&amp;v=v6&amp;scorecard=1&amp;secret_key=BX%25IJ%24%2F65ieZ%29f6", 2713497)</f>
        <v>2713497</v>
      </c>
      <c r="C2630" s="2">
        <f>HYPERLINK("https://platform.v2.vetology.net/report/v/final/"&amp;2713497, 2713497)</f>
        <v>2713497</v>
      </c>
      <c r="D2630" s="2" t="s">
        <v>8427</v>
      </c>
      <c r="E2630" s="2" t="s">
        <v>8428</v>
      </c>
      <c r="F2630" s="2" t="s">
        <v>8429</v>
      </c>
      <c r="G2630" s="2" t="s">
        <v>53</v>
      </c>
      <c r="H2630" s="2" t="s">
        <v>8430</v>
      </c>
      <c r="I2630" s="2" t="s">
        <v>36</v>
      </c>
      <c r="J2630" s="2" t="s">
        <v>37</v>
      </c>
      <c r="K2630" s="2" t="s">
        <v>39</v>
      </c>
      <c r="L2630" s="2" t="s">
        <v>38</v>
      </c>
      <c r="M2630" s="2" t="s">
        <v>38</v>
      </c>
      <c r="N2630" s="2" t="s">
        <v>38</v>
      </c>
      <c r="O2630" s="2" t="s">
        <v>38</v>
      </c>
      <c r="P2630" s="2" t="s">
        <v>39</v>
      </c>
      <c r="Q2630" s="2" t="s">
        <v>39</v>
      </c>
      <c r="R2630" s="2" t="s">
        <v>38</v>
      </c>
      <c r="S2630" s="2" t="s">
        <v>38</v>
      </c>
      <c r="T2630" s="2" t="s">
        <v>39</v>
      </c>
      <c r="U2630" s="2" t="s">
        <v>39</v>
      </c>
      <c r="V2630" s="2" t="s">
        <v>39</v>
      </c>
      <c r="W2630" s="2" t="s">
        <v>38</v>
      </c>
      <c r="X2630" s="2" t="s">
        <v>39</v>
      </c>
      <c r="Y2630" s="2" t="s">
        <v>39</v>
      </c>
      <c r="Z2630" s="2" t="s">
        <v>38</v>
      </c>
      <c r="AA2630" s="2" t="s">
        <v>38</v>
      </c>
      <c r="AB2630" s="2" t="s">
        <v>39</v>
      </c>
      <c r="AC2630" s="2" t="s">
        <v>38</v>
      </c>
      <c r="AD2630" s="2" t="s">
        <v>38</v>
      </c>
      <c r="AE2630" s="2" t="s">
        <v>40</v>
      </c>
    </row>
    <row r="2631" spans="1:31" ht="409.5">
      <c r="A2631" s="2">
        <v>2713492</v>
      </c>
      <c r="B2631" s="2">
        <f>HYPERLINK("https://platform.v2.vetology.net/cases/2713492/screening-report/1?type=pdf&amp;v=v6&amp;scorecard=1&amp;secret_key=BX%25IJ%24%2F65ieZ%29f6", 2713492)</f>
        <v>2713492</v>
      </c>
      <c r="C2631" s="2">
        <f>HYPERLINK("https://platform.v2.vetology.net/report/v/final/"&amp;2713492, 2713492)</f>
        <v>2713492</v>
      </c>
      <c r="D2631" s="2" t="s">
        <v>8431</v>
      </c>
      <c r="E2631" s="2" t="s">
        <v>8432</v>
      </c>
      <c r="F2631" s="2" t="s">
        <v>8433</v>
      </c>
      <c r="G2631" s="2" t="s">
        <v>145</v>
      </c>
      <c r="H2631" s="2" t="s">
        <v>8434</v>
      </c>
      <c r="I2631" s="2" t="s">
        <v>129</v>
      </c>
      <c r="J2631" s="2" t="s">
        <v>74</v>
      </c>
      <c r="K2631" s="2" t="s">
        <v>38</v>
      </c>
      <c r="L2631" s="2" t="s">
        <v>38</v>
      </c>
      <c r="M2631" s="2" t="s">
        <v>38</v>
      </c>
      <c r="N2631" s="2" t="s">
        <v>38</v>
      </c>
      <c r="O2631" s="2" t="s">
        <v>38</v>
      </c>
      <c r="P2631" s="2" t="s">
        <v>38</v>
      </c>
      <c r="Q2631" s="2" t="s">
        <v>38</v>
      </c>
      <c r="R2631" s="2" t="s">
        <v>38</v>
      </c>
      <c r="S2631" s="2" t="s">
        <v>38</v>
      </c>
      <c r="T2631" s="2" t="s">
        <v>38</v>
      </c>
      <c r="U2631" s="2" t="s">
        <v>38</v>
      </c>
      <c r="V2631" s="2" t="s">
        <v>38</v>
      </c>
      <c r="W2631" s="2" t="s">
        <v>38</v>
      </c>
      <c r="X2631" s="2" t="s">
        <v>38</v>
      </c>
      <c r="Y2631" s="2" t="s">
        <v>38</v>
      </c>
      <c r="Z2631" s="2" t="s">
        <v>38</v>
      </c>
      <c r="AA2631" s="2" t="s">
        <v>38</v>
      </c>
      <c r="AB2631" s="2" t="s">
        <v>38</v>
      </c>
      <c r="AC2631" s="2" t="s">
        <v>38</v>
      </c>
      <c r="AD2631" s="2" t="s">
        <v>38</v>
      </c>
      <c r="AE2631" s="2"/>
    </row>
    <row r="2632" spans="1:31" ht="409.5">
      <c r="A2632" s="2">
        <v>2713483</v>
      </c>
      <c r="B2632" s="2">
        <f>HYPERLINK("https://platform.v2.vetology.net/cases/2713483/screening-report/1?type=pdf&amp;v=v6&amp;scorecard=1&amp;secret_key=BX%25IJ%24%2F65ieZ%29f6", 2713483)</f>
        <v>2713483</v>
      </c>
      <c r="C2632" s="2">
        <f>HYPERLINK("https://platform.v2.vetology.net/report/v/final/"&amp;2713483, 2713483)</f>
        <v>2713483</v>
      </c>
      <c r="D2632" s="2" t="s">
        <v>8435</v>
      </c>
      <c r="E2632" s="2" t="s">
        <v>1484</v>
      </c>
      <c r="F2632" s="2" t="s">
        <v>4260</v>
      </c>
      <c r="G2632" s="2" t="s">
        <v>111</v>
      </c>
      <c r="H2632" s="2" t="s">
        <v>1056</v>
      </c>
      <c r="I2632" s="2" t="s">
        <v>59</v>
      </c>
      <c r="J2632" s="2" t="s">
        <v>37</v>
      </c>
      <c r="K2632" s="2" t="s">
        <v>39</v>
      </c>
      <c r="L2632" s="2" t="s">
        <v>39</v>
      </c>
      <c r="M2632" s="2" t="s">
        <v>39</v>
      </c>
      <c r="N2632" s="2" t="s">
        <v>38</v>
      </c>
      <c r="O2632" s="2" t="s">
        <v>39</v>
      </c>
      <c r="P2632" s="2" t="s">
        <v>39</v>
      </c>
      <c r="Q2632" s="2" t="s">
        <v>39</v>
      </c>
      <c r="R2632" s="2" t="s">
        <v>39</v>
      </c>
      <c r="S2632" s="2" t="s">
        <v>39</v>
      </c>
      <c r="T2632" s="2" t="s">
        <v>38</v>
      </c>
      <c r="U2632" s="2" t="s">
        <v>39</v>
      </c>
      <c r="V2632" s="2" t="s">
        <v>39</v>
      </c>
      <c r="W2632" s="2" t="s">
        <v>38</v>
      </c>
      <c r="X2632" s="2" t="s">
        <v>39</v>
      </c>
      <c r="Y2632" s="2" t="s">
        <v>39</v>
      </c>
      <c r="Z2632" s="2" t="s">
        <v>38</v>
      </c>
      <c r="AA2632" s="2" t="s">
        <v>39</v>
      </c>
      <c r="AB2632" s="2" t="s">
        <v>38</v>
      </c>
      <c r="AC2632" s="2" t="s">
        <v>38</v>
      </c>
      <c r="AD2632" s="2" t="s">
        <v>39</v>
      </c>
      <c r="AE2632" s="2"/>
    </row>
    <row r="2633" spans="1:31" ht="409.5">
      <c r="A2633" s="2">
        <v>2713478</v>
      </c>
      <c r="B2633" s="2">
        <f>HYPERLINK("https://platform.v2.vetology.net/cases/2713478/screening-report/1?type=pdf&amp;v=v6&amp;scorecard=1&amp;secret_key=BX%25IJ%24%2F65ieZ%29f6", 2713478)</f>
        <v>2713478</v>
      </c>
      <c r="C2633" s="2">
        <f>HYPERLINK("https://platform.v2.vetology.net/report/v/final/"&amp;2713478, 2713478)</f>
        <v>2713478</v>
      </c>
      <c r="D2633" s="2" t="s">
        <v>8436</v>
      </c>
      <c r="E2633" s="2" t="s">
        <v>8437</v>
      </c>
      <c r="F2633" s="2" t="s">
        <v>8438</v>
      </c>
      <c r="G2633" s="2" t="s">
        <v>111</v>
      </c>
      <c r="H2633" s="2" t="s">
        <v>8439</v>
      </c>
      <c r="I2633" s="2" t="s">
        <v>73</v>
      </c>
      <c r="J2633" s="2" t="s">
        <v>74</v>
      </c>
      <c r="K2633" s="2" t="s">
        <v>38</v>
      </c>
      <c r="L2633" s="2" t="s">
        <v>38</v>
      </c>
      <c r="M2633" s="2" t="s">
        <v>38</v>
      </c>
      <c r="N2633" s="2" t="s">
        <v>38</v>
      </c>
      <c r="O2633" s="2" t="s">
        <v>38</v>
      </c>
      <c r="P2633" s="2" t="s">
        <v>38</v>
      </c>
      <c r="Q2633" s="2" t="s">
        <v>38</v>
      </c>
      <c r="R2633" s="2" t="s">
        <v>38</v>
      </c>
      <c r="S2633" s="2" t="s">
        <v>38</v>
      </c>
      <c r="T2633" s="2" t="s">
        <v>38</v>
      </c>
      <c r="U2633" s="2" t="s">
        <v>38</v>
      </c>
      <c r="V2633" s="2" t="s">
        <v>38</v>
      </c>
      <c r="W2633" s="2" t="s">
        <v>38</v>
      </c>
      <c r="X2633" s="2" t="s">
        <v>38</v>
      </c>
      <c r="Y2633" s="2" t="s">
        <v>38</v>
      </c>
      <c r="Z2633" s="2" t="s">
        <v>38</v>
      </c>
      <c r="AA2633" s="2" t="s">
        <v>38</v>
      </c>
      <c r="AB2633" s="2" t="s">
        <v>38</v>
      </c>
      <c r="AC2633" s="2" t="s">
        <v>38</v>
      </c>
      <c r="AD2633" s="2" t="s">
        <v>39</v>
      </c>
      <c r="AE2633" s="2" t="s">
        <v>40</v>
      </c>
    </row>
    <row r="2634" spans="1:31" ht="409.5">
      <c r="A2634" s="2">
        <v>2713474</v>
      </c>
      <c r="B2634" s="2">
        <f>HYPERLINK("https://platform.v2.vetology.net/cases/2713474/screening-report/1?type=pdf&amp;v=v6&amp;scorecard=1&amp;secret_key=BX%25IJ%24%2F65ieZ%29f6", 2713474)</f>
        <v>2713474</v>
      </c>
      <c r="C2634" s="2">
        <f>HYPERLINK("https://platform.v2.vetology.net/report/v/final/"&amp;2713474, 2713474)</f>
        <v>2713474</v>
      </c>
      <c r="D2634" s="2" t="s">
        <v>8440</v>
      </c>
      <c r="E2634" s="2" t="s">
        <v>8441</v>
      </c>
      <c r="F2634" s="2" t="s">
        <v>8442</v>
      </c>
      <c r="G2634" s="2" t="s">
        <v>111</v>
      </c>
      <c r="H2634" s="2" t="s">
        <v>5360</v>
      </c>
      <c r="I2634" s="2" t="s">
        <v>73</v>
      </c>
      <c r="J2634" s="2" t="s">
        <v>74</v>
      </c>
      <c r="K2634" s="2" t="s">
        <v>38</v>
      </c>
      <c r="L2634" s="2" t="s">
        <v>38</v>
      </c>
      <c r="M2634" s="2" t="s">
        <v>38</v>
      </c>
      <c r="N2634" s="2" t="s">
        <v>38</v>
      </c>
      <c r="O2634" s="2" t="s">
        <v>38</v>
      </c>
      <c r="P2634" s="2" t="s">
        <v>38</v>
      </c>
      <c r="Q2634" s="2" t="s">
        <v>38</v>
      </c>
      <c r="R2634" s="2" t="s">
        <v>38</v>
      </c>
      <c r="S2634" s="2" t="s">
        <v>38</v>
      </c>
      <c r="T2634" s="2" t="s">
        <v>38</v>
      </c>
      <c r="U2634" s="2" t="s">
        <v>38</v>
      </c>
      <c r="V2634" s="2" t="s">
        <v>38</v>
      </c>
      <c r="W2634" s="2" t="s">
        <v>38</v>
      </c>
      <c r="X2634" s="2" t="s">
        <v>38</v>
      </c>
      <c r="Y2634" s="2" t="s">
        <v>38</v>
      </c>
      <c r="Z2634" s="2" t="s">
        <v>38</v>
      </c>
      <c r="AA2634" s="2" t="s">
        <v>38</v>
      </c>
      <c r="AB2634" s="2" t="s">
        <v>38</v>
      </c>
      <c r="AC2634" s="2" t="s">
        <v>38</v>
      </c>
      <c r="AD2634" s="2" t="s">
        <v>38</v>
      </c>
      <c r="AE2634" s="2" t="s">
        <v>40</v>
      </c>
    </row>
    <row r="2635" spans="1:31" ht="409.5">
      <c r="A2635" s="2">
        <v>2713464</v>
      </c>
      <c r="B2635" s="2">
        <f>HYPERLINK("https://platform.v2.vetology.net/cases/2713464/screening-report/1?type=pdf&amp;v=v6&amp;scorecard=1&amp;secret_key=BX%25IJ%24%2F65ieZ%29f6", 2713464)</f>
        <v>2713464</v>
      </c>
      <c r="C2635" s="2">
        <f>HYPERLINK("https://platform.v2.vetology.net/report/v/final/"&amp;2713464, 2713464)</f>
        <v>2713464</v>
      </c>
      <c r="D2635" s="2" t="s">
        <v>8443</v>
      </c>
      <c r="E2635" s="2" t="s">
        <v>8444</v>
      </c>
      <c r="F2635" s="2" t="s">
        <v>8445</v>
      </c>
      <c r="G2635" s="2" t="s">
        <v>111</v>
      </c>
      <c r="H2635" s="2" t="s">
        <v>8446</v>
      </c>
      <c r="I2635" s="2" t="s">
        <v>129</v>
      </c>
      <c r="J2635" s="2" t="s">
        <v>74</v>
      </c>
      <c r="K2635" s="2" t="s">
        <v>39</v>
      </c>
      <c r="L2635" s="2" t="s">
        <v>39</v>
      </c>
      <c r="M2635" s="2" t="s">
        <v>38</v>
      </c>
      <c r="N2635" s="2" t="s">
        <v>38</v>
      </c>
      <c r="O2635" s="2" t="s">
        <v>38</v>
      </c>
      <c r="P2635" s="2" t="s">
        <v>38</v>
      </c>
      <c r="Q2635" s="2" t="s">
        <v>38</v>
      </c>
      <c r="R2635" s="2" t="s">
        <v>39</v>
      </c>
      <c r="S2635" s="2" t="s">
        <v>39</v>
      </c>
      <c r="T2635" s="2" t="s">
        <v>38</v>
      </c>
      <c r="U2635" s="2" t="s">
        <v>39</v>
      </c>
      <c r="V2635" s="2" t="s">
        <v>39</v>
      </c>
      <c r="W2635" s="2" t="s">
        <v>38</v>
      </c>
      <c r="X2635" s="2" t="s">
        <v>38</v>
      </c>
      <c r="Y2635" s="2" t="s">
        <v>39</v>
      </c>
      <c r="Z2635" s="2" t="s">
        <v>38</v>
      </c>
      <c r="AA2635" s="2" t="s">
        <v>38</v>
      </c>
      <c r="AB2635" s="2" t="s">
        <v>38</v>
      </c>
      <c r="AC2635" s="2" t="s">
        <v>39</v>
      </c>
      <c r="AD2635" s="2" t="s">
        <v>39</v>
      </c>
      <c r="AE2635" s="2" t="s">
        <v>40</v>
      </c>
    </row>
    <row r="2636" spans="1:31" ht="409.5">
      <c r="A2636" s="2">
        <v>2713420</v>
      </c>
      <c r="B2636" s="2">
        <f>HYPERLINK("https://platform.v2.vetology.net/cases/2713420/screening-report/1?type=pdf&amp;v=v6&amp;scorecard=1&amp;secret_key=BX%25IJ%24%2F65ieZ%29f6", 2713420)</f>
        <v>2713420</v>
      </c>
      <c r="C2636" s="2">
        <f>HYPERLINK("https://platform.v2.vetology.net/report/v/final/"&amp;2713420, 2713420)</f>
        <v>2713420</v>
      </c>
      <c r="D2636" s="2" t="s">
        <v>8447</v>
      </c>
      <c r="E2636" s="2" t="s">
        <v>8448</v>
      </c>
      <c r="F2636" s="2" t="s">
        <v>8449</v>
      </c>
      <c r="G2636" s="2" t="s">
        <v>34</v>
      </c>
      <c r="H2636" s="2" t="s">
        <v>273</v>
      </c>
      <c r="I2636" s="2" t="s">
        <v>46</v>
      </c>
      <c r="J2636" s="2"/>
      <c r="K2636" s="2" t="s">
        <v>39</v>
      </c>
      <c r="L2636" s="2" t="s">
        <v>39</v>
      </c>
      <c r="M2636" s="2" t="s">
        <v>39</v>
      </c>
      <c r="N2636" s="2" t="s">
        <v>39</v>
      </c>
      <c r="O2636" s="2" t="s">
        <v>39</v>
      </c>
      <c r="P2636" s="2" t="s">
        <v>39</v>
      </c>
      <c r="Q2636" s="2" t="s">
        <v>39</v>
      </c>
      <c r="R2636" s="2" t="s">
        <v>39</v>
      </c>
      <c r="S2636" s="2" t="s">
        <v>38</v>
      </c>
      <c r="T2636" s="2" t="s">
        <v>39</v>
      </c>
      <c r="U2636" s="2" t="s">
        <v>39</v>
      </c>
      <c r="V2636" s="2" t="s">
        <v>39</v>
      </c>
      <c r="W2636" s="2" t="s">
        <v>38</v>
      </c>
      <c r="X2636" s="2" t="s">
        <v>39</v>
      </c>
      <c r="Y2636" s="2" t="s">
        <v>39</v>
      </c>
      <c r="Z2636" s="2" t="s">
        <v>39</v>
      </c>
      <c r="AA2636" s="2" t="s">
        <v>39</v>
      </c>
      <c r="AB2636" s="2" t="s">
        <v>39</v>
      </c>
      <c r="AC2636" s="2" t="s">
        <v>38</v>
      </c>
      <c r="AD2636" s="2" t="s">
        <v>38</v>
      </c>
      <c r="AE2636" s="2" t="s">
        <v>39</v>
      </c>
    </row>
    <row r="2637" spans="1:31" ht="409.5">
      <c r="A2637" s="2">
        <v>2713413</v>
      </c>
      <c r="B2637" s="2">
        <f>HYPERLINK("https://platform.v2.vetology.net/cases/2713413/screening-report/1?type=pdf&amp;v=v6&amp;scorecard=1&amp;secret_key=BX%25IJ%24%2F65ieZ%29f6", 2713413)</f>
        <v>2713413</v>
      </c>
      <c r="C2637" s="2">
        <f>HYPERLINK("https://platform.v2.vetology.net/report/v/final/"&amp;2713413, 2713413)</f>
        <v>2713413</v>
      </c>
      <c r="D2637" s="2" t="s">
        <v>8450</v>
      </c>
      <c r="E2637" s="2" t="s">
        <v>8451</v>
      </c>
      <c r="F2637" s="2" t="s">
        <v>8452</v>
      </c>
      <c r="G2637" s="2" t="s">
        <v>81</v>
      </c>
      <c r="H2637" s="2" t="s">
        <v>8453</v>
      </c>
      <c r="I2637" s="2" t="s">
        <v>73</v>
      </c>
      <c r="J2637" s="2" t="s">
        <v>74</v>
      </c>
      <c r="K2637" s="2" t="s">
        <v>38</v>
      </c>
      <c r="L2637" s="2" t="s">
        <v>38</v>
      </c>
      <c r="M2637" s="2" t="s">
        <v>38</v>
      </c>
      <c r="N2637" s="2" t="s">
        <v>38</v>
      </c>
      <c r="O2637" s="2" t="s">
        <v>38</v>
      </c>
      <c r="P2637" s="2" t="s">
        <v>38</v>
      </c>
      <c r="Q2637" s="2" t="s">
        <v>38</v>
      </c>
      <c r="R2637" s="2" t="s">
        <v>38</v>
      </c>
      <c r="S2637" s="2" t="s">
        <v>38</v>
      </c>
      <c r="T2637" s="2" t="s">
        <v>38</v>
      </c>
      <c r="U2637" s="2" t="s">
        <v>38</v>
      </c>
      <c r="V2637" s="2" t="s">
        <v>38</v>
      </c>
      <c r="W2637" s="2" t="s">
        <v>38</v>
      </c>
      <c r="X2637" s="2" t="s">
        <v>38</v>
      </c>
      <c r="Y2637" s="2" t="s">
        <v>38</v>
      </c>
      <c r="Z2637" s="2" t="s">
        <v>38</v>
      </c>
      <c r="AA2637" s="2" t="s">
        <v>38</v>
      </c>
      <c r="AB2637" s="2" t="s">
        <v>38</v>
      </c>
      <c r="AC2637" s="2" t="s">
        <v>38</v>
      </c>
      <c r="AD2637" s="2" t="s">
        <v>38</v>
      </c>
      <c r="AE2637" s="2" t="s">
        <v>39</v>
      </c>
    </row>
    <row r="2638" spans="1:31" ht="409.5">
      <c r="A2638" s="2">
        <v>2713391</v>
      </c>
      <c r="B2638" s="2">
        <f>HYPERLINK("https://platform.v2.vetology.net/cases/2713391/screening-report/1?type=pdf&amp;v=v6&amp;scorecard=1&amp;secret_key=BX%25IJ%24%2F65ieZ%29f6", 2713391)</f>
        <v>2713391</v>
      </c>
      <c r="C2638" s="2">
        <f>HYPERLINK("https://platform.v2.vetology.net/report/v/final/"&amp;2713391, 2713391)</f>
        <v>2713391</v>
      </c>
      <c r="D2638" s="2" t="s">
        <v>8454</v>
      </c>
      <c r="E2638" s="2" t="s">
        <v>8455</v>
      </c>
      <c r="F2638" s="2" t="s">
        <v>8456</v>
      </c>
      <c r="G2638" s="2" t="s">
        <v>111</v>
      </c>
      <c r="H2638" s="2" t="s">
        <v>8457</v>
      </c>
      <c r="I2638" s="2" t="s">
        <v>73</v>
      </c>
      <c r="J2638" s="2" t="s">
        <v>74</v>
      </c>
      <c r="K2638" s="2" t="s">
        <v>38</v>
      </c>
      <c r="L2638" s="2" t="s">
        <v>39</v>
      </c>
      <c r="M2638" s="2" t="s">
        <v>38</v>
      </c>
      <c r="N2638" s="2" t="s">
        <v>38</v>
      </c>
      <c r="O2638" s="2" t="s">
        <v>38</v>
      </c>
      <c r="P2638" s="2" t="s">
        <v>38</v>
      </c>
      <c r="Q2638" s="2" t="s">
        <v>38</v>
      </c>
      <c r="R2638" s="2" t="s">
        <v>39</v>
      </c>
      <c r="S2638" s="2" t="s">
        <v>38</v>
      </c>
      <c r="T2638" s="2" t="s">
        <v>39</v>
      </c>
      <c r="U2638" s="2" t="s">
        <v>38</v>
      </c>
      <c r="V2638" s="2" t="s">
        <v>38</v>
      </c>
      <c r="W2638" s="2" t="s">
        <v>38</v>
      </c>
      <c r="X2638" s="2" t="s">
        <v>38</v>
      </c>
      <c r="Y2638" s="2" t="s">
        <v>39</v>
      </c>
      <c r="Z2638" s="2" t="s">
        <v>38</v>
      </c>
      <c r="AA2638" s="2" t="s">
        <v>38</v>
      </c>
      <c r="AB2638" s="2" t="s">
        <v>38</v>
      </c>
      <c r="AC2638" s="2" t="s">
        <v>38</v>
      </c>
      <c r="AD2638" s="2" t="s">
        <v>38</v>
      </c>
      <c r="AE2638" s="2" t="s">
        <v>40</v>
      </c>
    </row>
    <row r="2639" spans="1:31" ht="409.5">
      <c r="A2639" s="2">
        <v>2713388</v>
      </c>
      <c r="B2639" s="2">
        <f>HYPERLINK("https://platform.v2.vetology.net/cases/2713388/screening-report/1?type=pdf&amp;v=v6&amp;scorecard=1&amp;secret_key=BX%25IJ%24%2F65ieZ%29f6", 2713388)</f>
        <v>2713388</v>
      </c>
      <c r="C2639" s="2">
        <f>HYPERLINK("https://platform.v2.vetology.net/report/v/final/"&amp;2713388, 2713388)</f>
        <v>2713388</v>
      </c>
      <c r="D2639" s="2" t="s">
        <v>8458</v>
      </c>
      <c r="E2639" s="2" t="s">
        <v>8459</v>
      </c>
      <c r="F2639" s="2" t="s">
        <v>8460</v>
      </c>
      <c r="G2639" s="2" t="s">
        <v>111</v>
      </c>
      <c r="H2639" s="2" t="s">
        <v>8461</v>
      </c>
      <c r="I2639" s="2" t="s">
        <v>257</v>
      </c>
      <c r="J2639" s="2" t="s">
        <v>74</v>
      </c>
      <c r="K2639" s="2" t="s">
        <v>38</v>
      </c>
      <c r="L2639" s="2" t="s">
        <v>38</v>
      </c>
      <c r="M2639" s="2" t="s">
        <v>38</v>
      </c>
      <c r="N2639" s="2" t="s">
        <v>38</v>
      </c>
      <c r="O2639" s="2" t="s">
        <v>38</v>
      </c>
      <c r="P2639" s="2" t="s">
        <v>38</v>
      </c>
      <c r="Q2639" s="2" t="s">
        <v>38</v>
      </c>
      <c r="R2639" s="2" t="s">
        <v>38</v>
      </c>
      <c r="S2639" s="2" t="s">
        <v>38</v>
      </c>
      <c r="T2639" s="2" t="s">
        <v>38</v>
      </c>
      <c r="U2639" s="2" t="s">
        <v>39</v>
      </c>
      <c r="V2639" s="2" t="s">
        <v>38</v>
      </c>
      <c r="W2639" s="2" t="s">
        <v>38</v>
      </c>
      <c r="X2639" s="2" t="s">
        <v>38</v>
      </c>
      <c r="Y2639" s="2" t="s">
        <v>39</v>
      </c>
      <c r="Z2639" s="2" t="s">
        <v>38</v>
      </c>
      <c r="AA2639" s="2" t="s">
        <v>38</v>
      </c>
      <c r="AB2639" s="2" t="s">
        <v>38</v>
      </c>
      <c r="AC2639" s="2" t="s">
        <v>38</v>
      </c>
      <c r="AD2639" s="2" t="s">
        <v>38</v>
      </c>
      <c r="AE2639" s="2" t="s">
        <v>39</v>
      </c>
    </row>
    <row r="2640" spans="1:31" ht="409.5">
      <c r="A2640" s="2">
        <v>2713357</v>
      </c>
      <c r="B2640" s="2">
        <f>HYPERLINK("https://platform.v2.vetology.net/cases/2713357/screening-report/1?type=pdf&amp;v=v6&amp;scorecard=1&amp;secret_key=BX%25IJ%24%2F65ieZ%29f6", 2713357)</f>
        <v>2713357</v>
      </c>
      <c r="C2640" s="2">
        <f>HYPERLINK("https://platform.v2.vetology.net/report/v/final/"&amp;2713357, 2713357)</f>
        <v>2713357</v>
      </c>
      <c r="D2640" s="2" t="s">
        <v>8462</v>
      </c>
      <c r="E2640" s="2" t="s">
        <v>8463</v>
      </c>
      <c r="F2640" s="2" t="s">
        <v>8464</v>
      </c>
      <c r="G2640" s="2" t="s">
        <v>53</v>
      </c>
      <c r="H2640" s="2" t="s">
        <v>1930</v>
      </c>
      <c r="I2640" s="2" t="s">
        <v>36</v>
      </c>
      <c r="J2640" s="2" t="s">
        <v>37</v>
      </c>
      <c r="K2640" s="2" t="s">
        <v>38</v>
      </c>
      <c r="L2640" s="2" t="s">
        <v>38</v>
      </c>
      <c r="M2640" s="2" t="s">
        <v>38</v>
      </c>
      <c r="N2640" s="2" t="s">
        <v>38</v>
      </c>
      <c r="O2640" s="2" t="s">
        <v>38</v>
      </c>
      <c r="P2640" s="2" t="s">
        <v>38</v>
      </c>
      <c r="Q2640" s="2" t="s">
        <v>39</v>
      </c>
      <c r="R2640" s="2" t="s">
        <v>38</v>
      </c>
      <c r="S2640" s="2" t="s">
        <v>38</v>
      </c>
      <c r="T2640" s="2" t="s">
        <v>38</v>
      </c>
      <c r="U2640" s="2" t="s">
        <v>39</v>
      </c>
      <c r="V2640" s="2" t="s">
        <v>38</v>
      </c>
      <c r="W2640" s="2" t="s">
        <v>38</v>
      </c>
      <c r="X2640" s="2" t="s">
        <v>39</v>
      </c>
      <c r="Y2640" s="2" t="s">
        <v>39</v>
      </c>
      <c r="Z2640" s="2" t="s">
        <v>38</v>
      </c>
      <c r="AA2640" s="2" t="s">
        <v>39</v>
      </c>
      <c r="AB2640" s="2" t="s">
        <v>38</v>
      </c>
      <c r="AC2640" s="2" t="s">
        <v>38</v>
      </c>
      <c r="AD2640" s="2" t="s">
        <v>38</v>
      </c>
      <c r="AE2640" s="2" t="s">
        <v>40</v>
      </c>
    </row>
    <row r="2641" spans="1:31" ht="409.5">
      <c r="A2641" s="2">
        <v>2713320</v>
      </c>
      <c r="B2641" s="2">
        <f>HYPERLINK("https://platform.v2.vetology.net/cases/2713320/screening-report/1?type=pdf&amp;v=v6&amp;scorecard=1&amp;secret_key=BX%25IJ%24%2F65ieZ%29f6", 2713320)</f>
        <v>2713320</v>
      </c>
      <c r="C2641" s="2">
        <f>HYPERLINK("https://platform.v2.vetology.net/report/v/final/"&amp;2713320, 2713320)</f>
        <v>2713320</v>
      </c>
      <c r="D2641" s="2" t="s">
        <v>8465</v>
      </c>
      <c r="E2641" s="2" t="s">
        <v>3340</v>
      </c>
      <c r="F2641" s="2" t="s">
        <v>8466</v>
      </c>
      <c r="G2641" s="2" t="s">
        <v>111</v>
      </c>
      <c r="H2641" s="2" t="s">
        <v>69</v>
      </c>
      <c r="I2641" s="2" t="s">
        <v>46</v>
      </c>
      <c r="J2641" s="2"/>
      <c r="K2641" s="2" t="s">
        <v>39</v>
      </c>
      <c r="L2641" s="2" t="s">
        <v>39</v>
      </c>
      <c r="M2641" s="2" t="s">
        <v>39</v>
      </c>
      <c r="N2641" s="2" t="s">
        <v>39</v>
      </c>
      <c r="O2641" s="2" t="s">
        <v>38</v>
      </c>
      <c r="P2641" s="2" t="s">
        <v>39</v>
      </c>
      <c r="Q2641" s="2" t="s">
        <v>39</v>
      </c>
      <c r="R2641" s="2" t="s">
        <v>39</v>
      </c>
      <c r="S2641" s="2" t="s">
        <v>39</v>
      </c>
      <c r="T2641" s="2" t="s">
        <v>39</v>
      </c>
      <c r="U2641" s="2" t="s">
        <v>39</v>
      </c>
      <c r="V2641" s="2" t="s">
        <v>39</v>
      </c>
      <c r="W2641" s="2" t="s">
        <v>39</v>
      </c>
      <c r="X2641" s="2" t="s">
        <v>39</v>
      </c>
      <c r="Y2641" s="2" t="s">
        <v>39</v>
      </c>
      <c r="Z2641" s="2" t="s">
        <v>39</v>
      </c>
      <c r="AA2641" s="2" t="s">
        <v>38</v>
      </c>
      <c r="AB2641" s="2" t="s">
        <v>39</v>
      </c>
      <c r="AC2641" s="2" t="s">
        <v>39</v>
      </c>
      <c r="AD2641" s="2" t="s">
        <v>39</v>
      </c>
      <c r="AE2641" s="2" t="s">
        <v>40</v>
      </c>
    </row>
    <row r="2642" spans="1:31" ht="409.5">
      <c r="A2642" s="2">
        <v>2713301</v>
      </c>
      <c r="B2642" s="2">
        <f>HYPERLINK("https://platform.v2.vetology.net/cases/2713301/screening-report/1?type=pdf&amp;v=v6&amp;scorecard=1&amp;secret_key=BX%25IJ%24%2F65ieZ%29f6", 2713301)</f>
        <v>2713301</v>
      </c>
      <c r="C2642" s="2">
        <f>HYPERLINK("https://platform.v2.vetology.net/report/v/final/"&amp;2713301, 2713301)</f>
        <v>2713301</v>
      </c>
      <c r="D2642" s="2" t="s">
        <v>8467</v>
      </c>
      <c r="E2642" s="2" t="s">
        <v>854</v>
      </c>
      <c r="F2642" s="2" t="s">
        <v>8468</v>
      </c>
      <c r="G2642" s="2" t="s">
        <v>111</v>
      </c>
      <c r="H2642" s="2" t="s">
        <v>69</v>
      </c>
      <c r="I2642" s="2" t="s">
        <v>46</v>
      </c>
      <c r="J2642" s="2"/>
      <c r="K2642" s="2" t="s">
        <v>39</v>
      </c>
      <c r="L2642" s="2" t="s">
        <v>39</v>
      </c>
      <c r="M2642" s="2" t="s">
        <v>39</v>
      </c>
      <c r="N2642" s="2" t="s">
        <v>39</v>
      </c>
      <c r="O2642" s="2" t="s">
        <v>39</v>
      </c>
      <c r="P2642" s="2" t="s">
        <v>39</v>
      </c>
      <c r="Q2642" s="2" t="s">
        <v>39</v>
      </c>
      <c r="R2642" s="2" t="s">
        <v>39</v>
      </c>
      <c r="S2642" s="2" t="s">
        <v>39</v>
      </c>
      <c r="T2642" s="2" t="s">
        <v>39</v>
      </c>
      <c r="U2642" s="2" t="s">
        <v>39</v>
      </c>
      <c r="V2642" s="2" t="s">
        <v>39</v>
      </c>
      <c r="W2642" s="2" t="s">
        <v>39</v>
      </c>
      <c r="X2642" s="2" t="s">
        <v>39</v>
      </c>
      <c r="Y2642" s="2" t="s">
        <v>39</v>
      </c>
      <c r="Z2642" s="2" t="s">
        <v>39</v>
      </c>
      <c r="AA2642" s="2" t="s">
        <v>39</v>
      </c>
      <c r="AB2642" s="2" t="s">
        <v>39</v>
      </c>
      <c r="AC2642" s="2" t="s">
        <v>39</v>
      </c>
      <c r="AD2642" s="2" t="s">
        <v>39</v>
      </c>
      <c r="AE2642" s="2" t="s">
        <v>39</v>
      </c>
    </row>
    <row r="2643" spans="1:31" ht="409.5">
      <c r="A2643" s="2">
        <v>2713222</v>
      </c>
      <c r="B2643" s="2">
        <f>HYPERLINK("https://platform.v2.vetology.net/cases/2713222/screening-report/1?type=pdf&amp;v=v6&amp;scorecard=1&amp;secret_key=BX%25IJ%24%2F65ieZ%29f6", 2713222)</f>
        <v>2713222</v>
      </c>
      <c r="C2643" s="2">
        <f>HYPERLINK("https://platform.v2.vetology.net/report/v/final/"&amp;2713222, 2713222)</f>
        <v>2713222</v>
      </c>
      <c r="D2643" s="2" t="s">
        <v>1090</v>
      </c>
      <c r="E2643" s="2" t="s">
        <v>1091</v>
      </c>
      <c r="F2643" s="2" t="s">
        <v>8469</v>
      </c>
      <c r="G2643" s="2" t="s">
        <v>100</v>
      </c>
      <c r="H2643" s="2" t="s">
        <v>265</v>
      </c>
      <c r="I2643" s="2" t="s">
        <v>36</v>
      </c>
      <c r="J2643" s="2" t="s">
        <v>37</v>
      </c>
      <c r="K2643" s="2" t="s">
        <v>39</v>
      </c>
      <c r="L2643" s="2" t="s">
        <v>39</v>
      </c>
      <c r="M2643" s="2" t="s">
        <v>38</v>
      </c>
      <c r="N2643" s="2" t="s">
        <v>39</v>
      </c>
      <c r="O2643" s="2" t="s">
        <v>39</v>
      </c>
      <c r="P2643" s="2" t="s">
        <v>39</v>
      </c>
      <c r="Q2643" s="2" t="s">
        <v>39</v>
      </c>
      <c r="R2643" s="2" t="s">
        <v>39</v>
      </c>
      <c r="S2643" s="2" t="s">
        <v>39</v>
      </c>
      <c r="T2643" s="2" t="s">
        <v>39</v>
      </c>
      <c r="U2643" s="2" t="s">
        <v>39</v>
      </c>
      <c r="V2643" s="2" t="s">
        <v>39</v>
      </c>
      <c r="W2643" s="2" t="s">
        <v>39</v>
      </c>
      <c r="X2643" s="2" t="s">
        <v>39</v>
      </c>
      <c r="Y2643" s="2" t="s">
        <v>39</v>
      </c>
      <c r="Z2643" s="2" t="s">
        <v>39</v>
      </c>
      <c r="AA2643" s="2" t="s">
        <v>39</v>
      </c>
      <c r="AB2643" s="2" t="s">
        <v>39</v>
      </c>
      <c r="AC2643" s="2" t="s">
        <v>38</v>
      </c>
      <c r="AD2643" s="2" t="s">
        <v>39</v>
      </c>
      <c r="AE2643" s="2" t="s">
        <v>40</v>
      </c>
    </row>
    <row r="2644" spans="1:31" ht="409.5">
      <c r="A2644" s="2">
        <v>2713206</v>
      </c>
      <c r="B2644" s="2">
        <f>HYPERLINK("https://platform.v2.vetology.net/cases/2713206/screening-report/1?type=pdf&amp;v=v6&amp;scorecard=1&amp;secret_key=BX%25IJ%24%2F65ieZ%29f6", 2713206)</f>
        <v>2713206</v>
      </c>
      <c r="C2644" s="2">
        <f>HYPERLINK("https://platform.v2.vetology.net/report/v/final/"&amp;2713206, 2713206)</f>
        <v>2713206</v>
      </c>
      <c r="D2644" s="2" t="s">
        <v>8470</v>
      </c>
      <c r="E2644" s="2" t="s">
        <v>8471</v>
      </c>
      <c r="F2644" s="2" t="s">
        <v>2434</v>
      </c>
      <c r="G2644" s="2" t="s">
        <v>111</v>
      </c>
      <c r="H2644" s="2" t="s">
        <v>1656</v>
      </c>
      <c r="I2644" s="2" t="s">
        <v>36</v>
      </c>
      <c r="J2644" s="2" t="s">
        <v>37</v>
      </c>
      <c r="K2644" s="2" t="s">
        <v>39</v>
      </c>
      <c r="L2644" s="2" t="s">
        <v>39</v>
      </c>
      <c r="M2644" s="2" t="s">
        <v>38</v>
      </c>
      <c r="N2644" s="2" t="s">
        <v>39</v>
      </c>
      <c r="O2644" s="2" t="s">
        <v>38</v>
      </c>
      <c r="P2644" s="2" t="s">
        <v>39</v>
      </c>
      <c r="Q2644" s="2" t="s">
        <v>39</v>
      </c>
      <c r="R2644" s="2" t="s">
        <v>38</v>
      </c>
      <c r="S2644" s="2" t="s">
        <v>38</v>
      </c>
      <c r="T2644" s="2" t="s">
        <v>39</v>
      </c>
      <c r="U2644" s="2" t="s">
        <v>39</v>
      </c>
      <c r="V2644" s="2" t="s">
        <v>39</v>
      </c>
      <c r="W2644" s="2" t="s">
        <v>39</v>
      </c>
      <c r="X2644" s="2" t="s">
        <v>39</v>
      </c>
      <c r="Y2644" s="2" t="s">
        <v>39</v>
      </c>
      <c r="Z2644" s="2" t="s">
        <v>39</v>
      </c>
      <c r="AA2644" s="2" t="s">
        <v>39</v>
      </c>
      <c r="AB2644" s="2" t="s">
        <v>39</v>
      </c>
      <c r="AC2644" s="2" t="s">
        <v>38</v>
      </c>
      <c r="AD2644" s="2" t="s">
        <v>39</v>
      </c>
      <c r="AE2644" s="2" t="s">
        <v>39</v>
      </c>
    </row>
    <row r="2645" spans="1:31" ht="409.5">
      <c r="A2645" s="2">
        <v>2713156</v>
      </c>
      <c r="B2645" s="2">
        <f>HYPERLINK("https://platform.v2.vetology.net/cases/2713156/screening-report/1?type=pdf&amp;v=v6&amp;scorecard=1&amp;secret_key=BX%25IJ%24%2F65ieZ%29f6", 2713156)</f>
        <v>2713156</v>
      </c>
      <c r="C2645" s="2">
        <f>HYPERLINK("https://platform.v2.vetology.net/report/v/final/"&amp;2713156, 2713156)</f>
        <v>2713156</v>
      </c>
      <c r="D2645" s="2" t="s">
        <v>8472</v>
      </c>
      <c r="E2645" s="2" t="s">
        <v>8473</v>
      </c>
      <c r="F2645" s="2" t="s">
        <v>8474</v>
      </c>
      <c r="G2645" s="2" t="s">
        <v>170</v>
      </c>
      <c r="H2645" s="2" t="s">
        <v>8475</v>
      </c>
      <c r="I2645" s="2" t="s">
        <v>36</v>
      </c>
      <c r="J2645" s="2" t="s">
        <v>37</v>
      </c>
      <c r="K2645" s="2" t="s">
        <v>38</v>
      </c>
      <c r="L2645" s="2" t="s">
        <v>38</v>
      </c>
      <c r="M2645" s="2" t="s">
        <v>39</v>
      </c>
      <c r="N2645" s="2" t="s">
        <v>38</v>
      </c>
      <c r="O2645" s="2" t="s">
        <v>38</v>
      </c>
      <c r="P2645" s="2" t="s">
        <v>38</v>
      </c>
      <c r="Q2645" s="2" t="s">
        <v>39</v>
      </c>
      <c r="R2645" s="2" t="s">
        <v>39</v>
      </c>
      <c r="S2645" s="2" t="s">
        <v>38</v>
      </c>
      <c r="T2645" s="2" t="s">
        <v>39</v>
      </c>
      <c r="U2645" s="2" t="s">
        <v>38</v>
      </c>
      <c r="V2645" s="2" t="s">
        <v>38</v>
      </c>
      <c r="W2645" s="2" t="s">
        <v>39</v>
      </c>
      <c r="X2645" s="2" t="s">
        <v>39</v>
      </c>
      <c r="Y2645" s="2" t="s">
        <v>39</v>
      </c>
      <c r="Z2645" s="2" t="s">
        <v>38</v>
      </c>
      <c r="AA2645" s="2" t="s">
        <v>39</v>
      </c>
      <c r="AB2645" s="2" t="s">
        <v>39</v>
      </c>
      <c r="AC2645" s="2" t="s">
        <v>38</v>
      </c>
      <c r="AD2645" s="2" t="s">
        <v>38</v>
      </c>
      <c r="AE2645" s="2" t="s">
        <v>39</v>
      </c>
    </row>
    <row r="2646" spans="1:31" ht="409.5">
      <c r="A2646" s="2">
        <v>2713113</v>
      </c>
      <c r="B2646" s="2">
        <f>HYPERLINK("https://platform.v2.vetology.net/cases/2713113/screening-report/1?type=pdf&amp;v=v6&amp;scorecard=1&amp;secret_key=BX%25IJ%24%2F65ieZ%29f6", 2713113)</f>
        <v>2713113</v>
      </c>
      <c r="C2646" s="2">
        <f>HYPERLINK("https://platform.v2.vetology.net/report/v/final/"&amp;2713113, 2713113)</f>
        <v>2713113</v>
      </c>
      <c r="D2646" s="2" t="s">
        <v>8476</v>
      </c>
      <c r="E2646" s="2" t="s">
        <v>8477</v>
      </c>
      <c r="F2646" s="2" t="s">
        <v>8478</v>
      </c>
      <c r="G2646" s="2" t="s">
        <v>170</v>
      </c>
      <c r="H2646" s="2" t="s">
        <v>530</v>
      </c>
      <c r="I2646" s="2" t="s">
        <v>59</v>
      </c>
      <c r="J2646" s="2" t="s">
        <v>37</v>
      </c>
      <c r="K2646" s="2" t="s">
        <v>38</v>
      </c>
      <c r="L2646" s="2" t="s">
        <v>39</v>
      </c>
      <c r="M2646" s="2" t="s">
        <v>39</v>
      </c>
      <c r="N2646" s="2" t="s">
        <v>39</v>
      </c>
      <c r="O2646" s="2" t="s">
        <v>39</v>
      </c>
      <c r="P2646" s="2" t="s">
        <v>39</v>
      </c>
      <c r="Q2646" s="2" t="s">
        <v>39</v>
      </c>
      <c r="R2646" s="2" t="s">
        <v>39</v>
      </c>
      <c r="S2646" s="2" t="s">
        <v>39</v>
      </c>
      <c r="T2646" s="2" t="s">
        <v>39</v>
      </c>
      <c r="U2646" s="2" t="s">
        <v>39</v>
      </c>
      <c r="V2646" s="2" t="s">
        <v>38</v>
      </c>
      <c r="W2646" s="2" t="s">
        <v>39</v>
      </c>
      <c r="X2646" s="2" t="s">
        <v>39</v>
      </c>
      <c r="Y2646" s="2" t="s">
        <v>39</v>
      </c>
      <c r="Z2646" s="2" t="s">
        <v>39</v>
      </c>
      <c r="AA2646" s="2" t="s">
        <v>39</v>
      </c>
      <c r="AB2646" s="2" t="s">
        <v>39</v>
      </c>
      <c r="AC2646" s="2" t="s">
        <v>38</v>
      </c>
      <c r="AD2646" s="2" t="s">
        <v>39</v>
      </c>
      <c r="AE2646" s="2" t="s">
        <v>40</v>
      </c>
    </row>
    <row r="2647" spans="1:31" ht="409.5">
      <c r="A2647" s="2">
        <v>2713082</v>
      </c>
      <c r="B2647" s="2">
        <f>HYPERLINK("https://platform.v2.vetology.net/cases/2713082/screening-report/1?type=pdf&amp;v=v6&amp;scorecard=1&amp;secret_key=BX%25IJ%24%2F65ieZ%29f6", 2713082)</f>
        <v>2713082</v>
      </c>
      <c r="C2647" s="2">
        <f>HYPERLINK("https://platform.v2.vetology.net/report/v/final/"&amp;2713082, 2713082)</f>
        <v>2713082</v>
      </c>
      <c r="D2647" s="2" t="s">
        <v>8479</v>
      </c>
      <c r="E2647" s="2" t="s">
        <v>8480</v>
      </c>
      <c r="F2647" s="2" t="s">
        <v>8481</v>
      </c>
      <c r="G2647" s="2" t="s">
        <v>34</v>
      </c>
      <c r="H2647" s="2" t="s">
        <v>5052</v>
      </c>
      <c r="I2647" s="2" t="s">
        <v>36</v>
      </c>
      <c r="J2647" s="2" t="s">
        <v>37</v>
      </c>
      <c r="K2647" s="2" t="s">
        <v>38</v>
      </c>
      <c r="L2647" s="2" t="s">
        <v>38</v>
      </c>
      <c r="M2647" s="2" t="s">
        <v>39</v>
      </c>
      <c r="N2647" s="2" t="s">
        <v>39</v>
      </c>
      <c r="O2647" s="2" t="s">
        <v>39</v>
      </c>
      <c r="P2647" s="2" t="s">
        <v>39</v>
      </c>
      <c r="Q2647" s="2" t="s">
        <v>39</v>
      </c>
      <c r="R2647" s="2" t="s">
        <v>39</v>
      </c>
      <c r="S2647" s="2" t="s">
        <v>38</v>
      </c>
      <c r="T2647" s="2" t="s">
        <v>39</v>
      </c>
      <c r="U2647" s="2" t="s">
        <v>38</v>
      </c>
      <c r="V2647" s="2" t="s">
        <v>38</v>
      </c>
      <c r="W2647" s="2" t="s">
        <v>39</v>
      </c>
      <c r="X2647" s="2" t="s">
        <v>39</v>
      </c>
      <c r="Y2647" s="2" t="s">
        <v>39</v>
      </c>
      <c r="Z2647" s="2" t="s">
        <v>39</v>
      </c>
      <c r="AA2647" s="2" t="s">
        <v>38</v>
      </c>
      <c r="AB2647" s="2" t="s">
        <v>39</v>
      </c>
      <c r="AC2647" s="2" t="s">
        <v>38</v>
      </c>
      <c r="AD2647" s="2" t="s">
        <v>38</v>
      </c>
      <c r="AE2647" s="2" t="s">
        <v>39</v>
      </c>
    </row>
    <row r="2648" spans="1:31" ht="409.5">
      <c r="A2648" s="2">
        <v>2713065</v>
      </c>
      <c r="B2648" s="2">
        <f>HYPERLINK("https://platform.v2.vetology.net/cases/2713065/screening-report/1?type=pdf&amp;v=v6&amp;scorecard=1&amp;secret_key=BX%25IJ%24%2F65ieZ%29f6", 2713065)</f>
        <v>2713065</v>
      </c>
      <c r="C2648" s="2">
        <f>HYPERLINK("https://platform.v2.vetology.net/report/v/final/"&amp;2713065, 2713065)</f>
        <v>2713065</v>
      </c>
      <c r="D2648" s="2" t="s">
        <v>8482</v>
      </c>
      <c r="E2648" s="2" t="s">
        <v>8483</v>
      </c>
      <c r="F2648" s="2" t="s">
        <v>8484</v>
      </c>
      <c r="G2648" s="2" t="s">
        <v>53</v>
      </c>
      <c r="H2648" s="2" t="s">
        <v>8485</v>
      </c>
      <c r="I2648" s="2" t="s">
        <v>36</v>
      </c>
      <c r="J2648" s="2" t="s">
        <v>37</v>
      </c>
      <c r="K2648" s="2" t="s">
        <v>38</v>
      </c>
      <c r="L2648" s="2" t="s">
        <v>38</v>
      </c>
      <c r="M2648" s="2" t="s">
        <v>39</v>
      </c>
      <c r="N2648" s="2" t="s">
        <v>38</v>
      </c>
      <c r="O2648" s="2" t="s">
        <v>38</v>
      </c>
      <c r="P2648" s="2" t="s">
        <v>39</v>
      </c>
      <c r="Q2648" s="2" t="s">
        <v>39</v>
      </c>
      <c r="R2648" s="2" t="s">
        <v>38</v>
      </c>
      <c r="S2648" s="2" t="s">
        <v>38</v>
      </c>
      <c r="T2648" s="2" t="s">
        <v>38</v>
      </c>
      <c r="U2648" s="2" t="s">
        <v>38</v>
      </c>
      <c r="V2648" s="2" t="s">
        <v>38</v>
      </c>
      <c r="W2648" s="2" t="s">
        <v>38</v>
      </c>
      <c r="X2648" s="2" t="s">
        <v>39</v>
      </c>
      <c r="Y2648" s="2" t="s">
        <v>38</v>
      </c>
      <c r="Z2648" s="2" t="s">
        <v>38</v>
      </c>
      <c r="AA2648" s="2" t="s">
        <v>39</v>
      </c>
      <c r="AB2648" s="2" t="s">
        <v>39</v>
      </c>
      <c r="AC2648" s="2" t="s">
        <v>38</v>
      </c>
      <c r="AD2648" s="2" t="s">
        <v>38</v>
      </c>
      <c r="AE2648" s="2"/>
    </row>
    <row r="2649" spans="1:31" ht="409.5">
      <c r="A2649" s="2">
        <v>2713055</v>
      </c>
      <c r="B2649" s="2">
        <f>HYPERLINK("https://platform.v2.vetology.net/cases/2713055/screening-report/1?type=pdf&amp;v=v6&amp;scorecard=1&amp;secret_key=BX%25IJ%24%2F65ieZ%29f6", 2713055)</f>
        <v>2713055</v>
      </c>
      <c r="C2649" s="2">
        <f>HYPERLINK("https://platform.v2.vetology.net/report/v/final/"&amp;2713055, 2713055)</f>
        <v>2713055</v>
      </c>
      <c r="D2649" s="2" t="s">
        <v>8486</v>
      </c>
      <c r="E2649" s="2" t="s">
        <v>8487</v>
      </c>
      <c r="F2649" s="2" t="s">
        <v>43</v>
      </c>
      <c r="G2649" s="2" t="s">
        <v>507</v>
      </c>
      <c r="H2649" s="2" t="s">
        <v>8488</v>
      </c>
      <c r="I2649" s="2" t="s">
        <v>36</v>
      </c>
      <c r="J2649" s="2" t="s">
        <v>37</v>
      </c>
      <c r="K2649" s="2" t="s">
        <v>39</v>
      </c>
      <c r="L2649" s="2" t="s">
        <v>38</v>
      </c>
      <c r="M2649" s="2" t="s">
        <v>39</v>
      </c>
      <c r="N2649" s="2" t="s">
        <v>39</v>
      </c>
      <c r="O2649" s="2" t="s">
        <v>38</v>
      </c>
      <c r="P2649" s="2" t="s">
        <v>39</v>
      </c>
      <c r="Q2649" s="2" t="s">
        <v>39</v>
      </c>
      <c r="R2649" s="2" t="s">
        <v>38</v>
      </c>
      <c r="S2649" s="2" t="s">
        <v>38</v>
      </c>
      <c r="T2649" s="2" t="s">
        <v>39</v>
      </c>
      <c r="U2649" s="2" t="s">
        <v>39</v>
      </c>
      <c r="V2649" s="2" t="s">
        <v>39</v>
      </c>
      <c r="W2649" s="2" t="s">
        <v>39</v>
      </c>
      <c r="X2649" s="2" t="s">
        <v>39</v>
      </c>
      <c r="Y2649" s="2" t="s">
        <v>39</v>
      </c>
      <c r="Z2649" s="2" t="s">
        <v>38</v>
      </c>
      <c r="AA2649" s="2" t="s">
        <v>39</v>
      </c>
      <c r="AB2649" s="2" t="s">
        <v>39</v>
      </c>
      <c r="AC2649" s="2" t="s">
        <v>38</v>
      </c>
      <c r="AD2649" s="2" t="s">
        <v>38</v>
      </c>
      <c r="AE2649" s="2" t="s">
        <v>39</v>
      </c>
    </row>
    <row r="2650" spans="1:31" ht="409.5">
      <c r="A2650" s="2">
        <v>2713051</v>
      </c>
      <c r="B2650" s="2">
        <f>HYPERLINK("https://platform.v2.vetology.net/cases/2713051/screening-report/1?type=pdf&amp;v=v6&amp;scorecard=1&amp;secret_key=BX%25IJ%24%2F65ieZ%29f6", 2713051)</f>
        <v>2713051</v>
      </c>
      <c r="C2650" s="2">
        <f>HYPERLINK("https://platform.v2.vetology.net/report/v/final/"&amp;2713051, 2713051)</f>
        <v>2713051</v>
      </c>
      <c r="D2650" s="2" t="s">
        <v>8489</v>
      </c>
      <c r="E2650" s="2" t="s">
        <v>8490</v>
      </c>
      <c r="F2650" s="2" t="s">
        <v>4684</v>
      </c>
      <c r="G2650" s="2" t="s">
        <v>34</v>
      </c>
      <c r="H2650" s="2" t="s">
        <v>8491</v>
      </c>
      <c r="I2650" s="2" t="s">
        <v>129</v>
      </c>
      <c r="J2650" s="2" t="s">
        <v>74</v>
      </c>
      <c r="K2650" s="2" t="s">
        <v>38</v>
      </c>
      <c r="L2650" s="2" t="s">
        <v>38</v>
      </c>
      <c r="M2650" s="2" t="s">
        <v>39</v>
      </c>
      <c r="N2650" s="2" t="s">
        <v>39</v>
      </c>
      <c r="O2650" s="2" t="s">
        <v>39</v>
      </c>
      <c r="P2650" s="2" t="s">
        <v>39</v>
      </c>
      <c r="Q2650" s="2" t="s">
        <v>38</v>
      </c>
      <c r="R2650" s="2" t="s">
        <v>39</v>
      </c>
      <c r="S2650" s="2" t="s">
        <v>39</v>
      </c>
      <c r="T2650" s="2" t="s">
        <v>38</v>
      </c>
      <c r="U2650" s="2" t="s">
        <v>39</v>
      </c>
      <c r="V2650" s="2" t="s">
        <v>39</v>
      </c>
      <c r="W2650" s="2" t="s">
        <v>39</v>
      </c>
      <c r="X2650" s="2" t="s">
        <v>39</v>
      </c>
      <c r="Y2650" s="2" t="s">
        <v>39</v>
      </c>
      <c r="Z2650" s="2" t="s">
        <v>39</v>
      </c>
      <c r="AA2650" s="2" t="s">
        <v>39</v>
      </c>
      <c r="AB2650" s="2" t="s">
        <v>38</v>
      </c>
      <c r="AC2650" s="2" t="s">
        <v>38</v>
      </c>
      <c r="AD2650" s="2" t="s">
        <v>39</v>
      </c>
      <c r="AE2650" s="2" t="s">
        <v>39</v>
      </c>
    </row>
    <row r="2651" spans="1:31" ht="409.5">
      <c r="A2651" s="2">
        <v>2713030</v>
      </c>
      <c r="B2651" s="2">
        <f>HYPERLINK("https://platform.v2.vetology.net/cases/2713030/screening-report/1?type=pdf&amp;v=v6&amp;scorecard=1&amp;secret_key=BX%25IJ%24%2F65ieZ%29f6", 2713030)</f>
        <v>2713030</v>
      </c>
      <c r="C2651" s="2">
        <f>HYPERLINK("https://platform.v2.vetology.net/report/v/final/"&amp;2713030, 2713030)</f>
        <v>2713030</v>
      </c>
      <c r="D2651" s="2" t="s">
        <v>8492</v>
      </c>
      <c r="E2651" s="2" t="s">
        <v>8493</v>
      </c>
      <c r="F2651" s="2"/>
      <c r="G2651" s="2" t="s">
        <v>507</v>
      </c>
      <c r="H2651" s="2" t="s">
        <v>8494</v>
      </c>
      <c r="I2651" s="2" t="s">
        <v>129</v>
      </c>
      <c r="J2651" s="2" t="s">
        <v>74</v>
      </c>
      <c r="K2651" s="2" t="s">
        <v>39</v>
      </c>
      <c r="L2651" s="2" t="s">
        <v>39</v>
      </c>
      <c r="M2651" s="2" t="s">
        <v>38</v>
      </c>
      <c r="N2651" s="2" t="s">
        <v>39</v>
      </c>
      <c r="O2651" s="2" t="s">
        <v>39</v>
      </c>
      <c r="P2651" s="2" t="s">
        <v>39</v>
      </c>
      <c r="Q2651" s="2" t="s">
        <v>38</v>
      </c>
      <c r="R2651" s="2" t="s">
        <v>39</v>
      </c>
      <c r="S2651" s="2" t="s">
        <v>39</v>
      </c>
      <c r="T2651" s="2" t="s">
        <v>39</v>
      </c>
      <c r="U2651" s="2" t="s">
        <v>39</v>
      </c>
      <c r="V2651" s="2" t="s">
        <v>39</v>
      </c>
      <c r="W2651" s="2" t="s">
        <v>38</v>
      </c>
      <c r="X2651" s="2" t="s">
        <v>39</v>
      </c>
      <c r="Y2651" s="2" t="s">
        <v>39</v>
      </c>
      <c r="Z2651" s="2" t="s">
        <v>39</v>
      </c>
      <c r="AA2651" s="2" t="s">
        <v>38</v>
      </c>
      <c r="AB2651" s="2" t="s">
        <v>39</v>
      </c>
      <c r="AC2651" s="2" t="s">
        <v>39</v>
      </c>
      <c r="AD2651" s="2" t="s">
        <v>39</v>
      </c>
      <c r="AE2651" s="2" t="s">
        <v>39</v>
      </c>
    </row>
    <row r="2652" spans="1:31" ht="409.5">
      <c r="A2652" s="2">
        <v>2713024</v>
      </c>
      <c r="B2652" s="2">
        <f>HYPERLINK("https://platform.v2.vetology.net/cases/2713024/screening-report/1?type=pdf&amp;v=v6&amp;scorecard=1&amp;secret_key=BX%25IJ%24%2F65ieZ%29f6", 2713024)</f>
        <v>2713024</v>
      </c>
      <c r="C2652" s="2">
        <f>HYPERLINK("https://platform.v2.vetology.net/report/v/final/"&amp;2713024, 2713024)</f>
        <v>2713024</v>
      </c>
      <c r="D2652" s="2" t="s">
        <v>3030</v>
      </c>
      <c r="E2652" s="2" t="s">
        <v>1073</v>
      </c>
      <c r="F2652" s="2" t="s">
        <v>787</v>
      </c>
      <c r="G2652" s="2" t="s">
        <v>100</v>
      </c>
      <c r="H2652" s="2" t="s">
        <v>398</v>
      </c>
      <c r="I2652" s="2" t="s">
        <v>46</v>
      </c>
      <c r="J2652" s="2"/>
      <c r="K2652" s="2" t="s">
        <v>38</v>
      </c>
      <c r="L2652" s="2" t="s">
        <v>39</v>
      </c>
      <c r="M2652" s="2" t="s">
        <v>39</v>
      </c>
      <c r="N2652" s="2" t="s">
        <v>39</v>
      </c>
      <c r="O2652" s="2" t="s">
        <v>39</v>
      </c>
      <c r="P2652" s="2" t="s">
        <v>39</v>
      </c>
      <c r="Q2652" s="2" t="s">
        <v>39</v>
      </c>
      <c r="R2652" s="2" t="s">
        <v>39</v>
      </c>
      <c r="S2652" s="2" t="s">
        <v>39</v>
      </c>
      <c r="T2652" s="2" t="s">
        <v>39</v>
      </c>
      <c r="U2652" s="2" t="s">
        <v>38</v>
      </c>
      <c r="V2652" s="2" t="s">
        <v>38</v>
      </c>
      <c r="W2652" s="2" t="s">
        <v>39</v>
      </c>
      <c r="X2652" s="2" t="s">
        <v>39</v>
      </c>
      <c r="Y2652" s="2" t="s">
        <v>39</v>
      </c>
      <c r="Z2652" s="2" t="s">
        <v>39</v>
      </c>
      <c r="AA2652" s="2" t="s">
        <v>39</v>
      </c>
      <c r="AB2652" s="2" t="s">
        <v>39</v>
      </c>
      <c r="AC2652" s="2" t="s">
        <v>39</v>
      </c>
      <c r="AD2652" s="2" t="s">
        <v>39</v>
      </c>
      <c r="AE2652" s="2" t="s">
        <v>40</v>
      </c>
    </row>
    <row r="2653" spans="1:31" ht="409.5">
      <c r="A2653" s="2">
        <v>2713019</v>
      </c>
      <c r="B2653" s="2">
        <f>HYPERLINK("https://platform.v2.vetology.net/cases/2713019/screening-report/1?type=pdf&amp;v=v6&amp;scorecard=1&amp;secret_key=BX%25IJ%24%2F65ieZ%29f6", 2713019)</f>
        <v>2713019</v>
      </c>
      <c r="C2653" s="2">
        <f>HYPERLINK("https://platform.v2.vetology.net/report/v/final/"&amp;2713019, 2713019)</f>
        <v>2713019</v>
      </c>
      <c r="D2653" s="2" t="s">
        <v>8495</v>
      </c>
      <c r="E2653" s="2" t="s">
        <v>8496</v>
      </c>
      <c r="F2653" s="2" t="s">
        <v>43</v>
      </c>
      <c r="G2653" s="2" t="s">
        <v>507</v>
      </c>
      <c r="H2653" s="2" t="s">
        <v>504</v>
      </c>
      <c r="I2653" s="2" t="s">
        <v>36</v>
      </c>
      <c r="J2653" s="2" t="s">
        <v>37</v>
      </c>
      <c r="K2653" s="2" t="s">
        <v>39</v>
      </c>
      <c r="L2653" s="2" t="s">
        <v>39</v>
      </c>
      <c r="M2653" s="2" t="s">
        <v>38</v>
      </c>
      <c r="N2653" s="2" t="s">
        <v>39</v>
      </c>
      <c r="O2653" s="2" t="s">
        <v>38</v>
      </c>
      <c r="P2653" s="2" t="s">
        <v>38</v>
      </c>
      <c r="Q2653" s="2" t="s">
        <v>39</v>
      </c>
      <c r="R2653" s="2" t="s">
        <v>39</v>
      </c>
      <c r="S2653" s="2" t="s">
        <v>39</v>
      </c>
      <c r="T2653" s="2" t="s">
        <v>38</v>
      </c>
      <c r="U2653" s="2" t="s">
        <v>39</v>
      </c>
      <c r="V2653" s="2" t="s">
        <v>39</v>
      </c>
      <c r="W2653" s="2" t="s">
        <v>39</v>
      </c>
      <c r="X2653" s="2" t="s">
        <v>39</v>
      </c>
      <c r="Y2653" s="2" t="s">
        <v>39</v>
      </c>
      <c r="Z2653" s="2" t="s">
        <v>39</v>
      </c>
      <c r="AA2653" s="2" t="s">
        <v>39</v>
      </c>
      <c r="AB2653" s="2" t="s">
        <v>39</v>
      </c>
      <c r="AC2653" s="2" t="s">
        <v>39</v>
      </c>
      <c r="AD2653" s="2" t="s">
        <v>38</v>
      </c>
      <c r="AE2653" s="2" t="s">
        <v>39</v>
      </c>
    </row>
    <row r="2654" spans="1:31" ht="409.5">
      <c r="A2654" s="2">
        <v>2713012</v>
      </c>
      <c r="B2654" s="2">
        <f>HYPERLINK("https://platform.v2.vetology.net/cases/2713012/screening-report/1?type=pdf&amp;v=v6&amp;scorecard=1&amp;secret_key=BX%25IJ%24%2F65ieZ%29f6", 2713012)</f>
        <v>2713012</v>
      </c>
      <c r="C2654" s="2">
        <f>HYPERLINK("https://platform.v2.vetology.net/report/v/final/"&amp;2713012, 2713012)</f>
        <v>2713012</v>
      </c>
      <c r="D2654" s="2" t="s">
        <v>8497</v>
      </c>
      <c r="E2654" s="2" t="s">
        <v>8498</v>
      </c>
      <c r="F2654" s="2"/>
      <c r="G2654" s="2" t="s">
        <v>100</v>
      </c>
      <c r="H2654" s="2" t="s">
        <v>398</v>
      </c>
      <c r="I2654" s="2" t="s">
        <v>46</v>
      </c>
      <c r="J2654" s="2"/>
      <c r="K2654" s="2" t="s">
        <v>38</v>
      </c>
      <c r="L2654" s="2" t="s">
        <v>39</v>
      </c>
      <c r="M2654" s="2" t="s">
        <v>39</v>
      </c>
      <c r="N2654" s="2" t="s">
        <v>39</v>
      </c>
      <c r="O2654" s="2" t="s">
        <v>39</v>
      </c>
      <c r="P2654" s="2" t="s">
        <v>39</v>
      </c>
      <c r="Q2654" s="2" t="s">
        <v>39</v>
      </c>
      <c r="R2654" s="2" t="s">
        <v>39</v>
      </c>
      <c r="S2654" s="2" t="s">
        <v>39</v>
      </c>
      <c r="T2654" s="2" t="s">
        <v>39</v>
      </c>
      <c r="U2654" s="2" t="s">
        <v>38</v>
      </c>
      <c r="V2654" s="2" t="s">
        <v>38</v>
      </c>
      <c r="W2654" s="2" t="s">
        <v>39</v>
      </c>
      <c r="X2654" s="2" t="s">
        <v>39</v>
      </c>
      <c r="Y2654" s="2" t="s">
        <v>39</v>
      </c>
      <c r="Z2654" s="2" t="s">
        <v>39</v>
      </c>
      <c r="AA2654" s="2" t="s">
        <v>39</v>
      </c>
      <c r="AB2654" s="2" t="s">
        <v>39</v>
      </c>
      <c r="AC2654" s="2" t="s">
        <v>39</v>
      </c>
      <c r="AD2654" s="2" t="s">
        <v>38</v>
      </c>
      <c r="AE2654" s="2"/>
    </row>
    <row r="2655" spans="1:31" ht="409.5">
      <c r="A2655" s="2">
        <v>2712996</v>
      </c>
      <c r="B2655" s="2">
        <f>HYPERLINK("https://platform.v2.vetology.net/cases/2712996/screening-report/1?type=pdf&amp;v=v6&amp;scorecard=1&amp;secret_key=BX%25IJ%24%2F65ieZ%29f6", 2712996)</f>
        <v>2712996</v>
      </c>
      <c r="C2655" s="2">
        <f>HYPERLINK("https://platform.v2.vetology.net/report/v/final/"&amp;2712996, 2712996)</f>
        <v>2712996</v>
      </c>
      <c r="D2655" s="2" t="s">
        <v>8499</v>
      </c>
      <c r="E2655" s="2" t="s">
        <v>8500</v>
      </c>
      <c r="F2655" s="2" t="s">
        <v>8501</v>
      </c>
      <c r="G2655" s="2" t="s">
        <v>170</v>
      </c>
      <c r="H2655" s="2" t="s">
        <v>66</v>
      </c>
      <c r="I2655" s="2" t="s">
        <v>36</v>
      </c>
      <c r="J2655" s="2" t="s">
        <v>37</v>
      </c>
      <c r="K2655" s="2" t="s">
        <v>39</v>
      </c>
      <c r="L2655" s="2" t="s">
        <v>39</v>
      </c>
      <c r="M2655" s="2" t="s">
        <v>38</v>
      </c>
      <c r="N2655" s="2" t="s">
        <v>39</v>
      </c>
      <c r="O2655" s="2" t="s">
        <v>38</v>
      </c>
      <c r="P2655" s="2" t="s">
        <v>39</v>
      </c>
      <c r="Q2655" s="2" t="s">
        <v>39</v>
      </c>
      <c r="R2655" s="2" t="s">
        <v>39</v>
      </c>
      <c r="S2655" s="2" t="s">
        <v>39</v>
      </c>
      <c r="T2655" s="2" t="s">
        <v>38</v>
      </c>
      <c r="U2655" s="2" t="s">
        <v>39</v>
      </c>
      <c r="V2655" s="2" t="s">
        <v>39</v>
      </c>
      <c r="W2655" s="2" t="s">
        <v>38</v>
      </c>
      <c r="X2655" s="2" t="s">
        <v>39</v>
      </c>
      <c r="Y2655" s="2" t="s">
        <v>39</v>
      </c>
      <c r="Z2655" s="2" t="s">
        <v>38</v>
      </c>
      <c r="AA2655" s="2" t="s">
        <v>39</v>
      </c>
      <c r="AB2655" s="2" t="s">
        <v>39</v>
      </c>
      <c r="AC2655" s="2" t="s">
        <v>39</v>
      </c>
      <c r="AD2655" s="2" t="s">
        <v>38</v>
      </c>
      <c r="AE2655" s="2" t="s">
        <v>39</v>
      </c>
    </row>
    <row r="2656" spans="1:31" ht="409.5">
      <c r="A2656" s="2">
        <v>2712995</v>
      </c>
      <c r="B2656" s="2">
        <f>HYPERLINK("https://platform.v2.vetology.net/cases/2712995/screening-report/1?type=pdf&amp;v=v6&amp;scorecard=1&amp;secret_key=BX%25IJ%24%2F65ieZ%29f6", 2712995)</f>
        <v>2712995</v>
      </c>
      <c r="C2656" s="2">
        <f>HYPERLINK("https://platform.v2.vetology.net/report/v/final/"&amp;2712995, 2712995)</f>
        <v>2712995</v>
      </c>
      <c r="D2656" s="2" t="s">
        <v>8502</v>
      </c>
      <c r="E2656" s="2" t="s">
        <v>8503</v>
      </c>
      <c r="F2656" s="2" t="s">
        <v>43</v>
      </c>
      <c r="G2656" s="2" t="s">
        <v>507</v>
      </c>
      <c r="H2656" s="2" t="s">
        <v>8504</v>
      </c>
      <c r="I2656" s="2" t="s">
        <v>36</v>
      </c>
      <c r="J2656" s="2" t="s">
        <v>37</v>
      </c>
      <c r="K2656" s="2" t="s">
        <v>38</v>
      </c>
      <c r="L2656" s="2" t="s">
        <v>38</v>
      </c>
      <c r="M2656" s="2" t="s">
        <v>38</v>
      </c>
      <c r="N2656" s="2" t="s">
        <v>38</v>
      </c>
      <c r="O2656" s="2" t="s">
        <v>38</v>
      </c>
      <c r="P2656" s="2" t="s">
        <v>38</v>
      </c>
      <c r="Q2656" s="2" t="s">
        <v>39</v>
      </c>
      <c r="R2656" s="2" t="s">
        <v>38</v>
      </c>
      <c r="S2656" s="2" t="s">
        <v>38</v>
      </c>
      <c r="T2656" s="2" t="s">
        <v>38</v>
      </c>
      <c r="U2656" s="2" t="s">
        <v>38</v>
      </c>
      <c r="V2656" s="2" t="s">
        <v>38</v>
      </c>
      <c r="W2656" s="2" t="s">
        <v>38</v>
      </c>
      <c r="X2656" s="2" t="s">
        <v>39</v>
      </c>
      <c r="Y2656" s="2" t="s">
        <v>38</v>
      </c>
      <c r="Z2656" s="2" t="s">
        <v>38</v>
      </c>
      <c r="AA2656" s="2" t="s">
        <v>38</v>
      </c>
      <c r="AB2656" s="2" t="s">
        <v>39</v>
      </c>
      <c r="AC2656" s="2" t="s">
        <v>38</v>
      </c>
      <c r="AD2656" s="2" t="s">
        <v>38</v>
      </c>
      <c r="AE2656" s="2"/>
    </row>
    <row r="2657" spans="1:31" ht="409.5">
      <c r="A2657" s="2">
        <v>2712994</v>
      </c>
      <c r="B2657" s="2">
        <f>HYPERLINK("https://platform.v2.vetology.net/cases/2712994/screening-report/1?type=pdf&amp;v=v6&amp;scorecard=1&amp;secret_key=BX%25IJ%24%2F65ieZ%29f6", 2712994)</f>
        <v>2712994</v>
      </c>
      <c r="C2657" s="2">
        <f>HYPERLINK("https://platform.v2.vetology.net/report/v/final/"&amp;2712994, 2712994)</f>
        <v>2712994</v>
      </c>
      <c r="D2657" s="2" t="s">
        <v>8505</v>
      </c>
      <c r="E2657" s="2" t="s">
        <v>8506</v>
      </c>
      <c r="F2657" s="2" t="s">
        <v>8507</v>
      </c>
      <c r="G2657" s="2" t="s">
        <v>251</v>
      </c>
      <c r="H2657" s="2" t="s">
        <v>8508</v>
      </c>
      <c r="I2657" s="2" t="s">
        <v>36</v>
      </c>
      <c r="J2657" s="2" t="s">
        <v>37</v>
      </c>
      <c r="K2657" s="2" t="s">
        <v>39</v>
      </c>
      <c r="L2657" s="2" t="s">
        <v>38</v>
      </c>
      <c r="M2657" s="2" t="s">
        <v>38</v>
      </c>
      <c r="N2657" s="2" t="s">
        <v>39</v>
      </c>
      <c r="O2657" s="2" t="s">
        <v>39</v>
      </c>
      <c r="P2657" s="2" t="s">
        <v>38</v>
      </c>
      <c r="Q2657" s="2" t="s">
        <v>39</v>
      </c>
      <c r="R2657" s="2" t="s">
        <v>39</v>
      </c>
      <c r="S2657" s="2" t="s">
        <v>38</v>
      </c>
      <c r="T2657" s="2" t="s">
        <v>39</v>
      </c>
      <c r="U2657" s="2" t="s">
        <v>39</v>
      </c>
      <c r="V2657" s="2" t="s">
        <v>38</v>
      </c>
      <c r="W2657" s="2" t="s">
        <v>39</v>
      </c>
      <c r="X2657" s="2" t="s">
        <v>39</v>
      </c>
      <c r="Y2657" s="2" t="s">
        <v>39</v>
      </c>
      <c r="Z2657" s="2" t="s">
        <v>38</v>
      </c>
      <c r="AA2657" s="2" t="s">
        <v>39</v>
      </c>
      <c r="AB2657" s="2" t="s">
        <v>39</v>
      </c>
      <c r="AC2657" s="2" t="s">
        <v>38</v>
      </c>
      <c r="AD2657" s="2" t="s">
        <v>39</v>
      </c>
      <c r="AE2657" s="2" t="s">
        <v>39</v>
      </c>
    </row>
    <row r="2658" spans="1:31" ht="409.5">
      <c r="A2658" s="2">
        <v>2712959</v>
      </c>
      <c r="B2658" s="2">
        <f>HYPERLINK("https://platform.v2.vetology.net/cases/2712959/screening-report/1?type=pdf&amp;v=v6&amp;scorecard=1&amp;secret_key=BX%25IJ%24%2F65ieZ%29f6", 2712959)</f>
        <v>2712959</v>
      </c>
      <c r="C2658" s="2">
        <f>HYPERLINK("https://platform.v2.vetology.net/report/v/final/"&amp;2712959, 2712959)</f>
        <v>2712959</v>
      </c>
      <c r="D2658" s="2" t="s">
        <v>8509</v>
      </c>
      <c r="E2658" s="2" t="s">
        <v>8510</v>
      </c>
      <c r="F2658" s="2" t="s">
        <v>8511</v>
      </c>
      <c r="G2658" s="2" t="s">
        <v>111</v>
      </c>
      <c r="H2658" s="2" t="s">
        <v>8512</v>
      </c>
      <c r="I2658" s="2" t="s">
        <v>73</v>
      </c>
      <c r="J2658" s="2" t="s">
        <v>74</v>
      </c>
      <c r="K2658" s="2" t="s">
        <v>38</v>
      </c>
      <c r="L2658" s="2" t="s">
        <v>38</v>
      </c>
      <c r="M2658" s="2" t="s">
        <v>38</v>
      </c>
      <c r="N2658" s="2" t="s">
        <v>38</v>
      </c>
      <c r="O2658" s="2" t="s">
        <v>38</v>
      </c>
      <c r="P2658" s="2" t="s">
        <v>38</v>
      </c>
      <c r="Q2658" s="2" t="s">
        <v>38</v>
      </c>
      <c r="R2658" s="2" t="s">
        <v>38</v>
      </c>
      <c r="S2658" s="2" t="s">
        <v>38</v>
      </c>
      <c r="T2658" s="2" t="s">
        <v>38</v>
      </c>
      <c r="U2658" s="2" t="s">
        <v>39</v>
      </c>
      <c r="V2658" s="2" t="s">
        <v>38</v>
      </c>
      <c r="W2658" s="2" t="s">
        <v>38</v>
      </c>
      <c r="X2658" s="2" t="s">
        <v>38</v>
      </c>
      <c r="Y2658" s="2" t="s">
        <v>39</v>
      </c>
      <c r="Z2658" s="2" t="s">
        <v>38</v>
      </c>
      <c r="AA2658" s="2" t="s">
        <v>38</v>
      </c>
      <c r="AB2658" s="2" t="s">
        <v>38</v>
      </c>
      <c r="AC2658" s="2" t="s">
        <v>38</v>
      </c>
      <c r="AD2658" s="2" t="s">
        <v>38</v>
      </c>
      <c r="AE2658" s="2" t="s">
        <v>39</v>
      </c>
    </row>
    <row r="2659" spans="1:31" ht="409.5">
      <c r="A2659" s="2">
        <v>2712957</v>
      </c>
      <c r="B2659" s="2">
        <f>HYPERLINK("https://platform.v2.vetology.net/cases/2712957/screening-report/1?type=pdf&amp;v=v6&amp;scorecard=1&amp;secret_key=BX%25IJ%24%2F65ieZ%29f6", 2712957)</f>
        <v>2712957</v>
      </c>
      <c r="C2659" s="2">
        <f>HYPERLINK("https://platform.v2.vetology.net/report/v/final/"&amp;2712957, 2712957)</f>
        <v>2712957</v>
      </c>
      <c r="D2659" s="2" t="s">
        <v>8513</v>
      </c>
      <c r="E2659" s="2" t="s">
        <v>8514</v>
      </c>
      <c r="F2659" s="2" t="s">
        <v>8515</v>
      </c>
      <c r="G2659" s="2" t="s">
        <v>127</v>
      </c>
      <c r="H2659" s="2" t="s">
        <v>8516</v>
      </c>
      <c r="I2659" s="2" t="s">
        <v>129</v>
      </c>
      <c r="J2659" s="2" t="s">
        <v>74</v>
      </c>
      <c r="K2659" s="2" t="s">
        <v>38</v>
      </c>
      <c r="L2659" s="2" t="s">
        <v>39</v>
      </c>
      <c r="M2659" s="2" t="s">
        <v>38</v>
      </c>
      <c r="N2659" s="2" t="s">
        <v>38</v>
      </c>
      <c r="O2659" s="2" t="s">
        <v>38</v>
      </c>
      <c r="P2659" s="2" t="s">
        <v>38</v>
      </c>
      <c r="Q2659" s="2" t="s">
        <v>38</v>
      </c>
      <c r="R2659" s="2" t="s">
        <v>38</v>
      </c>
      <c r="S2659" s="2" t="s">
        <v>39</v>
      </c>
      <c r="T2659" s="2" t="s">
        <v>38</v>
      </c>
      <c r="U2659" s="2" t="s">
        <v>39</v>
      </c>
      <c r="V2659" s="2" t="s">
        <v>38</v>
      </c>
      <c r="W2659" s="2" t="s">
        <v>38</v>
      </c>
      <c r="X2659" s="2" t="s">
        <v>38</v>
      </c>
      <c r="Y2659" s="2" t="s">
        <v>39</v>
      </c>
      <c r="Z2659" s="2" t="s">
        <v>38</v>
      </c>
      <c r="AA2659" s="2" t="s">
        <v>38</v>
      </c>
      <c r="AB2659" s="2" t="s">
        <v>38</v>
      </c>
      <c r="AC2659" s="2" t="s">
        <v>38</v>
      </c>
      <c r="AD2659" s="2" t="s">
        <v>39</v>
      </c>
      <c r="AE2659" s="2" t="s">
        <v>40</v>
      </c>
    </row>
    <row r="2660" spans="1:31" ht="409.5">
      <c r="A2660" s="2">
        <v>2712953</v>
      </c>
      <c r="B2660" s="2">
        <f>HYPERLINK("https://platform.v2.vetology.net/cases/2712953/screening-report/1?type=pdf&amp;v=v6&amp;scorecard=1&amp;secret_key=BX%25IJ%24%2F65ieZ%29f6", 2712953)</f>
        <v>2712953</v>
      </c>
      <c r="C2660" s="2">
        <f>HYPERLINK("https://platform.v2.vetology.net/report/v/final/"&amp;2712953, 2712953)</f>
        <v>2712953</v>
      </c>
      <c r="D2660" s="2" t="s">
        <v>8517</v>
      </c>
      <c r="E2660" s="2" t="s">
        <v>578</v>
      </c>
      <c r="F2660" s="2" t="s">
        <v>579</v>
      </c>
      <c r="G2660" s="2" t="s">
        <v>34</v>
      </c>
      <c r="H2660" s="2" t="s">
        <v>3035</v>
      </c>
      <c r="I2660" s="2" t="s">
        <v>36</v>
      </c>
      <c r="J2660" s="2" t="s">
        <v>37</v>
      </c>
      <c r="K2660" s="2" t="s">
        <v>39</v>
      </c>
      <c r="L2660" s="2" t="s">
        <v>39</v>
      </c>
      <c r="M2660" s="2" t="s">
        <v>38</v>
      </c>
      <c r="N2660" s="2" t="s">
        <v>39</v>
      </c>
      <c r="O2660" s="2" t="s">
        <v>38</v>
      </c>
      <c r="P2660" s="2" t="s">
        <v>39</v>
      </c>
      <c r="Q2660" s="2" t="s">
        <v>39</v>
      </c>
      <c r="R2660" s="2" t="s">
        <v>38</v>
      </c>
      <c r="S2660" s="2" t="s">
        <v>39</v>
      </c>
      <c r="T2660" s="2" t="s">
        <v>39</v>
      </c>
      <c r="U2660" s="2" t="s">
        <v>39</v>
      </c>
      <c r="V2660" s="2" t="s">
        <v>39</v>
      </c>
      <c r="W2660" s="2" t="s">
        <v>38</v>
      </c>
      <c r="X2660" s="2" t="s">
        <v>39</v>
      </c>
      <c r="Y2660" s="2" t="s">
        <v>39</v>
      </c>
      <c r="Z2660" s="2" t="s">
        <v>39</v>
      </c>
      <c r="AA2660" s="2" t="s">
        <v>39</v>
      </c>
      <c r="AB2660" s="2" t="s">
        <v>39</v>
      </c>
      <c r="AC2660" s="2" t="s">
        <v>38</v>
      </c>
      <c r="AD2660" s="2" t="s">
        <v>38</v>
      </c>
      <c r="AE2660" s="2" t="s">
        <v>39</v>
      </c>
    </row>
    <row r="2661" spans="1:31" ht="409.5">
      <c r="A2661" s="2">
        <v>2712935</v>
      </c>
      <c r="B2661" s="2">
        <f>HYPERLINK("https://platform.v2.vetology.net/cases/2712935/screening-report/1?type=pdf&amp;v=v6&amp;scorecard=1&amp;secret_key=BX%25IJ%24%2F65ieZ%29f6", 2712935)</f>
        <v>2712935</v>
      </c>
      <c r="C2661" s="2">
        <f>HYPERLINK("https://platform.v2.vetology.net/report/v/final/"&amp;2712935, 2712935)</f>
        <v>2712935</v>
      </c>
      <c r="D2661" s="2" t="s">
        <v>8518</v>
      </c>
      <c r="E2661" s="2" t="s">
        <v>8519</v>
      </c>
      <c r="F2661" s="2" t="s">
        <v>43</v>
      </c>
      <c r="G2661" s="2" t="s">
        <v>100</v>
      </c>
      <c r="H2661" s="2" t="s">
        <v>8520</v>
      </c>
      <c r="I2661" s="2" t="s">
        <v>36</v>
      </c>
      <c r="J2661" s="2" t="s">
        <v>37</v>
      </c>
      <c r="K2661" s="2" t="s">
        <v>38</v>
      </c>
      <c r="L2661" s="2" t="s">
        <v>38</v>
      </c>
      <c r="M2661" s="2" t="s">
        <v>38</v>
      </c>
      <c r="N2661" s="2" t="s">
        <v>38</v>
      </c>
      <c r="O2661" s="2" t="s">
        <v>38</v>
      </c>
      <c r="P2661" s="2" t="s">
        <v>38</v>
      </c>
      <c r="Q2661" s="2" t="s">
        <v>39</v>
      </c>
      <c r="R2661" s="2" t="s">
        <v>38</v>
      </c>
      <c r="S2661" s="2" t="s">
        <v>38</v>
      </c>
      <c r="T2661" s="2" t="s">
        <v>38</v>
      </c>
      <c r="U2661" s="2" t="s">
        <v>38</v>
      </c>
      <c r="V2661" s="2" t="s">
        <v>38</v>
      </c>
      <c r="W2661" s="2" t="s">
        <v>38</v>
      </c>
      <c r="X2661" s="2" t="s">
        <v>39</v>
      </c>
      <c r="Y2661" s="2" t="s">
        <v>38</v>
      </c>
      <c r="Z2661" s="2" t="s">
        <v>38</v>
      </c>
      <c r="AA2661" s="2" t="s">
        <v>38</v>
      </c>
      <c r="AB2661" s="2" t="s">
        <v>39</v>
      </c>
      <c r="AC2661" s="2" t="s">
        <v>38</v>
      </c>
      <c r="AD2661" s="2" t="s">
        <v>38</v>
      </c>
      <c r="AE2661" s="2" t="s">
        <v>39</v>
      </c>
    </row>
    <row r="2662" spans="1:31" ht="409.5">
      <c r="A2662" s="2">
        <v>2712928</v>
      </c>
      <c r="B2662" s="2">
        <f>HYPERLINK("https://platform.v2.vetology.net/cases/2712928/screening-report/1?type=pdf&amp;v=v6&amp;scorecard=1&amp;secret_key=BX%25IJ%24%2F65ieZ%29f6", 2712928)</f>
        <v>2712928</v>
      </c>
      <c r="C2662" s="2">
        <f>HYPERLINK("https://platform.v2.vetology.net/report/v/final/"&amp;2712928, 2712928)</f>
        <v>2712928</v>
      </c>
      <c r="D2662" s="2" t="s">
        <v>8521</v>
      </c>
      <c r="E2662" s="2" t="s">
        <v>8522</v>
      </c>
      <c r="F2662" s="2" t="s">
        <v>8523</v>
      </c>
      <c r="G2662" s="2" t="s">
        <v>53</v>
      </c>
      <c r="H2662" s="2" t="s">
        <v>273</v>
      </c>
      <c r="I2662" s="2" t="s">
        <v>46</v>
      </c>
      <c r="J2662" s="2"/>
      <c r="K2662" s="2" t="s">
        <v>39</v>
      </c>
      <c r="L2662" s="2" t="s">
        <v>39</v>
      </c>
      <c r="M2662" s="2" t="s">
        <v>39</v>
      </c>
      <c r="N2662" s="2" t="s">
        <v>39</v>
      </c>
      <c r="O2662" s="2" t="s">
        <v>39</v>
      </c>
      <c r="P2662" s="2" t="s">
        <v>39</v>
      </c>
      <c r="Q2662" s="2" t="s">
        <v>39</v>
      </c>
      <c r="R2662" s="2" t="s">
        <v>39</v>
      </c>
      <c r="S2662" s="2" t="s">
        <v>38</v>
      </c>
      <c r="T2662" s="2" t="s">
        <v>39</v>
      </c>
      <c r="U2662" s="2" t="s">
        <v>39</v>
      </c>
      <c r="V2662" s="2" t="s">
        <v>38</v>
      </c>
      <c r="W2662" s="2" t="s">
        <v>38</v>
      </c>
      <c r="X2662" s="2" t="s">
        <v>39</v>
      </c>
      <c r="Y2662" s="2" t="s">
        <v>39</v>
      </c>
      <c r="Z2662" s="2" t="s">
        <v>39</v>
      </c>
      <c r="AA2662" s="2" t="s">
        <v>38</v>
      </c>
      <c r="AB2662" s="2" t="s">
        <v>39</v>
      </c>
      <c r="AC2662" s="2" t="s">
        <v>38</v>
      </c>
      <c r="AD2662" s="2" t="s">
        <v>39</v>
      </c>
      <c r="AE2662" s="2" t="s">
        <v>39</v>
      </c>
    </row>
    <row r="2663" spans="1:31" ht="409.5">
      <c r="A2663" s="2">
        <v>2712925</v>
      </c>
      <c r="B2663" s="2">
        <f>HYPERLINK("https://platform.v2.vetology.net/cases/2712925/screening-report/1?type=pdf&amp;v=v6&amp;scorecard=1&amp;secret_key=BX%25IJ%24%2F65ieZ%29f6", 2712925)</f>
        <v>2712925</v>
      </c>
      <c r="C2663" s="2">
        <f>HYPERLINK("https://platform.v2.vetology.net/report/v/final/"&amp;2712925, 2712925)</f>
        <v>2712925</v>
      </c>
      <c r="D2663" s="2" t="s">
        <v>8524</v>
      </c>
      <c r="E2663" s="2" t="s">
        <v>8525</v>
      </c>
      <c r="F2663" s="2" t="s">
        <v>8526</v>
      </c>
      <c r="G2663" s="2" t="s">
        <v>170</v>
      </c>
      <c r="H2663" s="2" t="s">
        <v>69</v>
      </c>
      <c r="I2663" s="2" t="s">
        <v>46</v>
      </c>
      <c r="J2663" s="2"/>
      <c r="K2663" s="2" t="s">
        <v>39</v>
      </c>
      <c r="L2663" s="2" t="s">
        <v>39</v>
      </c>
      <c r="M2663" s="2" t="s">
        <v>39</v>
      </c>
      <c r="N2663" s="2" t="s">
        <v>39</v>
      </c>
      <c r="O2663" s="2" t="s">
        <v>39</v>
      </c>
      <c r="P2663" s="2" t="s">
        <v>39</v>
      </c>
      <c r="Q2663" s="2" t="s">
        <v>39</v>
      </c>
      <c r="R2663" s="2" t="s">
        <v>39</v>
      </c>
      <c r="S2663" s="2" t="s">
        <v>39</v>
      </c>
      <c r="T2663" s="2" t="s">
        <v>39</v>
      </c>
      <c r="U2663" s="2" t="s">
        <v>39</v>
      </c>
      <c r="V2663" s="2" t="s">
        <v>39</v>
      </c>
      <c r="W2663" s="2" t="s">
        <v>39</v>
      </c>
      <c r="X2663" s="2" t="s">
        <v>39</v>
      </c>
      <c r="Y2663" s="2" t="s">
        <v>39</v>
      </c>
      <c r="Z2663" s="2" t="s">
        <v>39</v>
      </c>
      <c r="AA2663" s="2" t="s">
        <v>39</v>
      </c>
      <c r="AB2663" s="2" t="s">
        <v>39</v>
      </c>
      <c r="AC2663" s="2" t="s">
        <v>39</v>
      </c>
      <c r="AD2663" s="2" t="s">
        <v>39</v>
      </c>
      <c r="AE2663" s="2" t="s">
        <v>39</v>
      </c>
    </row>
    <row r="2664" spans="1:31" ht="409.5">
      <c r="A2664" s="2">
        <v>2712918</v>
      </c>
      <c r="B2664" s="2">
        <f>HYPERLINK("https://platform.v2.vetology.net/cases/2712918/screening-report/1?type=pdf&amp;v=v6&amp;scorecard=1&amp;secret_key=BX%25IJ%24%2F65ieZ%29f6", 2712918)</f>
        <v>2712918</v>
      </c>
      <c r="C2664" s="2">
        <f>HYPERLINK("https://platform.v2.vetology.net/report/v/final/"&amp;2712918, 2712918)</f>
        <v>2712918</v>
      </c>
      <c r="D2664" s="2" t="s">
        <v>8527</v>
      </c>
      <c r="E2664" s="2" t="s">
        <v>8528</v>
      </c>
      <c r="F2664" s="2" t="s">
        <v>8529</v>
      </c>
      <c r="G2664" s="2" t="s">
        <v>34</v>
      </c>
      <c r="H2664" s="2" t="s">
        <v>8530</v>
      </c>
      <c r="I2664" s="2" t="s">
        <v>129</v>
      </c>
      <c r="J2664" s="2" t="s">
        <v>74</v>
      </c>
      <c r="K2664" s="2" t="s">
        <v>39</v>
      </c>
      <c r="L2664" s="2" t="s">
        <v>38</v>
      </c>
      <c r="M2664" s="2" t="s">
        <v>38</v>
      </c>
      <c r="N2664" s="2" t="s">
        <v>39</v>
      </c>
      <c r="O2664" s="2" t="s">
        <v>39</v>
      </c>
      <c r="P2664" s="2" t="s">
        <v>38</v>
      </c>
      <c r="Q2664" s="2" t="s">
        <v>38</v>
      </c>
      <c r="R2664" s="2" t="s">
        <v>38</v>
      </c>
      <c r="S2664" s="2" t="s">
        <v>39</v>
      </c>
      <c r="T2664" s="2" t="s">
        <v>38</v>
      </c>
      <c r="U2664" s="2" t="s">
        <v>39</v>
      </c>
      <c r="V2664" s="2" t="s">
        <v>39</v>
      </c>
      <c r="W2664" s="2" t="s">
        <v>38</v>
      </c>
      <c r="X2664" s="2" t="s">
        <v>39</v>
      </c>
      <c r="Y2664" s="2" t="s">
        <v>39</v>
      </c>
      <c r="Z2664" s="2" t="s">
        <v>38</v>
      </c>
      <c r="AA2664" s="2" t="s">
        <v>39</v>
      </c>
      <c r="AB2664" s="2" t="s">
        <v>39</v>
      </c>
      <c r="AC2664" s="2" t="s">
        <v>38</v>
      </c>
      <c r="AD2664" s="2" t="s">
        <v>39</v>
      </c>
      <c r="AE2664" s="2"/>
    </row>
    <row r="2665" spans="1:31" ht="409.5">
      <c r="A2665" s="2">
        <v>2712910</v>
      </c>
      <c r="B2665" s="2">
        <f>HYPERLINK("https://platform.v2.vetology.net/cases/2712910/screening-report/1?type=pdf&amp;v=v6&amp;scorecard=1&amp;secret_key=BX%25IJ%24%2F65ieZ%29f6", 2712910)</f>
        <v>2712910</v>
      </c>
      <c r="C2665" s="2">
        <f>HYPERLINK("https://platform.v2.vetology.net/report/v/final/"&amp;2712910, 2712910)</f>
        <v>2712910</v>
      </c>
      <c r="D2665" s="2" t="s">
        <v>8531</v>
      </c>
      <c r="E2665" s="2" t="s">
        <v>8532</v>
      </c>
      <c r="F2665" s="2" t="s">
        <v>8533</v>
      </c>
      <c r="G2665" s="2" t="s">
        <v>170</v>
      </c>
      <c r="H2665" s="2" t="s">
        <v>5391</v>
      </c>
      <c r="I2665" s="2" t="s">
        <v>59</v>
      </c>
      <c r="J2665" s="2" t="s">
        <v>37</v>
      </c>
      <c r="K2665" s="2" t="s">
        <v>38</v>
      </c>
      <c r="L2665" s="2" t="s">
        <v>39</v>
      </c>
      <c r="M2665" s="2" t="s">
        <v>39</v>
      </c>
      <c r="N2665" s="2" t="s">
        <v>38</v>
      </c>
      <c r="O2665" s="2" t="s">
        <v>39</v>
      </c>
      <c r="P2665" s="2" t="s">
        <v>39</v>
      </c>
      <c r="Q2665" s="2" t="s">
        <v>39</v>
      </c>
      <c r="R2665" s="2" t="s">
        <v>39</v>
      </c>
      <c r="S2665" s="2" t="s">
        <v>38</v>
      </c>
      <c r="T2665" s="2" t="s">
        <v>39</v>
      </c>
      <c r="U2665" s="2" t="s">
        <v>39</v>
      </c>
      <c r="V2665" s="2" t="s">
        <v>38</v>
      </c>
      <c r="W2665" s="2" t="s">
        <v>38</v>
      </c>
      <c r="X2665" s="2" t="s">
        <v>39</v>
      </c>
      <c r="Y2665" s="2" t="s">
        <v>39</v>
      </c>
      <c r="Z2665" s="2" t="s">
        <v>39</v>
      </c>
      <c r="AA2665" s="2" t="s">
        <v>38</v>
      </c>
      <c r="AB2665" s="2" t="s">
        <v>39</v>
      </c>
      <c r="AC2665" s="2" t="s">
        <v>38</v>
      </c>
      <c r="AD2665" s="2" t="s">
        <v>38</v>
      </c>
      <c r="AE2665" s="2" t="s">
        <v>39</v>
      </c>
    </row>
    <row r="2666" spans="1:31" ht="409.5">
      <c r="A2666" s="2">
        <v>2712903</v>
      </c>
      <c r="B2666" s="2">
        <f>HYPERLINK("https://platform.v2.vetology.net/cases/2712903/screening-report/1?type=pdf&amp;v=v6&amp;scorecard=1&amp;secret_key=BX%25IJ%24%2F65ieZ%29f6", 2712903)</f>
        <v>2712903</v>
      </c>
      <c r="C2666" s="2">
        <f>HYPERLINK("https://platform.v2.vetology.net/report/v/final/"&amp;2712903, 2712903)</f>
        <v>2712903</v>
      </c>
      <c r="D2666" s="2" t="s">
        <v>8534</v>
      </c>
      <c r="E2666" s="2" t="s">
        <v>8535</v>
      </c>
      <c r="F2666" s="2" t="s">
        <v>8536</v>
      </c>
      <c r="G2666" s="2" t="s">
        <v>170</v>
      </c>
      <c r="H2666" s="2" t="s">
        <v>69</v>
      </c>
      <c r="I2666" s="2" t="s">
        <v>46</v>
      </c>
      <c r="J2666" s="2"/>
      <c r="K2666" s="2" t="s">
        <v>39</v>
      </c>
      <c r="L2666" s="2" t="s">
        <v>39</v>
      </c>
      <c r="M2666" s="2" t="s">
        <v>39</v>
      </c>
      <c r="N2666" s="2" t="s">
        <v>39</v>
      </c>
      <c r="O2666" s="2" t="s">
        <v>39</v>
      </c>
      <c r="P2666" s="2" t="s">
        <v>39</v>
      </c>
      <c r="Q2666" s="2" t="s">
        <v>39</v>
      </c>
      <c r="R2666" s="2" t="s">
        <v>39</v>
      </c>
      <c r="S2666" s="2" t="s">
        <v>39</v>
      </c>
      <c r="T2666" s="2" t="s">
        <v>39</v>
      </c>
      <c r="U2666" s="2" t="s">
        <v>39</v>
      </c>
      <c r="V2666" s="2" t="s">
        <v>39</v>
      </c>
      <c r="W2666" s="2" t="s">
        <v>39</v>
      </c>
      <c r="X2666" s="2" t="s">
        <v>39</v>
      </c>
      <c r="Y2666" s="2" t="s">
        <v>39</v>
      </c>
      <c r="Z2666" s="2" t="s">
        <v>39</v>
      </c>
      <c r="AA2666" s="2" t="s">
        <v>39</v>
      </c>
      <c r="AB2666" s="2" t="s">
        <v>39</v>
      </c>
      <c r="AC2666" s="2" t="s">
        <v>39</v>
      </c>
      <c r="AD2666" s="2" t="s">
        <v>38</v>
      </c>
      <c r="AE2666" s="2" t="s">
        <v>39</v>
      </c>
    </row>
    <row r="2667" spans="1:31" ht="409.5">
      <c r="A2667" s="2">
        <v>2712872</v>
      </c>
      <c r="B2667" s="2">
        <f>HYPERLINK("https://platform.v2.vetology.net/cases/2712872/screening-report/1?type=pdf&amp;v=v6&amp;scorecard=1&amp;secret_key=BX%25IJ%24%2F65ieZ%29f6", 2712872)</f>
        <v>2712872</v>
      </c>
      <c r="C2667" s="2">
        <f>HYPERLINK("https://platform.v2.vetology.net/report/v/final/"&amp;2712872, 2712872)</f>
        <v>2712872</v>
      </c>
      <c r="D2667" s="2" t="s">
        <v>8537</v>
      </c>
      <c r="E2667" s="2" t="s">
        <v>8538</v>
      </c>
      <c r="F2667" s="2" t="s">
        <v>4782</v>
      </c>
      <c r="G2667" s="2" t="s">
        <v>170</v>
      </c>
      <c r="H2667" s="2" t="s">
        <v>8539</v>
      </c>
      <c r="I2667" s="2" t="s">
        <v>684</v>
      </c>
      <c r="J2667" s="2" t="s">
        <v>74</v>
      </c>
      <c r="K2667" s="2" t="s">
        <v>39</v>
      </c>
      <c r="L2667" s="2" t="s">
        <v>39</v>
      </c>
      <c r="M2667" s="2" t="s">
        <v>39</v>
      </c>
      <c r="N2667" s="2" t="s">
        <v>39</v>
      </c>
      <c r="O2667" s="2" t="s">
        <v>39</v>
      </c>
      <c r="P2667" s="2" t="s">
        <v>39</v>
      </c>
      <c r="Q2667" s="2" t="s">
        <v>38</v>
      </c>
      <c r="R2667" s="2" t="s">
        <v>39</v>
      </c>
      <c r="S2667" s="2" t="s">
        <v>39</v>
      </c>
      <c r="T2667" s="2" t="s">
        <v>39</v>
      </c>
      <c r="U2667" s="2" t="s">
        <v>39</v>
      </c>
      <c r="V2667" s="2" t="s">
        <v>38</v>
      </c>
      <c r="W2667" s="2" t="s">
        <v>38</v>
      </c>
      <c r="X2667" s="2" t="s">
        <v>38</v>
      </c>
      <c r="Y2667" s="2" t="s">
        <v>39</v>
      </c>
      <c r="Z2667" s="2" t="s">
        <v>39</v>
      </c>
      <c r="AA2667" s="2" t="s">
        <v>38</v>
      </c>
      <c r="AB2667" s="2" t="s">
        <v>38</v>
      </c>
      <c r="AC2667" s="2" t="s">
        <v>38</v>
      </c>
      <c r="AD2667" s="2" t="s">
        <v>39</v>
      </c>
      <c r="AE2667" s="2" t="s">
        <v>39</v>
      </c>
    </row>
    <row r="2668" spans="1:31" ht="409.5">
      <c r="A2668" s="2">
        <v>2712866</v>
      </c>
      <c r="B2668" s="2">
        <f>HYPERLINK("https://platform.v2.vetology.net/cases/2712866/screening-report/1?type=pdf&amp;v=v6&amp;scorecard=1&amp;secret_key=BX%25IJ%24%2F65ieZ%29f6", 2712866)</f>
        <v>2712866</v>
      </c>
      <c r="C2668" s="2">
        <f>HYPERLINK("https://platform.v2.vetology.net/report/v/final/"&amp;2712866, 2712866)</f>
        <v>2712866</v>
      </c>
      <c r="D2668" s="2" t="s">
        <v>8540</v>
      </c>
      <c r="E2668" s="2" t="s">
        <v>8541</v>
      </c>
      <c r="F2668" s="2" t="s">
        <v>4684</v>
      </c>
      <c r="G2668" s="2" t="s">
        <v>34</v>
      </c>
      <c r="H2668" s="2" t="s">
        <v>8542</v>
      </c>
      <c r="I2668" s="2" t="s">
        <v>73</v>
      </c>
      <c r="J2668" s="2" t="s">
        <v>74</v>
      </c>
      <c r="K2668" s="2" t="s">
        <v>38</v>
      </c>
      <c r="L2668" s="2" t="s">
        <v>39</v>
      </c>
      <c r="M2668" s="2" t="s">
        <v>38</v>
      </c>
      <c r="N2668" s="2" t="s">
        <v>38</v>
      </c>
      <c r="O2668" s="2" t="s">
        <v>39</v>
      </c>
      <c r="P2668" s="2" t="s">
        <v>38</v>
      </c>
      <c r="Q2668" s="2" t="s">
        <v>38</v>
      </c>
      <c r="R2668" s="2" t="s">
        <v>38</v>
      </c>
      <c r="S2668" s="2" t="s">
        <v>38</v>
      </c>
      <c r="T2668" s="2" t="s">
        <v>38</v>
      </c>
      <c r="U2668" s="2" t="s">
        <v>38</v>
      </c>
      <c r="V2668" s="2" t="s">
        <v>38</v>
      </c>
      <c r="W2668" s="2" t="s">
        <v>38</v>
      </c>
      <c r="X2668" s="2" t="s">
        <v>38</v>
      </c>
      <c r="Y2668" s="2" t="s">
        <v>39</v>
      </c>
      <c r="Z2668" s="2" t="s">
        <v>38</v>
      </c>
      <c r="AA2668" s="2" t="s">
        <v>38</v>
      </c>
      <c r="AB2668" s="2" t="s">
        <v>38</v>
      </c>
      <c r="AC2668" s="2" t="s">
        <v>39</v>
      </c>
      <c r="AD2668" s="2" t="s">
        <v>39</v>
      </c>
      <c r="AE2668" s="2" t="s">
        <v>39</v>
      </c>
    </row>
    <row r="2669" spans="1:31" ht="409.5">
      <c r="A2669" s="2">
        <v>2712865</v>
      </c>
      <c r="B2669" s="2">
        <f>HYPERLINK("https://platform.v2.vetology.net/cases/2712865/screening-report/1?type=pdf&amp;v=v6&amp;scorecard=1&amp;secret_key=BX%25IJ%24%2F65ieZ%29f6", 2712865)</f>
        <v>2712865</v>
      </c>
      <c r="C2669" s="2">
        <f>HYPERLINK("https://platform.v2.vetology.net/report/v/final/"&amp;2712865, 2712865)</f>
        <v>2712865</v>
      </c>
      <c r="D2669" s="2" t="s">
        <v>8543</v>
      </c>
      <c r="E2669" s="2" t="s">
        <v>8544</v>
      </c>
      <c r="F2669" s="2"/>
      <c r="G2669" s="2" t="s">
        <v>100</v>
      </c>
      <c r="H2669" s="2" t="s">
        <v>69</v>
      </c>
      <c r="I2669" s="2" t="s">
        <v>46</v>
      </c>
      <c r="J2669" s="2"/>
      <c r="K2669" s="2" t="s">
        <v>39</v>
      </c>
      <c r="L2669" s="2" t="s">
        <v>39</v>
      </c>
      <c r="M2669" s="2" t="s">
        <v>39</v>
      </c>
      <c r="N2669" s="2" t="s">
        <v>39</v>
      </c>
      <c r="O2669" s="2" t="s">
        <v>39</v>
      </c>
      <c r="P2669" s="2" t="s">
        <v>39</v>
      </c>
      <c r="Q2669" s="2" t="s">
        <v>39</v>
      </c>
      <c r="R2669" s="2" t="s">
        <v>39</v>
      </c>
      <c r="S2669" s="2" t="s">
        <v>39</v>
      </c>
      <c r="T2669" s="2" t="s">
        <v>38</v>
      </c>
      <c r="U2669" s="2" t="s">
        <v>39</v>
      </c>
      <c r="V2669" s="2" t="s">
        <v>39</v>
      </c>
      <c r="W2669" s="2" t="s">
        <v>39</v>
      </c>
      <c r="X2669" s="2" t="s">
        <v>39</v>
      </c>
      <c r="Y2669" s="2" t="s">
        <v>39</v>
      </c>
      <c r="Z2669" s="2" t="s">
        <v>39</v>
      </c>
      <c r="AA2669" s="2" t="s">
        <v>39</v>
      </c>
      <c r="AB2669" s="2" t="s">
        <v>39</v>
      </c>
      <c r="AC2669" s="2" t="s">
        <v>39</v>
      </c>
      <c r="AD2669" s="2" t="s">
        <v>38</v>
      </c>
      <c r="AE2669" s="2" t="s">
        <v>39</v>
      </c>
    </row>
    <row r="2670" spans="1:31" ht="409.5">
      <c r="A2670" s="2">
        <v>2712828</v>
      </c>
      <c r="B2670" s="2">
        <f>HYPERLINK("https://platform.v2.vetology.net/cases/2712828/screening-report/1?type=pdf&amp;v=v6&amp;scorecard=1&amp;secret_key=BX%25IJ%24%2F65ieZ%29f6", 2712828)</f>
        <v>2712828</v>
      </c>
      <c r="C2670" s="2">
        <f>HYPERLINK("https://platform.v2.vetology.net/report/v/final/"&amp;2712828, 2712828)</f>
        <v>2712828</v>
      </c>
      <c r="D2670" s="2" t="s">
        <v>8545</v>
      </c>
      <c r="E2670" s="2" t="s">
        <v>8546</v>
      </c>
      <c r="F2670" s="2" t="s">
        <v>6426</v>
      </c>
      <c r="G2670" s="2" t="s">
        <v>34</v>
      </c>
      <c r="H2670" s="2" t="s">
        <v>2862</v>
      </c>
      <c r="I2670" s="2" t="s">
        <v>46</v>
      </c>
      <c r="J2670" s="2"/>
      <c r="K2670" s="2" t="s">
        <v>38</v>
      </c>
      <c r="L2670" s="2" t="s">
        <v>39</v>
      </c>
      <c r="M2670" s="2" t="s">
        <v>39</v>
      </c>
      <c r="N2670" s="2" t="s">
        <v>39</v>
      </c>
      <c r="O2670" s="2" t="s">
        <v>39</v>
      </c>
      <c r="P2670" s="2" t="s">
        <v>39</v>
      </c>
      <c r="Q2670" s="2" t="s">
        <v>39</v>
      </c>
      <c r="R2670" s="2" t="s">
        <v>38</v>
      </c>
      <c r="S2670" s="2" t="s">
        <v>38</v>
      </c>
      <c r="T2670" s="2" t="s">
        <v>39</v>
      </c>
      <c r="U2670" s="2" t="s">
        <v>39</v>
      </c>
      <c r="V2670" s="2" t="s">
        <v>38</v>
      </c>
      <c r="W2670" s="2" t="s">
        <v>39</v>
      </c>
      <c r="X2670" s="2" t="s">
        <v>39</v>
      </c>
      <c r="Y2670" s="2" t="s">
        <v>39</v>
      </c>
      <c r="Z2670" s="2" t="s">
        <v>39</v>
      </c>
      <c r="AA2670" s="2" t="s">
        <v>39</v>
      </c>
      <c r="AB2670" s="2" t="s">
        <v>39</v>
      </c>
      <c r="AC2670" s="2" t="s">
        <v>38</v>
      </c>
      <c r="AD2670" s="2" t="s">
        <v>38</v>
      </c>
      <c r="AE2670" s="2" t="s">
        <v>40</v>
      </c>
    </row>
    <row r="2671" spans="1:31" ht="409.5">
      <c r="A2671" s="2">
        <v>2712823</v>
      </c>
      <c r="B2671" s="2">
        <f>HYPERLINK("https://platform.v2.vetology.net/cases/2712823/screening-report/1?type=pdf&amp;v=v6&amp;scorecard=1&amp;secret_key=BX%25IJ%24%2F65ieZ%29f6", 2712823)</f>
        <v>2712823</v>
      </c>
      <c r="C2671" s="2">
        <f>HYPERLINK("https://platform.v2.vetology.net/report/v/final/"&amp;2712823, 2712823)</f>
        <v>2712823</v>
      </c>
      <c r="D2671" s="2" t="s">
        <v>8547</v>
      </c>
      <c r="E2671" s="2" t="s">
        <v>8548</v>
      </c>
      <c r="F2671" s="2" t="s">
        <v>8549</v>
      </c>
      <c r="G2671" s="2" t="s">
        <v>415</v>
      </c>
      <c r="H2671" s="2" t="s">
        <v>8550</v>
      </c>
      <c r="I2671" s="2" t="s">
        <v>36</v>
      </c>
      <c r="J2671" s="2" t="s">
        <v>37</v>
      </c>
      <c r="K2671" s="2" t="s">
        <v>38</v>
      </c>
      <c r="L2671" s="2" t="s">
        <v>38</v>
      </c>
      <c r="M2671" s="2" t="s">
        <v>38</v>
      </c>
      <c r="N2671" s="2" t="s">
        <v>38</v>
      </c>
      <c r="O2671" s="2" t="s">
        <v>38</v>
      </c>
      <c r="P2671" s="2" t="s">
        <v>38</v>
      </c>
      <c r="Q2671" s="2" t="s">
        <v>38</v>
      </c>
      <c r="R2671" s="2" t="s">
        <v>38</v>
      </c>
      <c r="S2671" s="2" t="s">
        <v>38</v>
      </c>
      <c r="T2671" s="2" t="s">
        <v>38</v>
      </c>
      <c r="U2671" s="2" t="s">
        <v>38</v>
      </c>
      <c r="V2671" s="2" t="s">
        <v>38</v>
      </c>
      <c r="W2671" s="2" t="s">
        <v>38</v>
      </c>
      <c r="X2671" s="2" t="s">
        <v>38</v>
      </c>
      <c r="Y2671" s="2" t="s">
        <v>38</v>
      </c>
      <c r="Z2671" s="2" t="s">
        <v>38</v>
      </c>
      <c r="AA2671" s="2" t="s">
        <v>38</v>
      </c>
      <c r="AB2671" s="2" t="s">
        <v>38</v>
      </c>
      <c r="AC2671" s="2" t="s">
        <v>38</v>
      </c>
      <c r="AD2671" s="2" t="s">
        <v>38</v>
      </c>
      <c r="AE2671" s="2" t="s">
        <v>40</v>
      </c>
    </row>
    <row r="2672" spans="1:31" ht="409.5">
      <c r="A2672" s="2">
        <v>2712810</v>
      </c>
      <c r="B2672" s="2">
        <f>HYPERLINK("https://platform.v2.vetology.net/cases/2712810/screening-report/1?type=pdf&amp;v=v6&amp;scorecard=1&amp;secret_key=BX%25IJ%24%2F65ieZ%29f6", 2712810)</f>
        <v>2712810</v>
      </c>
      <c r="C2672" s="2">
        <f>HYPERLINK("https://platform.v2.vetology.net/report/v/final/"&amp;2712810, 2712810)</f>
        <v>2712810</v>
      </c>
      <c r="D2672" s="2" t="s">
        <v>8551</v>
      </c>
      <c r="E2672" s="2" t="s">
        <v>8552</v>
      </c>
      <c r="F2672" s="2" t="s">
        <v>8553</v>
      </c>
      <c r="G2672" s="2" t="s">
        <v>170</v>
      </c>
      <c r="H2672" s="2" t="s">
        <v>69</v>
      </c>
      <c r="I2672" s="2" t="s">
        <v>46</v>
      </c>
      <c r="J2672" s="2"/>
      <c r="K2672" s="2" t="s">
        <v>39</v>
      </c>
      <c r="L2672" s="2" t="s">
        <v>39</v>
      </c>
      <c r="M2672" s="2" t="s">
        <v>39</v>
      </c>
      <c r="N2672" s="2" t="s">
        <v>39</v>
      </c>
      <c r="O2672" s="2" t="s">
        <v>39</v>
      </c>
      <c r="P2672" s="2" t="s">
        <v>39</v>
      </c>
      <c r="Q2672" s="2" t="s">
        <v>39</v>
      </c>
      <c r="R2672" s="2" t="s">
        <v>39</v>
      </c>
      <c r="S2672" s="2" t="s">
        <v>39</v>
      </c>
      <c r="T2672" s="2" t="s">
        <v>39</v>
      </c>
      <c r="U2672" s="2" t="s">
        <v>39</v>
      </c>
      <c r="V2672" s="2" t="s">
        <v>39</v>
      </c>
      <c r="W2672" s="2" t="s">
        <v>39</v>
      </c>
      <c r="X2672" s="2" t="s">
        <v>39</v>
      </c>
      <c r="Y2672" s="2" t="s">
        <v>39</v>
      </c>
      <c r="Z2672" s="2" t="s">
        <v>39</v>
      </c>
      <c r="AA2672" s="2" t="s">
        <v>39</v>
      </c>
      <c r="AB2672" s="2" t="s">
        <v>39</v>
      </c>
      <c r="AC2672" s="2" t="s">
        <v>39</v>
      </c>
      <c r="AD2672" s="2" t="s">
        <v>38</v>
      </c>
      <c r="AE2672" s="2"/>
    </row>
    <row r="2673" spans="1:31" ht="409.5">
      <c r="A2673" s="2">
        <v>2712701</v>
      </c>
      <c r="B2673" s="2">
        <f>HYPERLINK("https://platform.v2.vetology.net/cases/2712701/screening-report/1?type=pdf&amp;v=v6&amp;scorecard=1&amp;secret_key=BX%25IJ%24%2F65ieZ%29f6", 2712701)</f>
        <v>2712701</v>
      </c>
      <c r="C2673" s="2">
        <f>HYPERLINK("https://platform.v2.vetology.net/report/v/final/"&amp;2712701, 2712701)</f>
        <v>2712701</v>
      </c>
      <c r="D2673" s="2" t="s">
        <v>8554</v>
      </c>
      <c r="E2673" s="2" t="s">
        <v>8555</v>
      </c>
      <c r="F2673" s="2" t="s">
        <v>8556</v>
      </c>
      <c r="G2673" s="2" t="s">
        <v>34</v>
      </c>
      <c r="H2673" s="2" t="s">
        <v>45</v>
      </c>
      <c r="I2673" s="2" t="s">
        <v>46</v>
      </c>
      <c r="J2673" s="2"/>
      <c r="K2673" s="2" t="s">
        <v>39</v>
      </c>
      <c r="L2673" s="2" t="s">
        <v>39</v>
      </c>
      <c r="M2673" s="2" t="s">
        <v>39</v>
      </c>
      <c r="N2673" s="2" t="s">
        <v>39</v>
      </c>
      <c r="O2673" s="2" t="s">
        <v>39</v>
      </c>
      <c r="P2673" s="2" t="s">
        <v>39</v>
      </c>
      <c r="Q2673" s="2" t="s">
        <v>39</v>
      </c>
      <c r="R2673" s="2" t="s">
        <v>38</v>
      </c>
      <c r="S2673" s="2" t="s">
        <v>39</v>
      </c>
      <c r="T2673" s="2" t="s">
        <v>39</v>
      </c>
      <c r="U2673" s="2" t="s">
        <v>39</v>
      </c>
      <c r="V2673" s="2" t="s">
        <v>39</v>
      </c>
      <c r="W2673" s="2" t="s">
        <v>39</v>
      </c>
      <c r="X2673" s="2" t="s">
        <v>39</v>
      </c>
      <c r="Y2673" s="2" t="s">
        <v>39</v>
      </c>
      <c r="Z2673" s="2" t="s">
        <v>39</v>
      </c>
      <c r="AA2673" s="2" t="s">
        <v>39</v>
      </c>
      <c r="AB2673" s="2" t="s">
        <v>39</v>
      </c>
      <c r="AC2673" s="2" t="s">
        <v>38</v>
      </c>
      <c r="AD2673" s="2" t="s">
        <v>39</v>
      </c>
      <c r="AE2673" s="2" t="s">
        <v>40</v>
      </c>
    </row>
    <row r="2674" spans="1:31" ht="409.5">
      <c r="A2674" s="2">
        <v>2712699</v>
      </c>
      <c r="B2674" s="2">
        <f>HYPERLINK("https://platform.v2.vetology.net/cases/2712699/screening-report/1?type=pdf&amp;v=v6&amp;scorecard=1&amp;secret_key=BX%25IJ%24%2F65ieZ%29f6", 2712699)</f>
        <v>2712699</v>
      </c>
      <c r="C2674" s="2">
        <f>HYPERLINK("https://platform.v2.vetology.net/report/v/final/"&amp;2712699, 2712699)</f>
        <v>2712699</v>
      </c>
      <c r="D2674" s="2" t="s">
        <v>8557</v>
      </c>
      <c r="E2674" s="2" t="s">
        <v>8558</v>
      </c>
      <c r="F2674" s="2" t="s">
        <v>8559</v>
      </c>
      <c r="G2674" s="2" t="s">
        <v>170</v>
      </c>
      <c r="H2674" s="2" t="s">
        <v>8560</v>
      </c>
      <c r="I2674" s="2" t="s">
        <v>73</v>
      </c>
      <c r="J2674" s="2" t="s">
        <v>74</v>
      </c>
      <c r="K2674" s="2" t="s">
        <v>38</v>
      </c>
      <c r="L2674" s="2" t="s">
        <v>38</v>
      </c>
      <c r="M2674" s="2" t="s">
        <v>38</v>
      </c>
      <c r="N2674" s="2" t="s">
        <v>38</v>
      </c>
      <c r="O2674" s="2" t="s">
        <v>38</v>
      </c>
      <c r="P2674" s="2" t="s">
        <v>38</v>
      </c>
      <c r="Q2674" s="2" t="s">
        <v>38</v>
      </c>
      <c r="R2674" s="2" t="s">
        <v>38</v>
      </c>
      <c r="S2674" s="2" t="s">
        <v>38</v>
      </c>
      <c r="T2674" s="2" t="s">
        <v>38</v>
      </c>
      <c r="U2674" s="2" t="s">
        <v>38</v>
      </c>
      <c r="V2674" s="2" t="s">
        <v>38</v>
      </c>
      <c r="W2674" s="2" t="s">
        <v>38</v>
      </c>
      <c r="X2674" s="2" t="s">
        <v>38</v>
      </c>
      <c r="Y2674" s="2" t="s">
        <v>38</v>
      </c>
      <c r="Z2674" s="2" t="s">
        <v>38</v>
      </c>
      <c r="AA2674" s="2" t="s">
        <v>38</v>
      </c>
      <c r="AB2674" s="2" t="s">
        <v>39</v>
      </c>
      <c r="AC2674" s="2" t="s">
        <v>38</v>
      </c>
      <c r="AD2674" s="2" t="s">
        <v>38</v>
      </c>
      <c r="AE2674" s="2" t="s">
        <v>40</v>
      </c>
    </row>
    <row r="2675" spans="1:31" ht="409.5">
      <c r="A2675" s="2">
        <v>2712685</v>
      </c>
      <c r="B2675" s="2">
        <f>HYPERLINK("https://platform.v2.vetology.net/cases/2712685/screening-report/1?type=pdf&amp;v=v6&amp;scorecard=1&amp;secret_key=BX%25IJ%24%2F65ieZ%29f6", 2712685)</f>
        <v>2712685</v>
      </c>
      <c r="C2675" s="2">
        <f>HYPERLINK("https://platform.v2.vetology.net/report/v/final/"&amp;2712685, 2712685)</f>
        <v>2712685</v>
      </c>
      <c r="D2675" s="2" t="s">
        <v>8561</v>
      </c>
      <c r="E2675" s="2" t="s">
        <v>8562</v>
      </c>
      <c r="F2675" s="2" t="s">
        <v>8563</v>
      </c>
      <c r="G2675" s="2" t="s">
        <v>415</v>
      </c>
      <c r="H2675" s="2" t="s">
        <v>8439</v>
      </c>
      <c r="I2675" s="2" t="s">
        <v>73</v>
      </c>
      <c r="J2675" s="2" t="s">
        <v>74</v>
      </c>
      <c r="K2675" s="2" t="s">
        <v>38</v>
      </c>
      <c r="L2675" s="2" t="s">
        <v>38</v>
      </c>
      <c r="M2675" s="2" t="s">
        <v>38</v>
      </c>
      <c r="N2675" s="2" t="s">
        <v>38</v>
      </c>
      <c r="O2675" s="2" t="s">
        <v>38</v>
      </c>
      <c r="P2675" s="2" t="s">
        <v>38</v>
      </c>
      <c r="Q2675" s="2" t="s">
        <v>38</v>
      </c>
      <c r="R2675" s="2" t="s">
        <v>38</v>
      </c>
      <c r="S2675" s="2" t="s">
        <v>38</v>
      </c>
      <c r="T2675" s="2" t="s">
        <v>38</v>
      </c>
      <c r="U2675" s="2" t="s">
        <v>38</v>
      </c>
      <c r="V2675" s="2" t="s">
        <v>38</v>
      </c>
      <c r="W2675" s="2" t="s">
        <v>38</v>
      </c>
      <c r="X2675" s="2" t="s">
        <v>38</v>
      </c>
      <c r="Y2675" s="2" t="s">
        <v>38</v>
      </c>
      <c r="Z2675" s="2" t="s">
        <v>38</v>
      </c>
      <c r="AA2675" s="2" t="s">
        <v>38</v>
      </c>
      <c r="AB2675" s="2" t="s">
        <v>38</v>
      </c>
      <c r="AC2675" s="2" t="s">
        <v>38</v>
      </c>
      <c r="AD2675" s="2" t="s">
        <v>38</v>
      </c>
      <c r="AE2675" s="2" t="s">
        <v>40</v>
      </c>
    </row>
    <row r="2676" spans="1:31" ht="409.5">
      <c r="A2676" s="2">
        <v>2712622</v>
      </c>
      <c r="B2676" s="2">
        <f>HYPERLINK("https://platform.v2.vetology.net/cases/2712622/screening-report/1?type=pdf&amp;v=v6&amp;scorecard=1&amp;secret_key=BX%25IJ%24%2F65ieZ%29f6", 2712622)</f>
        <v>2712622</v>
      </c>
      <c r="C2676" s="2">
        <f>HYPERLINK("https://platform.v2.vetology.net/report/v/final/"&amp;2712622, 2712622)</f>
        <v>2712622</v>
      </c>
      <c r="D2676" s="2" t="s">
        <v>1847</v>
      </c>
      <c r="E2676" s="2" t="s">
        <v>8564</v>
      </c>
      <c r="F2676" s="2" t="s">
        <v>8565</v>
      </c>
      <c r="G2676" s="2" t="s">
        <v>111</v>
      </c>
      <c r="H2676" s="2" t="s">
        <v>182</v>
      </c>
      <c r="I2676" s="2" t="s">
        <v>46</v>
      </c>
      <c r="J2676" s="2"/>
      <c r="K2676" s="2" t="s">
        <v>38</v>
      </c>
      <c r="L2676" s="2" t="s">
        <v>39</v>
      </c>
      <c r="M2676" s="2" t="s">
        <v>39</v>
      </c>
      <c r="N2676" s="2" t="s">
        <v>39</v>
      </c>
      <c r="O2676" s="2" t="s">
        <v>39</v>
      </c>
      <c r="P2676" s="2" t="s">
        <v>39</v>
      </c>
      <c r="Q2676" s="2" t="s">
        <v>39</v>
      </c>
      <c r="R2676" s="2" t="s">
        <v>38</v>
      </c>
      <c r="S2676" s="2" t="s">
        <v>39</v>
      </c>
      <c r="T2676" s="2" t="s">
        <v>39</v>
      </c>
      <c r="U2676" s="2" t="s">
        <v>39</v>
      </c>
      <c r="V2676" s="2" t="s">
        <v>38</v>
      </c>
      <c r="W2676" s="2" t="s">
        <v>39</v>
      </c>
      <c r="X2676" s="2" t="s">
        <v>39</v>
      </c>
      <c r="Y2676" s="2" t="s">
        <v>39</v>
      </c>
      <c r="Z2676" s="2" t="s">
        <v>38</v>
      </c>
      <c r="AA2676" s="2" t="s">
        <v>39</v>
      </c>
      <c r="AB2676" s="2" t="s">
        <v>39</v>
      </c>
      <c r="AC2676" s="2" t="s">
        <v>38</v>
      </c>
      <c r="AD2676" s="2" t="s">
        <v>39</v>
      </c>
      <c r="AE2676" s="2" t="s">
        <v>40</v>
      </c>
    </row>
    <row r="2677" spans="1:31" ht="409.5">
      <c r="A2677" s="2">
        <v>2712599</v>
      </c>
      <c r="B2677" s="2">
        <f>HYPERLINK("https://platform.v2.vetology.net/cases/2712599/screening-report/1?type=pdf&amp;v=v6&amp;scorecard=1&amp;secret_key=BX%25IJ%24%2F65ieZ%29f6", 2712599)</f>
        <v>2712599</v>
      </c>
      <c r="C2677" s="2">
        <f>HYPERLINK("https://platform.v2.vetology.net/report/v/final/"&amp;2712599, 2712599)</f>
        <v>2712599</v>
      </c>
      <c r="D2677" s="2" t="s">
        <v>8566</v>
      </c>
      <c r="E2677" s="2" t="s">
        <v>8567</v>
      </c>
      <c r="F2677" s="2" t="s">
        <v>356</v>
      </c>
      <c r="G2677" s="2" t="s">
        <v>100</v>
      </c>
      <c r="H2677" s="2" t="s">
        <v>8568</v>
      </c>
      <c r="I2677" s="2" t="s">
        <v>129</v>
      </c>
      <c r="J2677" s="2" t="s">
        <v>74</v>
      </c>
      <c r="K2677" s="2" t="s">
        <v>38</v>
      </c>
      <c r="L2677" s="2" t="s">
        <v>39</v>
      </c>
      <c r="M2677" s="2" t="s">
        <v>38</v>
      </c>
      <c r="N2677" s="2" t="s">
        <v>38</v>
      </c>
      <c r="O2677" s="2" t="s">
        <v>38</v>
      </c>
      <c r="P2677" s="2" t="s">
        <v>39</v>
      </c>
      <c r="Q2677" s="2" t="s">
        <v>38</v>
      </c>
      <c r="R2677" s="2" t="s">
        <v>38</v>
      </c>
      <c r="S2677" s="2" t="s">
        <v>38</v>
      </c>
      <c r="T2677" s="2" t="s">
        <v>38</v>
      </c>
      <c r="U2677" s="2" t="s">
        <v>39</v>
      </c>
      <c r="V2677" s="2" t="s">
        <v>38</v>
      </c>
      <c r="W2677" s="2" t="s">
        <v>38</v>
      </c>
      <c r="X2677" s="2" t="s">
        <v>38</v>
      </c>
      <c r="Y2677" s="2" t="s">
        <v>39</v>
      </c>
      <c r="Z2677" s="2" t="s">
        <v>38</v>
      </c>
      <c r="AA2677" s="2" t="s">
        <v>38</v>
      </c>
      <c r="AB2677" s="2" t="s">
        <v>38</v>
      </c>
      <c r="AC2677" s="2" t="s">
        <v>38</v>
      </c>
      <c r="AD2677" s="2" t="s">
        <v>38</v>
      </c>
      <c r="AE2677" s="2" t="s">
        <v>40</v>
      </c>
    </row>
    <row r="2678" spans="1:31" ht="409.5">
      <c r="A2678" s="2">
        <v>2712595</v>
      </c>
      <c r="B2678" s="2">
        <f>HYPERLINK("https://platform.v2.vetology.net/cases/2712595/screening-report/1?type=pdf&amp;v=v6&amp;scorecard=1&amp;secret_key=BX%25IJ%24%2F65ieZ%29f6", 2712595)</f>
        <v>2712595</v>
      </c>
      <c r="C2678" s="2">
        <f>HYPERLINK("https://platform.v2.vetology.net/report/v/final/"&amp;2712595, 2712595)</f>
        <v>2712595</v>
      </c>
      <c r="D2678" s="2" t="s">
        <v>8569</v>
      </c>
      <c r="E2678" s="2" t="s">
        <v>854</v>
      </c>
      <c r="F2678" s="2" t="s">
        <v>8570</v>
      </c>
      <c r="G2678" s="2" t="s">
        <v>111</v>
      </c>
      <c r="H2678" s="2" t="s">
        <v>561</v>
      </c>
      <c r="I2678" s="2" t="s">
        <v>36</v>
      </c>
      <c r="J2678" s="2" t="s">
        <v>37</v>
      </c>
      <c r="K2678" s="2" t="s">
        <v>39</v>
      </c>
      <c r="L2678" s="2" t="s">
        <v>38</v>
      </c>
      <c r="M2678" s="2" t="s">
        <v>38</v>
      </c>
      <c r="N2678" s="2" t="s">
        <v>38</v>
      </c>
      <c r="O2678" s="2" t="s">
        <v>38</v>
      </c>
      <c r="P2678" s="2" t="s">
        <v>39</v>
      </c>
      <c r="Q2678" s="2" t="s">
        <v>39</v>
      </c>
      <c r="R2678" s="2" t="s">
        <v>38</v>
      </c>
      <c r="S2678" s="2" t="s">
        <v>38</v>
      </c>
      <c r="T2678" s="2" t="s">
        <v>39</v>
      </c>
      <c r="U2678" s="2" t="s">
        <v>39</v>
      </c>
      <c r="V2678" s="2" t="s">
        <v>39</v>
      </c>
      <c r="W2678" s="2" t="s">
        <v>38</v>
      </c>
      <c r="X2678" s="2" t="s">
        <v>39</v>
      </c>
      <c r="Y2678" s="2" t="s">
        <v>38</v>
      </c>
      <c r="Z2678" s="2" t="s">
        <v>38</v>
      </c>
      <c r="AA2678" s="2" t="s">
        <v>39</v>
      </c>
      <c r="AB2678" s="2" t="s">
        <v>39</v>
      </c>
      <c r="AC2678" s="2" t="s">
        <v>38</v>
      </c>
      <c r="AD2678" s="2" t="s">
        <v>38</v>
      </c>
      <c r="AE2678" s="2" t="s">
        <v>39</v>
      </c>
    </row>
    <row r="2679" spans="1:31" ht="409.5">
      <c r="A2679" s="2">
        <v>2712591</v>
      </c>
      <c r="B2679" s="2">
        <f>HYPERLINK("https://platform.v2.vetology.net/cases/2712591/screening-report/1?type=pdf&amp;v=v6&amp;scorecard=1&amp;secret_key=BX%25IJ%24%2F65ieZ%29f6", 2712591)</f>
        <v>2712591</v>
      </c>
      <c r="C2679" s="2">
        <f>HYPERLINK("https://platform.v2.vetology.net/report/v/final/"&amp;2712591, 2712591)</f>
        <v>2712591</v>
      </c>
      <c r="D2679" s="2" t="s">
        <v>8571</v>
      </c>
      <c r="E2679" s="2" t="s">
        <v>6349</v>
      </c>
      <c r="F2679" s="2"/>
      <c r="G2679" s="2" t="s">
        <v>81</v>
      </c>
      <c r="H2679" s="2" t="s">
        <v>8572</v>
      </c>
      <c r="I2679" s="2" t="s">
        <v>129</v>
      </c>
      <c r="J2679" s="2" t="s">
        <v>74</v>
      </c>
      <c r="K2679" s="2" t="s">
        <v>38</v>
      </c>
      <c r="L2679" s="2" t="s">
        <v>38</v>
      </c>
      <c r="M2679" s="2" t="s">
        <v>39</v>
      </c>
      <c r="N2679" s="2" t="s">
        <v>38</v>
      </c>
      <c r="O2679" s="2" t="s">
        <v>39</v>
      </c>
      <c r="P2679" s="2" t="s">
        <v>38</v>
      </c>
      <c r="Q2679" s="2" t="s">
        <v>38</v>
      </c>
      <c r="R2679" s="2" t="s">
        <v>38</v>
      </c>
      <c r="S2679" s="2" t="s">
        <v>38</v>
      </c>
      <c r="T2679" s="2" t="s">
        <v>38</v>
      </c>
      <c r="U2679" s="2" t="s">
        <v>38</v>
      </c>
      <c r="V2679" s="2" t="s">
        <v>38</v>
      </c>
      <c r="W2679" s="2" t="s">
        <v>38</v>
      </c>
      <c r="X2679" s="2" t="s">
        <v>39</v>
      </c>
      <c r="Y2679" s="2" t="s">
        <v>38</v>
      </c>
      <c r="Z2679" s="2" t="s">
        <v>38</v>
      </c>
      <c r="AA2679" s="2" t="s">
        <v>38</v>
      </c>
      <c r="AB2679" s="2" t="s">
        <v>38</v>
      </c>
      <c r="AC2679" s="2" t="s">
        <v>38</v>
      </c>
      <c r="AD2679" s="2" t="s">
        <v>38</v>
      </c>
      <c r="AE2679" s="2" t="s">
        <v>39</v>
      </c>
    </row>
    <row r="2680" spans="1:31" ht="409.5">
      <c r="A2680" s="2">
        <v>2712581</v>
      </c>
      <c r="B2680" s="2">
        <f>HYPERLINK("https://platform.v2.vetology.net/cases/2712581/screening-report/1?type=pdf&amp;v=v6&amp;scorecard=1&amp;secret_key=BX%25IJ%24%2F65ieZ%29f6", 2712581)</f>
        <v>2712581</v>
      </c>
      <c r="C2680" s="2">
        <f>HYPERLINK("https://platform.v2.vetology.net/report/v/final/"&amp;2712581, 2712581)</f>
        <v>2712581</v>
      </c>
      <c r="D2680" s="2" t="s">
        <v>8573</v>
      </c>
      <c r="E2680" s="2" t="s">
        <v>8574</v>
      </c>
      <c r="F2680" s="2" t="s">
        <v>694</v>
      </c>
      <c r="G2680" s="2" t="s">
        <v>34</v>
      </c>
      <c r="H2680" s="2" t="s">
        <v>8575</v>
      </c>
      <c r="I2680" s="2" t="s">
        <v>73</v>
      </c>
      <c r="J2680" s="2" t="s">
        <v>74</v>
      </c>
      <c r="K2680" s="2" t="s">
        <v>38</v>
      </c>
      <c r="L2680" s="2" t="s">
        <v>38</v>
      </c>
      <c r="M2680" s="2" t="s">
        <v>38</v>
      </c>
      <c r="N2680" s="2" t="s">
        <v>38</v>
      </c>
      <c r="O2680" s="2" t="s">
        <v>38</v>
      </c>
      <c r="P2680" s="2" t="s">
        <v>38</v>
      </c>
      <c r="Q2680" s="2" t="s">
        <v>38</v>
      </c>
      <c r="R2680" s="2" t="s">
        <v>38</v>
      </c>
      <c r="S2680" s="2" t="s">
        <v>38</v>
      </c>
      <c r="T2680" s="2" t="s">
        <v>38</v>
      </c>
      <c r="U2680" s="2" t="s">
        <v>38</v>
      </c>
      <c r="V2680" s="2" t="s">
        <v>38</v>
      </c>
      <c r="W2680" s="2" t="s">
        <v>38</v>
      </c>
      <c r="X2680" s="2" t="s">
        <v>38</v>
      </c>
      <c r="Y2680" s="2" t="s">
        <v>38</v>
      </c>
      <c r="Z2680" s="2" t="s">
        <v>38</v>
      </c>
      <c r="AA2680" s="2" t="s">
        <v>38</v>
      </c>
      <c r="AB2680" s="2" t="s">
        <v>38</v>
      </c>
      <c r="AC2680" s="2" t="s">
        <v>38</v>
      </c>
      <c r="AD2680" s="2" t="s">
        <v>39</v>
      </c>
      <c r="AE2680" s="2" t="s">
        <v>39</v>
      </c>
    </row>
    <row r="2681" spans="1:31" ht="409.5">
      <c r="A2681" s="2">
        <v>2712532</v>
      </c>
      <c r="B2681" s="2">
        <f>HYPERLINK("https://platform.v2.vetology.net/cases/2712532/screening-report/1?type=pdf&amp;v=v6&amp;scorecard=1&amp;secret_key=BX%25IJ%24%2F65ieZ%29f6", 2712532)</f>
        <v>2712532</v>
      </c>
      <c r="C2681" s="2">
        <f>HYPERLINK("https://platform.v2.vetology.net/report/v/final/"&amp;2712532, 2712532)</f>
        <v>2712532</v>
      </c>
      <c r="D2681" s="2" t="s">
        <v>8576</v>
      </c>
      <c r="E2681" s="2" t="s">
        <v>8577</v>
      </c>
      <c r="F2681" s="2" t="s">
        <v>8578</v>
      </c>
      <c r="G2681" s="2" t="s">
        <v>53</v>
      </c>
      <c r="H2681" s="2" t="s">
        <v>8579</v>
      </c>
      <c r="I2681" s="2" t="s">
        <v>73</v>
      </c>
      <c r="J2681" s="2" t="s">
        <v>74</v>
      </c>
      <c r="K2681" s="2" t="s">
        <v>38</v>
      </c>
      <c r="L2681" s="2" t="s">
        <v>38</v>
      </c>
      <c r="M2681" s="2" t="s">
        <v>38</v>
      </c>
      <c r="N2681" s="2" t="s">
        <v>38</v>
      </c>
      <c r="O2681" s="2" t="s">
        <v>38</v>
      </c>
      <c r="P2681" s="2" t="s">
        <v>38</v>
      </c>
      <c r="Q2681" s="2" t="s">
        <v>38</v>
      </c>
      <c r="R2681" s="2" t="s">
        <v>39</v>
      </c>
      <c r="S2681" s="2" t="s">
        <v>38</v>
      </c>
      <c r="T2681" s="2" t="s">
        <v>38</v>
      </c>
      <c r="U2681" s="2" t="s">
        <v>38</v>
      </c>
      <c r="V2681" s="2" t="s">
        <v>38</v>
      </c>
      <c r="W2681" s="2" t="s">
        <v>38</v>
      </c>
      <c r="X2681" s="2" t="s">
        <v>38</v>
      </c>
      <c r="Y2681" s="2" t="s">
        <v>38</v>
      </c>
      <c r="Z2681" s="2" t="s">
        <v>38</v>
      </c>
      <c r="AA2681" s="2" t="s">
        <v>38</v>
      </c>
      <c r="AB2681" s="2" t="s">
        <v>38</v>
      </c>
      <c r="AC2681" s="2" t="s">
        <v>38</v>
      </c>
      <c r="AD2681" s="2" t="s">
        <v>39</v>
      </c>
      <c r="AE2681" s="2" t="s">
        <v>40</v>
      </c>
    </row>
    <row r="2682" spans="1:31" ht="409.5">
      <c r="A2682" s="2">
        <v>2712491</v>
      </c>
      <c r="B2682" s="2">
        <f>HYPERLINK("https://platform.v2.vetology.net/cases/2712491/screening-report/1?type=pdf&amp;v=v6&amp;scorecard=1&amp;secret_key=BX%25IJ%24%2F65ieZ%29f6", 2712491)</f>
        <v>2712491</v>
      </c>
      <c r="C2682" s="2">
        <f>HYPERLINK("https://platform.v2.vetology.net/report/v/final/"&amp;2712491, 2712491)</f>
        <v>2712491</v>
      </c>
      <c r="D2682" s="2" t="s">
        <v>8580</v>
      </c>
      <c r="E2682" s="2" t="s">
        <v>8581</v>
      </c>
      <c r="F2682" s="2" t="s">
        <v>43</v>
      </c>
      <c r="G2682" s="2" t="s">
        <v>100</v>
      </c>
      <c r="H2682" s="2" t="s">
        <v>8582</v>
      </c>
      <c r="I2682" s="2" t="s">
        <v>36</v>
      </c>
      <c r="J2682" s="2" t="s">
        <v>37</v>
      </c>
      <c r="K2682" s="2" t="s">
        <v>38</v>
      </c>
      <c r="L2682" s="2" t="s">
        <v>38</v>
      </c>
      <c r="M2682" s="2" t="s">
        <v>38</v>
      </c>
      <c r="N2682" s="2" t="s">
        <v>38</v>
      </c>
      <c r="O2682" s="2" t="s">
        <v>38</v>
      </c>
      <c r="P2682" s="2" t="s">
        <v>38</v>
      </c>
      <c r="Q2682" s="2" t="s">
        <v>38</v>
      </c>
      <c r="R2682" s="2" t="s">
        <v>38</v>
      </c>
      <c r="S2682" s="2" t="s">
        <v>38</v>
      </c>
      <c r="T2682" s="2" t="s">
        <v>38</v>
      </c>
      <c r="U2682" s="2" t="s">
        <v>38</v>
      </c>
      <c r="V2682" s="2" t="s">
        <v>38</v>
      </c>
      <c r="W2682" s="2" t="s">
        <v>38</v>
      </c>
      <c r="X2682" s="2" t="s">
        <v>38</v>
      </c>
      <c r="Y2682" s="2" t="s">
        <v>38</v>
      </c>
      <c r="Z2682" s="2" t="s">
        <v>38</v>
      </c>
      <c r="AA2682" s="2" t="s">
        <v>38</v>
      </c>
      <c r="AB2682" s="2" t="s">
        <v>39</v>
      </c>
      <c r="AC2682" s="2" t="s">
        <v>38</v>
      </c>
      <c r="AD2682" s="2" t="s">
        <v>38</v>
      </c>
      <c r="AE2682" s="2" t="s">
        <v>39</v>
      </c>
    </row>
    <row r="2683" spans="1:31" ht="409.5">
      <c r="A2683" s="2">
        <v>2712484</v>
      </c>
      <c r="B2683" s="2">
        <f>HYPERLINK("https://platform.v2.vetology.net/cases/2712484/screening-report/1?type=pdf&amp;v=v6&amp;scorecard=1&amp;secret_key=BX%25IJ%24%2F65ieZ%29f6", 2712484)</f>
        <v>2712484</v>
      </c>
      <c r="C2683" s="2">
        <f>HYPERLINK("https://platform.v2.vetology.net/report/v/final/"&amp;2712484, 2712484)</f>
        <v>2712484</v>
      </c>
      <c r="D2683" s="2" t="s">
        <v>8583</v>
      </c>
      <c r="E2683" s="2" t="s">
        <v>8584</v>
      </c>
      <c r="F2683" s="2" t="s">
        <v>8585</v>
      </c>
      <c r="G2683" s="2" t="s">
        <v>53</v>
      </c>
      <c r="H2683" s="2" t="s">
        <v>8586</v>
      </c>
      <c r="I2683" s="2" t="s">
        <v>36</v>
      </c>
      <c r="J2683" s="2" t="s">
        <v>37</v>
      </c>
      <c r="K2683" s="2" t="s">
        <v>38</v>
      </c>
      <c r="L2683" s="2" t="s">
        <v>38</v>
      </c>
      <c r="M2683" s="2" t="s">
        <v>38</v>
      </c>
      <c r="N2683" s="2" t="s">
        <v>38</v>
      </c>
      <c r="O2683" s="2" t="s">
        <v>38</v>
      </c>
      <c r="P2683" s="2" t="s">
        <v>38</v>
      </c>
      <c r="Q2683" s="2" t="s">
        <v>38</v>
      </c>
      <c r="R2683" s="2" t="s">
        <v>38</v>
      </c>
      <c r="S2683" s="2" t="s">
        <v>38</v>
      </c>
      <c r="T2683" s="2" t="s">
        <v>38</v>
      </c>
      <c r="U2683" s="2" t="s">
        <v>38</v>
      </c>
      <c r="V2683" s="2" t="s">
        <v>38</v>
      </c>
      <c r="W2683" s="2" t="s">
        <v>38</v>
      </c>
      <c r="X2683" s="2" t="s">
        <v>39</v>
      </c>
      <c r="Y2683" s="2" t="s">
        <v>38</v>
      </c>
      <c r="Z2683" s="2" t="s">
        <v>38</v>
      </c>
      <c r="AA2683" s="2" t="s">
        <v>38</v>
      </c>
      <c r="AB2683" s="2" t="s">
        <v>38</v>
      </c>
      <c r="AC2683" s="2" t="s">
        <v>38</v>
      </c>
      <c r="AD2683" s="2" t="s">
        <v>38</v>
      </c>
      <c r="AE2683" s="2" t="s">
        <v>40</v>
      </c>
    </row>
    <row r="2684" spans="1:31" ht="409.5">
      <c r="A2684" s="2">
        <v>2712466</v>
      </c>
      <c r="B2684" s="2">
        <f>HYPERLINK("https://platform.v2.vetology.net/cases/2712466/screening-report/1?type=pdf&amp;v=v6&amp;scorecard=1&amp;secret_key=BX%25IJ%24%2F65ieZ%29f6", 2712466)</f>
        <v>2712466</v>
      </c>
      <c r="C2684" s="2">
        <f>HYPERLINK("https://platform.v2.vetology.net/report/v/final/"&amp;2712466, 2712466)</f>
        <v>2712466</v>
      </c>
      <c r="D2684" s="2" t="s">
        <v>8587</v>
      </c>
      <c r="E2684" s="2" t="s">
        <v>8588</v>
      </c>
      <c r="F2684" s="2" t="s">
        <v>8589</v>
      </c>
      <c r="G2684" s="2" t="s">
        <v>170</v>
      </c>
      <c r="H2684" s="2" t="s">
        <v>1818</v>
      </c>
      <c r="I2684" s="2" t="s">
        <v>36</v>
      </c>
      <c r="J2684" s="2" t="s">
        <v>37</v>
      </c>
      <c r="K2684" s="2" t="s">
        <v>38</v>
      </c>
      <c r="L2684" s="2" t="s">
        <v>38</v>
      </c>
      <c r="M2684" s="2" t="s">
        <v>38</v>
      </c>
      <c r="N2684" s="2" t="s">
        <v>38</v>
      </c>
      <c r="O2684" s="2" t="s">
        <v>39</v>
      </c>
      <c r="P2684" s="2" t="s">
        <v>39</v>
      </c>
      <c r="Q2684" s="2" t="s">
        <v>38</v>
      </c>
      <c r="R2684" s="2" t="s">
        <v>38</v>
      </c>
      <c r="S2684" s="2" t="s">
        <v>38</v>
      </c>
      <c r="T2684" s="2" t="s">
        <v>38</v>
      </c>
      <c r="U2684" s="2" t="s">
        <v>39</v>
      </c>
      <c r="V2684" s="2" t="s">
        <v>38</v>
      </c>
      <c r="W2684" s="2" t="s">
        <v>38</v>
      </c>
      <c r="X2684" s="2" t="s">
        <v>38</v>
      </c>
      <c r="Y2684" s="2" t="s">
        <v>38</v>
      </c>
      <c r="Z2684" s="2" t="s">
        <v>38</v>
      </c>
      <c r="AA2684" s="2" t="s">
        <v>38</v>
      </c>
      <c r="AB2684" s="2" t="s">
        <v>38</v>
      </c>
      <c r="AC2684" s="2" t="s">
        <v>38</v>
      </c>
      <c r="AD2684" s="2" t="s">
        <v>38</v>
      </c>
      <c r="AE2684" s="2" t="s">
        <v>40</v>
      </c>
    </row>
    <row r="2685" spans="1:31" ht="409.5">
      <c r="A2685" s="2">
        <v>2712464</v>
      </c>
      <c r="B2685" s="2">
        <f>HYPERLINK("https://platform.v2.vetology.net/cases/2712464/screening-report/1?type=pdf&amp;v=v6&amp;scorecard=1&amp;secret_key=BX%25IJ%24%2F65ieZ%29f6", 2712464)</f>
        <v>2712464</v>
      </c>
      <c r="C2685" s="2">
        <f>HYPERLINK("https://platform.v2.vetology.net/report/v/final/"&amp;2712464, 2712464)</f>
        <v>2712464</v>
      </c>
      <c r="D2685" s="2" t="s">
        <v>8590</v>
      </c>
      <c r="E2685" s="2" t="s">
        <v>8591</v>
      </c>
      <c r="F2685" s="2" t="s">
        <v>7883</v>
      </c>
      <c r="G2685" s="2" t="s">
        <v>111</v>
      </c>
      <c r="H2685" s="2" t="s">
        <v>69</v>
      </c>
      <c r="I2685" s="2" t="s">
        <v>46</v>
      </c>
      <c r="J2685" s="2"/>
      <c r="K2685" s="2" t="s">
        <v>39</v>
      </c>
      <c r="L2685" s="2" t="s">
        <v>39</v>
      </c>
      <c r="M2685" s="2" t="s">
        <v>39</v>
      </c>
      <c r="N2685" s="2" t="s">
        <v>39</v>
      </c>
      <c r="O2685" s="2" t="s">
        <v>39</v>
      </c>
      <c r="P2685" s="2" t="s">
        <v>39</v>
      </c>
      <c r="Q2685" s="2" t="s">
        <v>39</v>
      </c>
      <c r="R2685" s="2" t="s">
        <v>39</v>
      </c>
      <c r="S2685" s="2" t="s">
        <v>39</v>
      </c>
      <c r="T2685" s="2" t="s">
        <v>39</v>
      </c>
      <c r="U2685" s="2" t="s">
        <v>39</v>
      </c>
      <c r="V2685" s="2" t="s">
        <v>39</v>
      </c>
      <c r="W2685" s="2" t="s">
        <v>39</v>
      </c>
      <c r="X2685" s="2" t="s">
        <v>39</v>
      </c>
      <c r="Y2685" s="2" t="s">
        <v>39</v>
      </c>
      <c r="Z2685" s="2" t="s">
        <v>39</v>
      </c>
      <c r="AA2685" s="2" t="s">
        <v>38</v>
      </c>
      <c r="AB2685" s="2" t="s">
        <v>39</v>
      </c>
      <c r="AC2685" s="2" t="s">
        <v>39</v>
      </c>
      <c r="AD2685" s="2" t="s">
        <v>39</v>
      </c>
      <c r="AE2685" s="2"/>
    </row>
    <row r="2686" spans="1:31" ht="409.5">
      <c r="A2686" s="2">
        <v>2712448</v>
      </c>
      <c r="B2686" s="2">
        <f>HYPERLINK("https://platform.v2.vetology.net/cases/2712448/screening-report/1?type=pdf&amp;v=v6&amp;scorecard=1&amp;secret_key=BX%25IJ%24%2F65ieZ%29f6", 2712448)</f>
        <v>2712448</v>
      </c>
      <c r="C2686" s="2">
        <f>HYPERLINK("https://platform.v2.vetology.net/report/v/final/"&amp;2712448, 2712448)</f>
        <v>2712448</v>
      </c>
      <c r="D2686" s="2" t="s">
        <v>8592</v>
      </c>
      <c r="E2686" s="2" t="s">
        <v>2874</v>
      </c>
      <c r="F2686" s="2" t="s">
        <v>2764</v>
      </c>
      <c r="G2686" s="2" t="s">
        <v>111</v>
      </c>
      <c r="H2686" s="2" t="s">
        <v>8593</v>
      </c>
      <c r="I2686" s="2" t="s">
        <v>73</v>
      </c>
      <c r="J2686" s="2" t="s">
        <v>74</v>
      </c>
      <c r="K2686" s="2" t="s">
        <v>38</v>
      </c>
      <c r="L2686" s="2" t="s">
        <v>38</v>
      </c>
      <c r="M2686" s="2" t="s">
        <v>38</v>
      </c>
      <c r="N2686" s="2" t="s">
        <v>38</v>
      </c>
      <c r="O2686" s="2" t="s">
        <v>38</v>
      </c>
      <c r="P2686" s="2" t="s">
        <v>38</v>
      </c>
      <c r="Q2686" s="2" t="s">
        <v>38</v>
      </c>
      <c r="R2686" s="2" t="s">
        <v>39</v>
      </c>
      <c r="S2686" s="2" t="s">
        <v>38</v>
      </c>
      <c r="T2686" s="2" t="s">
        <v>38</v>
      </c>
      <c r="U2686" s="2" t="s">
        <v>39</v>
      </c>
      <c r="V2686" s="2" t="s">
        <v>38</v>
      </c>
      <c r="W2686" s="2" t="s">
        <v>38</v>
      </c>
      <c r="X2686" s="2" t="s">
        <v>38</v>
      </c>
      <c r="Y2686" s="2" t="s">
        <v>39</v>
      </c>
      <c r="Z2686" s="2" t="s">
        <v>38</v>
      </c>
      <c r="AA2686" s="2" t="s">
        <v>38</v>
      </c>
      <c r="AB2686" s="2" t="s">
        <v>38</v>
      </c>
      <c r="AC2686" s="2" t="s">
        <v>38</v>
      </c>
      <c r="AD2686" s="2" t="s">
        <v>38</v>
      </c>
      <c r="AE2686" s="2" t="s">
        <v>39</v>
      </c>
    </row>
    <row r="2687" spans="1:31" ht="409.5">
      <c r="A2687" s="2">
        <v>2712402</v>
      </c>
      <c r="B2687" s="2">
        <f>HYPERLINK("https://platform.v2.vetology.net/cases/2712402/screening-report/1?type=pdf&amp;v=v6&amp;scorecard=1&amp;secret_key=BX%25IJ%24%2F65ieZ%29f6", 2712402)</f>
        <v>2712402</v>
      </c>
      <c r="C2687" s="2">
        <f>HYPERLINK("https://platform.v2.vetology.net/report/v/final/"&amp;2712402, 2712402)</f>
        <v>2712402</v>
      </c>
      <c r="D2687" s="2" t="s">
        <v>8594</v>
      </c>
      <c r="E2687" s="2" t="s">
        <v>7973</v>
      </c>
      <c r="F2687" s="2" t="s">
        <v>4822</v>
      </c>
      <c r="G2687" s="2" t="s">
        <v>111</v>
      </c>
      <c r="H2687" s="2" t="s">
        <v>69</v>
      </c>
      <c r="I2687" s="2" t="s">
        <v>46</v>
      </c>
      <c r="J2687" s="2"/>
      <c r="K2687" s="2" t="s">
        <v>39</v>
      </c>
      <c r="L2687" s="2" t="s">
        <v>39</v>
      </c>
      <c r="M2687" s="2" t="s">
        <v>39</v>
      </c>
      <c r="N2687" s="2" t="s">
        <v>39</v>
      </c>
      <c r="O2687" s="2" t="s">
        <v>39</v>
      </c>
      <c r="P2687" s="2" t="s">
        <v>39</v>
      </c>
      <c r="Q2687" s="2" t="s">
        <v>39</v>
      </c>
      <c r="R2687" s="2" t="s">
        <v>39</v>
      </c>
      <c r="S2687" s="2" t="s">
        <v>39</v>
      </c>
      <c r="T2687" s="2" t="s">
        <v>39</v>
      </c>
      <c r="U2687" s="2" t="s">
        <v>39</v>
      </c>
      <c r="V2687" s="2" t="s">
        <v>38</v>
      </c>
      <c r="W2687" s="2" t="s">
        <v>39</v>
      </c>
      <c r="X2687" s="2" t="s">
        <v>39</v>
      </c>
      <c r="Y2687" s="2" t="s">
        <v>39</v>
      </c>
      <c r="Z2687" s="2" t="s">
        <v>39</v>
      </c>
      <c r="AA2687" s="2" t="s">
        <v>39</v>
      </c>
      <c r="AB2687" s="2" t="s">
        <v>39</v>
      </c>
      <c r="AC2687" s="2" t="s">
        <v>39</v>
      </c>
      <c r="AD2687" s="2" t="s">
        <v>39</v>
      </c>
      <c r="AE2687" s="2" t="s">
        <v>39</v>
      </c>
    </row>
    <row r="2688" spans="1:31" ht="409.5">
      <c r="A2688" s="2">
        <v>2712360</v>
      </c>
      <c r="B2688" s="2">
        <f>HYPERLINK("https://platform.v2.vetology.net/cases/2712360/screening-report/1?type=pdf&amp;v=v6&amp;scorecard=1&amp;secret_key=BX%25IJ%24%2F65ieZ%29f6", 2712360)</f>
        <v>2712360</v>
      </c>
      <c r="C2688" s="2">
        <f>HYPERLINK("https://platform.v2.vetology.net/report/v/final/"&amp;2712360, 2712360)</f>
        <v>2712360</v>
      </c>
      <c r="D2688" s="2" t="s">
        <v>8595</v>
      </c>
      <c r="E2688" s="2" t="s">
        <v>118</v>
      </c>
      <c r="F2688" s="2" t="s">
        <v>1498</v>
      </c>
      <c r="G2688" s="2" t="s">
        <v>111</v>
      </c>
      <c r="H2688" s="2" t="s">
        <v>158</v>
      </c>
      <c r="I2688" s="2" t="s">
        <v>59</v>
      </c>
      <c r="J2688" s="2" t="s">
        <v>37</v>
      </c>
      <c r="K2688" s="2" t="s">
        <v>38</v>
      </c>
      <c r="L2688" s="2" t="s">
        <v>39</v>
      </c>
      <c r="M2688" s="2" t="s">
        <v>39</v>
      </c>
      <c r="N2688" s="2" t="s">
        <v>39</v>
      </c>
      <c r="O2688" s="2" t="s">
        <v>39</v>
      </c>
      <c r="P2688" s="2" t="s">
        <v>39</v>
      </c>
      <c r="Q2688" s="2" t="s">
        <v>39</v>
      </c>
      <c r="R2688" s="2" t="s">
        <v>39</v>
      </c>
      <c r="S2688" s="2" t="s">
        <v>39</v>
      </c>
      <c r="T2688" s="2" t="s">
        <v>39</v>
      </c>
      <c r="U2688" s="2" t="s">
        <v>39</v>
      </c>
      <c r="V2688" s="2" t="s">
        <v>38</v>
      </c>
      <c r="W2688" s="2" t="s">
        <v>39</v>
      </c>
      <c r="X2688" s="2" t="s">
        <v>39</v>
      </c>
      <c r="Y2688" s="2" t="s">
        <v>39</v>
      </c>
      <c r="Z2688" s="2" t="s">
        <v>38</v>
      </c>
      <c r="AA2688" s="2" t="s">
        <v>39</v>
      </c>
      <c r="AB2688" s="2" t="s">
        <v>39</v>
      </c>
      <c r="AC2688" s="2" t="s">
        <v>39</v>
      </c>
      <c r="AD2688" s="2" t="s">
        <v>39</v>
      </c>
      <c r="AE2688" s="2" t="s">
        <v>39</v>
      </c>
    </row>
    <row r="2689" spans="1:31" ht="409.5">
      <c r="A2689" s="2">
        <v>2712358</v>
      </c>
      <c r="B2689" s="2">
        <f>HYPERLINK("https://platform.v2.vetology.net/cases/2712358/screening-report/1?type=pdf&amp;v=v6&amp;scorecard=1&amp;secret_key=BX%25IJ%24%2F65ieZ%29f6", 2712358)</f>
        <v>2712358</v>
      </c>
      <c r="C2689" s="2">
        <f>HYPERLINK("https://platform.v2.vetology.net/report/v/final/"&amp;2712358, 2712358)</f>
        <v>2712358</v>
      </c>
      <c r="D2689" s="2" t="s">
        <v>8596</v>
      </c>
      <c r="E2689" s="2" t="s">
        <v>8597</v>
      </c>
      <c r="F2689" s="2"/>
      <c r="G2689" s="2" t="s">
        <v>81</v>
      </c>
      <c r="H2689" s="2" t="s">
        <v>8598</v>
      </c>
      <c r="I2689" s="2" t="s">
        <v>36</v>
      </c>
      <c r="J2689" s="2" t="s">
        <v>37</v>
      </c>
      <c r="K2689" s="2" t="s">
        <v>39</v>
      </c>
      <c r="L2689" s="2" t="s">
        <v>38</v>
      </c>
      <c r="M2689" s="2" t="s">
        <v>38</v>
      </c>
      <c r="N2689" s="2" t="s">
        <v>38</v>
      </c>
      <c r="O2689" s="2" t="s">
        <v>38</v>
      </c>
      <c r="P2689" s="2" t="s">
        <v>39</v>
      </c>
      <c r="Q2689" s="2" t="s">
        <v>39</v>
      </c>
      <c r="R2689" s="2" t="s">
        <v>38</v>
      </c>
      <c r="S2689" s="2" t="s">
        <v>39</v>
      </c>
      <c r="T2689" s="2" t="s">
        <v>39</v>
      </c>
      <c r="U2689" s="2" t="s">
        <v>38</v>
      </c>
      <c r="V2689" s="2" t="s">
        <v>38</v>
      </c>
      <c r="W2689" s="2" t="s">
        <v>39</v>
      </c>
      <c r="X2689" s="2" t="s">
        <v>39</v>
      </c>
      <c r="Y2689" s="2" t="s">
        <v>39</v>
      </c>
      <c r="Z2689" s="2" t="s">
        <v>38</v>
      </c>
      <c r="AA2689" s="2" t="s">
        <v>38</v>
      </c>
      <c r="AB2689" s="2" t="s">
        <v>39</v>
      </c>
      <c r="AC2689" s="2" t="s">
        <v>38</v>
      </c>
      <c r="AD2689" s="2" t="s">
        <v>39</v>
      </c>
      <c r="AE2689" s="2"/>
    </row>
    <row r="2690" spans="1:31" ht="409.5">
      <c r="A2690" s="2">
        <v>2712319</v>
      </c>
      <c r="B2690" s="2">
        <f>HYPERLINK("https://platform.v2.vetology.net/cases/2712319/screening-report/1?type=pdf&amp;v=v6&amp;scorecard=1&amp;secret_key=BX%25IJ%24%2F65ieZ%29f6", 2712319)</f>
        <v>2712319</v>
      </c>
      <c r="C2690" s="2">
        <f>HYPERLINK("https://platform.v2.vetology.net/report/v/final/"&amp;2712319, 2712319)</f>
        <v>2712319</v>
      </c>
      <c r="D2690" s="2" t="s">
        <v>8599</v>
      </c>
      <c r="E2690" s="2" t="s">
        <v>8600</v>
      </c>
      <c r="F2690" s="2" t="s">
        <v>43</v>
      </c>
      <c r="G2690" s="2" t="s">
        <v>100</v>
      </c>
      <c r="H2690" s="2" t="s">
        <v>419</v>
      </c>
      <c r="I2690" s="2" t="s">
        <v>36</v>
      </c>
      <c r="J2690" s="2" t="s">
        <v>37</v>
      </c>
      <c r="K2690" s="2" t="s">
        <v>39</v>
      </c>
      <c r="L2690" s="2" t="s">
        <v>39</v>
      </c>
      <c r="M2690" s="2" t="s">
        <v>38</v>
      </c>
      <c r="N2690" s="2" t="s">
        <v>39</v>
      </c>
      <c r="O2690" s="2" t="s">
        <v>39</v>
      </c>
      <c r="P2690" s="2" t="s">
        <v>39</v>
      </c>
      <c r="Q2690" s="2" t="s">
        <v>39</v>
      </c>
      <c r="R2690" s="2" t="s">
        <v>38</v>
      </c>
      <c r="S2690" s="2" t="s">
        <v>39</v>
      </c>
      <c r="T2690" s="2" t="s">
        <v>38</v>
      </c>
      <c r="U2690" s="2" t="s">
        <v>39</v>
      </c>
      <c r="V2690" s="2" t="s">
        <v>39</v>
      </c>
      <c r="W2690" s="2" t="s">
        <v>38</v>
      </c>
      <c r="X2690" s="2" t="s">
        <v>38</v>
      </c>
      <c r="Y2690" s="2" t="s">
        <v>39</v>
      </c>
      <c r="Z2690" s="2" t="s">
        <v>38</v>
      </c>
      <c r="AA2690" s="2" t="s">
        <v>39</v>
      </c>
      <c r="AB2690" s="2" t="s">
        <v>39</v>
      </c>
      <c r="AC2690" s="2" t="s">
        <v>39</v>
      </c>
      <c r="AD2690" s="2" t="s">
        <v>39</v>
      </c>
      <c r="AE2690" s="2" t="s">
        <v>39</v>
      </c>
    </row>
    <row r="2691" spans="1:31" ht="409.5">
      <c r="A2691" s="2">
        <v>2712313</v>
      </c>
      <c r="B2691" s="2">
        <f>HYPERLINK("https://platform.v2.vetology.net/cases/2712313/screening-report/1?type=pdf&amp;v=v6&amp;scorecard=1&amp;secret_key=BX%25IJ%24%2F65ieZ%29f6", 2712313)</f>
        <v>2712313</v>
      </c>
      <c r="C2691" s="2">
        <f>HYPERLINK("https://platform.v2.vetology.net/report/v/final/"&amp;2712313, 2712313)</f>
        <v>2712313</v>
      </c>
      <c r="D2691" s="2" t="s">
        <v>8601</v>
      </c>
      <c r="E2691" s="2" t="s">
        <v>8602</v>
      </c>
      <c r="F2691" s="2" t="s">
        <v>8603</v>
      </c>
      <c r="G2691" s="2" t="s">
        <v>53</v>
      </c>
      <c r="H2691" s="2" t="s">
        <v>8604</v>
      </c>
      <c r="I2691" s="2" t="s">
        <v>257</v>
      </c>
      <c r="J2691" s="2" t="s">
        <v>74</v>
      </c>
      <c r="K2691" s="2" t="s">
        <v>38</v>
      </c>
      <c r="L2691" s="2" t="s">
        <v>38</v>
      </c>
      <c r="M2691" s="2" t="s">
        <v>38</v>
      </c>
      <c r="N2691" s="2" t="s">
        <v>38</v>
      </c>
      <c r="O2691" s="2" t="s">
        <v>38</v>
      </c>
      <c r="P2691" s="2" t="s">
        <v>38</v>
      </c>
      <c r="Q2691" s="2" t="s">
        <v>38</v>
      </c>
      <c r="R2691" s="2" t="s">
        <v>38</v>
      </c>
      <c r="S2691" s="2" t="s">
        <v>38</v>
      </c>
      <c r="T2691" s="2" t="s">
        <v>38</v>
      </c>
      <c r="U2691" s="2" t="s">
        <v>38</v>
      </c>
      <c r="V2691" s="2" t="s">
        <v>38</v>
      </c>
      <c r="W2691" s="2" t="s">
        <v>38</v>
      </c>
      <c r="X2691" s="2" t="s">
        <v>38</v>
      </c>
      <c r="Y2691" s="2" t="s">
        <v>39</v>
      </c>
      <c r="Z2691" s="2" t="s">
        <v>38</v>
      </c>
      <c r="AA2691" s="2" t="s">
        <v>38</v>
      </c>
      <c r="AB2691" s="2" t="s">
        <v>39</v>
      </c>
      <c r="AC2691" s="2" t="s">
        <v>38</v>
      </c>
      <c r="AD2691" s="2" t="s">
        <v>38</v>
      </c>
      <c r="AE2691" s="2" t="s">
        <v>40</v>
      </c>
    </row>
    <row r="2692" spans="1:31" ht="409.5">
      <c r="A2692" s="2">
        <v>2712300</v>
      </c>
      <c r="B2692" s="2">
        <f>HYPERLINK("https://platform.v2.vetology.net/cases/2712300/screening-report/1?type=pdf&amp;v=v6&amp;scorecard=1&amp;secret_key=BX%25IJ%24%2F65ieZ%29f6", 2712300)</f>
        <v>2712300</v>
      </c>
      <c r="C2692" s="2">
        <f>HYPERLINK("https://platform.v2.vetology.net/report/v/final/"&amp;2712300, 2712300)</f>
        <v>2712300</v>
      </c>
      <c r="D2692" s="2" t="s">
        <v>8605</v>
      </c>
      <c r="E2692" s="2" t="s">
        <v>8606</v>
      </c>
      <c r="F2692" s="2" t="s">
        <v>8607</v>
      </c>
      <c r="G2692" s="2" t="s">
        <v>111</v>
      </c>
      <c r="H2692" s="2" t="s">
        <v>8608</v>
      </c>
      <c r="I2692" s="2" t="s">
        <v>36</v>
      </c>
      <c r="J2692" s="2" t="s">
        <v>37</v>
      </c>
      <c r="K2692" s="2" t="s">
        <v>38</v>
      </c>
      <c r="L2692" s="2" t="s">
        <v>38</v>
      </c>
      <c r="M2692" s="2" t="s">
        <v>38</v>
      </c>
      <c r="N2692" s="2" t="s">
        <v>38</v>
      </c>
      <c r="O2692" s="2" t="s">
        <v>38</v>
      </c>
      <c r="P2692" s="2" t="s">
        <v>39</v>
      </c>
      <c r="Q2692" s="2" t="s">
        <v>39</v>
      </c>
      <c r="R2692" s="2" t="s">
        <v>38</v>
      </c>
      <c r="S2692" s="2" t="s">
        <v>38</v>
      </c>
      <c r="T2692" s="2" t="s">
        <v>38</v>
      </c>
      <c r="U2692" s="2" t="s">
        <v>38</v>
      </c>
      <c r="V2692" s="2" t="s">
        <v>38</v>
      </c>
      <c r="W2692" s="2" t="s">
        <v>38</v>
      </c>
      <c r="X2692" s="2" t="s">
        <v>39</v>
      </c>
      <c r="Y2692" s="2" t="s">
        <v>39</v>
      </c>
      <c r="Z2692" s="2" t="s">
        <v>38</v>
      </c>
      <c r="AA2692" s="2" t="s">
        <v>38</v>
      </c>
      <c r="AB2692" s="2" t="s">
        <v>39</v>
      </c>
      <c r="AC2692" s="2" t="s">
        <v>38</v>
      </c>
      <c r="AD2692" s="2" t="s">
        <v>38</v>
      </c>
      <c r="AE2692" s="2" t="s">
        <v>39</v>
      </c>
    </row>
    <row r="2693" spans="1:31" ht="409.5">
      <c r="A2693" s="2">
        <v>2712272</v>
      </c>
      <c r="B2693" s="2">
        <f>HYPERLINK("https://platform.v2.vetology.net/cases/2712272/screening-report/1?type=pdf&amp;v=v6&amp;scorecard=1&amp;secret_key=BX%25IJ%24%2F65ieZ%29f6", 2712272)</f>
        <v>2712272</v>
      </c>
      <c r="C2693" s="2">
        <f>HYPERLINK("https://platform.v2.vetology.net/report/v/final/"&amp;2712272, 2712272)</f>
        <v>2712272</v>
      </c>
      <c r="D2693" s="2" t="s">
        <v>8609</v>
      </c>
      <c r="E2693" s="2" t="s">
        <v>8610</v>
      </c>
      <c r="F2693" s="2" t="s">
        <v>243</v>
      </c>
      <c r="G2693" s="2" t="s">
        <v>127</v>
      </c>
      <c r="H2693" s="2" t="s">
        <v>8611</v>
      </c>
      <c r="I2693" s="2" t="s">
        <v>73</v>
      </c>
      <c r="J2693" s="2" t="s">
        <v>74</v>
      </c>
      <c r="K2693" s="2" t="s">
        <v>38</v>
      </c>
      <c r="L2693" s="2" t="s">
        <v>39</v>
      </c>
      <c r="M2693" s="2" t="s">
        <v>38</v>
      </c>
      <c r="N2693" s="2" t="s">
        <v>39</v>
      </c>
      <c r="O2693" s="2" t="s">
        <v>38</v>
      </c>
      <c r="P2693" s="2" t="s">
        <v>39</v>
      </c>
      <c r="Q2693" s="2" t="s">
        <v>38</v>
      </c>
      <c r="R2693" s="2" t="s">
        <v>38</v>
      </c>
      <c r="S2693" s="2" t="s">
        <v>38</v>
      </c>
      <c r="T2693" s="2" t="s">
        <v>38</v>
      </c>
      <c r="U2693" s="2" t="s">
        <v>39</v>
      </c>
      <c r="V2693" s="2" t="s">
        <v>38</v>
      </c>
      <c r="W2693" s="2" t="s">
        <v>38</v>
      </c>
      <c r="X2693" s="2" t="s">
        <v>38</v>
      </c>
      <c r="Y2693" s="2" t="s">
        <v>39</v>
      </c>
      <c r="Z2693" s="2" t="s">
        <v>38</v>
      </c>
      <c r="AA2693" s="2" t="s">
        <v>38</v>
      </c>
      <c r="AB2693" s="2" t="s">
        <v>38</v>
      </c>
      <c r="AC2693" s="2" t="s">
        <v>38</v>
      </c>
      <c r="AD2693" s="2" t="s">
        <v>38</v>
      </c>
      <c r="AE2693" s="2" t="s">
        <v>39</v>
      </c>
    </row>
    <row r="2694" spans="1:31" ht="409.5">
      <c r="A2694" s="2">
        <v>2712260</v>
      </c>
      <c r="B2694" s="2">
        <f>HYPERLINK("https://platform.v2.vetology.net/cases/2712260/screening-report/1?type=pdf&amp;v=v6&amp;scorecard=1&amp;secret_key=BX%25IJ%24%2F65ieZ%29f6", 2712260)</f>
        <v>2712260</v>
      </c>
      <c r="C2694" s="2">
        <f>HYPERLINK("https://platform.v2.vetology.net/report/v/final/"&amp;2712260, 2712260)</f>
        <v>2712260</v>
      </c>
      <c r="D2694" s="2" t="s">
        <v>8612</v>
      </c>
      <c r="E2694" s="2" t="s">
        <v>8613</v>
      </c>
      <c r="F2694" s="2" t="s">
        <v>8614</v>
      </c>
      <c r="G2694" s="2" t="s">
        <v>53</v>
      </c>
      <c r="H2694" s="2" t="s">
        <v>8615</v>
      </c>
      <c r="I2694" s="2" t="s">
        <v>36</v>
      </c>
      <c r="J2694" s="2" t="s">
        <v>37</v>
      </c>
      <c r="K2694" s="2" t="s">
        <v>38</v>
      </c>
      <c r="L2694" s="2" t="s">
        <v>38</v>
      </c>
      <c r="M2694" s="2" t="s">
        <v>38</v>
      </c>
      <c r="N2694" s="2" t="s">
        <v>38</v>
      </c>
      <c r="O2694" s="2" t="s">
        <v>38</v>
      </c>
      <c r="P2694" s="2" t="s">
        <v>39</v>
      </c>
      <c r="Q2694" s="2" t="s">
        <v>39</v>
      </c>
      <c r="R2694" s="2" t="s">
        <v>38</v>
      </c>
      <c r="S2694" s="2" t="s">
        <v>38</v>
      </c>
      <c r="T2694" s="2" t="s">
        <v>38</v>
      </c>
      <c r="U2694" s="2" t="s">
        <v>38</v>
      </c>
      <c r="V2694" s="2" t="s">
        <v>38</v>
      </c>
      <c r="W2694" s="2" t="s">
        <v>38</v>
      </c>
      <c r="X2694" s="2" t="s">
        <v>39</v>
      </c>
      <c r="Y2694" s="2" t="s">
        <v>39</v>
      </c>
      <c r="Z2694" s="2" t="s">
        <v>38</v>
      </c>
      <c r="AA2694" s="2" t="s">
        <v>38</v>
      </c>
      <c r="AB2694" s="2" t="s">
        <v>39</v>
      </c>
      <c r="AC2694" s="2" t="s">
        <v>38</v>
      </c>
      <c r="AD2694" s="2" t="s">
        <v>38</v>
      </c>
      <c r="AE2694" s="2" t="s">
        <v>40</v>
      </c>
    </row>
    <row r="2695" spans="1:31" ht="409.5">
      <c r="A2695" s="2">
        <v>2712257</v>
      </c>
      <c r="B2695" s="2">
        <f>HYPERLINK("https://platform.v2.vetology.net/cases/2712257/screening-report/1?type=pdf&amp;v=v6&amp;scorecard=1&amp;secret_key=BX%25IJ%24%2F65ieZ%29f6", 2712257)</f>
        <v>2712257</v>
      </c>
      <c r="C2695" s="2">
        <f>HYPERLINK("https://platform.v2.vetology.net/report/v/final/"&amp;2712257, 2712257)</f>
        <v>2712257</v>
      </c>
      <c r="D2695" s="2" t="s">
        <v>8616</v>
      </c>
      <c r="E2695" s="2" t="s">
        <v>8617</v>
      </c>
      <c r="F2695" s="2" t="s">
        <v>8618</v>
      </c>
      <c r="G2695" s="2" t="s">
        <v>170</v>
      </c>
      <c r="H2695" s="2" t="s">
        <v>8619</v>
      </c>
      <c r="I2695" s="2" t="s">
        <v>129</v>
      </c>
      <c r="J2695" s="2" t="s">
        <v>74</v>
      </c>
      <c r="K2695" s="2" t="s">
        <v>39</v>
      </c>
      <c r="L2695" s="2" t="s">
        <v>39</v>
      </c>
      <c r="M2695" s="2" t="s">
        <v>38</v>
      </c>
      <c r="N2695" s="2" t="s">
        <v>39</v>
      </c>
      <c r="O2695" s="2" t="s">
        <v>38</v>
      </c>
      <c r="P2695" s="2" t="s">
        <v>38</v>
      </c>
      <c r="Q2695" s="2" t="s">
        <v>38</v>
      </c>
      <c r="R2695" s="2" t="s">
        <v>39</v>
      </c>
      <c r="S2695" s="2" t="s">
        <v>39</v>
      </c>
      <c r="T2695" s="2" t="s">
        <v>38</v>
      </c>
      <c r="U2695" s="2" t="s">
        <v>39</v>
      </c>
      <c r="V2695" s="2" t="s">
        <v>39</v>
      </c>
      <c r="W2695" s="2" t="s">
        <v>38</v>
      </c>
      <c r="X2695" s="2" t="s">
        <v>38</v>
      </c>
      <c r="Y2695" s="2" t="s">
        <v>39</v>
      </c>
      <c r="Z2695" s="2" t="s">
        <v>39</v>
      </c>
      <c r="AA2695" s="2" t="s">
        <v>39</v>
      </c>
      <c r="AB2695" s="2" t="s">
        <v>38</v>
      </c>
      <c r="AC2695" s="2" t="s">
        <v>39</v>
      </c>
      <c r="AD2695" s="2" t="s">
        <v>39</v>
      </c>
      <c r="AE2695" s="2" t="s">
        <v>40</v>
      </c>
    </row>
    <row r="2696" spans="1:31" ht="409.5">
      <c r="A2696" s="2">
        <v>2712197</v>
      </c>
      <c r="B2696" s="2">
        <f>HYPERLINK("https://platform.v2.vetology.net/cases/2712197/screening-report/1?type=pdf&amp;v=v6&amp;scorecard=1&amp;secret_key=BX%25IJ%24%2F65ieZ%29f6", 2712197)</f>
        <v>2712197</v>
      </c>
      <c r="C2696" s="2">
        <f>HYPERLINK("https://platform.v2.vetology.net/report/v/final/"&amp;2712197, 2712197)</f>
        <v>2712197</v>
      </c>
      <c r="D2696" s="2" t="s">
        <v>8620</v>
      </c>
      <c r="E2696" s="2" t="s">
        <v>8621</v>
      </c>
      <c r="F2696" s="2" t="s">
        <v>8622</v>
      </c>
      <c r="G2696" s="2" t="s">
        <v>34</v>
      </c>
      <c r="H2696" s="2" t="s">
        <v>8623</v>
      </c>
      <c r="I2696" s="2" t="s">
        <v>36</v>
      </c>
      <c r="J2696" s="2" t="s">
        <v>37</v>
      </c>
      <c r="K2696" s="2" t="s">
        <v>38</v>
      </c>
      <c r="L2696" s="2" t="s">
        <v>38</v>
      </c>
      <c r="M2696" s="2" t="s">
        <v>38</v>
      </c>
      <c r="N2696" s="2" t="s">
        <v>38</v>
      </c>
      <c r="O2696" s="2" t="s">
        <v>38</v>
      </c>
      <c r="P2696" s="2" t="s">
        <v>39</v>
      </c>
      <c r="Q2696" s="2" t="s">
        <v>39</v>
      </c>
      <c r="R2696" s="2" t="s">
        <v>38</v>
      </c>
      <c r="S2696" s="2" t="s">
        <v>38</v>
      </c>
      <c r="T2696" s="2" t="s">
        <v>38</v>
      </c>
      <c r="U2696" s="2" t="s">
        <v>38</v>
      </c>
      <c r="V2696" s="2" t="s">
        <v>38</v>
      </c>
      <c r="W2696" s="2" t="s">
        <v>38</v>
      </c>
      <c r="X2696" s="2" t="s">
        <v>39</v>
      </c>
      <c r="Y2696" s="2" t="s">
        <v>38</v>
      </c>
      <c r="Z2696" s="2" t="s">
        <v>38</v>
      </c>
      <c r="AA2696" s="2" t="s">
        <v>38</v>
      </c>
      <c r="AB2696" s="2" t="s">
        <v>39</v>
      </c>
      <c r="AC2696" s="2" t="s">
        <v>38</v>
      </c>
      <c r="AD2696" s="2" t="s">
        <v>38</v>
      </c>
      <c r="AE2696" s="2" t="s">
        <v>40</v>
      </c>
    </row>
    <row r="2697" spans="1:31" ht="409.5">
      <c r="A2697" s="2">
        <v>2712196</v>
      </c>
      <c r="B2697" s="2">
        <f>HYPERLINK("https://platform.v2.vetology.net/cases/2712196/screening-report/1?type=pdf&amp;v=v6&amp;scorecard=1&amp;secret_key=BX%25IJ%24%2F65ieZ%29f6", 2712196)</f>
        <v>2712196</v>
      </c>
      <c r="C2697" s="2">
        <f>HYPERLINK("https://platform.v2.vetology.net/report/v/final/"&amp;2712196, 2712196)</f>
        <v>2712196</v>
      </c>
      <c r="D2697" s="2" t="s">
        <v>8624</v>
      </c>
      <c r="E2697" s="2" t="s">
        <v>8625</v>
      </c>
      <c r="F2697" s="2" t="s">
        <v>8626</v>
      </c>
      <c r="G2697" s="2" t="s">
        <v>34</v>
      </c>
      <c r="H2697" s="2" t="s">
        <v>8627</v>
      </c>
      <c r="I2697" s="2" t="s">
        <v>129</v>
      </c>
      <c r="J2697" s="2" t="s">
        <v>74</v>
      </c>
      <c r="K2697" s="2" t="s">
        <v>39</v>
      </c>
      <c r="L2697" s="2" t="s">
        <v>39</v>
      </c>
      <c r="M2697" s="2" t="s">
        <v>38</v>
      </c>
      <c r="N2697" s="2" t="s">
        <v>38</v>
      </c>
      <c r="O2697" s="2" t="s">
        <v>38</v>
      </c>
      <c r="P2697" s="2" t="s">
        <v>38</v>
      </c>
      <c r="Q2697" s="2" t="s">
        <v>38</v>
      </c>
      <c r="R2697" s="2" t="s">
        <v>39</v>
      </c>
      <c r="S2697" s="2" t="s">
        <v>38</v>
      </c>
      <c r="T2697" s="2" t="s">
        <v>38</v>
      </c>
      <c r="U2697" s="2" t="s">
        <v>39</v>
      </c>
      <c r="V2697" s="2" t="s">
        <v>39</v>
      </c>
      <c r="W2697" s="2" t="s">
        <v>38</v>
      </c>
      <c r="X2697" s="2" t="s">
        <v>38</v>
      </c>
      <c r="Y2697" s="2" t="s">
        <v>39</v>
      </c>
      <c r="Z2697" s="2" t="s">
        <v>38</v>
      </c>
      <c r="AA2697" s="2" t="s">
        <v>38</v>
      </c>
      <c r="AB2697" s="2" t="s">
        <v>38</v>
      </c>
      <c r="AC2697" s="2" t="s">
        <v>38</v>
      </c>
      <c r="AD2697" s="2" t="s">
        <v>38</v>
      </c>
      <c r="AE2697" s="2" t="s">
        <v>40</v>
      </c>
    </row>
    <row r="2698" spans="1:31" ht="409.5">
      <c r="A2698" s="2">
        <v>2712134</v>
      </c>
      <c r="B2698" s="2">
        <f>HYPERLINK("https://platform.v2.vetology.net/cases/2712134/screening-report/1?type=pdf&amp;v=v6&amp;scorecard=1&amp;secret_key=BX%25IJ%24%2F65ieZ%29f6", 2712134)</f>
        <v>2712134</v>
      </c>
      <c r="C2698" s="2">
        <f>HYPERLINK("https://platform.v2.vetology.net/report/v/final/"&amp;2712134, 2712134)</f>
        <v>2712134</v>
      </c>
      <c r="D2698" s="2" t="s">
        <v>8628</v>
      </c>
      <c r="E2698" s="2" t="s">
        <v>8629</v>
      </c>
      <c r="F2698" s="2" t="s">
        <v>8630</v>
      </c>
      <c r="G2698" s="2" t="s">
        <v>111</v>
      </c>
      <c r="H2698" s="2" t="s">
        <v>8631</v>
      </c>
      <c r="I2698" s="2" t="s">
        <v>73</v>
      </c>
      <c r="J2698" s="2" t="s">
        <v>74</v>
      </c>
      <c r="K2698" s="2" t="s">
        <v>38</v>
      </c>
      <c r="L2698" s="2" t="s">
        <v>38</v>
      </c>
      <c r="M2698" s="2" t="s">
        <v>38</v>
      </c>
      <c r="N2698" s="2" t="s">
        <v>38</v>
      </c>
      <c r="O2698" s="2" t="s">
        <v>38</v>
      </c>
      <c r="P2698" s="2" t="s">
        <v>38</v>
      </c>
      <c r="Q2698" s="2" t="s">
        <v>38</v>
      </c>
      <c r="R2698" s="2" t="s">
        <v>38</v>
      </c>
      <c r="S2698" s="2" t="s">
        <v>38</v>
      </c>
      <c r="T2698" s="2" t="s">
        <v>38</v>
      </c>
      <c r="U2698" s="2" t="s">
        <v>38</v>
      </c>
      <c r="V2698" s="2" t="s">
        <v>38</v>
      </c>
      <c r="W2698" s="2" t="s">
        <v>38</v>
      </c>
      <c r="X2698" s="2" t="s">
        <v>38</v>
      </c>
      <c r="Y2698" s="2" t="s">
        <v>39</v>
      </c>
      <c r="Z2698" s="2" t="s">
        <v>38</v>
      </c>
      <c r="AA2698" s="2" t="s">
        <v>38</v>
      </c>
      <c r="AB2698" s="2" t="s">
        <v>38</v>
      </c>
      <c r="AC2698" s="2" t="s">
        <v>38</v>
      </c>
      <c r="AD2698" s="2" t="s">
        <v>38</v>
      </c>
      <c r="AE2698" s="2" t="s">
        <v>40</v>
      </c>
    </row>
    <row r="2699" spans="1:31" ht="409.5">
      <c r="A2699" s="2">
        <v>2712107</v>
      </c>
      <c r="B2699" s="2">
        <f>HYPERLINK("https://platform.v2.vetology.net/cases/2712107/screening-report/1?type=pdf&amp;v=v6&amp;scorecard=1&amp;secret_key=BX%25IJ%24%2F65ieZ%29f6", 2712107)</f>
        <v>2712107</v>
      </c>
      <c r="C2699" s="2">
        <f>HYPERLINK("https://platform.v2.vetology.net/report/v/final/"&amp;2712107, 2712107)</f>
        <v>2712107</v>
      </c>
      <c r="D2699" s="2" t="s">
        <v>8632</v>
      </c>
      <c r="E2699" s="2" t="s">
        <v>8633</v>
      </c>
      <c r="F2699" s="2"/>
      <c r="G2699" s="2" t="s">
        <v>81</v>
      </c>
      <c r="H2699" s="2" t="s">
        <v>2369</v>
      </c>
      <c r="I2699" s="2" t="s">
        <v>36</v>
      </c>
      <c r="J2699" s="2" t="s">
        <v>37</v>
      </c>
      <c r="K2699" s="2" t="s">
        <v>38</v>
      </c>
      <c r="L2699" s="2" t="s">
        <v>38</v>
      </c>
      <c r="M2699" s="2" t="s">
        <v>38</v>
      </c>
      <c r="N2699" s="2" t="s">
        <v>38</v>
      </c>
      <c r="O2699" s="2" t="s">
        <v>38</v>
      </c>
      <c r="P2699" s="2" t="s">
        <v>39</v>
      </c>
      <c r="Q2699" s="2" t="s">
        <v>39</v>
      </c>
      <c r="R2699" s="2" t="s">
        <v>38</v>
      </c>
      <c r="S2699" s="2" t="s">
        <v>38</v>
      </c>
      <c r="T2699" s="2" t="s">
        <v>38</v>
      </c>
      <c r="U2699" s="2" t="s">
        <v>38</v>
      </c>
      <c r="V2699" s="2" t="s">
        <v>38</v>
      </c>
      <c r="W2699" s="2" t="s">
        <v>38</v>
      </c>
      <c r="X2699" s="2" t="s">
        <v>39</v>
      </c>
      <c r="Y2699" s="2" t="s">
        <v>39</v>
      </c>
      <c r="Z2699" s="2" t="s">
        <v>38</v>
      </c>
      <c r="AA2699" s="2" t="s">
        <v>38</v>
      </c>
      <c r="AB2699" s="2" t="s">
        <v>39</v>
      </c>
      <c r="AC2699" s="2" t="s">
        <v>38</v>
      </c>
      <c r="AD2699" s="2" t="s">
        <v>38</v>
      </c>
      <c r="AE2699" s="2" t="s">
        <v>39</v>
      </c>
    </row>
    <row r="2700" spans="1:31" ht="409.5">
      <c r="A2700" s="2">
        <v>2712105</v>
      </c>
      <c r="B2700" s="2">
        <f>HYPERLINK("https://platform.v2.vetology.net/cases/2712105/screening-report/1?type=pdf&amp;v=v6&amp;scorecard=1&amp;secret_key=BX%25IJ%24%2F65ieZ%29f6", 2712105)</f>
        <v>2712105</v>
      </c>
      <c r="C2700" s="2">
        <f>HYPERLINK("https://platform.v2.vetology.net/report/v/final/"&amp;2712105, 2712105)</f>
        <v>2712105</v>
      </c>
      <c r="D2700" s="2" t="s">
        <v>8634</v>
      </c>
      <c r="E2700" s="2" t="s">
        <v>8635</v>
      </c>
      <c r="F2700" s="2" t="s">
        <v>43</v>
      </c>
      <c r="G2700" s="2" t="s">
        <v>507</v>
      </c>
      <c r="H2700" s="2" t="s">
        <v>8636</v>
      </c>
      <c r="I2700" s="2" t="s">
        <v>257</v>
      </c>
      <c r="J2700" s="2" t="s">
        <v>74</v>
      </c>
      <c r="K2700" s="2" t="s">
        <v>38</v>
      </c>
      <c r="L2700" s="2" t="s">
        <v>38</v>
      </c>
      <c r="M2700" s="2" t="s">
        <v>38</v>
      </c>
      <c r="N2700" s="2" t="s">
        <v>38</v>
      </c>
      <c r="O2700" s="2" t="s">
        <v>38</v>
      </c>
      <c r="P2700" s="2" t="s">
        <v>38</v>
      </c>
      <c r="Q2700" s="2" t="s">
        <v>38</v>
      </c>
      <c r="R2700" s="2" t="s">
        <v>38</v>
      </c>
      <c r="S2700" s="2" t="s">
        <v>38</v>
      </c>
      <c r="T2700" s="2" t="s">
        <v>39</v>
      </c>
      <c r="U2700" s="2" t="s">
        <v>38</v>
      </c>
      <c r="V2700" s="2" t="s">
        <v>38</v>
      </c>
      <c r="W2700" s="2" t="s">
        <v>38</v>
      </c>
      <c r="X2700" s="2" t="s">
        <v>38</v>
      </c>
      <c r="Y2700" s="2" t="s">
        <v>38</v>
      </c>
      <c r="Z2700" s="2" t="s">
        <v>38</v>
      </c>
      <c r="AA2700" s="2" t="s">
        <v>38</v>
      </c>
      <c r="AB2700" s="2" t="s">
        <v>38</v>
      </c>
      <c r="AC2700" s="2" t="s">
        <v>38</v>
      </c>
      <c r="AD2700" s="2" t="s">
        <v>38</v>
      </c>
      <c r="AE2700" s="2" t="s">
        <v>39</v>
      </c>
    </row>
    <row r="2701" spans="1:31" ht="409.5">
      <c r="A2701" s="2">
        <v>2712103</v>
      </c>
      <c r="B2701" s="2">
        <f>HYPERLINK("https://platform.v2.vetology.net/cases/2712103/screening-report/1?type=pdf&amp;v=v6&amp;scorecard=1&amp;secret_key=BX%25IJ%24%2F65ieZ%29f6", 2712103)</f>
        <v>2712103</v>
      </c>
      <c r="C2701" s="2">
        <f>HYPERLINK("https://platform.v2.vetology.net/report/v/final/"&amp;2712103, 2712103)</f>
        <v>2712103</v>
      </c>
      <c r="D2701" s="2" t="s">
        <v>302</v>
      </c>
      <c r="E2701" s="2" t="s">
        <v>99</v>
      </c>
      <c r="F2701" s="2"/>
      <c r="G2701" s="2" t="s">
        <v>100</v>
      </c>
      <c r="H2701" s="2" t="s">
        <v>2386</v>
      </c>
      <c r="I2701" s="2" t="s">
        <v>59</v>
      </c>
      <c r="J2701" s="2" t="s">
        <v>37</v>
      </c>
      <c r="K2701" s="2" t="s">
        <v>38</v>
      </c>
      <c r="L2701" s="2" t="s">
        <v>39</v>
      </c>
      <c r="M2701" s="2" t="s">
        <v>39</v>
      </c>
      <c r="N2701" s="2" t="s">
        <v>39</v>
      </c>
      <c r="O2701" s="2" t="s">
        <v>39</v>
      </c>
      <c r="P2701" s="2" t="s">
        <v>39</v>
      </c>
      <c r="Q2701" s="2" t="s">
        <v>39</v>
      </c>
      <c r="R2701" s="2" t="s">
        <v>38</v>
      </c>
      <c r="S2701" s="2" t="s">
        <v>38</v>
      </c>
      <c r="T2701" s="2" t="s">
        <v>39</v>
      </c>
      <c r="U2701" s="2" t="s">
        <v>39</v>
      </c>
      <c r="V2701" s="2" t="s">
        <v>38</v>
      </c>
      <c r="W2701" s="2" t="s">
        <v>38</v>
      </c>
      <c r="X2701" s="2" t="s">
        <v>39</v>
      </c>
      <c r="Y2701" s="2" t="s">
        <v>39</v>
      </c>
      <c r="Z2701" s="2" t="s">
        <v>39</v>
      </c>
      <c r="AA2701" s="2" t="s">
        <v>39</v>
      </c>
      <c r="AB2701" s="2" t="s">
        <v>39</v>
      </c>
      <c r="AC2701" s="2" t="s">
        <v>39</v>
      </c>
      <c r="AD2701" s="2" t="s">
        <v>38</v>
      </c>
      <c r="AE2701" s="2" t="s">
        <v>39</v>
      </c>
    </row>
    <row r="2702" spans="1:31" ht="409.5">
      <c r="A2702" s="2">
        <v>2712090</v>
      </c>
      <c r="B2702" s="2">
        <f>HYPERLINK("https://platform.v2.vetology.net/cases/2712090/screening-report/1?type=pdf&amp;v=v6&amp;scorecard=1&amp;secret_key=BX%25IJ%24%2F65ieZ%29f6", 2712090)</f>
        <v>2712090</v>
      </c>
      <c r="C2702" s="2">
        <f>HYPERLINK("https://platform.v2.vetology.net/report/v/final/"&amp;2712090, 2712090)</f>
        <v>2712090</v>
      </c>
      <c r="D2702" s="2" t="s">
        <v>8637</v>
      </c>
      <c r="E2702" s="2" t="s">
        <v>8638</v>
      </c>
      <c r="F2702" s="2" t="s">
        <v>8639</v>
      </c>
      <c r="G2702" s="2" t="s">
        <v>53</v>
      </c>
      <c r="H2702" s="2" t="s">
        <v>7922</v>
      </c>
      <c r="I2702" s="2" t="s">
        <v>129</v>
      </c>
      <c r="J2702" s="2" t="s">
        <v>74</v>
      </c>
      <c r="K2702" s="2" t="s">
        <v>39</v>
      </c>
      <c r="L2702" s="2" t="s">
        <v>39</v>
      </c>
      <c r="M2702" s="2" t="s">
        <v>38</v>
      </c>
      <c r="N2702" s="2" t="s">
        <v>38</v>
      </c>
      <c r="O2702" s="2" t="s">
        <v>38</v>
      </c>
      <c r="P2702" s="2" t="s">
        <v>39</v>
      </c>
      <c r="Q2702" s="2" t="s">
        <v>38</v>
      </c>
      <c r="R2702" s="2" t="s">
        <v>38</v>
      </c>
      <c r="S2702" s="2" t="s">
        <v>38</v>
      </c>
      <c r="T2702" s="2" t="s">
        <v>38</v>
      </c>
      <c r="U2702" s="2" t="s">
        <v>39</v>
      </c>
      <c r="V2702" s="2" t="s">
        <v>39</v>
      </c>
      <c r="W2702" s="2" t="s">
        <v>38</v>
      </c>
      <c r="X2702" s="2" t="s">
        <v>38</v>
      </c>
      <c r="Y2702" s="2" t="s">
        <v>39</v>
      </c>
      <c r="Z2702" s="2" t="s">
        <v>38</v>
      </c>
      <c r="AA2702" s="2" t="s">
        <v>38</v>
      </c>
      <c r="AB2702" s="2" t="s">
        <v>38</v>
      </c>
      <c r="AC2702" s="2" t="s">
        <v>39</v>
      </c>
      <c r="AD2702" s="2" t="s">
        <v>39</v>
      </c>
      <c r="AE2702" s="2"/>
    </row>
    <row r="2703" spans="1:31" ht="409.5">
      <c r="A2703" s="2">
        <v>2712083</v>
      </c>
      <c r="B2703" s="2">
        <f>HYPERLINK("https://platform.v2.vetology.net/cases/2712083/screening-report/1?type=pdf&amp;v=v6&amp;scorecard=1&amp;secret_key=BX%25IJ%24%2F65ieZ%29f6", 2712083)</f>
        <v>2712083</v>
      </c>
      <c r="C2703" s="2">
        <f>HYPERLINK("https://platform.v2.vetology.net/report/v/final/"&amp;2712083, 2712083)</f>
        <v>2712083</v>
      </c>
      <c r="D2703" s="2" t="s">
        <v>8640</v>
      </c>
      <c r="E2703" s="2" t="s">
        <v>8641</v>
      </c>
      <c r="F2703" s="2" t="s">
        <v>8642</v>
      </c>
      <c r="G2703" s="2" t="s">
        <v>170</v>
      </c>
      <c r="H2703" s="2" t="s">
        <v>1985</v>
      </c>
      <c r="I2703" s="2" t="s">
        <v>36</v>
      </c>
      <c r="J2703" s="2" t="s">
        <v>37</v>
      </c>
      <c r="K2703" s="2" t="s">
        <v>38</v>
      </c>
      <c r="L2703" s="2" t="s">
        <v>39</v>
      </c>
      <c r="M2703" s="2" t="s">
        <v>38</v>
      </c>
      <c r="N2703" s="2" t="s">
        <v>38</v>
      </c>
      <c r="O2703" s="2" t="s">
        <v>38</v>
      </c>
      <c r="P2703" s="2" t="s">
        <v>39</v>
      </c>
      <c r="Q2703" s="2" t="s">
        <v>39</v>
      </c>
      <c r="R2703" s="2" t="s">
        <v>39</v>
      </c>
      <c r="S2703" s="2" t="s">
        <v>39</v>
      </c>
      <c r="T2703" s="2" t="s">
        <v>39</v>
      </c>
      <c r="U2703" s="2" t="s">
        <v>38</v>
      </c>
      <c r="V2703" s="2" t="s">
        <v>38</v>
      </c>
      <c r="W2703" s="2" t="s">
        <v>38</v>
      </c>
      <c r="X2703" s="2" t="s">
        <v>39</v>
      </c>
      <c r="Y2703" s="2" t="s">
        <v>39</v>
      </c>
      <c r="Z2703" s="2" t="s">
        <v>39</v>
      </c>
      <c r="AA2703" s="2" t="s">
        <v>39</v>
      </c>
      <c r="AB2703" s="2" t="s">
        <v>39</v>
      </c>
      <c r="AC2703" s="2" t="s">
        <v>38</v>
      </c>
      <c r="AD2703" s="2" t="s">
        <v>39</v>
      </c>
      <c r="AE2703" s="2"/>
    </row>
    <row r="2704" spans="1:31" ht="409.5">
      <c r="A2704" s="2">
        <v>2712082</v>
      </c>
      <c r="B2704" s="2">
        <f>HYPERLINK("https://platform.v2.vetology.net/cases/2712082/screening-report/1?type=pdf&amp;v=v6&amp;scorecard=1&amp;secret_key=BX%25IJ%24%2F65ieZ%29f6", 2712082)</f>
        <v>2712082</v>
      </c>
      <c r="C2704" s="2">
        <f>HYPERLINK("https://platform.v2.vetology.net/report/v/final/"&amp;2712082, 2712082)</f>
        <v>2712082</v>
      </c>
      <c r="D2704" s="2" t="s">
        <v>8643</v>
      </c>
      <c r="E2704" s="2" t="s">
        <v>8644</v>
      </c>
      <c r="F2704" s="2" t="s">
        <v>8645</v>
      </c>
      <c r="G2704" s="2" t="s">
        <v>507</v>
      </c>
      <c r="H2704" s="2" t="s">
        <v>6654</v>
      </c>
      <c r="I2704" s="2" t="s">
        <v>36</v>
      </c>
      <c r="J2704" s="2" t="s">
        <v>37</v>
      </c>
      <c r="K2704" s="2" t="s">
        <v>38</v>
      </c>
      <c r="L2704" s="2" t="s">
        <v>39</v>
      </c>
      <c r="M2704" s="2" t="s">
        <v>38</v>
      </c>
      <c r="N2704" s="2" t="s">
        <v>39</v>
      </c>
      <c r="O2704" s="2" t="s">
        <v>38</v>
      </c>
      <c r="P2704" s="2" t="s">
        <v>39</v>
      </c>
      <c r="Q2704" s="2" t="s">
        <v>39</v>
      </c>
      <c r="R2704" s="2" t="s">
        <v>38</v>
      </c>
      <c r="S2704" s="2" t="s">
        <v>38</v>
      </c>
      <c r="T2704" s="2" t="s">
        <v>38</v>
      </c>
      <c r="U2704" s="2" t="s">
        <v>38</v>
      </c>
      <c r="V2704" s="2" t="s">
        <v>38</v>
      </c>
      <c r="W2704" s="2" t="s">
        <v>39</v>
      </c>
      <c r="X2704" s="2" t="s">
        <v>39</v>
      </c>
      <c r="Y2704" s="2" t="s">
        <v>39</v>
      </c>
      <c r="Z2704" s="2" t="s">
        <v>39</v>
      </c>
      <c r="AA2704" s="2" t="s">
        <v>39</v>
      </c>
      <c r="AB2704" s="2" t="s">
        <v>39</v>
      </c>
      <c r="AC2704" s="2" t="s">
        <v>39</v>
      </c>
      <c r="AD2704" s="2" t="s">
        <v>38</v>
      </c>
      <c r="AE2704" s="2" t="s">
        <v>39</v>
      </c>
    </row>
    <row r="2705" spans="1:31" ht="409.5">
      <c r="A2705" s="2">
        <v>2712078</v>
      </c>
      <c r="B2705" s="2">
        <f>HYPERLINK("https://platform.v2.vetology.net/cases/2712078/screening-report/1?type=pdf&amp;v=v6&amp;scorecard=1&amp;secret_key=BX%25IJ%24%2F65ieZ%29f6", 2712078)</f>
        <v>2712078</v>
      </c>
      <c r="C2705" s="2">
        <f>HYPERLINK("https://platform.v2.vetology.net/report/v/final/"&amp;2712078, 2712078)</f>
        <v>2712078</v>
      </c>
      <c r="D2705" s="2" t="s">
        <v>8646</v>
      </c>
      <c r="E2705" s="2" t="s">
        <v>8647</v>
      </c>
      <c r="F2705" s="2" t="s">
        <v>8648</v>
      </c>
      <c r="G2705" s="2" t="s">
        <v>34</v>
      </c>
      <c r="H2705" s="2" t="s">
        <v>8649</v>
      </c>
      <c r="I2705" s="2" t="s">
        <v>129</v>
      </c>
      <c r="J2705" s="2" t="s">
        <v>74</v>
      </c>
      <c r="K2705" s="2" t="s">
        <v>39</v>
      </c>
      <c r="L2705" s="2" t="s">
        <v>39</v>
      </c>
      <c r="M2705" s="2" t="s">
        <v>38</v>
      </c>
      <c r="N2705" s="2" t="s">
        <v>38</v>
      </c>
      <c r="O2705" s="2" t="s">
        <v>38</v>
      </c>
      <c r="P2705" s="2" t="s">
        <v>38</v>
      </c>
      <c r="Q2705" s="2" t="s">
        <v>38</v>
      </c>
      <c r="R2705" s="2" t="s">
        <v>39</v>
      </c>
      <c r="S2705" s="2" t="s">
        <v>39</v>
      </c>
      <c r="T2705" s="2" t="s">
        <v>38</v>
      </c>
      <c r="U2705" s="2" t="s">
        <v>39</v>
      </c>
      <c r="V2705" s="2" t="s">
        <v>38</v>
      </c>
      <c r="W2705" s="2" t="s">
        <v>39</v>
      </c>
      <c r="X2705" s="2" t="s">
        <v>38</v>
      </c>
      <c r="Y2705" s="2" t="s">
        <v>39</v>
      </c>
      <c r="Z2705" s="2" t="s">
        <v>38</v>
      </c>
      <c r="AA2705" s="2" t="s">
        <v>38</v>
      </c>
      <c r="AB2705" s="2" t="s">
        <v>38</v>
      </c>
      <c r="AC2705" s="2" t="s">
        <v>38</v>
      </c>
      <c r="AD2705" s="2" t="s">
        <v>39</v>
      </c>
      <c r="AE2705" s="2" t="s">
        <v>39</v>
      </c>
    </row>
    <row r="2706" spans="1:31" ht="409.5">
      <c r="A2706" s="2">
        <v>2712075</v>
      </c>
      <c r="B2706" s="2">
        <f>HYPERLINK("https://platform.v2.vetology.net/cases/2712075/screening-report/1?type=pdf&amp;v=v6&amp;scorecard=1&amp;secret_key=BX%25IJ%24%2F65ieZ%29f6", 2712075)</f>
        <v>2712075</v>
      </c>
      <c r="C2706" s="2">
        <f>HYPERLINK("https://platform.v2.vetology.net/report/v/final/"&amp;2712075, 2712075)</f>
        <v>2712075</v>
      </c>
      <c r="D2706" s="2" t="s">
        <v>8650</v>
      </c>
      <c r="E2706" s="2" t="s">
        <v>8651</v>
      </c>
      <c r="F2706" s="2" t="s">
        <v>8652</v>
      </c>
      <c r="G2706" s="2" t="s">
        <v>170</v>
      </c>
      <c r="H2706" s="2" t="s">
        <v>45</v>
      </c>
      <c r="I2706" s="2" t="s">
        <v>46</v>
      </c>
      <c r="J2706" s="2"/>
      <c r="K2706" s="2" t="s">
        <v>39</v>
      </c>
      <c r="L2706" s="2" t="s">
        <v>39</v>
      </c>
      <c r="M2706" s="2" t="s">
        <v>39</v>
      </c>
      <c r="N2706" s="2" t="s">
        <v>39</v>
      </c>
      <c r="O2706" s="2" t="s">
        <v>39</v>
      </c>
      <c r="P2706" s="2" t="s">
        <v>39</v>
      </c>
      <c r="Q2706" s="2" t="s">
        <v>39</v>
      </c>
      <c r="R2706" s="2" t="s">
        <v>38</v>
      </c>
      <c r="S2706" s="2" t="s">
        <v>39</v>
      </c>
      <c r="T2706" s="2" t="s">
        <v>39</v>
      </c>
      <c r="U2706" s="2" t="s">
        <v>39</v>
      </c>
      <c r="V2706" s="2" t="s">
        <v>39</v>
      </c>
      <c r="W2706" s="2" t="s">
        <v>38</v>
      </c>
      <c r="X2706" s="2" t="s">
        <v>39</v>
      </c>
      <c r="Y2706" s="2" t="s">
        <v>39</v>
      </c>
      <c r="Z2706" s="2" t="s">
        <v>39</v>
      </c>
      <c r="AA2706" s="2" t="s">
        <v>39</v>
      </c>
      <c r="AB2706" s="2" t="s">
        <v>39</v>
      </c>
      <c r="AC2706" s="2" t="s">
        <v>38</v>
      </c>
      <c r="AD2706" s="2" t="s">
        <v>39</v>
      </c>
      <c r="AE2706" s="2" t="s">
        <v>40</v>
      </c>
    </row>
    <row r="2707" spans="1:31" ht="409.5">
      <c r="A2707" s="2">
        <v>2712058</v>
      </c>
      <c r="B2707" s="2">
        <f>HYPERLINK("https://platform.v2.vetology.net/cases/2712058/screening-report/1?type=pdf&amp;v=v6&amp;scorecard=1&amp;secret_key=BX%25IJ%24%2F65ieZ%29f6", 2712058)</f>
        <v>2712058</v>
      </c>
      <c r="C2707" s="2">
        <f>HYPERLINK("https://platform.v2.vetology.net/report/v/final/"&amp;2712058, 2712058)</f>
        <v>2712058</v>
      </c>
      <c r="D2707" s="2" t="s">
        <v>8653</v>
      </c>
      <c r="E2707" s="2" t="s">
        <v>8654</v>
      </c>
      <c r="F2707" s="2" t="s">
        <v>8655</v>
      </c>
      <c r="G2707" s="2" t="s">
        <v>170</v>
      </c>
      <c r="H2707" s="2" t="s">
        <v>3905</v>
      </c>
      <c r="I2707" s="2" t="s">
        <v>36</v>
      </c>
      <c r="J2707" s="2" t="s">
        <v>37</v>
      </c>
      <c r="K2707" s="2" t="s">
        <v>38</v>
      </c>
      <c r="L2707" s="2" t="s">
        <v>38</v>
      </c>
      <c r="M2707" s="2" t="s">
        <v>38</v>
      </c>
      <c r="N2707" s="2" t="s">
        <v>38</v>
      </c>
      <c r="O2707" s="2" t="s">
        <v>38</v>
      </c>
      <c r="P2707" s="2" t="s">
        <v>38</v>
      </c>
      <c r="Q2707" s="2" t="s">
        <v>39</v>
      </c>
      <c r="R2707" s="2" t="s">
        <v>38</v>
      </c>
      <c r="S2707" s="2" t="s">
        <v>39</v>
      </c>
      <c r="T2707" s="2" t="s">
        <v>39</v>
      </c>
      <c r="U2707" s="2" t="s">
        <v>38</v>
      </c>
      <c r="V2707" s="2" t="s">
        <v>38</v>
      </c>
      <c r="W2707" s="2" t="s">
        <v>38</v>
      </c>
      <c r="X2707" s="2" t="s">
        <v>39</v>
      </c>
      <c r="Y2707" s="2" t="s">
        <v>38</v>
      </c>
      <c r="Z2707" s="2" t="s">
        <v>38</v>
      </c>
      <c r="AA2707" s="2" t="s">
        <v>38</v>
      </c>
      <c r="AB2707" s="2" t="s">
        <v>39</v>
      </c>
      <c r="AC2707" s="2" t="s">
        <v>38</v>
      </c>
      <c r="AD2707" s="2" t="s">
        <v>38</v>
      </c>
      <c r="AE2707" s="2" t="s">
        <v>40</v>
      </c>
    </row>
    <row r="2708" spans="1:31" ht="409.5">
      <c r="A2708" s="2">
        <v>2712055</v>
      </c>
      <c r="B2708" s="2">
        <f>HYPERLINK("https://platform.v2.vetology.net/cases/2712055/screening-report/1?type=pdf&amp;v=v6&amp;scorecard=1&amp;secret_key=BX%25IJ%24%2F65ieZ%29f6", 2712055)</f>
        <v>2712055</v>
      </c>
      <c r="C2708" s="2">
        <f>HYPERLINK("https://platform.v2.vetology.net/report/v/final/"&amp;2712055, 2712055)</f>
        <v>2712055</v>
      </c>
      <c r="D2708" s="2" t="s">
        <v>8656</v>
      </c>
      <c r="E2708" s="2" t="s">
        <v>8657</v>
      </c>
      <c r="F2708" s="2" t="s">
        <v>5934</v>
      </c>
      <c r="G2708" s="2" t="s">
        <v>34</v>
      </c>
      <c r="H2708" s="2" t="s">
        <v>398</v>
      </c>
      <c r="I2708" s="2" t="s">
        <v>46</v>
      </c>
      <c r="J2708" s="2"/>
      <c r="K2708" s="2" t="s">
        <v>38</v>
      </c>
      <c r="L2708" s="2" t="s">
        <v>39</v>
      </c>
      <c r="M2708" s="2" t="s">
        <v>39</v>
      </c>
      <c r="N2708" s="2" t="s">
        <v>39</v>
      </c>
      <c r="O2708" s="2" t="s">
        <v>39</v>
      </c>
      <c r="P2708" s="2" t="s">
        <v>39</v>
      </c>
      <c r="Q2708" s="2" t="s">
        <v>39</v>
      </c>
      <c r="R2708" s="2" t="s">
        <v>39</v>
      </c>
      <c r="S2708" s="2" t="s">
        <v>39</v>
      </c>
      <c r="T2708" s="2" t="s">
        <v>39</v>
      </c>
      <c r="U2708" s="2" t="s">
        <v>39</v>
      </c>
      <c r="V2708" s="2" t="s">
        <v>39</v>
      </c>
      <c r="W2708" s="2" t="s">
        <v>38</v>
      </c>
      <c r="X2708" s="2" t="s">
        <v>39</v>
      </c>
      <c r="Y2708" s="2" t="s">
        <v>39</v>
      </c>
      <c r="Z2708" s="2" t="s">
        <v>39</v>
      </c>
      <c r="AA2708" s="2" t="s">
        <v>38</v>
      </c>
      <c r="AB2708" s="2" t="s">
        <v>39</v>
      </c>
      <c r="AC2708" s="2" t="s">
        <v>38</v>
      </c>
      <c r="AD2708" s="2" t="s">
        <v>39</v>
      </c>
      <c r="AE2708" s="2" t="s">
        <v>39</v>
      </c>
    </row>
    <row r="2709" spans="1:31" ht="409.5">
      <c r="A2709" s="2">
        <v>2712033</v>
      </c>
      <c r="B2709" s="2">
        <f>HYPERLINK("https://platform.v2.vetology.net/cases/2712033/screening-report/1?type=pdf&amp;v=v6&amp;scorecard=1&amp;secret_key=BX%25IJ%24%2F65ieZ%29f6", 2712033)</f>
        <v>2712033</v>
      </c>
      <c r="C2709" s="2">
        <f>HYPERLINK("https://platform.v2.vetology.net/report/v/final/"&amp;2712033, 2712033)</f>
        <v>2712033</v>
      </c>
      <c r="D2709" s="2" t="s">
        <v>8658</v>
      </c>
      <c r="E2709" s="2" t="s">
        <v>8659</v>
      </c>
      <c r="F2709" s="2" t="s">
        <v>8660</v>
      </c>
      <c r="G2709" s="2" t="s">
        <v>111</v>
      </c>
      <c r="H2709" s="2" t="s">
        <v>8661</v>
      </c>
      <c r="I2709" s="2" t="s">
        <v>36</v>
      </c>
      <c r="J2709" s="2" t="s">
        <v>37</v>
      </c>
      <c r="K2709" s="2" t="s">
        <v>38</v>
      </c>
      <c r="L2709" s="2" t="s">
        <v>38</v>
      </c>
      <c r="M2709" s="2" t="s">
        <v>38</v>
      </c>
      <c r="N2709" s="2" t="s">
        <v>38</v>
      </c>
      <c r="O2709" s="2" t="s">
        <v>38</v>
      </c>
      <c r="P2709" s="2" t="s">
        <v>39</v>
      </c>
      <c r="Q2709" s="2" t="s">
        <v>39</v>
      </c>
      <c r="R2709" s="2" t="s">
        <v>38</v>
      </c>
      <c r="S2709" s="2" t="s">
        <v>38</v>
      </c>
      <c r="T2709" s="2" t="s">
        <v>38</v>
      </c>
      <c r="U2709" s="2" t="s">
        <v>38</v>
      </c>
      <c r="V2709" s="2" t="s">
        <v>38</v>
      </c>
      <c r="W2709" s="2" t="s">
        <v>38</v>
      </c>
      <c r="X2709" s="2" t="s">
        <v>39</v>
      </c>
      <c r="Y2709" s="2" t="s">
        <v>38</v>
      </c>
      <c r="Z2709" s="2" t="s">
        <v>38</v>
      </c>
      <c r="AA2709" s="2" t="s">
        <v>38</v>
      </c>
      <c r="AB2709" s="2" t="s">
        <v>39</v>
      </c>
      <c r="AC2709" s="2" t="s">
        <v>38</v>
      </c>
      <c r="AD2709" s="2" t="s">
        <v>38</v>
      </c>
      <c r="AE2709" s="2" t="s">
        <v>40</v>
      </c>
    </row>
    <row r="2710" spans="1:31" ht="409.5">
      <c r="A2710" s="2">
        <v>2711991</v>
      </c>
      <c r="B2710" s="2">
        <f>HYPERLINK("https://platform.v2.vetology.net/cases/2711991/screening-report/1?type=pdf&amp;v=v6&amp;scorecard=1&amp;secret_key=BX%25IJ%24%2F65ieZ%29f6", 2711991)</f>
        <v>2711991</v>
      </c>
      <c r="C2710" s="2">
        <f>HYPERLINK("https://platform.v2.vetology.net/report/v/final/"&amp;2711991, 2711991)</f>
        <v>2711991</v>
      </c>
      <c r="D2710" s="2" t="s">
        <v>8662</v>
      </c>
      <c r="E2710" s="2" t="s">
        <v>8663</v>
      </c>
      <c r="F2710" s="2" t="s">
        <v>8664</v>
      </c>
      <c r="G2710" s="2" t="s">
        <v>53</v>
      </c>
      <c r="H2710" s="2" t="s">
        <v>8665</v>
      </c>
      <c r="I2710" s="2" t="s">
        <v>73</v>
      </c>
      <c r="J2710" s="2" t="s">
        <v>74</v>
      </c>
      <c r="K2710" s="2" t="s">
        <v>38</v>
      </c>
      <c r="L2710" s="2" t="s">
        <v>38</v>
      </c>
      <c r="M2710" s="2" t="s">
        <v>38</v>
      </c>
      <c r="N2710" s="2" t="s">
        <v>38</v>
      </c>
      <c r="O2710" s="2" t="s">
        <v>38</v>
      </c>
      <c r="P2710" s="2" t="s">
        <v>38</v>
      </c>
      <c r="Q2710" s="2" t="s">
        <v>38</v>
      </c>
      <c r="R2710" s="2" t="s">
        <v>38</v>
      </c>
      <c r="S2710" s="2" t="s">
        <v>38</v>
      </c>
      <c r="T2710" s="2" t="s">
        <v>38</v>
      </c>
      <c r="U2710" s="2" t="s">
        <v>38</v>
      </c>
      <c r="V2710" s="2" t="s">
        <v>38</v>
      </c>
      <c r="W2710" s="2" t="s">
        <v>38</v>
      </c>
      <c r="X2710" s="2" t="s">
        <v>38</v>
      </c>
      <c r="Y2710" s="2" t="s">
        <v>39</v>
      </c>
      <c r="Z2710" s="2" t="s">
        <v>38</v>
      </c>
      <c r="AA2710" s="2" t="s">
        <v>38</v>
      </c>
      <c r="AB2710" s="2" t="s">
        <v>38</v>
      </c>
      <c r="AC2710" s="2" t="s">
        <v>38</v>
      </c>
      <c r="AD2710" s="2" t="s">
        <v>38</v>
      </c>
      <c r="AE2710" s="2" t="s">
        <v>40</v>
      </c>
    </row>
    <row r="2711" spans="1:31" ht="409.5">
      <c r="A2711" s="2">
        <v>2711882</v>
      </c>
      <c r="B2711" s="2">
        <f>HYPERLINK("https://platform.v2.vetology.net/cases/2711882/screening-report/1?type=pdf&amp;v=v6&amp;scorecard=1&amp;secret_key=BX%25IJ%24%2F65ieZ%29f6", 2711882)</f>
        <v>2711882</v>
      </c>
      <c r="C2711" s="2">
        <f>HYPERLINK("https://platform.v2.vetology.net/report/v/final/"&amp;2711882, 2711882)</f>
        <v>2711882</v>
      </c>
      <c r="D2711" s="2" t="s">
        <v>8666</v>
      </c>
      <c r="E2711" s="2" t="s">
        <v>8667</v>
      </c>
      <c r="F2711" s="2" t="s">
        <v>8668</v>
      </c>
      <c r="G2711" s="2" t="s">
        <v>34</v>
      </c>
      <c r="H2711" s="2" t="s">
        <v>526</v>
      </c>
      <c r="I2711" s="2" t="s">
        <v>46</v>
      </c>
      <c r="J2711" s="2"/>
      <c r="K2711" s="2" t="s">
        <v>39</v>
      </c>
      <c r="L2711" s="2" t="s">
        <v>38</v>
      </c>
      <c r="M2711" s="2" t="s">
        <v>39</v>
      </c>
      <c r="N2711" s="2" t="s">
        <v>39</v>
      </c>
      <c r="O2711" s="2" t="s">
        <v>39</v>
      </c>
      <c r="P2711" s="2" t="s">
        <v>39</v>
      </c>
      <c r="Q2711" s="2" t="s">
        <v>39</v>
      </c>
      <c r="R2711" s="2" t="s">
        <v>39</v>
      </c>
      <c r="S2711" s="2" t="s">
        <v>38</v>
      </c>
      <c r="T2711" s="2" t="s">
        <v>39</v>
      </c>
      <c r="U2711" s="2" t="s">
        <v>39</v>
      </c>
      <c r="V2711" s="2" t="s">
        <v>38</v>
      </c>
      <c r="W2711" s="2" t="s">
        <v>39</v>
      </c>
      <c r="X2711" s="2" t="s">
        <v>39</v>
      </c>
      <c r="Y2711" s="2" t="s">
        <v>39</v>
      </c>
      <c r="Z2711" s="2" t="s">
        <v>39</v>
      </c>
      <c r="AA2711" s="2" t="s">
        <v>39</v>
      </c>
      <c r="AB2711" s="2" t="s">
        <v>39</v>
      </c>
      <c r="AC2711" s="2" t="s">
        <v>38</v>
      </c>
      <c r="AD2711" s="2" t="s">
        <v>38</v>
      </c>
      <c r="AE2711" s="2" t="s">
        <v>39</v>
      </c>
    </row>
    <row r="2712" spans="1:31" ht="409.5">
      <c r="A2712" s="2">
        <v>2711869</v>
      </c>
      <c r="B2712" s="2">
        <f>HYPERLINK("https://platform.v2.vetology.net/cases/2711869/screening-report/1?type=pdf&amp;v=v6&amp;scorecard=1&amp;secret_key=BX%25IJ%24%2F65ieZ%29f6", 2711869)</f>
        <v>2711869</v>
      </c>
      <c r="C2712" s="2">
        <f>HYPERLINK("https://platform.v2.vetology.net/report/v/final/"&amp;2711869, 2711869)</f>
        <v>2711869</v>
      </c>
      <c r="D2712" s="2" t="s">
        <v>1927</v>
      </c>
      <c r="E2712" s="2" t="s">
        <v>118</v>
      </c>
      <c r="F2712" s="2" t="s">
        <v>8669</v>
      </c>
      <c r="G2712" s="2" t="s">
        <v>111</v>
      </c>
      <c r="H2712" s="2" t="s">
        <v>2289</v>
      </c>
      <c r="I2712" s="2" t="s">
        <v>129</v>
      </c>
      <c r="J2712" s="2" t="s">
        <v>74</v>
      </c>
      <c r="K2712" s="2" t="s">
        <v>39</v>
      </c>
      <c r="L2712" s="2" t="s">
        <v>39</v>
      </c>
      <c r="M2712" s="2" t="s">
        <v>38</v>
      </c>
      <c r="N2712" s="2" t="s">
        <v>39</v>
      </c>
      <c r="O2712" s="2" t="s">
        <v>39</v>
      </c>
      <c r="P2712" s="2" t="s">
        <v>39</v>
      </c>
      <c r="Q2712" s="2" t="s">
        <v>38</v>
      </c>
      <c r="R2712" s="2" t="s">
        <v>38</v>
      </c>
      <c r="S2712" s="2" t="s">
        <v>39</v>
      </c>
      <c r="T2712" s="2" t="s">
        <v>38</v>
      </c>
      <c r="U2712" s="2" t="s">
        <v>39</v>
      </c>
      <c r="V2712" s="2" t="s">
        <v>39</v>
      </c>
      <c r="W2712" s="2" t="s">
        <v>38</v>
      </c>
      <c r="X2712" s="2" t="s">
        <v>39</v>
      </c>
      <c r="Y2712" s="2" t="s">
        <v>39</v>
      </c>
      <c r="Z2712" s="2" t="s">
        <v>38</v>
      </c>
      <c r="AA2712" s="2" t="s">
        <v>39</v>
      </c>
      <c r="AB2712" s="2" t="s">
        <v>39</v>
      </c>
      <c r="AC2712" s="2" t="s">
        <v>39</v>
      </c>
      <c r="AD2712" s="2" t="s">
        <v>38</v>
      </c>
      <c r="AE2712" s="2" t="s">
        <v>39</v>
      </c>
    </row>
    <row r="2713" spans="1:31" ht="409.5">
      <c r="A2713" s="2">
        <v>2711862</v>
      </c>
      <c r="B2713" s="2">
        <f>HYPERLINK("https://platform.v2.vetology.net/cases/2711862/screening-report/1?type=pdf&amp;v=v6&amp;scorecard=1&amp;secret_key=BX%25IJ%24%2F65ieZ%29f6", 2711862)</f>
        <v>2711862</v>
      </c>
      <c r="C2713" s="2">
        <f>HYPERLINK("https://platform.v2.vetology.net/report/v/final/"&amp;2711862, 2711862)</f>
        <v>2711862</v>
      </c>
      <c r="D2713" s="2" t="s">
        <v>8670</v>
      </c>
      <c r="E2713" s="2" t="s">
        <v>8671</v>
      </c>
      <c r="F2713" s="2" t="s">
        <v>174</v>
      </c>
      <c r="G2713" s="2" t="s">
        <v>170</v>
      </c>
      <c r="H2713" s="2" t="s">
        <v>8672</v>
      </c>
      <c r="I2713" s="2" t="s">
        <v>129</v>
      </c>
      <c r="J2713" s="2" t="s">
        <v>74</v>
      </c>
      <c r="K2713" s="2" t="s">
        <v>38</v>
      </c>
      <c r="L2713" s="2" t="s">
        <v>39</v>
      </c>
      <c r="M2713" s="2" t="s">
        <v>38</v>
      </c>
      <c r="N2713" s="2" t="s">
        <v>38</v>
      </c>
      <c r="O2713" s="2" t="s">
        <v>38</v>
      </c>
      <c r="P2713" s="2" t="s">
        <v>39</v>
      </c>
      <c r="Q2713" s="2" t="s">
        <v>38</v>
      </c>
      <c r="R2713" s="2" t="s">
        <v>39</v>
      </c>
      <c r="S2713" s="2" t="s">
        <v>39</v>
      </c>
      <c r="T2713" s="2" t="s">
        <v>39</v>
      </c>
      <c r="U2713" s="2" t="s">
        <v>39</v>
      </c>
      <c r="V2713" s="2" t="s">
        <v>38</v>
      </c>
      <c r="W2713" s="2" t="s">
        <v>39</v>
      </c>
      <c r="X2713" s="2" t="s">
        <v>38</v>
      </c>
      <c r="Y2713" s="2" t="s">
        <v>39</v>
      </c>
      <c r="Z2713" s="2" t="s">
        <v>38</v>
      </c>
      <c r="AA2713" s="2" t="s">
        <v>38</v>
      </c>
      <c r="AB2713" s="2" t="s">
        <v>39</v>
      </c>
      <c r="AC2713" s="2" t="s">
        <v>39</v>
      </c>
      <c r="AD2713" s="2" t="s">
        <v>39</v>
      </c>
      <c r="AE2713" s="2" t="s">
        <v>40</v>
      </c>
    </row>
    <row r="2714" spans="1:31" ht="409.5">
      <c r="A2714" s="2">
        <v>2711846</v>
      </c>
      <c r="B2714" s="2">
        <f>HYPERLINK("https://platform.v2.vetology.net/cases/2711846/screening-report/1?type=pdf&amp;v=v6&amp;scorecard=1&amp;secret_key=BX%25IJ%24%2F65ieZ%29f6", 2711846)</f>
        <v>2711846</v>
      </c>
      <c r="C2714" s="2">
        <f>HYPERLINK("https://platform.v2.vetology.net/report/v/final/"&amp;2711846, 2711846)</f>
        <v>2711846</v>
      </c>
      <c r="D2714" s="2" t="s">
        <v>8673</v>
      </c>
      <c r="E2714" s="2" t="s">
        <v>8674</v>
      </c>
      <c r="F2714" s="2" t="s">
        <v>8675</v>
      </c>
      <c r="G2714" s="2" t="s">
        <v>251</v>
      </c>
      <c r="H2714" s="2" t="s">
        <v>69</v>
      </c>
      <c r="I2714" s="2" t="s">
        <v>46</v>
      </c>
      <c r="J2714" s="2"/>
      <c r="K2714" s="2" t="s">
        <v>39</v>
      </c>
      <c r="L2714" s="2" t="s">
        <v>39</v>
      </c>
      <c r="M2714" s="2" t="s">
        <v>39</v>
      </c>
      <c r="N2714" s="2" t="s">
        <v>39</v>
      </c>
      <c r="O2714" s="2" t="s">
        <v>39</v>
      </c>
      <c r="P2714" s="2" t="s">
        <v>39</v>
      </c>
      <c r="Q2714" s="2" t="s">
        <v>39</v>
      </c>
      <c r="R2714" s="2" t="s">
        <v>39</v>
      </c>
      <c r="S2714" s="2" t="s">
        <v>39</v>
      </c>
      <c r="T2714" s="2" t="s">
        <v>39</v>
      </c>
      <c r="U2714" s="2" t="s">
        <v>39</v>
      </c>
      <c r="V2714" s="2" t="s">
        <v>39</v>
      </c>
      <c r="W2714" s="2" t="s">
        <v>39</v>
      </c>
      <c r="X2714" s="2" t="s">
        <v>39</v>
      </c>
      <c r="Y2714" s="2" t="s">
        <v>39</v>
      </c>
      <c r="Z2714" s="2" t="s">
        <v>39</v>
      </c>
      <c r="AA2714" s="2" t="s">
        <v>39</v>
      </c>
      <c r="AB2714" s="2" t="s">
        <v>39</v>
      </c>
      <c r="AC2714" s="2" t="s">
        <v>38</v>
      </c>
      <c r="AD2714" s="2" t="s">
        <v>39</v>
      </c>
      <c r="AE2714" s="2" t="s">
        <v>39</v>
      </c>
    </row>
    <row r="2715" spans="1:31" ht="409.5">
      <c r="A2715" s="2">
        <v>2711843</v>
      </c>
      <c r="B2715" s="2">
        <f>HYPERLINK("https://platform.v2.vetology.net/cases/2711843/screening-report/1?type=pdf&amp;v=v6&amp;scorecard=1&amp;secret_key=BX%25IJ%24%2F65ieZ%29f6", 2711843)</f>
        <v>2711843</v>
      </c>
      <c r="C2715" s="2">
        <f>HYPERLINK("https://platform.v2.vetology.net/report/v/final/"&amp;2711843, 2711843)</f>
        <v>2711843</v>
      </c>
      <c r="D2715" s="2" t="s">
        <v>8676</v>
      </c>
      <c r="E2715" s="2" t="s">
        <v>8677</v>
      </c>
      <c r="F2715" s="2" t="s">
        <v>8678</v>
      </c>
      <c r="G2715" s="2" t="s">
        <v>251</v>
      </c>
      <c r="H2715" s="2" t="s">
        <v>158</v>
      </c>
      <c r="I2715" s="2" t="s">
        <v>59</v>
      </c>
      <c r="J2715" s="2" t="s">
        <v>37</v>
      </c>
      <c r="K2715" s="2" t="s">
        <v>38</v>
      </c>
      <c r="L2715" s="2" t="s">
        <v>39</v>
      </c>
      <c r="M2715" s="2" t="s">
        <v>39</v>
      </c>
      <c r="N2715" s="2" t="s">
        <v>39</v>
      </c>
      <c r="O2715" s="2" t="s">
        <v>39</v>
      </c>
      <c r="P2715" s="2" t="s">
        <v>39</v>
      </c>
      <c r="Q2715" s="2" t="s">
        <v>39</v>
      </c>
      <c r="R2715" s="2" t="s">
        <v>39</v>
      </c>
      <c r="S2715" s="2" t="s">
        <v>39</v>
      </c>
      <c r="T2715" s="2" t="s">
        <v>39</v>
      </c>
      <c r="U2715" s="2" t="s">
        <v>38</v>
      </c>
      <c r="V2715" s="2" t="s">
        <v>38</v>
      </c>
      <c r="W2715" s="2" t="s">
        <v>39</v>
      </c>
      <c r="X2715" s="2" t="s">
        <v>39</v>
      </c>
      <c r="Y2715" s="2" t="s">
        <v>39</v>
      </c>
      <c r="Z2715" s="2" t="s">
        <v>39</v>
      </c>
      <c r="AA2715" s="2" t="s">
        <v>39</v>
      </c>
      <c r="AB2715" s="2" t="s">
        <v>39</v>
      </c>
      <c r="AC2715" s="2" t="s">
        <v>39</v>
      </c>
      <c r="AD2715" s="2" t="s">
        <v>39</v>
      </c>
      <c r="AE2715" s="2" t="s">
        <v>39</v>
      </c>
    </row>
    <row r="2716" spans="1:31" ht="409.5">
      <c r="A2716" s="2">
        <v>2711842</v>
      </c>
      <c r="B2716" s="2">
        <f>HYPERLINK("https://platform.v2.vetology.net/cases/2711842/screening-report/1?type=pdf&amp;v=v6&amp;scorecard=1&amp;secret_key=BX%25IJ%24%2F65ieZ%29f6", 2711842)</f>
        <v>2711842</v>
      </c>
      <c r="C2716" s="2">
        <f>HYPERLINK("https://platform.v2.vetology.net/report/v/final/"&amp;2711842, 2711842)</f>
        <v>2711842</v>
      </c>
      <c r="D2716" s="2" t="s">
        <v>8679</v>
      </c>
      <c r="E2716" s="2" t="s">
        <v>8680</v>
      </c>
      <c r="F2716" s="2" t="s">
        <v>43</v>
      </c>
      <c r="G2716" s="2" t="s">
        <v>100</v>
      </c>
      <c r="H2716" s="2" t="s">
        <v>8681</v>
      </c>
      <c r="I2716" s="2" t="s">
        <v>129</v>
      </c>
      <c r="J2716" s="2" t="s">
        <v>74</v>
      </c>
      <c r="K2716" s="2" t="s">
        <v>38</v>
      </c>
      <c r="L2716" s="2" t="s">
        <v>39</v>
      </c>
      <c r="M2716" s="2" t="s">
        <v>38</v>
      </c>
      <c r="N2716" s="2" t="s">
        <v>38</v>
      </c>
      <c r="O2716" s="2" t="s">
        <v>38</v>
      </c>
      <c r="P2716" s="2" t="s">
        <v>38</v>
      </c>
      <c r="Q2716" s="2" t="s">
        <v>38</v>
      </c>
      <c r="R2716" s="2" t="s">
        <v>39</v>
      </c>
      <c r="S2716" s="2" t="s">
        <v>39</v>
      </c>
      <c r="T2716" s="2" t="s">
        <v>39</v>
      </c>
      <c r="U2716" s="2" t="s">
        <v>39</v>
      </c>
      <c r="V2716" s="2" t="s">
        <v>38</v>
      </c>
      <c r="W2716" s="2" t="s">
        <v>39</v>
      </c>
      <c r="X2716" s="2" t="s">
        <v>38</v>
      </c>
      <c r="Y2716" s="2" t="s">
        <v>39</v>
      </c>
      <c r="Z2716" s="2" t="s">
        <v>39</v>
      </c>
      <c r="AA2716" s="2" t="s">
        <v>38</v>
      </c>
      <c r="AB2716" s="2" t="s">
        <v>38</v>
      </c>
      <c r="AC2716" s="2" t="s">
        <v>38</v>
      </c>
      <c r="AD2716" s="2" t="s">
        <v>39</v>
      </c>
      <c r="AE2716" s="2" t="s">
        <v>40</v>
      </c>
    </row>
    <row r="2717" spans="1:31" ht="409.5">
      <c r="A2717" s="2">
        <v>2711834</v>
      </c>
      <c r="B2717" s="2">
        <f>HYPERLINK("https://platform.v2.vetology.net/cases/2711834/screening-report/1?type=pdf&amp;v=v6&amp;scorecard=1&amp;secret_key=BX%25IJ%24%2F65ieZ%29f6", 2711834)</f>
        <v>2711834</v>
      </c>
      <c r="C2717" s="2">
        <f>HYPERLINK("https://platform.v2.vetology.net/report/v/final/"&amp;2711834, 2711834)</f>
        <v>2711834</v>
      </c>
      <c r="D2717" s="2" t="s">
        <v>8682</v>
      </c>
      <c r="E2717" s="2" t="s">
        <v>8683</v>
      </c>
      <c r="F2717" s="2" t="s">
        <v>8684</v>
      </c>
      <c r="G2717" s="2" t="s">
        <v>53</v>
      </c>
      <c r="H2717" s="2" t="s">
        <v>166</v>
      </c>
      <c r="I2717" s="2" t="s">
        <v>36</v>
      </c>
      <c r="J2717" s="2" t="s">
        <v>37</v>
      </c>
      <c r="K2717" s="2" t="s">
        <v>39</v>
      </c>
      <c r="L2717" s="2" t="s">
        <v>39</v>
      </c>
      <c r="M2717" s="2" t="s">
        <v>38</v>
      </c>
      <c r="N2717" s="2" t="s">
        <v>39</v>
      </c>
      <c r="O2717" s="2" t="s">
        <v>39</v>
      </c>
      <c r="P2717" s="2" t="s">
        <v>39</v>
      </c>
      <c r="Q2717" s="2" t="s">
        <v>39</v>
      </c>
      <c r="R2717" s="2" t="s">
        <v>38</v>
      </c>
      <c r="S2717" s="2" t="s">
        <v>38</v>
      </c>
      <c r="T2717" s="2" t="s">
        <v>39</v>
      </c>
      <c r="U2717" s="2" t="s">
        <v>39</v>
      </c>
      <c r="V2717" s="2" t="s">
        <v>38</v>
      </c>
      <c r="W2717" s="2" t="s">
        <v>39</v>
      </c>
      <c r="X2717" s="2" t="s">
        <v>39</v>
      </c>
      <c r="Y2717" s="2" t="s">
        <v>39</v>
      </c>
      <c r="Z2717" s="2" t="s">
        <v>38</v>
      </c>
      <c r="AA2717" s="2" t="s">
        <v>39</v>
      </c>
      <c r="AB2717" s="2" t="s">
        <v>39</v>
      </c>
      <c r="AC2717" s="2" t="s">
        <v>38</v>
      </c>
      <c r="AD2717" s="2" t="s">
        <v>38</v>
      </c>
      <c r="AE2717" s="2" t="s">
        <v>40</v>
      </c>
    </row>
    <row r="2718" spans="1:31" ht="409.5">
      <c r="A2718" s="2">
        <v>2711819</v>
      </c>
      <c r="B2718" s="2">
        <f>HYPERLINK("https://platform.v2.vetology.net/cases/2711819/screening-report/1?type=pdf&amp;v=v6&amp;scorecard=1&amp;secret_key=BX%25IJ%24%2F65ieZ%29f6", 2711819)</f>
        <v>2711819</v>
      </c>
      <c r="C2718" s="2">
        <f>HYPERLINK("https://platform.v2.vetology.net/report/v/final/"&amp;2711819, 2711819)</f>
        <v>2711819</v>
      </c>
      <c r="D2718" s="2" t="s">
        <v>8685</v>
      </c>
      <c r="E2718" s="2" t="s">
        <v>99</v>
      </c>
      <c r="F2718" s="2"/>
      <c r="G2718" s="2" t="s">
        <v>100</v>
      </c>
      <c r="H2718" s="2" t="s">
        <v>8686</v>
      </c>
      <c r="I2718" s="2" t="s">
        <v>59</v>
      </c>
      <c r="J2718" s="2" t="s">
        <v>37</v>
      </c>
      <c r="K2718" s="2" t="s">
        <v>38</v>
      </c>
      <c r="L2718" s="2" t="s">
        <v>39</v>
      </c>
      <c r="M2718" s="2" t="s">
        <v>39</v>
      </c>
      <c r="N2718" s="2" t="s">
        <v>38</v>
      </c>
      <c r="O2718" s="2" t="s">
        <v>39</v>
      </c>
      <c r="P2718" s="2" t="s">
        <v>39</v>
      </c>
      <c r="Q2718" s="2" t="s">
        <v>39</v>
      </c>
      <c r="R2718" s="2" t="s">
        <v>38</v>
      </c>
      <c r="S2718" s="2" t="s">
        <v>38</v>
      </c>
      <c r="T2718" s="2" t="s">
        <v>39</v>
      </c>
      <c r="U2718" s="2" t="s">
        <v>39</v>
      </c>
      <c r="V2718" s="2" t="s">
        <v>38</v>
      </c>
      <c r="W2718" s="2" t="s">
        <v>38</v>
      </c>
      <c r="X2718" s="2" t="s">
        <v>39</v>
      </c>
      <c r="Y2718" s="2" t="s">
        <v>38</v>
      </c>
      <c r="Z2718" s="2" t="s">
        <v>38</v>
      </c>
      <c r="AA2718" s="2" t="s">
        <v>38</v>
      </c>
      <c r="AB2718" s="2" t="s">
        <v>39</v>
      </c>
      <c r="AC2718" s="2" t="s">
        <v>38</v>
      </c>
      <c r="AD2718" s="2" t="s">
        <v>38</v>
      </c>
      <c r="AE2718" s="2" t="s">
        <v>39</v>
      </c>
    </row>
    <row r="2719" spans="1:31" ht="409.5">
      <c r="A2719" s="2">
        <v>2711807</v>
      </c>
      <c r="B2719" s="2">
        <f>HYPERLINK("https://platform.v2.vetology.net/cases/2711807/screening-report/1?type=pdf&amp;v=v6&amp;scorecard=1&amp;secret_key=BX%25IJ%24%2F65ieZ%29f6", 2711807)</f>
        <v>2711807</v>
      </c>
      <c r="C2719" s="2">
        <f>HYPERLINK("https://platform.v2.vetology.net/report/v/final/"&amp;2711807, 2711807)</f>
        <v>2711807</v>
      </c>
      <c r="D2719" s="2" t="s">
        <v>8687</v>
      </c>
      <c r="E2719" s="2" t="s">
        <v>8688</v>
      </c>
      <c r="F2719" s="2" t="s">
        <v>8689</v>
      </c>
      <c r="G2719" s="2" t="s">
        <v>53</v>
      </c>
      <c r="H2719" s="2" t="s">
        <v>394</v>
      </c>
      <c r="I2719" s="2" t="s">
        <v>59</v>
      </c>
      <c r="J2719" s="2" t="s">
        <v>37</v>
      </c>
      <c r="K2719" s="2" t="s">
        <v>38</v>
      </c>
      <c r="L2719" s="2" t="s">
        <v>39</v>
      </c>
      <c r="M2719" s="2" t="s">
        <v>39</v>
      </c>
      <c r="N2719" s="2" t="s">
        <v>39</v>
      </c>
      <c r="O2719" s="2" t="s">
        <v>39</v>
      </c>
      <c r="P2719" s="2" t="s">
        <v>39</v>
      </c>
      <c r="Q2719" s="2" t="s">
        <v>39</v>
      </c>
      <c r="R2719" s="2" t="s">
        <v>39</v>
      </c>
      <c r="S2719" s="2" t="s">
        <v>39</v>
      </c>
      <c r="T2719" s="2" t="s">
        <v>39</v>
      </c>
      <c r="U2719" s="2" t="s">
        <v>39</v>
      </c>
      <c r="V2719" s="2" t="s">
        <v>38</v>
      </c>
      <c r="W2719" s="2" t="s">
        <v>39</v>
      </c>
      <c r="X2719" s="2" t="s">
        <v>39</v>
      </c>
      <c r="Y2719" s="2" t="s">
        <v>39</v>
      </c>
      <c r="Z2719" s="2" t="s">
        <v>39</v>
      </c>
      <c r="AA2719" s="2" t="s">
        <v>39</v>
      </c>
      <c r="AB2719" s="2" t="s">
        <v>39</v>
      </c>
      <c r="AC2719" s="2" t="s">
        <v>39</v>
      </c>
      <c r="AD2719" s="2" t="s">
        <v>39</v>
      </c>
      <c r="AE2719" s="2"/>
    </row>
    <row r="2720" spans="1:31" ht="409.5">
      <c r="A2720" s="2">
        <v>2711805</v>
      </c>
      <c r="B2720" s="2">
        <f>HYPERLINK("https://platform.v2.vetology.net/cases/2711805/screening-report/1?type=pdf&amp;v=v6&amp;scorecard=1&amp;secret_key=BX%25IJ%24%2F65ieZ%29f6", 2711805)</f>
        <v>2711805</v>
      </c>
      <c r="C2720" s="2">
        <f>HYPERLINK("https://platform.v2.vetology.net/report/v/final/"&amp;2711805, 2711805)</f>
        <v>2711805</v>
      </c>
      <c r="D2720" s="2" t="s">
        <v>8690</v>
      </c>
      <c r="E2720" s="2" t="s">
        <v>8691</v>
      </c>
      <c r="F2720" s="2" t="s">
        <v>8692</v>
      </c>
      <c r="G2720" s="2" t="s">
        <v>170</v>
      </c>
      <c r="H2720" s="2" t="s">
        <v>1685</v>
      </c>
      <c r="I2720" s="2" t="s">
        <v>59</v>
      </c>
      <c r="J2720" s="2" t="s">
        <v>37</v>
      </c>
      <c r="K2720" s="2" t="s">
        <v>38</v>
      </c>
      <c r="L2720" s="2" t="s">
        <v>39</v>
      </c>
      <c r="M2720" s="2" t="s">
        <v>39</v>
      </c>
      <c r="N2720" s="2" t="s">
        <v>39</v>
      </c>
      <c r="O2720" s="2" t="s">
        <v>39</v>
      </c>
      <c r="P2720" s="2" t="s">
        <v>39</v>
      </c>
      <c r="Q2720" s="2" t="s">
        <v>39</v>
      </c>
      <c r="R2720" s="2" t="s">
        <v>38</v>
      </c>
      <c r="S2720" s="2" t="s">
        <v>39</v>
      </c>
      <c r="T2720" s="2" t="s">
        <v>38</v>
      </c>
      <c r="U2720" s="2" t="s">
        <v>39</v>
      </c>
      <c r="V2720" s="2" t="s">
        <v>38</v>
      </c>
      <c r="W2720" s="2" t="s">
        <v>38</v>
      </c>
      <c r="X2720" s="2" t="s">
        <v>39</v>
      </c>
      <c r="Y2720" s="2" t="s">
        <v>39</v>
      </c>
      <c r="Z2720" s="2" t="s">
        <v>39</v>
      </c>
      <c r="AA2720" s="2" t="s">
        <v>39</v>
      </c>
      <c r="AB2720" s="2" t="s">
        <v>38</v>
      </c>
      <c r="AC2720" s="2" t="s">
        <v>38</v>
      </c>
      <c r="AD2720" s="2" t="s">
        <v>38</v>
      </c>
      <c r="AE2720" s="2" t="s">
        <v>39</v>
      </c>
    </row>
    <row r="2721" spans="1:31" ht="409.5">
      <c r="A2721" s="2">
        <v>2711778</v>
      </c>
      <c r="B2721" s="2">
        <f>HYPERLINK("https://platform.v2.vetology.net/cases/2711778/screening-report/1?type=pdf&amp;v=v6&amp;scorecard=1&amp;secret_key=BX%25IJ%24%2F65ieZ%29f6", 2711778)</f>
        <v>2711778</v>
      </c>
      <c r="C2721" s="2">
        <f>HYPERLINK("https://platform.v2.vetology.net/report/v/final/"&amp;2711778, 2711778)</f>
        <v>2711778</v>
      </c>
      <c r="D2721" s="2" t="s">
        <v>8693</v>
      </c>
      <c r="E2721" s="2" t="s">
        <v>8694</v>
      </c>
      <c r="F2721" s="2" t="s">
        <v>8695</v>
      </c>
      <c r="G2721" s="2" t="s">
        <v>170</v>
      </c>
      <c r="H2721" s="2" t="s">
        <v>8696</v>
      </c>
      <c r="I2721" s="2" t="s">
        <v>129</v>
      </c>
      <c r="J2721" s="2" t="s">
        <v>74</v>
      </c>
      <c r="K2721" s="2" t="s">
        <v>39</v>
      </c>
      <c r="L2721" s="2" t="s">
        <v>38</v>
      </c>
      <c r="M2721" s="2" t="s">
        <v>38</v>
      </c>
      <c r="N2721" s="2" t="s">
        <v>38</v>
      </c>
      <c r="O2721" s="2" t="s">
        <v>38</v>
      </c>
      <c r="P2721" s="2" t="s">
        <v>38</v>
      </c>
      <c r="Q2721" s="2" t="s">
        <v>38</v>
      </c>
      <c r="R2721" s="2" t="s">
        <v>38</v>
      </c>
      <c r="S2721" s="2" t="s">
        <v>38</v>
      </c>
      <c r="T2721" s="2" t="s">
        <v>38</v>
      </c>
      <c r="U2721" s="2" t="s">
        <v>39</v>
      </c>
      <c r="V2721" s="2" t="s">
        <v>39</v>
      </c>
      <c r="W2721" s="2" t="s">
        <v>38</v>
      </c>
      <c r="X2721" s="2" t="s">
        <v>38</v>
      </c>
      <c r="Y2721" s="2" t="s">
        <v>39</v>
      </c>
      <c r="Z2721" s="2" t="s">
        <v>38</v>
      </c>
      <c r="AA2721" s="2" t="s">
        <v>38</v>
      </c>
      <c r="AB2721" s="2" t="s">
        <v>38</v>
      </c>
      <c r="AC2721" s="2" t="s">
        <v>38</v>
      </c>
      <c r="AD2721" s="2" t="s">
        <v>39</v>
      </c>
      <c r="AE2721" s="2" t="s">
        <v>40</v>
      </c>
    </row>
    <row r="2722" spans="1:31" ht="409.5">
      <c r="A2722" s="2">
        <v>2711775</v>
      </c>
      <c r="B2722" s="2">
        <f>HYPERLINK("https://platform.v2.vetology.net/cases/2711775/screening-report/1?type=pdf&amp;v=v6&amp;scorecard=1&amp;secret_key=BX%25IJ%24%2F65ieZ%29f6", 2711775)</f>
        <v>2711775</v>
      </c>
      <c r="C2722" s="2">
        <f>HYPERLINK("https://platform.v2.vetology.net/report/v/final/"&amp;2711775, 2711775)</f>
        <v>2711775</v>
      </c>
      <c r="D2722" s="2" t="s">
        <v>8697</v>
      </c>
      <c r="E2722" s="2" t="s">
        <v>8698</v>
      </c>
      <c r="F2722" s="2" t="s">
        <v>8699</v>
      </c>
      <c r="G2722" s="2" t="s">
        <v>111</v>
      </c>
      <c r="H2722" s="2" t="s">
        <v>45</v>
      </c>
      <c r="I2722" s="2" t="s">
        <v>46</v>
      </c>
      <c r="J2722" s="2"/>
      <c r="K2722" s="2" t="s">
        <v>39</v>
      </c>
      <c r="L2722" s="2" t="s">
        <v>39</v>
      </c>
      <c r="M2722" s="2" t="s">
        <v>39</v>
      </c>
      <c r="N2722" s="2" t="s">
        <v>39</v>
      </c>
      <c r="O2722" s="2" t="s">
        <v>38</v>
      </c>
      <c r="P2722" s="2" t="s">
        <v>39</v>
      </c>
      <c r="Q2722" s="2" t="s">
        <v>39</v>
      </c>
      <c r="R2722" s="2" t="s">
        <v>38</v>
      </c>
      <c r="S2722" s="2" t="s">
        <v>39</v>
      </c>
      <c r="T2722" s="2" t="s">
        <v>38</v>
      </c>
      <c r="U2722" s="2" t="s">
        <v>39</v>
      </c>
      <c r="V2722" s="2" t="s">
        <v>39</v>
      </c>
      <c r="W2722" s="2" t="s">
        <v>38</v>
      </c>
      <c r="X2722" s="2" t="s">
        <v>39</v>
      </c>
      <c r="Y2722" s="2" t="s">
        <v>38</v>
      </c>
      <c r="Z2722" s="2" t="s">
        <v>39</v>
      </c>
      <c r="AA2722" s="2" t="s">
        <v>39</v>
      </c>
      <c r="AB2722" s="2" t="s">
        <v>39</v>
      </c>
      <c r="AC2722" s="2" t="s">
        <v>38</v>
      </c>
      <c r="AD2722" s="2" t="s">
        <v>38</v>
      </c>
      <c r="AE2722" s="2" t="s">
        <v>39</v>
      </c>
    </row>
    <row r="2723" spans="1:31" ht="409.5">
      <c r="A2723" s="2">
        <v>2711748</v>
      </c>
      <c r="B2723" s="2">
        <f>HYPERLINK("https://platform.v2.vetology.net/cases/2711748/screening-report/1?type=pdf&amp;v=v6&amp;scorecard=1&amp;secret_key=BX%25IJ%24%2F65ieZ%29f6", 2711748)</f>
        <v>2711748</v>
      </c>
      <c r="C2723" s="2">
        <f>HYPERLINK("https://platform.v2.vetology.net/report/v/final/"&amp;2711748, 2711748)</f>
        <v>2711748</v>
      </c>
      <c r="D2723" s="2" t="s">
        <v>8700</v>
      </c>
      <c r="E2723" s="2" t="s">
        <v>8701</v>
      </c>
      <c r="F2723" s="2" t="s">
        <v>1043</v>
      </c>
      <c r="G2723" s="2" t="s">
        <v>251</v>
      </c>
      <c r="H2723" s="2" t="s">
        <v>394</v>
      </c>
      <c r="I2723" s="2" t="s">
        <v>59</v>
      </c>
      <c r="J2723" s="2" t="s">
        <v>37</v>
      </c>
      <c r="K2723" s="2" t="s">
        <v>38</v>
      </c>
      <c r="L2723" s="2" t="s">
        <v>39</v>
      </c>
      <c r="M2723" s="2" t="s">
        <v>39</v>
      </c>
      <c r="N2723" s="2" t="s">
        <v>39</v>
      </c>
      <c r="O2723" s="2" t="s">
        <v>39</v>
      </c>
      <c r="P2723" s="2" t="s">
        <v>39</v>
      </c>
      <c r="Q2723" s="2" t="s">
        <v>39</v>
      </c>
      <c r="R2723" s="2" t="s">
        <v>39</v>
      </c>
      <c r="S2723" s="2" t="s">
        <v>39</v>
      </c>
      <c r="T2723" s="2" t="s">
        <v>39</v>
      </c>
      <c r="U2723" s="2" t="s">
        <v>39</v>
      </c>
      <c r="V2723" s="2" t="s">
        <v>38</v>
      </c>
      <c r="W2723" s="2" t="s">
        <v>39</v>
      </c>
      <c r="X2723" s="2" t="s">
        <v>39</v>
      </c>
      <c r="Y2723" s="2" t="s">
        <v>39</v>
      </c>
      <c r="Z2723" s="2" t="s">
        <v>39</v>
      </c>
      <c r="AA2723" s="2" t="s">
        <v>39</v>
      </c>
      <c r="AB2723" s="2" t="s">
        <v>39</v>
      </c>
      <c r="AC2723" s="2" t="s">
        <v>39</v>
      </c>
      <c r="AD2723" s="2" t="s">
        <v>39</v>
      </c>
      <c r="AE2723" s="2" t="s">
        <v>39</v>
      </c>
    </row>
    <row r="2724" spans="1:31" ht="409.5">
      <c r="A2724" s="2">
        <v>2711717</v>
      </c>
      <c r="B2724" s="2">
        <f>HYPERLINK("https://platform.v2.vetology.net/cases/2711717/screening-report/1?type=pdf&amp;v=v6&amp;scorecard=1&amp;secret_key=BX%25IJ%24%2F65ieZ%29f6", 2711717)</f>
        <v>2711717</v>
      </c>
      <c r="C2724" s="2">
        <f>HYPERLINK("https://platform.v2.vetology.net/report/v/final/"&amp;2711717, 2711717)</f>
        <v>2711717</v>
      </c>
      <c r="D2724" s="2" t="s">
        <v>8702</v>
      </c>
      <c r="E2724" s="2" t="s">
        <v>8703</v>
      </c>
      <c r="F2724" s="2" t="s">
        <v>8704</v>
      </c>
      <c r="G2724" s="2" t="s">
        <v>53</v>
      </c>
      <c r="H2724" s="2" t="s">
        <v>8705</v>
      </c>
      <c r="I2724" s="2" t="s">
        <v>36</v>
      </c>
      <c r="J2724" s="2" t="s">
        <v>37</v>
      </c>
      <c r="K2724" s="2" t="s">
        <v>39</v>
      </c>
      <c r="L2724" s="2" t="s">
        <v>39</v>
      </c>
      <c r="M2724" s="2" t="s">
        <v>38</v>
      </c>
      <c r="N2724" s="2" t="s">
        <v>39</v>
      </c>
      <c r="O2724" s="2" t="s">
        <v>39</v>
      </c>
      <c r="P2724" s="2" t="s">
        <v>39</v>
      </c>
      <c r="Q2724" s="2" t="s">
        <v>39</v>
      </c>
      <c r="R2724" s="2" t="s">
        <v>38</v>
      </c>
      <c r="S2724" s="2" t="s">
        <v>38</v>
      </c>
      <c r="T2724" s="2" t="s">
        <v>38</v>
      </c>
      <c r="U2724" s="2" t="s">
        <v>39</v>
      </c>
      <c r="V2724" s="2" t="s">
        <v>39</v>
      </c>
      <c r="W2724" s="2" t="s">
        <v>38</v>
      </c>
      <c r="X2724" s="2" t="s">
        <v>39</v>
      </c>
      <c r="Y2724" s="2" t="s">
        <v>38</v>
      </c>
      <c r="Z2724" s="2" t="s">
        <v>38</v>
      </c>
      <c r="AA2724" s="2" t="s">
        <v>39</v>
      </c>
      <c r="AB2724" s="2" t="s">
        <v>39</v>
      </c>
      <c r="AC2724" s="2" t="s">
        <v>38</v>
      </c>
      <c r="AD2724" s="2" t="s">
        <v>38</v>
      </c>
      <c r="AE2724" s="2" t="s">
        <v>39</v>
      </c>
    </row>
    <row r="2725" spans="1:31" ht="409.5">
      <c r="A2725" s="2">
        <v>2711706</v>
      </c>
      <c r="B2725" s="2">
        <f>HYPERLINK("https://platform.v2.vetology.net/cases/2711706/screening-report/1?type=pdf&amp;v=v6&amp;scorecard=1&amp;secret_key=BX%25IJ%24%2F65ieZ%29f6", 2711706)</f>
        <v>2711706</v>
      </c>
      <c r="C2725" s="2">
        <f>HYPERLINK("https://platform.v2.vetology.net/report/v/final/"&amp;2711706, 2711706)</f>
        <v>2711706</v>
      </c>
      <c r="D2725" s="2" t="s">
        <v>8706</v>
      </c>
      <c r="E2725" s="2" t="s">
        <v>1928</v>
      </c>
      <c r="F2725" s="2" t="s">
        <v>1929</v>
      </c>
      <c r="G2725" s="2" t="s">
        <v>111</v>
      </c>
      <c r="H2725" s="2" t="s">
        <v>7300</v>
      </c>
      <c r="I2725" s="2" t="s">
        <v>73</v>
      </c>
      <c r="J2725" s="2" t="s">
        <v>74</v>
      </c>
      <c r="K2725" s="2" t="s">
        <v>38</v>
      </c>
      <c r="L2725" s="2" t="s">
        <v>39</v>
      </c>
      <c r="M2725" s="2" t="s">
        <v>38</v>
      </c>
      <c r="N2725" s="2" t="s">
        <v>38</v>
      </c>
      <c r="O2725" s="2" t="s">
        <v>38</v>
      </c>
      <c r="P2725" s="2" t="s">
        <v>39</v>
      </c>
      <c r="Q2725" s="2" t="s">
        <v>38</v>
      </c>
      <c r="R2725" s="2" t="s">
        <v>38</v>
      </c>
      <c r="S2725" s="2" t="s">
        <v>38</v>
      </c>
      <c r="T2725" s="2" t="s">
        <v>38</v>
      </c>
      <c r="U2725" s="2" t="s">
        <v>38</v>
      </c>
      <c r="V2725" s="2" t="s">
        <v>38</v>
      </c>
      <c r="W2725" s="2" t="s">
        <v>38</v>
      </c>
      <c r="X2725" s="2" t="s">
        <v>38</v>
      </c>
      <c r="Y2725" s="2" t="s">
        <v>39</v>
      </c>
      <c r="Z2725" s="2" t="s">
        <v>38</v>
      </c>
      <c r="AA2725" s="2" t="s">
        <v>38</v>
      </c>
      <c r="AB2725" s="2" t="s">
        <v>39</v>
      </c>
      <c r="AC2725" s="2" t="s">
        <v>38</v>
      </c>
      <c r="AD2725" s="2" t="s">
        <v>38</v>
      </c>
      <c r="AE2725" s="2" t="s">
        <v>40</v>
      </c>
    </row>
    <row r="2726" spans="1:31" ht="409.5">
      <c r="A2726" s="2">
        <v>2711688</v>
      </c>
      <c r="B2726" s="2">
        <f>HYPERLINK("https://platform.v2.vetology.net/cases/2711688/screening-report/1?type=pdf&amp;v=v6&amp;scorecard=1&amp;secret_key=BX%25IJ%24%2F65ieZ%29f6", 2711688)</f>
        <v>2711688</v>
      </c>
      <c r="C2726" s="2">
        <f>HYPERLINK("https://platform.v2.vetology.net/report/v/final/"&amp;2711688, 2711688)</f>
        <v>2711688</v>
      </c>
      <c r="D2726" s="2" t="s">
        <v>8707</v>
      </c>
      <c r="E2726" s="2" t="s">
        <v>8708</v>
      </c>
      <c r="F2726" s="2" t="s">
        <v>8709</v>
      </c>
      <c r="G2726" s="2" t="s">
        <v>415</v>
      </c>
      <c r="H2726" s="2" t="s">
        <v>8710</v>
      </c>
      <c r="I2726" s="2" t="s">
        <v>36</v>
      </c>
      <c r="J2726" s="2" t="s">
        <v>37</v>
      </c>
      <c r="K2726" s="2" t="s">
        <v>39</v>
      </c>
      <c r="L2726" s="2" t="s">
        <v>39</v>
      </c>
      <c r="M2726" s="2" t="s">
        <v>38</v>
      </c>
      <c r="N2726" s="2" t="s">
        <v>39</v>
      </c>
      <c r="O2726" s="2" t="s">
        <v>39</v>
      </c>
      <c r="P2726" s="2" t="s">
        <v>39</v>
      </c>
      <c r="Q2726" s="2" t="s">
        <v>39</v>
      </c>
      <c r="R2726" s="2" t="s">
        <v>38</v>
      </c>
      <c r="S2726" s="2" t="s">
        <v>38</v>
      </c>
      <c r="T2726" s="2" t="s">
        <v>39</v>
      </c>
      <c r="U2726" s="2" t="s">
        <v>39</v>
      </c>
      <c r="V2726" s="2" t="s">
        <v>39</v>
      </c>
      <c r="W2726" s="2" t="s">
        <v>38</v>
      </c>
      <c r="X2726" s="2" t="s">
        <v>39</v>
      </c>
      <c r="Y2726" s="2" t="s">
        <v>39</v>
      </c>
      <c r="Z2726" s="2" t="s">
        <v>38</v>
      </c>
      <c r="AA2726" s="2" t="s">
        <v>39</v>
      </c>
      <c r="AB2726" s="2" t="s">
        <v>39</v>
      </c>
      <c r="AC2726" s="2" t="s">
        <v>38</v>
      </c>
      <c r="AD2726" s="2" t="s">
        <v>38</v>
      </c>
      <c r="AE2726" s="2" t="s">
        <v>39</v>
      </c>
    </row>
    <row r="2727" spans="1:31" ht="409.5">
      <c r="A2727" s="2">
        <v>2711641</v>
      </c>
      <c r="B2727" s="2">
        <f>HYPERLINK("https://platform.v2.vetology.net/cases/2711641/screening-report/1?type=pdf&amp;v=v6&amp;scorecard=1&amp;secret_key=BX%25IJ%24%2F65ieZ%29f6", 2711641)</f>
        <v>2711641</v>
      </c>
      <c r="C2727" s="2">
        <f>HYPERLINK("https://platform.v2.vetology.net/report/v/final/"&amp;2711641, 2711641)</f>
        <v>2711641</v>
      </c>
      <c r="D2727" s="2" t="s">
        <v>8711</v>
      </c>
      <c r="E2727" s="2" t="s">
        <v>8712</v>
      </c>
      <c r="F2727" s="2" t="s">
        <v>8713</v>
      </c>
      <c r="G2727" s="2" t="s">
        <v>170</v>
      </c>
      <c r="H2727" s="2" t="s">
        <v>8714</v>
      </c>
      <c r="I2727" s="2" t="s">
        <v>36</v>
      </c>
      <c r="J2727" s="2" t="s">
        <v>37</v>
      </c>
      <c r="K2727" s="2" t="s">
        <v>38</v>
      </c>
      <c r="L2727" s="2" t="s">
        <v>38</v>
      </c>
      <c r="M2727" s="2" t="s">
        <v>39</v>
      </c>
      <c r="N2727" s="2" t="s">
        <v>39</v>
      </c>
      <c r="O2727" s="2" t="s">
        <v>38</v>
      </c>
      <c r="P2727" s="2" t="s">
        <v>39</v>
      </c>
      <c r="Q2727" s="2" t="s">
        <v>39</v>
      </c>
      <c r="R2727" s="2" t="s">
        <v>39</v>
      </c>
      <c r="S2727" s="2" t="s">
        <v>38</v>
      </c>
      <c r="T2727" s="2" t="s">
        <v>38</v>
      </c>
      <c r="U2727" s="2" t="s">
        <v>38</v>
      </c>
      <c r="V2727" s="2" t="s">
        <v>38</v>
      </c>
      <c r="W2727" s="2" t="s">
        <v>38</v>
      </c>
      <c r="X2727" s="2" t="s">
        <v>39</v>
      </c>
      <c r="Y2727" s="2" t="s">
        <v>39</v>
      </c>
      <c r="Z2727" s="2" t="s">
        <v>38</v>
      </c>
      <c r="AA2727" s="2" t="s">
        <v>39</v>
      </c>
      <c r="AB2727" s="2" t="s">
        <v>38</v>
      </c>
      <c r="AC2727" s="2" t="s">
        <v>38</v>
      </c>
      <c r="AD2727" s="2" t="s">
        <v>38</v>
      </c>
      <c r="AE2727" s="2" t="s">
        <v>40</v>
      </c>
    </row>
    <row r="2728" spans="1:31" ht="409.5">
      <c r="A2728" s="2">
        <v>2711584</v>
      </c>
      <c r="B2728" s="2">
        <f>HYPERLINK("https://platform.v2.vetology.net/cases/2711584/screening-report/1?type=pdf&amp;v=v6&amp;scorecard=1&amp;secret_key=BX%25IJ%24%2F65ieZ%29f6", 2711584)</f>
        <v>2711584</v>
      </c>
      <c r="C2728" s="2">
        <f>HYPERLINK("https://platform.v2.vetology.net/report/v/final/"&amp;2711584, 2711584)</f>
        <v>2711584</v>
      </c>
      <c r="D2728" s="2" t="s">
        <v>8715</v>
      </c>
      <c r="E2728" s="2" t="s">
        <v>8716</v>
      </c>
      <c r="F2728" s="2" t="s">
        <v>43</v>
      </c>
      <c r="G2728" s="2" t="s">
        <v>44</v>
      </c>
      <c r="H2728" s="2" t="s">
        <v>8717</v>
      </c>
      <c r="I2728" s="2" t="s">
        <v>73</v>
      </c>
      <c r="J2728" s="2" t="s">
        <v>74</v>
      </c>
      <c r="K2728" s="2" t="s">
        <v>38</v>
      </c>
      <c r="L2728" s="2" t="s">
        <v>38</v>
      </c>
      <c r="M2728" s="2" t="s">
        <v>38</v>
      </c>
      <c r="N2728" s="2" t="s">
        <v>38</v>
      </c>
      <c r="O2728" s="2" t="s">
        <v>38</v>
      </c>
      <c r="P2728" s="2" t="s">
        <v>38</v>
      </c>
      <c r="Q2728" s="2" t="s">
        <v>38</v>
      </c>
      <c r="R2728" s="2" t="s">
        <v>38</v>
      </c>
      <c r="S2728" s="2" t="s">
        <v>38</v>
      </c>
      <c r="T2728" s="2" t="s">
        <v>38</v>
      </c>
      <c r="U2728" s="2" t="s">
        <v>38</v>
      </c>
      <c r="V2728" s="2" t="s">
        <v>38</v>
      </c>
      <c r="W2728" s="2" t="s">
        <v>38</v>
      </c>
      <c r="X2728" s="2" t="s">
        <v>38</v>
      </c>
      <c r="Y2728" s="2" t="s">
        <v>38</v>
      </c>
      <c r="Z2728" s="2" t="s">
        <v>38</v>
      </c>
      <c r="AA2728" s="2" t="s">
        <v>38</v>
      </c>
      <c r="AB2728" s="2" t="s">
        <v>38</v>
      </c>
      <c r="AC2728" s="2" t="s">
        <v>38</v>
      </c>
      <c r="AD2728" s="2" t="s">
        <v>38</v>
      </c>
      <c r="AE2728" s="2" t="s">
        <v>40</v>
      </c>
    </row>
    <row r="2729" spans="1:31" ht="409.5">
      <c r="A2729" s="2">
        <v>2711573</v>
      </c>
      <c r="B2729" s="2">
        <f>HYPERLINK("https://platform.v2.vetology.net/cases/2711573/screening-report/1?type=pdf&amp;v=v6&amp;scorecard=1&amp;secret_key=BX%25IJ%24%2F65ieZ%29f6", 2711573)</f>
        <v>2711573</v>
      </c>
      <c r="C2729" s="2">
        <f>HYPERLINK("https://platform.v2.vetology.net/report/v/final/"&amp;2711573, 2711573)</f>
        <v>2711573</v>
      </c>
      <c r="D2729" s="2" t="s">
        <v>8718</v>
      </c>
      <c r="E2729" s="2" t="s">
        <v>8719</v>
      </c>
      <c r="F2729" s="2" t="s">
        <v>43</v>
      </c>
      <c r="G2729" s="2" t="s">
        <v>44</v>
      </c>
      <c r="H2729" s="2" t="s">
        <v>8720</v>
      </c>
      <c r="I2729" s="2" t="s">
        <v>59</v>
      </c>
      <c r="J2729" s="2" t="s">
        <v>37</v>
      </c>
      <c r="K2729" s="2" t="s">
        <v>38</v>
      </c>
      <c r="L2729" s="2" t="s">
        <v>39</v>
      </c>
      <c r="M2729" s="2" t="s">
        <v>39</v>
      </c>
      <c r="N2729" s="2" t="s">
        <v>39</v>
      </c>
      <c r="O2729" s="2" t="s">
        <v>39</v>
      </c>
      <c r="P2729" s="2" t="s">
        <v>39</v>
      </c>
      <c r="Q2729" s="2" t="s">
        <v>39</v>
      </c>
      <c r="R2729" s="2" t="s">
        <v>38</v>
      </c>
      <c r="S2729" s="2" t="s">
        <v>39</v>
      </c>
      <c r="T2729" s="2" t="s">
        <v>39</v>
      </c>
      <c r="U2729" s="2" t="s">
        <v>39</v>
      </c>
      <c r="V2729" s="2" t="s">
        <v>38</v>
      </c>
      <c r="W2729" s="2" t="s">
        <v>39</v>
      </c>
      <c r="X2729" s="2" t="s">
        <v>39</v>
      </c>
      <c r="Y2729" s="2" t="s">
        <v>38</v>
      </c>
      <c r="Z2729" s="2" t="s">
        <v>39</v>
      </c>
      <c r="AA2729" s="2" t="s">
        <v>39</v>
      </c>
      <c r="AB2729" s="2" t="s">
        <v>39</v>
      </c>
      <c r="AC2729" s="2" t="s">
        <v>38</v>
      </c>
      <c r="AD2729" s="2" t="s">
        <v>38</v>
      </c>
      <c r="AE2729" s="2"/>
    </row>
    <row r="2730" spans="1:31" ht="409.5">
      <c r="A2730" s="2">
        <v>2711569</v>
      </c>
      <c r="B2730" s="2">
        <f>HYPERLINK("https://platform.v2.vetology.net/cases/2711569/screening-report/1?type=pdf&amp;v=v6&amp;scorecard=1&amp;secret_key=BX%25IJ%24%2F65ieZ%29f6", 2711569)</f>
        <v>2711569</v>
      </c>
      <c r="C2730" s="2">
        <f>HYPERLINK("https://platform.v2.vetology.net/report/v/final/"&amp;2711569, 2711569)</f>
        <v>2711569</v>
      </c>
      <c r="D2730" s="2" t="s">
        <v>8721</v>
      </c>
      <c r="E2730" s="2" t="s">
        <v>8722</v>
      </c>
      <c r="F2730" s="2" t="s">
        <v>8723</v>
      </c>
      <c r="G2730" s="2" t="s">
        <v>111</v>
      </c>
      <c r="H2730" s="2" t="s">
        <v>8724</v>
      </c>
      <c r="I2730" s="2" t="s">
        <v>36</v>
      </c>
      <c r="J2730" s="2" t="s">
        <v>37</v>
      </c>
      <c r="K2730" s="2" t="s">
        <v>38</v>
      </c>
      <c r="L2730" s="2" t="s">
        <v>38</v>
      </c>
      <c r="M2730" s="2" t="s">
        <v>39</v>
      </c>
      <c r="N2730" s="2" t="s">
        <v>38</v>
      </c>
      <c r="O2730" s="2" t="s">
        <v>38</v>
      </c>
      <c r="P2730" s="2" t="s">
        <v>39</v>
      </c>
      <c r="Q2730" s="2" t="s">
        <v>39</v>
      </c>
      <c r="R2730" s="2" t="s">
        <v>38</v>
      </c>
      <c r="S2730" s="2" t="s">
        <v>39</v>
      </c>
      <c r="T2730" s="2" t="s">
        <v>39</v>
      </c>
      <c r="U2730" s="2" t="s">
        <v>39</v>
      </c>
      <c r="V2730" s="2" t="s">
        <v>38</v>
      </c>
      <c r="W2730" s="2" t="s">
        <v>38</v>
      </c>
      <c r="X2730" s="2" t="s">
        <v>39</v>
      </c>
      <c r="Y2730" s="2" t="s">
        <v>39</v>
      </c>
      <c r="Z2730" s="2" t="s">
        <v>38</v>
      </c>
      <c r="AA2730" s="2" t="s">
        <v>38</v>
      </c>
      <c r="AB2730" s="2" t="s">
        <v>39</v>
      </c>
      <c r="AC2730" s="2" t="s">
        <v>38</v>
      </c>
      <c r="AD2730" s="2" t="s">
        <v>38</v>
      </c>
      <c r="AE2730" s="2" t="s">
        <v>39</v>
      </c>
    </row>
    <row r="2731" spans="1:31" ht="409.5">
      <c r="A2731" s="2">
        <v>2711546</v>
      </c>
      <c r="B2731" s="2">
        <f>HYPERLINK("https://platform.v2.vetology.net/cases/2711546/screening-report/1?type=pdf&amp;v=v6&amp;scorecard=1&amp;secret_key=BX%25IJ%24%2F65ieZ%29f6", 2711546)</f>
        <v>2711546</v>
      </c>
      <c r="C2731" s="2">
        <f>HYPERLINK("https://platform.v2.vetology.net/report/v/final/"&amp;2711546, 2711546)</f>
        <v>2711546</v>
      </c>
      <c r="D2731" s="2" t="s">
        <v>8725</v>
      </c>
      <c r="E2731" s="2" t="s">
        <v>8726</v>
      </c>
      <c r="F2731" s="2" t="s">
        <v>8727</v>
      </c>
      <c r="G2731" s="2" t="s">
        <v>111</v>
      </c>
      <c r="H2731" s="2" t="s">
        <v>69</v>
      </c>
      <c r="I2731" s="2" t="s">
        <v>36</v>
      </c>
      <c r="J2731" s="2" t="s">
        <v>37</v>
      </c>
      <c r="K2731" s="2" t="s">
        <v>39</v>
      </c>
      <c r="L2731" s="2" t="s">
        <v>39</v>
      </c>
      <c r="M2731" s="2" t="s">
        <v>39</v>
      </c>
      <c r="N2731" s="2" t="s">
        <v>39</v>
      </c>
      <c r="O2731" s="2" t="s">
        <v>38</v>
      </c>
      <c r="P2731" s="2" t="s">
        <v>39</v>
      </c>
      <c r="Q2731" s="2" t="s">
        <v>39</v>
      </c>
      <c r="R2731" s="2" t="s">
        <v>39</v>
      </c>
      <c r="S2731" s="2" t="s">
        <v>39</v>
      </c>
      <c r="T2731" s="2" t="s">
        <v>39</v>
      </c>
      <c r="U2731" s="2" t="s">
        <v>39</v>
      </c>
      <c r="V2731" s="2" t="s">
        <v>39</v>
      </c>
      <c r="W2731" s="2" t="s">
        <v>38</v>
      </c>
      <c r="X2731" s="2" t="s">
        <v>39</v>
      </c>
      <c r="Y2731" s="2" t="s">
        <v>39</v>
      </c>
      <c r="Z2731" s="2" t="s">
        <v>39</v>
      </c>
      <c r="AA2731" s="2" t="s">
        <v>39</v>
      </c>
      <c r="AB2731" s="2" t="s">
        <v>39</v>
      </c>
      <c r="AC2731" s="2" t="s">
        <v>38</v>
      </c>
      <c r="AD2731" s="2" t="s">
        <v>38</v>
      </c>
      <c r="AE2731" s="2" t="s">
        <v>39</v>
      </c>
    </row>
    <row r="2732" spans="1:31" ht="409.5">
      <c r="A2732" s="2">
        <v>2711545</v>
      </c>
      <c r="B2732" s="2">
        <f>HYPERLINK("https://platform.v2.vetology.net/cases/2711545/screening-report/1?type=pdf&amp;v=v6&amp;scorecard=1&amp;secret_key=BX%25IJ%24%2F65ieZ%29f6", 2711545)</f>
        <v>2711545</v>
      </c>
      <c r="C2732" s="2">
        <f>HYPERLINK("https://platform.v2.vetology.net/report/v/final/"&amp;2711545, 2711545)</f>
        <v>2711545</v>
      </c>
      <c r="D2732" s="2" t="s">
        <v>8728</v>
      </c>
      <c r="E2732" s="2" t="s">
        <v>8729</v>
      </c>
      <c r="F2732" s="2" t="s">
        <v>8730</v>
      </c>
      <c r="G2732" s="2" t="s">
        <v>53</v>
      </c>
      <c r="H2732" s="2" t="s">
        <v>8731</v>
      </c>
      <c r="I2732" s="2" t="s">
        <v>129</v>
      </c>
      <c r="J2732" s="2" t="s">
        <v>74</v>
      </c>
      <c r="K2732" s="2" t="s">
        <v>38</v>
      </c>
      <c r="L2732" s="2" t="s">
        <v>38</v>
      </c>
      <c r="M2732" s="2" t="s">
        <v>38</v>
      </c>
      <c r="N2732" s="2" t="s">
        <v>38</v>
      </c>
      <c r="O2732" s="2" t="s">
        <v>38</v>
      </c>
      <c r="P2732" s="2" t="s">
        <v>38</v>
      </c>
      <c r="Q2732" s="2" t="s">
        <v>38</v>
      </c>
      <c r="R2732" s="2" t="s">
        <v>38</v>
      </c>
      <c r="S2732" s="2" t="s">
        <v>38</v>
      </c>
      <c r="T2732" s="2" t="s">
        <v>38</v>
      </c>
      <c r="U2732" s="2" t="s">
        <v>39</v>
      </c>
      <c r="V2732" s="2" t="s">
        <v>38</v>
      </c>
      <c r="W2732" s="2" t="s">
        <v>38</v>
      </c>
      <c r="X2732" s="2" t="s">
        <v>38</v>
      </c>
      <c r="Y2732" s="2" t="s">
        <v>38</v>
      </c>
      <c r="Z2732" s="2" t="s">
        <v>38</v>
      </c>
      <c r="AA2732" s="2" t="s">
        <v>38</v>
      </c>
      <c r="AB2732" s="2" t="s">
        <v>38</v>
      </c>
      <c r="AC2732" s="2" t="s">
        <v>38</v>
      </c>
      <c r="AD2732" s="2" t="s">
        <v>38</v>
      </c>
      <c r="AE2732" s="2" t="s">
        <v>39</v>
      </c>
    </row>
    <row r="2733" spans="1:31" ht="409.5">
      <c r="A2733" s="2">
        <v>2711536</v>
      </c>
      <c r="B2733" s="2">
        <f>HYPERLINK("https://platform.v2.vetology.net/cases/2711536/screening-report/1?type=pdf&amp;v=v6&amp;scorecard=1&amp;secret_key=BX%25IJ%24%2F65ieZ%29f6", 2711536)</f>
        <v>2711536</v>
      </c>
      <c r="C2733" s="2">
        <f>HYPERLINK("https://platform.v2.vetology.net/report/v/final/"&amp;2711536, 2711536)</f>
        <v>2711536</v>
      </c>
      <c r="D2733" s="2" t="s">
        <v>8732</v>
      </c>
      <c r="E2733" s="2" t="s">
        <v>8733</v>
      </c>
      <c r="F2733" s="2" t="s">
        <v>8734</v>
      </c>
      <c r="G2733" s="2" t="s">
        <v>111</v>
      </c>
      <c r="H2733" s="2" t="s">
        <v>561</v>
      </c>
      <c r="I2733" s="2" t="s">
        <v>36</v>
      </c>
      <c r="J2733" s="2" t="s">
        <v>37</v>
      </c>
      <c r="K2733" s="2" t="s">
        <v>39</v>
      </c>
      <c r="L2733" s="2" t="s">
        <v>38</v>
      </c>
      <c r="M2733" s="2" t="s">
        <v>38</v>
      </c>
      <c r="N2733" s="2" t="s">
        <v>38</v>
      </c>
      <c r="O2733" s="2" t="s">
        <v>38</v>
      </c>
      <c r="P2733" s="2" t="s">
        <v>39</v>
      </c>
      <c r="Q2733" s="2" t="s">
        <v>39</v>
      </c>
      <c r="R2733" s="2" t="s">
        <v>38</v>
      </c>
      <c r="S2733" s="2" t="s">
        <v>38</v>
      </c>
      <c r="T2733" s="2" t="s">
        <v>39</v>
      </c>
      <c r="U2733" s="2" t="s">
        <v>39</v>
      </c>
      <c r="V2733" s="2" t="s">
        <v>39</v>
      </c>
      <c r="W2733" s="2" t="s">
        <v>38</v>
      </c>
      <c r="X2733" s="2" t="s">
        <v>39</v>
      </c>
      <c r="Y2733" s="2" t="s">
        <v>39</v>
      </c>
      <c r="Z2733" s="2" t="s">
        <v>38</v>
      </c>
      <c r="AA2733" s="2" t="s">
        <v>38</v>
      </c>
      <c r="AB2733" s="2" t="s">
        <v>39</v>
      </c>
      <c r="AC2733" s="2" t="s">
        <v>38</v>
      </c>
      <c r="AD2733" s="2" t="s">
        <v>38</v>
      </c>
      <c r="AE2733" s="2" t="s">
        <v>40</v>
      </c>
    </row>
    <row r="2734" spans="1:31" ht="409.5">
      <c r="A2734" s="2">
        <v>2711514</v>
      </c>
      <c r="B2734" s="2">
        <f>HYPERLINK("https://platform.v2.vetology.net/cases/2711514/screening-report/1?type=pdf&amp;v=v6&amp;scorecard=1&amp;secret_key=BX%25IJ%24%2F65ieZ%29f6", 2711514)</f>
        <v>2711514</v>
      </c>
      <c r="C2734" s="2">
        <f>HYPERLINK("https://platform.v2.vetology.net/report/v/final/"&amp;2711514, 2711514)</f>
        <v>2711514</v>
      </c>
      <c r="D2734" s="2" t="s">
        <v>8735</v>
      </c>
      <c r="E2734" s="2" t="s">
        <v>8736</v>
      </c>
      <c r="F2734" s="2" t="s">
        <v>8737</v>
      </c>
      <c r="G2734" s="2" t="s">
        <v>111</v>
      </c>
      <c r="H2734" s="2" t="s">
        <v>8738</v>
      </c>
      <c r="I2734" s="2" t="s">
        <v>73</v>
      </c>
      <c r="J2734" s="2" t="s">
        <v>74</v>
      </c>
      <c r="K2734" s="2" t="s">
        <v>38</v>
      </c>
      <c r="L2734" s="2" t="s">
        <v>38</v>
      </c>
      <c r="M2734" s="2" t="s">
        <v>38</v>
      </c>
      <c r="N2734" s="2" t="s">
        <v>38</v>
      </c>
      <c r="O2734" s="2" t="s">
        <v>38</v>
      </c>
      <c r="P2734" s="2" t="s">
        <v>39</v>
      </c>
      <c r="Q2734" s="2" t="s">
        <v>38</v>
      </c>
      <c r="R2734" s="2" t="s">
        <v>38</v>
      </c>
      <c r="S2734" s="2" t="s">
        <v>39</v>
      </c>
      <c r="T2734" s="2" t="s">
        <v>38</v>
      </c>
      <c r="U2734" s="2" t="s">
        <v>39</v>
      </c>
      <c r="V2734" s="2" t="s">
        <v>38</v>
      </c>
      <c r="W2734" s="2" t="s">
        <v>38</v>
      </c>
      <c r="X2734" s="2" t="s">
        <v>38</v>
      </c>
      <c r="Y2734" s="2" t="s">
        <v>39</v>
      </c>
      <c r="Z2734" s="2" t="s">
        <v>38</v>
      </c>
      <c r="AA2734" s="2" t="s">
        <v>38</v>
      </c>
      <c r="AB2734" s="2" t="s">
        <v>38</v>
      </c>
      <c r="AC2734" s="2" t="s">
        <v>38</v>
      </c>
      <c r="AD2734" s="2" t="s">
        <v>39</v>
      </c>
      <c r="AE2734" s="2" t="s">
        <v>39</v>
      </c>
    </row>
    <row r="2735" spans="1:31" ht="409.5">
      <c r="A2735" s="2">
        <v>2711513</v>
      </c>
      <c r="B2735" s="2">
        <f>HYPERLINK("https://platform.v2.vetology.net/cases/2711513/screening-report/1?type=pdf&amp;v=v6&amp;scorecard=1&amp;secret_key=BX%25IJ%24%2F65ieZ%29f6", 2711513)</f>
        <v>2711513</v>
      </c>
      <c r="C2735" s="2">
        <f>HYPERLINK("https://platform.v2.vetology.net/report/v/final/"&amp;2711513, 2711513)</f>
        <v>2711513</v>
      </c>
      <c r="D2735" s="2" t="s">
        <v>8739</v>
      </c>
      <c r="E2735" s="2" t="s">
        <v>8740</v>
      </c>
      <c r="F2735" s="2" t="s">
        <v>8741</v>
      </c>
      <c r="G2735" s="2" t="s">
        <v>53</v>
      </c>
      <c r="H2735" s="2" t="s">
        <v>8742</v>
      </c>
      <c r="I2735" s="2" t="s">
        <v>129</v>
      </c>
      <c r="J2735" s="2" t="s">
        <v>74</v>
      </c>
      <c r="K2735" s="2" t="s">
        <v>38</v>
      </c>
      <c r="L2735" s="2" t="s">
        <v>39</v>
      </c>
      <c r="M2735" s="2" t="s">
        <v>38</v>
      </c>
      <c r="N2735" s="2" t="s">
        <v>38</v>
      </c>
      <c r="O2735" s="2" t="s">
        <v>38</v>
      </c>
      <c r="P2735" s="2" t="s">
        <v>38</v>
      </c>
      <c r="Q2735" s="2" t="s">
        <v>38</v>
      </c>
      <c r="R2735" s="2" t="s">
        <v>39</v>
      </c>
      <c r="S2735" s="2" t="s">
        <v>38</v>
      </c>
      <c r="T2735" s="2" t="s">
        <v>38</v>
      </c>
      <c r="U2735" s="2" t="s">
        <v>39</v>
      </c>
      <c r="V2735" s="2" t="s">
        <v>38</v>
      </c>
      <c r="W2735" s="2" t="s">
        <v>38</v>
      </c>
      <c r="X2735" s="2" t="s">
        <v>38</v>
      </c>
      <c r="Y2735" s="2" t="s">
        <v>39</v>
      </c>
      <c r="Z2735" s="2" t="s">
        <v>38</v>
      </c>
      <c r="AA2735" s="2" t="s">
        <v>38</v>
      </c>
      <c r="AB2735" s="2" t="s">
        <v>38</v>
      </c>
      <c r="AC2735" s="2" t="s">
        <v>38</v>
      </c>
      <c r="AD2735" s="2" t="s">
        <v>38</v>
      </c>
      <c r="AE2735" s="2" t="s">
        <v>39</v>
      </c>
    </row>
    <row r="2736" spans="1:31" ht="409.5">
      <c r="A2736" s="2">
        <v>2711506</v>
      </c>
      <c r="B2736" s="2">
        <f>HYPERLINK("https://platform.v2.vetology.net/cases/2711506/screening-report/1?type=pdf&amp;v=v6&amp;scorecard=1&amp;secret_key=BX%25IJ%24%2F65ieZ%29f6", 2711506)</f>
        <v>2711506</v>
      </c>
      <c r="C2736" s="2">
        <f>HYPERLINK("https://platform.v2.vetology.net/report/v/final/"&amp;2711506, 2711506)</f>
        <v>2711506</v>
      </c>
      <c r="D2736" s="2" t="s">
        <v>3771</v>
      </c>
      <c r="E2736" s="2" t="s">
        <v>8743</v>
      </c>
      <c r="F2736" s="2" t="s">
        <v>3291</v>
      </c>
      <c r="G2736" s="2" t="s">
        <v>100</v>
      </c>
      <c r="H2736" s="2" t="s">
        <v>8744</v>
      </c>
      <c r="I2736" s="2" t="s">
        <v>257</v>
      </c>
      <c r="J2736" s="2" t="s">
        <v>74</v>
      </c>
      <c r="K2736" s="2" t="s">
        <v>38</v>
      </c>
      <c r="L2736" s="2" t="s">
        <v>38</v>
      </c>
      <c r="M2736" s="2" t="s">
        <v>38</v>
      </c>
      <c r="N2736" s="2" t="s">
        <v>38</v>
      </c>
      <c r="O2736" s="2" t="s">
        <v>38</v>
      </c>
      <c r="P2736" s="2" t="s">
        <v>38</v>
      </c>
      <c r="Q2736" s="2" t="s">
        <v>38</v>
      </c>
      <c r="R2736" s="2" t="s">
        <v>38</v>
      </c>
      <c r="S2736" s="2" t="s">
        <v>38</v>
      </c>
      <c r="T2736" s="2" t="s">
        <v>38</v>
      </c>
      <c r="U2736" s="2" t="s">
        <v>38</v>
      </c>
      <c r="V2736" s="2" t="s">
        <v>38</v>
      </c>
      <c r="W2736" s="2" t="s">
        <v>38</v>
      </c>
      <c r="X2736" s="2" t="s">
        <v>38</v>
      </c>
      <c r="Y2736" s="2" t="s">
        <v>38</v>
      </c>
      <c r="Z2736" s="2" t="s">
        <v>38</v>
      </c>
      <c r="AA2736" s="2" t="s">
        <v>38</v>
      </c>
      <c r="AB2736" s="2" t="s">
        <v>38</v>
      </c>
      <c r="AC2736" s="2" t="s">
        <v>38</v>
      </c>
      <c r="AD2736" s="2" t="s">
        <v>38</v>
      </c>
      <c r="AE2736" s="2" t="s">
        <v>40</v>
      </c>
    </row>
    <row r="2737" spans="1:31" ht="409.5">
      <c r="A2737" s="2">
        <v>2711487</v>
      </c>
      <c r="B2737" s="2">
        <f>HYPERLINK("https://platform.v2.vetology.net/cases/2711487/screening-report/1?type=pdf&amp;v=v6&amp;scorecard=1&amp;secret_key=BX%25IJ%24%2F65ieZ%29f6", 2711487)</f>
        <v>2711487</v>
      </c>
      <c r="C2737" s="2">
        <f>HYPERLINK("https://platform.v2.vetology.net/report/v/final/"&amp;2711487, 2711487)</f>
        <v>2711487</v>
      </c>
      <c r="D2737" s="2" t="s">
        <v>8745</v>
      </c>
      <c r="E2737" s="2" t="s">
        <v>8746</v>
      </c>
      <c r="F2737" s="2" t="s">
        <v>43</v>
      </c>
      <c r="G2737" s="2" t="s">
        <v>44</v>
      </c>
      <c r="H2737" s="2" t="s">
        <v>69</v>
      </c>
      <c r="I2737" s="2" t="s">
        <v>46</v>
      </c>
      <c r="J2737" s="2"/>
      <c r="K2737" s="2" t="s">
        <v>39</v>
      </c>
      <c r="L2737" s="2" t="s">
        <v>39</v>
      </c>
      <c r="M2737" s="2" t="s">
        <v>39</v>
      </c>
      <c r="N2737" s="2" t="s">
        <v>39</v>
      </c>
      <c r="O2737" s="2" t="s">
        <v>39</v>
      </c>
      <c r="P2737" s="2" t="s">
        <v>39</v>
      </c>
      <c r="Q2737" s="2" t="s">
        <v>39</v>
      </c>
      <c r="R2737" s="2" t="s">
        <v>39</v>
      </c>
      <c r="S2737" s="2" t="s">
        <v>39</v>
      </c>
      <c r="T2737" s="2" t="s">
        <v>39</v>
      </c>
      <c r="U2737" s="2" t="s">
        <v>39</v>
      </c>
      <c r="V2737" s="2" t="s">
        <v>38</v>
      </c>
      <c r="W2737" s="2" t="s">
        <v>39</v>
      </c>
      <c r="X2737" s="2" t="s">
        <v>39</v>
      </c>
      <c r="Y2737" s="2" t="s">
        <v>39</v>
      </c>
      <c r="Z2737" s="2" t="s">
        <v>39</v>
      </c>
      <c r="AA2737" s="2" t="s">
        <v>39</v>
      </c>
      <c r="AB2737" s="2" t="s">
        <v>39</v>
      </c>
      <c r="AC2737" s="2" t="s">
        <v>38</v>
      </c>
      <c r="AD2737" s="2" t="s">
        <v>38</v>
      </c>
      <c r="AE2737" s="2" t="s">
        <v>40</v>
      </c>
    </row>
    <row r="2738" spans="1:31" ht="409.5">
      <c r="A2738" s="2">
        <v>2711438</v>
      </c>
      <c r="B2738" s="2">
        <f>HYPERLINK("https://platform.v2.vetology.net/cases/2711438/screening-report/1?type=pdf&amp;v=v6&amp;scorecard=1&amp;secret_key=BX%25IJ%24%2F65ieZ%29f6", 2711438)</f>
        <v>2711438</v>
      </c>
      <c r="C2738" s="2">
        <f>HYPERLINK("https://platform.v2.vetology.net/report/v/final/"&amp;2711438, 2711438)</f>
        <v>2711438</v>
      </c>
      <c r="D2738" s="2" t="s">
        <v>8747</v>
      </c>
      <c r="E2738" s="2" t="s">
        <v>8748</v>
      </c>
      <c r="F2738" s="2"/>
      <c r="G2738" s="2" t="s">
        <v>100</v>
      </c>
      <c r="H2738" s="2" t="s">
        <v>8749</v>
      </c>
      <c r="I2738" s="2" t="s">
        <v>36</v>
      </c>
      <c r="J2738" s="2" t="s">
        <v>37</v>
      </c>
      <c r="K2738" s="2" t="s">
        <v>39</v>
      </c>
      <c r="L2738" s="2" t="s">
        <v>39</v>
      </c>
      <c r="M2738" s="2" t="s">
        <v>38</v>
      </c>
      <c r="N2738" s="2" t="s">
        <v>39</v>
      </c>
      <c r="O2738" s="2" t="s">
        <v>38</v>
      </c>
      <c r="P2738" s="2" t="s">
        <v>39</v>
      </c>
      <c r="Q2738" s="2" t="s">
        <v>39</v>
      </c>
      <c r="R2738" s="2" t="s">
        <v>38</v>
      </c>
      <c r="S2738" s="2" t="s">
        <v>39</v>
      </c>
      <c r="T2738" s="2" t="s">
        <v>38</v>
      </c>
      <c r="U2738" s="2" t="s">
        <v>39</v>
      </c>
      <c r="V2738" s="2" t="s">
        <v>39</v>
      </c>
      <c r="W2738" s="2" t="s">
        <v>38</v>
      </c>
      <c r="X2738" s="2" t="s">
        <v>39</v>
      </c>
      <c r="Y2738" s="2" t="s">
        <v>39</v>
      </c>
      <c r="Z2738" s="2" t="s">
        <v>38</v>
      </c>
      <c r="AA2738" s="2" t="s">
        <v>39</v>
      </c>
      <c r="AB2738" s="2" t="s">
        <v>39</v>
      </c>
      <c r="AC2738" s="2" t="s">
        <v>38</v>
      </c>
      <c r="AD2738" s="2" t="s">
        <v>39</v>
      </c>
      <c r="AE2738" s="2" t="s">
        <v>39</v>
      </c>
    </row>
    <row r="2739" spans="1:31" ht="409.5">
      <c r="A2739" s="2">
        <v>2711378</v>
      </c>
      <c r="B2739" s="2">
        <f>HYPERLINK("https://platform.v2.vetology.net/cases/2711378/screening-report/1?type=pdf&amp;v=v6&amp;scorecard=1&amp;secret_key=BX%25IJ%24%2F65ieZ%29f6", 2711378)</f>
        <v>2711378</v>
      </c>
      <c r="C2739" s="2">
        <f>HYPERLINK("https://platform.v2.vetology.net/report/v/final/"&amp;2711378, 2711378)</f>
        <v>2711378</v>
      </c>
      <c r="D2739" s="2" t="s">
        <v>8750</v>
      </c>
      <c r="E2739" s="2" t="s">
        <v>8751</v>
      </c>
      <c r="F2739" s="2" t="s">
        <v>43</v>
      </c>
      <c r="G2739" s="2" t="s">
        <v>44</v>
      </c>
      <c r="H2739" s="2" t="s">
        <v>8752</v>
      </c>
      <c r="I2739" s="2" t="s">
        <v>36</v>
      </c>
      <c r="J2739" s="2" t="s">
        <v>37</v>
      </c>
      <c r="K2739" s="2" t="s">
        <v>38</v>
      </c>
      <c r="L2739" s="2" t="s">
        <v>38</v>
      </c>
      <c r="M2739" s="2" t="s">
        <v>39</v>
      </c>
      <c r="N2739" s="2" t="s">
        <v>38</v>
      </c>
      <c r="O2739" s="2" t="s">
        <v>38</v>
      </c>
      <c r="P2739" s="2" t="s">
        <v>39</v>
      </c>
      <c r="Q2739" s="2" t="s">
        <v>39</v>
      </c>
      <c r="R2739" s="2" t="s">
        <v>39</v>
      </c>
      <c r="S2739" s="2" t="s">
        <v>39</v>
      </c>
      <c r="T2739" s="2" t="s">
        <v>39</v>
      </c>
      <c r="U2739" s="2" t="s">
        <v>38</v>
      </c>
      <c r="V2739" s="2" t="s">
        <v>38</v>
      </c>
      <c r="W2739" s="2" t="s">
        <v>38</v>
      </c>
      <c r="X2739" s="2" t="s">
        <v>39</v>
      </c>
      <c r="Y2739" s="2" t="s">
        <v>39</v>
      </c>
      <c r="Z2739" s="2" t="s">
        <v>38</v>
      </c>
      <c r="AA2739" s="2" t="s">
        <v>39</v>
      </c>
      <c r="AB2739" s="2" t="s">
        <v>39</v>
      </c>
      <c r="AC2739" s="2" t="s">
        <v>38</v>
      </c>
      <c r="AD2739" s="2" t="s">
        <v>39</v>
      </c>
      <c r="AE2739" s="2" t="s">
        <v>40</v>
      </c>
    </row>
    <row r="2740" spans="1:31" ht="409.5">
      <c r="A2740" s="2">
        <v>2711372</v>
      </c>
      <c r="B2740" s="2">
        <f>HYPERLINK("https://platform.v2.vetology.net/cases/2711372/screening-report/1?type=pdf&amp;v=v6&amp;scorecard=1&amp;secret_key=BX%25IJ%24%2F65ieZ%29f6", 2711372)</f>
        <v>2711372</v>
      </c>
      <c r="C2740" s="2">
        <f>HYPERLINK("https://platform.v2.vetology.net/report/v/final/"&amp;2711372, 2711372)</f>
        <v>2711372</v>
      </c>
      <c r="D2740" s="2" t="s">
        <v>8753</v>
      </c>
      <c r="E2740" s="2" t="s">
        <v>8754</v>
      </c>
      <c r="F2740" s="2" t="s">
        <v>8755</v>
      </c>
      <c r="G2740" s="2" t="s">
        <v>34</v>
      </c>
      <c r="H2740" s="2" t="s">
        <v>69</v>
      </c>
      <c r="I2740" s="2" t="s">
        <v>46</v>
      </c>
      <c r="J2740" s="2"/>
      <c r="K2740" s="2" t="s">
        <v>39</v>
      </c>
      <c r="L2740" s="2" t="s">
        <v>39</v>
      </c>
      <c r="M2740" s="2" t="s">
        <v>39</v>
      </c>
      <c r="N2740" s="2" t="s">
        <v>39</v>
      </c>
      <c r="O2740" s="2" t="s">
        <v>39</v>
      </c>
      <c r="P2740" s="2" t="s">
        <v>39</v>
      </c>
      <c r="Q2740" s="2" t="s">
        <v>39</v>
      </c>
      <c r="R2740" s="2" t="s">
        <v>39</v>
      </c>
      <c r="S2740" s="2" t="s">
        <v>39</v>
      </c>
      <c r="T2740" s="2" t="s">
        <v>39</v>
      </c>
      <c r="U2740" s="2" t="s">
        <v>39</v>
      </c>
      <c r="V2740" s="2" t="s">
        <v>39</v>
      </c>
      <c r="W2740" s="2" t="s">
        <v>39</v>
      </c>
      <c r="X2740" s="2" t="s">
        <v>39</v>
      </c>
      <c r="Y2740" s="2" t="s">
        <v>39</v>
      </c>
      <c r="Z2740" s="2" t="s">
        <v>39</v>
      </c>
      <c r="AA2740" s="2" t="s">
        <v>39</v>
      </c>
      <c r="AB2740" s="2" t="s">
        <v>39</v>
      </c>
      <c r="AC2740" s="2" t="s">
        <v>38</v>
      </c>
      <c r="AD2740" s="2" t="s">
        <v>38</v>
      </c>
      <c r="AE2740" s="2" t="s">
        <v>39</v>
      </c>
    </row>
    <row r="2741" spans="1:31" ht="409.5">
      <c r="A2741" s="2">
        <v>2711362</v>
      </c>
      <c r="B2741" s="2">
        <f>HYPERLINK("https://platform.v2.vetology.net/cases/2711362/screening-report/1?type=pdf&amp;v=v6&amp;scorecard=1&amp;secret_key=BX%25IJ%24%2F65ieZ%29f6", 2711362)</f>
        <v>2711362</v>
      </c>
      <c r="C2741" s="2">
        <f>HYPERLINK("https://platform.v2.vetology.net/report/v/final/"&amp;2711362, 2711362)</f>
        <v>2711362</v>
      </c>
      <c r="D2741" s="2" t="s">
        <v>8756</v>
      </c>
      <c r="E2741" s="2" t="s">
        <v>8757</v>
      </c>
      <c r="F2741" s="2" t="s">
        <v>8758</v>
      </c>
      <c r="G2741" s="2" t="s">
        <v>127</v>
      </c>
      <c r="H2741" s="2" t="s">
        <v>8759</v>
      </c>
      <c r="I2741" s="2" t="s">
        <v>36</v>
      </c>
      <c r="J2741" s="2" t="s">
        <v>37</v>
      </c>
      <c r="K2741" s="2" t="s">
        <v>39</v>
      </c>
      <c r="L2741" s="2" t="s">
        <v>38</v>
      </c>
      <c r="M2741" s="2" t="s">
        <v>38</v>
      </c>
      <c r="N2741" s="2" t="s">
        <v>38</v>
      </c>
      <c r="O2741" s="2" t="s">
        <v>38</v>
      </c>
      <c r="P2741" s="2" t="s">
        <v>39</v>
      </c>
      <c r="Q2741" s="2" t="s">
        <v>39</v>
      </c>
      <c r="R2741" s="2" t="s">
        <v>38</v>
      </c>
      <c r="S2741" s="2" t="s">
        <v>38</v>
      </c>
      <c r="T2741" s="2" t="s">
        <v>39</v>
      </c>
      <c r="U2741" s="2" t="s">
        <v>39</v>
      </c>
      <c r="V2741" s="2" t="s">
        <v>39</v>
      </c>
      <c r="W2741" s="2" t="s">
        <v>38</v>
      </c>
      <c r="X2741" s="2" t="s">
        <v>39</v>
      </c>
      <c r="Y2741" s="2" t="s">
        <v>39</v>
      </c>
      <c r="Z2741" s="2" t="s">
        <v>38</v>
      </c>
      <c r="AA2741" s="2" t="s">
        <v>38</v>
      </c>
      <c r="AB2741" s="2" t="s">
        <v>39</v>
      </c>
      <c r="AC2741" s="2" t="s">
        <v>38</v>
      </c>
      <c r="AD2741" s="2" t="s">
        <v>39</v>
      </c>
      <c r="AE2741" s="2" t="s">
        <v>39</v>
      </c>
    </row>
    <row r="2742" spans="1:31" ht="409.5">
      <c r="A2742" s="2">
        <v>2711350</v>
      </c>
      <c r="B2742" s="2">
        <f>HYPERLINK("https://platform.v2.vetology.net/cases/2711350/screening-report/1?type=pdf&amp;v=v6&amp;scorecard=1&amp;secret_key=BX%25IJ%24%2F65ieZ%29f6", 2711350)</f>
        <v>2711350</v>
      </c>
      <c r="C2742" s="2">
        <f>HYPERLINK("https://platform.v2.vetology.net/report/v/final/"&amp;2711350, 2711350)</f>
        <v>2711350</v>
      </c>
      <c r="D2742" s="2" t="s">
        <v>8760</v>
      </c>
      <c r="E2742" s="2" t="s">
        <v>8761</v>
      </c>
      <c r="F2742" s="2" t="s">
        <v>8762</v>
      </c>
      <c r="G2742" s="2" t="s">
        <v>127</v>
      </c>
      <c r="H2742" s="2" t="s">
        <v>8763</v>
      </c>
      <c r="I2742" s="2" t="s">
        <v>129</v>
      </c>
      <c r="J2742" s="2" t="s">
        <v>74</v>
      </c>
      <c r="K2742" s="2" t="s">
        <v>39</v>
      </c>
      <c r="L2742" s="2" t="s">
        <v>38</v>
      </c>
      <c r="M2742" s="2" t="s">
        <v>38</v>
      </c>
      <c r="N2742" s="2" t="s">
        <v>39</v>
      </c>
      <c r="O2742" s="2" t="s">
        <v>38</v>
      </c>
      <c r="P2742" s="2" t="s">
        <v>39</v>
      </c>
      <c r="Q2742" s="2" t="s">
        <v>38</v>
      </c>
      <c r="R2742" s="2" t="s">
        <v>39</v>
      </c>
      <c r="S2742" s="2" t="s">
        <v>39</v>
      </c>
      <c r="T2742" s="2" t="s">
        <v>39</v>
      </c>
      <c r="U2742" s="2" t="s">
        <v>39</v>
      </c>
      <c r="V2742" s="2" t="s">
        <v>39</v>
      </c>
      <c r="W2742" s="2" t="s">
        <v>39</v>
      </c>
      <c r="X2742" s="2" t="s">
        <v>38</v>
      </c>
      <c r="Y2742" s="2" t="s">
        <v>39</v>
      </c>
      <c r="Z2742" s="2" t="s">
        <v>38</v>
      </c>
      <c r="AA2742" s="2" t="s">
        <v>39</v>
      </c>
      <c r="AB2742" s="2" t="s">
        <v>38</v>
      </c>
      <c r="AC2742" s="2" t="s">
        <v>38</v>
      </c>
      <c r="AD2742" s="2" t="s">
        <v>38</v>
      </c>
      <c r="AE2742" s="2" t="s">
        <v>40</v>
      </c>
    </row>
    <row r="2743" spans="1:31" ht="409.5">
      <c r="A2743" s="2">
        <v>2711343</v>
      </c>
      <c r="B2743" s="2">
        <f>HYPERLINK("https://platform.v2.vetology.net/cases/2711343/screening-report/1?type=pdf&amp;v=v6&amp;scorecard=1&amp;secret_key=BX%25IJ%24%2F65ieZ%29f6", 2711343)</f>
        <v>2711343</v>
      </c>
      <c r="C2743" s="2">
        <f>HYPERLINK("https://platform.v2.vetology.net/report/v/final/"&amp;2711343, 2711343)</f>
        <v>2711343</v>
      </c>
      <c r="D2743" s="2" t="s">
        <v>8764</v>
      </c>
      <c r="E2743" s="2" t="s">
        <v>8765</v>
      </c>
      <c r="F2743" s="2" t="s">
        <v>8766</v>
      </c>
      <c r="G2743" s="2" t="s">
        <v>34</v>
      </c>
      <c r="H2743" s="2" t="s">
        <v>8767</v>
      </c>
      <c r="I2743" s="2" t="s">
        <v>73</v>
      </c>
      <c r="J2743" s="2" t="s">
        <v>74</v>
      </c>
      <c r="K2743" s="2" t="s">
        <v>38</v>
      </c>
      <c r="L2743" s="2" t="s">
        <v>38</v>
      </c>
      <c r="M2743" s="2" t="s">
        <v>38</v>
      </c>
      <c r="N2743" s="2" t="s">
        <v>38</v>
      </c>
      <c r="O2743" s="2" t="s">
        <v>38</v>
      </c>
      <c r="P2743" s="2" t="s">
        <v>38</v>
      </c>
      <c r="Q2743" s="2" t="s">
        <v>38</v>
      </c>
      <c r="R2743" s="2" t="s">
        <v>38</v>
      </c>
      <c r="S2743" s="2" t="s">
        <v>38</v>
      </c>
      <c r="T2743" s="2" t="s">
        <v>38</v>
      </c>
      <c r="U2743" s="2" t="s">
        <v>38</v>
      </c>
      <c r="V2743" s="2" t="s">
        <v>38</v>
      </c>
      <c r="W2743" s="2" t="s">
        <v>38</v>
      </c>
      <c r="X2743" s="2" t="s">
        <v>38</v>
      </c>
      <c r="Y2743" s="2" t="s">
        <v>39</v>
      </c>
      <c r="Z2743" s="2" t="s">
        <v>38</v>
      </c>
      <c r="AA2743" s="2" t="s">
        <v>38</v>
      </c>
      <c r="AB2743" s="2" t="s">
        <v>38</v>
      </c>
      <c r="AC2743" s="2" t="s">
        <v>38</v>
      </c>
      <c r="AD2743" s="2" t="s">
        <v>38</v>
      </c>
      <c r="AE2743" s="2" t="s">
        <v>39</v>
      </c>
    </row>
    <row r="2744" spans="1:31" ht="409.5">
      <c r="A2744" s="2">
        <v>2711337</v>
      </c>
      <c r="B2744" s="2">
        <f>HYPERLINK("https://platform.v2.vetology.net/cases/2711337/screening-report/1?type=pdf&amp;v=v6&amp;scorecard=1&amp;secret_key=BX%25IJ%24%2F65ieZ%29f6", 2711337)</f>
        <v>2711337</v>
      </c>
      <c r="C2744" s="2">
        <f>HYPERLINK("https://platform.v2.vetology.net/report/v/final/"&amp;2711337, 2711337)</f>
        <v>2711337</v>
      </c>
      <c r="D2744" s="2" t="s">
        <v>8768</v>
      </c>
      <c r="E2744" s="2" t="s">
        <v>8769</v>
      </c>
      <c r="F2744" s="2" t="s">
        <v>8770</v>
      </c>
      <c r="G2744" s="2" t="s">
        <v>251</v>
      </c>
      <c r="H2744" s="2" t="s">
        <v>3606</v>
      </c>
      <c r="I2744" s="2" t="s">
        <v>36</v>
      </c>
      <c r="J2744" s="2" t="s">
        <v>37</v>
      </c>
      <c r="K2744" s="2" t="s">
        <v>39</v>
      </c>
      <c r="L2744" s="2" t="s">
        <v>38</v>
      </c>
      <c r="M2744" s="2" t="s">
        <v>38</v>
      </c>
      <c r="N2744" s="2" t="s">
        <v>39</v>
      </c>
      <c r="O2744" s="2" t="s">
        <v>38</v>
      </c>
      <c r="P2744" s="2" t="s">
        <v>39</v>
      </c>
      <c r="Q2744" s="2" t="s">
        <v>39</v>
      </c>
      <c r="R2744" s="2" t="s">
        <v>39</v>
      </c>
      <c r="S2744" s="2" t="s">
        <v>39</v>
      </c>
      <c r="T2744" s="2" t="s">
        <v>39</v>
      </c>
      <c r="U2744" s="2" t="s">
        <v>39</v>
      </c>
      <c r="V2744" s="2" t="s">
        <v>39</v>
      </c>
      <c r="W2744" s="2" t="s">
        <v>38</v>
      </c>
      <c r="X2744" s="2" t="s">
        <v>39</v>
      </c>
      <c r="Y2744" s="2" t="s">
        <v>39</v>
      </c>
      <c r="Z2744" s="2" t="s">
        <v>38</v>
      </c>
      <c r="AA2744" s="2" t="s">
        <v>39</v>
      </c>
      <c r="AB2744" s="2" t="s">
        <v>39</v>
      </c>
      <c r="AC2744" s="2" t="s">
        <v>38</v>
      </c>
      <c r="AD2744" s="2" t="s">
        <v>38</v>
      </c>
      <c r="AE2744" s="2" t="s">
        <v>39</v>
      </c>
    </row>
    <row r="2745" spans="1:31" ht="409.5">
      <c r="A2745" s="2">
        <v>2711332</v>
      </c>
      <c r="B2745" s="2">
        <f>HYPERLINK("https://platform.v2.vetology.net/cases/2711332/screening-report/1?type=pdf&amp;v=v6&amp;scorecard=1&amp;secret_key=BX%25IJ%24%2F65ieZ%29f6", 2711332)</f>
        <v>2711332</v>
      </c>
      <c r="C2745" s="2">
        <f>HYPERLINK("https://platform.v2.vetology.net/report/v/final/"&amp;2711332, 2711332)</f>
        <v>2711332</v>
      </c>
      <c r="D2745" s="2" t="s">
        <v>8771</v>
      </c>
      <c r="E2745" s="2" t="s">
        <v>8772</v>
      </c>
      <c r="F2745" s="2" t="s">
        <v>8773</v>
      </c>
      <c r="G2745" s="2" t="s">
        <v>111</v>
      </c>
      <c r="H2745" s="2" t="s">
        <v>93</v>
      </c>
      <c r="I2745" s="2" t="s">
        <v>59</v>
      </c>
      <c r="J2745" s="2" t="s">
        <v>37</v>
      </c>
      <c r="K2745" s="2" t="s">
        <v>38</v>
      </c>
      <c r="L2745" s="2" t="s">
        <v>39</v>
      </c>
      <c r="M2745" s="2" t="s">
        <v>39</v>
      </c>
      <c r="N2745" s="2" t="s">
        <v>38</v>
      </c>
      <c r="O2745" s="2" t="s">
        <v>39</v>
      </c>
      <c r="P2745" s="2" t="s">
        <v>39</v>
      </c>
      <c r="Q2745" s="2" t="s">
        <v>39</v>
      </c>
      <c r="R2745" s="2" t="s">
        <v>39</v>
      </c>
      <c r="S2745" s="2" t="s">
        <v>39</v>
      </c>
      <c r="T2745" s="2" t="s">
        <v>39</v>
      </c>
      <c r="U2745" s="2" t="s">
        <v>38</v>
      </c>
      <c r="V2745" s="2" t="s">
        <v>38</v>
      </c>
      <c r="W2745" s="2" t="s">
        <v>39</v>
      </c>
      <c r="X2745" s="2" t="s">
        <v>39</v>
      </c>
      <c r="Y2745" s="2" t="s">
        <v>39</v>
      </c>
      <c r="Z2745" s="2" t="s">
        <v>39</v>
      </c>
      <c r="AA2745" s="2" t="s">
        <v>39</v>
      </c>
      <c r="AB2745" s="2" t="s">
        <v>39</v>
      </c>
      <c r="AC2745" s="2" t="s">
        <v>39</v>
      </c>
      <c r="AD2745" s="2" t="s">
        <v>39</v>
      </c>
      <c r="AE2745" s="2" t="s">
        <v>39</v>
      </c>
    </row>
    <row r="2746" spans="1:31" ht="409.5">
      <c r="A2746" s="2">
        <v>2711328</v>
      </c>
      <c r="B2746" s="2">
        <f>HYPERLINK("https://platform.v2.vetology.net/cases/2711328/screening-report/1?type=pdf&amp;v=v6&amp;scorecard=1&amp;secret_key=BX%25IJ%24%2F65ieZ%29f6", 2711328)</f>
        <v>2711328</v>
      </c>
      <c r="C2746" s="2">
        <f>HYPERLINK("https://platform.v2.vetology.net/report/v/final/"&amp;2711328, 2711328)</f>
        <v>2711328</v>
      </c>
      <c r="D2746" s="2" t="s">
        <v>8774</v>
      </c>
      <c r="E2746" s="2" t="s">
        <v>8775</v>
      </c>
      <c r="F2746" s="2" t="s">
        <v>8776</v>
      </c>
      <c r="G2746" s="2" t="s">
        <v>34</v>
      </c>
      <c r="H2746" s="2" t="s">
        <v>8777</v>
      </c>
      <c r="I2746" s="2" t="s">
        <v>129</v>
      </c>
      <c r="J2746" s="2" t="s">
        <v>74</v>
      </c>
      <c r="K2746" s="2" t="s">
        <v>39</v>
      </c>
      <c r="L2746" s="2" t="s">
        <v>38</v>
      </c>
      <c r="M2746" s="2" t="s">
        <v>38</v>
      </c>
      <c r="N2746" s="2" t="s">
        <v>38</v>
      </c>
      <c r="O2746" s="2" t="s">
        <v>38</v>
      </c>
      <c r="P2746" s="2" t="s">
        <v>38</v>
      </c>
      <c r="Q2746" s="2" t="s">
        <v>38</v>
      </c>
      <c r="R2746" s="2" t="s">
        <v>38</v>
      </c>
      <c r="S2746" s="2" t="s">
        <v>38</v>
      </c>
      <c r="T2746" s="2" t="s">
        <v>38</v>
      </c>
      <c r="U2746" s="2" t="s">
        <v>38</v>
      </c>
      <c r="V2746" s="2" t="s">
        <v>38</v>
      </c>
      <c r="W2746" s="2" t="s">
        <v>38</v>
      </c>
      <c r="X2746" s="2" t="s">
        <v>38</v>
      </c>
      <c r="Y2746" s="2" t="s">
        <v>38</v>
      </c>
      <c r="Z2746" s="2" t="s">
        <v>38</v>
      </c>
      <c r="AA2746" s="2" t="s">
        <v>38</v>
      </c>
      <c r="AB2746" s="2" t="s">
        <v>38</v>
      </c>
      <c r="AC2746" s="2" t="s">
        <v>38</v>
      </c>
      <c r="AD2746" s="2" t="s">
        <v>38</v>
      </c>
      <c r="AE2746" s="2" t="s">
        <v>39</v>
      </c>
    </row>
    <row r="2747" spans="1:31" ht="409.5">
      <c r="A2747" s="2">
        <v>2711282</v>
      </c>
      <c r="B2747" s="2">
        <f>HYPERLINK("https://platform.v2.vetology.net/cases/2711282/screening-report/1?type=pdf&amp;v=v6&amp;scorecard=1&amp;secret_key=BX%25IJ%24%2F65ieZ%29f6", 2711282)</f>
        <v>2711282</v>
      </c>
      <c r="C2747" s="2">
        <f>HYPERLINK("https://platform.v2.vetology.net/report/v/final/"&amp;2711282, 2711282)</f>
        <v>2711282</v>
      </c>
      <c r="D2747" s="2" t="s">
        <v>8778</v>
      </c>
      <c r="E2747" s="2" t="s">
        <v>8779</v>
      </c>
      <c r="F2747" s="2" t="s">
        <v>8780</v>
      </c>
      <c r="G2747" s="2" t="s">
        <v>170</v>
      </c>
      <c r="H2747" s="2" t="s">
        <v>6341</v>
      </c>
      <c r="I2747" s="2" t="s">
        <v>36</v>
      </c>
      <c r="J2747" s="2" t="s">
        <v>37</v>
      </c>
      <c r="K2747" s="2" t="s">
        <v>39</v>
      </c>
      <c r="L2747" s="2" t="s">
        <v>38</v>
      </c>
      <c r="M2747" s="2" t="s">
        <v>39</v>
      </c>
      <c r="N2747" s="2" t="s">
        <v>39</v>
      </c>
      <c r="O2747" s="2" t="s">
        <v>38</v>
      </c>
      <c r="P2747" s="2" t="s">
        <v>38</v>
      </c>
      <c r="Q2747" s="2" t="s">
        <v>39</v>
      </c>
      <c r="R2747" s="2" t="s">
        <v>39</v>
      </c>
      <c r="S2747" s="2" t="s">
        <v>38</v>
      </c>
      <c r="T2747" s="2" t="s">
        <v>38</v>
      </c>
      <c r="U2747" s="2" t="s">
        <v>39</v>
      </c>
      <c r="V2747" s="2" t="s">
        <v>39</v>
      </c>
      <c r="W2747" s="2" t="s">
        <v>38</v>
      </c>
      <c r="X2747" s="2" t="s">
        <v>39</v>
      </c>
      <c r="Y2747" s="2" t="s">
        <v>39</v>
      </c>
      <c r="Z2747" s="2" t="s">
        <v>38</v>
      </c>
      <c r="AA2747" s="2" t="s">
        <v>38</v>
      </c>
      <c r="AB2747" s="2" t="s">
        <v>38</v>
      </c>
      <c r="AC2747" s="2" t="s">
        <v>38</v>
      </c>
      <c r="AD2747" s="2" t="s">
        <v>39</v>
      </c>
      <c r="AE2747" s="2" t="s">
        <v>39</v>
      </c>
    </row>
    <row r="2748" spans="1:31" ht="409.5">
      <c r="A2748" s="2">
        <v>2711241</v>
      </c>
      <c r="B2748" s="2">
        <f>HYPERLINK("https://platform.v2.vetology.net/cases/2711241/screening-report/1?type=pdf&amp;v=v6&amp;scorecard=1&amp;secret_key=BX%25IJ%24%2F65ieZ%29f6", 2711241)</f>
        <v>2711241</v>
      </c>
      <c r="C2748" s="2">
        <f>HYPERLINK("https://platform.v2.vetology.net/report/v/final/"&amp;2711241, 2711241)</f>
        <v>2711241</v>
      </c>
      <c r="D2748" s="2" t="s">
        <v>8781</v>
      </c>
      <c r="E2748" s="2" t="s">
        <v>8782</v>
      </c>
      <c r="F2748" s="2" t="s">
        <v>8783</v>
      </c>
      <c r="G2748" s="2" t="s">
        <v>127</v>
      </c>
      <c r="H2748" s="2" t="s">
        <v>69</v>
      </c>
      <c r="I2748" s="2" t="s">
        <v>46</v>
      </c>
      <c r="J2748" s="2"/>
      <c r="K2748" s="2" t="s">
        <v>39</v>
      </c>
      <c r="L2748" s="2" t="s">
        <v>39</v>
      </c>
      <c r="M2748" s="2" t="s">
        <v>39</v>
      </c>
      <c r="N2748" s="2" t="s">
        <v>39</v>
      </c>
      <c r="O2748" s="2" t="s">
        <v>39</v>
      </c>
      <c r="P2748" s="2" t="s">
        <v>39</v>
      </c>
      <c r="Q2748" s="2" t="s">
        <v>39</v>
      </c>
      <c r="R2748" s="2" t="s">
        <v>39</v>
      </c>
      <c r="S2748" s="2" t="s">
        <v>39</v>
      </c>
      <c r="T2748" s="2" t="s">
        <v>39</v>
      </c>
      <c r="U2748" s="2" t="s">
        <v>39</v>
      </c>
      <c r="V2748" s="2" t="s">
        <v>39</v>
      </c>
      <c r="W2748" s="2" t="s">
        <v>39</v>
      </c>
      <c r="X2748" s="2" t="s">
        <v>39</v>
      </c>
      <c r="Y2748" s="2" t="s">
        <v>39</v>
      </c>
      <c r="Z2748" s="2" t="s">
        <v>39</v>
      </c>
      <c r="AA2748" s="2" t="s">
        <v>39</v>
      </c>
      <c r="AB2748" s="2" t="s">
        <v>39</v>
      </c>
      <c r="AC2748" s="2" t="s">
        <v>38</v>
      </c>
      <c r="AD2748" s="2" t="s">
        <v>38</v>
      </c>
      <c r="AE2748" s="2"/>
    </row>
    <row r="2749" spans="1:31" ht="409.5">
      <c r="A2749" s="2">
        <v>2711230</v>
      </c>
      <c r="B2749" s="2">
        <f>HYPERLINK("https://platform.v2.vetology.net/cases/2711230/screening-report/1?type=pdf&amp;v=v6&amp;scorecard=1&amp;secret_key=BX%25IJ%24%2F65ieZ%29f6", 2711230)</f>
        <v>2711230</v>
      </c>
      <c r="C2749" s="2">
        <f>HYPERLINK("https://platform.v2.vetology.net/report/v/final/"&amp;2711230, 2711230)</f>
        <v>2711230</v>
      </c>
      <c r="D2749" s="2" t="s">
        <v>8784</v>
      </c>
      <c r="E2749" s="2" t="s">
        <v>421</v>
      </c>
      <c r="F2749" s="2" t="s">
        <v>422</v>
      </c>
      <c r="G2749" s="2" t="s">
        <v>34</v>
      </c>
      <c r="H2749" s="2" t="s">
        <v>8785</v>
      </c>
      <c r="I2749" s="2" t="s">
        <v>73</v>
      </c>
      <c r="J2749" s="2" t="s">
        <v>74</v>
      </c>
      <c r="K2749" s="2" t="s">
        <v>38</v>
      </c>
      <c r="L2749" s="2" t="s">
        <v>38</v>
      </c>
      <c r="M2749" s="2" t="s">
        <v>38</v>
      </c>
      <c r="N2749" s="2" t="s">
        <v>38</v>
      </c>
      <c r="O2749" s="2" t="s">
        <v>38</v>
      </c>
      <c r="P2749" s="2" t="s">
        <v>38</v>
      </c>
      <c r="Q2749" s="2" t="s">
        <v>38</v>
      </c>
      <c r="R2749" s="2" t="s">
        <v>38</v>
      </c>
      <c r="S2749" s="2" t="s">
        <v>38</v>
      </c>
      <c r="T2749" s="2" t="s">
        <v>38</v>
      </c>
      <c r="U2749" s="2" t="s">
        <v>38</v>
      </c>
      <c r="V2749" s="2" t="s">
        <v>38</v>
      </c>
      <c r="W2749" s="2" t="s">
        <v>38</v>
      </c>
      <c r="X2749" s="2" t="s">
        <v>38</v>
      </c>
      <c r="Y2749" s="2" t="s">
        <v>38</v>
      </c>
      <c r="Z2749" s="2" t="s">
        <v>39</v>
      </c>
      <c r="AA2749" s="2" t="s">
        <v>38</v>
      </c>
      <c r="AB2749" s="2" t="s">
        <v>38</v>
      </c>
      <c r="AC2749" s="2" t="s">
        <v>38</v>
      </c>
      <c r="AD2749" s="2" t="s">
        <v>39</v>
      </c>
      <c r="AE2749" s="2" t="s">
        <v>40</v>
      </c>
    </row>
    <row r="2750" spans="1:31" ht="409.5">
      <c r="A2750" s="2">
        <v>2711215</v>
      </c>
      <c r="B2750" s="2">
        <f>HYPERLINK("https://platform.v2.vetology.net/cases/2711215/screening-report/1?type=pdf&amp;v=v6&amp;scorecard=1&amp;secret_key=BX%25IJ%24%2F65ieZ%29f6", 2711215)</f>
        <v>2711215</v>
      </c>
      <c r="C2750" s="2">
        <f>HYPERLINK("https://platform.v2.vetology.net/report/v/final/"&amp;2711215, 2711215)</f>
        <v>2711215</v>
      </c>
      <c r="D2750" s="2" t="s">
        <v>8786</v>
      </c>
      <c r="E2750" s="2" t="s">
        <v>8787</v>
      </c>
      <c r="F2750" s="2" t="s">
        <v>43</v>
      </c>
      <c r="G2750" s="2" t="s">
        <v>100</v>
      </c>
      <c r="H2750" s="2" t="s">
        <v>4854</v>
      </c>
      <c r="I2750" s="2" t="s">
        <v>36</v>
      </c>
      <c r="J2750" s="2" t="s">
        <v>37</v>
      </c>
      <c r="K2750" s="2" t="s">
        <v>39</v>
      </c>
      <c r="L2750" s="2" t="s">
        <v>39</v>
      </c>
      <c r="M2750" s="2" t="s">
        <v>38</v>
      </c>
      <c r="N2750" s="2" t="s">
        <v>39</v>
      </c>
      <c r="O2750" s="2" t="s">
        <v>38</v>
      </c>
      <c r="P2750" s="2" t="s">
        <v>39</v>
      </c>
      <c r="Q2750" s="2" t="s">
        <v>39</v>
      </c>
      <c r="R2750" s="2" t="s">
        <v>39</v>
      </c>
      <c r="S2750" s="2" t="s">
        <v>39</v>
      </c>
      <c r="T2750" s="2" t="s">
        <v>38</v>
      </c>
      <c r="U2750" s="2" t="s">
        <v>39</v>
      </c>
      <c r="V2750" s="2" t="s">
        <v>39</v>
      </c>
      <c r="W2750" s="2" t="s">
        <v>38</v>
      </c>
      <c r="X2750" s="2" t="s">
        <v>39</v>
      </c>
      <c r="Y2750" s="2" t="s">
        <v>39</v>
      </c>
      <c r="Z2750" s="2" t="s">
        <v>39</v>
      </c>
      <c r="AA2750" s="2" t="s">
        <v>39</v>
      </c>
      <c r="AB2750" s="2" t="s">
        <v>38</v>
      </c>
      <c r="AC2750" s="2" t="s">
        <v>38</v>
      </c>
      <c r="AD2750" s="2" t="s">
        <v>39</v>
      </c>
      <c r="AE2750" s="2" t="s">
        <v>40</v>
      </c>
    </row>
    <row r="2751" spans="1:31" ht="409.5">
      <c r="A2751" s="2">
        <v>2711190</v>
      </c>
      <c r="B2751" s="2">
        <f>HYPERLINK("https://platform.v2.vetology.net/cases/2711190/screening-report/1?type=pdf&amp;v=v6&amp;scorecard=1&amp;secret_key=BX%25IJ%24%2F65ieZ%29f6", 2711190)</f>
        <v>2711190</v>
      </c>
      <c r="C2751" s="2">
        <f>HYPERLINK("https://platform.v2.vetology.net/report/v/final/"&amp;2711190, 2711190)</f>
        <v>2711190</v>
      </c>
      <c r="D2751" s="2" t="s">
        <v>8788</v>
      </c>
      <c r="E2751" s="2" t="s">
        <v>8789</v>
      </c>
      <c r="F2751" s="2" t="s">
        <v>8790</v>
      </c>
      <c r="G2751" s="2" t="s">
        <v>170</v>
      </c>
      <c r="H2751" s="2" t="s">
        <v>888</v>
      </c>
      <c r="I2751" s="2" t="s">
        <v>36</v>
      </c>
      <c r="J2751" s="2" t="s">
        <v>37</v>
      </c>
      <c r="K2751" s="2" t="s">
        <v>39</v>
      </c>
      <c r="L2751" s="2" t="s">
        <v>39</v>
      </c>
      <c r="M2751" s="2" t="s">
        <v>38</v>
      </c>
      <c r="N2751" s="2" t="s">
        <v>38</v>
      </c>
      <c r="O2751" s="2" t="s">
        <v>38</v>
      </c>
      <c r="P2751" s="2" t="s">
        <v>39</v>
      </c>
      <c r="Q2751" s="2" t="s">
        <v>39</v>
      </c>
      <c r="R2751" s="2" t="s">
        <v>38</v>
      </c>
      <c r="S2751" s="2" t="s">
        <v>39</v>
      </c>
      <c r="T2751" s="2" t="s">
        <v>39</v>
      </c>
      <c r="U2751" s="2" t="s">
        <v>39</v>
      </c>
      <c r="V2751" s="2" t="s">
        <v>38</v>
      </c>
      <c r="W2751" s="2" t="s">
        <v>38</v>
      </c>
      <c r="X2751" s="2" t="s">
        <v>39</v>
      </c>
      <c r="Y2751" s="2" t="s">
        <v>39</v>
      </c>
      <c r="Z2751" s="2" t="s">
        <v>38</v>
      </c>
      <c r="AA2751" s="2" t="s">
        <v>39</v>
      </c>
      <c r="AB2751" s="2" t="s">
        <v>39</v>
      </c>
      <c r="AC2751" s="2" t="s">
        <v>38</v>
      </c>
      <c r="AD2751" s="2" t="s">
        <v>39</v>
      </c>
      <c r="AE2751" s="2" t="s">
        <v>40</v>
      </c>
    </row>
    <row r="2752" spans="1:31" ht="409.5">
      <c r="A2752" s="2">
        <v>2711167</v>
      </c>
      <c r="B2752" s="2">
        <f>HYPERLINK("https://platform.v2.vetology.net/cases/2711167/screening-report/1?type=pdf&amp;v=v6&amp;scorecard=1&amp;secret_key=BX%25IJ%24%2F65ieZ%29f6", 2711167)</f>
        <v>2711167</v>
      </c>
      <c r="C2752" s="2">
        <f>HYPERLINK("https://platform.v2.vetology.net/report/v/final/"&amp;2711167, 2711167)</f>
        <v>2711167</v>
      </c>
      <c r="D2752" s="2" t="s">
        <v>8791</v>
      </c>
      <c r="E2752" s="2" t="s">
        <v>8792</v>
      </c>
      <c r="F2752" s="2" t="s">
        <v>43</v>
      </c>
      <c r="G2752" s="2" t="s">
        <v>100</v>
      </c>
      <c r="H2752" s="2" t="s">
        <v>8793</v>
      </c>
      <c r="I2752" s="2" t="s">
        <v>129</v>
      </c>
      <c r="J2752" s="2" t="s">
        <v>74</v>
      </c>
      <c r="K2752" s="2" t="s">
        <v>38</v>
      </c>
      <c r="L2752" s="2" t="s">
        <v>38</v>
      </c>
      <c r="M2752" s="2" t="s">
        <v>38</v>
      </c>
      <c r="N2752" s="2" t="s">
        <v>38</v>
      </c>
      <c r="O2752" s="2" t="s">
        <v>38</v>
      </c>
      <c r="P2752" s="2" t="s">
        <v>38</v>
      </c>
      <c r="Q2752" s="2" t="s">
        <v>38</v>
      </c>
      <c r="R2752" s="2" t="s">
        <v>39</v>
      </c>
      <c r="S2752" s="2" t="s">
        <v>38</v>
      </c>
      <c r="T2752" s="2" t="s">
        <v>38</v>
      </c>
      <c r="U2752" s="2" t="s">
        <v>38</v>
      </c>
      <c r="V2752" s="2" t="s">
        <v>38</v>
      </c>
      <c r="W2752" s="2" t="s">
        <v>38</v>
      </c>
      <c r="X2752" s="2" t="s">
        <v>38</v>
      </c>
      <c r="Y2752" s="2" t="s">
        <v>39</v>
      </c>
      <c r="Z2752" s="2" t="s">
        <v>38</v>
      </c>
      <c r="AA2752" s="2" t="s">
        <v>38</v>
      </c>
      <c r="AB2752" s="2" t="s">
        <v>38</v>
      </c>
      <c r="AC2752" s="2" t="s">
        <v>38</v>
      </c>
      <c r="AD2752" s="2" t="s">
        <v>38</v>
      </c>
      <c r="AE2752" s="2" t="s">
        <v>40</v>
      </c>
    </row>
    <row r="2753" spans="1:31" ht="409.5">
      <c r="A2753" s="2">
        <v>2711144</v>
      </c>
      <c r="B2753" s="2">
        <f>HYPERLINK("https://platform.v2.vetology.net/cases/2711144/screening-report/1?type=pdf&amp;v=v6&amp;scorecard=1&amp;secret_key=BX%25IJ%24%2F65ieZ%29f6", 2711144)</f>
        <v>2711144</v>
      </c>
      <c r="C2753" s="2">
        <f>HYPERLINK("https://platform.v2.vetology.net/report/v/final/"&amp;2711144, 2711144)</f>
        <v>2711144</v>
      </c>
      <c r="D2753" s="2" t="s">
        <v>8794</v>
      </c>
      <c r="E2753" s="2" t="s">
        <v>8795</v>
      </c>
      <c r="F2753" s="2" t="s">
        <v>8796</v>
      </c>
      <c r="G2753" s="2" t="s">
        <v>170</v>
      </c>
      <c r="H2753" s="2" t="s">
        <v>1004</v>
      </c>
      <c r="I2753" s="2" t="s">
        <v>36</v>
      </c>
      <c r="J2753" s="2" t="s">
        <v>37</v>
      </c>
      <c r="K2753" s="2" t="s">
        <v>38</v>
      </c>
      <c r="L2753" s="2" t="s">
        <v>38</v>
      </c>
      <c r="M2753" s="2" t="s">
        <v>39</v>
      </c>
      <c r="N2753" s="2" t="s">
        <v>39</v>
      </c>
      <c r="O2753" s="2" t="s">
        <v>39</v>
      </c>
      <c r="P2753" s="2" t="s">
        <v>39</v>
      </c>
      <c r="Q2753" s="2" t="s">
        <v>39</v>
      </c>
      <c r="R2753" s="2" t="s">
        <v>38</v>
      </c>
      <c r="S2753" s="2" t="s">
        <v>38</v>
      </c>
      <c r="T2753" s="2" t="s">
        <v>39</v>
      </c>
      <c r="U2753" s="2" t="s">
        <v>39</v>
      </c>
      <c r="V2753" s="2" t="s">
        <v>38</v>
      </c>
      <c r="W2753" s="2" t="s">
        <v>38</v>
      </c>
      <c r="X2753" s="2" t="s">
        <v>39</v>
      </c>
      <c r="Y2753" s="2" t="s">
        <v>39</v>
      </c>
      <c r="Z2753" s="2" t="s">
        <v>38</v>
      </c>
      <c r="AA2753" s="2" t="s">
        <v>39</v>
      </c>
      <c r="AB2753" s="2" t="s">
        <v>39</v>
      </c>
      <c r="AC2753" s="2" t="s">
        <v>38</v>
      </c>
      <c r="AD2753" s="2" t="s">
        <v>39</v>
      </c>
      <c r="AE2753" s="2" t="s">
        <v>39</v>
      </c>
    </row>
    <row r="2754" spans="1:31" ht="409.5">
      <c r="A2754" s="2">
        <v>2711139</v>
      </c>
      <c r="B2754" s="2">
        <f>HYPERLINK("https://platform.v2.vetology.net/cases/2711139/screening-report/1?type=pdf&amp;v=v6&amp;scorecard=1&amp;secret_key=BX%25IJ%24%2F65ieZ%29f6", 2711139)</f>
        <v>2711139</v>
      </c>
      <c r="C2754" s="2">
        <f>HYPERLINK("https://platform.v2.vetology.net/report/v/final/"&amp;2711139, 2711139)</f>
        <v>2711139</v>
      </c>
      <c r="D2754" s="2" t="s">
        <v>8797</v>
      </c>
      <c r="E2754" s="2" t="s">
        <v>8798</v>
      </c>
      <c r="F2754" s="2" t="s">
        <v>8799</v>
      </c>
      <c r="G2754" s="2" t="s">
        <v>251</v>
      </c>
      <c r="H2754" s="2" t="s">
        <v>8800</v>
      </c>
      <c r="I2754" s="2" t="s">
        <v>36</v>
      </c>
      <c r="J2754" s="2" t="s">
        <v>37</v>
      </c>
      <c r="K2754" s="2" t="s">
        <v>39</v>
      </c>
      <c r="L2754" s="2" t="s">
        <v>38</v>
      </c>
      <c r="M2754" s="2" t="s">
        <v>38</v>
      </c>
      <c r="N2754" s="2" t="s">
        <v>38</v>
      </c>
      <c r="O2754" s="2" t="s">
        <v>38</v>
      </c>
      <c r="P2754" s="2" t="s">
        <v>39</v>
      </c>
      <c r="Q2754" s="2" t="s">
        <v>38</v>
      </c>
      <c r="R2754" s="2" t="s">
        <v>38</v>
      </c>
      <c r="S2754" s="2" t="s">
        <v>38</v>
      </c>
      <c r="T2754" s="2" t="s">
        <v>38</v>
      </c>
      <c r="U2754" s="2" t="s">
        <v>38</v>
      </c>
      <c r="V2754" s="2" t="s">
        <v>38</v>
      </c>
      <c r="W2754" s="2" t="s">
        <v>38</v>
      </c>
      <c r="X2754" s="2" t="s">
        <v>39</v>
      </c>
      <c r="Y2754" s="2" t="s">
        <v>39</v>
      </c>
      <c r="Z2754" s="2" t="s">
        <v>38</v>
      </c>
      <c r="AA2754" s="2" t="s">
        <v>38</v>
      </c>
      <c r="AB2754" s="2" t="s">
        <v>39</v>
      </c>
      <c r="AC2754" s="2" t="s">
        <v>38</v>
      </c>
      <c r="AD2754" s="2" t="s">
        <v>39</v>
      </c>
      <c r="AE2754" s="2" t="s">
        <v>39</v>
      </c>
    </row>
    <row r="2755" spans="1:31" ht="409.5">
      <c r="A2755" s="2">
        <v>2711124</v>
      </c>
      <c r="B2755" s="2">
        <f>HYPERLINK("https://platform.v2.vetology.net/cases/2711124/screening-report/1?type=pdf&amp;v=v6&amp;scorecard=1&amp;secret_key=BX%25IJ%24%2F65ieZ%29f6", 2711124)</f>
        <v>2711124</v>
      </c>
      <c r="C2755" s="2">
        <f>HYPERLINK("https://platform.v2.vetology.net/report/v/final/"&amp;2711124, 2711124)</f>
        <v>2711124</v>
      </c>
      <c r="D2755" s="2" t="s">
        <v>8801</v>
      </c>
      <c r="E2755" s="2" t="s">
        <v>8802</v>
      </c>
      <c r="F2755" s="2" t="s">
        <v>2326</v>
      </c>
      <c r="G2755" s="2" t="s">
        <v>170</v>
      </c>
      <c r="H2755" s="2" t="s">
        <v>8803</v>
      </c>
      <c r="I2755" s="2" t="s">
        <v>73</v>
      </c>
      <c r="J2755" s="2" t="s">
        <v>74</v>
      </c>
      <c r="K2755" s="2" t="s">
        <v>38</v>
      </c>
      <c r="L2755" s="2" t="s">
        <v>38</v>
      </c>
      <c r="M2755" s="2" t="s">
        <v>38</v>
      </c>
      <c r="N2755" s="2" t="s">
        <v>38</v>
      </c>
      <c r="O2755" s="2" t="s">
        <v>38</v>
      </c>
      <c r="P2755" s="2" t="s">
        <v>38</v>
      </c>
      <c r="Q2755" s="2" t="s">
        <v>38</v>
      </c>
      <c r="R2755" s="2" t="s">
        <v>38</v>
      </c>
      <c r="S2755" s="2" t="s">
        <v>38</v>
      </c>
      <c r="T2755" s="2" t="s">
        <v>38</v>
      </c>
      <c r="U2755" s="2" t="s">
        <v>38</v>
      </c>
      <c r="V2755" s="2" t="s">
        <v>38</v>
      </c>
      <c r="W2755" s="2" t="s">
        <v>38</v>
      </c>
      <c r="X2755" s="2" t="s">
        <v>38</v>
      </c>
      <c r="Y2755" s="2" t="s">
        <v>39</v>
      </c>
      <c r="Z2755" s="2" t="s">
        <v>38</v>
      </c>
      <c r="AA2755" s="2" t="s">
        <v>38</v>
      </c>
      <c r="AB2755" s="2" t="s">
        <v>38</v>
      </c>
      <c r="AC2755" s="2" t="s">
        <v>38</v>
      </c>
      <c r="AD2755" s="2" t="s">
        <v>39</v>
      </c>
      <c r="AE2755" s="2" t="s">
        <v>39</v>
      </c>
    </row>
    <row r="2756" spans="1:31" ht="409.5">
      <c r="A2756" s="2">
        <v>2711122</v>
      </c>
      <c r="B2756" s="2">
        <f>HYPERLINK("https://platform.v2.vetology.net/cases/2711122/screening-report/1?type=pdf&amp;v=v6&amp;scorecard=1&amp;secret_key=BX%25IJ%24%2F65ieZ%29f6", 2711122)</f>
        <v>2711122</v>
      </c>
      <c r="C2756" s="2">
        <f>HYPERLINK("https://platform.v2.vetology.net/report/v/final/"&amp;2711122, 2711122)</f>
        <v>2711122</v>
      </c>
      <c r="D2756" s="2" t="s">
        <v>8804</v>
      </c>
      <c r="E2756" s="2" t="s">
        <v>8805</v>
      </c>
      <c r="F2756" s="2" t="s">
        <v>8806</v>
      </c>
      <c r="G2756" s="2" t="s">
        <v>127</v>
      </c>
      <c r="H2756" s="2" t="s">
        <v>8807</v>
      </c>
      <c r="I2756" s="2" t="s">
        <v>36</v>
      </c>
      <c r="J2756" s="2" t="s">
        <v>37</v>
      </c>
      <c r="K2756" s="2" t="s">
        <v>38</v>
      </c>
      <c r="L2756" s="2" t="s">
        <v>38</v>
      </c>
      <c r="M2756" s="2" t="s">
        <v>38</v>
      </c>
      <c r="N2756" s="2" t="s">
        <v>38</v>
      </c>
      <c r="O2756" s="2" t="s">
        <v>38</v>
      </c>
      <c r="P2756" s="2" t="s">
        <v>39</v>
      </c>
      <c r="Q2756" s="2" t="s">
        <v>39</v>
      </c>
      <c r="R2756" s="2" t="s">
        <v>38</v>
      </c>
      <c r="S2756" s="2" t="s">
        <v>38</v>
      </c>
      <c r="T2756" s="2" t="s">
        <v>39</v>
      </c>
      <c r="U2756" s="2" t="s">
        <v>38</v>
      </c>
      <c r="V2756" s="2" t="s">
        <v>38</v>
      </c>
      <c r="W2756" s="2" t="s">
        <v>38</v>
      </c>
      <c r="X2756" s="2" t="s">
        <v>39</v>
      </c>
      <c r="Y2756" s="2" t="s">
        <v>38</v>
      </c>
      <c r="Z2756" s="2" t="s">
        <v>38</v>
      </c>
      <c r="AA2756" s="2" t="s">
        <v>38</v>
      </c>
      <c r="AB2756" s="2" t="s">
        <v>39</v>
      </c>
      <c r="AC2756" s="2" t="s">
        <v>38</v>
      </c>
      <c r="AD2756" s="2" t="s">
        <v>38</v>
      </c>
      <c r="AE2756" s="2" t="s">
        <v>39</v>
      </c>
    </row>
    <row r="2757" spans="1:31" ht="409.5">
      <c r="A2757" s="2">
        <v>2711119</v>
      </c>
      <c r="B2757" s="2">
        <f>HYPERLINK("https://platform.v2.vetology.net/cases/2711119/screening-report/1?type=pdf&amp;v=v6&amp;scorecard=1&amp;secret_key=BX%25IJ%24%2F65ieZ%29f6", 2711119)</f>
        <v>2711119</v>
      </c>
      <c r="C2757" s="2">
        <f>HYPERLINK("https://platform.v2.vetology.net/report/v/final/"&amp;2711119, 2711119)</f>
        <v>2711119</v>
      </c>
      <c r="D2757" s="2" t="s">
        <v>8808</v>
      </c>
      <c r="E2757" s="2" t="s">
        <v>8809</v>
      </c>
      <c r="F2757" s="2" t="s">
        <v>6272</v>
      </c>
      <c r="G2757" s="2" t="s">
        <v>170</v>
      </c>
      <c r="H2757" s="2" t="s">
        <v>8810</v>
      </c>
      <c r="I2757" s="2" t="s">
        <v>36</v>
      </c>
      <c r="J2757" s="2" t="s">
        <v>37</v>
      </c>
      <c r="K2757" s="2" t="s">
        <v>39</v>
      </c>
      <c r="L2757" s="2" t="s">
        <v>38</v>
      </c>
      <c r="M2757" s="2" t="s">
        <v>38</v>
      </c>
      <c r="N2757" s="2" t="s">
        <v>38</v>
      </c>
      <c r="O2757" s="2" t="s">
        <v>38</v>
      </c>
      <c r="P2757" s="2" t="s">
        <v>38</v>
      </c>
      <c r="Q2757" s="2" t="s">
        <v>39</v>
      </c>
      <c r="R2757" s="2" t="s">
        <v>39</v>
      </c>
      <c r="S2757" s="2" t="s">
        <v>39</v>
      </c>
      <c r="T2757" s="2" t="s">
        <v>39</v>
      </c>
      <c r="U2757" s="2" t="s">
        <v>39</v>
      </c>
      <c r="V2757" s="2" t="s">
        <v>39</v>
      </c>
      <c r="W2757" s="2" t="s">
        <v>38</v>
      </c>
      <c r="X2757" s="2" t="s">
        <v>39</v>
      </c>
      <c r="Y2757" s="2" t="s">
        <v>39</v>
      </c>
      <c r="Z2757" s="2" t="s">
        <v>38</v>
      </c>
      <c r="AA2757" s="2" t="s">
        <v>38</v>
      </c>
      <c r="AB2757" s="2" t="s">
        <v>39</v>
      </c>
      <c r="AC2757" s="2" t="s">
        <v>39</v>
      </c>
      <c r="AD2757" s="2" t="s">
        <v>38</v>
      </c>
      <c r="AE2757" s="2" t="s">
        <v>39</v>
      </c>
    </row>
    <row r="2758" spans="1:31" ht="409.5">
      <c r="A2758" s="2">
        <v>2711050</v>
      </c>
      <c r="B2758" s="2">
        <f>HYPERLINK("https://platform.v2.vetology.net/cases/2711050/screening-report/1?type=pdf&amp;v=v6&amp;scorecard=1&amp;secret_key=BX%25IJ%24%2F65ieZ%29f6", 2711050)</f>
        <v>2711050</v>
      </c>
      <c r="C2758" s="2">
        <f>HYPERLINK("https://platform.v2.vetology.net/report/v/final/"&amp;2711050, 2711050)</f>
        <v>2711050</v>
      </c>
      <c r="D2758" s="2" t="s">
        <v>8811</v>
      </c>
      <c r="E2758" s="2" t="s">
        <v>8812</v>
      </c>
      <c r="F2758" s="2"/>
      <c r="G2758" s="2" t="s">
        <v>100</v>
      </c>
      <c r="H2758" s="2" t="s">
        <v>394</v>
      </c>
      <c r="I2758" s="2" t="s">
        <v>59</v>
      </c>
      <c r="J2758" s="2" t="s">
        <v>37</v>
      </c>
      <c r="K2758" s="2" t="s">
        <v>38</v>
      </c>
      <c r="L2758" s="2" t="s">
        <v>39</v>
      </c>
      <c r="M2758" s="2" t="s">
        <v>39</v>
      </c>
      <c r="N2758" s="2" t="s">
        <v>39</v>
      </c>
      <c r="O2758" s="2" t="s">
        <v>39</v>
      </c>
      <c r="P2758" s="2" t="s">
        <v>39</v>
      </c>
      <c r="Q2758" s="2" t="s">
        <v>39</v>
      </c>
      <c r="R2758" s="2" t="s">
        <v>39</v>
      </c>
      <c r="S2758" s="2" t="s">
        <v>39</v>
      </c>
      <c r="T2758" s="2" t="s">
        <v>39</v>
      </c>
      <c r="U2758" s="2" t="s">
        <v>38</v>
      </c>
      <c r="V2758" s="2" t="s">
        <v>38</v>
      </c>
      <c r="W2758" s="2" t="s">
        <v>39</v>
      </c>
      <c r="X2758" s="2" t="s">
        <v>39</v>
      </c>
      <c r="Y2758" s="2" t="s">
        <v>39</v>
      </c>
      <c r="Z2758" s="2" t="s">
        <v>39</v>
      </c>
      <c r="AA2758" s="2" t="s">
        <v>39</v>
      </c>
      <c r="AB2758" s="2" t="s">
        <v>39</v>
      </c>
      <c r="AC2758" s="2" t="s">
        <v>39</v>
      </c>
      <c r="AD2758" s="2" t="s">
        <v>39</v>
      </c>
      <c r="AE2758" s="2" t="s">
        <v>40</v>
      </c>
    </row>
    <row r="2759" spans="1:31" ht="409.5">
      <c r="A2759" s="2">
        <v>2711048</v>
      </c>
      <c r="B2759" s="2">
        <f>HYPERLINK("https://platform.v2.vetology.net/cases/2711048/screening-report/1?type=pdf&amp;v=v6&amp;scorecard=1&amp;secret_key=BX%25IJ%24%2F65ieZ%29f6", 2711048)</f>
        <v>2711048</v>
      </c>
      <c r="C2759" s="2">
        <f>HYPERLINK("https://platform.v2.vetology.net/report/v/final/"&amp;2711048, 2711048)</f>
        <v>2711048</v>
      </c>
      <c r="D2759" s="2" t="s">
        <v>8813</v>
      </c>
      <c r="E2759" s="2" t="s">
        <v>8814</v>
      </c>
      <c r="F2759" s="2" t="s">
        <v>43</v>
      </c>
      <c r="G2759" s="2" t="s">
        <v>507</v>
      </c>
      <c r="H2759" s="2" t="s">
        <v>158</v>
      </c>
      <c r="I2759" s="2" t="s">
        <v>59</v>
      </c>
      <c r="J2759" s="2" t="s">
        <v>37</v>
      </c>
      <c r="K2759" s="2" t="s">
        <v>38</v>
      </c>
      <c r="L2759" s="2" t="s">
        <v>39</v>
      </c>
      <c r="M2759" s="2" t="s">
        <v>39</v>
      </c>
      <c r="N2759" s="2" t="s">
        <v>39</v>
      </c>
      <c r="O2759" s="2" t="s">
        <v>39</v>
      </c>
      <c r="P2759" s="2" t="s">
        <v>39</v>
      </c>
      <c r="Q2759" s="2" t="s">
        <v>39</v>
      </c>
      <c r="R2759" s="2" t="s">
        <v>39</v>
      </c>
      <c r="S2759" s="2" t="s">
        <v>39</v>
      </c>
      <c r="T2759" s="2" t="s">
        <v>39</v>
      </c>
      <c r="U2759" s="2" t="s">
        <v>38</v>
      </c>
      <c r="V2759" s="2" t="s">
        <v>38</v>
      </c>
      <c r="W2759" s="2" t="s">
        <v>39</v>
      </c>
      <c r="X2759" s="2" t="s">
        <v>39</v>
      </c>
      <c r="Y2759" s="2" t="s">
        <v>39</v>
      </c>
      <c r="Z2759" s="2" t="s">
        <v>39</v>
      </c>
      <c r="AA2759" s="2" t="s">
        <v>39</v>
      </c>
      <c r="AB2759" s="2" t="s">
        <v>39</v>
      </c>
      <c r="AC2759" s="2" t="s">
        <v>39</v>
      </c>
      <c r="AD2759" s="2" t="s">
        <v>38</v>
      </c>
      <c r="AE2759" s="2" t="s">
        <v>39</v>
      </c>
    </row>
    <row r="2760" spans="1:31" ht="409.5">
      <c r="A2760" s="2">
        <v>2711029</v>
      </c>
      <c r="B2760" s="2">
        <f>HYPERLINK("https://platform.v2.vetology.net/cases/2711029/screening-report/1?type=pdf&amp;v=v6&amp;scorecard=1&amp;secret_key=BX%25IJ%24%2F65ieZ%29f6", 2711029)</f>
        <v>2711029</v>
      </c>
      <c r="C2760" s="2">
        <f>HYPERLINK("https://platform.v2.vetology.net/report/v/final/"&amp;2711029, 2711029)</f>
        <v>2711029</v>
      </c>
      <c r="D2760" s="2" t="s">
        <v>8815</v>
      </c>
      <c r="E2760" s="2" t="s">
        <v>8816</v>
      </c>
      <c r="F2760" s="2" t="s">
        <v>4684</v>
      </c>
      <c r="G2760" s="2" t="s">
        <v>34</v>
      </c>
      <c r="H2760" s="2" t="s">
        <v>5924</v>
      </c>
      <c r="I2760" s="2" t="s">
        <v>73</v>
      </c>
      <c r="J2760" s="2" t="s">
        <v>74</v>
      </c>
      <c r="K2760" s="2" t="s">
        <v>38</v>
      </c>
      <c r="L2760" s="2" t="s">
        <v>38</v>
      </c>
      <c r="M2760" s="2" t="s">
        <v>38</v>
      </c>
      <c r="N2760" s="2" t="s">
        <v>38</v>
      </c>
      <c r="O2760" s="2" t="s">
        <v>38</v>
      </c>
      <c r="P2760" s="2" t="s">
        <v>38</v>
      </c>
      <c r="Q2760" s="2" t="s">
        <v>38</v>
      </c>
      <c r="R2760" s="2" t="s">
        <v>39</v>
      </c>
      <c r="S2760" s="2" t="s">
        <v>38</v>
      </c>
      <c r="T2760" s="2" t="s">
        <v>38</v>
      </c>
      <c r="U2760" s="2" t="s">
        <v>38</v>
      </c>
      <c r="V2760" s="2" t="s">
        <v>38</v>
      </c>
      <c r="W2760" s="2" t="s">
        <v>39</v>
      </c>
      <c r="X2760" s="2" t="s">
        <v>38</v>
      </c>
      <c r="Y2760" s="2" t="s">
        <v>39</v>
      </c>
      <c r="Z2760" s="2" t="s">
        <v>38</v>
      </c>
      <c r="AA2760" s="2" t="s">
        <v>38</v>
      </c>
      <c r="AB2760" s="2" t="s">
        <v>38</v>
      </c>
      <c r="AC2760" s="2" t="s">
        <v>38</v>
      </c>
      <c r="AD2760" s="2" t="s">
        <v>39</v>
      </c>
      <c r="AE2760" s="2" t="s">
        <v>40</v>
      </c>
    </row>
    <row r="2761" spans="1:31" ht="409.5">
      <c r="A2761" s="2">
        <v>2711023</v>
      </c>
      <c r="B2761" s="2">
        <f>HYPERLINK("https://platform.v2.vetology.net/cases/2711023/screening-report/1?type=pdf&amp;v=v6&amp;scorecard=1&amp;secret_key=BX%25IJ%24%2F65ieZ%29f6", 2711023)</f>
        <v>2711023</v>
      </c>
      <c r="C2761" s="2">
        <f>HYPERLINK("https://platform.v2.vetology.net/report/v/final/"&amp;2711023, 2711023)</f>
        <v>2711023</v>
      </c>
      <c r="D2761" s="2" t="s">
        <v>8817</v>
      </c>
      <c r="E2761" s="2" t="s">
        <v>8818</v>
      </c>
      <c r="F2761" s="2" t="s">
        <v>6411</v>
      </c>
      <c r="G2761" s="2" t="s">
        <v>170</v>
      </c>
      <c r="H2761" s="2" t="s">
        <v>8819</v>
      </c>
      <c r="I2761" s="2" t="s">
        <v>73</v>
      </c>
      <c r="J2761" s="2" t="s">
        <v>74</v>
      </c>
      <c r="K2761" s="2" t="s">
        <v>38</v>
      </c>
      <c r="L2761" s="2" t="s">
        <v>38</v>
      </c>
      <c r="M2761" s="2" t="s">
        <v>38</v>
      </c>
      <c r="N2761" s="2" t="s">
        <v>38</v>
      </c>
      <c r="O2761" s="2" t="s">
        <v>38</v>
      </c>
      <c r="P2761" s="2" t="s">
        <v>38</v>
      </c>
      <c r="Q2761" s="2" t="s">
        <v>38</v>
      </c>
      <c r="R2761" s="2" t="s">
        <v>38</v>
      </c>
      <c r="S2761" s="2" t="s">
        <v>38</v>
      </c>
      <c r="T2761" s="2" t="s">
        <v>38</v>
      </c>
      <c r="U2761" s="2" t="s">
        <v>38</v>
      </c>
      <c r="V2761" s="2" t="s">
        <v>38</v>
      </c>
      <c r="W2761" s="2" t="s">
        <v>38</v>
      </c>
      <c r="X2761" s="2" t="s">
        <v>38</v>
      </c>
      <c r="Y2761" s="2" t="s">
        <v>38</v>
      </c>
      <c r="Z2761" s="2" t="s">
        <v>38</v>
      </c>
      <c r="AA2761" s="2" t="s">
        <v>38</v>
      </c>
      <c r="AB2761" s="2" t="s">
        <v>38</v>
      </c>
      <c r="AC2761" s="2" t="s">
        <v>38</v>
      </c>
      <c r="AD2761" s="2" t="s">
        <v>39</v>
      </c>
      <c r="AE2761" s="2" t="s">
        <v>40</v>
      </c>
    </row>
    <row r="2762" spans="1:31" ht="409.5">
      <c r="A2762" s="2">
        <v>2710987</v>
      </c>
      <c r="B2762" s="2">
        <f>HYPERLINK("https://platform.v2.vetology.net/cases/2710987/screening-report/1?type=pdf&amp;v=v6&amp;scorecard=1&amp;secret_key=BX%25IJ%24%2F65ieZ%29f6", 2710987)</f>
        <v>2710987</v>
      </c>
      <c r="C2762" s="2">
        <f>HYPERLINK("https://platform.v2.vetology.net/report/v/final/"&amp;2710987, 2710987)</f>
        <v>2710987</v>
      </c>
      <c r="D2762" s="2" t="s">
        <v>8820</v>
      </c>
      <c r="E2762" s="2" t="s">
        <v>8821</v>
      </c>
      <c r="F2762" s="2" t="s">
        <v>8822</v>
      </c>
      <c r="G2762" s="2" t="s">
        <v>53</v>
      </c>
      <c r="H2762" s="2" t="s">
        <v>69</v>
      </c>
      <c r="I2762" s="2" t="s">
        <v>46</v>
      </c>
      <c r="J2762" s="2"/>
      <c r="K2762" s="2" t="s">
        <v>39</v>
      </c>
      <c r="L2762" s="2" t="s">
        <v>39</v>
      </c>
      <c r="M2762" s="2" t="s">
        <v>39</v>
      </c>
      <c r="N2762" s="2" t="s">
        <v>39</v>
      </c>
      <c r="O2762" s="2" t="s">
        <v>38</v>
      </c>
      <c r="P2762" s="2" t="s">
        <v>39</v>
      </c>
      <c r="Q2762" s="2" t="s">
        <v>39</v>
      </c>
      <c r="R2762" s="2" t="s">
        <v>39</v>
      </c>
      <c r="S2762" s="2" t="s">
        <v>39</v>
      </c>
      <c r="T2762" s="2" t="s">
        <v>39</v>
      </c>
      <c r="U2762" s="2" t="s">
        <v>39</v>
      </c>
      <c r="V2762" s="2" t="s">
        <v>39</v>
      </c>
      <c r="W2762" s="2" t="s">
        <v>39</v>
      </c>
      <c r="X2762" s="2" t="s">
        <v>39</v>
      </c>
      <c r="Y2762" s="2" t="s">
        <v>39</v>
      </c>
      <c r="Z2762" s="2" t="s">
        <v>39</v>
      </c>
      <c r="AA2762" s="2" t="s">
        <v>39</v>
      </c>
      <c r="AB2762" s="2" t="s">
        <v>39</v>
      </c>
      <c r="AC2762" s="2" t="s">
        <v>39</v>
      </c>
      <c r="AD2762" s="2" t="s">
        <v>39</v>
      </c>
      <c r="AE2762" s="2" t="s">
        <v>40</v>
      </c>
    </row>
    <row r="2763" spans="1:31" ht="409.5">
      <c r="A2763" s="2">
        <v>2710986</v>
      </c>
      <c r="B2763" s="2">
        <f>HYPERLINK("https://platform.v2.vetology.net/cases/2710986/screening-report/1?type=pdf&amp;v=v6&amp;scorecard=1&amp;secret_key=BX%25IJ%24%2F65ieZ%29f6", 2710986)</f>
        <v>2710986</v>
      </c>
      <c r="C2763" s="2">
        <f>HYPERLINK("https://platform.v2.vetology.net/report/v/final/"&amp;2710986, 2710986)</f>
        <v>2710986</v>
      </c>
      <c r="D2763" s="2" t="s">
        <v>8823</v>
      </c>
      <c r="E2763" s="2" t="s">
        <v>8824</v>
      </c>
      <c r="F2763" s="2" t="s">
        <v>8825</v>
      </c>
      <c r="G2763" s="2" t="s">
        <v>127</v>
      </c>
      <c r="H2763" s="2" t="s">
        <v>8826</v>
      </c>
      <c r="I2763" s="2" t="s">
        <v>36</v>
      </c>
      <c r="J2763" s="2" t="s">
        <v>37</v>
      </c>
      <c r="K2763" s="2" t="s">
        <v>39</v>
      </c>
      <c r="L2763" s="2" t="s">
        <v>39</v>
      </c>
      <c r="M2763" s="2" t="s">
        <v>38</v>
      </c>
      <c r="N2763" s="2" t="s">
        <v>38</v>
      </c>
      <c r="O2763" s="2" t="s">
        <v>38</v>
      </c>
      <c r="P2763" s="2" t="s">
        <v>39</v>
      </c>
      <c r="Q2763" s="2" t="s">
        <v>39</v>
      </c>
      <c r="R2763" s="2" t="s">
        <v>39</v>
      </c>
      <c r="S2763" s="2" t="s">
        <v>39</v>
      </c>
      <c r="T2763" s="2" t="s">
        <v>38</v>
      </c>
      <c r="U2763" s="2" t="s">
        <v>39</v>
      </c>
      <c r="V2763" s="2" t="s">
        <v>38</v>
      </c>
      <c r="W2763" s="2" t="s">
        <v>39</v>
      </c>
      <c r="X2763" s="2" t="s">
        <v>39</v>
      </c>
      <c r="Y2763" s="2" t="s">
        <v>39</v>
      </c>
      <c r="Z2763" s="2" t="s">
        <v>38</v>
      </c>
      <c r="AA2763" s="2" t="s">
        <v>39</v>
      </c>
      <c r="AB2763" s="2" t="s">
        <v>39</v>
      </c>
      <c r="AC2763" s="2" t="s">
        <v>38</v>
      </c>
      <c r="AD2763" s="2" t="s">
        <v>39</v>
      </c>
      <c r="AE2763" s="2" t="s">
        <v>39</v>
      </c>
    </row>
    <row r="2764" spans="1:31" ht="409.5">
      <c r="A2764" s="2">
        <v>2710985</v>
      </c>
      <c r="B2764" s="2">
        <f>HYPERLINK("https://platform.v2.vetology.net/cases/2710985/screening-report/1?type=pdf&amp;v=v6&amp;scorecard=1&amp;secret_key=BX%25IJ%24%2F65ieZ%29f6", 2710985)</f>
        <v>2710985</v>
      </c>
      <c r="C2764" s="2">
        <f>HYPERLINK("https://platform.v2.vetology.net/report/v/final/"&amp;2710985, 2710985)</f>
        <v>2710985</v>
      </c>
      <c r="D2764" s="2" t="s">
        <v>8827</v>
      </c>
      <c r="E2764" s="2" t="s">
        <v>8828</v>
      </c>
      <c r="F2764" s="2" t="s">
        <v>8829</v>
      </c>
      <c r="G2764" s="2" t="s">
        <v>251</v>
      </c>
      <c r="H2764" s="2" t="s">
        <v>8830</v>
      </c>
      <c r="I2764" s="2" t="s">
        <v>73</v>
      </c>
      <c r="J2764" s="2" t="s">
        <v>74</v>
      </c>
      <c r="K2764" s="2" t="s">
        <v>38</v>
      </c>
      <c r="L2764" s="2" t="s">
        <v>38</v>
      </c>
      <c r="M2764" s="2" t="s">
        <v>38</v>
      </c>
      <c r="N2764" s="2" t="s">
        <v>38</v>
      </c>
      <c r="O2764" s="2" t="s">
        <v>38</v>
      </c>
      <c r="P2764" s="2" t="s">
        <v>38</v>
      </c>
      <c r="Q2764" s="2" t="s">
        <v>38</v>
      </c>
      <c r="R2764" s="2" t="s">
        <v>38</v>
      </c>
      <c r="S2764" s="2" t="s">
        <v>38</v>
      </c>
      <c r="T2764" s="2" t="s">
        <v>38</v>
      </c>
      <c r="U2764" s="2" t="s">
        <v>38</v>
      </c>
      <c r="V2764" s="2" t="s">
        <v>38</v>
      </c>
      <c r="W2764" s="2" t="s">
        <v>38</v>
      </c>
      <c r="X2764" s="2" t="s">
        <v>38</v>
      </c>
      <c r="Y2764" s="2" t="s">
        <v>38</v>
      </c>
      <c r="Z2764" s="2" t="s">
        <v>38</v>
      </c>
      <c r="AA2764" s="2" t="s">
        <v>38</v>
      </c>
      <c r="AB2764" s="2" t="s">
        <v>38</v>
      </c>
      <c r="AC2764" s="2" t="s">
        <v>38</v>
      </c>
      <c r="AD2764" s="2" t="s">
        <v>38</v>
      </c>
      <c r="AE2764" s="2" t="s">
        <v>40</v>
      </c>
    </row>
    <row r="2765" spans="1:31" ht="409.5">
      <c r="A2765" s="2">
        <v>2710980</v>
      </c>
      <c r="B2765" s="2">
        <f>HYPERLINK("https://platform.v2.vetology.net/cases/2710980/screening-report/1?type=pdf&amp;v=v6&amp;scorecard=1&amp;secret_key=BX%25IJ%24%2F65ieZ%29f6", 2710980)</f>
        <v>2710980</v>
      </c>
      <c r="C2765" s="2">
        <f>HYPERLINK("https://platform.v2.vetology.net/report/v/final/"&amp;2710980, 2710980)</f>
        <v>2710980</v>
      </c>
      <c r="D2765" s="2" t="s">
        <v>8831</v>
      </c>
      <c r="E2765" s="2" t="s">
        <v>8832</v>
      </c>
      <c r="F2765" s="2" t="s">
        <v>43</v>
      </c>
      <c r="G2765" s="2" t="s">
        <v>44</v>
      </c>
      <c r="H2765" s="2" t="s">
        <v>8833</v>
      </c>
      <c r="I2765" s="2" t="s">
        <v>73</v>
      </c>
      <c r="J2765" s="2" t="s">
        <v>74</v>
      </c>
      <c r="K2765" s="2" t="s">
        <v>38</v>
      </c>
      <c r="L2765" s="2" t="s">
        <v>38</v>
      </c>
      <c r="M2765" s="2" t="s">
        <v>38</v>
      </c>
      <c r="N2765" s="2" t="s">
        <v>38</v>
      </c>
      <c r="O2765" s="2" t="s">
        <v>39</v>
      </c>
      <c r="P2765" s="2" t="s">
        <v>38</v>
      </c>
      <c r="Q2765" s="2" t="s">
        <v>38</v>
      </c>
      <c r="R2765" s="2" t="s">
        <v>38</v>
      </c>
      <c r="S2765" s="2" t="s">
        <v>38</v>
      </c>
      <c r="T2765" s="2" t="s">
        <v>38</v>
      </c>
      <c r="U2765" s="2" t="s">
        <v>38</v>
      </c>
      <c r="V2765" s="2" t="s">
        <v>38</v>
      </c>
      <c r="W2765" s="2" t="s">
        <v>38</v>
      </c>
      <c r="X2765" s="2" t="s">
        <v>38</v>
      </c>
      <c r="Y2765" s="2" t="s">
        <v>38</v>
      </c>
      <c r="Z2765" s="2" t="s">
        <v>38</v>
      </c>
      <c r="AA2765" s="2" t="s">
        <v>38</v>
      </c>
      <c r="AB2765" s="2" t="s">
        <v>38</v>
      </c>
      <c r="AC2765" s="2" t="s">
        <v>38</v>
      </c>
      <c r="AD2765" s="2" t="s">
        <v>38</v>
      </c>
      <c r="AE2765" s="2" t="s">
        <v>40</v>
      </c>
    </row>
    <row r="2766" spans="1:31" ht="409.5">
      <c r="A2766" s="2">
        <v>2710972</v>
      </c>
      <c r="B2766" s="2">
        <f>HYPERLINK("https://platform.v2.vetology.net/cases/2710972/screening-report/1?type=pdf&amp;v=v6&amp;scorecard=1&amp;secret_key=BX%25IJ%24%2F65ieZ%29f6", 2710972)</f>
        <v>2710972</v>
      </c>
      <c r="C2766" s="2">
        <f>HYPERLINK("https://platform.v2.vetology.net/report/v/final/"&amp;2710972, 2710972)</f>
        <v>2710972</v>
      </c>
      <c r="D2766" s="2" t="s">
        <v>8834</v>
      </c>
      <c r="E2766" s="2" t="s">
        <v>8835</v>
      </c>
      <c r="F2766" s="2"/>
      <c r="G2766" s="2" t="s">
        <v>100</v>
      </c>
      <c r="H2766" s="2" t="s">
        <v>158</v>
      </c>
      <c r="I2766" s="2" t="s">
        <v>59</v>
      </c>
      <c r="J2766" s="2" t="s">
        <v>37</v>
      </c>
      <c r="K2766" s="2" t="s">
        <v>38</v>
      </c>
      <c r="L2766" s="2" t="s">
        <v>39</v>
      </c>
      <c r="M2766" s="2" t="s">
        <v>39</v>
      </c>
      <c r="N2766" s="2" t="s">
        <v>39</v>
      </c>
      <c r="O2766" s="2" t="s">
        <v>39</v>
      </c>
      <c r="P2766" s="2" t="s">
        <v>39</v>
      </c>
      <c r="Q2766" s="2" t="s">
        <v>39</v>
      </c>
      <c r="R2766" s="2" t="s">
        <v>39</v>
      </c>
      <c r="S2766" s="2" t="s">
        <v>39</v>
      </c>
      <c r="T2766" s="2" t="s">
        <v>39</v>
      </c>
      <c r="U2766" s="2" t="s">
        <v>38</v>
      </c>
      <c r="V2766" s="2" t="s">
        <v>38</v>
      </c>
      <c r="W2766" s="2" t="s">
        <v>39</v>
      </c>
      <c r="X2766" s="2" t="s">
        <v>39</v>
      </c>
      <c r="Y2766" s="2" t="s">
        <v>39</v>
      </c>
      <c r="Z2766" s="2" t="s">
        <v>39</v>
      </c>
      <c r="AA2766" s="2" t="s">
        <v>39</v>
      </c>
      <c r="AB2766" s="2" t="s">
        <v>39</v>
      </c>
      <c r="AC2766" s="2" t="s">
        <v>39</v>
      </c>
      <c r="AD2766" s="2" t="s">
        <v>38</v>
      </c>
      <c r="AE2766" s="2" t="s">
        <v>39</v>
      </c>
    </row>
    <row r="2767" spans="1:31" ht="409.5">
      <c r="A2767" s="2">
        <v>2710951</v>
      </c>
      <c r="B2767" s="2">
        <f>HYPERLINK("https://platform.v2.vetology.net/cases/2710951/screening-report/1?type=pdf&amp;v=v6&amp;scorecard=1&amp;secret_key=BX%25IJ%24%2F65ieZ%29f6", 2710951)</f>
        <v>2710951</v>
      </c>
      <c r="C2767" s="2">
        <f>HYPERLINK("https://platform.v2.vetology.net/report/v/final/"&amp;2710951, 2710951)</f>
        <v>2710951</v>
      </c>
      <c r="D2767" s="2" t="s">
        <v>8836</v>
      </c>
      <c r="E2767" s="2" t="s">
        <v>8837</v>
      </c>
      <c r="F2767" s="2" t="s">
        <v>43</v>
      </c>
      <c r="G2767" s="2" t="s">
        <v>44</v>
      </c>
      <c r="H2767" s="2" t="s">
        <v>8838</v>
      </c>
      <c r="I2767" s="2" t="s">
        <v>36</v>
      </c>
      <c r="J2767" s="2" t="s">
        <v>37</v>
      </c>
      <c r="K2767" s="2" t="s">
        <v>39</v>
      </c>
      <c r="L2767" s="2" t="s">
        <v>39</v>
      </c>
      <c r="M2767" s="2" t="s">
        <v>38</v>
      </c>
      <c r="N2767" s="2" t="s">
        <v>38</v>
      </c>
      <c r="O2767" s="2" t="s">
        <v>38</v>
      </c>
      <c r="P2767" s="2" t="s">
        <v>39</v>
      </c>
      <c r="Q2767" s="2" t="s">
        <v>39</v>
      </c>
      <c r="R2767" s="2" t="s">
        <v>38</v>
      </c>
      <c r="S2767" s="2" t="s">
        <v>38</v>
      </c>
      <c r="T2767" s="2" t="s">
        <v>38</v>
      </c>
      <c r="U2767" s="2" t="s">
        <v>39</v>
      </c>
      <c r="V2767" s="2" t="s">
        <v>38</v>
      </c>
      <c r="W2767" s="2" t="s">
        <v>38</v>
      </c>
      <c r="X2767" s="2" t="s">
        <v>38</v>
      </c>
      <c r="Y2767" s="2" t="s">
        <v>39</v>
      </c>
      <c r="Z2767" s="2" t="s">
        <v>38</v>
      </c>
      <c r="AA2767" s="2" t="s">
        <v>38</v>
      </c>
      <c r="AB2767" s="2" t="s">
        <v>38</v>
      </c>
      <c r="AC2767" s="2" t="s">
        <v>38</v>
      </c>
      <c r="AD2767" s="2" t="s">
        <v>38</v>
      </c>
      <c r="AE2767" s="2" t="s">
        <v>39</v>
      </c>
    </row>
    <row r="2768" spans="1:31" ht="409.5">
      <c r="A2768" s="2">
        <v>2710944</v>
      </c>
      <c r="B2768" s="2">
        <f>HYPERLINK("https://platform.v2.vetology.net/cases/2710944/screening-report/1?type=pdf&amp;v=v6&amp;scorecard=1&amp;secret_key=BX%25IJ%24%2F65ieZ%29f6", 2710944)</f>
        <v>2710944</v>
      </c>
      <c r="C2768" s="2">
        <f>HYPERLINK("https://platform.v2.vetology.net/report/v/final/"&amp;2710944, 2710944)</f>
        <v>2710944</v>
      </c>
      <c r="D2768" s="2" t="s">
        <v>8839</v>
      </c>
      <c r="E2768" s="2" t="s">
        <v>8840</v>
      </c>
      <c r="F2768" s="2" t="s">
        <v>8841</v>
      </c>
      <c r="G2768" s="2" t="s">
        <v>34</v>
      </c>
      <c r="H2768" s="2" t="s">
        <v>2862</v>
      </c>
      <c r="I2768" s="2" t="s">
        <v>46</v>
      </c>
      <c r="J2768" s="2"/>
      <c r="K2768" s="2" t="s">
        <v>38</v>
      </c>
      <c r="L2768" s="2" t="s">
        <v>39</v>
      </c>
      <c r="M2768" s="2" t="s">
        <v>39</v>
      </c>
      <c r="N2768" s="2" t="s">
        <v>39</v>
      </c>
      <c r="O2768" s="2" t="s">
        <v>39</v>
      </c>
      <c r="P2768" s="2" t="s">
        <v>39</v>
      </c>
      <c r="Q2768" s="2" t="s">
        <v>39</v>
      </c>
      <c r="R2768" s="2" t="s">
        <v>38</v>
      </c>
      <c r="S2768" s="2" t="s">
        <v>38</v>
      </c>
      <c r="T2768" s="2" t="s">
        <v>39</v>
      </c>
      <c r="U2768" s="2" t="s">
        <v>39</v>
      </c>
      <c r="V2768" s="2" t="s">
        <v>38</v>
      </c>
      <c r="W2768" s="2" t="s">
        <v>38</v>
      </c>
      <c r="X2768" s="2" t="s">
        <v>39</v>
      </c>
      <c r="Y2768" s="2" t="s">
        <v>39</v>
      </c>
      <c r="Z2768" s="2" t="s">
        <v>38</v>
      </c>
      <c r="AA2768" s="2" t="s">
        <v>39</v>
      </c>
      <c r="AB2768" s="2" t="s">
        <v>39</v>
      </c>
      <c r="AC2768" s="2" t="s">
        <v>38</v>
      </c>
      <c r="AD2768" s="2" t="s">
        <v>38</v>
      </c>
      <c r="AE2768" s="2" t="s">
        <v>39</v>
      </c>
    </row>
    <row r="2769" spans="1:31" ht="409.5">
      <c r="A2769" s="2">
        <v>2710941</v>
      </c>
      <c r="B2769" s="2">
        <f>HYPERLINK("https://platform.v2.vetology.net/cases/2710941/screening-report/1?type=pdf&amp;v=v6&amp;scorecard=1&amp;secret_key=BX%25IJ%24%2F65ieZ%29f6", 2710941)</f>
        <v>2710941</v>
      </c>
      <c r="C2769" s="2">
        <f>HYPERLINK("https://platform.v2.vetology.net/report/v/final/"&amp;2710941, 2710941)</f>
        <v>2710941</v>
      </c>
      <c r="D2769" s="2" t="s">
        <v>8842</v>
      </c>
      <c r="E2769" s="2" t="s">
        <v>8843</v>
      </c>
      <c r="F2769" s="2" t="s">
        <v>229</v>
      </c>
      <c r="G2769" s="2" t="s">
        <v>170</v>
      </c>
      <c r="H2769" s="2" t="s">
        <v>8844</v>
      </c>
      <c r="I2769" s="2" t="s">
        <v>129</v>
      </c>
      <c r="J2769" s="2" t="s">
        <v>74</v>
      </c>
      <c r="K2769" s="2" t="s">
        <v>38</v>
      </c>
      <c r="L2769" s="2" t="s">
        <v>38</v>
      </c>
      <c r="M2769" s="2" t="s">
        <v>38</v>
      </c>
      <c r="N2769" s="2" t="s">
        <v>38</v>
      </c>
      <c r="O2769" s="2" t="s">
        <v>38</v>
      </c>
      <c r="P2769" s="2" t="s">
        <v>38</v>
      </c>
      <c r="Q2769" s="2" t="s">
        <v>38</v>
      </c>
      <c r="R2769" s="2" t="s">
        <v>38</v>
      </c>
      <c r="S2769" s="2" t="s">
        <v>38</v>
      </c>
      <c r="T2769" s="2" t="s">
        <v>38</v>
      </c>
      <c r="U2769" s="2" t="s">
        <v>39</v>
      </c>
      <c r="V2769" s="2" t="s">
        <v>39</v>
      </c>
      <c r="W2769" s="2" t="s">
        <v>38</v>
      </c>
      <c r="X2769" s="2" t="s">
        <v>38</v>
      </c>
      <c r="Y2769" s="2" t="s">
        <v>38</v>
      </c>
      <c r="Z2769" s="2" t="s">
        <v>38</v>
      </c>
      <c r="AA2769" s="2" t="s">
        <v>38</v>
      </c>
      <c r="AB2769" s="2" t="s">
        <v>38</v>
      </c>
      <c r="AC2769" s="2" t="s">
        <v>38</v>
      </c>
      <c r="AD2769" s="2" t="s">
        <v>38</v>
      </c>
      <c r="AE2769" s="2" t="s">
        <v>40</v>
      </c>
    </row>
    <row r="2770" spans="1:31" ht="409.5">
      <c r="A2770" s="2">
        <v>2710939</v>
      </c>
      <c r="B2770" s="2">
        <f>HYPERLINK("https://platform.v2.vetology.net/cases/2710939/screening-report/1?type=pdf&amp;v=v6&amp;scorecard=1&amp;secret_key=BX%25IJ%24%2F65ieZ%29f6", 2710939)</f>
        <v>2710939</v>
      </c>
      <c r="C2770" s="2">
        <f>HYPERLINK("https://platform.v2.vetology.net/report/v/final/"&amp;2710939, 2710939)</f>
        <v>2710939</v>
      </c>
      <c r="D2770" s="2" t="s">
        <v>8845</v>
      </c>
      <c r="E2770" s="2" t="s">
        <v>8846</v>
      </c>
      <c r="F2770" s="2" t="s">
        <v>8847</v>
      </c>
      <c r="G2770" s="2" t="s">
        <v>251</v>
      </c>
      <c r="H2770" s="2" t="s">
        <v>1175</v>
      </c>
      <c r="I2770" s="2" t="s">
        <v>36</v>
      </c>
      <c r="J2770" s="2" t="s">
        <v>37</v>
      </c>
      <c r="K2770" s="2" t="s">
        <v>39</v>
      </c>
      <c r="L2770" s="2" t="s">
        <v>39</v>
      </c>
      <c r="M2770" s="2" t="s">
        <v>38</v>
      </c>
      <c r="N2770" s="2" t="s">
        <v>39</v>
      </c>
      <c r="O2770" s="2" t="s">
        <v>39</v>
      </c>
      <c r="P2770" s="2" t="s">
        <v>39</v>
      </c>
      <c r="Q2770" s="2" t="s">
        <v>39</v>
      </c>
      <c r="R2770" s="2" t="s">
        <v>38</v>
      </c>
      <c r="S2770" s="2" t="s">
        <v>39</v>
      </c>
      <c r="T2770" s="2" t="s">
        <v>39</v>
      </c>
      <c r="U2770" s="2" t="s">
        <v>39</v>
      </c>
      <c r="V2770" s="2" t="s">
        <v>39</v>
      </c>
      <c r="W2770" s="2" t="s">
        <v>39</v>
      </c>
      <c r="X2770" s="2" t="s">
        <v>39</v>
      </c>
      <c r="Y2770" s="2" t="s">
        <v>39</v>
      </c>
      <c r="Z2770" s="2" t="s">
        <v>39</v>
      </c>
      <c r="AA2770" s="2" t="s">
        <v>39</v>
      </c>
      <c r="AB2770" s="2" t="s">
        <v>39</v>
      </c>
      <c r="AC2770" s="2" t="s">
        <v>38</v>
      </c>
      <c r="AD2770" s="2" t="s">
        <v>38</v>
      </c>
      <c r="AE2770" s="2" t="s">
        <v>39</v>
      </c>
    </row>
    <row r="2771" spans="1:31" ht="409.5">
      <c r="A2771" s="2">
        <v>2710936</v>
      </c>
      <c r="B2771" s="2">
        <f>HYPERLINK("https://platform.v2.vetology.net/cases/2710936/screening-report/1?type=pdf&amp;v=v6&amp;scorecard=1&amp;secret_key=BX%25IJ%24%2F65ieZ%29f6", 2710936)</f>
        <v>2710936</v>
      </c>
      <c r="C2771" s="2">
        <f>HYPERLINK("https://platform.v2.vetology.net/report/v/final/"&amp;2710936, 2710936)</f>
        <v>2710936</v>
      </c>
      <c r="D2771" s="2" t="s">
        <v>8848</v>
      </c>
      <c r="E2771" s="2" t="s">
        <v>8849</v>
      </c>
      <c r="F2771" s="2" t="s">
        <v>8850</v>
      </c>
      <c r="G2771" s="2" t="s">
        <v>170</v>
      </c>
      <c r="H2771" s="2" t="s">
        <v>8851</v>
      </c>
      <c r="I2771" s="2" t="s">
        <v>36</v>
      </c>
      <c r="J2771" s="2" t="s">
        <v>37</v>
      </c>
      <c r="K2771" s="2" t="s">
        <v>38</v>
      </c>
      <c r="L2771" s="2" t="s">
        <v>38</v>
      </c>
      <c r="M2771" s="2" t="s">
        <v>39</v>
      </c>
      <c r="N2771" s="2" t="s">
        <v>38</v>
      </c>
      <c r="O2771" s="2" t="s">
        <v>39</v>
      </c>
      <c r="P2771" s="2" t="s">
        <v>39</v>
      </c>
      <c r="Q2771" s="2" t="s">
        <v>39</v>
      </c>
      <c r="R2771" s="2" t="s">
        <v>39</v>
      </c>
      <c r="S2771" s="2" t="s">
        <v>38</v>
      </c>
      <c r="T2771" s="2" t="s">
        <v>39</v>
      </c>
      <c r="U2771" s="2" t="s">
        <v>38</v>
      </c>
      <c r="V2771" s="2" t="s">
        <v>38</v>
      </c>
      <c r="W2771" s="2" t="s">
        <v>38</v>
      </c>
      <c r="X2771" s="2" t="s">
        <v>39</v>
      </c>
      <c r="Y2771" s="2" t="s">
        <v>38</v>
      </c>
      <c r="Z2771" s="2" t="s">
        <v>38</v>
      </c>
      <c r="AA2771" s="2" t="s">
        <v>39</v>
      </c>
      <c r="AB2771" s="2" t="s">
        <v>39</v>
      </c>
      <c r="AC2771" s="2" t="s">
        <v>38</v>
      </c>
      <c r="AD2771" s="2" t="s">
        <v>38</v>
      </c>
      <c r="AE2771" s="2" t="s">
        <v>39</v>
      </c>
    </row>
    <row r="2772" spans="1:31" ht="409.5">
      <c r="A2772" s="2">
        <v>2710935</v>
      </c>
      <c r="B2772" s="2">
        <f>HYPERLINK("https://platform.v2.vetology.net/cases/2710935/screening-report/1?type=pdf&amp;v=v6&amp;scorecard=1&amp;secret_key=BX%25IJ%24%2F65ieZ%29f6", 2710935)</f>
        <v>2710935</v>
      </c>
      <c r="C2772" s="2">
        <f>HYPERLINK("https://platform.v2.vetology.net/report/v/final/"&amp;2710935, 2710935)</f>
        <v>2710935</v>
      </c>
      <c r="D2772" s="2" t="s">
        <v>8852</v>
      </c>
      <c r="E2772" s="2" t="s">
        <v>359</v>
      </c>
      <c r="F2772" s="2"/>
      <c r="G2772" s="2" t="s">
        <v>100</v>
      </c>
      <c r="H2772" s="2" t="s">
        <v>394</v>
      </c>
      <c r="I2772" s="2" t="s">
        <v>59</v>
      </c>
      <c r="J2772" s="2" t="s">
        <v>37</v>
      </c>
      <c r="K2772" s="2" t="s">
        <v>38</v>
      </c>
      <c r="L2772" s="2" t="s">
        <v>39</v>
      </c>
      <c r="M2772" s="2" t="s">
        <v>39</v>
      </c>
      <c r="N2772" s="2" t="s">
        <v>39</v>
      </c>
      <c r="O2772" s="2" t="s">
        <v>39</v>
      </c>
      <c r="P2772" s="2" t="s">
        <v>39</v>
      </c>
      <c r="Q2772" s="2" t="s">
        <v>39</v>
      </c>
      <c r="R2772" s="2" t="s">
        <v>39</v>
      </c>
      <c r="S2772" s="2" t="s">
        <v>39</v>
      </c>
      <c r="T2772" s="2" t="s">
        <v>39</v>
      </c>
      <c r="U2772" s="2" t="s">
        <v>38</v>
      </c>
      <c r="V2772" s="2" t="s">
        <v>38</v>
      </c>
      <c r="W2772" s="2" t="s">
        <v>39</v>
      </c>
      <c r="X2772" s="2" t="s">
        <v>39</v>
      </c>
      <c r="Y2772" s="2" t="s">
        <v>39</v>
      </c>
      <c r="Z2772" s="2" t="s">
        <v>39</v>
      </c>
      <c r="AA2772" s="2" t="s">
        <v>39</v>
      </c>
      <c r="AB2772" s="2" t="s">
        <v>39</v>
      </c>
      <c r="AC2772" s="2" t="s">
        <v>39</v>
      </c>
      <c r="AD2772" s="2" t="s">
        <v>39</v>
      </c>
      <c r="AE2772" s="2" t="s">
        <v>39</v>
      </c>
    </row>
    <row r="2773" spans="1:31" ht="409.5">
      <c r="A2773" s="2">
        <v>2710923</v>
      </c>
      <c r="B2773" s="2">
        <f>HYPERLINK("https://platform.v2.vetology.net/cases/2710923/screening-report/1?type=pdf&amp;v=v6&amp;scorecard=1&amp;secret_key=BX%25IJ%24%2F65ieZ%29f6", 2710923)</f>
        <v>2710923</v>
      </c>
      <c r="C2773" s="2">
        <f>HYPERLINK("https://platform.v2.vetology.net/report/v/final/"&amp;2710923, 2710923)</f>
        <v>2710923</v>
      </c>
      <c r="D2773" s="2" t="s">
        <v>8853</v>
      </c>
      <c r="E2773" s="2" t="s">
        <v>8854</v>
      </c>
      <c r="F2773" s="2" t="s">
        <v>8855</v>
      </c>
      <c r="G2773" s="2" t="s">
        <v>127</v>
      </c>
      <c r="H2773" s="2" t="s">
        <v>8856</v>
      </c>
      <c r="I2773" s="2" t="s">
        <v>73</v>
      </c>
      <c r="J2773" s="2" t="s">
        <v>74</v>
      </c>
      <c r="K2773" s="2" t="s">
        <v>38</v>
      </c>
      <c r="L2773" s="2" t="s">
        <v>38</v>
      </c>
      <c r="M2773" s="2" t="s">
        <v>38</v>
      </c>
      <c r="N2773" s="2" t="s">
        <v>38</v>
      </c>
      <c r="O2773" s="2" t="s">
        <v>38</v>
      </c>
      <c r="P2773" s="2" t="s">
        <v>38</v>
      </c>
      <c r="Q2773" s="2" t="s">
        <v>38</v>
      </c>
      <c r="R2773" s="2" t="s">
        <v>38</v>
      </c>
      <c r="S2773" s="2" t="s">
        <v>38</v>
      </c>
      <c r="T2773" s="2" t="s">
        <v>38</v>
      </c>
      <c r="U2773" s="2" t="s">
        <v>38</v>
      </c>
      <c r="V2773" s="2" t="s">
        <v>38</v>
      </c>
      <c r="W2773" s="2" t="s">
        <v>38</v>
      </c>
      <c r="X2773" s="2" t="s">
        <v>38</v>
      </c>
      <c r="Y2773" s="2" t="s">
        <v>39</v>
      </c>
      <c r="Z2773" s="2" t="s">
        <v>38</v>
      </c>
      <c r="AA2773" s="2" t="s">
        <v>38</v>
      </c>
      <c r="AB2773" s="2" t="s">
        <v>38</v>
      </c>
      <c r="AC2773" s="2" t="s">
        <v>38</v>
      </c>
      <c r="AD2773" s="2" t="s">
        <v>39</v>
      </c>
      <c r="AE2773" s="2" t="s">
        <v>40</v>
      </c>
    </row>
    <row r="2774" spans="1:31" ht="409.5">
      <c r="A2774" s="2">
        <v>2710891</v>
      </c>
      <c r="B2774" s="2">
        <f>HYPERLINK("https://platform.v2.vetology.net/cases/2710891/screening-report/1?type=pdf&amp;v=v6&amp;scorecard=1&amp;secret_key=BX%25IJ%24%2F65ieZ%29f6", 2710891)</f>
        <v>2710891</v>
      </c>
      <c r="C2774" s="2">
        <f>HYPERLINK("https://platform.v2.vetology.net/report/v/final/"&amp;2710891, 2710891)</f>
        <v>2710891</v>
      </c>
      <c r="D2774" s="2" t="s">
        <v>8857</v>
      </c>
      <c r="E2774" s="2" t="s">
        <v>8858</v>
      </c>
      <c r="F2774" s="2" t="s">
        <v>8859</v>
      </c>
      <c r="G2774" s="2" t="s">
        <v>251</v>
      </c>
      <c r="H2774" s="2" t="s">
        <v>8860</v>
      </c>
      <c r="I2774" s="2" t="s">
        <v>73</v>
      </c>
      <c r="J2774" s="2" t="s">
        <v>74</v>
      </c>
      <c r="K2774" s="2" t="s">
        <v>38</v>
      </c>
      <c r="L2774" s="2" t="s">
        <v>38</v>
      </c>
      <c r="M2774" s="2" t="s">
        <v>38</v>
      </c>
      <c r="N2774" s="2" t="s">
        <v>38</v>
      </c>
      <c r="O2774" s="2" t="s">
        <v>38</v>
      </c>
      <c r="P2774" s="2" t="s">
        <v>38</v>
      </c>
      <c r="Q2774" s="2" t="s">
        <v>38</v>
      </c>
      <c r="R2774" s="2" t="s">
        <v>39</v>
      </c>
      <c r="S2774" s="2" t="s">
        <v>38</v>
      </c>
      <c r="T2774" s="2" t="s">
        <v>38</v>
      </c>
      <c r="U2774" s="2" t="s">
        <v>38</v>
      </c>
      <c r="V2774" s="2" t="s">
        <v>38</v>
      </c>
      <c r="W2774" s="2" t="s">
        <v>39</v>
      </c>
      <c r="X2774" s="2" t="s">
        <v>38</v>
      </c>
      <c r="Y2774" s="2" t="s">
        <v>39</v>
      </c>
      <c r="Z2774" s="2" t="s">
        <v>39</v>
      </c>
      <c r="AA2774" s="2" t="s">
        <v>38</v>
      </c>
      <c r="AB2774" s="2" t="s">
        <v>38</v>
      </c>
      <c r="AC2774" s="2" t="s">
        <v>38</v>
      </c>
      <c r="AD2774" s="2" t="s">
        <v>39</v>
      </c>
      <c r="AE2774" s="2" t="s">
        <v>40</v>
      </c>
    </row>
    <row r="2775" spans="1:31" ht="409.5">
      <c r="A2775" s="2">
        <v>2710886</v>
      </c>
      <c r="B2775" s="2">
        <f>HYPERLINK("https://platform.v2.vetology.net/cases/2710886/screening-report/1?type=pdf&amp;v=v6&amp;scorecard=1&amp;secret_key=BX%25IJ%24%2F65ieZ%29f6", 2710886)</f>
        <v>2710886</v>
      </c>
      <c r="C2775" s="2">
        <f>HYPERLINK("https://platform.v2.vetology.net/report/v/final/"&amp;2710886, 2710886)</f>
        <v>2710886</v>
      </c>
      <c r="D2775" s="2" t="s">
        <v>8861</v>
      </c>
      <c r="E2775" s="2" t="s">
        <v>8862</v>
      </c>
      <c r="F2775" s="2" t="s">
        <v>8863</v>
      </c>
      <c r="G2775" s="2" t="s">
        <v>34</v>
      </c>
      <c r="H2775" s="2" t="s">
        <v>8864</v>
      </c>
      <c r="I2775" s="2" t="s">
        <v>36</v>
      </c>
      <c r="J2775" s="2" t="s">
        <v>37</v>
      </c>
      <c r="K2775" s="2" t="s">
        <v>38</v>
      </c>
      <c r="L2775" s="2" t="s">
        <v>39</v>
      </c>
      <c r="M2775" s="2" t="s">
        <v>38</v>
      </c>
      <c r="N2775" s="2" t="s">
        <v>38</v>
      </c>
      <c r="O2775" s="2" t="s">
        <v>38</v>
      </c>
      <c r="P2775" s="2" t="s">
        <v>39</v>
      </c>
      <c r="Q2775" s="2" t="s">
        <v>39</v>
      </c>
      <c r="R2775" s="2" t="s">
        <v>38</v>
      </c>
      <c r="S2775" s="2" t="s">
        <v>38</v>
      </c>
      <c r="T2775" s="2" t="s">
        <v>38</v>
      </c>
      <c r="U2775" s="2" t="s">
        <v>38</v>
      </c>
      <c r="V2775" s="2" t="s">
        <v>38</v>
      </c>
      <c r="W2775" s="2" t="s">
        <v>38</v>
      </c>
      <c r="X2775" s="2" t="s">
        <v>39</v>
      </c>
      <c r="Y2775" s="2" t="s">
        <v>39</v>
      </c>
      <c r="Z2775" s="2" t="s">
        <v>38</v>
      </c>
      <c r="AA2775" s="2" t="s">
        <v>38</v>
      </c>
      <c r="AB2775" s="2" t="s">
        <v>39</v>
      </c>
      <c r="AC2775" s="2" t="s">
        <v>38</v>
      </c>
      <c r="AD2775" s="2" t="s">
        <v>39</v>
      </c>
      <c r="AE2775" s="2" t="s">
        <v>39</v>
      </c>
    </row>
    <row r="2776" spans="1:31" ht="409.5">
      <c r="A2776" s="2">
        <v>2710870</v>
      </c>
      <c r="B2776" s="2">
        <f>HYPERLINK("https://platform.v2.vetology.net/cases/2710870/screening-report/1?type=pdf&amp;v=v6&amp;scorecard=1&amp;secret_key=BX%25IJ%24%2F65ieZ%29f6", 2710870)</f>
        <v>2710870</v>
      </c>
      <c r="C2776" s="2">
        <f>HYPERLINK("https://platform.v2.vetology.net/report/v/final/"&amp;2710870, 2710870)</f>
        <v>2710870</v>
      </c>
      <c r="D2776" s="2" t="s">
        <v>8865</v>
      </c>
      <c r="E2776" s="2" t="s">
        <v>8866</v>
      </c>
      <c r="F2776" s="2" t="s">
        <v>8867</v>
      </c>
      <c r="G2776" s="2" t="s">
        <v>8097</v>
      </c>
      <c r="H2776" s="2" t="s">
        <v>4796</v>
      </c>
      <c r="I2776" s="2" t="s">
        <v>36</v>
      </c>
      <c r="J2776" s="2" t="s">
        <v>37</v>
      </c>
      <c r="K2776" s="2" t="s">
        <v>38</v>
      </c>
      <c r="L2776" s="2" t="s">
        <v>39</v>
      </c>
      <c r="M2776" s="2" t="s">
        <v>38</v>
      </c>
      <c r="N2776" s="2" t="s">
        <v>38</v>
      </c>
      <c r="O2776" s="2" t="s">
        <v>38</v>
      </c>
      <c r="P2776" s="2" t="s">
        <v>39</v>
      </c>
      <c r="Q2776" s="2" t="s">
        <v>39</v>
      </c>
      <c r="R2776" s="2" t="s">
        <v>39</v>
      </c>
      <c r="S2776" s="2" t="s">
        <v>39</v>
      </c>
      <c r="T2776" s="2" t="s">
        <v>39</v>
      </c>
      <c r="U2776" s="2" t="s">
        <v>38</v>
      </c>
      <c r="V2776" s="2" t="s">
        <v>38</v>
      </c>
      <c r="W2776" s="2" t="s">
        <v>38</v>
      </c>
      <c r="X2776" s="2" t="s">
        <v>38</v>
      </c>
      <c r="Y2776" s="2" t="s">
        <v>39</v>
      </c>
      <c r="Z2776" s="2" t="s">
        <v>39</v>
      </c>
      <c r="AA2776" s="2" t="s">
        <v>38</v>
      </c>
      <c r="AB2776" s="2" t="s">
        <v>38</v>
      </c>
      <c r="AC2776" s="2" t="s">
        <v>38</v>
      </c>
      <c r="AD2776" s="2" t="s">
        <v>39</v>
      </c>
      <c r="AE2776" s="2" t="s">
        <v>40</v>
      </c>
    </row>
    <row r="2777" spans="1:31" ht="409.5">
      <c r="A2777" s="2">
        <v>2710855</v>
      </c>
      <c r="B2777" s="2">
        <f>HYPERLINK("https://platform.v2.vetology.net/cases/2710855/screening-report/1?type=pdf&amp;v=v6&amp;scorecard=1&amp;secret_key=BX%25IJ%24%2F65ieZ%29f6", 2710855)</f>
        <v>2710855</v>
      </c>
      <c r="C2777" s="2">
        <f>HYPERLINK("https://platform.v2.vetology.net/report/v/final/"&amp;2710855, 2710855)</f>
        <v>2710855</v>
      </c>
      <c r="D2777" s="2" t="s">
        <v>8868</v>
      </c>
      <c r="E2777" s="2" t="s">
        <v>8869</v>
      </c>
      <c r="F2777" s="2" t="s">
        <v>43</v>
      </c>
      <c r="G2777" s="2" t="s">
        <v>44</v>
      </c>
      <c r="H2777" s="2" t="s">
        <v>8870</v>
      </c>
      <c r="I2777" s="2" t="s">
        <v>129</v>
      </c>
      <c r="J2777" s="2" t="s">
        <v>74</v>
      </c>
      <c r="K2777" s="2" t="s">
        <v>39</v>
      </c>
      <c r="L2777" s="2" t="s">
        <v>39</v>
      </c>
      <c r="M2777" s="2" t="s">
        <v>38</v>
      </c>
      <c r="N2777" s="2" t="s">
        <v>38</v>
      </c>
      <c r="O2777" s="2" t="s">
        <v>38</v>
      </c>
      <c r="P2777" s="2" t="s">
        <v>38</v>
      </c>
      <c r="Q2777" s="2" t="s">
        <v>38</v>
      </c>
      <c r="R2777" s="2" t="s">
        <v>39</v>
      </c>
      <c r="S2777" s="2" t="s">
        <v>38</v>
      </c>
      <c r="T2777" s="2" t="s">
        <v>38</v>
      </c>
      <c r="U2777" s="2" t="s">
        <v>39</v>
      </c>
      <c r="V2777" s="2" t="s">
        <v>39</v>
      </c>
      <c r="W2777" s="2" t="s">
        <v>38</v>
      </c>
      <c r="X2777" s="2" t="s">
        <v>38</v>
      </c>
      <c r="Y2777" s="2" t="s">
        <v>39</v>
      </c>
      <c r="Z2777" s="2" t="s">
        <v>38</v>
      </c>
      <c r="AA2777" s="2" t="s">
        <v>38</v>
      </c>
      <c r="AB2777" s="2" t="s">
        <v>38</v>
      </c>
      <c r="AC2777" s="2" t="s">
        <v>38</v>
      </c>
      <c r="AD2777" s="2" t="s">
        <v>38</v>
      </c>
      <c r="AE2777" s="2" t="s">
        <v>39</v>
      </c>
    </row>
    <row r="2778" spans="1:31" ht="409.5">
      <c r="A2778" s="2">
        <v>2710849</v>
      </c>
      <c r="B2778" s="2">
        <f>HYPERLINK("https://platform.v2.vetology.net/cases/2710849/screening-report/1?type=pdf&amp;v=v6&amp;scorecard=1&amp;secret_key=BX%25IJ%24%2F65ieZ%29f6", 2710849)</f>
        <v>2710849</v>
      </c>
      <c r="C2778" s="2">
        <f>HYPERLINK("https://platform.v2.vetology.net/report/v/final/"&amp;2710849, 2710849)</f>
        <v>2710849</v>
      </c>
      <c r="D2778" s="2" t="s">
        <v>8871</v>
      </c>
      <c r="E2778" s="2" t="s">
        <v>8872</v>
      </c>
      <c r="F2778" s="2" t="s">
        <v>8873</v>
      </c>
      <c r="G2778" s="2" t="s">
        <v>170</v>
      </c>
      <c r="H2778" s="2" t="s">
        <v>530</v>
      </c>
      <c r="I2778" s="2" t="s">
        <v>59</v>
      </c>
      <c r="J2778" s="2" t="s">
        <v>37</v>
      </c>
      <c r="K2778" s="2" t="s">
        <v>38</v>
      </c>
      <c r="L2778" s="2" t="s">
        <v>39</v>
      </c>
      <c r="M2778" s="2" t="s">
        <v>39</v>
      </c>
      <c r="N2778" s="2" t="s">
        <v>39</v>
      </c>
      <c r="O2778" s="2" t="s">
        <v>38</v>
      </c>
      <c r="P2778" s="2" t="s">
        <v>39</v>
      </c>
      <c r="Q2778" s="2" t="s">
        <v>39</v>
      </c>
      <c r="R2778" s="2" t="s">
        <v>39</v>
      </c>
      <c r="S2778" s="2" t="s">
        <v>39</v>
      </c>
      <c r="T2778" s="2" t="s">
        <v>39</v>
      </c>
      <c r="U2778" s="2" t="s">
        <v>38</v>
      </c>
      <c r="V2778" s="2" t="s">
        <v>38</v>
      </c>
      <c r="W2778" s="2" t="s">
        <v>38</v>
      </c>
      <c r="X2778" s="2" t="s">
        <v>39</v>
      </c>
      <c r="Y2778" s="2" t="s">
        <v>38</v>
      </c>
      <c r="Z2778" s="2" t="s">
        <v>39</v>
      </c>
      <c r="AA2778" s="2" t="s">
        <v>39</v>
      </c>
      <c r="AB2778" s="2" t="s">
        <v>39</v>
      </c>
      <c r="AC2778" s="2" t="s">
        <v>38</v>
      </c>
      <c r="AD2778" s="2" t="s">
        <v>39</v>
      </c>
      <c r="AE2778" s="2" t="s">
        <v>40</v>
      </c>
    </row>
    <row r="2779" spans="1:31" ht="409.5">
      <c r="A2779" s="2">
        <v>2710847</v>
      </c>
      <c r="B2779" s="2">
        <f>HYPERLINK("https://platform.v2.vetology.net/cases/2710847/screening-report/1?type=pdf&amp;v=v6&amp;scorecard=1&amp;secret_key=BX%25IJ%24%2F65ieZ%29f6", 2710847)</f>
        <v>2710847</v>
      </c>
      <c r="C2779" s="2">
        <f>HYPERLINK("https://platform.v2.vetology.net/report/v/final/"&amp;2710847, 2710847)</f>
        <v>2710847</v>
      </c>
      <c r="D2779" s="2" t="s">
        <v>8874</v>
      </c>
      <c r="E2779" s="2" t="s">
        <v>8875</v>
      </c>
      <c r="F2779" s="2" t="s">
        <v>4216</v>
      </c>
      <c r="G2779" s="2" t="s">
        <v>170</v>
      </c>
      <c r="H2779" s="2" t="s">
        <v>8876</v>
      </c>
      <c r="I2779" s="2" t="s">
        <v>36</v>
      </c>
      <c r="J2779" s="2" t="s">
        <v>37</v>
      </c>
      <c r="K2779" s="2" t="s">
        <v>38</v>
      </c>
      <c r="L2779" s="2" t="s">
        <v>38</v>
      </c>
      <c r="M2779" s="2" t="s">
        <v>38</v>
      </c>
      <c r="N2779" s="2" t="s">
        <v>38</v>
      </c>
      <c r="O2779" s="2" t="s">
        <v>38</v>
      </c>
      <c r="P2779" s="2" t="s">
        <v>39</v>
      </c>
      <c r="Q2779" s="2" t="s">
        <v>39</v>
      </c>
      <c r="R2779" s="2" t="s">
        <v>38</v>
      </c>
      <c r="S2779" s="2" t="s">
        <v>38</v>
      </c>
      <c r="T2779" s="2" t="s">
        <v>39</v>
      </c>
      <c r="U2779" s="2" t="s">
        <v>38</v>
      </c>
      <c r="V2779" s="2" t="s">
        <v>38</v>
      </c>
      <c r="W2779" s="2" t="s">
        <v>38</v>
      </c>
      <c r="X2779" s="2" t="s">
        <v>39</v>
      </c>
      <c r="Y2779" s="2" t="s">
        <v>38</v>
      </c>
      <c r="Z2779" s="2" t="s">
        <v>38</v>
      </c>
      <c r="AA2779" s="2" t="s">
        <v>38</v>
      </c>
      <c r="AB2779" s="2" t="s">
        <v>39</v>
      </c>
      <c r="AC2779" s="2" t="s">
        <v>38</v>
      </c>
      <c r="AD2779" s="2" t="s">
        <v>38</v>
      </c>
      <c r="AE2779" s="2" t="s">
        <v>39</v>
      </c>
    </row>
    <row r="2780" spans="1:31" ht="409.5">
      <c r="A2780" s="2">
        <v>2710835</v>
      </c>
      <c r="B2780" s="2">
        <f>HYPERLINK("https://platform.v2.vetology.net/cases/2710835/screening-report/1?type=pdf&amp;v=v6&amp;scorecard=1&amp;secret_key=BX%25IJ%24%2F65ieZ%29f6", 2710835)</f>
        <v>2710835</v>
      </c>
      <c r="C2780" s="2">
        <f>HYPERLINK("https://platform.v2.vetology.net/report/v/final/"&amp;2710835, 2710835)</f>
        <v>2710835</v>
      </c>
      <c r="D2780" s="2" t="s">
        <v>8877</v>
      </c>
      <c r="E2780" s="2" t="s">
        <v>8878</v>
      </c>
      <c r="F2780" s="2" t="s">
        <v>8879</v>
      </c>
      <c r="G2780" s="2" t="s">
        <v>251</v>
      </c>
      <c r="H2780" s="2" t="s">
        <v>8880</v>
      </c>
      <c r="I2780" s="2" t="s">
        <v>36</v>
      </c>
      <c r="J2780" s="2" t="s">
        <v>37</v>
      </c>
      <c r="K2780" s="2" t="s">
        <v>39</v>
      </c>
      <c r="L2780" s="2" t="s">
        <v>39</v>
      </c>
      <c r="M2780" s="2" t="s">
        <v>38</v>
      </c>
      <c r="N2780" s="2" t="s">
        <v>38</v>
      </c>
      <c r="O2780" s="2" t="s">
        <v>38</v>
      </c>
      <c r="P2780" s="2" t="s">
        <v>38</v>
      </c>
      <c r="Q2780" s="2" t="s">
        <v>39</v>
      </c>
      <c r="R2780" s="2" t="s">
        <v>39</v>
      </c>
      <c r="S2780" s="2" t="s">
        <v>39</v>
      </c>
      <c r="T2780" s="2" t="s">
        <v>38</v>
      </c>
      <c r="U2780" s="2" t="s">
        <v>39</v>
      </c>
      <c r="V2780" s="2" t="s">
        <v>38</v>
      </c>
      <c r="W2780" s="2" t="s">
        <v>38</v>
      </c>
      <c r="X2780" s="2" t="s">
        <v>39</v>
      </c>
      <c r="Y2780" s="2" t="s">
        <v>39</v>
      </c>
      <c r="Z2780" s="2" t="s">
        <v>38</v>
      </c>
      <c r="AA2780" s="2" t="s">
        <v>39</v>
      </c>
      <c r="AB2780" s="2" t="s">
        <v>39</v>
      </c>
      <c r="AC2780" s="2" t="s">
        <v>39</v>
      </c>
      <c r="AD2780" s="2" t="s">
        <v>38</v>
      </c>
      <c r="AE2780" s="2" t="s">
        <v>40</v>
      </c>
    </row>
    <row r="2781" spans="1:31" ht="409.5">
      <c r="A2781" s="2">
        <v>2710834</v>
      </c>
      <c r="B2781" s="2">
        <f>HYPERLINK("https://platform.v2.vetology.net/cases/2710834/screening-report/1?type=pdf&amp;v=v6&amp;scorecard=1&amp;secret_key=BX%25IJ%24%2F65ieZ%29f6", 2710834)</f>
        <v>2710834</v>
      </c>
      <c r="C2781" s="2">
        <f>HYPERLINK("https://platform.v2.vetology.net/report/v/final/"&amp;2710834, 2710834)</f>
        <v>2710834</v>
      </c>
      <c r="D2781" s="2" t="s">
        <v>8881</v>
      </c>
      <c r="E2781" s="2" t="s">
        <v>8882</v>
      </c>
      <c r="F2781" s="2" t="s">
        <v>8883</v>
      </c>
      <c r="G2781" s="2" t="s">
        <v>251</v>
      </c>
      <c r="H2781" s="2" t="s">
        <v>888</v>
      </c>
      <c r="I2781" s="2" t="s">
        <v>36</v>
      </c>
      <c r="J2781" s="2" t="s">
        <v>37</v>
      </c>
      <c r="K2781" s="2" t="s">
        <v>39</v>
      </c>
      <c r="L2781" s="2" t="s">
        <v>39</v>
      </c>
      <c r="M2781" s="2" t="s">
        <v>38</v>
      </c>
      <c r="N2781" s="2" t="s">
        <v>38</v>
      </c>
      <c r="O2781" s="2" t="s">
        <v>38</v>
      </c>
      <c r="P2781" s="2" t="s">
        <v>39</v>
      </c>
      <c r="Q2781" s="2" t="s">
        <v>39</v>
      </c>
      <c r="R2781" s="2" t="s">
        <v>38</v>
      </c>
      <c r="S2781" s="2" t="s">
        <v>39</v>
      </c>
      <c r="T2781" s="2" t="s">
        <v>38</v>
      </c>
      <c r="U2781" s="2" t="s">
        <v>39</v>
      </c>
      <c r="V2781" s="2" t="s">
        <v>39</v>
      </c>
      <c r="W2781" s="2" t="s">
        <v>38</v>
      </c>
      <c r="X2781" s="2" t="s">
        <v>39</v>
      </c>
      <c r="Y2781" s="2" t="s">
        <v>39</v>
      </c>
      <c r="Z2781" s="2" t="s">
        <v>38</v>
      </c>
      <c r="AA2781" s="2" t="s">
        <v>39</v>
      </c>
      <c r="AB2781" s="2" t="s">
        <v>39</v>
      </c>
      <c r="AC2781" s="2" t="s">
        <v>38</v>
      </c>
      <c r="AD2781" s="2" t="s">
        <v>38</v>
      </c>
      <c r="AE2781" s="2" t="s">
        <v>40</v>
      </c>
    </row>
    <row r="2782" spans="1:31" ht="409.5">
      <c r="A2782" s="2">
        <v>2710833</v>
      </c>
      <c r="B2782" s="2">
        <f>HYPERLINK("https://platform.v2.vetology.net/cases/2710833/screening-report/1?type=pdf&amp;v=v6&amp;scorecard=1&amp;secret_key=BX%25IJ%24%2F65ieZ%29f6", 2710833)</f>
        <v>2710833</v>
      </c>
      <c r="C2782" s="2">
        <f>HYPERLINK("https://platform.v2.vetology.net/report/v/final/"&amp;2710833, 2710833)</f>
        <v>2710833</v>
      </c>
      <c r="D2782" s="2" t="s">
        <v>8884</v>
      </c>
      <c r="E2782" s="2" t="s">
        <v>8885</v>
      </c>
      <c r="F2782" s="2" t="s">
        <v>43</v>
      </c>
      <c r="G2782" s="2" t="s">
        <v>507</v>
      </c>
      <c r="H2782" s="2" t="s">
        <v>394</v>
      </c>
      <c r="I2782" s="2" t="s">
        <v>59</v>
      </c>
      <c r="J2782" s="2" t="s">
        <v>37</v>
      </c>
      <c r="K2782" s="2" t="s">
        <v>38</v>
      </c>
      <c r="L2782" s="2" t="s">
        <v>39</v>
      </c>
      <c r="M2782" s="2" t="s">
        <v>39</v>
      </c>
      <c r="N2782" s="2" t="s">
        <v>39</v>
      </c>
      <c r="O2782" s="2" t="s">
        <v>39</v>
      </c>
      <c r="P2782" s="2" t="s">
        <v>39</v>
      </c>
      <c r="Q2782" s="2" t="s">
        <v>39</v>
      </c>
      <c r="R2782" s="2" t="s">
        <v>39</v>
      </c>
      <c r="S2782" s="2" t="s">
        <v>39</v>
      </c>
      <c r="T2782" s="2" t="s">
        <v>39</v>
      </c>
      <c r="U2782" s="2" t="s">
        <v>39</v>
      </c>
      <c r="V2782" s="2" t="s">
        <v>38</v>
      </c>
      <c r="W2782" s="2" t="s">
        <v>39</v>
      </c>
      <c r="X2782" s="2" t="s">
        <v>39</v>
      </c>
      <c r="Y2782" s="2" t="s">
        <v>39</v>
      </c>
      <c r="Z2782" s="2" t="s">
        <v>39</v>
      </c>
      <c r="AA2782" s="2" t="s">
        <v>39</v>
      </c>
      <c r="AB2782" s="2" t="s">
        <v>39</v>
      </c>
      <c r="AC2782" s="2" t="s">
        <v>39</v>
      </c>
      <c r="AD2782" s="2" t="s">
        <v>38</v>
      </c>
      <c r="AE2782" s="2" t="s">
        <v>39</v>
      </c>
    </row>
    <row r="2783" spans="1:31" ht="409.5">
      <c r="A2783" s="2">
        <v>2710823</v>
      </c>
      <c r="B2783" s="2">
        <f>HYPERLINK("https://platform.v2.vetology.net/cases/2710823/screening-report/1?type=pdf&amp;v=v6&amp;scorecard=1&amp;secret_key=BX%25IJ%24%2F65ieZ%29f6", 2710823)</f>
        <v>2710823</v>
      </c>
      <c r="C2783" s="2">
        <f>HYPERLINK("https://platform.v2.vetology.net/report/v/final/"&amp;2710823, 2710823)</f>
        <v>2710823</v>
      </c>
      <c r="D2783" s="2" t="s">
        <v>8886</v>
      </c>
      <c r="E2783" s="2" t="s">
        <v>8887</v>
      </c>
      <c r="F2783" s="2" t="s">
        <v>8888</v>
      </c>
      <c r="G2783" s="2" t="s">
        <v>53</v>
      </c>
      <c r="H2783" s="2" t="s">
        <v>8889</v>
      </c>
      <c r="I2783" s="2" t="s">
        <v>257</v>
      </c>
      <c r="J2783" s="2" t="s">
        <v>74</v>
      </c>
      <c r="K2783" s="2" t="s">
        <v>38</v>
      </c>
      <c r="L2783" s="2" t="s">
        <v>38</v>
      </c>
      <c r="M2783" s="2" t="s">
        <v>38</v>
      </c>
      <c r="N2783" s="2" t="s">
        <v>38</v>
      </c>
      <c r="O2783" s="2" t="s">
        <v>38</v>
      </c>
      <c r="P2783" s="2" t="s">
        <v>38</v>
      </c>
      <c r="Q2783" s="2" t="s">
        <v>38</v>
      </c>
      <c r="R2783" s="2" t="s">
        <v>38</v>
      </c>
      <c r="S2783" s="2" t="s">
        <v>38</v>
      </c>
      <c r="T2783" s="2" t="s">
        <v>38</v>
      </c>
      <c r="U2783" s="2" t="s">
        <v>38</v>
      </c>
      <c r="V2783" s="2" t="s">
        <v>38</v>
      </c>
      <c r="W2783" s="2" t="s">
        <v>38</v>
      </c>
      <c r="X2783" s="2" t="s">
        <v>38</v>
      </c>
      <c r="Y2783" s="2" t="s">
        <v>38</v>
      </c>
      <c r="Z2783" s="2" t="s">
        <v>38</v>
      </c>
      <c r="AA2783" s="2" t="s">
        <v>38</v>
      </c>
      <c r="AB2783" s="2" t="s">
        <v>38</v>
      </c>
      <c r="AC2783" s="2" t="s">
        <v>38</v>
      </c>
      <c r="AD2783" s="2" t="s">
        <v>38</v>
      </c>
      <c r="AE2783" s="2"/>
    </row>
    <row r="2784" spans="1:31" ht="409.5">
      <c r="A2784" s="2">
        <v>2710794</v>
      </c>
      <c r="B2784" s="2">
        <f>HYPERLINK("https://platform.v2.vetology.net/cases/2710794/screening-report/1?type=pdf&amp;v=v6&amp;scorecard=1&amp;secret_key=BX%25IJ%24%2F65ieZ%29f6", 2710794)</f>
        <v>2710794</v>
      </c>
      <c r="C2784" s="2">
        <f>HYPERLINK("https://platform.v2.vetology.net/report/v/final/"&amp;2710794, 2710794)</f>
        <v>2710794</v>
      </c>
      <c r="D2784" s="2" t="s">
        <v>8890</v>
      </c>
      <c r="E2784" s="2" t="s">
        <v>5126</v>
      </c>
      <c r="F2784" s="2" t="s">
        <v>7477</v>
      </c>
      <c r="G2784" s="2" t="s">
        <v>44</v>
      </c>
      <c r="H2784" s="2" t="s">
        <v>394</v>
      </c>
      <c r="I2784" s="2" t="s">
        <v>59</v>
      </c>
      <c r="J2784" s="2" t="s">
        <v>37</v>
      </c>
      <c r="K2784" s="2" t="s">
        <v>38</v>
      </c>
      <c r="L2784" s="2" t="s">
        <v>39</v>
      </c>
      <c r="M2784" s="2" t="s">
        <v>39</v>
      </c>
      <c r="N2784" s="2" t="s">
        <v>39</v>
      </c>
      <c r="O2784" s="2" t="s">
        <v>39</v>
      </c>
      <c r="P2784" s="2" t="s">
        <v>39</v>
      </c>
      <c r="Q2784" s="2" t="s">
        <v>39</v>
      </c>
      <c r="R2784" s="2" t="s">
        <v>39</v>
      </c>
      <c r="S2784" s="2" t="s">
        <v>39</v>
      </c>
      <c r="T2784" s="2" t="s">
        <v>39</v>
      </c>
      <c r="U2784" s="2" t="s">
        <v>38</v>
      </c>
      <c r="V2784" s="2" t="s">
        <v>38</v>
      </c>
      <c r="W2784" s="2" t="s">
        <v>39</v>
      </c>
      <c r="X2784" s="2" t="s">
        <v>39</v>
      </c>
      <c r="Y2784" s="2" t="s">
        <v>39</v>
      </c>
      <c r="Z2784" s="2" t="s">
        <v>39</v>
      </c>
      <c r="AA2784" s="2" t="s">
        <v>39</v>
      </c>
      <c r="AB2784" s="2" t="s">
        <v>39</v>
      </c>
      <c r="AC2784" s="2" t="s">
        <v>39</v>
      </c>
      <c r="AD2784" s="2" t="s">
        <v>39</v>
      </c>
      <c r="AE2784" s="2" t="s">
        <v>39</v>
      </c>
    </row>
    <row r="2785" spans="1:31" ht="409.5">
      <c r="A2785" s="2">
        <v>2710788</v>
      </c>
      <c r="B2785" s="2">
        <f>HYPERLINK("https://platform.v2.vetology.net/cases/2710788/screening-report/1?type=pdf&amp;v=v6&amp;scorecard=1&amp;secret_key=BX%25IJ%24%2F65ieZ%29f6", 2710788)</f>
        <v>2710788</v>
      </c>
      <c r="C2785" s="2">
        <f>HYPERLINK("https://platform.v2.vetology.net/report/v/final/"&amp;2710788, 2710788)</f>
        <v>2710788</v>
      </c>
      <c r="D2785" s="2" t="s">
        <v>8891</v>
      </c>
      <c r="E2785" s="2" t="s">
        <v>8892</v>
      </c>
      <c r="F2785" s="2" t="s">
        <v>8893</v>
      </c>
      <c r="G2785" s="2" t="s">
        <v>170</v>
      </c>
      <c r="H2785" s="2" t="s">
        <v>8894</v>
      </c>
      <c r="I2785" s="2" t="s">
        <v>59</v>
      </c>
      <c r="J2785" s="2" t="s">
        <v>37</v>
      </c>
      <c r="K2785" s="2" t="s">
        <v>38</v>
      </c>
      <c r="L2785" s="2" t="s">
        <v>39</v>
      </c>
      <c r="M2785" s="2" t="s">
        <v>39</v>
      </c>
      <c r="N2785" s="2" t="s">
        <v>39</v>
      </c>
      <c r="O2785" s="2" t="s">
        <v>39</v>
      </c>
      <c r="P2785" s="2" t="s">
        <v>38</v>
      </c>
      <c r="Q2785" s="2" t="s">
        <v>39</v>
      </c>
      <c r="R2785" s="2" t="s">
        <v>39</v>
      </c>
      <c r="S2785" s="2" t="s">
        <v>39</v>
      </c>
      <c r="T2785" s="2" t="s">
        <v>39</v>
      </c>
      <c r="U2785" s="2" t="s">
        <v>39</v>
      </c>
      <c r="V2785" s="2" t="s">
        <v>38</v>
      </c>
      <c r="W2785" s="2" t="s">
        <v>38</v>
      </c>
      <c r="X2785" s="2" t="s">
        <v>39</v>
      </c>
      <c r="Y2785" s="2" t="s">
        <v>39</v>
      </c>
      <c r="Z2785" s="2" t="s">
        <v>39</v>
      </c>
      <c r="AA2785" s="2" t="s">
        <v>39</v>
      </c>
      <c r="AB2785" s="2" t="s">
        <v>39</v>
      </c>
      <c r="AC2785" s="2" t="s">
        <v>39</v>
      </c>
      <c r="AD2785" s="2" t="s">
        <v>39</v>
      </c>
      <c r="AE2785" s="2" t="s">
        <v>40</v>
      </c>
    </row>
    <row r="2786" spans="1:31" ht="409.5">
      <c r="A2786" s="2">
        <v>2710771</v>
      </c>
      <c r="B2786" s="2">
        <f>HYPERLINK("https://platform.v2.vetology.net/cases/2710771/screening-report/1?type=pdf&amp;v=v6&amp;scorecard=1&amp;secret_key=BX%25IJ%24%2F65ieZ%29f6", 2710771)</f>
        <v>2710771</v>
      </c>
      <c r="C2786" s="2">
        <f>HYPERLINK("https://platform.v2.vetology.net/report/v/final/"&amp;2710771, 2710771)</f>
        <v>2710771</v>
      </c>
      <c r="D2786" s="2" t="s">
        <v>8895</v>
      </c>
      <c r="E2786" s="2" t="s">
        <v>8896</v>
      </c>
      <c r="F2786" s="2" t="s">
        <v>43</v>
      </c>
      <c r="G2786" s="2" t="s">
        <v>100</v>
      </c>
      <c r="H2786" s="2" t="s">
        <v>8897</v>
      </c>
      <c r="I2786" s="2" t="s">
        <v>257</v>
      </c>
      <c r="J2786" s="2" t="s">
        <v>74</v>
      </c>
      <c r="K2786" s="2" t="s">
        <v>38</v>
      </c>
      <c r="L2786" s="2" t="s">
        <v>38</v>
      </c>
      <c r="M2786" s="2" t="s">
        <v>38</v>
      </c>
      <c r="N2786" s="2" t="s">
        <v>38</v>
      </c>
      <c r="O2786" s="2" t="s">
        <v>38</v>
      </c>
      <c r="P2786" s="2" t="s">
        <v>38</v>
      </c>
      <c r="Q2786" s="2" t="s">
        <v>38</v>
      </c>
      <c r="R2786" s="2" t="s">
        <v>38</v>
      </c>
      <c r="S2786" s="2" t="s">
        <v>38</v>
      </c>
      <c r="T2786" s="2" t="s">
        <v>38</v>
      </c>
      <c r="U2786" s="2" t="s">
        <v>38</v>
      </c>
      <c r="V2786" s="2" t="s">
        <v>38</v>
      </c>
      <c r="W2786" s="2" t="s">
        <v>38</v>
      </c>
      <c r="X2786" s="2" t="s">
        <v>38</v>
      </c>
      <c r="Y2786" s="2" t="s">
        <v>38</v>
      </c>
      <c r="Z2786" s="2" t="s">
        <v>38</v>
      </c>
      <c r="AA2786" s="2" t="s">
        <v>38</v>
      </c>
      <c r="AB2786" s="2" t="s">
        <v>38</v>
      </c>
      <c r="AC2786" s="2" t="s">
        <v>38</v>
      </c>
      <c r="AD2786" s="2" t="s">
        <v>38</v>
      </c>
      <c r="AE2786" s="2" t="s">
        <v>40</v>
      </c>
    </row>
    <row r="2787" spans="1:31" ht="409.5">
      <c r="A2787" s="2">
        <v>2710688</v>
      </c>
      <c r="B2787" s="2">
        <f>HYPERLINK("https://platform.v2.vetology.net/cases/2710688/screening-report/1?type=pdf&amp;v=v6&amp;scorecard=1&amp;secret_key=BX%25IJ%24%2F65ieZ%29f6", 2710688)</f>
        <v>2710688</v>
      </c>
      <c r="C2787" s="2">
        <f>HYPERLINK("https://platform.v2.vetology.net/report/v/final/"&amp;2710688, 2710688)</f>
        <v>2710688</v>
      </c>
      <c r="D2787" s="2" t="s">
        <v>8898</v>
      </c>
      <c r="E2787" s="2" t="s">
        <v>8899</v>
      </c>
      <c r="F2787" s="2" t="s">
        <v>8377</v>
      </c>
      <c r="G2787" s="2" t="s">
        <v>34</v>
      </c>
      <c r="H2787" s="2" t="s">
        <v>5883</v>
      </c>
      <c r="I2787" s="2" t="s">
        <v>36</v>
      </c>
      <c r="J2787" s="2" t="s">
        <v>37</v>
      </c>
      <c r="K2787" s="2" t="s">
        <v>39</v>
      </c>
      <c r="L2787" s="2" t="s">
        <v>39</v>
      </c>
      <c r="M2787" s="2" t="s">
        <v>38</v>
      </c>
      <c r="N2787" s="2" t="s">
        <v>38</v>
      </c>
      <c r="O2787" s="2" t="s">
        <v>38</v>
      </c>
      <c r="P2787" s="2" t="s">
        <v>38</v>
      </c>
      <c r="Q2787" s="2" t="s">
        <v>39</v>
      </c>
      <c r="R2787" s="2" t="s">
        <v>38</v>
      </c>
      <c r="S2787" s="2" t="s">
        <v>39</v>
      </c>
      <c r="T2787" s="2" t="s">
        <v>38</v>
      </c>
      <c r="U2787" s="2" t="s">
        <v>39</v>
      </c>
      <c r="V2787" s="2" t="s">
        <v>39</v>
      </c>
      <c r="W2787" s="2" t="s">
        <v>38</v>
      </c>
      <c r="X2787" s="2" t="s">
        <v>39</v>
      </c>
      <c r="Y2787" s="2" t="s">
        <v>39</v>
      </c>
      <c r="Z2787" s="2" t="s">
        <v>39</v>
      </c>
      <c r="AA2787" s="2" t="s">
        <v>39</v>
      </c>
      <c r="AB2787" s="2" t="s">
        <v>39</v>
      </c>
      <c r="AC2787" s="2" t="s">
        <v>38</v>
      </c>
      <c r="AD2787" s="2" t="s">
        <v>39</v>
      </c>
      <c r="AE2787" s="2" t="s">
        <v>39</v>
      </c>
    </row>
    <row r="2788" spans="1:31" ht="409.5">
      <c r="A2788" s="2">
        <v>2710684</v>
      </c>
      <c r="B2788" s="2">
        <f>HYPERLINK("https://platform.v2.vetology.net/cases/2710684/screening-report/1?type=pdf&amp;v=v6&amp;scorecard=1&amp;secret_key=BX%25IJ%24%2F65ieZ%29f6", 2710684)</f>
        <v>2710684</v>
      </c>
      <c r="C2788" s="2">
        <f>HYPERLINK("https://platform.v2.vetology.net/report/v/final/"&amp;2710684, 2710684)</f>
        <v>2710684</v>
      </c>
      <c r="D2788" s="2" t="s">
        <v>8900</v>
      </c>
      <c r="E2788" s="2" t="s">
        <v>4764</v>
      </c>
      <c r="F2788" s="2" t="s">
        <v>43</v>
      </c>
      <c r="G2788" s="2" t="s">
        <v>44</v>
      </c>
      <c r="H2788" s="2" t="s">
        <v>182</v>
      </c>
      <c r="I2788" s="2" t="s">
        <v>46</v>
      </c>
      <c r="J2788" s="2"/>
      <c r="K2788" s="2" t="s">
        <v>38</v>
      </c>
      <c r="L2788" s="2" t="s">
        <v>39</v>
      </c>
      <c r="M2788" s="2" t="s">
        <v>39</v>
      </c>
      <c r="N2788" s="2" t="s">
        <v>39</v>
      </c>
      <c r="O2788" s="2" t="s">
        <v>39</v>
      </c>
      <c r="P2788" s="2" t="s">
        <v>39</v>
      </c>
      <c r="Q2788" s="2" t="s">
        <v>39</v>
      </c>
      <c r="R2788" s="2" t="s">
        <v>38</v>
      </c>
      <c r="S2788" s="2" t="s">
        <v>39</v>
      </c>
      <c r="T2788" s="2" t="s">
        <v>39</v>
      </c>
      <c r="U2788" s="2" t="s">
        <v>39</v>
      </c>
      <c r="V2788" s="2" t="s">
        <v>39</v>
      </c>
      <c r="W2788" s="2" t="s">
        <v>38</v>
      </c>
      <c r="X2788" s="2" t="s">
        <v>39</v>
      </c>
      <c r="Y2788" s="2" t="s">
        <v>39</v>
      </c>
      <c r="Z2788" s="2" t="s">
        <v>39</v>
      </c>
      <c r="AA2788" s="2" t="s">
        <v>39</v>
      </c>
      <c r="AB2788" s="2" t="s">
        <v>39</v>
      </c>
      <c r="AC2788" s="2" t="s">
        <v>38</v>
      </c>
      <c r="AD2788" s="2" t="s">
        <v>38</v>
      </c>
      <c r="AE2788" s="2" t="s">
        <v>39</v>
      </c>
    </row>
    <row r="2789" spans="1:31" ht="409.5">
      <c r="A2789" s="2">
        <v>2710674</v>
      </c>
      <c r="B2789" s="2">
        <f>HYPERLINK("https://platform.v2.vetology.net/cases/2710674/screening-report/1?type=pdf&amp;v=v6&amp;scorecard=1&amp;secret_key=BX%25IJ%24%2F65ieZ%29f6", 2710674)</f>
        <v>2710674</v>
      </c>
      <c r="C2789" s="2">
        <f>HYPERLINK("https://platform.v2.vetology.net/report/v/final/"&amp;2710674, 2710674)</f>
        <v>2710674</v>
      </c>
      <c r="D2789" s="2" t="s">
        <v>8901</v>
      </c>
      <c r="E2789" s="2" t="s">
        <v>8902</v>
      </c>
      <c r="F2789" s="2" t="s">
        <v>43</v>
      </c>
      <c r="G2789" s="2" t="s">
        <v>100</v>
      </c>
      <c r="H2789" s="2" t="s">
        <v>7579</v>
      </c>
      <c r="I2789" s="2" t="s">
        <v>36</v>
      </c>
      <c r="J2789" s="2" t="s">
        <v>37</v>
      </c>
      <c r="K2789" s="2" t="s">
        <v>38</v>
      </c>
      <c r="L2789" s="2" t="s">
        <v>38</v>
      </c>
      <c r="M2789" s="2" t="s">
        <v>38</v>
      </c>
      <c r="N2789" s="2" t="s">
        <v>38</v>
      </c>
      <c r="O2789" s="2" t="s">
        <v>38</v>
      </c>
      <c r="P2789" s="2" t="s">
        <v>39</v>
      </c>
      <c r="Q2789" s="2" t="s">
        <v>39</v>
      </c>
      <c r="R2789" s="2" t="s">
        <v>38</v>
      </c>
      <c r="S2789" s="2" t="s">
        <v>38</v>
      </c>
      <c r="T2789" s="2" t="s">
        <v>38</v>
      </c>
      <c r="U2789" s="2" t="s">
        <v>38</v>
      </c>
      <c r="V2789" s="2" t="s">
        <v>38</v>
      </c>
      <c r="W2789" s="2" t="s">
        <v>38</v>
      </c>
      <c r="X2789" s="2" t="s">
        <v>39</v>
      </c>
      <c r="Y2789" s="2" t="s">
        <v>38</v>
      </c>
      <c r="Z2789" s="2" t="s">
        <v>38</v>
      </c>
      <c r="AA2789" s="2" t="s">
        <v>38</v>
      </c>
      <c r="AB2789" s="2" t="s">
        <v>39</v>
      </c>
      <c r="AC2789" s="2" t="s">
        <v>38</v>
      </c>
      <c r="AD2789" s="2" t="s">
        <v>38</v>
      </c>
      <c r="AE2789" s="2" t="s">
        <v>40</v>
      </c>
    </row>
    <row r="2790" spans="1:31" ht="409.5">
      <c r="A2790" s="2">
        <v>2710672</v>
      </c>
      <c r="B2790" s="2">
        <f>HYPERLINK("https://platform.v2.vetology.net/cases/2710672/screening-report/1?type=pdf&amp;v=v6&amp;scorecard=1&amp;secret_key=BX%25IJ%24%2F65ieZ%29f6", 2710672)</f>
        <v>2710672</v>
      </c>
      <c r="C2790" s="2">
        <f>HYPERLINK("https://platform.v2.vetology.net/report/v/final/"&amp;2710672, 2710672)</f>
        <v>2710672</v>
      </c>
      <c r="D2790" s="2" t="s">
        <v>8903</v>
      </c>
      <c r="E2790" s="2" t="s">
        <v>8904</v>
      </c>
      <c r="F2790" s="2" t="s">
        <v>8905</v>
      </c>
      <c r="G2790" s="2" t="s">
        <v>170</v>
      </c>
      <c r="H2790" s="2" t="s">
        <v>6797</v>
      </c>
      <c r="I2790" s="2" t="s">
        <v>73</v>
      </c>
      <c r="J2790" s="2" t="s">
        <v>74</v>
      </c>
      <c r="K2790" s="2" t="s">
        <v>38</v>
      </c>
      <c r="L2790" s="2" t="s">
        <v>38</v>
      </c>
      <c r="M2790" s="2" t="s">
        <v>38</v>
      </c>
      <c r="N2790" s="2" t="s">
        <v>38</v>
      </c>
      <c r="O2790" s="2" t="s">
        <v>38</v>
      </c>
      <c r="P2790" s="2" t="s">
        <v>38</v>
      </c>
      <c r="Q2790" s="2" t="s">
        <v>38</v>
      </c>
      <c r="R2790" s="2" t="s">
        <v>38</v>
      </c>
      <c r="S2790" s="2" t="s">
        <v>38</v>
      </c>
      <c r="T2790" s="2" t="s">
        <v>38</v>
      </c>
      <c r="U2790" s="2" t="s">
        <v>38</v>
      </c>
      <c r="V2790" s="2" t="s">
        <v>38</v>
      </c>
      <c r="W2790" s="2" t="s">
        <v>38</v>
      </c>
      <c r="X2790" s="2" t="s">
        <v>38</v>
      </c>
      <c r="Y2790" s="2" t="s">
        <v>38</v>
      </c>
      <c r="Z2790" s="2" t="s">
        <v>38</v>
      </c>
      <c r="AA2790" s="2" t="s">
        <v>38</v>
      </c>
      <c r="AB2790" s="2" t="s">
        <v>38</v>
      </c>
      <c r="AC2790" s="2" t="s">
        <v>38</v>
      </c>
      <c r="AD2790" s="2" t="s">
        <v>39</v>
      </c>
      <c r="AE2790" s="2" t="s">
        <v>40</v>
      </c>
    </row>
    <row r="2791" spans="1:31" ht="409.5">
      <c r="A2791" s="2">
        <v>2710613</v>
      </c>
      <c r="B2791" s="2">
        <f>HYPERLINK("https://platform.v2.vetology.net/cases/2710613/screening-report/1?type=pdf&amp;v=v6&amp;scorecard=1&amp;secret_key=BX%25IJ%24%2F65ieZ%29f6", 2710613)</f>
        <v>2710613</v>
      </c>
      <c r="C2791" s="2">
        <f>HYPERLINK("https://platform.v2.vetology.net/report/v/final/"&amp;2710613, 2710613)</f>
        <v>2710613</v>
      </c>
      <c r="D2791" s="2" t="s">
        <v>8906</v>
      </c>
      <c r="E2791" s="2" t="s">
        <v>8907</v>
      </c>
      <c r="F2791" s="2" t="s">
        <v>8908</v>
      </c>
      <c r="G2791" s="2" t="s">
        <v>44</v>
      </c>
      <c r="H2791" s="2" t="s">
        <v>8909</v>
      </c>
      <c r="I2791" s="2" t="s">
        <v>257</v>
      </c>
      <c r="J2791" s="2" t="s">
        <v>74</v>
      </c>
      <c r="K2791" s="2" t="s">
        <v>38</v>
      </c>
      <c r="L2791" s="2" t="s">
        <v>38</v>
      </c>
      <c r="M2791" s="2" t="s">
        <v>38</v>
      </c>
      <c r="N2791" s="2" t="s">
        <v>38</v>
      </c>
      <c r="O2791" s="2" t="s">
        <v>38</v>
      </c>
      <c r="P2791" s="2" t="s">
        <v>38</v>
      </c>
      <c r="Q2791" s="2" t="s">
        <v>38</v>
      </c>
      <c r="R2791" s="2" t="s">
        <v>38</v>
      </c>
      <c r="S2791" s="2" t="s">
        <v>38</v>
      </c>
      <c r="T2791" s="2" t="s">
        <v>38</v>
      </c>
      <c r="U2791" s="2" t="s">
        <v>38</v>
      </c>
      <c r="V2791" s="2" t="s">
        <v>38</v>
      </c>
      <c r="W2791" s="2" t="s">
        <v>38</v>
      </c>
      <c r="X2791" s="2" t="s">
        <v>38</v>
      </c>
      <c r="Y2791" s="2" t="s">
        <v>38</v>
      </c>
      <c r="Z2791" s="2" t="s">
        <v>38</v>
      </c>
      <c r="AA2791" s="2" t="s">
        <v>38</v>
      </c>
      <c r="AB2791" s="2" t="s">
        <v>38</v>
      </c>
      <c r="AC2791" s="2" t="s">
        <v>38</v>
      </c>
      <c r="AD2791" s="2" t="s">
        <v>38</v>
      </c>
      <c r="AE2791" s="2" t="s">
        <v>39</v>
      </c>
    </row>
    <row r="2792" spans="1:31" ht="409.5">
      <c r="A2792" s="2">
        <v>2710604</v>
      </c>
      <c r="B2792" s="2">
        <f>HYPERLINK("https://platform.v2.vetology.net/cases/2710604/screening-report/1?type=pdf&amp;v=v6&amp;scorecard=1&amp;secret_key=BX%25IJ%24%2F65ieZ%29f6", 2710604)</f>
        <v>2710604</v>
      </c>
      <c r="C2792" s="2">
        <f>HYPERLINK("https://platform.v2.vetology.net/report/v/final/"&amp;2710604, 2710604)</f>
        <v>2710604</v>
      </c>
      <c r="D2792" s="2" t="s">
        <v>8910</v>
      </c>
      <c r="E2792" s="2" t="s">
        <v>8911</v>
      </c>
      <c r="F2792" s="2" t="s">
        <v>43</v>
      </c>
      <c r="G2792" s="2" t="s">
        <v>44</v>
      </c>
      <c r="H2792" s="2" t="s">
        <v>3972</v>
      </c>
      <c r="I2792" s="2" t="s">
        <v>36</v>
      </c>
      <c r="J2792" s="2" t="s">
        <v>37</v>
      </c>
      <c r="K2792" s="2" t="s">
        <v>39</v>
      </c>
      <c r="L2792" s="2" t="s">
        <v>38</v>
      </c>
      <c r="M2792" s="2" t="s">
        <v>39</v>
      </c>
      <c r="N2792" s="2" t="s">
        <v>39</v>
      </c>
      <c r="O2792" s="2" t="s">
        <v>38</v>
      </c>
      <c r="P2792" s="2" t="s">
        <v>39</v>
      </c>
      <c r="Q2792" s="2" t="s">
        <v>39</v>
      </c>
      <c r="R2792" s="2" t="s">
        <v>38</v>
      </c>
      <c r="S2792" s="2" t="s">
        <v>38</v>
      </c>
      <c r="T2792" s="2" t="s">
        <v>38</v>
      </c>
      <c r="U2792" s="2" t="s">
        <v>38</v>
      </c>
      <c r="V2792" s="2" t="s">
        <v>38</v>
      </c>
      <c r="W2792" s="2" t="s">
        <v>38</v>
      </c>
      <c r="X2792" s="2" t="s">
        <v>39</v>
      </c>
      <c r="Y2792" s="2" t="s">
        <v>38</v>
      </c>
      <c r="Z2792" s="2" t="s">
        <v>38</v>
      </c>
      <c r="AA2792" s="2" t="s">
        <v>39</v>
      </c>
      <c r="AB2792" s="2" t="s">
        <v>39</v>
      </c>
      <c r="AC2792" s="2" t="s">
        <v>38</v>
      </c>
      <c r="AD2792" s="2" t="s">
        <v>38</v>
      </c>
      <c r="AE2792" s="2" t="s">
        <v>39</v>
      </c>
    </row>
    <row r="2793" spans="1:31" ht="409.5">
      <c r="A2793" s="2">
        <v>2710588</v>
      </c>
      <c r="B2793" s="2">
        <f>HYPERLINK("https://platform.v2.vetology.net/cases/2710588/screening-report/1?type=pdf&amp;v=v6&amp;scorecard=1&amp;secret_key=BX%25IJ%24%2F65ieZ%29f6", 2710588)</f>
        <v>2710588</v>
      </c>
      <c r="C2793" s="2">
        <f>HYPERLINK("https://platform.v2.vetology.net/report/v/final/"&amp;2710588, 2710588)</f>
        <v>2710588</v>
      </c>
      <c r="D2793" s="2" t="s">
        <v>8912</v>
      </c>
      <c r="E2793" s="2" t="s">
        <v>8913</v>
      </c>
      <c r="F2793" s="2" t="s">
        <v>8914</v>
      </c>
      <c r="G2793" s="2" t="s">
        <v>170</v>
      </c>
      <c r="H2793" s="2" t="s">
        <v>8915</v>
      </c>
      <c r="I2793" s="2" t="s">
        <v>59</v>
      </c>
      <c r="J2793" s="2" t="s">
        <v>37</v>
      </c>
      <c r="K2793" s="2" t="s">
        <v>38</v>
      </c>
      <c r="L2793" s="2" t="s">
        <v>39</v>
      </c>
      <c r="M2793" s="2" t="s">
        <v>39</v>
      </c>
      <c r="N2793" s="2" t="s">
        <v>39</v>
      </c>
      <c r="O2793" s="2" t="s">
        <v>39</v>
      </c>
      <c r="P2793" s="2" t="s">
        <v>39</v>
      </c>
      <c r="Q2793" s="2" t="s">
        <v>39</v>
      </c>
      <c r="R2793" s="2" t="s">
        <v>39</v>
      </c>
      <c r="S2793" s="2" t="s">
        <v>38</v>
      </c>
      <c r="T2793" s="2" t="s">
        <v>39</v>
      </c>
      <c r="U2793" s="2" t="s">
        <v>38</v>
      </c>
      <c r="V2793" s="2" t="s">
        <v>38</v>
      </c>
      <c r="W2793" s="2" t="s">
        <v>39</v>
      </c>
      <c r="X2793" s="2" t="s">
        <v>39</v>
      </c>
      <c r="Y2793" s="2" t="s">
        <v>38</v>
      </c>
      <c r="Z2793" s="2" t="s">
        <v>39</v>
      </c>
      <c r="AA2793" s="2" t="s">
        <v>39</v>
      </c>
      <c r="AB2793" s="2" t="s">
        <v>39</v>
      </c>
      <c r="AC2793" s="2" t="s">
        <v>38</v>
      </c>
      <c r="AD2793" s="2" t="s">
        <v>38</v>
      </c>
      <c r="AE2793" s="2" t="s">
        <v>39</v>
      </c>
    </row>
    <row r="2794" spans="1:31" ht="409.5">
      <c r="A2794" s="2">
        <v>2710383</v>
      </c>
      <c r="B2794" s="2">
        <f>HYPERLINK("https://platform.v2.vetology.net/cases/2710383/screening-report/1?type=pdf&amp;v=v6&amp;scorecard=1&amp;secret_key=BX%25IJ%24%2F65ieZ%29f6", 2710383)</f>
        <v>2710383</v>
      </c>
      <c r="C2794" s="2">
        <f>HYPERLINK("https://platform.v2.vetology.net/report/v/final/"&amp;2710383, 2710383)</f>
        <v>2710383</v>
      </c>
      <c r="D2794" s="2" t="s">
        <v>8916</v>
      </c>
      <c r="E2794" s="2" t="s">
        <v>8917</v>
      </c>
      <c r="F2794" s="2" t="s">
        <v>8918</v>
      </c>
      <c r="G2794" s="2" t="s">
        <v>53</v>
      </c>
      <c r="H2794" s="2" t="s">
        <v>2424</v>
      </c>
      <c r="I2794" s="2" t="s">
        <v>36</v>
      </c>
      <c r="J2794" s="2" t="s">
        <v>37</v>
      </c>
      <c r="K2794" s="2" t="s">
        <v>39</v>
      </c>
      <c r="L2794" s="2" t="s">
        <v>39</v>
      </c>
      <c r="M2794" s="2" t="s">
        <v>38</v>
      </c>
      <c r="N2794" s="2" t="s">
        <v>38</v>
      </c>
      <c r="O2794" s="2" t="s">
        <v>39</v>
      </c>
      <c r="P2794" s="2" t="s">
        <v>39</v>
      </c>
      <c r="Q2794" s="2" t="s">
        <v>39</v>
      </c>
      <c r="R2794" s="2" t="s">
        <v>38</v>
      </c>
      <c r="S2794" s="2" t="s">
        <v>39</v>
      </c>
      <c r="T2794" s="2" t="s">
        <v>39</v>
      </c>
      <c r="U2794" s="2" t="s">
        <v>39</v>
      </c>
      <c r="V2794" s="2" t="s">
        <v>39</v>
      </c>
      <c r="W2794" s="2" t="s">
        <v>38</v>
      </c>
      <c r="X2794" s="2" t="s">
        <v>39</v>
      </c>
      <c r="Y2794" s="2" t="s">
        <v>39</v>
      </c>
      <c r="Z2794" s="2" t="s">
        <v>38</v>
      </c>
      <c r="AA2794" s="2" t="s">
        <v>39</v>
      </c>
      <c r="AB2794" s="2" t="s">
        <v>39</v>
      </c>
      <c r="AC2794" s="2" t="s">
        <v>38</v>
      </c>
      <c r="AD2794" s="2" t="s">
        <v>39</v>
      </c>
      <c r="AE2794" s="2" t="s">
        <v>39</v>
      </c>
    </row>
    <row r="2795" spans="1:31" ht="409.5">
      <c r="A2795" s="2">
        <v>2710246</v>
      </c>
      <c r="B2795" s="2">
        <f>HYPERLINK("https://platform.v2.vetology.net/cases/2710246/screening-report/1?type=pdf&amp;v=v6&amp;scorecard=1&amp;secret_key=BX%25IJ%24%2F65ieZ%29f6", 2710246)</f>
        <v>2710246</v>
      </c>
      <c r="C2795" s="2">
        <f>HYPERLINK("https://platform.v2.vetology.net/report/v/final/"&amp;2710246, 2710246)</f>
        <v>2710246</v>
      </c>
      <c r="D2795" s="2" t="s">
        <v>8919</v>
      </c>
      <c r="E2795" s="2" t="s">
        <v>8920</v>
      </c>
      <c r="F2795" s="2" t="s">
        <v>8921</v>
      </c>
      <c r="G2795" s="2" t="s">
        <v>53</v>
      </c>
      <c r="H2795" s="2" t="s">
        <v>530</v>
      </c>
      <c r="I2795" s="2" t="s">
        <v>59</v>
      </c>
      <c r="J2795" s="2" t="s">
        <v>37</v>
      </c>
      <c r="K2795" s="2" t="s">
        <v>38</v>
      </c>
      <c r="L2795" s="2" t="s">
        <v>39</v>
      </c>
      <c r="M2795" s="2" t="s">
        <v>39</v>
      </c>
      <c r="N2795" s="2" t="s">
        <v>39</v>
      </c>
      <c r="O2795" s="2" t="s">
        <v>39</v>
      </c>
      <c r="P2795" s="2" t="s">
        <v>39</v>
      </c>
      <c r="Q2795" s="2" t="s">
        <v>39</v>
      </c>
      <c r="R2795" s="2" t="s">
        <v>39</v>
      </c>
      <c r="S2795" s="2" t="s">
        <v>39</v>
      </c>
      <c r="T2795" s="2" t="s">
        <v>39</v>
      </c>
      <c r="U2795" s="2" t="s">
        <v>38</v>
      </c>
      <c r="V2795" s="2" t="s">
        <v>38</v>
      </c>
      <c r="W2795" s="2" t="s">
        <v>39</v>
      </c>
      <c r="X2795" s="2" t="s">
        <v>39</v>
      </c>
      <c r="Y2795" s="2" t="s">
        <v>39</v>
      </c>
      <c r="Z2795" s="2" t="s">
        <v>39</v>
      </c>
      <c r="AA2795" s="2" t="s">
        <v>39</v>
      </c>
      <c r="AB2795" s="2" t="s">
        <v>39</v>
      </c>
      <c r="AC2795" s="2" t="s">
        <v>38</v>
      </c>
      <c r="AD2795" s="2" t="s">
        <v>39</v>
      </c>
      <c r="AE2795" s="2" t="s">
        <v>39</v>
      </c>
    </row>
    <row r="2796" spans="1:31" ht="409.5">
      <c r="A2796" s="2">
        <v>2710200</v>
      </c>
      <c r="B2796" s="2">
        <f>HYPERLINK("https://platform.v2.vetology.net/cases/2710200/screening-report/1?type=pdf&amp;v=v6&amp;scorecard=1&amp;secret_key=BX%25IJ%24%2F65ieZ%29f6", 2710200)</f>
        <v>2710200</v>
      </c>
      <c r="C2796" s="2">
        <f>HYPERLINK("https://platform.v2.vetology.net/report/v/final/"&amp;2710200, 2710200)</f>
        <v>2710200</v>
      </c>
      <c r="D2796" s="2" t="s">
        <v>8922</v>
      </c>
      <c r="E2796" s="2" t="s">
        <v>8923</v>
      </c>
      <c r="F2796" s="2" t="s">
        <v>43</v>
      </c>
      <c r="G2796" s="2" t="s">
        <v>100</v>
      </c>
      <c r="H2796" s="2" t="s">
        <v>45</v>
      </c>
      <c r="I2796" s="2" t="s">
        <v>46</v>
      </c>
      <c r="J2796" s="2"/>
      <c r="K2796" s="2" t="s">
        <v>39</v>
      </c>
      <c r="L2796" s="2" t="s">
        <v>39</v>
      </c>
      <c r="M2796" s="2" t="s">
        <v>39</v>
      </c>
      <c r="N2796" s="2" t="s">
        <v>39</v>
      </c>
      <c r="O2796" s="2" t="s">
        <v>39</v>
      </c>
      <c r="P2796" s="2" t="s">
        <v>39</v>
      </c>
      <c r="Q2796" s="2" t="s">
        <v>39</v>
      </c>
      <c r="R2796" s="2" t="s">
        <v>38</v>
      </c>
      <c r="S2796" s="2" t="s">
        <v>39</v>
      </c>
      <c r="T2796" s="2" t="s">
        <v>39</v>
      </c>
      <c r="U2796" s="2" t="s">
        <v>39</v>
      </c>
      <c r="V2796" s="2" t="s">
        <v>39</v>
      </c>
      <c r="W2796" s="2" t="s">
        <v>39</v>
      </c>
      <c r="X2796" s="2" t="s">
        <v>39</v>
      </c>
      <c r="Y2796" s="2" t="s">
        <v>39</v>
      </c>
      <c r="Z2796" s="2" t="s">
        <v>39</v>
      </c>
      <c r="AA2796" s="2" t="s">
        <v>39</v>
      </c>
      <c r="AB2796" s="2" t="s">
        <v>39</v>
      </c>
      <c r="AC2796" s="2" t="s">
        <v>38</v>
      </c>
      <c r="AD2796" s="2" t="s">
        <v>38</v>
      </c>
      <c r="AE2796" s="2" t="s">
        <v>39</v>
      </c>
    </row>
    <row r="2797" spans="1:31" ht="409.5">
      <c r="A2797" s="2">
        <v>2710199</v>
      </c>
      <c r="B2797" s="2">
        <f>HYPERLINK("https://platform.v2.vetology.net/cases/2710199/screening-report/1?type=pdf&amp;v=v6&amp;scorecard=1&amp;secret_key=BX%25IJ%24%2F65ieZ%29f6", 2710199)</f>
        <v>2710199</v>
      </c>
      <c r="C2797" s="2">
        <f>HYPERLINK("https://platform.v2.vetology.net/report/v/final/"&amp;2710199, 2710199)</f>
        <v>2710199</v>
      </c>
      <c r="D2797" s="2" t="s">
        <v>8924</v>
      </c>
      <c r="E2797" s="2" t="s">
        <v>8925</v>
      </c>
      <c r="F2797" s="2"/>
      <c r="G2797" s="2" t="s">
        <v>81</v>
      </c>
      <c r="H2797" s="2" t="s">
        <v>8926</v>
      </c>
      <c r="I2797" s="2" t="s">
        <v>36</v>
      </c>
      <c r="J2797" s="2" t="s">
        <v>37</v>
      </c>
      <c r="K2797" s="2" t="s">
        <v>39</v>
      </c>
      <c r="L2797" s="2" t="s">
        <v>38</v>
      </c>
      <c r="M2797" s="2" t="s">
        <v>39</v>
      </c>
      <c r="N2797" s="2" t="s">
        <v>38</v>
      </c>
      <c r="O2797" s="2" t="s">
        <v>38</v>
      </c>
      <c r="P2797" s="2" t="s">
        <v>38</v>
      </c>
      <c r="Q2797" s="2" t="s">
        <v>39</v>
      </c>
      <c r="R2797" s="2" t="s">
        <v>38</v>
      </c>
      <c r="S2797" s="2" t="s">
        <v>38</v>
      </c>
      <c r="T2797" s="2" t="s">
        <v>38</v>
      </c>
      <c r="U2797" s="2" t="s">
        <v>39</v>
      </c>
      <c r="V2797" s="2" t="s">
        <v>39</v>
      </c>
      <c r="W2797" s="2" t="s">
        <v>38</v>
      </c>
      <c r="X2797" s="2" t="s">
        <v>38</v>
      </c>
      <c r="Y2797" s="2" t="s">
        <v>38</v>
      </c>
      <c r="Z2797" s="2" t="s">
        <v>38</v>
      </c>
      <c r="AA2797" s="2" t="s">
        <v>39</v>
      </c>
      <c r="AB2797" s="2" t="s">
        <v>38</v>
      </c>
      <c r="AC2797" s="2" t="s">
        <v>38</v>
      </c>
      <c r="AD2797" s="2" t="s">
        <v>39</v>
      </c>
      <c r="AE2797" s="2" t="s">
        <v>39</v>
      </c>
    </row>
    <row r="2798" spans="1:31" ht="409.5">
      <c r="A2798" s="2">
        <v>2710175</v>
      </c>
      <c r="B2798" s="2">
        <f>HYPERLINK("https://platform.v2.vetology.net/cases/2710175/screening-report/1?type=pdf&amp;v=v6&amp;scorecard=1&amp;secret_key=BX%25IJ%24%2F65ieZ%29f6", 2710175)</f>
        <v>2710175</v>
      </c>
      <c r="C2798" s="2">
        <f>HYPERLINK("https://platform.v2.vetology.net/report/v/final/"&amp;2710175, 2710175)</f>
        <v>2710175</v>
      </c>
      <c r="D2798" s="2" t="s">
        <v>8927</v>
      </c>
      <c r="E2798" s="2" t="s">
        <v>8928</v>
      </c>
      <c r="F2798" s="2" t="s">
        <v>8929</v>
      </c>
      <c r="G2798" s="2" t="s">
        <v>100</v>
      </c>
      <c r="H2798" s="2" t="s">
        <v>8930</v>
      </c>
      <c r="I2798" s="2" t="s">
        <v>36</v>
      </c>
      <c r="J2798" s="2" t="s">
        <v>37</v>
      </c>
      <c r="K2798" s="2" t="s">
        <v>38</v>
      </c>
      <c r="L2798" s="2" t="s">
        <v>38</v>
      </c>
      <c r="M2798" s="2" t="s">
        <v>39</v>
      </c>
      <c r="N2798" s="2" t="s">
        <v>38</v>
      </c>
      <c r="O2798" s="2" t="s">
        <v>38</v>
      </c>
      <c r="P2798" s="2" t="s">
        <v>39</v>
      </c>
      <c r="Q2798" s="2" t="s">
        <v>39</v>
      </c>
      <c r="R2798" s="2" t="s">
        <v>38</v>
      </c>
      <c r="S2798" s="2" t="s">
        <v>38</v>
      </c>
      <c r="T2798" s="2" t="s">
        <v>39</v>
      </c>
      <c r="U2798" s="2" t="s">
        <v>38</v>
      </c>
      <c r="V2798" s="2" t="s">
        <v>38</v>
      </c>
      <c r="W2798" s="2" t="s">
        <v>38</v>
      </c>
      <c r="X2798" s="2" t="s">
        <v>39</v>
      </c>
      <c r="Y2798" s="2" t="s">
        <v>39</v>
      </c>
      <c r="Z2798" s="2" t="s">
        <v>39</v>
      </c>
      <c r="AA2798" s="2" t="s">
        <v>39</v>
      </c>
      <c r="AB2798" s="2" t="s">
        <v>39</v>
      </c>
      <c r="AC2798" s="2" t="s">
        <v>38</v>
      </c>
      <c r="AD2798" s="2" t="s">
        <v>38</v>
      </c>
      <c r="AE2798" s="2" t="s">
        <v>39</v>
      </c>
    </row>
    <row r="2799" spans="1:31" ht="409.5">
      <c r="A2799" s="2">
        <v>2710156</v>
      </c>
      <c r="B2799" s="2">
        <f>HYPERLINK("https://platform.v2.vetology.net/cases/2710156/screening-report/1?type=pdf&amp;v=v6&amp;scorecard=1&amp;secret_key=BX%25IJ%24%2F65ieZ%29f6", 2710156)</f>
        <v>2710156</v>
      </c>
      <c r="C2799" s="2">
        <f>HYPERLINK("https://platform.v2.vetology.net/report/v/final/"&amp;2710156, 2710156)</f>
        <v>2710156</v>
      </c>
      <c r="D2799" s="2" t="s">
        <v>8931</v>
      </c>
      <c r="E2799" s="2" t="s">
        <v>8932</v>
      </c>
      <c r="F2799" s="2"/>
      <c r="G2799" s="2" t="s">
        <v>81</v>
      </c>
      <c r="H2799" s="2" t="s">
        <v>8933</v>
      </c>
      <c r="I2799" s="2" t="s">
        <v>73</v>
      </c>
      <c r="J2799" s="2" t="s">
        <v>74</v>
      </c>
      <c r="K2799" s="2" t="s">
        <v>38</v>
      </c>
      <c r="L2799" s="2" t="s">
        <v>38</v>
      </c>
      <c r="M2799" s="2" t="s">
        <v>38</v>
      </c>
      <c r="N2799" s="2" t="s">
        <v>38</v>
      </c>
      <c r="O2799" s="2" t="s">
        <v>38</v>
      </c>
      <c r="P2799" s="2" t="s">
        <v>38</v>
      </c>
      <c r="Q2799" s="2" t="s">
        <v>38</v>
      </c>
      <c r="R2799" s="2" t="s">
        <v>38</v>
      </c>
      <c r="S2799" s="2" t="s">
        <v>38</v>
      </c>
      <c r="T2799" s="2" t="s">
        <v>38</v>
      </c>
      <c r="U2799" s="2" t="s">
        <v>38</v>
      </c>
      <c r="V2799" s="2" t="s">
        <v>38</v>
      </c>
      <c r="W2799" s="2" t="s">
        <v>38</v>
      </c>
      <c r="X2799" s="2" t="s">
        <v>38</v>
      </c>
      <c r="Y2799" s="2" t="s">
        <v>38</v>
      </c>
      <c r="Z2799" s="2" t="s">
        <v>38</v>
      </c>
      <c r="AA2799" s="2" t="s">
        <v>38</v>
      </c>
      <c r="AB2799" s="2" t="s">
        <v>38</v>
      </c>
      <c r="AC2799" s="2" t="s">
        <v>38</v>
      </c>
      <c r="AD2799" s="2" t="s">
        <v>38</v>
      </c>
      <c r="AE2799" s="2" t="s">
        <v>40</v>
      </c>
    </row>
    <row r="2800" spans="1:31" ht="409.5">
      <c r="A2800" s="2">
        <v>2710144</v>
      </c>
      <c r="B2800" s="2">
        <f>HYPERLINK("https://platform.v2.vetology.net/cases/2710144/screening-report/1?type=pdf&amp;v=v6&amp;scorecard=1&amp;secret_key=BX%25IJ%24%2F65ieZ%29f6", 2710144)</f>
        <v>2710144</v>
      </c>
      <c r="C2800" s="2">
        <f>HYPERLINK("https://platform.v2.vetology.net/report/v/final/"&amp;2710144, 2710144)</f>
        <v>2710144</v>
      </c>
      <c r="D2800" s="2" t="s">
        <v>8934</v>
      </c>
      <c r="E2800" s="2" t="s">
        <v>8935</v>
      </c>
      <c r="F2800" s="2" t="s">
        <v>8936</v>
      </c>
      <c r="G2800" s="2" t="s">
        <v>53</v>
      </c>
      <c r="H2800" s="2" t="s">
        <v>45</v>
      </c>
      <c r="I2800" s="2" t="s">
        <v>46</v>
      </c>
      <c r="J2800" s="2"/>
      <c r="K2800" s="2" t="s">
        <v>39</v>
      </c>
      <c r="L2800" s="2" t="s">
        <v>39</v>
      </c>
      <c r="M2800" s="2" t="s">
        <v>39</v>
      </c>
      <c r="N2800" s="2" t="s">
        <v>39</v>
      </c>
      <c r="O2800" s="2" t="s">
        <v>39</v>
      </c>
      <c r="P2800" s="2" t="s">
        <v>39</v>
      </c>
      <c r="Q2800" s="2" t="s">
        <v>39</v>
      </c>
      <c r="R2800" s="2" t="s">
        <v>38</v>
      </c>
      <c r="S2800" s="2" t="s">
        <v>39</v>
      </c>
      <c r="T2800" s="2" t="s">
        <v>38</v>
      </c>
      <c r="U2800" s="2" t="s">
        <v>39</v>
      </c>
      <c r="V2800" s="2" t="s">
        <v>39</v>
      </c>
      <c r="W2800" s="2" t="s">
        <v>39</v>
      </c>
      <c r="X2800" s="2" t="s">
        <v>39</v>
      </c>
      <c r="Y2800" s="2" t="s">
        <v>39</v>
      </c>
      <c r="Z2800" s="2" t="s">
        <v>39</v>
      </c>
      <c r="AA2800" s="2" t="s">
        <v>39</v>
      </c>
      <c r="AB2800" s="2" t="s">
        <v>39</v>
      </c>
      <c r="AC2800" s="2" t="s">
        <v>39</v>
      </c>
      <c r="AD2800" s="2" t="s">
        <v>39</v>
      </c>
      <c r="AE2800" s="2" t="s">
        <v>39</v>
      </c>
    </row>
    <row r="2801" spans="1:31" ht="409.5">
      <c r="A2801" s="2">
        <v>2710142</v>
      </c>
      <c r="B2801" s="2">
        <f>HYPERLINK("https://platform.v2.vetology.net/cases/2710142/screening-report/1?type=pdf&amp;v=v6&amp;scorecard=1&amp;secret_key=BX%25IJ%24%2F65ieZ%29f6", 2710142)</f>
        <v>2710142</v>
      </c>
      <c r="C2801" s="2">
        <f>HYPERLINK("https://platform.v2.vetology.net/report/v/final/"&amp;2710142, 2710142)</f>
        <v>2710142</v>
      </c>
      <c r="D2801" s="2" t="s">
        <v>8937</v>
      </c>
      <c r="E2801" s="2" t="s">
        <v>8938</v>
      </c>
      <c r="F2801" s="2" t="s">
        <v>43</v>
      </c>
      <c r="G2801" s="2" t="s">
        <v>507</v>
      </c>
      <c r="H2801" s="2" t="s">
        <v>8939</v>
      </c>
      <c r="I2801" s="2" t="s">
        <v>257</v>
      </c>
      <c r="J2801" s="2" t="s">
        <v>74</v>
      </c>
      <c r="K2801" s="2" t="s">
        <v>38</v>
      </c>
      <c r="L2801" s="2" t="s">
        <v>38</v>
      </c>
      <c r="M2801" s="2" t="s">
        <v>38</v>
      </c>
      <c r="N2801" s="2" t="s">
        <v>38</v>
      </c>
      <c r="O2801" s="2" t="s">
        <v>38</v>
      </c>
      <c r="P2801" s="2" t="s">
        <v>38</v>
      </c>
      <c r="Q2801" s="2" t="s">
        <v>38</v>
      </c>
      <c r="R2801" s="2" t="s">
        <v>38</v>
      </c>
      <c r="S2801" s="2" t="s">
        <v>38</v>
      </c>
      <c r="T2801" s="2" t="s">
        <v>38</v>
      </c>
      <c r="U2801" s="2" t="s">
        <v>38</v>
      </c>
      <c r="V2801" s="2" t="s">
        <v>38</v>
      </c>
      <c r="W2801" s="2" t="s">
        <v>38</v>
      </c>
      <c r="X2801" s="2" t="s">
        <v>38</v>
      </c>
      <c r="Y2801" s="2" t="s">
        <v>38</v>
      </c>
      <c r="Z2801" s="2" t="s">
        <v>38</v>
      </c>
      <c r="AA2801" s="2" t="s">
        <v>38</v>
      </c>
      <c r="AB2801" s="2" t="s">
        <v>38</v>
      </c>
      <c r="AC2801" s="2" t="s">
        <v>38</v>
      </c>
      <c r="AD2801" s="2" t="s">
        <v>38</v>
      </c>
      <c r="AE2801" s="2" t="s">
        <v>40</v>
      </c>
    </row>
    <row r="2802" spans="1:31" ht="409.5">
      <c r="A2802" s="2">
        <v>2710094</v>
      </c>
      <c r="B2802" s="2">
        <f>HYPERLINK("https://platform.v2.vetology.net/cases/2710094/screening-report/1?type=pdf&amp;v=v6&amp;scorecard=1&amp;secret_key=BX%25IJ%24%2F65ieZ%29f6", 2710094)</f>
        <v>2710094</v>
      </c>
      <c r="C2802" s="2">
        <f>HYPERLINK("https://platform.v2.vetology.net/report/v/final/"&amp;2710094, 2710094)</f>
        <v>2710094</v>
      </c>
      <c r="D2802" s="2" t="s">
        <v>8940</v>
      </c>
      <c r="E2802" s="2" t="s">
        <v>8941</v>
      </c>
      <c r="F2802" s="2" t="s">
        <v>43</v>
      </c>
      <c r="G2802" s="2" t="s">
        <v>44</v>
      </c>
      <c r="H2802" s="2" t="s">
        <v>45</v>
      </c>
      <c r="I2802" s="2" t="s">
        <v>46</v>
      </c>
      <c r="J2802" s="2"/>
      <c r="K2802" s="2" t="s">
        <v>39</v>
      </c>
      <c r="L2802" s="2" t="s">
        <v>39</v>
      </c>
      <c r="M2802" s="2" t="s">
        <v>39</v>
      </c>
      <c r="N2802" s="2" t="s">
        <v>39</v>
      </c>
      <c r="O2802" s="2" t="s">
        <v>39</v>
      </c>
      <c r="P2802" s="2" t="s">
        <v>39</v>
      </c>
      <c r="Q2802" s="2" t="s">
        <v>39</v>
      </c>
      <c r="R2802" s="2" t="s">
        <v>38</v>
      </c>
      <c r="S2802" s="2" t="s">
        <v>39</v>
      </c>
      <c r="T2802" s="2" t="s">
        <v>39</v>
      </c>
      <c r="U2802" s="2" t="s">
        <v>39</v>
      </c>
      <c r="V2802" s="2" t="s">
        <v>39</v>
      </c>
      <c r="W2802" s="2" t="s">
        <v>38</v>
      </c>
      <c r="X2802" s="2" t="s">
        <v>39</v>
      </c>
      <c r="Y2802" s="2" t="s">
        <v>38</v>
      </c>
      <c r="Z2802" s="2" t="s">
        <v>39</v>
      </c>
      <c r="AA2802" s="2" t="s">
        <v>39</v>
      </c>
      <c r="AB2802" s="2" t="s">
        <v>39</v>
      </c>
      <c r="AC2802" s="2" t="s">
        <v>38</v>
      </c>
      <c r="AD2802" s="2" t="s">
        <v>38</v>
      </c>
      <c r="AE2802" s="2" t="s">
        <v>39</v>
      </c>
    </row>
    <row r="2803" spans="1:31" ht="409.5">
      <c r="A2803" s="2">
        <v>2710077</v>
      </c>
      <c r="B2803" s="2">
        <f>HYPERLINK("https://platform.v2.vetology.net/cases/2710077/screening-report/1?type=pdf&amp;v=v6&amp;scorecard=1&amp;secret_key=BX%25IJ%24%2F65ieZ%29f6", 2710077)</f>
        <v>2710077</v>
      </c>
      <c r="C2803" s="2">
        <f>HYPERLINK("https://platform.v2.vetology.net/report/v/final/"&amp;2710077, 2710077)</f>
        <v>2710077</v>
      </c>
      <c r="D2803" s="2" t="s">
        <v>8942</v>
      </c>
      <c r="E2803" s="2" t="s">
        <v>8943</v>
      </c>
      <c r="F2803" s="2" t="s">
        <v>2883</v>
      </c>
      <c r="G2803" s="2" t="s">
        <v>44</v>
      </c>
      <c r="H2803" s="2" t="s">
        <v>8944</v>
      </c>
      <c r="I2803" s="2" t="s">
        <v>36</v>
      </c>
      <c r="J2803" s="2" t="s">
        <v>37</v>
      </c>
      <c r="K2803" s="2" t="s">
        <v>39</v>
      </c>
      <c r="L2803" s="2" t="s">
        <v>38</v>
      </c>
      <c r="M2803" s="2" t="s">
        <v>38</v>
      </c>
      <c r="N2803" s="2" t="s">
        <v>38</v>
      </c>
      <c r="O2803" s="2" t="s">
        <v>38</v>
      </c>
      <c r="P2803" s="2" t="s">
        <v>39</v>
      </c>
      <c r="Q2803" s="2" t="s">
        <v>39</v>
      </c>
      <c r="R2803" s="2" t="s">
        <v>38</v>
      </c>
      <c r="S2803" s="2" t="s">
        <v>38</v>
      </c>
      <c r="T2803" s="2" t="s">
        <v>38</v>
      </c>
      <c r="U2803" s="2" t="s">
        <v>39</v>
      </c>
      <c r="V2803" s="2" t="s">
        <v>39</v>
      </c>
      <c r="W2803" s="2" t="s">
        <v>38</v>
      </c>
      <c r="X2803" s="2" t="s">
        <v>39</v>
      </c>
      <c r="Y2803" s="2" t="s">
        <v>39</v>
      </c>
      <c r="Z2803" s="2" t="s">
        <v>38</v>
      </c>
      <c r="AA2803" s="2" t="s">
        <v>38</v>
      </c>
      <c r="AB2803" s="2" t="s">
        <v>39</v>
      </c>
      <c r="AC2803" s="2" t="s">
        <v>38</v>
      </c>
      <c r="AD2803" s="2" t="s">
        <v>38</v>
      </c>
      <c r="AE2803" s="2" t="s">
        <v>40</v>
      </c>
    </row>
    <row r="2804" spans="1:31" ht="409.5">
      <c r="A2804" s="2">
        <v>2710069</v>
      </c>
      <c r="B2804" s="2">
        <f>HYPERLINK("https://platform.v2.vetology.net/cases/2710069/screening-report/1?type=pdf&amp;v=v6&amp;scorecard=1&amp;secret_key=BX%25IJ%24%2F65ieZ%29f6", 2710069)</f>
        <v>2710069</v>
      </c>
      <c r="C2804" s="2">
        <f>HYPERLINK("https://platform.v2.vetology.net/report/v/final/"&amp;2710069, 2710069)</f>
        <v>2710069</v>
      </c>
      <c r="D2804" s="2" t="s">
        <v>8945</v>
      </c>
      <c r="E2804" s="2" t="s">
        <v>8946</v>
      </c>
      <c r="F2804" s="2"/>
      <c r="G2804" s="2" t="s">
        <v>81</v>
      </c>
      <c r="H2804" s="2" t="s">
        <v>8947</v>
      </c>
      <c r="I2804" s="2" t="s">
        <v>129</v>
      </c>
      <c r="J2804" s="2" t="s">
        <v>74</v>
      </c>
      <c r="K2804" s="2" t="s">
        <v>39</v>
      </c>
      <c r="L2804" s="2" t="s">
        <v>38</v>
      </c>
      <c r="M2804" s="2" t="s">
        <v>38</v>
      </c>
      <c r="N2804" s="2" t="s">
        <v>38</v>
      </c>
      <c r="O2804" s="2" t="s">
        <v>38</v>
      </c>
      <c r="P2804" s="2" t="s">
        <v>38</v>
      </c>
      <c r="Q2804" s="2" t="s">
        <v>38</v>
      </c>
      <c r="R2804" s="2" t="s">
        <v>39</v>
      </c>
      <c r="S2804" s="2" t="s">
        <v>38</v>
      </c>
      <c r="T2804" s="2" t="s">
        <v>38</v>
      </c>
      <c r="U2804" s="2" t="s">
        <v>39</v>
      </c>
      <c r="V2804" s="2" t="s">
        <v>39</v>
      </c>
      <c r="W2804" s="2" t="s">
        <v>38</v>
      </c>
      <c r="X2804" s="2" t="s">
        <v>38</v>
      </c>
      <c r="Y2804" s="2" t="s">
        <v>38</v>
      </c>
      <c r="Z2804" s="2" t="s">
        <v>38</v>
      </c>
      <c r="AA2804" s="2" t="s">
        <v>38</v>
      </c>
      <c r="AB2804" s="2" t="s">
        <v>38</v>
      </c>
      <c r="AC2804" s="2" t="s">
        <v>38</v>
      </c>
      <c r="AD2804" s="2" t="s">
        <v>39</v>
      </c>
      <c r="AE2804" s="2"/>
    </row>
    <row r="2805" spans="1:31" ht="409.5">
      <c r="A2805" s="2">
        <v>2710040</v>
      </c>
      <c r="B2805" s="2">
        <f>HYPERLINK("https://platform.v2.vetology.net/cases/2710040/screening-report/1?type=pdf&amp;v=v6&amp;scorecard=1&amp;secret_key=BX%25IJ%24%2F65ieZ%29f6", 2710040)</f>
        <v>2710040</v>
      </c>
      <c r="C2805" s="2">
        <f>HYPERLINK("https://platform.v2.vetology.net/report/v/final/"&amp;2710040, 2710040)</f>
        <v>2710040</v>
      </c>
      <c r="D2805" s="2" t="s">
        <v>8948</v>
      </c>
      <c r="E2805" s="2" t="s">
        <v>8949</v>
      </c>
      <c r="F2805" s="2" t="s">
        <v>8950</v>
      </c>
      <c r="G2805" s="2" t="s">
        <v>170</v>
      </c>
      <c r="H2805" s="2" t="s">
        <v>8951</v>
      </c>
      <c r="I2805" s="2" t="s">
        <v>36</v>
      </c>
      <c r="J2805" s="2" t="s">
        <v>37</v>
      </c>
      <c r="K2805" s="2" t="s">
        <v>39</v>
      </c>
      <c r="L2805" s="2" t="s">
        <v>39</v>
      </c>
      <c r="M2805" s="2" t="s">
        <v>38</v>
      </c>
      <c r="N2805" s="2" t="s">
        <v>39</v>
      </c>
      <c r="O2805" s="2" t="s">
        <v>38</v>
      </c>
      <c r="P2805" s="2" t="s">
        <v>38</v>
      </c>
      <c r="Q2805" s="2" t="s">
        <v>39</v>
      </c>
      <c r="R2805" s="2" t="s">
        <v>38</v>
      </c>
      <c r="S2805" s="2" t="s">
        <v>39</v>
      </c>
      <c r="T2805" s="2" t="s">
        <v>39</v>
      </c>
      <c r="U2805" s="2" t="s">
        <v>39</v>
      </c>
      <c r="V2805" s="2" t="s">
        <v>39</v>
      </c>
      <c r="W2805" s="2" t="s">
        <v>39</v>
      </c>
      <c r="X2805" s="2" t="s">
        <v>39</v>
      </c>
      <c r="Y2805" s="2" t="s">
        <v>39</v>
      </c>
      <c r="Z2805" s="2" t="s">
        <v>38</v>
      </c>
      <c r="AA2805" s="2" t="s">
        <v>39</v>
      </c>
      <c r="AB2805" s="2" t="s">
        <v>39</v>
      </c>
      <c r="AC2805" s="2" t="s">
        <v>38</v>
      </c>
      <c r="AD2805" s="2" t="s">
        <v>39</v>
      </c>
      <c r="AE2805" s="2" t="s">
        <v>39</v>
      </c>
    </row>
    <row r="2806" spans="1:31" ht="409.5">
      <c r="A2806" s="2">
        <v>2710030</v>
      </c>
      <c r="B2806" s="2">
        <f>HYPERLINK("https://platform.v2.vetology.net/cases/2710030/screening-report/1?type=pdf&amp;v=v6&amp;scorecard=1&amp;secret_key=BX%25IJ%24%2F65ieZ%29f6", 2710030)</f>
        <v>2710030</v>
      </c>
      <c r="C2806" s="2">
        <f>HYPERLINK("https://platform.v2.vetology.net/report/v/final/"&amp;2710030, 2710030)</f>
        <v>2710030</v>
      </c>
      <c r="D2806" s="2" t="s">
        <v>8952</v>
      </c>
      <c r="E2806" s="2" t="s">
        <v>8953</v>
      </c>
      <c r="F2806" s="2" t="s">
        <v>43</v>
      </c>
      <c r="G2806" s="2" t="s">
        <v>44</v>
      </c>
      <c r="H2806" s="2" t="s">
        <v>8954</v>
      </c>
      <c r="I2806" s="2" t="s">
        <v>129</v>
      </c>
      <c r="J2806" s="2" t="s">
        <v>74</v>
      </c>
      <c r="K2806" s="2" t="s">
        <v>39</v>
      </c>
      <c r="L2806" s="2" t="s">
        <v>38</v>
      </c>
      <c r="M2806" s="2" t="s">
        <v>39</v>
      </c>
      <c r="N2806" s="2" t="s">
        <v>38</v>
      </c>
      <c r="O2806" s="2" t="s">
        <v>39</v>
      </c>
      <c r="P2806" s="2" t="s">
        <v>38</v>
      </c>
      <c r="Q2806" s="2" t="s">
        <v>38</v>
      </c>
      <c r="R2806" s="2" t="s">
        <v>38</v>
      </c>
      <c r="S2806" s="2" t="s">
        <v>38</v>
      </c>
      <c r="T2806" s="2" t="s">
        <v>38</v>
      </c>
      <c r="U2806" s="2" t="s">
        <v>38</v>
      </c>
      <c r="V2806" s="2" t="s">
        <v>38</v>
      </c>
      <c r="W2806" s="2" t="s">
        <v>38</v>
      </c>
      <c r="X2806" s="2" t="s">
        <v>38</v>
      </c>
      <c r="Y2806" s="2" t="s">
        <v>38</v>
      </c>
      <c r="Z2806" s="2" t="s">
        <v>38</v>
      </c>
      <c r="AA2806" s="2" t="s">
        <v>38</v>
      </c>
      <c r="AB2806" s="2" t="s">
        <v>39</v>
      </c>
      <c r="AC2806" s="2" t="s">
        <v>38</v>
      </c>
      <c r="AD2806" s="2" t="s">
        <v>38</v>
      </c>
      <c r="AE2806" s="2" t="s">
        <v>40</v>
      </c>
    </row>
    <row r="2807" spans="1:31" ht="409.5">
      <c r="A2807" s="2">
        <v>2710024</v>
      </c>
      <c r="B2807" s="2">
        <f>HYPERLINK("https://platform.v2.vetology.net/cases/2710024/screening-report/1?type=pdf&amp;v=v6&amp;scorecard=1&amp;secret_key=BX%25IJ%24%2F65ieZ%29f6", 2710024)</f>
        <v>2710024</v>
      </c>
      <c r="C2807" s="2">
        <f>HYPERLINK("https://platform.v2.vetology.net/report/v/final/"&amp;2710024, 2710024)</f>
        <v>2710024</v>
      </c>
      <c r="D2807" s="2" t="s">
        <v>8955</v>
      </c>
      <c r="E2807" s="2" t="s">
        <v>8956</v>
      </c>
      <c r="F2807" s="2" t="s">
        <v>6486</v>
      </c>
      <c r="G2807" s="2" t="s">
        <v>170</v>
      </c>
      <c r="H2807" s="2" t="s">
        <v>8957</v>
      </c>
      <c r="I2807" s="2" t="s">
        <v>73</v>
      </c>
      <c r="J2807" s="2" t="s">
        <v>74</v>
      </c>
      <c r="K2807" s="2" t="s">
        <v>38</v>
      </c>
      <c r="L2807" s="2" t="s">
        <v>39</v>
      </c>
      <c r="M2807" s="2" t="s">
        <v>39</v>
      </c>
      <c r="N2807" s="2" t="s">
        <v>39</v>
      </c>
      <c r="O2807" s="2" t="s">
        <v>39</v>
      </c>
      <c r="P2807" s="2" t="s">
        <v>38</v>
      </c>
      <c r="Q2807" s="2" t="s">
        <v>38</v>
      </c>
      <c r="R2807" s="2" t="s">
        <v>39</v>
      </c>
      <c r="S2807" s="2" t="s">
        <v>38</v>
      </c>
      <c r="T2807" s="2" t="s">
        <v>39</v>
      </c>
      <c r="U2807" s="2" t="s">
        <v>38</v>
      </c>
      <c r="V2807" s="2" t="s">
        <v>38</v>
      </c>
      <c r="W2807" s="2" t="s">
        <v>38</v>
      </c>
      <c r="X2807" s="2" t="s">
        <v>38</v>
      </c>
      <c r="Y2807" s="2" t="s">
        <v>38</v>
      </c>
      <c r="Z2807" s="2" t="s">
        <v>39</v>
      </c>
      <c r="AA2807" s="2" t="s">
        <v>39</v>
      </c>
      <c r="AB2807" s="2" t="s">
        <v>38</v>
      </c>
      <c r="AC2807" s="2" t="s">
        <v>39</v>
      </c>
      <c r="AD2807" s="2" t="s">
        <v>39</v>
      </c>
      <c r="AE2807" s="2" t="s">
        <v>40</v>
      </c>
    </row>
    <row r="2808" spans="1:31" ht="409.5">
      <c r="A2808" s="2">
        <v>2710009</v>
      </c>
      <c r="B2808" s="2">
        <f>HYPERLINK("https://platform.v2.vetology.net/cases/2710009/screening-report/1?type=pdf&amp;v=v6&amp;scorecard=1&amp;secret_key=BX%25IJ%24%2F65ieZ%29f6", 2710009)</f>
        <v>2710009</v>
      </c>
      <c r="C2808" s="2">
        <f>HYPERLINK("https://platform.v2.vetology.net/report/v/final/"&amp;2710009, 2710009)</f>
        <v>2710009</v>
      </c>
      <c r="D2808" s="2" t="s">
        <v>8958</v>
      </c>
      <c r="E2808" s="2" t="s">
        <v>8959</v>
      </c>
      <c r="F2808" s="2"/>
      <c r="G2808" s="2" t="s">
        <v>81</v>
      </c>
      <c r="H2808" s="2" t="s">
        <v>8960</v>
      </c>
      <c r="I2808" s="2" t="s">
        <v>59</v>
      </c>
      <c r="J2808" s="2" t="s">
        <v>37</v>
      </c>
      <c r="K2808" s="2" t="s">
        <v>38</v>
      </c>
      <c r="L2808" s="2" t="s">
        <v>38</v>
      </c>
      <c r="M2808" s="2" t="s">
        <v>39</v>
      </c>
      <c r="N2808" s="2" t="s">
        <v>39</v>
      </c>
      <c r="O2808" s="2" t="s">
        <v>39</v>
      </c>
      <c r="P2808" s="2" t="s">
        <v>39</v>
      </c>
      <c r="Q2808" s="2" t="s">
        <v>39</v>
      </c>
      <c r="R2808" s="2" t="s">
        <v>39</v>
      </c>
      <c r="S2808" s="2" t="s">
        <v>38</v>
      </c>
      <c r="T2808" s="2" t="s">
        <v>39</v>
      </c>
      <c r="U2808" s="2" t="s">
        <v>39</v>
      </c>
      <c r="V2808" s="2" t="s">
        <v>38</v>
      </c>
      <c r="W2808" s="2" t="s">
        <v>39</v>
      </c>
      <c r="X2808" s="2" t="s">
        <v>39</v>
      </c>
      <c r="Y2808" s="2" t="s">
        <v>39</v>
      </c>
      <c r="Z2808" s="2" t="s">
        <v>39</v>
      </c>
      <c r="AA2808" s="2" t="s">
        <v>39</v>
      </c>
      <c r="AB2808" s="2" t="s">
        <v>39</v>
      </c>
      <c r="AC2808" s="2" t="s">
        <v>38</v>
      </c>
      <c r="AD2808" s="2" t="s">
        <v>38</v>
      </c>
      <c r="AE2808" s="2" t="s">
        <v>39</v>
      </c>
    </row>
    <row r="2809" spans="1:31" ht="409.5">
      <c r="A2809" s="2">
        <v>2709976</v>
      </c>
      <c r="B2809" s="2">
        <f>HYPERLINK("https://platform.v2.vetology.net/cases/2709976/screening-report/1?type=pdf&amp;v=v6&amp;scorecard=1&amp;secret_key=BX%25IJ%24%2F65ieZ%29f6", 2709976)</f>
        <v>2709976</v>
      </c>
      <c r="C2809" s="2">
        <f>HYPERLINK("https://platform.v2.vetology.net/report/v/final/"&amp;2709976, 2709976)</f>
        <v>2709976</v>
      </c>
      <c r="D2809" s="2" t="s">
        <v>8961</v>
      </c>
      <c r="E2809" s="2" t="s">
        <v>8962</v>
      </c>
      <c r="F2809" s="2" t="s">
        <v>8963</v>
      </c>
      <c r="G2809" s="2" t="s">
        <v>44</v>
      </c>
      <c r="H2809" s="2" t="s">
        <v>8964</v>
      </c>
      <c r="I2809" s="2" t="s">
        <v>36</v>
      </c>
      <c r="J2809" s="2" t="s">
        <v>37</v>
      </c>
      <c r="K2809" s="2" t="s">
        <v>38</v>
      </c>
      <c r="L2809" s="2" t="s">
        <v>39</v>
      </c>
      <c r="M2809" s="2" t="s">
        <v>39</v>
      </c>
      <c r="N2809" s="2" t="s">
        <v>38</v>
      </c>
      <c r="O2809" s="2" t="s">
        <v>39</v>
      </c>
      <c r="P2809" s="2" t="s">
        <v>39</v>
      </c>
      <c r="Q2809" s="2" t="s">
        <v>39</v>
      </c>
      <c r="R2809" s="2" t="s">
        <v>38</v>
      </c>
      <c r="S2809" s="2" t="s">
        <v>38</v>
      </c>
      <c r="T2809" s="2" t="s">
        <v>39</v>
      </c>
      <c r="U2809" s="2" t="s">
        <v>38</v>
      </c>
      <c r="V2809" s="2" t="s">
        <v>38</v>
      </c>
      <c r="W2809" s="2" t="s">
        <v>39</v>
      </c>
      <c r="X2809" s="2" t="s">
        <v>39</v>
      </c>
      <c r="Y2809" s="2" t="s">
        <v>39</v>
      </c>
      <c r="Z2809" s="2" t="s">
        <v>39</v>
      </c>
      <c r="AA2809" s="2" t="s">
        <v>38</v>
      </c>
      <c r="AB2809" s="2" t="s">
        <v>39</v>
      </c>
      <c r="AC2809" s="2" t="s">
        <v>38</v>
      </c>
      <c r="AD2809" s="2" t="s">
        <v>39</v>
      </c>
      <c r="AE2809" s="2" t="s">
        <v>39</v>
      </c>
    </row>
    <row r="2810" spans="1:31" ht="409.5">
      <c r="A2810" s="2">
        <v>2709939</v>
      </c>
      <c r="B2810" s="2">
        <f>HYPERLINK("https://platform.v2.vetology.net/cases/2709939/screening-report/1?type=pdf&amp;v=v6&amp;scorecard=1&amp;secret_key=BX%25IJ%24%2F65ieZ%29f6", 2709939)</f>
        <v>2709939</v>
      </c>
      <c r="C2810" s="2">
        <f>HYPERLINK("https://platform.v2.vetology.net/report/v/final/"&amp;2709939, 2709939)</f>
        <v>2709939</v>
      </c>
      <c r="D2810" s="2" t="s">
        <v>8965</v>
      </c>
      <c r="E2810" s="2" t="s">
        <v>8966</v>
      </c>
      <c r="F2810" s="2" t="s">
        <v>8967</v>
      </c>
      <c r="G2810" s="2" t="s">
        <v>111</v>
      </c>
      <c r="H2810" s="2" t="s">
        <v>398</v>
      </c>
      <c r="I2810" s="2" t="s">
        <v>46</v>
      </c>
      <c r="J2810" s="2"/>
      <c r="K2810" s="2" t="s">
        <v>38</v>
      </c>
      <c r="L2810" s="2" t="s">
        <v>39</v>
      </c>
      <c r="M2810" s="2" t="s">
        <v>39</v>
      </c>
      <c r="N2810" s="2" t="s">
        <v>39</v>
      </c>
      <c r="O2810" s="2" t="s">
        <v>39</v>
      </c>
      <c r="P2810" s="2" t="s">
        <v>39</v>
      </c>
      <c r="Q2810" s="2" t="s">
        <v>39</v>
      </c>
      <c r="R2810" s="2" t="s">
        <v>39</v>
      </c>
      <c r="S2810" s="2" t="s">
        <v>39</v>
      </c>
      <c r="T2810" s="2" t="s">
        <v>39</v>
      </c>
      <c r="U2810" s="2" t="s">
        <v>38</v>
      </c>
      <c r="V2810" s="2" t="s">
        <v>38</v>
      </c>
      <c r="W2810" s="2" t="s">
        <v>39</v>
      </c>
      <c r="X2810" s="2" t="s">
        <v>39</v>
      </c>
      <c r="Y2810" s="2" t="s">
        <v>39</v>
      </c>
      <c r="Z2810" s="2" t="s">
        <v>39</v>
      </c>
      <c r="AA2810" s="2" t="s">
        <v>39</v>
      </c>
      <c r="AB2810" s="2" t="s">
        <v>39</v>
      </c>
      <c r="AC2810" s="2" t="s">
        <v>39</v>
      </c>
      <c r="AD2810" s="2" t="s">
        <v>38</v>
      </c>
      <c r="AE2810" s="2"/>
    </row>
    <row r="2811" spans="1:31" ht="409.5">
      <c r="A2811" s="2">
        <v>2709928</v>
      </c>
      <c r="B2811" s="2">
        <f>HYPERLINK("https://platform.v2.vetology.net/cases/2709928/screening-report/1?type=pdf&amp;v=v6&amp;scorecard=1&amp;secret_key=BX%25IJ%24%2F65ieZ%29f6", 2709928)</f>
        <v>2709928</v>
      </c>
      <c r="C2811" s="2">
        <f>HYPERLINK("https://platform.v2.vetology.net/report/v/final/"&amp;2709928, 2709928)</f>
        <v>2709928</v>
      </c>
      <c r="D2811" s="2" t="s">
        <v>8968</v>
      </c>
      <c r="E2811" s="2" t="s">
        <v>8969</v>
      </c>
      <c r="F2811" s="2" t="s">
        <v>8970</v>
      </c>
      <c r="G2811" s="2" t="s">
        <v>170</v>
      </c>
      <c r="H2811" s="2" t="s">
        <v>8971</v>
      </c>
      <c r="I2811" s="2" t="s">
        <v>73</v>
      </c>
      <c r="J2811" s="2" t="s">
        <v>74</v>
      </c>
      <c r="K2811" s="2" t="s">
        <v>38</v>
      </c>
      <c r="L2811" s="2" t="s">
        <v>38</v>
      </c>
      <c r="M2811" s="2" t="s">
        <v>38</v>
      </c>
      <c r="N2811" s="2" t="s">
        <v>38</v>
      </c>
      <c r="O2811" s="2" t="s">
        <v>38</v>
      </c>
      <c r="P2811" s="2" t="s">
        <v>38</v>
      </c>
      <c r="Q2811" s="2" t="s">
        <v>38</v>
      </c>
      <c r="R2811" s="2" t="s">
        <v>38</v>
      </c>
      <c r="S2811" s="2" t="s">
        <v>38</v>
      </c>
      <c r="T2811" s="2" t="s">
        <v>38</v>
      </c>
      <c r="U2811" s="2" t="s">
        <v>38</v>
      </c>
      <c r="V2811" s="2" t="s">
        <v>38</v>
      </c>
      <c r="W2811" s="2" t="s">
        <v>38</v>
      </c>
      <c r="X2811" s="2" t="s">
        <v>38</v>
      </c>
      <c r="Y2811" s="2" t="s">
        <v>38</v>
      </c>
      <c r="Z2811" s="2" t="s">
        <v>38</v>
      </c>
      <c r="AA2811" s="2" t="s">
        <v>38</v>
      </c>
      <c r="AB2811" s="2" t="s">
        <v>38</v>
      </c>
      <c r="AC2811" s="2" t="s">
        <v>38</v>
      </c>
      <c r="AD2811" s="2" t="s">
        <v>38</v>
      </c>
      <c r="AE2811" s="2" t="s">
        <v>40</v>
      </c>
    </row>
    <row r="2812" spans="1:31" ht="409.5">
      <c r="A2812" s="2">
        <v>2709915</v>
      </c>
      <c r="B2812" s="2">
        <f>HYPERLINK("https://platform.v2.vetology.net/cases/2709915/screening-report/1?type=pdf&amp;v=v6&amp;scorecard=1&amp;secret_key=BX%25IJ%24%2F65ieZ%29f6", 2709915)</f>
        <v>2709915</v>
      </c>
      <c r="C2812" s="2">
        <f>HYPERLINK("https://platform.v2.vetology.net/report/v/final/"&amp;2709915, 2709915)</f>
        <v>2709915</v>
      </c>
      <c r="D2812" s="2" t="s">
        <v>8972</v>
      </c>
      <c r="E2812" s="2" t="s">
        <v>8973</v>
      </c>
      <c r="F2812" s="2" t="s">
        <v>8974</v>
      </c>
      <c r="G2812" s="2" t="s">
        <v>170</v>
      </c>
      <c r="H2812" s="2" t="s">
        <v>8975</v>
      </c>
      <c r="I2812" s="2" t="s">
        <v>73</v>
      </c>
      <c r="J2812" s="2" t="s">
        <v>74</v>
      </c>
      <c r="K2812" s="2" t="s">
        <v>38</v>
      </c>
      <c r="L2812" s="2" t="s">
        <v>38</v>
      </c>
      <c r="M2812" s="2" t="s">
        <v>38</v>
      </c>
      <c r="N2812" s="2" t="s">
        <v>38</v>
      </c>
      <c r="O2812" s="2" t="s">
        <v>38</v>
      </c>
      <c r="P2812" s="2" t="s">
        <v>38</v>
      </c>
      <c r="Q2812" s="2" t="s">
        <v>38</v>
      </c>
      <c r="R2812" s="2" t="s">
        <v>38</v>
      </c>
      <c r="S2812" s="2" t="s">
        <v>38</v>
      </c>
      <c r="T2812" s="2" t="s">
        <v>38</v>
      </c>
      <c r="U2812" s="2" t="s">
        <v>38</v>
      </c>
      <c r="V2812" s="2" t="s">
        <v>38</v>
      </c>
      <c r="W2812" s="2" t="s">
        <v>38</v>
      </c>
      <c r="X2812" s="2" t="s">
        <v>38</v>
      </c>
      <c r="Y2812" s="2" t="s">
        <v>38</v>
      </c>
      <c r="Z2812" s="2" t="s">
        <v>38</v>
      </c>
      <c r="AA2812" s="2" t="s">
        <v>38</v>
      </c>
      <c r="AB2812" s="2" t="s">
        <v>38</v>
      </c>
      <c r="AC2812" s="2" t="s">
        <v>38</v>
      </c>
      <c r="AD2812" s="2" t="s">
        <v>38</v>
      </c>
      <c r="AE2812" s="2" t="s">
        <v>40</v>
      </c>
    </row>
    <row r="2813" spans="1:31" ht="409.5">
      <c r="A2813" s="2">
        <v>2709904</v>
      </c>
      <c r="B2813" s="2">
        <f>HYPERLINK("https://platform.v2.vetology.net/cases/2709904/screening-report/1?type=pdf&amp;v=v6&amp;scorecard=1&amp;secret_key=BX%25IJ%24%2F65ieZ%29f6", 2709904)</f>
        <v>2709904</v>
      </c>
      <c r="C2813" s="2">
        <f>HYPERLINK("https://platform.v2.vetology.net/report/v/final/"&amp;2709904, 2709904)</f>
        <v>2709904</v>
      </c>
      <c r="D2813" s="2" t="s">
        <v>8976</v>
      </c>
      <c r="E2813" s="2" t="s">
        <v>8977</v>
      </c>
      <c r="F2813" s="2" t="s">
        <v>8978</v>
      </c>
      <c r="G2813" s="2" t="s">
        <v>170</v>
      </c>
      <c r="H2813" s="2" t="s">
        <v>69</v>
      </c>
      <c r="I2813" s="2" t="s">
        <v>46</v>
      </c>
      <c r="J2813" s="2"/>
      <c r="K2813" s="2" t="s">
        <v>39</v>
      </c>
      <c r="L2813" s="2" t="s">
        <v>39</v>
      </c>
      <c r="M2813" s="2" t="s">
        <v>39</v>
      </c>
      <c r="N2813" s="2" t="s">
        <v>39</v>
      </c>
      <c r="O2813" s="2" t="s">
        <v>39</v>
      </c>
      <c r="P2813" s="2" t="s">
        <v>39</v>
      </c>
      <c r="Q2813" s="2" t="s">
        <v>39</v>
      </c>
      <c r="R2813" s="2" t="s">
        <v>39</v>
      </c>
      <c r="S2813" s="2" t="s">
        <v>39</v>
      </c>
      <c r="T2813" s="2" t="s">
        <v>39</v>
      </c>
      <c r="U2813" s="2" t="s">
        <v>39</v>
      </c>
      <c r="V2813" s="2" t="s">
        <v>39</v>
      </c>
      <c r="W2813" s="2" t="s">
        <v>39</v>
      </c>
      <c r="X2813" s="2" t="s">
        <v>39</v>
      </c>
      <c r="Y2813" s="2" t="s">
        <v>39</v>
      </c>
      <c r="Z2813" s="2" t="s">
        <v>39</v>
      </c>
      <c r="AA2813" s="2" t="s">
        <v>39</v>
      </c>
      <c r="AB2813" s="2" t="s">
        <v>39</v>
      </c>
      <c r="AC2813" s="2" t="s">
        <v>39</v>
      </c>
      <c r="AD2813" s="2" t="s">
        <v>39</v>
      </c>
      <c r="AE2813" s="2" t="s">
        <v>39</v>
      </c>
    </row>
    <row r="2814" spans="1:31" ht="409.5">
      <c r="A2814" s="2">
        <v>2709901</v>
      </c>
      <c r="B2814" s="2">
        <f>HYPERLINK("https://platform.v2.vetology.net/cases/2709901/screening-report/1?type=pdf&amp;v=v6&amp;scorecard=1&amp;secret_key=BX%25IJ%24%2F65ieZ%29f6", 2709901)</f>
        <v>2709901</v>
      </c>
      <c r="C2814" s="2">
        <f>HYPERLINK("https://platform.v2.vetology.net/report/v/final/"&amp;2709901, 2709901)</f>
        <v>2709901</v>
      </c>
      <c r="D2814" s="2" t="s">
        <v>8979</v>
      </c>
      <c r="E2814" s="2" t="s">
        <v>8980</v>
      </c>
      <c r="F2814" s="2" t="s">
        <v>229</v>
      </c>
      <c r="G2814" s="2" t="s">
        <v>170</v>
      </c>
      <c r="H2814" s="2" t="s">
        <v>69</v>
      </c>
      <c r="I2814" s="2" t="s">
        <v>46</v>
      </c>
      <c r="J2814" s="2"/>
      <c r="K2814" s="2" t="s">
        <v>39</v>
      </c>
      <c r="L2814" s="2" t="s">
        <v>39</v>
      </c>
      <c r="M2814" s="2" t="s">
        <v>39</v>
      </c>
      <c r="N2814" s="2" t="s">
        <v>39</v>
      </c>
      <c r="O2814" s="2" t="s">
        <v>39</v>
      </c>
      <c r="P2814" s="2" t="s">
        <v>39</v>
      </c>
      <c r="Q2814" s="2" t="s">
        <v>39</v>
      </c>
      <c r="R2814" s="2" t="s">
        <v>39</v>
      </c>
      <c r="S2814" s="2" t="s">
        <v>39</v>
      </c>
      <c r="T2814" s="2" t="s">
        <v>39</v>
      </c>
      <c r="U2814" s="2" t="s">
        <v>39</v>
      </c>
      <c r="V2814" s="2" t="s">
        <v>39</v>
      </c>
      <c r="W2814" s="2" t="s">
        <v>39</v>
      </c>
      <c r="X2814" s="2" t="s">
        <v>39</v>
      </c>
      <c r="Y2814" s="2" t="s">
        <v>39</v>
      </c>
      <c r="Z2814" s="2" t="s">
        <v>39</v>
      </c>
      <c r="AA2814" s="2" t="s">
        <v>39</v>
      </c>
      <c r="AB2814" s="2" t="s">
        <v>39</v>
      </c>
      <c r="AC2814" s="2" t="s">
        <v>39</v>
      </c>
      <c r="AD2814" s="2" t="s">
        <v>39</v>
      </c>
      <c r="AE2814" s="2" t="s">
        <v>39</v>
      </c>
    </row>
    <row r="2815" spans="1:31" ht="409.5">
      <c r="A2815" s="2">
        <v>2709886</v>
      </c>
      <c r="B2815" s="2">
        <f>HYPERLINK("https://platform.v2.vetology.net/cases/2709886/screening-report/1?type=pdf&amp;v=v6&amp;scorecard=1&amp;secret_key=BX%25IJ%24%2F65ieZ%29f6", 2709886)</f>
        <v>2709886</v>
      </c>
      <c r="C2815" s="2">
        <f>HYPERLINK("https://platform.v2.vetology.net/report/v/final/"&amp;2709886, 2709886)</f>
        <v>2709886</v>
      </c>
      <c r="D2815" s="2" t="s">
        <v>8981</v>
      </c>
      <c r="E2815" s="2" t="s">
        <v>8982</v>
      </c>
      <c r="F2815" s="2" t="s">
        <v>8983</v>
      </c>
      <c r="G2815" s="2" t="s">
        <v>170</v>
      </c>
      <c r="H2815" s="2" t="s">
        <v>526</v>
      </c>
      <c r="I2815" s="2" t="s">
        <v>46</v>
      </c>
      <c r="J2815" s="2"/>
      <c r="K2815" s="2" t="s">
        <v>39</v>
      </c>
      <c r="L2815" s="2" t="s">
        <v>38</v>
      </c>
      <c r="M2815" s="2" t="s">
        <v>39</v>
      </c>
      <c r="N2815" s="2" t="s">
        <v>39</v>
      </c>
      <c r="O2815" s="2" t="s">
        <v>38</v>
      </c>
      <c r="P2815" s="2" t="s">
        <v>39</v>
      </c>
      <c r="Q2815" s="2" t="s">
        <v>39</v>
      </c>
      <c r="R2815" s="2" t="s">
        <v>39</v>
      </c>
      <c r="S2815" s="2" t="s">
        <v>38</v>
      </c>
      <c r="T2815" s="2" t="s">
        <v>38</v>
      </c>
      <c r="U2815" s="2" t="s">
        <v>39</v>
      </c>
      <c r="V2815" s="2" t="s">
        <v>39</v>
      </c>
      <c r="W2815" s="2" t="s">
        <v>39</v>
      </c>
      <c r="X2815" s="2" t="s">
        <v>39</v>
      </c>
      <c r="Y2815" s="2" t="s">
        <v>39</v>
      </c>
      <c r="Z2815" s="2" t="s">
        <v>39</v>
      </c>
      <c r="AA2815" s="2" t="s">
        <v>39</v>
      </c>
      <c r="AB2815" s="2" t="s">
        <v>39</v>
      </c>
      <c r="AC2815" s="2" t="s">
        <v>38</v>
      </c>
      <c r="AD2815" s="2" t="s">
        <v>38</v>
      </c>
      <c r="AE2815" s="2" t="s">
        <v>39</v>
      </c>
    </row>
    <row r="2816" spans="1:31" ht="409.5">
      <c r="A2816" s="2">
        <v>2709879</v>
      </c>
      <c r="B2816" s="2">
        <f>HYPERLINK("https://platform.v2.vetology.net/cases/2709879/screening-report/1?type=pdf&amp;v=v6&amp;scorecard=1&amp;secret_key=BX%25IJ%24%2F65ieZ%29f6", 2709879)</f>
        <v>2709879</v>
      </c>
      <c r="C2816" s="2">
        <f>HYPERLINK("https://platform.v2.vetology.net/report/v/final/"&amp;2709879, 2709879)</f>
        <v>2709879</v>
      </c>
      <c r="D2816" s="2" t="s">
        <v>2629</v>
      </c>
      <c r="E2816" s="2" t="s">
        <v>118</v>
      </c>
      <c r="F2816" s="2" t="s">
        <v>119</v>
      </c>
      <c r="G2816" s="2" t="s">
        <v>111</v>
      </c>
      <c r="H2816" s="2" t="s">
        <v>69</v>
      </c>
      <c r="I2816" s="2" t="s">
        <v>46</v>
      </c>
      <c r="J2816" s="2"/>
      <c r="K2816" s="2" t="s">
        <v>39</v>
      </c>
      <c r="L2816" s="2" t="s">
        <v>39</v>
      </c>
      <c r="M2816" s="2" t="s">
        <v>39</v>
      </c>
      <c r="N2816" s="2" t="s">
        <v>39</v>
      </c>
      <c r="O2816" s="2" t="s">
        <v>39</v>
      </c>
      <c r="P2816" s="2" t="s">
        <v>39</v>
      </c>
      <c r="Q2816" s="2" t="s">
        <v>39</v>
      </c>
      <c r="R2816" s="2" t="s">
        <v>39</v>
      </c>
      <c r="S2816" s="2" t="s">
        <v>39</v>
      </c>
      <c r="T2816" s="2" t="s">
        <v>39</v>
      </c>
      <c r="U2816" s="2" t="s">
        <v>39</v>
      </c>
      <c r="V2816" s="2" t="s">
        <v>39</v>
      </c>
      <c r="W2816" s="2" t="s">
        <v>39</v>
      </c>
      <c r="X2816" s="2" t="s">
        <v>39</v>
      </c>
      <c r="Y2816" s="2" t="s">
        <v>39</v>
      </c>
      <c r="Z2816" s="2" t="s">
        <v>39</v>
      </c>
      <c r="AA2816" s="2" t="s">
        <v>39</v>
      </c>
      <c r="AB2816" s="2" t="s">
        <v>39</v>
      </c>
      <c r="AC2816" s="2" t="s">
        <v>39</v>
      </c>
      <c r="AD2816" s="2" t="s">
        <v>38</v>
      </c>
      <c r="AE2816" s="2" t="s">
        <v>39</v>
      </c>
    </row>
    <row r="2817" spans="1:31" ht="409.5">
      <c r="A2817" s="2">
        <v>2709874</v>
      </c>
      <c r="B2817" s="2">
        <f>HYPERLINK("https://platform.v2.vetology.net/cases/2709874/screening-report/1?type=pdf&amp;v=v6&amp;scorecard=1&amp;secret_key=BX%25IJ%24%2F65ieZ%29f6", 2709874)</f>
        <v>2709874</v>
      </c>
      <c r="C2817" s="2">
        <f>HYPERLINK("https://platform.v2.vetology.net/report/v/final/"&amp;2709874, 2709874)</f>
        <v>2709874</v>
      </c>
      <c r="D2817" s="2" t="s">
        <v>8984</v>
      </c>
      <c r="E2817" s="2" t="s">
        <v>8985</v>
      </c>
      <c r="F2817" s="2" t="s">
        <v>8986</v>
      </c>
      <c r="G2817" s="2" t="s">
        <v>44</v>
      </c>
      <c r="H2817" s="2" t="s">
        <v>8987</v>
      </c>
      <c r="I2817" s="2" t="s">
        <v>129</v>
      </c>
      <c r="J2817" s="2" t="s">
        <v>74</v>
      </c>
      <c r="K2817" s="2" t="s">
        <v>39</v>
      </c>
      <c r="L2817" s="2" t="s">
        <v>38</v>
      </c>
      <c r="M2817" s="2" t="s">
        <v>38</v>
      </c>
      <c r="N2817" s="2" t="s">
        <v>38</v>
      </c>
      <c r="O2817" s="2" t="s">
        <v>38</v>
      </c>
      <c r="P2817" s="2" t="s">
        <v>38</v>
      </c>
      <c r="Q2817" s="2" t="s">
        <v>38</v>
      </c>
      <c r="R2817" s="2" t="s">
        <v>38</v>
      </c>
      <c r="S2817" s="2" t="s">
        <v>38</v>
      </c>
      <c r="T2817" s="2" t="s">
        <v>38</v>
      </c>
      <c r="U2817" s="2" t="s">
        <v>39</v>
      </c>
      <c r="V2817" s="2" t="s">
        <v>39</v>
      </c>
      <c r="W2817" s="2" t="s">
        <v>38</v>
      </c>
      <c r="X2817" s="2" t="s">
        <v>38</v>
      </c>
      <c r="Y2817" s="2" t="s">
        <v>38</v>
      </c>
      <c r="Z2817" s="2" t="s">
        <v>38</v>
      </c>
      <c r="AA2817" s="2" t="s">
        <v>38</v>
      </c>
      <c r="AB2817" s="2" t="s">
        <v>38</v>
      </c>
      <c r="AC2817" s="2" t="s">
        <v>38</v>
      </c>
      <c r="AD2817" s="2" t="s">
        <v>38</v>
      </c>
      <c r="AE2817" s="2"/>
    </row>
    <row r="2818" spans="1:31" ht="409.5">
      <c r="A2818" s="2">
        <v>2709854</v>
      </c>
      <c r="B2818" s="2">
        <f>HYPERLINK("https://platform.v2.vetology.net/cases/2709854/screening-report/1?type=pdf&amp;v=v6&amp;scorecard=1&amp;secret_key=BX%25IJ%24%2F65ieZ%29f6", 2709854)</f>
        <v>2709854</v>
      </c>
      <c r="C2818" s="2">
        <f>HYPERLINK("https://platform.v2.vetology.net/report/v/final/"&amp;2709854, 2709854)</f>
        <v>2709854</v>
      </c>
      <c r="D2818" s="2" t="s">
        <v>8988</v>
      </c>
      <c r="E2818" s="2" t="s">
        <v>8989</v>
      </c>
      <c r="F2818" s="2" t="s">
        <v>8990</v>
      </c>
      <c r="G2818" s="2" t="s">
        <v>53</v>
      </c>
      <c r="H2818" s="2" t="s">
        <v>8991</v>
      </c>
      <c r="I2818" s="2" t="s">
        <v>36</v>
      </c>
      <c r="J2818" s="2" t="s">
        <v>37</v>
      </c>
      <c r="K2818" s="2" t="s">
        <v>38</v>
      </c>
      <c r="L2818" s="2" t="s">
        <v>38</v>
      </c>
      <c r="M2818" s="2" t="s">
        <v>38</v>
      </c>
      <c r="N2818" s="2" t="s">
        <v>38</v>
      </c>
      <c r="O2818" s="2" t="s">
        <v>38</v>
      </c>
      <c r="P2818" s="2" t="s">
        <v>39</v>
      </c>
      <c r="Q2818" s="2" t="s">
        <v>39</v>
      </c>
      <c r="R2818" s="2" t="s">
        <v>38</v>
      </c>
      <c r="S2818" s="2" t="s">
        <v>38</v>
      </c>
      <c r="T2818" s="2" t="s">
        <v>38</v>
      </c>
      <c r="U2818" s="2" t="s">
        <v>38</v>
      </c>
      <c r="V2818" s="2" t="s">
        <v>38</v>
      </c>
      <c r="W2818" s="2" t="s">
        <v>38</v>
      </c>
      <c r="X2818" s="2" t="s">
        <v>39</v>
      </c>
      <c r="Y2818" s="2" t="s">
        <v>39</v>
      </c>
      <c r="Z2818" s="2" t="s">
        <v>38</v>
      </c>
      <c r="AA2818" s="2" t="s">
        <v>38</v>
      </c>
      <c r="AB2818" s="2" t="s">
        <v>38</v>
      </c>
      <c r="AC2818" s="2" t="s">
        <v>38</v>
      </c>
      <c r="AD2818" s="2" t="s">
        <v>38</v>
      </c>
      <c r="AE2818" s="2" t="s">
        <v>40</v>
      </c>
    </row>
    <row r="2819" spans="1:31" ht="409.5">
      <c r="A2819" s="2">
        <v>2709768</v>
      </c>
      <c r="B2819" s="2">
        <f>HYPERLINK("https://platform.v2.vetology.net/cases/2709768/screening-report/1?type=pdf&amp;v=v6&amp;scorecard=1&amp;secret_key=BX%25IJ%24%2F65ieZ%29f6", 2709768)</f>
        <v>2709768</v>
      </c>
      <c r="C2819" s="2">
        <f>HYPERLINK("https://platform.v2.vetology.net/report/v/final/"&amp;2709768, 2709768)</f>
        <v>2709768</v>
      </c>
      <c r="D2819" s="2" t="s">
        <v>5659</v>
      </c>
      <c r="E2819" s="2" t="s">
        <v>4821</v>
      </c>
      <c r="F2819" s="2" t="s">
        <v>4822</v>
      </c>
      <c r="G2819" s="2" t="s">
        <v>111</v>
      </c>
      <c r="H2819" s="2" t="s">
        <v>8992</v>
      </c>
      <c r="I2819" s="2" t="s">
        <v>36</v>
      </c>
      <c r="J2819" s="2" t="s">
        <v>37</v>
      </c>
      <c r="K2819" s="2" t="s">
        <v>38</v>
      </c>
      <c r="L2819" s="2" t="s">
        <v>38</v>
      </c>
      <c r="M2819" s="2" t="s">
        <v>38</v>
      </c>
      <c r="N2819" s="2" t="s">
        <v>38</v>
      </c>
      <c r="O2819" s="2" t="s">
        <v>38</v>
      </c>
      <c r="P2819" s="2" t="s">
        <v>38</v>
      </c>
      <c r="Q2819" s="2" t="s">
        <v>38</v>
      </c>
      <c r="R2819" s="2" t="s">
        <v>39</v>
      </c>
      <c r="S2819" s="2" t="s">
        <v>39</v>
      </c>
      <c r="T2819" s="2" t="s">
        <v>38</v>
      </c>
      <c r="U2819" s="2" t="s">
        <v>39</v>
      </c>
      <c r="V2819" s="2" t="s">
        <v>38</v>
      </c>
      <c r="W2819" s="2" t="s">
        <v>39</v>
      </c>
      <c r="X2819" s="2" t="s">
        <v>38</v>
      </c>
      <c r="Y2819" s="2" t="s">
        <v>39</v>
      </c>
      <c r="Z2819" s="2" t="s">
        <v>39</v>
      </c>
      <c r="AA2819" s="2" t="s">
        <v>39</v>
      </c>
      <c r="AB2819" s="2" t="s">
        <v>39</v>
      </c>
      <c r="AC2819" s="2" t="s">
        <v>39</v>
      </c>
      <c r="AD2819" s="2" t="s">
        <v>38</v>
      </c>
      <c r="AE2819" s="2" t="s">
        <v>40</v>
      </c>
    </row>
    <row r="2820" spans="1:31" ht="409.5">
      <c r="A2820" s="2">
        <v>2709747</v>
      </c>
      <c r="B2820" s="2">
        <f>HYPERLINK("https://platform.v2.vetology.net/cases/2709747/screening-report/1?type=pdf&amp;v=v6&amp;scorecard=1&amp;secret_key=BX%25IJ%24%2F65ieZ%29f6", 2709747)</f>
        <v>2709747</v>
      </c>
      <c r="C2820" s="2">
        <f>HYPERLINK("https://platform.v2.vetology.net/report/v/final/"&amp;2709747, 2709747)</f>
        <v>2709747</v>
      </c>
      <c r="D2820" s="2" t="s">
        <v>8993</v>
      </c>
      <c r="E2820" s="2" t="s">
        <v>8994</v>
      </c>
      <c r="F2820" s="2" t="s">
        <v>310</v>
      </c>
      <c r="G2820" s="2" t="s">
        <v>34</v>
      </c>
      <c r="H2820" s="2" t="s">
        <v>1930</v>
      </c>
      <c r="I2820" s="2" t="s">
        <v>36</v>
      </c>
      <c r="J2820" s="2" t="s">
        <v>37</v>
      </c>
      <c r="K2820" s="2" t="s">
        <v>38</v>
      </c>
      <c r="L2820" s="2" t="s">
        <v>38</v>
      </c>
      <c r="M2820" s="2" t="s">
        <v>38</v>
      </c>
      <c r="N2820" s="2" t="s">
        <v>38</v>
      </c>
      <c r="O2820" s="2" t="s">
        <v>38</v>
      </c>
      <c r="P2820" s="2" t="s">
        <v>39</v>
      </c>
      <c r="Q2820" s="2" t="s">
        <v>39</v>
      </c>
      <c r="R2820" s="2" t="s">
        <v>38</v>
      </c>
      <c r="S2820" s="2" t="s">
        <v>38</v>
      </c>
      <c r="T2820" s="2" t="s">
        <v>39</v>
      </c>
      <c r="U2820" s="2" t="s">
        <v>38</v>
      </c>
      <c r="V2820" s="2" t="s">
        <v>38</v>
      </c>
      <c r="W2820" s="2" t="s">
        <v>39</v>
      </c>
      <c r="X2820" s="2" t="s">
        <v>39</v>
      </c>
      <c r="Y2820" s="2" t="s">
        <v>39</v>
      </c>
      <c r="Z2820" s="2" t="s">
        <v>38</v>
      </c>
      <c r="AA2820" s="2" t="s">
        <v>39</v>
      </c>
      <c r="AB2820" s="2" t="s">
        <v>39</v>
      </c>
      <c r="AC2820" s="2" t="s">
        <v>38</v>
      </c>
      <c r="AD2820" s="2" t="s">
        <v>38</v>
      </c>
      <c r="AE2820" s="2" t="s">
        <v>40</v>
      </c>
    </row>
    <row r="2821" spans="1:31" ht="409.5">
      <c r="A2821" s="2">
        <v>2709718</v>
      </c>
      <c r="B2821" s="2">
        <f>HYPERLINK("https://platform.v2.vetology.net/cases/2709718/screening-report/1?type=pdf&amp;v=v6&amp;scorecard=1&amp;secret_key=BX%25IJ%24%2F65ieZ%29f6", 2709718)</f>
        <v>2709718</v>
      </c>
      <c r="C2821" s="2">
        <f>HYPERLINK("https://platform.v2.vetology.net/report/v/final/"&amp;2709718, 2709718)</f>
        <v>2709718</v>
      </c>
      <c r="D2821" s="2" t="s">
        <v>8995</v>
      </c>
      <c r="E2821" s="2" t="s">
        <v>8996</v>
      </c>
      <c r="F2821" s="2" t="s">
        <v>8997</v>
      </c>
      <c r="G2821" s="2" t="s">
        <v>53</v>
      </c>
      <c r="H2821" s="2" t="s">
        <v>5549</v>
      </c>
      <c r="I2821" s="2" t="s">
        <v>36</v>
      </c>
      <c r="J2821" s="2" t="s">
        <v>37</v>
      </c>
      <c r="K2821" s="2" t="s">
        <v>39</v>
      </c>
      <c r="L2821" s="2" t="s">
        <v>38</v>
      </c>
      <c r="M2821" s="2" t="s">
        <v>38</v>
      </c>
      <c r="N2821" s="2" t="s">
        <v>39</v>
      </c>
      <c r="O2821" s="2" t="s">
        <v>38</v>
      </c>
      <c r="P2821" s="2" t="s">
        <v>39</v>
      </c>
      <c r="Q2821" s="2" t="s">
        <v>39</v>
      </c>
      <c r="R2821" s="2" t="s">
        <v>39</v>
      </c>
      <c r="S2821" s="2" t="s">
        <v>39</v>
      </c>
      <c r="T2821" s="2" t="s">
        <v>39</v>
      </c>
      <c r="U2821" s="2" t="s">
        <v>39</v>
      </c>
      <c r="V2821" s="2" t="s">
        <v>39</v>
      </c>
      <c r="W2821" s="2" t="s">
        <v>38</v>
      </c>
      <c r="X2821" s="2" t="s">
        <v>39</v>
      </c>
      <c r="Y2821" s="2" t="s">
        <v>39</v>
      </c>
      <c r="Z2821" s="2" t="s">
        <v>39</v>
      </c>
      <c r="AA2821" s="2" t="s">
        <v>38</v>
      </c>
      <c r="AB2821" s="2" t="s">
        <v>39</v>
      </c>
      <c r="AC2821" s="2" t="s">
        <v>38</v>
      </c>
      <c r="AD2821" s="2" t="s">
        <v>38</v>
      </c>
      <c r="AE2821" s="2"/>
    </row>
    <row r="2822" spans="1:31" ht="409.5">
      <c r="A2822" s="2">
        <v>2709713</v>
      </c>
      <c r="B2822" s="2">
        <f>HYPERLINK("https://platform.v2.vetology.net/cases/2709713/screening-report/1?type=pdf&amp;v=v6&amp;scorecard=1&amp;secret_key=BX%25IJ%24%2F65ieZ%29f6", 2709713)</f>
        <v>2709713</v>
      </c>
      <c r="C2822" s="2">
        <f>HYPERLINK("https://platform.v2.vetology.net/report/v/final/"&amp;2709713, 2709713)</f>
        <v>2709713</v>
      </c>
      <c r="D2822" s="2" t="s">
        <v>8998</v>
      </c>
      <c r="E2822" s="2" t="s">
        <v>8999</v>
      </c>
      <c r="F2822" s="2" t="s">
        <v>43</v>
      </c>
      <c r="G2822" s="2" t="s">
        <v>44</v>
      </c>
      <c r="H2822" s="2" t="s">
        <v>9000</v>
      </c>
      <c r="I2822" s="2" t="s">
        <v>36</v>
      </c>
      <c r="J2822" s="2" t="s">
        <v>37</v>
      </c>
      <c r="K2822" s="2" t="s">
        <v>39</v>
      </c>
      <c r="L2822" s="2" t="s">
        <v>38</v>
      </c>
      <c r="M2822" s="2" t="s">
        <v>38</v>
      </c>
      <c r="N2822" s="2" t="s">
        <v>38</v>
      </c>
      <c r="O2822" s="2" t="s">
        <v>38</v>
      </c>
      <c r="P2822" s="2" t="s">
        <v>39</v>
      </c>
      <c r="Q2822" s="2" t="s">
        <v>39</v>
      </c>
      <c r="R2822" s="2" t="s">
        <v>38</v>
      </c>
      <c r="S2822" s="2" t="s">
        <v>38</v>
      </c>
      <c r="T2822" s="2" t="s">
        <v>39</v>
      </c>
      <c r="U2822" s="2" t="s">
        <v>39</v>
      </c>
      <c r="V2822" s="2" t="s">
        <v>38</v>
      </c>
      <c r="W2822" s="2" t="s">
        <v>38</v>
      </c>
      <c r="X2822" s="2" t="s">
        <v>39</v>
      </c>
      <c r="Y2822" s="2" t="s">
        <v>39</v>
      </c>
      <c r="Z2822" s="2" t="s">
        <v>38</v>
      </c>
      <c r="AA2822" s="2" t="s">
        <v>39</v>
      </c>
      <c r="AB2822" s="2" t="s">
        <v>39</v>
      </c>
      <c r="AC2822" s="2" t="s">
        <v>38</v>
      </c>
      <c r="AD2822" s="2" t="s">
        <v>38</v>
      </c>
      <c r="AE2822" s="2" t="s">
        <v>40</v>
      </c>
    </row>
    <row r="2823" spans="1:31" ht="409.5">
      <c r="A2823" s="2">
        <v>2709690</v>
      </c>
      <c r="B2823" s="2">
        <f>HYPERLINK("https://platform.v2.vetology.net/cases/2709690/screening-report/1?type=pdf&amp;v=v6&amp;scorecard=1&amp;secret_key=BX%25IJ%24%2F65ieZ%29f6", 2709690)</f>
        <v>2709690</v>
      </c>
      <c r="C2823" s="2">
        <f>HYPERLINK("https://platform.v2.vetology.net/report/v/final/"&amp;2709690, 2709690)</f>
        <v>2709690</v>
      </c>
      <c r="D2823" s="2" t="s">
        <v>9001</v>
      </c>
      <c r="E2823" s="2" t="s">
        <v>9002</v>
      </c>
      <c r="F2823" s="2" t="s">
        <v>9003</v>
      </c>
      <c r="G2823" s="2" t="s">
        <v>251</v>
      </c>
      <c r="H2823" s="2" t="s">
        <v>9004</v>
      </c>
      <c r="I2823" s="2" t="s">
        <v>36</v>
      </c>
      <c r="J2823" s="2" t="s">
        <v>37</v>
      </c>
      <c r="K2823" s="2" t="s">
        <v>38</v>
      </c>
      <c r="L2823" s="2" t="s">
        <v>39</v>
      </c>
      <c r="M2823" s="2" t="s">
        <v>38</v>
      </c>
      <c r="N2823" s="2" t="s">
        <v>38</v>
      </c>
      <c r="O2823" s="2" t="s">
        <v>38</v>
      </c>
      <c r="P2823" s="2" t="s">
        <v>39</v>
      </c>
      <c r="Q2823" s="2" t="s">
        <v>39</v>
      </c>
      <c r="R2823" s="2" t="s">
        <v>39</v>
      </c>
      <c r="S2823" s="2" t="s">
        <v>39</v>
      </c>
      <c r="T2823" s="2" t="s">
        <v>38</v>
      </c>
      <c r="U2823" s="2" t="s">
        <v>38</v>
      </c>
      <c r="V2823" s="2" t="s">
        <v>38</v>
      </c>
      <c r="W2823" s="2" t="s">
        <v>38</v>
      </c>
      <c r="X2823" s="2" t="s">
        <v>39</v>
      </c>
      <c r="Y2823" s="2" t="s">
        <v>39</v>
      </c>
      <c r="Z2823" s="2" t="s">
        <v>38</v>
      </c>
      <c r="AA2823" s="2" t="s">
        <v>38</v>
      </c>
      <c r="AB2823" s="2" t="s">
        <v>39</v>
      </c>
      <c r="AC2823" s="2" t="s">
        <v>38</v>
      </c>
      <c r="AD2823" s="2" t="s">
        <v>39</v>
      </c>
      <c r="AE2823" s="2" t="s">
        <v>39</v>
      </c>
    </row>
    <row r="2824" spans="1:31" ht="409.5">
      <c r="A2824" s="2">
        <v>2709678</v>
      </c>
      <c r="B2824" s="2">
        <f>HYPERLINK("https://platform.v2.vetology.net/cases/2709678/screening-report/1?type=pdf&amp;v=v6&amp;scorecard=1&amp;secret_key=BX%25IJ%24%2F65ieZ%29f6", 2709678)</f>
        <v>2709678</v>
      </c>
      <c r="C2824" s="2">
        <f>HYPERLINK("https://platform.v2.vetology.net/report/v/final/"&amp;2709678, 2709678)</f>
        <v>2709678</v>
      </c>
      <c r="D2824" s="2" t="s">
        <v>9005</v>
      </c>
      <c r="E2824" s="2" t="s">
        <v>9006</v>
      </c>
      <c r="F2824" s="2" t="s">
        <v>9007</v>
      </c>
      <c r="G2824" s="2" t="s">
        <v>111</v>
      </c>
      <c r="H2824" s="2" t="s">
        <v>5549</v>
      </c>
      <c r="I2824" s="2" t="s">
        <v>36</v>
      </c>
      <c r="J2824" s="2" t="s">
        <v>37</v>
      </c>
      <c r="K2824" s="2" t="s">
        <v>39</v>
      </c>
      <c r="L2824" s="2" t="s">
        <v>38</v>
      </c>
      <c r="M2824" s="2" t="s">
        <v>38</v>
      </c>
      <c r="N2824" s="2" t="s">
        <v>39</v>
      </c>
      <c r="O2824" s="2" t="s">
        <v>39</v>
      </c>
      <c r="P2824" s="2" t="s">
        <v>39</v>
      </c>
      <c r="Q2824" s="2" t="s">
        <v>39</v>
      </c>
      <c r="R2824" s="2" t="s">
        <v>39</v>
      </c>
      <c r="S2824" s="2" t="s">
        <v>39</v>
      </c>
      <c r="T2824" s="2" t="s">
        <v>38</v>
      </c>
      <c r="U2824" s="2" t="s">
        <v>39</v>
      </c>
      <c r="V2824" s="2" t="s">
        <v>39</v>
      </c>
      <c r="W2824" s="2" t="s">
        <v>39</v>
      </c>
      <c r="X2824" s="2" t="s">
        <v>39</v>
      </c>
      <c r="Y2824" s="2" t="s">
        <v>39</v>
      </c>
      <c r="Z2824" s="2" t="s">
        <v>39</v>
      </c>
      <c r="AA2824" s="2" t="s">
        <v>39</v>
      </c>
      <c r="AB2824" s="2" t="s">
        <v>39</v>
      </c>
      <c r="AC2824" s="2" t="s">
        <v>38</v>
      </c>
      <c r="AD2824" s="2" t="s">
        <v>38</v>
      </c>
      <c r="AE2824" s="2" t="s">
        <v>40</v>
      </c>
    </row>
    <row r="2825" spans="1:31" ht="409.5">
      <c r="A2825" s="2">
        <v>2709623</v>
      </c>
      <c r="B2825" s="2">
        <f>HYPERLINK("https://platform.v2.vetology.net/cases/2709623/screening-report/1?type=pdf&amp;v=v6&amp;scorecard=1&amp;secret_key=BX%25IJ%24%2F65ieZ%29f6", 2709623)</f>
        <v>2709623</v>
      </c>
      <c r="C2825" s="2">
        <f>HYPERLINK("https://platform.v2.vetology.net/report/v/final/"&amp;2709623, 2709623)</f>
        <v>2709623</v>
      </c>
      <c r="D2825" s="2" t="s">
        <v>9008</v>
      </c>
      <c r="E2825" s="2" t="s">
        <v>9009</v>
      </c>
      <c r="F2825" s="2" t="s">
        <v>9010</v>
      </c>
      <c r="G2825" s="2" t="s">
        <v>111</v>
      </c>
      <c r="H2825" s="2" t="s">
        <v>62</v>
      </c>
      <c r="I2825" s="2" t="s">
        <v>46</v>
      </c>
      <c r="J2825" s="2"/>
      <c r="K2825" s="2" t="s">
        <v>39</v>
      </c>
      <c r="L2825" s="2" t="s">
        <v>39</v>
      </c>
      <c r="M2825" s="2" t="s">
        <v>39</v>
      </c>
      <c r="N2825" s="2" t="s">
        <v>39</v>
      </c>
      <c r="O2825" s="2" t="s">
        <v>39</v>
      </c>
      <c r="P2825" s="2" t="s">
        <v>39</v>
      </c>
      <c r="Q2825" s="2" t="s">
        <v>38</v>
      </c>
      <c r="R2825" s="2" t="s">
        <v>38</v>
      </c>
      <c r="S2825" s="2" t="s">
        <v>38</v>
      </c>
      <c r="T2825" s="2" t="s">
        <v>38</v>
      </c>
      <c r="U2825" s="2" t="s">
        <v>39</v>
      </c>
      <c r="V2825" s="2" t="s">
        <v>39</v>
      </c>
      <c r="W2825" s="2" t="s">
        <v>38</v>
      </c>
      <c r="X2825" s="2" t="s">
        <v>39</v>
      </c>
      <c r="Y2825" s="2" t="s">
        <v>39</v>
      </c>
      <c r="Z2825" s="2" t="s">
        <v>39</v>
      </c>
      <c r="AA2825" s="2" t="s">
        <v>39</v>
      </c>
      <c r="AB2825" s="2" t="s">
        <v>39</v>
      </c>
      <c r="AC2825" s="2" t="s">
        <v>38</v>
      </c>
      <c r="AD2825" s="2" t="s">
        <v>39</v>
      </c>
      <c r="AE2825" s="2" t="s">
        <v>39</v>
      </c>
    </row>
    <row r="2826" spans="1:31" ht="409.5">
      <c r="A2826" s="2">
        <v>2709612</v>
      </c>
      <c r="B2826" s="2">
        <f>HYPERLINK("https://platform.v2.vetology.net/cases/2709612/screening-report/1?type=pdf&amp;v=v6&amp;scorecard=1&amp;secret_key=BX%25IJ%24%2F65ieZ%29f6", 2709612)</f>
        <v>2709612</v>
      </c>
      <c r="C2826" s="2">
        <f>HYPERLINK("https://platform.v2.vetology.net/report/v/final/"&amp;2709612, 2709612)</f>
        <v>2709612</v>
      </c>
      <c r="D2826" s="2" t="s">
        <v>9011</v>
      </c>
      <c r="E2826" s="2" t="s">
        <v>9012</v>
      </c>
      <c r="F2826" s="2" t="s">
        <v>43</v>
      </c>
      <c r="G2826" s="2" t="s">
        <v>100</v>
      </c>
      <c r="H2826" s="2" t="s">
        <v>9013</v>
      </c>
      <c r="I2826" s="2" t="s">
        <v>129</v>
      </c>
      <c r="J2826" s="2" t="s">
        <v>74</v>
      </c>
      <c r="K2826" s="2" t="s">
        <v>38</v>
      </c>
      <c r="L2826" s="2" t="s">
        <v>39</v>
      </c>
      <c r="M2826" s="2" t="s">
        <v>38</v>
      </c>
      <c r="N2826" s="2" t="s">
        <v>38</v>
      </c>
      <c r="O2826" s="2" t="s">
        <v>38</v>
      </c>
      <c r="P2826" s="2" t="s">
        <v>38</v>
      </c>
      <c r="Q2826" s="2" t="s">
        <v>38</v>
      </c>
      <c r="R2826" s="2" t="s">
        <v>38</v>
      </c>
      <c r="S2826" s="2" t="s">
        <v>39</v>
      </c>
      <c r="T2826" s="2" t="s">
        <v>38</v>
      </c>
      <c r="U2826" s="2" t="s">
        <v>38</v>
      </c>
      <c r="V2826" s="2" t="s">
        <v>38</v>
      </c>
      <c r="W2826" s="2" t="s">
        <v>38</v>
      </c>
      <c r="X2826" s="2" t="s">
        <v>39</v>
      </c>
      <c r="Y2826" s="2" t="s">
        <v>39</v>
      </c>
      <c r="Z2826" s="2" t="s">
        <v>38</v>
      </c>
      <c r="AA2826" s="2" t="s">
        <v>38</v>
      </c>
      <c r="AB2826" s="2" t="s">
        <v>38</v>
      </c>
      <c r="AC2826" s="2" t="s">
        <v>38</v>
      </c>
      <c r="AD2826" s="2" t="s">
        <v>38</v>
      </c>
      <c r="AE2826" s="2" t="s">
        <v>40</v>
      </c>
    </row>
    <row r="2827" spans="1:31" ht="409.5">
      <c r="A2827" s="2">
        <v>2709597</v>
      </c>
      <c r="B2827" s="2">
        <f>HYPERLINK("https://platform.v2.vetology.net/cases/2709597/screening-report/1?type=pdf&amp;v=v6&amp;scorecard=1&amp;secret_key=BX%25IJ%24%2F65ieZ%29f6", 2709597)</f>
        <v>2709597</v>
      </c>
      <c r="C2827" s="2">
        <f>HYPERLINK("https://platform.v2.vetology.net/report/v/final/"&amp;2709597, 2709597)</f>
        <v>2709597</v>
      </c>
      <c r="D2827" s="2" t="s">
        <v>9014</v>
      </c>
      <c r="E2827" s="2" t="s">
        <v>9015</v>
      </c>
      <c r="F2827" s="2" t="s">
        <v>43</v>
      </c>
      <c r="G2827" s="2" t="s">
        <v>507</v>
      </c>
      <c r="H2827" s="2" t="s">
        <v>9016</v>
      </c>
      <c r="I2827" s="2" t="s">
        <v>73</v>
      </c>
      <c r="J2827" s="2" t="s">
        <v>74</v>
      </c>
      <c r="K2827" s="2" t="s">
        <v>38</v>
      </c>
      <c r="L2827" s="2" t="s">
        <v>38</v>
      </c>
      <c r="M2827" s="2" t="s">
        <v>38</v>
      </c>
      <c r="N2827" s="2" t="s">
        <v>38</v>
      </c>
      <c r="O2827" s="2" t="s">
        <v>38</v>
      </c>
      <c r="P2827" s="2" t="s">
        <v>38</v>
      </c>
      <c r="Q2827" s="2" t="s">
        <v>38</v>
      </c>
      <c r="R2827" s="2" t="s">
        <v>38</v>
      </c>
      <c r="S2827" s="2" t="s">
        <v>38</v>
      </c>
      <c r="T2827" s="2" t="s">
        <v>38</v>
      </c>
      <c r="U2827" s="2" t="s">
        <v>38</v>
      </c>
      <c r="V2827" s="2" t="s">
        <v>38</v>
      </c>
      <c r="W2827" s="2" t="s">
        <v>38</v>
      </c>
      <c r="X2827" s="2" t="s">
        <v>38</v>
      </c>
      <c r="Y2827" s="2" t="s">
        <v>38</v>
      </c>
      <c r="Z2827" s="2" t="s">
        <v>38</v>
      </c>
      <c r="AA2827" s="2" t="s">
        <v>38</v>
      </c>
      <c r="AB2827" s="2" t="s">
        <v>38</v>
      </c>
      <c r="AC2827" s="2" t="s">
        <v>38</v>
      </c>
      <c r="AD2827" s="2" t="s">
        <v>38</v>
      </c>
      <c r="AE2827" s="2" t="s">
        <v>40</v>
      </c>
    </row>
    <row r="2828" spans="1:31" ht="409.5">
      <c r="A2828" s="2">
        <v>2709595</v>
      </c>
      <c r="B2828" s="2">
        <f>HYPERLINK("https://platform.v2.vetology.net/cases/2709595/screening-report/1?type=pdf&amp;v=v6&amp;scorecard=1&amp;secret_key=BX%25IJ%24%2F65ieZ%29f6", 2709595)</f>
        <v>2709595</v>
      </c>
      <c r="C2828" s="2">
        <f>HYPERLINK("https://platform.v2.vetology.net/report/v/final/"&amp;2709595, 2709595)</f>
        <v>2709595</v>
      </c>
      <c r="D2828" s="2" t="s">
        <v>9017</v>
      </c>
      <c r="E2828" s="2" t="s">
        <v>9018</v>
      </c>
      <c r="F2828" s="2" t="s">
        <v>9019</v>
      </c>
      <c r="G2828" s="2" t="s">
        <v>170</v>
      </c>
      <c r="H2828" s="2" t="s">
        <v>9020</v>
      </c>
      <c r="I2828" s="2" t="s">
        <v>129</v>
      </c>
      <c r="J2828" s="2" t="s">
        <v>74</v>
      </c>
      <c r="K2828" s="2" t="s">
        <v>39</v>
      </c>
      <c r="L2828" s="2" t="s">
        <v>38</v>
      </c>
      <c r="M2828" s="2" t="s">
        <v>38</v>
      </c>
      <c r="N2828" s="2" t="s">
        <v>39</v>
      </c>
      <c r="O2828" s="2" t="s">
        <v>38</v>
      </c>
      <c r="P2828" s="2" t="s">
        <v>38</v>
      </c>
      <c r="Q2828" s="2" t="s">
        <v>38</v>
      </c>
      <c r="R2828" s="2" t="s">
        <v>39</v>
      </c>
      <c r="S2828" s="2" t="s">
        <v>38</v>
      </c>
      <c r="T2828" s="2" t="s">
        <v>38</v>
      </c>
      <c r="U2828" s="2" t="s">
        <v>39</v>
      </c>
      <c r="V2828" s="2" t="s">
        <v>39</v>
      </c>
      <c r="W2828" s="2" t="s">
        <v>38</v>
      </c>
      <c r="X2828" s="2" t="s">
        <v>38</v>
      </c>
      <c r="Y2828" s="2" t="s">
        <v>38</v>
      </c>
      <c r="Z2828" s="2" t="s">
        <v>38</v>
      </c>
      <c r="AA2828" s="2" t="s">
        <v>38</v>
      </c>
      <c r="AB2828" s="2" t="s">
        <v>38</v>
      </c>
      <c r="AC2828" s="2" t="s">
        <v>38</v>
      </c>
      <c r="AD2828" s="2" t="s">
        <v>38</v>
      </c>
      <c r="AE2828" s="2" t="s">
        <v>40</v>
      </c>
    </row>
    <row r="2829" spans="1:31" ht="409.5">
      <c r="A2829" s="2">
        <v>2709564</v>
      </c>
      <c r="B2829" s="2">
        <f>HYPERLINK("https://platform.v2.vetology.net/cases/2709564/screening-report/1?type=pdf&amp;v=v6&amp;scorecard=1&amp;secret_key=BX%25IJ%24%2F65ieZ%29f6", 2709564)</f>
        <v>2709564</v>
      </c>
      <c r="C2829" s="2">
        <f>HYPERLINK("https://platform.v2.vetology.net/report/v/final/"&amp;2709564, 2709564)</f>
        <v>2709564</v>
      </c>
      <c r="D2829" s="2" t="s">
        <v>9021</v>
      </c>
      <c r="E2829" s="2" t="s">
        <v>9022</v>
      </c>
      <c r="F2829" s="2" t="s">
        <v>9023</v>
      </c>
      <c r="G2829" s="2" t="s">
        <v>53</v>
      </c>
      <c r="H2829" s="2" t="s">
        <v>9024</v>
      </c>
      <c r="I2829" s="2" t="s">
        <v>73</v>
      </c>
      <c r="J2829" s="2" t="s">
        <v>74</v>
      </c>
      <c r="K2829" s="2" t="s">
        <v>38</v>
      </c>
      <c r="L2829" s="2" t="s">
        <v>38</v>
      </c>
      <c r="M2829" s="2" t="s">
        <v>38</v>
      </c>
      <c r="N2829" s="2" t="s">
        <v>38</v>
      </c>
      <c r="O2829" s="2" t="s">
        <v>38</v>
      </c>
      <c r="P2829" s="2" t="s">
        <v>38</v>
      </c>
      <c r="Q2829" s="2" t="s">
        <v>38</v>
      </c>
      <c r="R2829" s="2" t="s">
        <v>38</v>
      </c>
      <c r="S2829" s="2" t="s">
        <v>38</v>
      </c>
      <c r="T2829" s="2" t="s">
        <v>38</v>
      </c>
      <c r="U2829" s="2" t="s">
        <v>38</v>
      </c>
      <c r="V2829" s="2" t="s">
        <v>38</v>
      </c>
      <c r="W2829" s="2" t="s">
        <v>38</v>
      </c>
      <c r="X2829" s="2" t="s">
        <v>38</v>
      </c>
      <c r="Y2829" s="2" t="s">
        <v>38</v>
      </c>
      <c r="Z2829" s="2" t="s">
        <v>38</v>
      </c>
      <c r="AA2829" s="2" t="s">
        <v>38</v>
      </c>
      <c r="AB2829" s="2" t="s">
        <v>38</v>
      </c>
      <c r="AC2829" s="2" t="s">
        <v>38</v>
      </c>
      <c r="AD2829" s="2" t="s">
        <v>39</v>
      </c>
      <c r="AE2829" s="2" t="s">
        <v>39</v>
      </c>
    </row>
    <row r="2830" spans="1:31" ht="409.5">
      <c r="A2830" s="2">
        <v>2709554</v>
      </c>
      <c r="B2830" s="2">
        <f>HYPERLINK("https://platform.v2.vetology.net/cases/2709554/screening-report/1?type=pdf&amp;v=v6&amp;scorecard=1&amp;secret_key=BX%25IJ%24%2F65ieZ%29f6", 2709554)</f>
        <v>2709554</v>
      </c>
      <c r="C2830" s="2">
        <f>HYPERLINK("https://platform.v2.vetology.net/report/v/final/"&amp;2709554, 2709554)</f>
        <v>2709554</v>
      </c>
      <c r="D2830" s="2" t="s">
        <v>9025</v>
      </c>
      <c r="E2830" s="2" t="s">
        <v>9026</v>
      </c>
      <c r="F2830" s="2" t="s">
        <v>9027</v>
      </c>
      <c r="G2830" s="2" t="s">
        <v>44</v>
      </c>
      <c r="H2830" s="2" t="s">
        <v>801</v>
      </c>
      <c r="I2830" s="2" t="s">
        <v>59</v>
      </c>
      <c r="J2830" s="2" t="s">
        <v>37</v>
      </c>
      <c r="K2830" s="2" t="s">
        <v>38</v>
      </c>
      <c r="L2830" s="2" t="s">
        <v>39</v>
      </c>
      <c r="M2830" s="2" t="s">
        <v>39</v>
      </c>
      <c r="N2830" s="2" t="s">
        <v>39</v>
      </c>
      <c r="O2830" s="2" t="s">
        <v>39</v>
      </c>
      <c r="P2830" s="2" t="s">
        <v>39</v>
      </c>
      <c r="Q2830" s="2" t="s">
        <v>39</v>
      </c>
      <c r="R2830" s="2" t="s">
        <v>38</v>
      </c>
      <c r="S2830" s="2" t="s">
        <v>39</v>
      </c>
      <c r="T2830" s="2" t="s">
        <v>39</v>
      </c>
      <c r="U2830" s="2" t="s">
        <v>38</v>
      </c>
      <c r="V2830" s="2" t="s">
        <v>38</v>
      </c>
      <c r="W2830" s="2" t="s">
        <v>39</v>
      </c>
      <c r="X2830" s="2" t="s">
        <v>39</v>
      </c>
      <c r="Y2830" s="2" t="s">
        <v>39</v>
      </c>
      <c r="Z2830" s="2" t="s">
        <v>39</v>
      </c>
      <c r="AA2830" s="2" t="s">
        <v>39</v>
      </c>
      <c r="AB2830" s="2" t="s">
        <v>38</v>
      </c>
      <c r="AC2830" s="2" t="s">
        <v>38</v>
      </c>
      <c r="AD2830" s="2" t="s">
        <v>38</v>
      </c>
      <c r="AE2830" s="2" t="s">
        <v>39</v>
      </c>
    </row>
    <row r="2831" spans="1:31" ht="409.5">
      <c r="A2831" s="2">
        <v>2709549</v>
      </c>
      <c r="B2831" s="2">
        <f>HYPERLINK("https://platform.v2.vetology.net/cases/2709549/screening-report/1?type=pdf&amp;v=v6&amp;scorecard=1&amp;secret_key=BX%25IJ%24%2F65ieZ%29f6", 2709549)</f>
        <v>2709549</v>
      </c>
      <c r="C2831" s="2">
        <f>HYPERLINK("https://platform.v2.vetology.net/report/v/final/"&amp;2709549, 2709549)</f>
        <v>2709549</v>
      </c>
      <c r="D2831" s="2" t="s">
        <v>9028</v>
      </c>
      <c r="E2831" s="2" t="s">
        <v>9029</v>
      </c>
      <c r="F2831" s="2" t="s">
        <v>9030</v>
      </c>
      <c r="G2831" s="2" t="s">
        <v>127</v>
      </c>
      <c r="H2831" s="2" t="s">
        <v>9031</v>
      </c>
      <c r="I2831" s="2" t="s">
        <v>73</v>
      </c>
      <c r="J2831" s="2" t="s">
        <v>74</v>
      </c>
      <c r="K2831" s="2" t="s">
        <v>38</v>
      </c>
      <c r="L2831" s="2" t="s">
        <v>38</v>
      </c>
      <c r="M2831" s="2" t="s">
        <v>38</v>
      </c>
      <c r="N2831" s="2" t="s">
        <v>38</v>
      </c>
      <c r="O2831" s="2" t="s">
        <v>38</v>
      </c>
      <c r="P2831" s="2" t="s">
        <v>38</v>
      </c>
      <c r="Q2831" s="2" t="s">
        <v>38</v>
      </c>
      <c r="R2831" s="2" t="s">
        <v>39</v>
      </c>
      <c r="S2831" s="2" t="s">
        <v>39</v>
      </c>
      <c r="T2831" s="2" t="s">
        <v>38</v>
      </c>
      <c r="U2831" s="2" t="s">
        <v>38</v>
      </c>
      <c r="V2831" s="2" t="s">
        <v>38</v>
      </c>
      <c r="W2831" s="2" t="s">
        <v>38</v>
      </c>
      <c r="X2831" s="2" t="s">
        <v>38</v>
      </c>
      <c r="Y2831" s="2" t="s">
        <v>39</v>
      </c>
      <c r="Z2831" s="2" t="s">
        <v>38</v>
      </c>
      <c r="AA2831" s="2" t="s">
        <v>38</v>
      </c>
      <c r="AB2831" s="2" t="s">
        <v>38</v>
      </c>
      <c r="AC2831" s="2" t="s">
        <v>38</v>
      </c>
      <c r="AD2831" s="2" t="s">
        <v>38</v>
      </c>
      <c r="AE2831" s="2" t="s">
        <v>40</v>
      </c>
    </row>
    <row r="2832" spans="1:31" ht="409.5">
      <c r="A2832" s="2">
        <v>2709531</v>
      </c>
      <c r="B2832" s="2">
        <f>HYPERLINK("https://platform.v2.vetology.net/cases/2709531/screening-report/1?type=pdf&amp;v=v6&amp;scorecard=1&amp;secret_key=BX%25IJ%24%2F65ieZ%29f6", 2709531)</f>
        <v>2709531</v>
      </c>
      <c r="C2832" s="2">
        <f>HYPERLINK("https://platform.v2.vetology.net/report/v/final/"&amp;2709531, 2709531)</f>
        <v>2709531</v>
      </c>
      <c r="D2832" s="2" t="s">
        <v>9032</v>
      </c>
      <c r="E2832" s="2" t="s">
        <v>9033</v>
      </c>
      <c r="F2832" s="2" t="s">
        <v>9034</v>
      </c>
      <c r="G2832" s="2" t="s">
        <v>507</v>
      </c>
      <c r="H2832" s="2" t="s">
        <v>9035</v>
      </c>
      <c r="I2832" s="2" t="s">
        <v>73</v>
      </c>
      <c r="J2832" s="2" t="s">
        <v>74</v>
      </c>
      <c r="K2832" s="2" t="s">
        <v>38</v>
      </c>
      <c r="L2832" s="2" t="s">
        <v>38</v>
      </c>
      <c r="M2832" s="2" t="s">
        <v>38</v>
      </c>
      <c r="N2832" s="2" t="s">
        <v>38</v>
      </c>
      <c r="O2832" s="2" t="s">
        <v>38</v>
      </c>
      <c r="P2832" s="2" t="s">
        <v>38</v>
      </c>
      <c r="Q2832" s="2" t="s">
        <v>38</v>
      </c>
      <c r="R2832" s="2" t="s">
        <v>39</v>
      </c>
      <c r="S2832" s="2" t="s">
        <v>39</v>
      </c>
      <c r="T2832" s="2" t="s">
        <v>38</v>
      </c>
      <c r="U2832" s="2" t="s">
        <v>38</v>
      </c>
      <c r="V2832" s="2" t="s">
        <v>38</v>
      </c>
      <c r="W2832" s="2" t="s">
        <v>38</v>
      </c>
      <c r="X2832" s="2" t="s">
        <v>38</v>
      </c>
      <c r="Y2832" s="2" t="s">
        <v>39</v>
      </c>
      <c r="Z2832" s="2" t="s">
        <v>38</v>
      </c>
      <c r="AA2832" s="2" t="s">
        <v>38</v>
      </c>
      <c r="AB2832" s="2" t="s">
        <v>38</v>
      </c>
      <c r="AC2832" s="2" t="s">
        <v>38</v>
      </c>
      <c r="AD2832" s="2" t="s">
        <v>38</v>
      </c>
      <c r="AE2832" s="2" t="s">
        <v>40</v>
      </c>
    </row>
    <row r="2833" spans="1:31" ht="409.5">
      <c r="A2833" s="2">
        <v>2709510</v>
      </c>
      <c r="B2833" s="2">
        <f>HYPERLINK("https://platform.v2.vetology.net/cases/2709510/screening-report/1?type=pdf&amp;v=v6&amp;scorecard=1&amp;secret_key=BX%25IJ%24%2F65ieZ%29f6", 2709510)</f>
        <v>2709510</v>
      </c>
      <c r="C2833" s="2">
        <f>HYPERLINK("https://platform.v2.vetology.net/report/v/final/"&amp;2709510, 2709510)</f>
        <v>2709510</v>
      </c>
      <c r="D2833" s="2" t="s">
        <v>9036</v>
      </c>
      <c r="E2833" s="2" t="s">
        <v>9037</v>
      </c>
      <c r="F2833" s="2" t="s">
        <v>43</v>
      </c>
      <c r="G2833" s="2" t="s">
        <v>100</v>
      </c>
      <c r="H2833" s="2" t="s">
        <v>6233</v>
      </c>
      <c r="I2833" s="2" t="s">
        <v>36</v>
      </c>
      <c r="J2833" s="2" t="s">
        <v>37</v>
      </c>
      <c r="K2833" s="2" t="s">
        <v>38</v>
      </c>
      <c r="L2833" s="2" t="s">
        <v>39</v>
      </c>
      <c r="M2833" s="2" t="s">
        <v>38</v>
      </c>
      <c r="N2833" s="2" t="s">
        <v>38</v>
      </c>
      <c r="O2833" s="2" t="s">
        <v>38</v>
      </c>
      <c r="P2833" s="2" t="s">
        <v>39</v>
      </c>
      <c r="Q2833" s="2" t="s">
        <v>39</v>
      </c>
      <c r="R2833" s="2" t="s">
        <v>38</v>
      </c>
      <c r="S2833" s="2" t="s">
        <v>39</v>
      </c>
      <c r="T2833" s="2" t="s">
        <v>38</v>
      </c>
      <c r="U2833" s="2" t="s">
        <v>38</v>
      </c>
      <c r="V2833" s="2" t="s">
        <v>38</v>
      </c>
      <c r="W2833" s="2" t="s">
        <v>38</v>
      </c>
      <c r="X2833" s="2" t="s">
        <v>39</v>
      </c>
      <c r="Y2833" s="2" t="s">
        <v>39</v>
      </c>
      <c r="Z2833" s="2" t="s">
        <v>38</v>
      </c>
      <c r="AA2833" s="2" t="s">
        <v>38</v>
      </c>
      <c r="AB2833" s="2" t="s">
        <v>39</v>
      </c>
      <c r="AC2833" s="2" t="s">
        <v>38</v>
      </c>
      <c r="AD2833" s="2" t="s">
        <v>39</v>
      </c>
      <c r="AE2833" s="2" t="s">
        <v>40</v>
      </c>
    </row>
    <row r="2834" spans="1:31" ht="409.5">
      <c r="A2834" s="2">
        <v>2709458</v>
      </c>
      <c r="B2834" s="2">
        <f>HYPERLINK("https://platform.v2.vetology.net/cases/2709458/screening-report/1?type=pdf&amp;v=v6&amp;scorecard=1&amp;secret_key=BX%25IJ%24%2F65ieZ%29f6", 2709458)</f>
        <v>2709458</v>
      </c>
      <c r="C2834" s="2">
        <f>HYPERLINK("https://platform.v2.vetology.net/report/v/final/"&amp;2709458, 2709458)</f>
        <v>2709458</v>
      </c>
      <c r="D2834" s="2" t="s">
        <v>9038</v>
      </c>
      <c r="E2834" s="2" t="s">
        <v>9039</v>
      </c>
      <c r="F2834" s="2" t="s">
        <v>9040</v>
      </c>
      <c r="G2834" s="2" t="s">
        <v>34</v>
      </c>
      <c r="H2834" s="2" t="s">
        <v>3951</v>
      </c>
      <c r="I2834" s="2" t="s">
        <v>36</v>
      </c>
      <c r="J2834" s="2" t="s">
        <v>37</v>
      </c>
      <c r="K2834" s="2" t="s">
        <v>38</v>
      </c>
      <c r="L2834" s="2" t="s">
        <v>39</v>
      </c>
      <c r="M2834" s="2" t="s">
        <v>38</v>
      </c>
      <c r="N2834" s="2" t="s">
        <v>38</v>
      </c>
      <c r="O2834" s="2" t="s">
        <v>39</v>
      </c>
      <c r="P2834" s="2" t="s">
        <v>39</v>
      </c>
      <c r="Q2834" s="2" t="s">
        <v>39</v>
      </c>
      <c r="R2834" s="2" t="s">
        <v>39</v>
      </c>
      <c r="S2834" s="2" t="s">
        <v>39</v>
      </c>
      <c r="T2834" s="2" t="s">
        <v>39</v>
      </c>
      <c r="U2834" s="2" t="s">
        <v>38</v>
      </c>
      <c r="V2834" s="2" t="s">
        <v>38</v>
      </c>
      <c r="W2834" s="2" t="s">
        <v>38</v>
      </c>
      <c r="X2834" s="2" t="s">
        <v>39</v>
      </c>
      <c r="Y2834" s="2" t="s">
        <v>39</v>
      </c>
      <c r="Z2834" s="2" t="s">
        <v>38</v>
      </c>
      <c r="AA2834" s="2" t="s">
        <v>39</v>
      </c>
      <c r="AB2834" s="2" t="s">
        <v>39</v>
      </c>
      <c r="AC2834" s="2" t="s">
        <v>38</v>
      </c>
      <c r="AD2834" s="2" t="s">
        <v>39</v>
      </c>
      <c r="AE2834" s="2" t="s">
        <v>39</v>
      </c>
    </row>
    <row r="2835" spans="1:31" ht="409.5">
      <c r="A2835" s="2">
        <v>2709443</v>
      </c>
      <c r="B2835" s="2">
        <f>HYPERLINK("https://platform.v2.vetology.net/cases/2709443/screening-report/1?type=pdf&amp;v=v6&amp;scorecard=1&amp;secret_key=BX%25IJ%24%2F65ieZ%29f6", 2709443)</f>
        <v>2709443</v>
      </c>
      <c r="C2835" s="2">
        <f>HYPERLINK("https://platform.v2.vetology.net/report/v/final/"&amp;2709443, 2709443)</f>
        <v>2709443</v>
      </c>
      <c r="D2835" s="2" t="s">
        <v>9041</v>
      </c>
      <c r="E2835" s="2" t="s">
        <v>9042</v>
      </c>
      <c r="F2835" s="2" t="s">
        <v>9043</v>
      </c>
      <c r="G2835" s="2" t="s">
        <v>53</v>
      </c>
      <c r="H2835" s="2" t="s">
        <v>9044</v>
      </c>
      <c r="I2835" s="2" t="s">
        <v>73</v>
      </c>
      <c r="J2835" s="2" t="s">
        <v>74</v>
      </c>
      <c r="K2835" s="2" t="s">
        <v>38</v>
      </c>
      <c r="L2835" s="2" t="s">
        <v>38</v>
      </c>
      <c r="M2835" s="2" t="s">
        <v>38</v>
      </c>
      <c r="N2835" s="2" t="s">
        <v>38</v>
      </c>
      <c r="O2835" s="2" t="s">
        <v>38</v>
      </c>
      <c r="P2835" s="2" t="s">
        <v>38</v>
      </c>
      <c r="Q2835" s="2" t="s">
        <v>38</v>
      </c>
      <c r="R2835" s="2" t="s">
        <v>38</v>
      </c>
      <c r="S2835" s="2" t="s">
        <v>38</v>
      </c>
      <c r="T2835" s="2" t="s">
        <v>38</v>
      </c>
      <c r="U2835" s="2" t="s">
        <v>38</v>
      </c>
      <c r="V2835" s="2" t="s">
        <v>38</v>
      </c>
      <c r="W2835" s="2" t="s">
        <v>38</v>
      </c>
      <c r="X2835" s="2" t="s">
        <v>38</v>
      </c>
      <c r="Y2835" s="2" t="s">
        <v>39</v>
      </c>
      <c r="Z2835" s="2" t="s">
        <v>38</v>
      </c>
      <c r="AA2835" s="2" t="s">
        <v>38</v>
      </c>
      <c r="AB2835" s="2" t="s">
        <v>38</v>
      </c>
      <c r="AC2835" s="2" t="s">
        <v>38</v>
      </c>
      <c r="AD2835" s="2" t="s">
        <v>39</v>
      </c>
      <c r="AE2835" s="2" t="s">
        <v>40</v>
      </c>
    </row>
    <row r="2836" spans="1:31" ht="409.5">
      <c r="A2836" s="2">
        <v>2709434</v>
      </c>
      <c r="B2836" s="2">
        <f>HYPERLINK("https://platform.v2.vetology.net/cases/2709434/screening-report/1?type=pdf&amp;v=v6&amp;scorecard=1&amp;secret_key=BX%25IJ%24%2F65ieZ%29f6", 2709434)</f>
        <v>2709434</v>
      </c>
      <c r="C2836" s="2">
        <f>HYPERLINK("https://platform.v2.vetology.net/report/v/final/"&amp;2709434, 2709434)</f>
        <v>2709434</v>
      </c>
      <c r="D2836" s="2" t="s">
        <v>9045</v>
      </c>
      <c r="E2836" s="2" t="s">
        <v>9046</v>
      </c>
      <c r="F2836" s="2" t="s">
        <v>9047</v>
      </c>
      <c r="G2836" s="2" t="s">
        <v>170</v>
      </c>
      <c r="H2836" s="2" t="s">
        <v>69</v>
      </c>
      <c r="I2836" s="2" t="s">
        <v>46</v>
      </c>
      <c r="J2836" s="2"/>
      <c r="K2836" s="2" t="s">
        <v>39</v>
      </c>
      <c r="L2836" s="2" t="s">
        <v>39</v>
      </c>
      <c r="M2836" s="2" t="s">
        <v>39</v>
      </c>
      <c r="N2836" s="2" t="s">
        <v>39</v>
      </c>
      <c r="O2836" s="2" t="s">
        <v>39</v>
      </c>
      <c r="P2836" s="2" t="s">
        <v>39</v>
      </c>
      <c r="Q2836" s="2" t="s">
        <v>39</v>
      </c>
      <c r="R2836" s="2" t="s">
        <v>39</v>
      </c>
      <c r="S2836" s="2" t="s">
        <v>39</v>
      </c>
      <c r="T2836" s="2" t="s">
        <v>39</v>
      </c>
      <c r="U2836" s="2" t="s">
        <v>39</v>
      </c>
      <c r="V2836" s="2" t="s">
        <v>39</v>
      </c>
      <c r="W2836" s="2" t="s">
        <v>39</v>
      </c>
      <c r="X2836" s="2" t="s">
        <v>39</v>
      </c>
      <c r="Y2836" s="2" t="s">
        <v>39</v>
      </c>
      <c r="Z2836" s="2" t="s">
        <v>39</v>
      </c>
      <c r="AA2836" s="2" t="s">
        <v>39</v>
      </c>
      <c r="AB2836" s="2" t="s">
        <v>39</v>
      </c>
      <c r="AC2836" s="2" t="s">
        <v>39</v>
      </c>
      <c r="AD2836" s="2" t="s">
        <v>38</v>
      </c>
      <c r="AE2836" s="2"/>
    </row>
    <row r="2837" spans="1:31" ht="409.5">
      <c r="A2837" s="2">
        <v>2709427</v>
      </c>
      <c r="B2837" s="2">
        <f>HYPERLINK("https://platform.v2.vetology.net/cases/2709427/screening-report/1?type=pdf&amp;v=v6&amp;scorecard=1&amp;secret_key=BX%25IJ%24%2F65ieZ%29f6", 2709427)</f>
        <v>2709427</v>
      </c>
      <c r="C2837" s="2">
        <f>HYPERLINK("https://platform.v2.vetology.net/report/v/final/"&amp;2709427, 2709427)</f>
        <v>2709427</v>
      </c>
      <c r="D2837" s="2" t="s">
        <v>9048</v>
      </c>
      <c r="E2837" s="2" t="s">
        <v>9049</v>
      </c>
      <c r="F2837" s="2" t="s">
        <v>9050</v>
      </c>
      <c r="G2837" s="2" t="s">
        <v>127</v>
      </c>
      <c r="H2837" s="2" t="s">
        <v>69</v>
      </c>
      <c r="I2837" s="2" t="s">
        <v>46</v>
      </c>
      <c r="J2837" s="2"/>
      <c r="K2837" s="2" t="s">
        <v>39</v>
      </c>
      <c r="L2837" s="2" t="s">
        <v>39</v>
      </c>
      <c r="M2837" s="2" t="s">
        <v>39</v>
      </c>
      <c r="N2837" s="2" t="s">
        <v>39</v>
      </c>
      <c r="O2837" s="2" t="s">
        <v>39</v>
      </c>
      <c r="P2837" s="2" t="s">
        <v>39</v>
      </c>
      <c r="Q2837" s="2" t="s">
        <v>39</v>
      </c>
      <c r="R2837" s="2" t="s">
        <v>39</v>
      </c>
      <c r="S2837" s="2" t="s">
        <v>39</v>
      </c>
      <c r="T2837" s="2" t="s">
        <v>39</v>
      </c>
      <c r="U2837" s="2" t="s">
        <v>39</v>
      </c>
      <c r="V2837" s="2" t="s">
        <v>39</v>
      </c>
      <c r="W2837" s="2" t="s">
        <v>39</v>
      </c>
      <c r="X2837" s="2" t="s">
        <v>39</v>
      </c>
      <c r="Y2837" s="2" t="s">
        <v>39</v>
      </c>
      <c r="Z2837" s="2" t="s">
        <v>39</v>
      </c>
      <c r="AA2837" s="2" t="s">
        <v>39</v>
      </c>
      <c r="AB2837" s="2" t="s">
        <v>39</v>
      </c>
      <c r="AC2837" s="2" t="s">
        <v>38</v>
      </c>
      <c r="AD2837" s="2" t="s">
        <v>39</v>
      </c>
      <c r="AE2837" s="2" t="s">
        <v>39</v>
      </c>
    </row>
    <row r="2838" spans="1:31" ht="409.5">
      <c r="A2838" s="2">
        <v>2709419</v>
      </c>
      <c r="B2838" s="2">
        <f>HYPERLINK("https://platform.v2.vetology.net/cases/2709419/screening-report/1?type=pdf&amp;v=v6&amp;scorecard=1&amp;secret_key=BX%25IJ%24%2F65ieZ%29f6", 2709419)</f>
        <v>2709419</v>
      </c>
      <c r="C2838" s="2">
        <f>HYPERLINK("https://platform.v2.vetology.net/report/v/final/"&amp;2709419, 2709419)</f>
        <v>2709419</v>
      </c>
      <c r="D2838" s="2" t="s">
        <v>9051</v>
      </c>
      <c r="E2838" s="2" t="s">
        <v>9052</v>
      </c>
      <c r="F2838" s="2" t="s">
        <v>9053</v>
      </c>
      <c r="G2838" s="2" t="s">
        <v>53</v>
      </c>
      <c r="H2838" s="2" t="s">
        <v>3908</v>
      </c>
      <c r="I2838" s="2" t="s">
        <v>36</v>
      </c>
      <c r="J2838" s="2" t="s">
        <v>37</v>
      </c>
      <c r="K2838" s="2" t="s">
        <v>38</v>
      </c>
      <c r="L2838" s="2" t="s">
        <v>38</v>
      </c>
      <c r="M2838" s="2" t="s">
        <v>38</v>
      </c>
      <c r="N2838" s="2" t="s">
        <v>38</v>
      </c>
      <c r="O2838" s="2" t="s">
        <v>38</v>
      </c>
      <c r="P2838" s="2" t="s">
        <v>38</v>
      </c>
      <c r="Q2838" s="2" t="s">
        <v>39</v>
      </c>
      <c r="R2838" s="2" t="s">
        <v>39</v>
      </c>
      <c r="S2838" s="2" t="s">
        <v>38</v>
      </c>
      <c r="T2838" s="2" t="s">
        <v>39</v>
      </c>
      <c r="U2838" s="2" t="s">
        <v>38</v>
      </c>
      <c r="V2838" s="2" t="s">
        <v>38</v>
      </c>
      <c r="W2838" s="2" t="s">
        <v>38</v>
      </c>
      <c r="X2838" s="2" t="s">
        <v>38</v>
      </c>
      <c r="Y2838" s="2" t="s">
        <v>39</v>
      </c>
      <c r="Z2838" s="2" t="s">
        <v>38</v>
      </c>
      <c r="AA2838" s="2" t="s">
        <v>38</v>
      </c>
      <c r="AB2838" s="2" t="s">
        <v>39</v>
      </c>
      <c r="AC2838" s="2" t="s">
        <v>38</v>
      </c>
      <c r="AD2838" s="2" t="s">
        <v>38</v>
      </c>
      <c r="AE2838" s="2" t="s">
        <v>40</v>
      </c>
    </row>
    <row r="2839" spans="1:31" ht="409.5">
      <c r="A2839" s="2">
        <v>2709383</v>
      </c>
      <c r="B2839" s="2">
        <f>HYPERLINK("https://platform.v2.vetology.net/cases/2709383/screening-report/1?type=pdf&amp;v=v6&amp;scorecard=1&amp;secret_key=BX%25IJ%24%2F65ieZ%29f6", 2709383)</f>
        <v>2709383</v>
      </c>
      <c r="C2839" s="2">
        <f>HYPERLINK("https://platform.v2.vetology.net/report/v/final/"&amp;2709383, 2709383)</f>
        <v>2709383</v>
      </c>
      <c r="D2839" s="2" t="s">
        <v>9054</v>
      </c>
      <c r="E2839" s="2" t="s">
        <v>9055</v>
      </c>
      <c r="F2839" s="2" t="s">
        <v>9056</v>
      </c>
      <c r="G2839" s="2" t="s">
        <v>170</v>
      </c>
      <c r="H2839" s="2" t="s">
        <v>9057</v>
      </c>
      <c r="I2839" s="2" t="s">
        <v>36</v>
      </c>
      <c r="J2839" s="2" t="s">
        <v>37</v>
      </c>
      <c r="K2839" s="2" t="s">
        <v>38</v>
      </c>
      <c r="L2839" s="2" t="s">
        <v>38</v>
      </c>
      <c r="M2839" s="2" t="s">
        <v>38</v>
      </c>
      <c r="N2839" s="2" t="s">
        <v>38</v>
      </c>
      <c r="O2839" s="2" t="s">
        <v>38</v>
      </c>
      <c r="P2839" s="2" t="s">
        <v>38</v>
      </c>
      <c r="Q2839" s="2" t="s">
        <v>39</v>
      </c>
      <c r="R2839" s="2" t="s">
        <v>38</v>
      </c>
      <c r="S2839" s="2" t="s">
        <v>38</v>
      </c>
      <c r="T2839" s="2" t="s">
        <v>38</v>
      </c>
      <c r="U2839" s="2" t="s">
        <v>38</v>
      </c>
      <c r="V2839" s="2" t="s">
        <v>38</v>
      </c>
      <c r="W2839" s="2" t="s">
        <v>38</v>
      </c>
      <c r="X2839" s="2" t="s">
        <v>39</v>
      </c>
      <c r="Y2839" s="2" t="s">
        <v>39</v>
      </c>
      <c r="Z2839" s="2" t="s">
        <v>38</v>
      </c>
      <c r="AA2839" s="2" t="s">
        <v>38</v>
      </c>
      <c r="AB2839" s="2" t="s">
        <v>39</v>
      </c>
      <c r="AC2839" s="2" t="s">
        <v>38</v>
      </c>
      <c r="AD2839" s="2" t="s">
        <v>38</v>
      </c>
      <c r="AE2839" s="2" t="s">
        <v>40</v>
      </c>
    </row>
    <row r="2840" spans="1:31" ht="409.5">
      <c r="A2840" s="2">
        <v>2709380</v>
      </c>
      <c r="B2840" s="2">
        <f>HYPERLINK("https://platform.v2.vetology.net/cases/2709380/screening-report/1?type=pdf&amp;v=v6&amp;scorecard=1&amp;secret_key=BX%25IJ%24%2F65ieZ%29f6", 2709380)</f>
        <v>2709380</v>
      </c>
      <c r="C2840" s="2">
        <f>HYPERLINK("https://platform.v2.vetology.net/report/v/final/"&amp;2709380, 2709380)</f>
        <v>2709380</v>
      </c>
      <c r="D2840" s="2" t="s">
        <v>9058</v>
      </c>
      <c r="E2840" s="2" t="s">
        <v>9059</v>
      </c>
      <c r="F2840" s="2" t="s">
        <v>9060</v>
      </c>
      <c r="G2840" s="2" t="s">
        <v>53</v>
      </c>
      <c r="H2840" s="2" t="s">
        <v>9061</v>
      </c>
      <c r="I2840" s="2" t="s">
        <v>73</v>
      </c>
      <c r="J2840" s="2" t="s">
        <v>74</v>
      </c>
      <c r="K2840" s="2" t="s">
        <v>38</v>
      </c>
      <c r="L2840" s="2" t="s">
        <v>39</v>
      </c>
      <c r="M2840" s="2" t="s">
        <v>38</v>
      </c>
      <c r="N2840" s="2" t="s">
        <v>38</v>
      </c>
      <c r="O2840" s="2" t="s">
        <v>39</v>
      </c>
      <c r="P2840" s="2" t="s">
        <v>38</v>
      </c>
      <c r="Q2840" s="2" t="s">
        <v>38</v>
      </c>
      <c r="R2840" s="2" t="s">
        <v>39</v>
      </c>
      <c r="S2840" s="2" t="s">
        <v>39</v>
      </c>
      <c r="T2840" s="2" t="s">
        <v>38</v>
      </c>
      <c r="U2840" s="2" t="s">
        <v>39</v>
      </c>
      <c r="V2840" s="2" t="s">
        <v>38</v>
      </c>
      <c r="W2840" s="2" t="s">
        <v>38</v>
      </c>
      <c r="X2840" s="2" t="s">
        <v>38</v>
      </c>
      <c r="Y2840" s="2" t="s">
        <v>39</v>
      </c>
      <c r="Z2840" s="2" t="s">
        <v>38</v>
      </c>
      <c r="AA2840" s="2" t="s">
        <v>38</v>
      </c>
      <c r="AB2840" s="2" t="s">
        <v>38</v>
      </c>
      <c r="AC2840" s="2" t="s">
        <v>38</v>
      </c>
      <c r="AD2840" s="2" t="s">
        <v>39</v>
      </c>
      <c r="AE2840" s="2" t="s">
        <v>39</v>
      </c>
    </row>
    <row r="2841" spans="1:31" ht="409.5">
      <c r="A2841" s="2">
        <v>2709347</v>
      </c>
      <c r="B2841" s="2">
        <f>HYPERLINK("https://platform.v2.vetology.net/cases/2709347/screening-report/1?type=pdf&amp;v=v6&amp;scorecard=1&amp;secret_key=BX%25IJ%24%2F65ieZ%29f6", 2709347)</f>
        <v>2709347</v>
      </c>
      <c r="C2841" s="2">
        <f>HYPERLINK("https://platform.v2.vetology.net/report/v/final/"&amp;2709347, 2709347)</f>
        <v>2709347</v>
      </c>
      <c r="D2841" s="2" t="s">
        <v>9062</v>
      </c>
      <c r="E2841" s="2" t="s">
        <v>9063</v>
      </c>
      <c r="F2841" s="2"/>
      <c r="G2841" s="2" t="s">
        <v>81</v>
      </c>
      <c r="H2841" s="2" t="s">
        <v>9064</v>
      </c>
      <c r="I2841" s="2" t="s">
        <v>73</v>
      </c>
      <c r="J2841" s="2" t="s">
        <v>74</v>
      </c>
      <c r="K2841" s="2" t="s">
        <v>38</v>
      </c>
      <c r="L2841" s="2" t="s">
        <v>38</v>
      </c>
      <c r="M2841" s="2" t="s">
        <v>38</v>
      </c>
      <c r="N2841" s="2" t="s">
        <v>38</v>
      </c>
      <c r="O2841" s="2" t="s">
        <v>38</v>
      </c>
      <c r="P2841" s="2" t="s">
        <v>38</v>
      </c>
      <c r="Q2841" s="2" t="s">
        <v>38</v>
      </c>
      <c r="R2841" s="2" t="s">
        <v>38</v>
      </c>
      <c r="S2841" s="2" t="s">
        <v>38</v>
      </c>
      <c r="T2841" s="2" t="s">
        <v>38</v>
      </c>
      <c r="U2841" s="2" t="s">
        <v>38</v>
      </c>
      <c r="V2841" s="2" t="s">
        <v>38</v>
      </c>
      <c r="W2841" s="2" t="s">
        <v>38</v>
      </c>
      <c r="X2841" s="2" t="s">
        <v>38</v>
      </c>
      <c r="Y2841" s="2" t="s">
        <v>38</v>
      </c>
      <c r="Z2841" s="2" t="s">
        <v>38</v>
      </c>
      <c r="AA2841" s="2" t="s">
        <v>38</v>
      </c>
      <c r="AB2841" s="2" t="s">
        <v>38</v>
      </c>
      <c r="AC2841" s="2" t="s">
        <v>38</v>
      </c>
      <c r="AD2841" s="2" t="s">
        <v>38</v>
      </c>
      <c r="AE2841" s="2" t="s">
        <v>39</v>
      </c>
    </row>
    <row r="2842" spans="1:31" ht="409.5">
      <c r="A2842" s="2">
        <v>2709343</v>
      </c>
      <c r="B2842" s="2">
        <f>HYPERLINK("https://platform.v2.vetology.net/cases/2709343/screening-report/1?type=pdf&amp;v=v6&amp;scorecard=1&amp;secret_key=BX%25IJ%24%2F65ieZ%29f6", 2709343)</f>
        <v>2709343</v>
      </c>
      <c r="C2842" s="2">
        <f>HYPERLINK("https://platform.v2.vetology.net/report/v/final/"&amp;2709343, 2709343)</f>
        <v>2709343</v>
      </c>
      <c r="D2842" s="2" t="s">
        <v>9065</v>
      </c>
      <c r="E2842" s="2" t="s">
        <v>9066</v>
      </c>
      <c r="F2842" s="2"/>
      <c r="G2842" s="2" t="s">
        <v>81</v>
      </c>
      <c r="H2842" s="2" t="s">
        <v>9067</v>
      </c>
      <c r="I2842" s="2" t="s">
        <v>36</v>
      </c>
      <c r="J2842" s="2" t="s">
        <v>37</v>
      </c>
      <c r="K2842" s="2" t="s">
        <v>39</v>
      </c>
      <c r="L2842" s="2" t="s">
        <v>39</v>
      </c>
      <c r="M2842" s="2" t="s">
        <v>38</v>
      </c>
      <c r="N2842" s="2" t="s">
        <v>38</v>
      </c>
      <c r="O2842" s="2" t="s">
        <v>38</v>
      </c>
      <c r="P2842" s="2" t="s">
        <v>39</v>
      </c>
      <c r="Q2842" s="2" t="s">
        <v>39</v>
      </c>
      <c r="R2842" s="2" t="s">
        <v>38</v>
      </c>
      <c r="S2842" s="2" t="s">
        <v>38</v>
      </c>
      <c r="T2842" s="2" t="s">
        <v>38</v>
      </c>
      <c r="U2842" s="2" t="s">
        <v>39</v>
      </c>
      <c r="V2842" s="2" t="s">
        <v>38</v>
      </c>
      <c r="W2842" s="2" t="s">
        <v>38</v>
      </c>
      <c r="X2842" s="2" t="s">
        <v>39</v>
      </c>
      <c r="Y2842" s="2" t="s">
        <v>39</v>
      </c>
      <c r="Z2842" s="2" t="s">
        <v>38</v>
      </c>
      <c r="AA2842" s="2" t="s">
        <v>38</v>
      </c>
      <c r="AB2842" s="2" t="s">
        <v>39</v>
      </c>
      <c r="AC2842" s="2" t="s">
        <v>38</v>
      </c>
      <c r="AD2842" s="2" t="s">
        <v>38</v>
      </c>
      <c r="AE2842" s="2" t="s">
        <v>40</v>
      </c>
    </row>
    <row r="2843" spans="1:31" ht="409.5">
      <c r="A2843" s="2">
        <v>2709340</v>
      </c>
      <c r="B2843" s="2">
        <f>HYPERLINK("https://platform.v2.vetology.net/cases/2709340/screening-report/1?type=pdf&amp;v=v6&amp;scorecard=1&amp;secret_key=BX%25IJ%24%2F65ieZ%29f6", 2709340)</f>
        <v>2709340</v>
      </c>
      <c r="C2843" s="2">
        <f>HYPERLINK("https://platform.v2.vetology.net/report/v/final/"&amp;2709340, 2709340)</f>
        <v>2709340</v>
      </c>
      <c r="D2843" s="2" t="s">
        <v>9068</v>
      </c>
      <c r="E2843" s="2" t="s">
        <v>9069</v>
      </c>
      <c r="F2843" s="2" t="s">
        <v>9070</v>
      </c>
      <c r="G2843" s="2" t="s">
        <v>53</v>
      </c>
      <c r="H2843" s="2" t="s">
        <v>69</v>
      </c>
      <c r="I2843" s="2" t="s">
        <v>46</v>
      </c>
      <c r="J2843" s="2"/>
      <c r="K2843" s="2" t="s">
        <v>39</v>
      </c>
      <c r="L2843" s="2" t="s">
        <v>39</v>
      </c>
      <c r="M2843" s="2" t="s">
        <v>39</v>
      </c>
      <c r="N2843" s="2" t="s">
        <v>39</v>
      </c>
      <c r="O2843" s="2" t="s">
        <v>39</v>
      </c>
      <c r="P2843" s="2" t="s">
        <v>39</v>
      </c>
      <c r="Q2843" s="2" t="s">
        <v>39</v>
      </c>
      <c r="R2843" s="2" t="s">
        <v>39</v>
      </c>
      <c r="S2843" s="2" t="s">
        <v>39</v>
      </c>
      <c r="T2843" s="2" t="s">
        <v>39</v>
      </c>
      <c r="U2843" s="2" t="s">
        <v>39</v>
      </c>
      <c r="V2843" s="2" t="s">
        <v>39</v>
      </c>
      <c r="W2843" s="2" t="s">
        <v>39</v>
      </c>
      <c r="X2843" s="2" t="s">
        <v>39</v>
      </c>
      <c r="Y2843" s="2" t="s">
        <v>39</v>
      </c>
      <c r="Z2843" s="2" t="s">
        <v>39</v>
      </c>
      <c r="AA2843" s="2" t="s">
        <v>39</v>
      </c>
      <c r="AB2843" s="2" t="s">
        <v>39</v>
      </c>
      <c r="AC2843" s="2" t="s">
        <v>39</v>
      </c>
      <c r="AD2843" s="2" t="s">
        <v>39</v>
      </c>
      <c r="AE2843" s="2" t="s">
        <v>39</v>
      </c>
    </row>
    <row r="2844" spans="1:31" ht="409.5">
      <c r="A2844" s="2">
        <v>2709332</v>
      </c>
      <c r="B2844" s="2">
        <f>HYPERLINK("https://platform.v2.vetology.net/cases/2709332/screening-report/1?type=pdf&amp;v=v6&amp;scorecard=1&amp;secret_key=BX%25IJ%24%2F65ieZ%29f6", 2709332)</f>
        <v>2709332</v>
      </c>
      <c r="C2844" s="2">
        <f>HYPERLINK("https://platform.v2.vetology.net/report/v/final/"&amp;2709332, 2709332)</f>
        <v>2709332</v>
      </c>
      <c r="D2844" s="2" t="s">
        <v>853</v>
      </c>
      <c r="E2844" s="2" t="s">
        <v>854</v>
      </c>
      <c r="F2844" s="2" t="s">
        <v>9071</v>
      </c>
      <c r="G2844" s="2" t="s">
        <v>111</v>
      </c>
      <c r="H2844" s="2" t="s">
        <v>3465</v>
      </c>
      <c r="I2844" s="2" t="s">
        <v>59</v>
      </c>
      <c r="J2844" s="2" t="s">
        <v>37</v>
      </c>
      <c r="K2844" s="2" t="s">
        <v>39</v>
      </c>
      <c r="L2844" s="2" t="s">
        <v>39</v>
      </c>
      <c r="M2844" s="2" t="s">
        <v>39</v>
      </c>
      <c r="N2844" s="2" t="s">
        <v>38</v>
      </c>
      <c r="O2844" s="2" t="s">
        <v>38</v>
      </c>
      <c r="P2844" s="2" t="s">
        <v>39</v>
      </c>
      <c r="Q2844" s="2" t="s">
        <v>39</v>
      </c>
      <c r="R2844" s="2" t="s">
        <v>38</v>
      </c>
      <c r="S2844" s="2" t="s">
        <v>38</v>
      </c>
      <c r="T2844" s="2" t="s">
        <v>39</v>
      </c>
      <c r="U2844" s="2" t="s">
        <v>39</v>
      </c>
      <c r="V2844" s="2" t="s">
        <v>39</v>
      </c>
      <c r="W2844" s="2" t="s">
        <v>39</v>
      </c>
      <c r="X2844" s="2" t="s">
        <v>39</v>
      </c>
      <c r="Y2844" s="2" t="s">
        <v>39</v>
      </c>
      <c r="Z2844" s="2" t="s">
        <v>38</v>
      </c>
      <c r="AA2844" s="2" t="s">
        <v>39</v>
      </c>
      <c r="AB2844" s="2" t="s">
        <v>38</v>
      </c>
      <c r="AC2844" s="2" t="s">
        <v>38</v>
      </c>
      <c r="AD2844" s="2" t="s">
        <v>38</v>
      </c>
      <c r="AE2844" s="2" t="s">
        <v>39</v>
      </c>
    </row>
    <row r="2845" spans="1:31" ht="409.5">
      <c r="A2845" s="2">
        <v>2709240</v>
      </c>
      <c r="B2845" s="2">
        <f>HYPERLINK("https://platform.v2.vetology.net/cases/2709240/screening-report/1?type=pdf&amp;v=v6&amp;scorecard=1&amp;secret_key=BX%25IJ%24%2F65ieZ%29f6", 2709240)</f>
        <v>2709240</v>
      </c>
      <c r="C2845" s="2">
        <f>HYPERLINK("https://platform.v2.vetology.net/report/v/final/"&amp;2709240, 2709240)</f>
        <v>2709240</v>
      </c>
      <c r="D2845" s="2" t="s">
        <v>9072</v>
      </c>
      <c r="E2845" s="2" t="s">
        <v>9073</v>
      </c>
      <c r="F2845" s="2" t="s">
        <v>9074</v>
      </c>
      <c r="G2845" s="2" t="s">
        <v>251</v>
      </c>
      <c r="H2845" s="2" t="s">
        <v>9075</v>
      </c>
      <c r="I2845" s="2" t="s">
        <v>36</v>
      </c>
      <c r="J2845" s="2" t="s">
        <v>37</v>
      </c>
      <c r="K2845" s="2" t="s">
        <v>39</v>
      </c>
      <c r="L2845" s="2" t="s">
        <v>38</v>
      </c>
      <c r="M2845" s="2" t="s">
        <v>38</v>
      </c>
      <c r="N2845" s="2" t="s">
        <v>38</v>
      </c>
      <c r="O2845" s="2" t="s">
        <v>38</v>
      </c>
      <c r="P2845" s="2" t="s">
        <v>38</v>
      </c>
      <c r="Q2845" s="2" t="s">
        <v>39</v>
      </c>
      <c r="R2845" s="2" t="s">
        <v>38</v>
      </c>
      <c r="S2845" s="2" t="s">
        <v>38</v>
      </c>
      <c r="T2845" s="2" t="s">
        <v>39</v>
      </c>
      <c r="U2845" s="2" t="s">
        <v>39</v>
      </c>
      <c r="V2845" s="2" t="s">
        <v>39</v>
      </c>
      <c r="W2845" s="2" t="s">
        <v>38</v>
      </c>
      <c r="X2845" s="2" t="s">
        <v>39</v>
      </c>
      <c r="Y2845" s="2" t="s">
        <v>39</v>
      </c>
      <c r="Z2845" s="2" t="s">
        <v>38</v>
      </c>
      <c r="AA2845" s="2" t="s">
        <v>38</v>
      </c>
      <c r="AB2845" s="2" t="s">
        <v>39</v>
      </c>
      <c r="AC2845" s="2" t="s">
        <v>38</v>
      </c>
      <c r="AD2845" s="2" t="s">
        <v>38</v>
      </c>
      <c r="AE2845" s="2" t="s">
        <v>39</v>
      </c>
    </row>
    <row r="2846" spans="1:31" ht="409.5">
      <c r="A2846" s="2">
        <v>2709224</v>
      </c>
      <c r="B2846" s="2">
        <f>HYPERLINK("https://platform.v2.vetology.net/cases/2709224/screening-report/1?type=pdf&amp;v=v6&amp;scorecard=1&amp;secret_key=BX%25IJ%24%2F65ieZ%29f6", 2709224)</f>
        <v>2709224</v>
      </c>
      <c r="C2846" s="2">
        <f>HYPERLINK("https://platform.v2.vetology.net/report/v/final/"&amp;2709224, 2709224)</f>
        <v>2709224</v>
      </c>
      <c r="D2846" s="2" t="s">
        <v>9076</v>
      </c>
      <c r="E2846" s="2" t="s">
        <v>9077</v>
      </c>
      <c r="F2846" s="2" t="s">
        <v>9078</v>
      </c>
      <c r="G2846" s="2" t="s">
        <v>111</v>
      </c>
      <c r="H2846" s="2" t="s">
        <v>411</v>
      </c>
      <c r="I2846" s="2" t="s">
        <v>73</v>
      </c>
      <c r="J2846" s="2" t="s">
        <v>74</v>
      </c>
      <c r="K2846" s="2" t="s">
        <v>38</v>
      </c>
      <c r="L2846" s="2" t="s">
        <v>38</v>
      </c>
      <c r="M2846" s="2" t="s">
        <v>38</v>
      </c>
      <c r="N2846" s="2" t="s">
        <v>38</v>
      </c>
      <c r="O2846" s="2" t="s">
        <v>38</v>
      </c>
      <c r="P2846" s="2" t="s">
        <v>38</v>
      </c>
      <c r="Q2846" s="2" t="s">
        <v>38</v>
      </c>
      <c r="R2846" s="2" t="s">
        <v>38</v>
      </c>
      <c r="S2846" s="2" t="s">
        <v>38</v>
      </c>
      <c r="T2846" s="2" t="s">
        <v>38</v>
      </c>
      <c r="U2846" s="2" t="s">
        <v>38</v>
      </c>
      <c r="V2846" s="2" t="s">
        <v>38</v>
      </c>
      <c r="W2846" s="2" t="s">
        <v>38</v>
      </c>
      <c r="X2846" s="2" t="s">
        <v>38</v>
      </c>
      <c r="Y2846" s="2" t="s">
        <v>39</v>
      </c>
      <c r="Z2846" s="2" t="s">
        <v>38</v>
      </c>
      <c r="AA2846" s="2" t="s">
        <v>38</v>
      </c>
      <c r="AB2846" s="2" t="s">
        <v>38</v>
      </c>
      <c r="AC2846" s="2" t="s">
        <v>38</v>
      </c>
      <c r="AD2846" s="2" t="s">
        <v>38</v>
      </c>
      <c r="AE2846" s="2" t="s">
        <v>39</v>
      </c>
    </row>
    <row r="2847" spans="1:31" ht="409.5">
      <c r="A2847" s="2">
        <v>2709172</v>
      </c>
      <c r="B2847" s="2">
        <f>HYPERLINK("https://platform.v2.vetology.net/cases/2709172/screening-report/1?type=pdf&amp;v=v6&amp;scorecard=1&amp;secret_key=BX%25IJ%24%2F65ieZ%29f6", 2709172)</f>
        <v>2709172</v>
      </c>
      <c r="C2847" s="2">
        <f>HYPERLINK("https://platform.v2.vetology.net/report/v/final/"&amp;2709172, 2709172)</f>
        <v>2709172</v>
      </c>
      <c r="D2847" s="2" t="s">
        <v>9079</v>
      </c>
      <c r="E2847" s="2" t="s">
        <v>9080</v>
      </c>
      <c r="F2847" s="2" t="s">
        <v>9081</v>
      </c>
      <c r="G2847" s="2" t="s">
        <v>53</v>
      </c>
      <c r="H2847" s="2" t="s">
        <v>6066</v>
      </c>
      <c r="I2847" s="2" t="s">
        <v>36</v>
      </c>
      <c r="J2847" s="2" t="s">
        <v>37</v>
      </c>
      <c r="K2847" s="2" t="s">
        <v>38</v>
      </c>
      <c r="L2847" s="2" t="s">
        <v>38</v>
      </c>
      <c r="M2847" s="2" t="s">
        <v>38</v>
      </c>
      <c r="N2847" s="2" t="s">
        <v>38</v>
      </c>
      <c r="O2847" s="2" t="s">
        <v>38</v>
      </c>
      <c r="P2847" s="2" t="s">
        <v>38</v>
      </c>
      <c r="Q2847" s="2" t="s">
        <v>38</v>
      </c>
      <c r="R2847" s="2" t="s">
        <v>38</v>
      </c>
      <c r="S2847" s="2" t="s">
        <v>38</v>
      </c>
      <c r="T2847" s="2" t="s">
        <v>38</v>
      </c>
      <c r="U2847" s="2" t="s">
        <v>38</v>
      </c>
      <c r="V2847" s="2" t="s">
        <v>38</v>
      </c>
      <c r="W2847" s="2" t="s">
        <v>38</v>
      </c>
      <c r="X2847" s="2" t="s">
        <v>38</v>
      </c>
      <c r="Y2847" s="2" t="s">
        <v>39</v>
      </c>
      <c r="Z2847" s="2" t="s">
        <v>38</v>
      </c>
      <c r="AA2847" s="2" t="s">
        <v>38</v>
      </c>
      <c r="AB2847" s="2" t="s">
        <v>38</v>
      </c>
      <c r="AC2847" s="2" t="s">
        <v>38</v>
      </c>
      <c r="AD2847" s="2" t="s">
        <v>39</v>
      </c>
      <c r="AE2847" s="2" t="s">
        <v>39</v>
      </c>
    </row>
    <row r="2848" spans="1:31" ht="409.5">
      <c r="A2848" s="2">
        <v>2709125</v>
      </c>
      <c r="B2848" s="2">
        <f>HYPERLINK("https://platform.v2.vetology.net/cases/2709125/screening-report/1?type=pdf&amp;v=v6&amp;scorecard=1&amp;secret_key=BX%25IJ%24%2F65ieZ%29f6", 2709125)</f>
        <v>2709125</v>
      </c>
      <c r="C2848" s="2">
        <f>HYPERLINK("https://platform.v2.vetology.net/report/v/final/"&amp;2709125, 2709125)</f>
        <v>2709125</v>
      </c>
      <c r="D2848" s="2" t="s">
        <v>9082</v>
      </c>
      <c r="E2848" s="2" t="s">
        <v>9083</v>
      </c>
      <c r="F2848" s="2"/>
      <c r="G2848" s="2" t="s">
        <v>100</v>
      </c>
      <c r="H2848" s="2" t="s">
        <v>9084</v>
      </c>
      <c r="I2848" s="2" t="s">
        <v>129</v>
      </c>
      <c r="J2848" s="2" t="s">
        <v>74</v>
      </c>
      <c r="K2848" s="2" t="s">
        <v>38</v>
      </c>
      <c r="L2848" s="2" t="s">
        <v>38</v>
      </c>
      <c r="M2848" s="2" t="s">
        <v>38</v>
      </c>
      <c r="N2848" s="2" t="s">
        <v>38</v>
      </c>
      <c r="O2848" s="2" t="s">
        <v>38</v>
      </c>
      <c r="P2848" s="2" t="s">
        <v>38</v>
      </c>
      <c r="Q2848" s="2" t="s">
        <v>38</v>
      </c>
      <c r="R2848" s="2" t="s">
        <v>38</v>
      </c>
      <c r="S2848" s="2" t="s">
        <v>38</v>
      </c>
      <c r="T2848" s="2" t="s">
        <v>38</v>
      </c>
      <c r="U2848" s="2" t="s">
        <v>38</v>
      </c>
      <c r="V2848" s="2" t="s">
        <v>38</v>
      </c>
      <c r="W2848" s="2" t="s">
        <v>38</v>
      </c>
      <c r="X2848" s="2" t="s">
        <v>38</v>
      </c>
      <c r="Y2848" s="2" t="s">
        <v>39</v>
      </c>
      <c r="Z2848" s="2" t="s">
        <v>38</v>
      </c>
      <c r="AA2848" s="2" t="s">
        <v>38</v>
      </c>
      <c r="AB2848" s="2" t="s">
        <v>38</v>
      </c>
      <c r="AC2848" s="2" t="s">
        <v>38</v>
      </c>
      <c r="AD2848" s="2" t="s">
        <v>38</v>
      </c>
      <c r="AE2848" s="2" t="s">
        <v>40</v>
      </c>
    </row>
    <row r="2849" spans="1:31" ht="409.5">
      <c r="A2849" s="2">
        <v>2709111</v>
      </c>
      <c r="B2849" s="2">
        <f>HYPERLINK("https://platform.v2.vetology.net/cases/2709111/screening-report/1?type=pdf&amp;v=v6&amp;scorecard=1&amp;secret_key=BX%25IJ%24%2F65ieZ%29f6", 2709111)</f>
        <v>2709111</v>
      </c>
      <c r="C2849" s="2">
        <f>HYPERLINK("https://platform.v2.vetology.net/report/v/final/"&amp;2709111, 2709111)</f>
        <v>2709111</v>
      </c>
      <c r="D2849" s="2" t="s">
        <v>9085</v>
      </c>
      <c r="E2849" s="2" t="s">
        <v>9086</v>
      </c>
      <c r="F2849" s="2" t="s">
        <v>9087</v>
      </c>
      <c r="G2849" s="2" t="s">
        <v>53</v>
      </c>
      <c r="H2849" s="2" t="s">
        <v>9088</v>
      </c>
      <c r="I2849" s="2" t="s">
        <v>36</v>
      </c>
      <c r="J2849" s="2" t="s">
        <v>37</v>
      </c>
      <c r="K2849" s="2" t="s">
        <v>38</v>
      </c>
      <c r="L2849" s="2" t="s">
        <v>38</v>
      </c>
      <c r="M2849" s="2" t="s">
        <v>38</v>
      </c>
      <c r="N2849" s="2" t="s">
        <v>38</v>
      </c>
      <c r="O2849" s="2" t="s">
        <v>38</v>
      </c>
      <c r="P2849" s="2" t="s">
        <v>39</v>
      </c>
      <c r="Q2849" s="2" t="s">
        <v>39</v>
      </c>
      <c r="R2849" s="2" t="s">
        <v>39</v>
      </c>
      <c r="S2849" s="2" t="s">
        <v>38</v>
      </c>
      <c r="T2849" s="2" t="s">
        <v>39</v>
      </c>
      <c r="U2849" s="2" t="s">
        <v>38</v>
      </c>
      <c r="V2849" s="2" t="s">
        <v>38</v>
      </c>
      <c r="W2849" s="2" t="s">
        <v>38</v>
      </c>
      <c r="X2849" s="2" t="s">
        <v>39</v>
      </c>
      <c r="Y2849" s="2" t="s">
        <v>38</v>
      </c>
      <c r="Z2849" s="2" t="s">
        <v>38</v>
      </c>
      <c r="AA2849" s="2" t="s">
        <v>38</v>
      </c>
      <c r="AB2849" s="2" t="s">
        <v>39</v>
      </c>
      <c r="AC2849" s="2" t="s">
        <v>38</v>
      </c>
      <c r="AD2849" s="2" t="s">
        <v>38</v>
      </c>
      <c r="AE2849" s="2" t="s">
        <v>40</v>
      </c>
    </row>
    <row r="2850" spans="1:31" ht="409.5">
      <c r="A2850" s="2">
        <v>2709057</v>
      </c>
      <c r="B2850" s="2">
        <f>HYPERLINK("https://platform.v2.vetology.net/cases/2709057/screening-report/1?type=pdf&amp;v=v6&amp;scorecard=1&amp;secret_key=BX%25IJ%24%2F65ieZ%29f6", 2709057)</f>
        <v>2709057</v>
      </c>
      <c r="C2850" s="2">
        <f>HYPERLINK("https://platform.v2.vetology.net/report/v/final/"&amp;2709057, 2709057)</f>
        <v>2709057</v>
      </c>
      <c r="D2850" s="2" t="s">
        <v>9089</v>
      </c>
      <c r="E2850" s="2" t="s">
        <v>1457</v>
      </c>
      <c r="F2850" s="2"/>
      <c r="G2850" s="2" t="s">
        <v>100</v>
      </c>
      <c r="H2850" s="2" t="s">
        <v>9090</v>
      </c>
      <c r="I2850" s="2" t="s">
        <v>36</v>
      </c>
      <c r="J2850" s="2" t="s">
        <v>37</v>
      </c>
      <c r="K2850" s="2" t="s">
        <v>38</v>
      </c>
      <c r="L2850" s="2" t="s">
        <v>38</v>
      </c>
      <c r="M2850" s="2" t="s">
        <v>39</v>
      </c>
      <c r="N2850" s="2" t="s">
        <v>38</v>
      </c>
      <c r="O2850" s="2" t="s">
        <v>38</v>
      </c>
      <c r="P2850" s="2" t="s">
        <v>39</v>
      </c>
      <c r="Q2850" s="2" t="s">
        <v>39</v>
      </c>
      <c r="R2850" s="2" t="s">
        <v>38</v>
      </c>
      <c r="S2850" s="2" t="s">
        <v>38</v>
      </c>
      <c r="T2850" s="2" t="s">
        <v>39</v>
      </c>
      <c r="U2850" s="2" t="s">
        <v>38</v>
      </c>
      <c r="V2850" s="2" t="s">
        <v>38</v>
      </c>
      <c r="W2850" s="2" t="s">
        <v>38</v>
      </c>
      <c r="X2850" s="2" t="s">
        <v>39</v>
      </c>
      <c r="Y2850" s="2" t="s">
        <v>39</v>
      </c>
      <c r="Z2850" s="2" t="s">
        <v>38</v>
      </c>
      <c r="AA2850" s="2" t="s">
        <v>39</v>
      </c>
      <c r="AB2850" s="2" t="s">
        <v>39</v>
      </c>
      <c r="AC2850" s="2" t="s">
        <v>38</v>
      </c>
      <c r="AD2850" s="2" t="s">
        <v>38</v>
      </c>
      <c r="AE2850" s="2" t="s">
        <v>39</v>
      </c>
    </row>
    <row r="2851" spans="1:31" ht="409.5">
      <c r="A2851" s="2">
        <v>2709046</v>
      </c>
      <c r="B2851" s="2">
        <f>HYPERLINK("https://platform.v2.vetology.net/cases/2709046/screening-report/1?type=pdf&amp;v=v6&amp;scorecard=1&amp;secret_key=BX%25IJ%24%2F65ieZ%29f6", 2709046)</f>
        <v>2709046</v>
      </c>
      <c r="C2851" s="2">
        <f>HYPERLINK("https://platform.v2.vetology.net/report/v/final/"&amp;2709046, 2709046)</f>
        <v>2709046</v>
      </c>
      <c r="D2851" s="2" t="s">
        <v>9091</v>
      </c>
      <c r="E2851" s="2" t="s">
        <v>9092</v>
      </c>
      <c r="F2851" s="2" t="s">
        <v>9093</v>
      </c>
      <c r="G2851" s="2" t="s">
        <v>251</v>
      </c>
      <c r="H2851" s="2" t="s">
        <v>530</v>
      </c>
      <c r="I2851" s="2" t="s">
        <v>59</v>
      </c>
      <c r="J2851" s="2" t="s">
        <v>37</v>
      </c>
      <c r="K2851" s="2" t="s">
        <v>38</v>
      </c>
      <c r="L2851" s="2" t="s">
        <v>39</v>
      </c>
      <c r="M2851" s="2" t="s">
        <v>39</v>
      </c>
      <c r="N2851" s="2" t="s">
        <v>39</v>
      </c>
      <c r="O2851" s="2" t="s">
        <v>39</v>
      </c>
      <c r="P2851" s="2" t="s">
        <v>39</v>
      </c>
      <c r="Q2851" s="2" t="s">
        <v>39</v>
      </c>
      <c r="R2851" s="2" t="s">
        <v>39</v>
      </c>
      <c r="S2851" s="2" t="s">
        <v>39</v>
      </c>
      <c r="T2851" s="2" t="s">
        <v>39</v>
      </c>
      <c r="U2851" s="2" t="s">
        <v>38</v>
      </c>
      <c r="V2851" s="2" t="s">
        <v>38</v>
      </c>
      <c r="W2851" s="2" t="s">
        <v>39</v>
      </c>
      <c r="X2851" s="2" t="s">
        <v>39</v>
      </c>
      <c r="Y2851" s="2" t="s">
        <v>39</v>
      </c>
      <c r="Z2851" s="2" t="s">
        <v>39</v>
      </c>
      <c r="AA2851" s="2" t="s">
        <v>39</v>
      </c>
      <c r="AB2851" s="2" t="s">
        <v>39</v>
      </c>
      <c r="AC2851" s="2" t="s">
        <v>39</v>
      </c>
      <c r="AD2851" s="2" t="s">
        <v>39</v>
      </c>
      <c r="AE2851" s="2" t="s">
        <v>39</v>
      </c>
    </row>
    <row r="2852" spans="1:31" ht="409.5">
      <c r="A2852" s="2">
        <v>2709033</v>
      </c>
      <c r="B2852" s="2">
        <f>HYPERLINK("https://platform.v2.vetology.net/cases/2709033/screening-report/1?type=pdf&amp;v=v6&amp;scorecard=1&amp;secret_key=BX%25IJ%24%2F65ieZ%29f6", 2709033)</f>
        <v>2709033</v>
      </c>
      <c r="C2852" s="2">
        <f>HYPERLINK("https://platform.v2.vetology.net/report/v/final/"&amp;2709033, 2709033)</f>
        <v>2709033</v>
      </c>
      <c r="D2852" s="2" t="s">
        <v>9094</v>
      </c>
      <c r="E2852" s="2" t="s">
        <v>9095</v>
      </c>
      <c r="F2852" s="2" t="s">
        <v>9096</v>
      </c>
      <c r="G2852" s="2" t="s">
        <v>170</v>
      </c>
      <c r="H2852" s="2" t="s">
        <v>69</v>
      </c>
      <c r="I2852" s="2" t="s">
        <v>46</v>
      </c>
      <c r="J2852" s="2"/>
      <c r="K2852" s="2" t="s">
        <v>39</v>
      </c>
      <c r="L2852" s="2" t="s">
        <v>39</v>
      </c>
      <c r="M2852" s="2" t="s">
        <v>39</v>
      </c>
      <c r="N2852" s="2" t="s">
        <v>39</v>
      </c>
      <c r="O2852" s="2" t="s">
        <v>39</v>
      </c>
      <c r="P2852" s="2" t="s">
        <v>39</v>
      </c>
      <c r="Q2852" s="2" t="s">
        <v>39</v>
      </c>
      <c r="R2852" s="2" t="s">
        <v>39</v>
      </c>
      <c r="S2852" s="2" t="s">
        <v>39</v>
      </c>
      <c r="T2852" s="2" t="s">
        <v>39</v>
      </c>
      <c r="U2852" s="2" t="s">
        <v>39</v>
      </c>
      <c r="V2852" s="2" t="s">
        <v>39</v>
      </c>
      <c r="W2852" s="2" t="s">
        <v>39</v>
      </c>
      <c r="X2852" s="2" t="s">
        <v>39</v>
      </c>
      <c r="Y2852" s="2" t="s">
        <v>39</v>
      </c>
      <c r="Z2852" s="2" t="s">
        <v>39</v>
      </c>
      <c r="AA2852" s="2" t="s">
        <v>39</v>
      </c>
      <c r="AB2852" s="2" t="s">
        <v>39</v>
      </c>
      <c r="AC2852" s="2" t="s">
        <v>39</v>
      </c>
      <c r="AD2852" s="2" t="s">
        <v>39</v>
      </c>
      <c r="AE2852" s="2" t="s">
        <v>39</v>
      </c>
    </row>
    <row r="2853" spans="1:31" ht="409.5">
      <c r="A2853" s="2">
        <v>2709025</v>
      </c>
      <c r="B2853" s="2">
        <f>HYPERLINK("https://platform.v2.vetology.net/cases/2709025/screening-report/1?type=pdf&amp;v=v6&amp;scorecard=1&amp;secret_key=BX%25IJ%24%2F65ieZ%29f6", 2709025)</f>
        <v>2709025</v>
      </c>
      <c r="C2853" s="2">
        <f>HYPERLINK("https://platform.v2.vetology.net/report/v/final/"&amp;2709025, 2709025)</f>
        <v>2709025</v>
      </c>
      <c r="D2853" s="2" t="s">
        <v>9097</v>
      </c>
      <c r="E2853" s="2" t="s">
        <v>9098</v>
      </c>
      <c r="F2853" s="2" t="s">
        <v>9099</v>
      </c>
      <c r="G2853" s="2" t="s">
        <v>53</v>
      </c>
      <c r="H2853" s="2" t="s">
        <v>69</v>
      </c>
      <c r="I2853" s="2" t="s">
        <v>46</v>
      </c>
      <c r="J2853" s="2"/>
      <c r="K2853" s="2" t="s">
        <v>39</v>
      </c>
      <c r="L2853" s="2" t="s">
        <v>39</v>
      </c>
      <c r="M2853" s="2" t="s">
        <v>39</v>
      </c>
      <c r="N2853" s="2" t="s">
        <v>39</v>
      </c>
      <c r="O2853" s="2" t="s">
        <v>39</v>
      </c>
      <c r="P2853" s="2" t="s">
        <v>39</v>
      </c>
      <c r="Q2853" s="2" t="s">
        <v>39</v>
      </c>
      <c r="R2853" s="2" t="s">
        <v>39</v>
      </c>
      <c r="S2853" s="2" t="s">
        <v>39</v>
      </c>
      <c r="T2853" s="2" t="s">
        <v>38</v>
      </c>
      <c r="U2853" s="2" t="s">
        <v>39</v>
      </c>
      <c r="V2853" s="2" t="s">
        <v>39</v>
      </c>
      <c r="W2853" s="2" t="s">
        <v>39</v>
      </c>
      <c r="X2853" s="2" t="s">
        <v>39</v>
      </c>
      <c r="Y2853" s="2" t="s">
        <v>39</v>
      </c>
      <c r="Z2853" s="2" t="s">
        <v>39</v>
      </c>
      <c r="AA2853" s="2" t="s">
        <v>39</v>
      </c>
      <c r="AB2853" s="2" t="s">
        <v>39</v>
      </c>
      <c r="AC2853" s="2" t="s">
        <v>38</v>
      </c>
      <c r="AD2853" s="2" t="s">
        <v>39</v>
      </c>
      <c r="AE2853" s="2" t="s">
        <v>40</v>
      </c>
    </row>
    <row r="2854" spans="1:31" ht="409.5">
      <c r="A2854" s="2">
        <v>2709000</v>
      </c>
      <c r="B2854" s="2">
        <f>HYPERLINK("https://platform.v2.vetology.net/cases/2709000/screening-report/1?type=pdf&amp;v=v6&amp;scorecard=1&amp;secret_key=BX%25IJ%24%2F65ieZ%29f6", 2709000)</f>
        <v>2709000</v>
      </c>
      <c r="C2854" s="2">
        <f>HYPERLINK("https://platform.v2.vetology.net/report/v/final/"&amp;2709000, 2709000)</f>
        <v>2709000</v>
      </c>
      <c r="D2854" s="2" t="s">
        <v>9100</v>
      </c>
      <c r="E2854" s="2" t="s">
        <v>9101</v>
      </c>
      <c r="F2854" s="2" t="s">
        <v>9102</v>
      </c>
      <c r="G2854" s="2" t="s">
        <v>53</v>
      </c>
      <c r="H2854" s="2" t="s">
        <v>9103</v>
      </c>
      <c r="I2854" s="2" t="s">
        <v>129</v>
      </c>
      <c r="J2854" s="2" t="s">
        <v>74</v>
      </c>
      <c r="K2854" s="2" t="s">
        <v>38</v>
      </c>
      <c r="L2854" s="2" t="s">
        <v>38</v>
      </c>
      <c r="M2854" s="2" t="s">
        <v>38</v>
      </c>
      <c r="N2854" s="2" t="s">
        <v>38</v>
      </c>
      <c r="O2854" s="2" t="s">
        <v>38</v>
      </c>
      <c r="P2854" s="2" t="s">
        <v>38</v>
      </c>
      <c r="Q2854" s="2" t="s">
        <v>38</v>
      </c>
      <c r="R2854" s="2" t="s">
        <v>38</v>
      </c>
      <c r="S2854" s="2" t="s">
        <v>38</v>
      </c>
      <c r="T2854" s="2" t="s">
        <v>38</v>
      </c>
      <c r="U2854" s="2" t="s">
        <v>39</v>
      </c>
      <c r="V2854" s="2" t="s">
        <v>38</v>
      </c>
      <c r="W2854" s="2" t="s">
        <v>38</v>
      </c>
      <c r="X2854" s="2" t="s">
        <v>38</v>
      </c>
      <c r="Y2854" s="2" t="s">
        <v>38</v>
      </c>
      <c r="Z2854" s="2" t="s">
        <v>38</v>
      </c>
      <c r="AA2854" s="2" t="s">
        <v>38</v>
      </c>
      <c r="AB2854" s="2" t="s">
        <v>38</v>
      </c>
      <c r="AC2854" s="2" t="s">
        <v>38</v>
      </c>
      <c r="AD2854" s="2" t="s">
        <v>39</v>
      </c>
      <c r="AE2854" s="2" t="s">
        <v>39</v>
      </c>
    </row>
    <row r="2855" spans="1:31" ht="409.5">
      <c r="A2855" s="2">
        <v>2708994</v>
      </c>
      <c r="B2855" s="2">
        <f>HYPERLINK("https://platform.v2.vetology.net/cases/2708994/screening-report/1?type=pdf&amp;v=v6&amp;scorecard=1&amp;secret_key=BX%25IJ%24%2F65ieZ%29f6", 2708994)</f>
        <v>2708994</v>
      </c>
      <c r="C2855" s="2">
        <f>HYPERLINK("https://platform.v2.vetology.net/report/v/final/"&amp;2708994, 2708994)</f>
        <v>2708994</v>
      </c>
      <c r="D2855" s="2" t="s">
        <v>9104</v>
      </c>
      <c r="E2855" s="2" t="s">
        <v>9105</v>
      </c>
      <c r="F2855" s="2" t="s">
        <v>9106</v>
      </c>
      <c r="G2855" s="2" t="s">
        <v>53</v>
      </c>
      <c r="H2855" s="2" t="s">
        <v>69</v>
      </c>
      <c r="I2855" s="2" t="s">
        <v>46</v>
      </c>
      <c r="J2855" s="2"/>
      <c r="K2855" s="2" t="s">
        <v>39</v>
      </c>
      <c r="L2855" s="2" t="s">
        <v>39</v>
      </c>
      <c r="M2855" s="2" t="s">
        <v>39</v>
      </c>
      <c r="N2855" s="2" t="s">
        <v>39</v>
      </c>
      <c r="O2855" s="2" t="s">
        <v>39</v>
      </c>
      <c r="P2855" s="2" t="s">
        <v>39</v>
      </c>
      <c r="Q2855" s="2" t="s">
        <v>39</v>
      </c>
      <c r="R2855" s="2" t="s">
        <v>39</v>
      </c>
      <c r="S2855" s="2" t="s">
        <v>39</v>
      </c>
      <c r="T2855" s="2" t="s">
        <v>39</v>
      </c>
      <c r="U2855" s="2" t="s">
        <v>39</v>
      </c>
      <c r="V2855" s="2" t="s">
        <v>39</v>
      </c>
      <c r="W2855" s="2" t="s">
        <v>39</v>
      </c>
      <c r="X2855" s="2" t="s">
        <v>39</v>
      </c>
      <c r="Y2855" s="2" t="s">
        <v>39</v>
      </c>
      <c r="Z2855" s="2" t="s">
        <v>39</v>
      </c>
      <c r="AA2855" s="2" t="s">
        <v>39</v>
      </c>
      <c r="AB2855" s="2" t="s">
        <v>39</v>
      </c>
      <c r="AC2855" s="2" t="s">
        <v>39</v>
      </c>
      <c r="AD2855" s="2" t="s">
        <v>39</v>
      </c>
      <c r="AE2855" s="2" t="s">
        <v>40</v>
      </c>
    </row>
    <row r="2856" spans="1:31" ht="409.5">
      <c r="A2856" s="2">
        <v>2708982</v>
      </c>
      <c r="B2856" s="2">
        <f>HYPERLINK("https://platform.v2.vetology.net/cases/2708982/screening-report/1?type=pdf&amp;v=v6&amp;scorecard=1&amp;secret_key=BX%25IJ%24%2F65ieZ%29f6", 2708982)</f>
        <v>2708982</v>
      </c>
      <c r="C2856" s="2">
        <f>HYPERLINK("https://platform.v2.vetology.net/report/v/final/"&amp;2708982, 2708982)</f>
        <v>2708982</v>
      </c>
      <c r="D2856" s="2" t="s">
        <v>9107</v>
      </c>
      <c r="E2856" s="2" t="s">
        <v>9108</v>
      </c>
      <c r="F2856" s="2" t="s">
        <v>9109</v>
      </c>
      <c r="G2856" s="2" t="s">
        <v>251</v>
      </c>
      <c r="H2856" s="2" t="s">
        <v>9110</v>
      </c>
      <c r="I2856" s="2" t="s">
        <v>36</v>
      </c>
      <c r="J2856" s="2" t="s">
        <v>37</v>
      </c>
      <c r="K2856" s="2" t="s">
        <v>38</v>
      </c>
      <c r="L2856" s="2" t="s">
        <v>38</v>
      </c>
      <c r="M2856" s="2" t="s">
        <v>39</v>
      </c>
      <c r="N2856" s="2" t="s">
        <v>38</v>
      </c>
      <c r="O2856" s="2" t="s">
        <v>39</v>
      </c>
      <c r="P2856" s="2" t="s">
        <v>39</v>
      </c>
      <c r="Q2856" s="2" t="s">
        <v>39</v>
      </c>
      <c r="R2856" s="2" t="s">
        <v>38</v>
      </c>
      <c r="S2856" s="2" t="s">
        <v>38</v>
      </c>
      <c r="T2856" s="2" t="s">
        <v>38</v>
      </c>
      <c r="U2856" s="2" t="s">
        <v>38</v>
      </c>
      <c r="V2856" s="2" t="s">
        <v>38</v>
      </c>
      <c r="W2856" s="2" t="s">
        <v>38</v>
      </c>
      <c r="X2856" s="2" t="s">
        <v>39</v>
      </c>
      <c r="Y2856" s="2" t="s">
        <v>39</v>
      </c>
      <c r="Z2856" s="2" t="s">
        <v>38</v>
      </c>
      <c r="AA2856" s="2" t="s">
        <v>38</v>
      </c>
      <c r="AB2856" s="2" t="s">
        <v>39</v>
      </c>
      <c r="AC2856" s="2" t="s">
        <v>38</v>
      </c>
      <c r="AD2856" s="2" t="s">
        <v>39</v>
      </c>
      <c r="AE2856" s="2" t="s">
        <v>40</v>
      </c>
    </row>
    <row r="2857" spans="1:31" ht="409.5">
      <c r="A2857" s="2">
        <v>2708975</v>
      </c>
      <c r="B2857" s="2">
        <f>HYPERLINK("https://platform.v2.vetology.net/cases/2708975/screening-report/1?type=pdf&amp;v=v6&amp;scorecard=1&amp;secret_key=BX%25IJ%24%2F65ieZ%29f6", 2708975)</f>
        <v>2708975</v>
      </c>
      <c r="C2857" s="2">
        <f>HYPERLINK("https://platform.v2.vetology.net/report/v/final/"&amp;2708975, 2708975)</f>
        <v>2708975</v>
      </c>
      <c r="D2857" s="2" t="s">
        <v>9111</v>
      </c>
      <c r="E2857" s="2" t="s">
        <v>9112</v>
      </c>
      <c r="F2857" s="2" t="s">
        <v>9113</v>
      </c>
      <c r="G2857" s="2" t="s">
        <v>53</v>
      </c>
      <c r="H2857" s="2" t="s">
        <v>9114</v>
      </c>
      <c r="I2857" s="2" t="s">
        <v>36</v>
      </c>
      <c r="J2857" s="2" t="s">
        <v>37</v>
      </c>
      <c r="K2857" s="2" t="s">
        <v>39</v>
      </c>
      <c r="L2857" s="2" t="s">
        <v>38</v>
      </c>
      <c r="M2857" s="2" t="s">
        <v>38</v>
      </c>
      <c r="N2857" s="2" t="s">
        <v>38</v>
      </c>
      <c r="O2857" s="2" t="s">
        <v>38</v>
      </c>
      <c r="P2857" s="2" t="s">
        <v>39</v>
      </c>
      <c r="Q2857" s="2" t="s">
        <v>39</v>
      </c>
      <c r="R2857" s="2" t="s">
        <v>38</v>
      </c>
      <c r="S2857" s="2" t="s">
        <v>38</v>
      </c>
      <c r="T2857" s="2" t="s">
        <v>39</v>
      </c>
      <c r="U2857" s="2" t="s">
        <v>39</v>
      </c>
      <c r="V2857" s="2" t="s">
        <v>39</v>
      </c>
      <c r="W2857" s="2" t="s">
        <v>39</v>
      </c>
      <c r="X2857" s="2" t="s">
        <v>39</v>
      </c>
      <c r="Y2857" s="2" t="s">
        <v>39</v>
      </c>
      <c r="Z2857" s="2" t="s">
        <v>38</v>
      </c>
      <c r="AA2857" s="2" t="s">
        <v>38</v>
      </c>
      <c r="AB2857" s="2" t="s">
        <v>39</v>
      </c>
      <c r="AC2857" s="2" t="s">
        <v>38</v>
      </c>
      <c r="AD2857" s="2" t="s">
        <v>39</v>
      </c>
      <c r="AE2857" s="2" t="s">
        <v>39</v>
      </c>
    </row>
    <row r="2858" spans="1:31" ht="409.5">
      <c r="A2858" s="2">
        <v>2708948</v>
      </c>
      <c r="B2858" s="2">
        <f>HYPERLINK("https://platform.v2.vetology.net/cases/2708948/screening-report/1?type=pdf&amp;v=v6&amp;scorecard=1&amp;secret_key=BX%25IJ%24%2F65ieZ%29f6", 2708948)</f>
        <v>2708948</v>
      </c>
      <c r="C2858" s="2">
        <f>HYPERLINK("https://platform.v2.vetology.net/report/v/final/"&amp;2708948, 2708948)</f>
        <v>2708948</v>
      </c>
      <c r="D2858" s="2" t="s">
        <v>9115</v>
      </c>
      <c r="E2858" s="2" t="s">
        <v>9116</v>
      </c>
      <c r="F2858" s="2" t="s">
        <v>9117</v>
      </c>
      <c r="G2858" s="2" t="s">
        <v>53</v>
      </c>
      <c r="H2858" s="2" t="s">
        <v>69</v>
      </c>
      <c r="I2858" s="2" t="s">
        <v>46</v>
      </c>
      <c r="J2858" s="2"/>
      <c r="K2858" s="2" t="s">
        <v>39</v>
      </c>
      <c r="L2858" s="2" t="s">
        <v>39</v>
      </c>
      <c r="M2858" s="2" t="s">
        <v>39</v>
      </c>
      <c r="N2858" s="2" t="s">
        <v>39</v>
      </c>
      <c r="O2858" s="2" t="s">
        <v>39</v>
      </c>
      <c r="P2858" s="2" t="s">
        <v>39</v>
      </c>
      <c r="Q2858" s="2" t="s">
        <v>39</v>
      </c>
      <c r="R2858" s="2" t="s">
        <v>39</v>
      </c>
      <c r="S2858" s="2" t="s">
        <v>39</v>
      </c>
      <c r="T2858" s="2" t="s">
        <v>39</v>
      </c>
      <c r="U2858" s="2" t="s">
        <v>39</v>
      </c>
      <c r="V2858" s="2" t="s">
        <v>39</v>
      </c>
      <c r="W2858" s="2" t="s">
        <v>39</v>
      </c>
      <c r="X2858" s="2" t="s">
        <v>39</v>
      </c>
      <c r="Y2858" s="2" t="s">
        <v>39</v>
      </c>
      <c r="Z2858" s="2" t="s">
        <v>38</v>
      </c>
      <c r="AA2858" s="2" t="s">
        <v>38</v>
      </c>
      <c r="AB2858" s="2" t="s">
        <v>39</v>
      </c>
      <c r="AC2858" s="2" t="s">
        <v>38</v>
      </c>
      <c r="AD2858" s="2" t="s">
        <v>38</v>
      </c>
      <c r="AE2858" s="2" t="s">
        <v>39</v>
      </c>
    </row>
    <row r="2859" spans="1:31" ht="409.5">
      <c r="A2859" s="2">
        <v>2708918</v>
      </c>
      <c r="B2859" s="2">
        <f>HYPERLINK("https://platform.v2.vetology.net/cases/2708918/screening-report/1?type=pdf&amp;v=v6&amp;scorecard=1&amp;secret_key=BX%25IJ%24%2F65ieZ%29f6", 2708918)</f>
        <v>2708918</v>
      </c>
      <c r="C2859" s="2">
        <f>HYPERLINK("https://platform.v2.vetology.net/report/v/final/"&amp;2708918, 2708918)</f>
        <v>2708918</v>
      </c>
      <c r="D2859" s="2" t="s">
        <v>9118</v>
      </c>
      <c r="E2859" s="2" t="s">
        <v>9119</v>
      </c>
      <c r="F2859" s="2" t="s">
        <v>9120</v>
      </c>
      <c r="G2859" s="2" t="s">
        <v>170</v>
      </c>
      <c r="H2859" s="2" t="s">
        <v>9121</v>
      </c>
      <c r="I2859" s="2" t="s">
        <v>36</v>
      </c>
      <c r="J2859" s="2" t="s">
        <v>37</v>
      </c>
      <c r="K2859" s="2" t="s">
        <v>39</v>
      </c>
      <c r="L2859" s="2" t="s">
        <v>38</v>
      </c>
      <c r="M2859" s="2" t="s">
        <v>38</v>
      </c>
      <c r="N2859" s="2" t="s">
        <v>38</v>
      </c>
      <c r="O2859" s="2" t="s">
        <v>38</v>
      </c>
      <c r="P2859" s="2" t="s">
        <v>39</v>
      </c>
      <c r="Q2859" s="2" t="s">
        <v>39</v>
      </c>
      <c r="R2859" s="2" t="s">
        <v>39</v>
      </c>
      <c r="S2859" s="2" t="s">
        <v>38</v>
      </c>
      <c r="T2859" s="2" t="s">
        <v>39</v>
      </c>
      <c r="U2859" s="2" t="s">
        <v>39</v>
      </c>
      <c r="V2859" s="2" t="s">
        <v>39</v>
      </c>
      <c r="W2859" s="2" t="s">
        <v>38</v>
      </c>
      <c r="X2859" s="2" t="s">
        <v>39</v>
      </c>
      <c r="Y2859" s="2" t="s">
        <v>39</v>
      </c>
      <c r="Z2859" s="2" t="s">
        <v>38</v>
      </c>
      <c r="AA2859" s="2" t="s">
        <v>38</v>
      </c>
      <c r="AB2859" s="2" t="s">
        <v>39</v>
      </c>
      <c r="AC2859" s="2" t="s">
        <v>38</v>
      </c>
      <c r="AD2859" s="2" t="s">
        <v>38</v>
      </c>
      <c r="AE2859" s="2"/>
    </row>
    <row r="2860" spans="1:31" ht="409.5">
      <c r="A2860" s="2">
        <v>2708912</v>
      </c>
      <c r="B2860" s="2">
        <f>HYPERLINK("https://platform.v2.vetology.net/cases/2708912/screening-report/1?type=pdf&amp;v=v6&amp;scorecard=1&amp;secret_key=BX%25IJ%24%2F65ieZ%29f6", 2708912)</f>
        <v>2708912</v>
      </c>
      <c r="C2860" s="2">
        <f>HYPERLINK("https://platform.v2.vetology.net/report/v/final/"&amp;2708912, 2708912)</f>
        <v>2708912</v>
      </c>
      <c r="D2860" s="2" t="s">
        <v>9122</v>
      </c>
      <c r="E2860" s="2" t="s">
        <v>9123</v>
      </c>
      <c r="F2860" s="2" t="s">
        <v>9124</v>
      </c>
      <c r="G2860" s="2" t="s">
        <v>53</v>
      </c>
      <c r="H2860" s="2" t="s">
        <v>69</v>
      </c>
      <c r="I2860" s="2" t="s">
        <v>46</v>
      </c>
      <c r="J2860" s="2"/>
      <c r="K2860" s="2" t="s">
        <v>39</v>
      </c>
      <c r="L2860" s="2" t="s">
        <v>39</v>
      </c>
      <c r="M2860" s="2" t="s">
        <v>39</v>
      </c>
      <c r="N2860" s="2" t="s">
        <v>39</v>
      </c>
      <c r="O2860" s="2" t="s">
        <v>39</v>
      </c>
      <c r="P2860" s="2" t="s">
        <v>39</v>
      </c>
      <c r="Q2860" s="2" t="s">
        <v>39</v>
      </c>
      <c r="R2860" s="2" t="s">
        <v>39</v>
      </c>
      <c r="S2860" s="2" t="s">
        <v>39</v>
      </c>
      <c r="T2860" s="2" t="s">
        <v>39</v>
      </c>
      <c r="U2860" s="2" t="s">
        <v>39</v>
      </c>
      <c r="V2860" s="2" t="s">
        <v>39</v>
      </c>
      <c r="W2860" s="2" t="s">
        <v>39</v>
      </c>
      <c r="X2860" s="2" t="s">
        <v>39</v>
      </c>
      <c r="Y2860" s="2" t="s">
        <v>39</v>
      </c>
      <c r="Z2860" s="2" t="s">
        <v>39</v>
      </c>
      <c r="AA2860" s="2" t="s">
        <v>39</v>
      </c>
      <c r="AB2860" s="2" t="s">
        <v>39</v>
      </c>
      <c r="AC2860" s="2" t="s">
        <v>39</v>
      </c>
      <c r="AD2860" s="2" t="s">
        <v>39</v>
      </c>
      <c r="AE2860" s="2" t="s">
        <v>39</v>
      </c>
    </row>
    <row r="2861" spans="1:31" ht="409.5">
      <c r="A2861" s="2">
        <v>2708907</v>
      </c>
      <c r="B2861" s="2">
        <f>HYPERLINK("https://platform.v2.vetology.net/cases/2708907/screening-report/1?type=pdf&amp;v=v6&amp;scorecard=1&amp;secret_key=BX%25IJ%24%2F65ieZ%29f6", 2708907)</f>
        <v>2708907</v>
      </c>
      <c r="C2861" s="2">
        <f>HYPERLINK("https://platform.v2.vetology.net/report/v/final/"&amp;2708907, 2708907)</f>
        <v>2708907</v>
      </c>
      <c r="D2861" s="2" t="s">
        <v>9125</v>
      </c>
      <c r="E2861" s="2" t="s">
        <v>9126</v>
      </c>
      <c r="F2861" s="2" t="s">
        <v>9127</v>
      </c>
      <c r="G2861" s="2" t="s">
        <v>170</v>
      </c>
      <c r="H2861" s="2" t="s">
        <v>69</v>
      </c>
      <c r="I2861" s="2" t="s">
        <v>46</v>
      </c>
      <c r="J2861" s="2"/>
      <c r="K2861" s="2" t="s">
        <v>39</v>
      </c>
      <c r="L2861" s="2" t="s">
        <v>39</v>
      </c>
      <c r="M2861" s="2" t="s">
        <v>39</v>
      </c>
      <c r="N2861" s="2" t="s">
        <v>39</v>
      </c>
      <c r="O2861" s="2" t="s">
        <v>39</v>
      </c>
      <c r="P2861" s="2" t="s">
        <v>39</v>
      </c>
      <c r="Q2861" s="2" t="s">
        <v>39</v>
      </c>
      <c r="R2861" s="2" t="s">
        <v>39</v>
      </c>
      <c r="S2861" s="2" t="s">
        <v>39</v>
      </c>
      <c r="T2861" s="2" t="s">
        <v>39</v>
      </c>
      <c r="U2861" s="2" t="s">
        <v>39</v>
      </c>
      <c r="V2861" s="2" t="s">
        <v>39</v>
      </c>
      <c r="W2861" s="2" t="s">
        <v>39</v>
      </c>
      <c r="X2861" s="2" t="s">
        <v>39</v>
      </c>
      <c r="Y2861" s="2" t="s">
        <v>39</v>
      </c>
      <c r="Z2861" s="2" t="s">
        <v>39</v>
      </c>
      <c r="AA2861" s="2" t="s">
        <v>39</v>
      </c>
      <c r="AB2861" s="2" t="s">
        <v>39</v>
      </c>
      <c r="AC2861" s="2" t="s">
        <v>38</v>
      </c>
      <c r="AD2861" s="2" t="s">
        <v>38</v>
      </c>
      <c r="AE2861" s="2" t="s">
        <v>39</v>
      </c>
    </row>
    <row r="2862" spans="1:31" ht="409.5">
      <c r="A2862" s="2">
        <v>2708858</v>
      </c>
      <c r="B2862" s="2">
        <f>HYPERLINK("https://platform.v2.vetology.net/cases/2708858/screening-report/1?type=pdf&amp;v=v6&amp;scorecard=1&amp;secret_key=BX%25IJ%24%2F65ieZ%29f6", 2708858)</f>
        <v>2708858</v>
      </c>
      <c r="C2862" s="2">
        <f>HYPERLINK("https://platform.v2.vetology.net/report/v/final/"&amp;2708858, 2708858)</f>
        <v>2708858</v>
      </c>
      <c r="D2862" s="2" t="s">
        <v>9128</v>
      </c>
      <c r="E2862" s="2" t="s">
        <v>9129</v>
      </c>
      <c r="F2862" s="2" t="s">
        <v>9130</v>
      </c>
      <c r="G2862" s="2" t="s">
        <v>170</v>
      </c>
      <c r="H2862" s="2" t="s">
        <v>9131</v>
      </c>
      <c r="I2862" s="2" t="s">
        <v>73</v>
      </c>
      <c r="J2862" s="2" t="s">
        <v>74</v>
      </c>
      <c r="K2862" s="2" t="s">
        <v>38</v>
      </c>
      <c r="L2862" s="2" t="s">
        <v>38</v>
      </c>
      <c r="M2862" s="2" t="s">
        <v>38</v>
      </c>
      <c r="N2862" s="2" t="s">
        <v>38</v>
      </c>
      <c r="O2862" s="2" t="s">
        <v>38</v>
      </c>
      <c r="P2862" s="2" t="s">
        <v>38</v>
      </c>
      <c r="Q2862" s="2" t="s">
        <v>38</v>
      </c>
      <c r="R2862" s="2" t="s">
        <v>39</v>
      </c>
      <c r="S2862" s="2" t="s">
        <v>38</v>
      </c>
      <c r="T2862" s="2" t="s">
        <v>38</v>
      </c>
      <c r="U2862" s="2" t="s">
        <v>38</v>
      </c>
      <c r="V2862" s="2" t="s">
        <v>38</v>
      </c>
      <c r="W2862" s="2" t="s">
        <v>39</v>
      </c>
      <c r="X2862" s="2" t="s">
        <v>38</v>
      </c>
      <c r="Y2862" s="2" t="s">
        <v>39</v>
      </c>
      <c r="Z2862" s="2" t="s">
        <v>39</v>
      </c>
      <c r="AA2862" s="2" t="s">
        <v>38</v>
      </c>
      <c r="AB2862" s="2" t="s">
        <v>38</v>
      </c>
      <c r="AC2862" s="2" t="s">
        <v>39</v>
      </c>
      <c r="AD2862" s="2" t="s">
        <v>38</v>
      </c>
      <c r="AE2862" s="2" t="s">
        <v>39</v>
      </c>
    </row>
    <row r="2863" spans="1:31" ht="409.5">
      <c r="A2863" s="2">
        <v>2708851</v>
      </c>
      <c r="B2863" s="2">
        <f>HYPERLINK("https://platform.v2.vetology.net/cases/2708851/screening-report/1?type=pdf&amp;v=v6&amp;scorecard=1&amp;secret_key=BX%25IJ%24%2F65ieZ%29f6", 2708851)</f>
        <v>2708851</v>
      </c>
      <c r="C2863" s="2">
        <f>HYPERLINK("https://platform.v2.vetology.net/report/v/final/"&amp;2708851, 2708851)</f>
        <v>2708851</v>
      </c>
      <c r="D2863" s="2" t="s">
        <v>9132</v>
      </c>
      <c r="E2863" s="2" t="s">
        <v>9133</v>
      </c>
      <c r="F2863" s="2" t="s">
        <v>9134</v>
      </c>
      <c r="G2863" s="2" t="s">
        <v>170</v>
      </c>
      <c r="H2863" s="2" t="s">
        <v>9135</v>
      </c>
      <c r="I2863" s="2" t="s">
        <v>257</v>
      </c>
      <c r="J2863" s="2" t="s">
        <v>74</v>
      </c>
      <c r="K2863" s="2" t="s">
        <v>38</v>
      </c>
      <c r="L2863" s="2" t="s">
        <v>38</v>
      </c>
      <c r="M2863" s="2" t="s">
        <v>38</v>
      </c>
      <c r="N2863" s="2" t="s">
        <v>38</v>
      </c>
      <c r="O2863" s="2" t="s">
        <v>38</v>
      </c>
      <c r="P2863" s="2" t="s">
        <v>38</v>
      </c>
      <c r="Q2863" s="2" t="s">
        <v>38</v>
      </c>
      <c r="R2863" s="2" t="s">
        <v>38</v>
      </c>
      <c r="S2863" s="2" t="s">
        <v>38</v>
      </c>
      <c r="T2863" s="2" t="s">
        <v>38</v>
      </c>
      <c r="U2863" s="2" t="s">
        <v>38</v>
      </c>
      <c r="V2863" s="2" t="s">
        <v>38</v>
      </c>
      <c r="W2863" s="2" t="s">
        <v>38</v>
      </c>
      <c r="X2863" s="2" t="s">
        <v>38</v>
      </c>
      <c r="Y2863" s="2" t="s">
        <v>38</v>
      </c>
      <c r="Z2863" s="2" t="s">
        <v>38</v>
      </c>
      <c r="AA2863" s="2" t="s">
        <v>38</v>
      </c>
      <c r="AB2863" s="2" t="s">
        <v>38</v>
      </c>
      <c r="AC2863" s="2" t="s">
        <v>38</v>
      </c>
      <c r="AD2863" s="2" t="s">
        <v>38</v>
      </c>
      <c r="AE2863" s="2" t="s">
        <v>39</v>
      </c>
    </row>
    <row r="2864" spans="1:31" ht="409.5">
      <c r="A2864" s="2">
        <v>2708779</v>
      </c>
      <c r="B2864" s="2">
        <f>HYPERLINK("https://platform.v2.vetology.net/cases/2708779/screening-report/1?type=pdf&amp;v=v6&amp;scorecard=1&amp;secret_key=BX%25IJ%24%2F65ieZ%29f6", 2708779)</f>
        <v>2708779</v>
      </c>
      <c r="C2864" s="2">
        <f>HYPERLINK("https://platform.v2.vetology.net/report/v/final/"&amp;2708779, 2708779)</f>
        <v>2708779</v>
      </c>
      <c r="D2864" s="2" t="s">
        <v>9136</v>
      </c>
      <c r="E2864" s="2" t="s">
        <v>9137</v>
      </c>
      <c r="F2864" s="2" t="s">
        <v>9138</v>
      </c>
      <c r="G2864" s="2" t="s">
        <v>53</v>
      </c>
      <c r="H2864" s="2" t="s">
        <v>62</v>
      </c>
      <c r="I2864" s="2" t="s">
        <v>46</v>
      </c>
      <c r="J2864" s="2"/>
      <c r="K2864" s="2" t="s">
        <v>39</v>
      </c>
      <c r="L2864" s="2" t="s">
        <v>39</v>
      </c>
      <c r="M2864" s="2" t="s">
        <v>39</v>
      </c>
      <c r="N2864" s="2" t="s">
        <v>39</v>
      </c>
      <c r="O2864" s="2" t="s">
        <v>39</v>
      </c>
      <c r="P2864" s="2" t="s">
        <v>39</v>
      </c>
      <c r="Q2864" s="2" t="s">
        <v>39</v>
      </c>
      <c r="R2864" s="2" t="s">
        <v>38</v>
      </c>
      <c r="S2864" s="2" t="s">
        <v>38</v>
      </c>
      <c r="T2864" s="2" t="s">
        <v>38</v>
      </c>
      <c r="U2864" s="2" t="s">
        <v>39</v>
      </c>
      <c r="V2864" s="2" t="s">
        <v>39</v>
      </c>
      <c r="W2864" s="2" t="s">
        <v>38</v>
      </c>
      <c r="X2864" s="2" t="s">
        <v>39</v>
      </c>
      <c r="Y2864" s="2" t="s">
        <v>38</v>
      </c>
      <c r="Z2864" s="2" t="s">
        <v>38</v>
      </c>
      <c r="AA2864" s="2" t="s">
        <v>39</v>
      </c>
      <c r="AB2864" s="2" t="s">
        <v>39</v>
      </c>
      <c r="AC2864" s="2" t="s">
        <v>38</v>
      </c>
      <c r="AD2864" s="2" t="s">
        <v>38</v>
      </c>
      <c r="AE2864" s="2" t="s">
        <v>39</v>
      </c>
    </row>
    <row r="2865" spans="1:31" ht="409.5">
      <c r="A2865" s="2">
        <v>2708768</v>
      </c>
      <c r="B2865" s="2">
        <f>HYPERLINK("https://platform.v2.vetology.net/cases/2708768/screening-report/1?type=pdf&amp;v=v6&amp;scorecard=1&amp;secret_key=BX%25IJ%24%2F65ieZ%29f6", 2708768)</f>
        <v>2708768</v>
      </c>
      <c r="C2865" s="2">
        <f>HYPERLINK("https://platform.v2.vetology.net/report/v/final/"&amp;2708768, 2708768)</f>
        <v>2708768</v>
      </c>
      <c r="D2865" s="2" t="s">
        <v>9139</v>
      </c>
      <c r="E2865" s="2" t="s">
        <v>9140</v>
      </c>
      <c r="F2865" s="2" t="s">
        <v>9141</v>
      </c>
      <c r="G2865" s="2" t="s">
        <v>53</v>
      </c>
      <c r="H2865" s="2" t="s">
        <v>9142</v>
      </c>
      <c r="I2865" s="2" t="s">
        <v>36</v>
      </c>
      <c r="J2865" s="2" t="s">
        <v>37</v>
      </c>
      <c r="K2865" s="2" t="s">
        <v>39</v>
      </c>
      <c r="L2865" s="2" t="s">
        <v>39</v>
      </c>
      <c r="M2865" s="2" t="s">
        <v>38</v>
      </c>
      <c r="N2865" s="2" t="s">
        <v>39</v>
      </c>
      <c r="O2865" s="2" t="s">
        <v>38</v>
      </c>
      <c r="P2865" s="2" t="s">
        <v>38</v>
      </c>
      <c r="Q2865" s="2" t="s">
        <v>39</v>
      </c>
      <c r="R2865" s="2" t="s">
        <v>39</v>
      </c>
      <c r="S2865" s="2" t="s">
        <v>39</v>
      </c>
      <c r="T2865" s="2" t="s">
        <v>38</v>
      </c>
      <c r="U2865" s="2" t="s">
        <v>39</v>
      </c>
      <c r="V2865" s="2" t="s">
        <v>39</v>
      </c>
      <c r="W2865" s="2" t="s">
        <v>39</v>
      </c>
      <c r="X2865" s="2" t="s">
        <v>39</v>
      </c>
      <c r="Y2865" s="2" t="s">
        <v>39</v>
      </c>
      <c r="Z2865" s="2" t="s">
        <v>39</v>
      </c>
      <c r="AA2865" s="2" t="s">
        <v>39</v>
      </c>
      <c r="AB2865" s="2" t="s">
        <v>39</v>
      </c>
      <c r="AC2865" s="2" t="s">
        <v>38</v>
      </c>
      <c r="AD2865" s="2" t="s">
        <v>39</v>
      </c>
      <c r="AE2865" s="2"/>
    </row>
    <row r="2866" spans="1:31" ht="409.5">
      <c r="A2866" s="2">
        <v>2708738</v>
      </c>
      <c r="B2866" s="2">
        <f>HYPERLINK("https://platform.v2.vetology.net/cases/2708738/screening-report/1?type=pdf&amp;v=v6&amp;scorecard=1&amp;secret_key=BX%25IJ%24%2F65ieZ%29f6", 2708738)</f>
        <v>2708738</v>
      </c>
      <c r="C2866" s="2">
        <f>HYPERLINK("https://platform.v2.vetology.net/report/v/final/"&amp;2708738, 2708738)</f>
        <v>2708738</v>
      </c>
      <c r="D2866" s="2" t="s">
        <v>9143</v>
      </c>
      <c r="E2866" s="2" t="s">
        <v>9144</v>
      </c>
      <c r="F2866" s="2" t="s">
        <v>356</v>
      </c>
      <c r="G2866" s="2" t="s">
        <v>100</v>
      </c>
      <c r="H2866" s="2" t="s">
        <v>9145</v>
      </c>
      <c r="I2866" s="2" t="s">
        <v>73</v>
      </c>
      <c r="J2866" s="2" t="s">
        <v>74</v>
      </c>
      <c r="K2866" s="2" t="s">
        <v>38</v>
      </c>
      <c r="L2866" s="2" t="s">
        <v>38</v>
      </c>
      <c r="M2866" s="2" t="s">
        <v>38</v>
      </c>
      <c r="N2866" s="2" t="s">
        <v>38</v>
      </c>
      <c r="O2866" s="2" t="s">
        <v>38</v>
      </c>
      <c r="P2866" s="2" t="s">
        <v>38</v>
      </c>
      <c r="Q2866" s="2" t="s">
        <v>38</v>
      </c>
      <c r="R2866" s="2" t="s">
        <v>39</v>
      </c>
      <c r="S2866" s="2" t="s">
        <v>38</v>
      </c>
      <c r="T2866" s="2" t="s">
        <v>38</v>
      </c>
      <c r="U2866" s="2" t="s">
        <v>38</v>
      </c>
      <c r="V2866" s="2" t="s">
        <v>38</v>
      </c>
      <c r="W2866" s="2" t="s">
        <v>38</v>
      </c>
      <c r="X2866" s="2" t="s">
        <v>38</v>
      </c>
      <c r="Y2866" s="2" t="s">
        <v>38</v>
      </c>
      <c r="Z2866" s="2" t="s">
        <v>38</v>
      </c>
      <c r="AA2866" s="2" t="s">
        <v>38</v>
      </c>
      <c r="AB2866" s="2" t="s">
        <v>38</v>
      </c>
      <c r="AC2866" s="2" t="s">
        <v>38</v>
      </c>
      <c r="AD2866" s="2" t="s">
        <v>38</v>
      </c>
      <c r="AE2866" s="2" t="s">
        <v>39</v>
      </c>
    </row>
    <row r="2867" spans="1:31" ht="409.5">
      <c r="A2867" s="2">
        <v>2708720</v>
      </c>
      <c r="B2867" s="2">
        <f>HYPERLINK("https://platform.v2.vetology.net/cases/2708720/screening-report/1?type=pdf&amp;v=v6&amp;scorecard=1&amp;secret_key=BX%25IJ%24%2F65ieZ%29f6", 2708720)</f>
        <v>2708720</v>
      </c>
      <c r="C2867" s="2">
        <f>HYPERLINK("https://platform.v2.vetology.net/report/v/final/"&amp;2708720, 2708720)</f>
        <v>2708720</v>
      </c>
      <c r="D2867" s="2" t="s">
        <v>9146</v>
      </c>
      <c r="E2867" s="2" t="s">
        <v>9147</v>
      </c>
      <c r="F2867" s="2" t="s">
        <v>43</v>
      </c>
      <c r="G2867" s="2" t="s">
        <v>507</v>
      </c>
      <c r="H2867" s="2" t="s">
        <v>69</v>
      </c>
      <c r="I2867" s="2" t="s">
        <v>46</v>
      </c>
      <c r="J2867" s="2"/>
      <c r="K2867" s="2" t="s">
        <v>39</v>
      </c>
      <c r="L2867" s="2" t="s">
        <v>39</v>
      </c>
      <c r="M2867" s="2" t="s">
        <v>39</v>
      </c>
      <c r="N2867" s="2" t="s">
        <v>39</v>
      </c>
      <c r="O2867" s="2" t="s">
        <v>39</v>
      </c>
      <c r="P2867" s="2" t="s">
        <v>39</v>
      </c>
      <c r="Q2867" s="2" t="s">
        <v>39</v>
      </c>
      <c r="R2867" s="2" t="s">
        <v>39</v>
      </c>
      <c r="S2867" s="2" t="s">
        <v>39</v>
      </c>
      <c r="T2867" s="2" t="s">
        <v>39</v>
      </c>
      <c r="U2867" s="2" t="s">
        <v>39</v>
      </c>
      <c r="V2867" s="2" t="s">
        <v>39</v>
      </c>
      <c r="W2867" s="2" t="s">
        <v>39</v>
      </c>
      <c r="X2867" s="2" t="s">
        <v>39</v>
      </c>
      <c r="Y2867" s="2" t="s">
        <v>39</v>
      </c>
      <c r="Z2867" s="2" t="s">
        <v>39</v>
      </c>
      <c r="AA2867" s="2" t="s">
        <v>38</v>
      </c>
      <c r="AB2867" s="2" t="s">
        <v>39</v>
      </c>
      <c r="AC2867" s="2" t="s">
        <v>38</v>
      </c>
      <c r="AD2867" s="2" t="s">
        <v>39</v>
      </c>
      <c r="AE2867" s="2" t="s">
        <v>39</v>
      </c>
    </row>
    <row r="2868" spans="1:31" ht="409.5">
      <c r="A2868" s="2">
        <v>2708711</v>
      </c>
      <c r="B2868" s="2">
        <f>HYPERLINK("https://platform.v2.vetology.net/cases/2708711/screening-report/1?type=pdf&amp;v=v6&amp;scorecard=1&amp;secret_key=BX%25IJ%24%2F65ieZ%29f6", 2708711)</f>
        <v>2708711</v>
      </c>
      <c r="C2868" s="2">
        <f>HYPERLINK("https://platform.v2.vetology.net/report/v/final/"&amp;2708711, 2708711)</f>
        <v>2708711</v>
      </c>
      <c r="D2868" s="2" t="s">
        <v>9148</v>
      </c>
      <c r="E2868" s="2" t="s">
        <v>9149</v>
      </c>
      <c r="F2868" s="2" t="s">
        <v>9150</v>
      </c>
      <c r="G2868" s="2" t="s">
        <v>127</v>
      </c>
      <c r="H2868" s="2" t="s">
        <v>9151</v>
      </c>
      <c r="I2868" s="2" t="s">
        <v>36</v>
      </c>
      <c r="J2868" s="2" t="s">
        <v>37</v>
      </c>
      <c r="K2868" s="2" t="s">
        <v>39</v>
      </c>
      <c r="L2868" s="2" t="s">
        <v>38</v>
      </c>
      <c r="M2868" s="2" t="s">
        <v>38</v>
      </c>
      <c r="N2868" s="2" t="s">
        <v>38</v>
      </c>
      <c r="O2868" s="2" t="s">
        <v>38</v>
      </c>
      <c r="P2868" s="2" t="s">
        <v>38</v>
      </c>
      <c r="Q2868" s="2" t="s">
        <v>39</v>
      </c>
      <c r="R2868" s="2" t="s">
        <v>38</v>
      </c>
      <c r="S2868" s="2" t="s">
        <v>38</v>
      </c>
      <c r="T2868" s="2" t="s">
        <v>39</v>
      </c>
      <c r="U2868" s="2" t="s">
        <v>39</v>
      </c>
      <c r="V2868" s="2" t="s">
        <v>39</v>
      </c>
      <c r="W2868" s="2" t="s">
        <v>38</v>
      </c>
      <c r="X2868" s="2" t="s">
        <v>39</v>
      </c>
      <c r="Y2868" s="2" t="s">
        <v>39</v>
      </c>
      <c r="Z2868" s="2" t="s">
        <v>38</v>
      </c>
      <c r="AA2868" s="2" t="s">
        <v>39</v>
      </c>
      <c r="AB2868" s="2" t="s">
        <v>39</v>
      </c>
      <c r="AC2868" s="2" t="s">
        <v>38</v>
      </c>
      <c r="AD2868" s="2" t="s">
        <v>38</v>
      </c>
      <c r="AE2868" s="2"/>
    </row>
    <row r="2869" spans="1:31" ht="409.5">
      <c r="A2869" s="2">
        <v>2708706</v>
      </c>
      <c r="B2869" s="2">
        <f>HYPERLINK("https://platform.v2.vetology.net/cases/2708706/screening-report/1?type=pdf&amp;v=v6&amp;scorecard=1&amp;secret_key=BX%25IJ%24%2F65ieZ%29f6", 2708706)</f>
        <v>2708706</v>
      </c>
      <c r="C2869" s="2">
        <f>HYPERLINK("https://platform.v2.vetology.net/report/v/final/"&amp;2708706, 2708706)</f>
        <v>2708706</v>
      </c>
      <c r="D2869" s="2" t="s">
        <v>9152</v>
      </c>
      <c r="E2869" s="2" t="s">
        <v>9153</v>
      </c>
      <c r="F2869" s="2" t="s">
        <v>1897</v>
      </c>
      <c r="G2869" s="2" t="s">
        <v>81</v>
      </c>
      <c r="H2869" s="2" t="s">
        <v>3928</v>
      </c>
      <c r="I2869" s="2" t="s">
        <v>36</v>
      </c>
      <c r="J2869" s="2" t="s">
        <v>37</v>
      </c>
      <c r="K2869" s="2" t="s">
        <v>39</v>
      </c>
      <c r="L2869" s="2" t="s">
        <v>38</v>
      </c>
      <c r="M2869" s="2" t="s">
        <v>39</v>
      </c>
      <c r="N2869" s="2" t="s">
        <v>39</v>
      </c>
      <c r="O2869" s="2" t="s">
        <v>39</v>
      </c>
      <c r="P2869" s="2" t="s">
        <v>39</v>
      </c>
      <c r="Q2869" s="2" t="s">
        <v>39</v>
      </c>
      <c r="R2869" s="2" t="s">
        <v>38</v>
      </c>
      <c r="S2869" s="2" t="s">
        <v>38</v>
      </c>
      <c r="T2869" s="2" t="s">
        <v>39</v>
      </c>
      <c r="U2869" s="2" t="s">
        <v>39</v>
      </c>
      <c r="V2869" s="2" t="s">
        <v>39</v>
      </c>
      <c r="W2869" s="2" t="s">
        <v>39</v>
      </c>
      <c r="X2869" s="2" t="s">
        <v>39</v>
      </c>
      <c r="Y2869" s="2" t="s">
        <v>39</v>
      </c>
      <c r="Z2869" s="2" t="s">
        <v>38</v>
      </c>
      <c r="AA2869" s="2" t="s">
        <v>39</v>
      </c>
      <c r="AB2869" s="2" t="s">
        <v>39</v>
      </c>
      <c r="AC2869" s="2" t="s">
        <v>38</v>
      </c>
      <c r="AD2869" s="2" t="s">
        <v>38</v>
      </c>
      <c r="AE2869" s="2" t="s">
        <v>39</v>
      </c>
    </row>
    <row r="2870" spans="1:31" ht="409.5">
      <c r="A2870" s="2">
        <v>2708699</v>
      </c>
      <c r="B2870" s="2">
        <f>HYPERLINK("https://platform.v2.vetology.net/cases/2708699/screening-report/1?type=pdf&amp;v=v6&amp;scorecard=1&amp;secret_key=BX%25IJ%24%2F65ieZ%29f6", 2708699)</f>
        <v>2708699</v>
      </c>
      <c r="C2870" s="2">
        <f>HYPERLINK("https://platform.v2.vetology.net/report/v/final/"&amp;2708699, 2708699)</f>
        <v>2708699</v>
      </c>
      <c r="D2870" s="2" t="s">
        <v>9154</v>
      </c>
      <c r="E2870" s="2" t="s">
        <v>9155</v>
      </c>
      <c r="F2870" s="2" t="s">
        <v>9156</v>
      </c>
      <c r="G2870" s="2" t="s">
        <v>111</v>
      </c>
      <c r="H2870" s="2" t="s">
        <v>419</v>
      </c>
      <c r="I2870" s="2" t="s">
        <v>36</v>
      </c>
      <c r="J2870" s="2" t="s">
        <v>37</v>
      </c>
      <c r="K2870" s="2" t="s">
        <v>39</v>
      </c>
      <c r="L2870" s="2" t="s">
        <v>39</v>
      </c>
      <c r="M2870" s="2" t="s">
        <v>38</v>
      </c>
      <c r="N2870" s="2" t="s">
        <v>39</v>
      </c>
      <c r="O2870" s="2" t="s">
        <v>39</v>
      </c>
      <c r="P2870" s="2" t="s">
        <v>39</v>
      </c>
      <c r="Q2870" s="2" t="s">
        <v>39</v>
      </c>
      <c r="R2870" s="2" t="s">
        <v>38</v>
      </c>
      <c r="S2870" s="2" t="s">
        <v>39</v>
      </c>
      <c r="T2870" s="2" t="s">
        <v>39</v>
      </c>
      <c r="U2870" s="2" t="s">
        <v>39</v>
      </c>
      <c r="V2870" s="2" t="s">
        <v>39</v>
      </c>
      <c r="W2870" s="2" t="s">
        <v>38</v>
      </c>
      <c r="X2870" s="2" t="s">
        <v>39</v>
      </c>
      <c r="Y2870" s="2" t="s">
        <v>39</v>
      </c>
      <c r="Z2870" s="2" t="s">
        <v>38</v>
      </c>
      <c r="AA2870" s="2" t="s">
        <v>39</v>
      </c>
      <c r="AB2870" s="2" t="s">
        <v>39</v>
      </c>
      <c r="AC2870" s="2" t="s">
        <v>39</v>
      </c>
      <c r="AD2870" s="2" t="s">
        <v>39</v>
      </c>
      <c r="AE2870" s="2"/>
    </row>
    <row r="2871" spans="1:31" ht="409.5">
      <c r="A2871" s="2">
        <v>2708667</v>
      </c>
      <c r="B2871" s="2">
        <f>HYPERLINK("https://platform.v2.vetology.net/cases/2708667/screening-report/1?type=pdf&amp;v=v6&amp;scorecard=1&amp;secret_key=BX%25IJ%24%2F65ieZ%29f6", 2708667)</f>
        <v>2708667</v>
      </c>
      <c r="C2871" s="2">
        <f>HYPERLINK("https://platform.v2.vetology.net/report/v/final/"&amp;2708667, 2708667)</f>
        <v>2708667</v>
      </c>
      <c r="D2871" s="2" t="s">
        <v>9157</v>
      </c>
      <c r="E2871" s="2" t="s">
        <v>9158</v>
      </c>
      <c r="F2871" s="2" t="s">
        <v>43</v>
      </c>
      <c r="G2871" s="2" t="s">
        <v>44</v>
      </c>
      <c r="H2871" s="2" t="s">
        <v>9159</v>
      </c>
      <c r="I2871" s="2" t="s">
        <v>36</v>
      </c>
      <c r="J2871" s="2" t="s">
        <v>37</v>
      </c>
      <c r="K2871" s="2" t="s">
        <v>38</v>
      </c>
      <c r="L2871" s="2" t="s">
        <v>38</v>
      </c>
      <c r="M2871" s="2" t="s">
        <v>39</v>
      </c>
      <c r="N2871" s="2" t="s">
        <v>38</v>
      </c>
      <c r="O2871" s="2" t="s">
        <v>38</v>
      </c>
      <c r="P2871" s="2" t="s">
        <v>39</v>
      </c>
      <c r="Q2871" s="2" t="s">
        <v>39</v>
      </c>
      <c r="R2871" s="2" t="s">
        <v>38</v>
      </c>
      <c r="S2871" s="2" t="s">
        <v>38</v>
      </c>
      <c r="T2871" s="2" t="s">
        <v>39</v>
      </c>
      <c r="U2871" s="2" t="s">
        <v>38</v>
      </c>
      <c r="V2871" s="2" t="s">
        <v>38</v>
      </c>
      <c r="W2871" s="2" t="s">
        <v>38</v>
      </c>
      <c r="X2871" s="2" t="s">
        <v>39</v>
      </c>
      <c r="Y2871" s="2" t="s">
        <v>39</v>
      </c>
      <c r="Z2871" s="2" t="s">
        <v>38</v>
      </c>
      <c r="AA2871" s="2" t="s">
        <v>38</v>
      </c>
      <c r="AB2871" s="2" t="s">
        <v>39</v>
      </c>
      <c r="AC2871" s="2" t="s">
        <v>38</v>
      </c>
      <c r="AD2871" s="2" t="s">
        <v>38</v>
      </c>
      <c r="AE2871" s="2" t="s">
        <v>40</v>
      </c>
    </row>
    <row r="2872" spans="1:31" ht="409.5">
      <c r="A2872" s="2">
        <v>2708652</v>
      </c>
      <c r="B2872" s="2">
        <f>HYPERLINK("https://platform.v2.vetology.net/cases/2708652/screening-report/1?type=pdf&amp;v=v6&amp;scorecard=1&amp;secret_key=BX%25IJ%24%2F65ieZ%29f6", 2708652)</f>
        <v>2708652</v>
      </c>
      <c r="C2872" s="2">
        <f>HYPERLINK("https://platform.v2.vetology.net/report/v/final/"&amp;2708652, 2708652)</f>
        <v>2708652</v>
      </c>
      <c r="D2872" s="2" t="s">
        <v>9160</v>
      </c>
      <c r="E2872" s="2" t="s">
        <v>9161</v>
      </c>
      <c r="F2872" s="2" t="s">
        <v>43</v>
      </c>
      <c r="G2872" s="2" t="s">
        <v>44</v>
      </c>
      <c r="H2872" s="2" t="s">
        <v>1669</v>
      </c>
      <c r="I2872" s="2" t="s">
        <v>46</v>
      </c>
      <c r="J2872" s="2"/>
      <c r="K2872" s="2" t="s">
        <v>39</v>
      </c>
      <c r="L2872" s="2" t="s">
        <v>39</v>
      </c>
      <c r="M2872" s="2" t="s">
        <v>39</v>
      </c>
      <c r="N2872" s="2" t="s">
        <v>39</v>
      </c>
      <c r="O2872" s="2" t="s">
        <v>39</v>
      </c>
      <c r="P2872" s="2" t="s">
        <v>38</v>
      </c>
      <c r="Q2872" s="2" t="s">
        <v>39</v>
      </c>
      <c r="R2872" s="2" t="s">
        <v>39</v>
      </c>
      <c r="S2872" s="2" t="s">
        <v>39</v>
      </c>
      <c r="T2872" s="2" t="s">
        <v>38</v>
      </c>
      <c r="U2872" s="2" t="s">
        <v>39</v>
      </c>
      <c r="V2872" s="2" t="s">
        <v>39</v>
      </c>
      <c r="W2872" s="2" t="s">
        <v>39</v>
      </c>
      <c r="X2872" s="2" t="s">
        <v>39</v>
      </c>
      <c r="Y2872" s="2" t="s">
        <v>39</v>
      </c>
      <c r="Z2872" s="2" t="s">
        <v>39</v>
      </c>
      <c r="AA2872" s="2" t="s">
        <v>39</v>
      </c>
      <c r="AB2872" s="2" t="s">
        <v>39</v>
      </c>
      <c r="AC2872" s="2" t="s">
        <v>39</v>
      </c>
      <c r="AD2872" s="2" t="s">
        <v>39</v>
      </c>
      <c r="AE2872" s="2" t="s">
        <v>39</v>
      </c>
    </row>
    <row r="2873" spans="1:31" ht="409.5">
      <c r="A2873" s="2">
        <v>2708651</v>
      </c>
      <c r="B2873" s="2">
        <f>HYPERLINK("https://platform.v2.vetology.net/cases/2708651/screening-report/1?type=pdf&amp;v=v6&amp;scorecard=1&amp;secret_key=BX%25IJ%24%2F65ieZ%29f6", 2708651)</f>
        <v>2708651</v>
      </c>
      <c r="C2873" s="2">
        <f>HYPERLINK("https://platform.v2.vetology.net/report/v/final/"&amp;2708651, 2708651)</f>
        <v>2708651</v>
      </c>
      <c r="D2873" s="2" t="s">
        <v>9162</v>
      </c>
      <c r="E2873" s="2" t="s">
        <v>1484</v>
      </c>
      <c r="F2873" s="2" t="s">
        <v>9163</v>
      </c>
      <c r="G2873" s="2" t="s">
        <v>111</v>
      </c>
      <c r="H2873" s="2" t="s">
        <v>9164</v>
      </c>
      <c r="I2873" s="2" t="s">
        <v>36</v>
      </c>
      <c r="J2873" s="2" t="s">
        <v>37</v>
      </c>
      <c r="K2873" s="2" t="s">
        <v>39</v>
      </c>
      <c r="L2873" s="2" t="s">
        <v>38</v>
      </c>
      <c r="M2873" s="2" t="s">
        <v>38</v>
      </c>
      <c r="N2873" s="2" t="s">
        <v>38</v>
      </c>
      <c r="O2873" s="2" t="s">
        <v>38</v>
      </c>
      <c r="P2873" s="2" t="s">
        <v>38</v>
      </c>
      <c r="Q2873" s="2" t="s">
        <v>39</v>
      </c>
      <c r="R2873" s="2" t="s">
        <v>39</v>
      </c>
      <c r="S2873" s="2" t="s">
        <v>39</v>
      </c>
      <c r="T2873" s="2" t="s">
        <v>38</v>
      </c>
      <c r="U2873" s="2" t="s">
        <v>39</v>
      </c>
      <c r="V2873" s="2" t="s">
        <v>38</v>
      </c>
      <c r="W2873" s="2" t="s">
        <v>38</v>
      </c>
      <c r="X2873" s="2" t="s">
        <v>38</v>
      </c>
      <c r="Y2873" s="2" t="s">
        <v>39</v>
      </c>
      <c r="Z2873" s="2" t="s">
        <v>38</v>
      </c>
      <c r="AA2873" s="2" t="s">
        <v>39</v>
      </c>
      <c r="AB2873" s="2" t="s">
        <v>38</v>
      </c>
      <c r="AC2873" s="2" t="s">
        <v>38</v>
      </c>
      <c r="AD2873" s="2" t="s">
        <v>38</v>
      </c>
      <c r="AE2873" s="2" t="s">
        <v>39</v>
      </c>
    </row>
    <row r="2874" spans="1:31" ht="409.5">
      <c r="A2874" s="2">
        <v>2708650</v>
      </c>
      <c r="B2874" s="2">
        <f>HYPERLINK("https://platform.v2.vetology.net/cases/2708650/screening-report/1?type=pdf&amp;v=v6&amp;scorecard=1&amp;secret_key=BX%25IJ%24%2F65ieZ%29f6", 2708650)</f>
        <v>2708650</v>
      </c>
      <c r="C2874" s="2">
        <f>HYPERLINK("https://platform.v2.vetology.net/report/v/final/"&amp;2708650, 2708650)</f>
        <v>2708650</v>
      </c>
      <c r="D2874" s="2" t="s">
        <v>9165</v>
      </c>
      <c r="E2874" s="2" t="s">
        <v>9166</v>
      </c>
      <c r="F2874" s="2" t="s">
        <v>43</v>
      </c>
      <c r="G2874" s="2" t="s">
        <v>507</v>
      </c>
      <c r="H2874" s="2" t="s">
        <v>9167</v>
      </c>
      <c r="I2874" s="2" t="s">
        <v>129</v>
      </c>
      <c r="J2874" s="2" t="s">
        <v>74</v>
      </c>
      <c r="K2874" s="2" t="s">
        <v>39</v>
      </c>
      <c r="L2874" s="2" t="s">
        <v>38</v>
      </c>
      <c r="M2874" s="2" t="s">
        <v>38</v>
      </c>
      <c r="N2874" s="2" t="s">
        <v>38</v>
      </c>
      <c r="O2874" s="2" t="s">
        <v>38</v>
      </c>
      <c r="P2874" s="2" t="s">
        <v>39</v>
      </c>
      <c r="Q2874" s="2" t="s">
        <v>38</v>
      </c>
      <c r="R2874" s="2" t="s">
        <v>39</v>
      </c>
      <c r="S2874" s="2" t="s">
        <v>39</v>
      </c>
      <c r="T2874" s="2" t="s">
        <v>39</v>
      </c>
      <c r="U2874" s="2" t="s">
        <v>39</v>
      </c>
      <c r="V2874" s="2" t="s">
        <v>39</v>
      </c>
      <c r="W2874" s="2" t="s">
        <v>38</v>
      </c>
      <c r="X2874" s="2" t="s">
        <v>38</v>
      </c>
      <c r="Y2874" s="2" t="s">
        <v>39</v>
      </c>
      <c r="Z2874" s="2" t="s">
        <v>38</v>
      </c>
      <c r="AA2874" s="2" t="s">
        <v>39</v>
      </c>
      <c r="AB2874" s="2" t="s">
        <v>38</v>
      </c>
      <c r="AC2874" s="2" t="s">
        <v>38</v>
      </c>
      <c r="AD2874" s="2" t="s">
        <v>39</v>
      </c>
      <c r="AE2874" s="2" t="s">
        <v>40</v>
      </c>
    </row>
    <row r="2875" spans="1:31" ht="409.5">
      <c r="A2875" s="2">
        <v>2708648</v>
      </c>
      <c r="B2875" s="2">
        <f>HYPERLINK("https://platform.v2.vetology.net/cases/2708648/screening-report/1?type=pdf&amp;v=v6&amp;scorecard=1&amp;secret_key=BX%25IJ%24%2F65ieZ%29f6", 2708648)</f>
        <v>2708648</v>
      </c>
      <c r="C2875" s="2">
        <f>HYPERLINK("https://platform.v2.vetology.net/report/v/final/"&amp;2708648, 2708648)</f>
        <v>2708648</v>
      </c>
      <c r="D2875" s="2" t="s">
        <v>9168</v>
      </c>
      <c r="E2875" s="2" t="s">
        <v>9169</v>
      </c>
      <c r="F2875" s="2" t="s">
        <v>43</v>
      </c>
      <c r="G2875" s="2" t="s">
        <v>44</v>
      </c>
      <c r="H2875" s="2" t="s">
        <v>9170</v>
      </c>
      <c r="I2875" s="2" t="s">
        <v>257</v>
      </c>
      <c r="J2875" s="2" t="s">
        <v>74</v>
      </c>
      <c r="K2875" s="2" t="s">
        <v>38</v>
      </c>
      <c r="L2875" s="2" t="s">
        <v>38</v>
      </c>
      <c r="M2875" s="2" t="s">
        <v>38</v>
      </c>
      <c r="N2875" s="2" t="s">
        <v>38</v>
      </c>
      <c r="O2875" s="2" t="s">
        <v>38</v>
      </c>
      <c r="P2875" s="2" t="s">
        <v>38</v>
      </c>
      <c r="Q2875" s="2" t="s">
        <v>38</v>
      </c>
      <c r="R2875" s="2" t="s">
        <v>38</v>
      </c>
      <c r="S2875" s="2" t="s">
        <v>38</v>
      </c>
      <c r="T2875" s="2" t="s">
        <v>38</v>
      </c>
      <c r="U2875" s="2" t="s">
        <v>38</v>
      </c>
      <c r="V2875" s="2" t="s">
        <v>38</v>
      </c>
      <c r="W2875" s="2" t="s">
        <v>38</v>
      </c>
      <c r="X2875" s="2" t="s">
        <v>38</v>
      </c>
      <c r="Y2875" s="2" t="s">
        <v>38</v>
      </c>
      <c r="Z2875" s="2" t="s">
        <v>38</v>
      </c>
      <c r="AA2875" s="2" t="s">
        <v>38</v>
      </c>
      <c r="AB2875" s="2" t="s">
        <v>38</v>
      </c>
      <c r="AC2875" s="2" t="s">
        <v>38</v>
      </c>
      <c r="AD2875" s="2" t="s">
        <v>38</v>
      </c>
      <c r="AE2875" s="2" t="s">
        <v>40</v>
      </c>
    </row>
    <row r="2876" spans="1:31" ht="409.5">
      <c r="A2876" s="2">
        <v>2708639</v>
      </c>
      <c r="B2876" s="2">
        <f>HYPERLINK("https://platform.v2.vetology.net/cases/2708639/screening-report/1?type=pdf&amp;v=v6&amp;scorecard=1&amp;secret_key=BX%25IJ%24%2F65ieZ%29f6", 2708639)</f>
        <v>2708639</v>
      </c>
      <c r="C2876" s="2">
        <f>HYPERLINK("https://platform.v2.vetology.net/report/v/final/"&amp;2708639, 2708639)</f>
        <v>2708639</v>
      </c>
      <c r="D2876" s="2" t="s">
        <v>9171</v>
      </c>
      <c r="E2876" s="2" t="s">
        <v>9172</v>
      </c>
      <c r="F2876" s="2" t="s">
        <v>9173</v>
      </c>
      <c r="G2876" s="2" t="s">
        <v>53</v>
      </c>
      <c r="H2876" s="2" t="s">
        <v>9174</v>
      </c>
      <c r="I2876" s="2" t="s">
        <v>129</v>
      </c>
      <c r="J2876" s="2" t="s">
        <v>74</v>
      </c>
      <c r="K2876" s="2" t="s">
        <v>38</v>
      </c>
      <c r="L2876" s="2" t="s">
        <v>38</v>
      </c>
      <c r="M2876" s="2" t="s">
        <v>39</v>
      </c>
      <c r="N2876" s="2" t="s">
        <v>38</v>
      </c>
      <c r="O2876" s="2" t="s">
        <v>39</v>
      </c>
      <c r="P2876" s="2" t="s">
        <v>39</v>
      </c>
      <c r="Q2876" s="2" t="s">
        <v>38</v>
      </c>
      <c r="R2876" s="2" t="s">
        <v>39</v>
      </c>
      <c r="S2876" s="2" t="s">
        <v>39</v>
      </c>
      <c r="T2876" s="2" t="s">
        <v>39</v>
      </c>
      <c r="U2876" s="2" t="s">
        <v>39</v>
      </c>
      <c r="V2876" s="2" t="s">
        <v>38</v>
      </c>
      <c r="W2876" s="2" t="s">
        <v>39</v>
      </c>
      <c r="X2876" s="2" t="s">
        <v>39</v>
      </c>
      <c r="Y2876" s="2" t="s">
        <v>39</v>
      </c>
      <c r="Z2876" s="2" t="s">
        <v>39</v>
      </c>
      <c r="AA2876" s="2" t="s">
        <v>39</v>
      </c>
      <c r="AB2876" s="2" t="s">
        <v>39</v>
      </c>
      <c r="AC2876" s="2" t="s">
        <v>39</v>
      </c>
      <c r="AD2876" s="2" t="s">
        <v>38</v>
      </c>
      <c r="AE2876" s="2" t="s">
        <v>40</v>
      </c>
    </row>
    <row r="2877" spans="1:31" ht="409.5">
      <c r="A2877" s="2">
        <v>2708638</v>
      </c>
      <c r="B2877" s="2">
        <f>HYPERLINK("https://platform.v2.vetology.net/cases/2708638/screening-report/1?type=pdf&amp;v=v6&amp;scorecard=1&amp;secret_key=BX%25IJ%24%2F65ieZ%29f6", 2708638)</f>
        <v>2708638</v>
      </c>
      <c r="C2877" s="2">
        <f>HYPERLINK("https://platform.v2.vetology.net/report/v/final/"&amp;2708638, 2708638)</f>
        <v>2708638</v>
      </c>
      <c r="D2877" s="2" t="s">
        <v>9175</v>
      </c>
      <c r="E2877" s="2" t="s">
        <v>9176</v>
      </c>
      <c r="F2877" s="2" t="s">
        <v>9177</v>
      </c>
      <c r="G2877" s="2" t="s">
        <v>170</v>
      </c>
      <c r="H2877" s="2" t="s">
        <v>3441</v>
      </c>
      <c r="I2877" s="2" t="s">
        <v>36</v>
      </c>
      <c r="J2877" s="2" t="s">
        <v>37</v>
      </c>
      <c r="K2877" s="2" t="s">
        <v>38</v>
      </c>
      <c r="L2877" s="2" t="s">
        <v>38</v>
      </c>
      <c r="M2877" s="2" t="s">
        <v>38</v>
      </c>
      <c r="N2877" s="2" t="s">
        <v>38</v>
      </c>
      <c r="O2877" s="2" t="s">
        <v>38</v>
      </c>
      <c r="P2877" s="2" t="s">
        <v>39</v>
      </c>
      <c r="Q2877" s="2" t="s">
        <v>39</v>
      </c>
      <c r="R2877" s="2" t="s">
        <v>38</v>
      </c>
      <c r="S2877" s="2" t="s">
        <v>38</v>
      </c>
      <c r="T2877" s="2" t="s">
        <v>38</v>
      </c>
      <c r="U2877" s="2" t="s">
        <v>38</v>
      </c>
      <c r="V2877" s="2" t="s">
        <v>38</v>
      </c>
      <c r="W2877" s="2" t="s">
        <v>38</v>
      </c>
      <c r="X2877" s="2" t="s">
        <v>39</v>
      </c>
      <c r="Y2877" s="2" t="s">
        <v>39</v>
      </c>
      <c r="Z2877" s="2" t="s">
        <v>38</v>
      </c>
      <c r="AA2877" s="2" t="s">
        <v>38</v>
      </c>
      <c r="AB2877" s="2" t="s">
        <v>39</v>
      </c>
      <c r="AC2877" s="2" t="s">
        <v>38</v>
      </c>
      <c r="AD2877" s="2" t="s">
        <v>38</v>
      </c>
      <c r="AE2877" s="2" t="s">
        <v>40</v>
      </c>
    </row>
    <row r="2878" spans="1:31" ht="409.5">
      <c r="A2878" s="2">
        <v>2708627</v>
      </c>
      <c r="B2878" s="2">
        <f>HYPERLINK("https://platform.v2.vetology.net/cases/2708627/screening-report/1?type=pdf&amp;v=v6&amp;scorecard=1&amp;secret_key=BX%25IJ%24%2F65ieZ%29f6", 2708627)</f>
        <v>2708627</v>
      </c>
      <c r="C2878" s="2">
        <f>HYPERLINK("https://platform.v2.vetology.net/report/v/final/"&amp;2708627, 2708627)</f>
        <v>2708627</v>
      </c>
      <c r="D2878" s="2" t="s">
        <v>9178</v>
      </c>
      <c r="E2878" s="2" t="s">
        <v>9179</v>
      </c>
      <c r="F2878" s="2" t="s">
        <v>9180</v>
      </c>
      <c r="G2878" s="2" t="s">
        <v>251</v>
      </c>
      <c r="H2878" s="2" t="s">
        <v>9181</v>
      </c>
      <c r="I2878" s="2" t="s">
        <v>129</v>
      </c>
      <c r="J2878" s="2" t="s">
        <v>74</v>
      </c>
      <c r="K2878" s="2" t="s">
        <v>39</v>
      </c>
      <c r="L2878" s="2" t="s">
        <v>38</v>
      </c>
      <c r="M2878" s="2" t="s">
        <v>38</v>
      </c>
      <c r="N2878" s="2" t="s">
        <v>38</v>
      </c>
      <c r="O2878" s="2" t="s">
        <v>38</v>
      </c>
      <c r="P2878" s="2" t="s">
        <v>38</v>
      </c>
      <c r="Q2878" s="2" t="s">
        <v>38</v>
      </c>
      <c r="R2878" s="2" t="s">
        <v>38</v>
      </c>
      <c r="S2878" s="2" t="s">
        <v>38</v>
      </c>
      <c r="T2878" s="2" t="s">
        <v>38</v>
      </c>
      <c r="U2878" s="2" t="s">
        <v>39</v>
      </c>
      <c r="V2878" s="2" t="s">
        <v>39</v>
      </c>
      <c r="W2878" s="2" t="s">
        <v>38</v>
      </c>
      <c r="X2878" s="2" t="s">
        <v>39</v>
      </c>
      <c r="Y2878" s="2" t="s">
        <v>39</v>
      </c>
      <c r="Z2878" s="2" t="s">
        <v>38</v>
      </c>
      <c r="AA2878" s="2" t="s">
        <v>38</v>
      </c>
      <c r="AB2878" s="2" t="s">
        <v>39</v>
      </c>
      <c r="AC2878" s="2" t="s">
        <v>38</v>
      </c>
      <c r="AD2878" s="2" t="s">
        <v>38</v>
      </c>
      <c r="AE2878" s="2" t="s">
        <v>39</v>
      </c>
    </row>
    <row r="2879" spans="1:31" ht="409.5">
      <c r="A2879" s="2">
        <v>2708622</v>
      </c>
      <c r="B2879" s="2">
        <f>HYPERLINK("https://platform.v2.vetology.net/cases/2708622/screening-report/1?type=pdf&amp;v=v6&amp;scorecard=1&amp;secret_key=BX%25IJ%24%2F65ieZ%29f6", 2708622)</f>
        <v>2708622</v>
      </c>
      <c r="C2879" s="2">
        <f>HYPERLINK("https://platform.v2.vetology.net/report/v/final/"&amp;2708622, 2708622)</f>
        <v>2708622</v>
      </c>
      <c r="D2879" s="2" t="s">
        <v>9182</v>
      </c>
      <c r="E2879" s="2" t="s">
        <v>9183</v>
      </c>
      <c r="F2879" s="2" t="s">
        <v>43</v>
      </c>
      <c r="G2879" s="2" t="s">
        <v>44</v>
      </c>
      <c r="H2879" s="2" t="s">
        <v>9184</v>
      </c>
      <c r="I2879" s="2" t="s">
        <v>73</v>
      </c>
      <c r="J2879" s="2" t="s">
        <v>74</v>
      </c>
      <c r="K2879" s="2" t="s">
        <v>38</v>
      </c>
      <c r="L2879" s="2" t="s">
        <v>38</v>
      </c>
      <c r="M2879" s="2" t="s">
        <v>38</v>
      </c>
      <c r="N2879" s="2" t="s">
        <v>38</v>
      </c>
      <c r="O2879" s="2" t="s">
        <v>38</v>
      </c>
      <c r="P2879" s="2" t="s">
        <v>38</v>
      </c>
      <c r="Q2879" s="2" t="s">
        <v>38</v>
      </c>
      <c r="R2879" s="2" t="s">
        <v>38</v>
      </c>
      <c r="S2879" s="2" t="s">
        <v>38</v>
      </c>
      <c r="T2879" s="2" t="s">
        <v>38</v>
      </c>
      <c r="U2879" s="2" t="s">
        <v>38</v>
      </c>
      <c r="V2879" s="2" t="s">
        <v>38</v>
      </c>
      <c r="W2879" s="2" t="s">
        <v>38</v>
      </c>
      <c r="X2879" s="2" t="s">
        <v>38</v>
      </c>
      <c r="Y2879" s="2" t="s">
        <v>38</v>
      </c>
      <c r="Z2879" s="2" t="s">
        <v>38</v>
      </c>
      <c r="AA2879" s="2" t="s">
        <v>38</v>
      </c>
      <c r="AB2879" s="2" t="s">
        <v>38</v>
      </c>
      <c r="AC2879" s="2" t="s">
        <v>38</v>
      </c>
      <c r="AD2879" s="2" t="s">
        <v>38</v>
      </c>
      <c r="AE2879" s="2" t="s">
        <v>39</v>
      </c>
    </row>
    <row r="2880" spans="1:31" ht="409.5">
      <c r="A2880" s="2">
        <v>2708555</v>
      </c>
      <c r="B2880" s="2">
        <f>HYPERLINK("https://platform.v2.vetology.net/cases/2708555/screening-report/1?type=pdf&amp;v=v6&amp;scorecard=1&amp;secret_key=BX%25IJ%24%2F65ieZ%29f6", 2708555)</f>
        <v>2708555</v>
      </c>
      <c r="C2880" s="2">
        <f>HYPERLINK("https://platform.v2.vetology.net/report/v/final/"&amp;2708555, 2708555)</f>
        <v>2708555</v>
      </c>
      <c r="D2880" s="2" t="s">
        <v>9185</v>
      </c>
      <c r="E2880" s="2" t="s">
        <v>9186</v>
      </c>
      <c r="F2880" s="2" t="s">
        <v>43</v>
      </c>
      <c r="G2880" s="2" t="s">
        <v>44</v>
      </c>
      <c r="H2880" s="2" t="s">
        <v>9187</v>
      </c>
      <c r="I2880" s="2" t="s">
        <v>36</v>
      </c>
      <c r="J2880" s="2" t="s">
        <v>37</v>
      </c>
      <c r="K2880" s="2" t="s">
        <v>38</v>
      </c>
      <c r="L2880" s="2" t="s">
        <v>38</v>
      </c>
      <c r="M2880" s="2" t="s">
        <v>39</v>
      </c>
      <c r="N2880" s="2" t="s">
        <v>38</v>
      </c>
      <c r="O2880" s="2" t="s">
        <v>38</v>
      </c>
      <c r="P2880" s="2" t="s">
        <v>39</v>
      </c>
      <c r="Q2880" s="2" t="s">
        <v>39</v>
      </c>
      <c r="R2880" s="2" t="s">
        <v>39</v>
      </c>
      <c r="S2880" s="2" t="s">
        <v>38</v>
      </c>
      <c r="T2880" s="2" t="s">
        <v>38</v>
      </c>
      <c r="U2880" s="2" t="s">
        <v>38</v>
      </c>
      <c r="V2880" s="2" t="s">
        <v>38</v>
      </c>
      <c r="W2880" s="2" t="s">
        <v>38</v>
      </c>
      <c r="X2880" s="2" t="s">
        <v>39</v>
      </c>
      <c r="Y2880" s="2" t="s">
        <v>39</v>
      </c>
      <c r="Z2880" s="2" t="s">
        <v>39</v>
      </c>
      <c r="AA2880" s="2" t="s">
        <v>38</v>
      </c>
      <c r="AB2880" s="2" t="s">
        <v>39</v>
      </c>
      <c r="AC2880" s="2" t="s">
        <v>38</v>
      </c>
      <c r="AD2880" s="2" t="s">
        <v>38</v>
      </c>
      <c r="AE2880" s="2" t="s">
        <v>39</v>
      </c>
    </row>
    <row r="2881" spans="1:31" ht="409.5">
      <c r="A2881" s="2">
        <v>2708549</v>
      </c>
      <c r="B2881" s="2">
        <f>HYPERLINK("https://platform.v2.vetology.net/cases/2708549/screening-report/1?type=pdf&amp;v=v6&amp;scorecard=1&amp;secret_key=BX%25IJ%24%2F65ieZ%29f6", 2708549)</f>
        <v>2708549</v>
      </c>
      <c r="C2881" s="2">
        <f>HYPERLINK("https://platform.v2.vetology.net/report/v/final/"&amp;2708549, 2708549)</f>
        <v>2708549</v>
      </c>
      <c r="D2881" s="2" t="s">
        <v>9188</v>
      </c>
      <c r="E2881" s="2" t="s">
        <v>9189</v>
      </c>
      <c r="F2881" s="2" t="s">
        <v>9190</v>
      </c>
      <c r="G2881" s="2" t="s">
        <v>507</v>
      </c>
      <c r="H2881" s="2" t="s">
        <v>9191</v>
      </c>
      <c r="I2881" s="2" t="s">
        <v>73</v>
      </c>
      <c r="J2881" s="2" t="s">
        <v>74</v>
      </c>
      <c r="K2881" s="2" t="s">
        <v>38</v>
      </c>
      <c r="L2881" s="2" t="s">
        <v>38</v>
      </c>
      <c r="M2881" s="2" t="s">
        <v>38</v>
      </c>
      <c r="N2881" s="2" t="s">
        <v>38</v>
      </c>
      <c r="O2881" s="2" t="s">
        <v>38</v>
      </c>
      <c r="P2881" s="2" t="s">
        <v>38</v>
      </c>
      <c r="Q2881" s="2" t="s">
        <v>38</v>
      </c>
      <c r="R2881" s="2" t="s">
        <v>39</v>
      </c>
      <c r="S2881" s="2" t="s">
        <v>39</v>
      </c>
      <c r="T2881" s="2" t="s">
        <v>38</v>
      </c>
      <c r="U2881" s="2" t="s">
        <v>38</v>
      </c>
      <c r="V2881" s="2" t="s">
        <v>38</v>
      </c>
      <c r="W2881" s="2" t="s">
        <v>38</v>
      </c>
      <c r="X2881" s="2" t="s">
        <v>38</v>
      </c>
      <c r="Y2881" s="2" t="s">
        <v>39</v>
      </c>
      <c r="Z2881" s="2" t="s">
        <v>39</v>
      </c>
      <c r="AA2881" s="2" t="s">
        <v>38</v>
      </c>
      <c r="AB2881" s="2" t="s">
        <v>38</v>
      </c>
      <c r="AC2881" s="2" t="s">
        <v>38</v>
      </c>
      <c r="AD2881" s="2" t="s">
        <v>38</v>
      </c>
      <c r="AE2881" s="2" t="s">
        <v>40</v>
      </c>
    </row>
    <row r="2882" spans="1:31" ht="409.5">
      <c r="A2882" s="2">
        <v>2708541</v>
      </c>
      <c r="B2882" s="2">
        <f>HYPERLINK("https://platform.v2.vetology.net/cases/2708541/screening-report/1?type=pdf&amp;v=v6&amp;scorecard=1&amp;secret_key=BX%25IJ%24%2F65ieZ%29f6", 2708541)</f>
        <v>2708541</v>
      </c>
      <c r="C2882" s="2">
        <f>HYPERLINK("https://platform.v2.vetology.net/report/v/final/"&amp;2708541, 2708541)</f>
        <v>2708541</v>
      </c>
      <c r="D2882" s="2" t="s">
        <v>9192</v>
      </c>
      <c r="E2882" s="2" t="s">
        <v>9193</v>
      </c>
      <c r="F2882" s="2" t="s">
        <v>43</v>
      </c>
      <c r="G2882" s="2" t="s">
        <v>44</v>
      </c>
      <c r="H2882" s="2" t="s">
        <v>9194</v>
      </c>
      <c r="I2882" s="2" t="s">
        <v>129</v>
      </c>
      <c r="J2882" s="2" t="s">
        <v>74</v>
      </c>
      <c r="K2882" s="2" t="s">
        <v>39</v>
      </c>
      <c r="L2882" s="2" t="s">
        <v>39</v>
      </c>
      <c r="M2882" s="2" t="s">
        <v>38</v>
      </c>
      <c r="N2882" s="2" t="s">
        <v>38</v>
      </c>
      <c r="O2882" s="2" t="s">
        <v>38</v>
      </c>
      <c r="P2882" s="2" t="s">
        <v>38</v>
      </c>
      <c r="Q2882" s="2" t="s">
        <v>38</v>
      </c>
      <c r="R2882" s="2" t="s">
        <v>39</v>
      </c>
      <c r="S2882" s="2" t="s">
        <v>39</v>
      </c>
      <c r="T2882" s="2" t="s">
        <v>38</v>
      </c>
      <c r="U2882" s="2" t="s">
        <v>39</v>
      </c>
      <c r="V2882" s="2" t="s">
        <v>38</v>
      </c>
      <c r="W2882" s="2" t="s">
        <v>38</v>
      </c>
      <c r="X2882" s="2" t="s">
        <v>38</v>
      </c>
      <c r="Y2882" s="2" t="s">
        <v>39</v>
      </c>
      <c r="Z2882" s="2" t="s">
        <v>39</v>
      </c>
      <c r="AA2882" s="2" t="s">
        <v>38</v>
      </c>
      <c r="AB2882" s="2" t="s">
        <v>38</v>
      </c>
      <c r="AC2882" s="2" t="s">
        <v>38</v>
      </c>
      <c r="AD2882" s="2" t="s">
        <v>39</v>
      </c>
      <c r="AE2882" s="2" t="s">
        <v>40</v>
      </c>
    </row>
    <row r="2883" spans="1:31" ht="409.5">
      <c r="A2883" s="2">
        <v>2708531</v>
      </c>
      <c r="B2883" s="2">
        <f>HYPERLINK("https://platform.v2.vetology.net/cases/2708531/screening-report/1?type=pdf&amp;v=v6&amp;scorecard=1&amp;secret_key=BX%25IJ%24%2F65ieZ%29f6", 2708531)</f>
        <v>2708531</v>
      </c>
      <c r="C2883" s="2">
        <f>HYPERLINK("https://platform.v2.vetology.net/report/v/final/"&amp;2708531, 2708531)</f>
        <v>2708531</v>
      </c>
      <c r="D2883" s="2" t="s">
        <v>9195</v>
      </c>
      <c r="E2883" s="2" t="s">
        <v>9196</v>
      </c>
      <c r="F2883" s="2" t="s">
        <v>43</v>
      </c>
      <c r="G2883" s="2" t="s">
        <v>507</v>
      </c>
      <c r="H2883" s="2" t="s">
        <v>9197</v>
      </c>
      <c r="I2883" s="2" t="s">
        <v>36</v>
      </c>
      <c r="J2883" s="2" t="s">
        <v>37</v>
      </c>
      <c r="K2883" s="2" t="s">
        <v>38</v>
      </c>
      <c r="L2883" s="2" t="s">
        <v>38</v>
      </c>
      <c r="M2883" s="2" t="s">
        <v>38</v>
      </c>
      <c r="N2883" s="2" t="s">
        <v>38</v>
      </c>
      <c r="O2883" s="2" t="s">
        <v>38</v>
      </c>
      <c r="P2883" s="2" t="s">
        <v>38</v>
      </c>
      <c r="Q2883" s="2" t="s">
        <v>38</v>
      </c>
      <c r="R2883" s="2" t="s">
        <v>38</v>
      </c>
      <c r="S2883" s="2" t="s">
        <v>38</v>
      </c>
      <c r="T2883" s="2" t="s">
        <v>38</v>
      </c>
      <c r="U2883" s="2" t="s">
        <v>39</v>
      </c>
      <c r="V2883" s="2" t="s">
        <v>38</v>
      </c>
      <c r="W2883" s="2" t="s">
        <v>38</v>
      </c>
      <c r="X2883" s="2" t="s">
        <v>38</v>
      </c>
      <c r="Y2883" s="2" t="s">
        <v>38</v>
      </c>
      <c r="Z2883" s="2" t="s">
        <v>38</v>
      </c>
      <c r="AA2883" s="2" t="s">
        <v>38</v>
      </c>
      <c r="AB2883" s="2" t="s">
        <v>38</v>
      </c>
      <c r="AC2883" s="2" t="s">
        <v>38</v>
      </c>
      <c r="AD2883" s="2" t="s">
        <v>38</v>
      </c>
      <c r="AE2883" s="2" t="s">
        <v>40</v>
      </c>
    </row>
    <row r="2884" spans="1:31" ht="409.5">
      <c r="A2884" s="2">
        <v>2708519</v>
      </c>
      <c r="B2884" s="2">
        <f>HYPERLINK("https://platform.v2.vetology.net/cases/2708519/screening-report/1?type=pdf&amp;v=v6&amp;scorecard=1&amp;secret_key=BX%25IJ%24%2F65ieZ%29f6", 2708519)</f>
        <v>2708519</v>
      </c>
      <c r="C2884" s="2">
        <f>HYPERLINK("https://platform.v2.vetology.net/report/v/final/"&amp;2708519, 2708519)</f>
        <v>2708519</v>
      </c>
      <c r="D2884" s="2" t="s">
        <v>9198</v>
      </c>
      <c r="E2884" s="2" t="s">
        <v>9199</v>
      </c>
      <c r="F2884" s="2" t="s">
        <v>3931</v>
      </c>
      <c r="G2884" s="2" t="s">
        <v>44</v>
      </c>
      <c r="H2884" s="2" t="s">
        <v>530</v>
      </c>
      <c r="I2884" s="2" t="s">
        <v>59</v>
      </c>
      <c r="J2884" s="2" t="s">
        <v>37</v>
      </c>
      <c r="K2884" s="2" t="s">
        <v>38</v>
      </c>
      <c r="L2884" s="2" t="s">
        <v>39</v>
      </c>
      <c r="M2884" s="2" t="s">
        <v>39</v>
      </c>
      <c r="N2884" s="2" t="s">
        <v>39</v>
      </c>
      <c r="O2884" s="2" t="s">
        <v>39</v>
      </c>
      <c r="P2884" s="2" t="s">
        <v>39</v>
      </c>
      <c r="Q2884" s="2" t="s">
        <v>39</v>
      </c>
      <c r="R2884" s="2" t="s">
        <v>39</v>
      </c>
      <c r="S2884" s="2" t="s">
        <v>39</v>
      </c>
      <c r="T2884" s="2" t="s">
        <v>39</v>
      </c>
      <c r="U2884" s="2" t="s">
        <v>38</v>
      </c>
      <c r="V2884" s="2" t="s">
        <v>38</v>
      </c>
      <c r="W2884" s="2" t="s">
        <v>39</v>
      </c>
      <c r="X2884" s="2" t="s">
        <v>39</v>
      </c>
      <c r="Y2884" s="2" t="s">
        <v>39</v>
      </c>
      <c r="Z2884" s="2" t="s">
        <v>39</v>
      </c>
      <c r="AA2884" s="2" t="s">
        <v>39</v>
      </c>
      <c r="AB2884" s="2" t="s">
        <v>39</v>
      </c>
      <c r="AC2884" s="2" t="s">
        <v>39</v>
      </c>
      <c r="AD2884" s="2" t="s">
        <v>38</v>
      </c>
      <c r="AE2884" s="2" t="s">
        <v>39</v>
      </c>
    </row>
    <row r="2885" spans="1:31" ht="409.5">
      <c r="A2885" s="2">
        <v>2708497</v>
      </c>
      <c r="B2885" s="2">
        <f>HYPERLINK("https://platform.v2.vetology.net/cases/2708497/screening-report/1?type=pdf&amp;v=v6&amp;scorecard=1&amp;secret_key=BX%25IJ%24%2F65ieZ%29f6", 2708497)</f>
        <v>2708497</v>
      </c>
      <c r="C2885" s="2">
        <f>HYPERLINK("https://platform.v2.vetology.net/report/v/final/"&amp;2708497, 2708497)</f>
        <v>2708497</v>
      </c>
      <c r="D2885" s="2" t="s">
        <v>9200</v>
      </c>
      <c r="E2885" s="2" t="s">
        <v>9201</v>
      </c>
      <c r="F2885" s="2" t="s">
        <v>9202</v>
      </c>
      <c r="G2885" s="2" t="s">
        <v>127</v>
      </c>
      <c r="H2885" s="2" t="s">
        <v>9203</v>
      </c>
      <c r="I2885" s="2" t="s">
        <v>36</v>
      </c>
      <c r="J2885" s="2" t="s">
        <v>37</v>
      </c>
      <c r="K2885" s="2" t="s">
        <v>38</v>
      </c>
      <c r="L2885" s="2" t="s">
        <v>38</v>
      </c>
      <c r="M2885" s="2" t="s">
        <v>39</v>
      </c>
      <c r="N2885" s="2" t="s">
        <v>38</v>
      </c>
      <c r="O2885" s="2" t="s">
        <v>38</v>
      </c>
      <c r="P2885" s="2" t="s">
        <v>39</v>
      </c>
      <c r="Q2885" s="2" t="s">
        <v>39</v>
      </c>
      <c r="R2885" s="2" t="s">
        <v>38</v>
      </c>
      <c r="S2885" s="2" t="s">
        <v>38</v>
      </c>
      <c r="T2885" s="2" t="s">
        <v>39</v>
      </c>
      <c r="U2885" s="2" t="s">
        <v>38</v>
      </c>
      <c r="V2885" s="2" t="s">
        <v>38</v>
      </c>
      <c r="W2885" s="2" t="s">
        <v>38</v>
      </c>
      <c r="X2885" s="2" t="s">
        <v>39</v>
      </c>
      <c r="Y2885" s="2" t="s">
        <v>39</v>
      </c>
      <c r="Z2885" s="2" t="s">
        <v>38</v>
      </c>
      <c r="AA2885" s="2" t="s">
        <v>38</v>
      </c>
      <c r="AB2885" s="2" t="s">
        <v>39</v>
      </c>
      <c r="AC2885" s="2" t="s">
        <v>38</v>
      </c>
      <c r="AD2885" s="2" t="s">
        <v>39</v>
      </c>
      <c r="AE2885" s="2" t="s">
        <v>39</v>
      </c>
    </row>
    <row r="2886" spans="1:31" ht="409.5">
      <c r="A2886" s="2">
        <v>2708496</v>
      </c>
      <c r="B2886" s="2">
        <f>HYPERLINK("https://platform.v2.vetology.net/cases/2708496/screening-report/1?type=pdf&amp;v=v6&amp;scorecard=1&amp;secret_key=BX%25IJ%24%2F65ieZ%29f6", 2708496)</f>
        <v>2708496</v>
      </c>
      <c r="C2886" s="2">
        <f>HYPERLINK("https://platform.v2.vetology.net/report/v/final/"&amp;2708496, 2708496)</f>
        <v>2708496</v>
      </c>
      <c r="D2886" s="2" t="s">
        <v>9204</v>
      </c>
      <c r="E2886" s="2" t="s">
        <v>9205</v>
      </c>
      <c r="F2886" s="2" t="s">
        <v>43</v>
      </c>
      <c r="G2886" s="2" t="s">
        <v>507</v>
      </c>
      <c r="H2886" s="2" t="s">
        <v>69</v>
      </c>
      <c r="I2886" s="2" t="s">
        <v>46</v>
      </c>
      <c r="J2886" s="2"/>
      <c r="K2886" s="2" t="s">
        <v>39</v>
      </c>
      <c r="L2886" s="2" t="s">
        <v>39</v>
      </c>
      <c r="M2886" s="2" t="s">
        <v>39</v>
      </c>
      <c r="N2886" s="2" t="s">
        <v>39</v>
      </c>
      <c r="O2886" s="2" t="s">
        <v>39</v>
      </c>
      <c r="P2886" s="2" t="s">
        <v>39</v>
      </c>
      <c r="Q2886" s="2" t="s">
        <v>39</v>
      </c>
      <c r="R2886" s="2" t="s">
        <v>39</v>
      </c>
      <c r="S2886" s="2" t="s">
        <v>39</v>
      </c>
      <c r="T2886" s="2" t="s">
        <v>39</v>
      </c>
      <c r="U2886" s="2" t="s">
        <v>39</v>
      </c>
      <c r="V2886" s="2" t="s">
        <v>39</v>
      </c>
      <c r="W2886" s="2" t="s">
        <v>39</v>
      </c>
      <c r="X2886" s="2" t="s">
        <v>39</v>
      </c>
      <c r="Y2886" s="2" t="s">
        <v>39</v>
      </c>
      <c r="Z2886" s="2" t="s">
        <v>39</v>
      </c>
      <c r="AA2886" s="2" t="s">
        <v>39</v>
      </c>
      <c r="AB2886" s="2" t="s">
        <v>39</v>
      </c>
      <c r="AC2886" s="2" t="s">
        <v>39</v>
      </c>
      <c r="AD2886" s="2" t="s">
        <v>39</v>
      </c>
      <c r="AE2886" s="2" t="s">
        <v>39</v>
      </c>
    </row>
    <row r="2887" spans="1:31" ht="409.5">
      <c r="A2887" s="2">
        <v>2708490</v>
      </c>
      <c r="B2887" s="2">
        <f>HYPERLINK("https://platform.v2.vetology.net/cases/2708490/screening-report/1?type=pdf&amp;v=v6&amp;scorecard=1&amp;secret_key=BX%25IJ%24%2F65ieZ%29f6", 2708490)</f>
        <v>2708490</v>
      </c>
      <c r="C2887" s="2">
        <f>HYPERLINK("https://platform.v2.vetology.net/report/v/final/"&amp;2708490, 2708490)</f>
        <v>2708490</v>
      </c>
      <c r="D2887" s="2" t="s">
        <v>9206</v>
      </c>
      <c r="E2887" s="2" t="s">
        <v>5827</v>
      </c>
      <c r="F2887" s="2" t="s">
        <v>9207</v>
      </c>
      <c r="G2887" s="2" t="s">
        <v>111</v>
      </c>
      <c r="H2887" s="2" t="s">
        <v>9208</v>
      </c>
      <c r="I2887" s="2" t="s">
        <v>36</v>
      </c>
      <c r="J2887" s="2" t="s">
        <v>37</v>
      </c>
      <c r="K2887" s="2" t="s">
        <v>38</v>
      </c>
      <c r="L2887" s="2" t="s">
        <v>38</v>
      </c>
      <c r="M2887" s="2" t="s">
        <v>38</v>
      </c>
      <c r="N2887" s="2" t="s">
        <v>39</v>
      </c>
      <c r="O2887" s="2" t="s">
        <v>38</v>
      </c>
      <c r="P2887" s="2" t="s">
        <v>39</v>
      </c>
      <c r="Q2887" s="2" t="s">
        <v>39</v>
      </c>
      <c r="R2887" s="2" t="s">
        <v>38</v>
      </c>
      <c r="S2887" s="2" t="s">
        <v>38</v>
      </c>
      <c r="T2887" s="2" t="s">
        <v>38</v>
      </c>
      <c r="U2887" s="2" t="s">
        <v>39</v>
      </c>
      <c r="V2887" s="2" t="s">
        <v>39</v>
      </c>
      <c r="W2887" s="2" t="s">
        <v>38</v>
      </c>
      <c r="X2887" s="2" t="s">
        <v>39</v>
      </c>
      <c r="Y2887" s="2" t="s">
        <v>39</v>
      </c>
      <c r="Z2887" s="2" t="s">
        <v>38</v>
      </c>
      <c r="AA2887" s="2" t="s">
        <v>39</v>
      </c>
      <c r="AB2887" s="2" t="s">
        <v>39</v>
      </c>
      <c r="AC2887" s="2" t="s">
        <v>38</v>
      </c>
      <c r="AD2887" s="2" t="s">
        <v>38</v>
      </c>
      <c r="AE2887" s="2" t="s">
        <v>40</v>
      </c>
    </row>
    <row r="2888" spans="1:31" ht="409.5">
      <c r="A2888" s="2">
        <v>2708456</v>
      </c>
      <c r="B2888" s="2">
        <f>HYPERLINK("https://platform.v2.vetology.net/cases/2708456/screening-report/1?type=pdf&amp;v=v6&amp;scorecard=1&amp;secret_key=BX%25IJ%24%2F65ieZ%29f6", 2708456)</f>
        <v>2708456</v>
      </c>
      <c r="C2888" s="2">
        <f>HYPERLINK("https://platform.v2.vetology.net/report/v/final/"&amp;2708456, 2708456)</f>
        <v>2708456</v>
      </c>
      <c r="D2888" s="2" t="s">
        <v>9209</v>
      </c>
      <c r="E2888" s="2" t="s">
        <v>9210</v>
      </c>
      <c r="F2888" s="2" t="s">
        <v>9211</v>
      </c>
      <c r="G2888" s="2" t="s">
        <v>44</v>
      </c>
      <c r="H2888" s="2" t="s">
        <v>9212</v>
      </c>
      <c r="I2888" s="2" t="s">
        <v>36</v>
      </c>
      <c r="J2888" s="2" t="s">
        <v>37</v>
      </c>
      <c r="K2888" s="2" t="s">
        <v>39</v>
      </c>
      <c r="L2888" s="2" t="s">
        <v>39</v>
      </c>
      <c r="M2888" s="2" t="s">
        <v>38</v>
      </c>
      <c r="N2888" s="2" t="s">
        <v>38</v>
      </c>
      <c r="O2888" s="2" t="s">
        <v>38</v>
      </c>
      <c r="P2888" s="2" t="s">
        <v>39</v>
      </c>
      <c r="Q2888" s="2" t="s">
        <v>39</v>
      </c>
      <c r="R2888" s="2" t="s">
        <v>39</v>
      </c>
      <c r="S2888" s="2" t="s">
        <v>38</v>
      </c>
      <c r="T2888" s="2" t="s">
        <v>38</v>
      </c>
      <c r="U2888" s="2" t="s">
        <v>39</v>
      </c>
      <c r="V2888" s="2" t="s">
        <v>39</v>
      </c>
      <c r="W2888" s="2" t="s">
        <v>39</v>
      </c>
      <c r="X2888" s="2" t="s">
        <v>39</v>
      </c>
      <c r="Y2888" s="2" t="s">
        <v>39</v>
      </c>
      <c r="Z2888" s="2" t="s">
        <v>38</v>
      </c>
      <c r="AA2888" s="2" t="s">
        <v>39</v>
      </c>
      <c r="AB2888" s="2" t="s">
        <v>39</v>
      </c>
      <c r="AC2888" s="2" t="s">
        <v>38</v>
      </c>
      <c r="AD2888" s="2" t="s">
        <v>39</v>
      </c>
      <c r="AE2888" s="2"/>
    </row>
    <row r="2889" spans="1:31" ht="409.5">
      <c r="A2889" s="2">
        <v>2708432</v>
      </c>
      <c r="B2889" s="2">
        <f>HYPERLINK("https://platform.v2.vetology.net/cases/2708432/screening-report/1?type=pdf&amp;v=v6&amp;scorecard=1&amp;secret_key=BX%25IJ%24%2F65ieZ%29f6", 2708432)</f>
        <v>2708432</v>
      </c>
      <c r="C2889" s="2">
        <f>HYPERLINK("https://platform.v2.vetology.net/report/v/final/"&amp;2708432, 2708432)</f>
        <v>2708432</v>
      </c>
      <c r="D2889" s="2" t="s">
        <v>9213</v>
      </c>
      <c r="E2889" s="2" t="s">
        <v>9214</v>
      </c>
      <c r="F2889" s="2" t="s">
        <v>9215</v>
      </c>
      <c r="G2889" s="2" t="s">
        <v>44</v>
      </c>
      <c r="H2889" s="2" t="s">
        <v>5101</v>
      </c>
      <c r="I2889" s="2" t="s">
        <v>36</v>
      </c>
      <c r="J2889" s="2" t="s">
        <v>37</v>
      </c>
      <c r="K2889" s="2" t="s">
        <v>39</v>
      </c>
      <c r="L2889" s="2" t="s">
        <v>38</v>
      </c>
      <c r="M2889" s="2" t="s">
        <v>39</v>
      </c>
      <c r="N2889" s="2" t="s">
        <v>39</v>
      </c>
      <c r="O2889" s="2" t="s">
        <v>38</v>
      </c>
      <c r="P2889" s="2" t="s">
        <v>39</v>
      </c>
      <c r="Q2889" s="2" t="s">
        <v>39</v>
      </c>
      <c r="R2889" s="2" t="s">
        <v>38</v>
      </c>
      <c r="S2889" s="2" t="s">
        <v>38</v>
      </c>
      <c r="T2889" s="2" t="s">
        <v>39</v>
      </c>
      <c r="U2889" s="2" t="s">
        <v>39</v>
      </c>
      <c r="V2889" s="2" t="s">
        <v>39</v>
      </c>
      <c r="W2889" s="2" t="s">
        <v>38</v>
      </c>
      <c r="X2889" s="2" t="s">
        <v>39</v>
      </c>
      <c r="Y2889" s="2" t="s">
        <v>39</v>
      </c>
      <c r="Z2889" s="2" t="s">
        <v>38</v>
      </c>
      <c r="AA2889" s="2" t="s">
        <v>39</v>
      </c>
      <c r="AB2889" s="2" t="s">
        <v>39</v>
      </c>
      <c r="AC2889" s="2" t="s">
        <v>38</v>
      </c>
      <c r="AD2889" s="2" t="s">
        <v>38</v>
      </c>
      <c r="AE2889" s="2" t="s">
        <v>40</v>
      </c>
    </row>
    <row r="2890" spans="1:31" ht="409.5">
      <c r="A2890" s="2">
        <v>2708419</v>
      </c>
      <c r="B2890" s="2">
        <f>HYPERLINK("https://platform.v2.vetology.net/cases/2708419/screening-report/1?type=pdf&amp;v=v6&amp;scorecard=1&amp;secret_key=BX%25IJ%24%2F65ieZ%29f6", 2708419)</f>
        <v>2708419</v>
      </c>
      <c r="C2890" s="2">
        <f>HYPERLINK("https://platform.v2.vetology.net/report/v/final/"&amp;2708419, 2708419)</f>
        <v>2708419</v>
      </c>
      <c r="D2890" s="2" t="s">
        <v>9216</v>
      </c>
      <c r="E2890" s="2" t="s">
        <v>9217</v>
      </c>
      <c r="F2890" s="2" t="s">
        <v>43</v>
      </c>
      <c r="G2890" s="2" t="s">
        <v>44</v>
      </c>
      <c r="H2890" s="2" t="s">
        <v>9218</v>
      </c>
      <c r="I2890" s="2" t="s">
        <v>129</v>
      </c>
      <c r="J2890" s="2" t="s">
        <v>74</v>
      </c>
      <c r="K2890" s="2" t="s">
        <v>38</v>
      </c>
      <c r="L2890" s="2" t="s">
        <v>38</v>
      </c>
      <c r="M2890" s="2" t="s">
        <v>38</v>
      </c>
      <c r="N2890" s="2" t="s">
        <v>38</v>
      </c>
      <c r="O2890" s="2" t="s">
        <v>38</v>
      </c>
      <c r="P2890" s="2" t="s">
        <v>38</v>
      </c>
      <c r="Q2890" s="2" t="s">
        <v>38</v>
      </c>
      <c r="R2890" s="2" t="s">
        <v>39</v>
      </c>
      <c r="S2890" s="2" t="s">
        <v>39</v>
      </c>
      <c r="T2890" s="2" t="s">
        <v>38</v>
      </c>
      <c r="U2890" s="2" t="s">
        <v>39</v>
      </c>
      <c r="V2890" s="2" t="s">
        <v>38</v>
      </c>
      <c r="W2890" s="2" t="s">
        <v>39</v>
      </c>
      <c r="X2890" s="2" t="s">
        <v>38</v>
      </c>
      <c r="Y2890" s="2" t="s">
        <v>39</v>
      </c>
      <c r="Z2890" s="2" t="s">
        <v>38</v>
      </c>
      <c r="AA2890" s="2" t="s">
        <v>38</v>
      </c>
      <c r="AB2890" s="2" t="s">
        <v>38</v>
      </c>
      <c r="AC2890" s="2" t="s">
        <v>38</v>
      </c>
      <c r="AD2890" s="2" t="s">
        <v>39</v>
      </c>
      <c r="AE2890" s="2" t="s">
        <v>40</v>
      </c>
    </row>
    <row r="2891" spans="1:31" ht="409.5">
      <c r="A2891" s="2">
        <v>2708412</v>
      </c>
      <c r="B2891" s="2">
        <f>HYPERLINK("https://platform.v2.vetology.net/cases/2708412/screening-report/1?type=pdf&amp;v=v6&amp;scorecard=1&amp;secret_key=BX%25IJ%24%2F65ieZ%29f6", 2708412)</f>
        <v>2708412</v>
      </c>
      <c r="C2891" s="2">
        <f>HYPERLINK("https://platform.v2.vetology.net/report/v/final/"&amp;2708412, 2708412)</f>
        <v>2708412</v>
      </c>
      <c r="D2891" s="2" t="s">
        <v>9219</v>
      </c>
      <c r="E2891" s="2" t="s">
        <v>9220</v>
      </c>
      <c r="F2891" s="2" t="s">
        <v>9221</v>
      </c>
      <c r="G2891" s="2" t="s">
        <v>251</v>
      </c>
      <c r="H2891" s="2" t="s">
        <v>9222</v>
      </c>
      <c r="I2891" s="2" t="s">
        <v>59</v>
      </c>
      <c r="J2891" s="2" t="s">
        <v>37</v>
      </c>
      <c r="K2891" s="2" t="s">
        <v>38</v>
      </c>
      <c r="L2891" s="2" t="s">
        <v>39</v>
      </c>
      <c r="M2891" s="2" t="s">
        <v>39</v>
      </c>
      <c r="N2891" s="2" t="s">
        <v>38</v>
      </c>
      <c r="O2891" s="2" t="s">
        <v>39</v>
      </c>
      <c r="P2891" s="2" t="s">
        <v>39</v>
      </c>
      <c r="Q2891" s="2" t="s">
        <v>39</v>
      </c>
      <c r="R2891" s="2" t="s">
        <v>38</v>
      </c>
      <c r="S2891" s="2" t="s">
        <v>38</v>
      </c>
      <c r="T2891" s="2" t="s">
        <v>38</v>
      </c>
      <c r="U2891" s="2" t="s">
        <v>39</v>
      </c>
      <c r="V2891" s="2" t="s">
        <v>38</v>
      </c>
      <c r="W2891" s="2" t="s">
        <v>38</v>
      </c>
      <c r="X2891" s="2" t="s">
        <v>39</v>
      </c>
      <c r="Y2891" s="2" t="s">
        <v>38</v>
      </c>
      <c r="Z2891" s="2" t="s">
        <v>38</v>
      </c>
      <c r="AA2891" s="2" t="s">
        <v>39</v>
      </c>
      <c r="AB2891" s="2" t="s">
        <v>39</v>
      </c>
      <c r="AC2891" s="2" t="s">
        <v>38</v>
      </c>
      <c r="AD2891" s="2" t="s">
        <v>38</v>
      </c>
      <c r="AE2891" s="2" t="s">
        <v>40</v>
      </c>
    </row>
    <row r="2892" spans="1:31" ht="409.5">
      <c r="A2892" s="2">
        <v>2708400</v>
      </c>
      <c r="B2892" s="2">
        <f>HYPERLINK("https://platform.v2.vetology.net/cases/2708400/screening-report/1?type=pdf&amp;v=v6&amp;scorecard=1&amp;secret_key=BX%25IJ%24%2F65ieZ%29f6", 2708400)</f>
        <v>2708400</v>
      </c>
      <c r="C2892" s="2">
        <f>HYPERLINK("https://platform.v2.vetology.net/report/v/final/"&amp;2708400, 2708400)</f>
        <v>2708400</v>
      </c>
      <c r="D2892" s="2" t="s">
        <v>9223</v>
      </c>
      <c r="E2892" s="2" t="s">
        <v>9224</v>
      </c>
      <c r="F2892" s="2"/>
      <c r="G2892" s="2" t="s">
        <v>507</v>
      </c>
      <c r="H2892" s="2" t="s">
        <v>69</v>
      </c>
      <c r="I2892" s="2" t="s">
        <v>46</v>
      </c>
      <c r="J2892" s="2"/>
      <c r="K2892" s="2" t="s">
        <v>39</v>
      </c>
      <c r="L2892" s="2" t="s">
        <v>39</v>
      </c>
      <c r="M2892" s="2" t="s">
        <v>39</v>
      </c>
      <c r="N2892" s="2" t="s">
        <v>39</v>
      </c>
      <c r="O2892" s="2" t="s">
        <v>39</v>
      </c>
      <c r="P2892" s="2" t="s">
        <v>39</v>
      </c>
      <c r="Q2892" s="2" t="s">
        <v>39</v>
      </c>
      <c r="R2892" s="2" t="s">
        <v>39</v>
      </c>
      <c r="S2892" s="2" t="s">
        <v>39</v>
      </c>
      <c r="T2892" s="2" t="s">
        <v>39</v>
      </c>
      <c r="U2892" s="2" t="s">
        <v>39</v>
      </c>
      <c r="V2892" s="2" t="s">
        <v>39</v>
      </c>
      <c r="W2892" s="2" t="s">
        <v>39</v>
      </c>
      <c r="X2892" s="2" t="s">
        <v>39</v>
      </c>
      <c r="Y2892" s="2" t="s">
        <v>39</v>
      </c>
      <c r="Z2892" s="2" t="s">
        <v>39</v>
      </c>
      <c r="AA2892" s="2" t="s">
        <v>39</v>
      </c>
      <c r="AB2892" s="2" t="s">
        <v>39</v>
      </c>
      <c r="AC2892" s="2" t="s">
        <v>39</v>
      </c>
      <c r="AD2892" s="2" t="s">
        <v>39</v>
      </c>
      <c r="AE2892" s="2" t="s">
        <v>39</v>
      </c>
    </row>
    <row r="2893" spans="1:31" ht="409.5">
      <c r="A2893" s="2">
        <v>2708383</v>
      </c>
      <c r="B2893" s="2">
        <f>HYPERLINK("https://platform.v2.vetology.net/cases/2708383/screening-report/1?type=pdf&amp;v=v6&amp;scorecard=1&amp;secret_key=BX%25IJ%24%2F65ieZ%29f6", 2708383)</f>
        <v>2708383</v>
      </c>
      <c r="C2893" s="2">
        <f>HYPERLINK("https://platform.v2.vetology.net/report/v/final/"&amp;2708383, 2708383)</f>
        <v>2708383</v>
      </c>
      <c r="D2893" s="2" t="s">
        <v>9225</v>
      </c>
      <c r="E2893" s="2" t="s">
        <v>9226</v>
      </c>
      <c r="F2893" s="2" t="s">
        <v>9227</v>
      </c>
      <c r="G2893" s="2" t="s">
        <v>170</v>
      </c>
      <c r="H2893" s="2" t="s">
        <v>419</v>
      </c>
      <c r="I2893" s="2" t="s">
        <v>36</v>
      </c>
      <c r="J2893" s="2" t="s">
        <v>37</v>
      </c>
      <c r="K2893" s="2" t="s">
        <v>39</v>
      </c>
      <c r="L2893" s="2" t="s">
        <v>39</v>
      </c>
      <c r="M2893" s="2" t="s">
        <v>38</v>
      </c>
      <c r="N2893" s="2" t="s">
        <v>39</v>
      </c>
      <c r="O2893" s="2" t="s">
        <v>39</v>
      </c>
      <c r="P2893" s="2" t="s">
        <v>39</v>
      </c>
      <c r="Q2893" s="2" t="s">
        <v>39</v>
      </c>
      <c r="R2893" s="2" t="s">
        <v>38</v>
      </c>
      <c r="S2893" s="2" t="s">
        <v>39</v>
      </c>
      <c r="T2893" s="2" t="s">
        <v>39</v>
      </c>
      <c r="U2893" s="2" t="s">
        <v>39</v>
      </c>
      <c r="V2893" s="2" t="s">
        <v>38</v>
      </c>
      <c r="W2893" s="2" t="s">
        <v>38</v>
      </c>
      <c r="X2893" s="2" t="s">
        <v>39</v>
      </c>
      <c r="Y2893" s="2" t="s">
        <v>39</v>
      </c>
      <c r="Z2893" s="2" t="s">
        <v>38</v>
      </c>
      <c r="AA2893" s="2" t="s">
        <v>39</v>
      </c>
      <c r="AB2893" s="2" t="s">
        <v>39</v>
      </c>
      <c r="AC2893" s="2" t="s">
        <v>38</v>
      </c>
      <c r="AD2893" s="2" t="s">
        <v>38</v>
      </c>
      <c r="AE2893" s="2" t="s">
        <v>39</v>
      </c>
    </row>
    <row r="2894" spans="1:31" ht="409.5">
      <c r="A2894" s="2">
        <v>2708382</v>
      </c>
      <c r="B2894" s="2">
        <f>HYPERLINK("https://platform.v2.vetology.net/cases/2708382/screening-report/1?type=pdf&amp;v=v6&amp;scorecard=1&amp;secret_key=BX%25IJ%24%2F65ieZ%29f6", 2708382)</f>
        <v>2708382</v>
      </c>
      <c r="C2894" s="2">
        <f>HYPERLINK("https://platform.v2.vetology.net/report/v/final/"&amp;2708382, 2708382)</f>
        <v>2708382</v>
      </c>
      <c r="D2894" s="2" t="s">
        <v>9228</v>
      </c>
      <c r="E2894" s="2" t="s">
        <v>9229</v>
      </c>
      <c r="F2894" s="2" t="s">
        <v>9230</v>
      </c>
      <c r="G2894" s="2" t="s">
        <v>170</v>
      </c>
      <c r="H2894" s="2" t="s">
        <v>45</v>
      </c>
      <c r="I2894" s="2" t="s">
        <v>46</v>
      </c>
      <c r="J2894" s="2"/>
      <c r="K2894" s="2" t="s">
        <v>39</v>
      </c>
      <c r="L2894" s="2" t="s">
        <v>39</v>
      </c>
      <c r="M2894" s="2" t="s">
        <v>39</v>
      </c>
      <c r="N2894" s="2" t="s">
        <v>39</v>
      </c>
      <c r="O2894" s="2" t="s">
        <v>39</v>
      </c>
      <c r="P2894" s="2" t="s">
        <v>39</v>
      </c>
      <c r="Q2894" s="2" t="s">
        <v>39</v>
      </c>
      <c r="R2894" s="2" t="s">
        <v>38</v>
      </c>
      <c r="S2894" s="2" t="s">
        <v>39</v>
      </c>
      <c r="T2894" s="2" t="s">
        <v>39</v>
      </c>
      <c r="U2894" s="2" t="s">
        <v>39</v>
      </c>
      <c r="V2894" s="2" t="s">
        <v>39</v>
      </c>
      <c r="W2894" s="2" t="s">
        <v>39</v>
      </c>
      <c r="X2894" s="2" t="s">
        <v>39</v>
      </c>
      <c r="Y2894" s="2" t="s">
        <v>39</v>
      </c>
      <c r="Z2894" s="2" t="s">
        <v>39</v>
      </c>
      <c r="AA2894" s="2" t="s">
        <v>39</v>
      </c>
      <c r="AB2894" s="2" t="s">
        <v>39</v>
      </c>
      <c r="AC2894" s="2" t="s">
        <v>38</v>
      </c>
      <c r="AD2894" s="2" t="s">
        <v>39</v>
      </c>
      <c r="AE2894" s="2" t="s">
        <v>39</v>
      </c>
    </row>
    <row r="2895" spans="1:31" ht="409.5">
      <c r="A2895" s="2">
        <v>2708368</v>
      </c>
      <c r="B2895" s="2">
        <f>HYPERLINK("https://platform.v2.vetology.net/cases/2708368/screening-report/1?type=pdf&amp;v=v6&amp;scorecard=1&amp;secret_key=BX%25IJ%24%2F65ieZ%29f6", 2708368)</f>
        <v>2708368</v>
      </c>
      <c r="C2895" s="2">
        <f>HYPERLINK("https://platform.v2.vetology.net/report/v/final/"&amp;2708368, 2708368)</f>
        <v>2708368</v>
      </c>
      <c r="D2895" s="2" t="s">
        <v>9231</v>
      </c>
      <c r="E2895" s="2" t="s">
        <v>9232</v>
      </c>
      <c r="F2895" s="2" t="s">
        <v>174</v>
      </c>
      <c r="G2895" s="2" t="s">
        <v>170</v>
      </c>
      <c r="H2895" s="2" t="s">
        <v>69</v>
      </c>
      <c r="I2895" s="2" t="s">
        <v>46</v>
      </c>
      <c r="J2895" s="2"/>
      <c r="K2895" s="2" t="s">
        <v>39</v>
      </c>
      <c r="L2895" s="2" t="s">
        <v>39</v>
      </c>
      <c r="M2895" s="2" t="s">
        <v>39</v>
      </c>
      <c r="N2895" s="2" t="s">
        <v>39</v>
      </c>
      <c r="O2895" s="2" t="s">
        <v>39</v>
      </c>
      <c r="P2895" s="2" t="s">
        <v>39</v>
      </c>
      <c r="Q2895" s="2" t="s">
        <v>39</v>
      </c>
      <c r="R2895" s="2" t="s">
        <v>39</v>
      </c>
      <c r="S2895" s="2" t="s">
        <v>39</v>
      </c>
      <c r="T2895" s="2" t="s">
        <v>39</v>
      </c>
      <c r="U2895" s="2" t="s">
        <v>39</v>
      </c>
      <c r="V2895" s="2" t="s">
        <v>39</v>
      </c>
      <c r="W2895" s="2" t="s">
        <v>39</v>
      </c>
      <c r="X2895" s="2" t="s">
        <v>39</v>
      </c>
      <c r="Y2895" s="2" t="s">
        <v>39</v>
      </c>
      <c r="Z2895" s="2" t="s">
        <v>39</v>
      </c>
      <c r="AA2895" s="2" t="s">
        <v>39</v>
      </c>
      <c r="AB2895" s="2" t="s">
        <v>39</v>
      </c>
      <c r="AC2895" s="2" t="s">
        <v>39</v>
      </c>
      <c r="AD2895" s="2" t="s">
        <v>39</v>
      </c>
      <c r="AE2895" s="2" t="s">
        <v>39</v>
      </c>
    </row>
    <row r="2896" spans="1:31" ht="409.5">
      <c r="A2896" s="2">
        <v>2708351</v>
      </c>
      <c r="B2896" s="2">
        <f>HYPERLINK("https://platform.v2.vetology.net/cases/2708351/screening-report/1?type=pdf&amp;v=v6&amp;scorecard=1&amp;secret_key=BX%25IJ%24%2F65ieZ%29f6", 2708351)</f>
        <v>2708351</v>
      </c>
      <c r="C2896" s="2">
        <f>HYPERLINK("https://platform.v2.vetology.net/report/v/final/"&amp;2708351, 2708351)</f>
        <v>2708351</v>
      </c>
      <c r="D2896" s="2" t="s">
        <v>9233</v>
      </c>
      <c r="E2896" s="2" t="s">
        <v>9234</v>
      </c>
      <c r="F2896" s="2" t="s">
        <v>8244</v>
      </c>
      <c r="G2896" s="2" t="s">
        <v>111</v>
      </c>
      <c r="H2896" s="2" t="s">
        <v>9235</v>
      </c>
      <c r="I2896" s="2" t="s">
        <v>129</v>
      </c>
      <c r="J2896" s="2" t="s">
        <v>74</v>
      </c>
      <c r="K2896" s="2" t="s">
        <v>38</v>
      </c>
      <c r="L2896" s="2" t="s">
        <v>39</v>
      </c>
      <c r="M2896" s="2" t="s">
        <v>38</v>
      </c>
      <c r="N2896" s="2" t="s">
        <v>38</v>
      </c>
      <c r="O2896" s="2" t="s">
        <v>38</v>
      </c>
      <c r="P2896" s="2" t="s">
        <v>38</v>
      </c>
      <c r="Q2896" s="2" t="s">
        <v>38</v>
      </c>
      <c r="R2896" s="2" t="s">
        <v>38</v>
      </c>
      <c r="S2896" s="2" t="s">
        <v>38</v>
      </c>
      <c r="T2896" s="2" t="s">
        <v>39</v>
      </c>
      <c r="U2896" s="2" t="s">
        <v>38</v>
      </c>
      <c r="V2896" s="2" t="s">
        <v>38</v>
      </c>
      <c r="W2896" s="2" t="s">
        <v>39</v>
      </c>
      <c r="X2896" s="2" t="s">
        <v>38</v>
      </c>
      <c r="Y2896" s="2" t="s">
        <v>39</v>
      </c>
      <c r="Z2896" s="2" t="s">
        <v>39</v>
      </c>
      <c r="AA2896" s="2" t="s">
        <v>38</v>
      </c>
      <c r="AB2896" s="2" t="s">
        <v>38</v>
      </c>
      <c r="AC2896" s="2" t="s">
        <v>38</v>
      </c>
      <c r="AD2896" s="2" t="s">
        <v>39</v>
      </c>
      <c r="AE2896" s="2" t="s">
        <v>40</v>
      </c>
    </row>
    <row r="2897" spans="1:31" ht="409.5">
      <c r="A2897" s="2">
        <v>2708349</v>
      </c>
      <c r="B2897" s="2">
        <f>HYPERLINK("https://platform.v2.vetology.net/cases/2708349/screening-report/1?type=pdf&amp;v=v6&amp;scorecard=1&amp;secret_key=BX%25IJ%24%2F65ieZ%29f6", 2708349)</f>
        <v>2708349</v>
      </c>
      <c r="C2897" s="2">
        <f>HYPERLINK("https://platform.v2.vetology.net/report/v/final/"&amp;2708349, 2708349)</f>
        <v>2708349</v>
      </c>
      <c r="D2897" s="2" t="s">
        <v>9236</v>
      </c>
      <c r="E2897" s="2" t="s">
        <v>9237</v>
      </c>
      <c r="F2897" s="2" t="s">
        <v>43</v>
      </c>
      <c r="G2897" s="2" t="s">
        <v>100</v>
      </c>
      <c r="H2897" s="2" t="s">
        <v>1396</v>
      </c>
      <c r="I2897" s="2" t="s">
        <v>129</v>
      </c>
      <c r="J2897" s="2" t="s">
        <v>74</v>
      </c>
      <c r="K2897" s="2" t="s">
        <v>39</v>
      </c>
      <c r="L2897" s="2" t="s">
        <v>38</v>
      </c>
      <c r="M2897" s="2" t="s">
        <v>38</v>
      </c>
      <c r="N2897" s="2" t="s">
        <v>38</v>
      </c>
      <c r="O2897" s="2" t="s">
        <v>38</v>
      </c>
      <c r="P2897" s="2" t="s">
        <v>38</v>
      </c>
      <c r="Q2897" s="2" t="s">
        <v>38</v>
      </c>
      <c r="R2897" s="2" t="s">
        <v>38</v>
      </c>
      <c r="S2897" s="2" t="s">
        <v>38</v>
      </c>
      <c r="T2897" s="2" t="s">
        <v>38</v>
      </c>
      <c r="U2897" s="2" t="s">
        <v>39</v>
      </c>
      <c r="V2897" s="2" t="s">
        <v>39</v>
      </c>
      <c r="W2897" s="2" t="s">
        <v>38</v>
      </c>
      <c r="X2897" s="2" t="s">
        <v>38</v>
      </c>
      <c r="Y2897" s="2" t="s">
        <v>39</v>
      </c>
      <c r="Z2897" s="2" t="s">
        <v>38</v>
      </c>
      <c r="AA2897" s="2" t="s">
        <v>38</v>
      </c>
      <c r="AB2897" s="2" t="s">
        <v>38</v>
      </c>
      <c r="AC2897" s="2" t="s">
        <v>38</v>
      </c>
      <c r="AD2897" s="2" t="s">
        <v>38</v>
      </c>
      <c r="AE2897" s="2" t="s">
        <v>40</v>
      </c>
    </row>
    <row r="2898" spans="1:31" ht="409.5">
      <c r="A2898" s="2">
        <v>2708344</v>
      </c>
      <c r="B2898" s="2">
        <f>HYPERLINK("https://platform.v2.vetology.net/cases/2708344/screening-report/1?type=pdf&amp;v=v6&amp;scorecard=1&amp;secret_key=BX%25IJ%24%2F65ieZ%29f6", 2708344)</f>
        <v>2708344</v>
      </c>
      <c r="C2898" s="2">
        <f>HYPERLINK("https://platform.v2.vetology.net/report/v/final/"&amp;2708344, 2708344)</f>
        <v>2708344</v>
      </c>
      <c r="D2898" s="2" t="s">
        <v>9238</v>
      </c>
      <c r="E2898" s="2" t="s">
        <v>9239</v>
      </c>
      <c r="F2898" s="2" t="s">
        <v>43</v>
      </c>
      <c r="G2898" s="2" t="s">
        <v>44</v>
      </c>
      <c r="H2898" s="2" t="s">
        <v>9240</v>
      </c>
      <c r="I2898" s="2" t="s">
        <v>129</v>
      </c>
      <c r="J2898" s="2" t="s">
        <v>74</v>
      </c>
      <c r="K2898" s="2" t="s">
        <v>38</v>
      </c>
      <c r="L2898" s="2" t="s">
        <v>39</v>
      </c>
      <c r="M2898" s="2" t="s">
        <v>38</v>
      </c>
      <c r="N2898" s="2" t="s">
        <v>38</v>
      </c>
      <c r="O2898" s="2" t="s">
        <v>38</v>
      </c>
      <c r="P2898" s="2" t="s">
        <v>38</v>
      </c>
      <c r="Q2898" s="2" t="s">
        <v>38</v>
      </c>
      <c r="R2898" s="2" t="s">
        <v>38</v>
      </c>
      <c r="S2898" s="2" t="s">
        <v>39</v>
      </c>
      <c r="T2898" s="2" t="s">
        <v>38</v>
      </c>
      <c r="U2898" s="2" t="s">
        <v>38</v>
      </c>
      <c r="V2898" s="2" t="s">
        <v>38</v>
      </c>
      <c r="W2898" s="2" t="s">
        <v>39</v>
      </c>
      <c r="X2898" s="2" t="s">
        <v>38</v>
      </c>
      <c r="Y2898" s="2" t="s">
        <v>39</v>
      </c>
      <c r="Z2898" s="2" t="s">
        <v>38</v>
      </c>
      <c r="AA2898" s="2" t="s">
        <v>38</v>
      </c>
      <c r="AB2898" s="2" t="s">
        <v>38</v>
      </c>
      <c r="AC2898" s="2" t="s">
        <v>38</v>
      </c>
      <c r="AD2898" s="2" t="s">
        <v>39</v>
      </c>
      <c r="AE2898" s="2" t="s">
        <v>39</v>
      </c>
    </row>
    <row r="2899" spans="1:31" ht="409.5">
      <c r="A2899" s="2">
        <v>2708330</v>
      </c>
      <c r="B2899" s="2">
        <f>HYPERLINK("https://platform.v2.vetology.net/cases/2708330/screening-report/1?type=pdf&amp;v=v6&amp;scorecard=1&amp;secret_key=BX%25IJ%24%2F65ieZ%29f6", 2708330)</f>
        <v>2708330</v>
      </c>
      <c r="C2899" s="2">
        <f>HYPERLINK("https://platform.v2.vetology.net/report/v/final/"&amp;2708330, 2708330)</f>
        <v>2708330</v>
      </c>
      <c r="D2899" s="2" t="s">
        <v>9241</v>
      </c>
      <c r="E2899" s="2" t="s">
        <v>9242</v>
      </c>
      <c r="F2899" s="2" t="s">
        <v>9243</v>
      </c>
      <c r="G2899" s="2" t="s">
        <v>556</v>
      </c>
      <c r="H2899" s="2" t="s">
        <v>69</v>
      </c>
      <c r="I2899" s="2" t="s">
        <v>46</v>
      </c>
      <c r="J2899" s="2"/>
      <c r="K2899" s="2" t="s">
        <v>39</v>
      </c>
      <c r="L2899" s="2" t="s">
        <v>39</v>
      </c>
      <c r="M2899" s="2" t="s">
        <v>39</v>
      </c>
      <c r="N2899" s="2" t="s">
        <v>39</v>
      </c>
      <c r="O2899" s="2" t="s">
        <v>39</v>
      </c>
      <c r="P2899" s="2" t="s">
        <v>39</v>
      </c>
      <c r="Q2899" s="2" t="s">
        <v>39</v>
      </c>
      <c r="R2899" s="2" t="s">
        <v>39</v>
      </c>
      <c r="S2899" s="2" t="s">
        <v>39</v>
      </c>
      <c r="T2899" s="2" t="s">
        <v>39</v>
      </c>
      <c r="U2899" s="2" t="s">
        <v>39</v>
      </c>
      <c r="V2899" s="2" t="s">
        <v>39</v>
      </c>
      <c r="W2899" s="2" t="s">
        <v>39</v>
      </c>
      <c r="X2899" s="2" t="s">
        <v>39</v>
      </c>
      <c r="Y2899" s="2" t="s">
        <v>39</v>
      </c>
      <c r="Z2899" s="2" t="s">
        <v>39</v>
      </c>
      <c r="AA2899" s="2" t="s">
        <v>39</v>
      </c>
      <c r="AB2899" s="2" t="s">
        <v>39</v>
      </c>
      <c r="AC2899" s="2" t="s">
        <v>39</v>
      </c>
      <c r="AD2899" s="2" t="s">
        <v>39</v>
      </c>
      <c r="AE2899" s="2"/>
    </row>
    <row r="2900" spans="1:31" ht="409.5">
      <c r="A2900" s="2">
        <v>2708307</v>
      </c>
      <c r="B2900" s="2">
        <f>HYPERLINK("https://platform.v2.vetology.net/cases/2708307/screening-report/1?type=pdf&amp;v=v6&amp;scorecard=1&amp;secret_key=BX%25IJ%24%2F65ieZ%29f6", 2708307)</f>
        <v>2708307</v>
      </c>
      <c r="C2900" s="2">
        <f>HYPERLINK("https://platform.v2.vetology.net/report/v/final/"&amp;2708307, 2708307)</f>
        <v>2708307</v>
      </c>
      <c r="D2900" s="2" t="s">
        <v>9244</v>
      </c>
      <c r="E2900" s="2" t="s">
        <v>9245</v>
      </c>
      <c r="F2900" s="2" t="s">
        <v>9246</v>
      </c>
      <c r="G2900" s="2" t="s">
        <v>53</v>
      </c>
      <c r="H2900" s="2" t="s">
        <v>537</v>
      </c>
      <c r="I2900" s="2" t="s">
        <v>59</v>
      </c>
      <c r="J2900" s="2" t="s">
        <v>37</v>
      </c>
      <c r="K2900" s="2" t="s">
        <v>38</v>
      </c>
      <c r="L2900" s="2" t="s">
        <v>39</v>
      </c>
      <c r="M2900" s="2" t="s">
        <v>39</v>
      </c>
      <c r="N2900" s="2" t="s">
        <v>39</v>
      </c>
      <c r="O2900" s="2" t="s">
        <v>39</v>
      </c>
      <c r="P2900" s="2" t="s">
        <v>39</v>
      </c>
      <c r="Q2900" s="2" t="s">
        <v>39</v>
      </c>
      <c r="R2900" s="2" t="s">
        <v>39</v>
      </c>
      <c r="S2900" s="2" t="s">
        <v>39</v>
      </c>
      <c r="T2900" s="2" t="s">
        <v>39</v>
      </c>
      <c r="U2900" s="2" t="s">
        <v>38</v>
      </c>
      <c r="V2900" s="2" t="s">
        <v>38</v>
      </c>
      <c r="W2900" s="2" t="s">
        <v>39</v>
      </c>
      <c r="X2900" s="2" t="s">
        <v>39</v>
      </c>
      <c r="Y2900" s="2" t="s">
        <v>39</v>
      </c>
      <c r="Z2900" s="2" t="s">
        <v>39</v>
      </c>
      <c r="AA2900" s="2" t="s">
        <v>39</v>
      </c>
      <c r="AB2900" s="2" t="s">
        <v>39</v>
      </c>
      <c r="AC2900" s="2" t="s">
        <v>38</v>
      </c>
      <c r="AD2900" s="2" t="s">
        <v>39</v>
      </c>
      <c r="AE2900" s="2" t="s">
        <v>39</v>
      </c>
    </row>
    <row r="2901" spans="1:31" ht="409.5">
      <c r="A2901" s="2">
        <v>2708249</v>
      </c>
      <c r="B2901" s="2">
        <f>HYPERLINK("https://platform.v2.vetology.net/cases/2708249/screening-report/1?type=pdf&amp;v=v6&amp;scorecard=1&amp;secret_key=BX%25IJ%24%2F65ieZ%29f6", 2708249)</f>
        <v>2708249</v>
      </c>
      <c r="C2901" s="2">
        <f>HYPERLINK("https://platform.v2.vetology.net/report/v/final/"&amp;2708249, 2708249)</f>
        <v>2708249</v>
      </c>
      <c r="D2901" s="2" t="s">
        <v>9247</v>
      </c>
      <c r="E2901" s="2" t="s">
        <v>9248</v>
      </c>
      <c r="F2901" s="2" t="s">
        <v>9249</v>
      </c>
      <c r="G2901" s="2" t="s">
        <v>127</v>
      </c>
      <c r="H2901" s="2" t="s">
        <v>1665</v>
      </c>
      <c r="I2901" s="2" t="s">
        <v>59</v>
      </c>
      <c r="J2901" s="2" t="s">
        <v>37</v>
      </c>
      <c r="K2901" s="2" t="s">
        <v>38</v>
      </c>
      <c r="L2901" s="2" t="s">
        <v>39</v>
      </c>
      <c r="M2901" s="2" t="s">
        <v>39</v>
      </c>
      <c r="N2901" s="2" t="s">
        <v>38</v>
      </c>
      <c r="O2901" s="2" t="s">
        <v>39</v>
      </c>
      <c r="P2901" s="2" t="s">
        <v>39</v>
      </c>
      <c r="Q2901" s="2" t="s">
        <v>39</v>
      </c>
      <c r="R2901" s="2" t="s">
        <v>38</v>
      </c>
      <c r="S2901" s="2" t="s">
        <v>39</v>
      </c>
      <c r="T2901" s="2" t="s">
        <v>39</v>
      </c>
      <c r="U2901" s="2" t="s">
        <v>39</v>
      </c>
      <c r="V2901" s="2" t="s">
        <v>38</v>
      </c>
      <c r="W2901" s="2" t="s">
        <v>39</v>
      </c>
      <c r="X2901" s="2" t="s">
        <v>39</v>
      </c>
      <c r="Y2901" s="2" t="s">
        <v>39</v>
      </c>
      <c r="Z2901" s="2" t="s">
        <v>39</v>
      </c>
      <c r="AA2901" s="2" t="s">
        <v>39</v>
      </c>
      <c r="AB2901" s="2" t="s">
        <v>39</v>
      </c>
      <c r="AC2901" s="2" t="s">
        <v>39</v>
      </c>
      <c r="AD2901" s="2" t="s">
        <v>39</v>
      </c>
      <c r="AE2901" s="2" t="s">
        <v>39</v>
      </c>
    </row>
    <row r="2902" spans="1:31" ht="409.5">
      <c r="A2902" s="2">
        <v>2708152</v>
      </c>
      <c r="B2902" s="2">
        <f>HYPERLINK("https://platform.v2.vetology.net/cases/2708152/screening-report/1?type=pdf&amp;v=v6&amp;scorecard=1&amp;secret_key=BX%25IJ%24%2F65ieZ%29f6", 2708152)</f>
        <v>2708152</v>
      </c>
      <c r="C2902" s="2">
        <f>HYPERLINK("https://platform.v2.vetology.net/report/v/final/"&amp;2708152, 2708152)</f>
        <v>2708152</v>
      </c>
      <c r="D2902" s="2" t="s">
        <v>9250</v>
      </c>
      <c r="E2902" s="2" t="s">
        <v>9251</v>
      </c>
      <c r="F2902" s="2" t="s">
        <v>9252</v>
      </c>
      <c r="G2902" s="2" t="s">
        <v>53</v>
      </c>
      <c r="H2902" s="2" t="s">
        <v>3885</v>
      </c>
      <c r="I2902" s="2" t="s">
        <v>813</v>
      </c>
      <c r="J2902" s="2" t="s">
        <v>37</v>
      </c>
      <c r="K2902" s="2" t="s">
        <v>39</v>
      </c>
      <c r="L2902" s="2" t="s">
        <v>39</v>
      </c>
      <c r="M2902" s="2" t="s">
        <v>39</v>
      </c>
      <c r="N2902" s="2" t="s">
        <v>39</v>
      </c>
      <c r="O2902" s="2" t="s">
        <v>39</v>
      </c>
      <c r="P2902" s="2" t="s">
        <v>39</v>
      </c>
      <c r="Q2902" s="2" t="s">
        <v>39</v>
      </c>
      <c r="R2902" s="2" t="s">
        <v>38</v>
      </c>
      <c r="S2902" s="2" t="s">
        <v>39</v>
      </c>
      <c r="T2902" s="2" t="s">
        <v>39</v>
      </c>
      <c r="U2902" s="2" t="s">
        <v>39</v>
      </c>
      <c r="V2902" s="2" t="s">
        <v>39</v>
      </c>
      <c r="W2902" s="2" t="s">
        <v>38</v>
      </c>
      <c r="X2902" s="2" t="s">
        <v>39</v>
      </c>
      <c r="Y2902" s="2" t="s">
        <v>39</v>
      </c>
      <c r="Z2902" s="2" t="s">
        <v>39</v>
      </c>
      <c r="AA2902" s="2" t="s">
        <v>39</v>
      </c>
      <c r="AB2902" s="2" t="s">
        <v>39</v>
      </c>
      <c r="AC2902" s="2" t="s">
        <v>38</v>
      </c>
      <c r="AD2902" s="2" t="s">
        <v>38</v>
      </c>
      <c r="AE2902" s="2" t="s">
        <v>39</v>
      </c>
    </row>
    <row r="2903" spans="1:31" ht="409.5">
      <c r="A2903" s="2">
        <v>2708109</v>
      </c>
      <c r="B2903" s="2">
        <f>HYPERLINK("https://platform.v2.vetology.net/cases/2708109/screening-report/1?type=pdf&amp;v=v6&amp;scorecard=1&amp;secret_key=BX%25IJ%24%2F65ieZ%29f6", 2708109)</f>
        <v>2708109</v>
      </c>
      <c r="C2903" s="2">
        <f>HYPERLINK("https://platform.v2.vetology.net/report/v/final/"&amp;2708109, 2708109)</f>
        <v>2708109</v>
      </c>
      <c r="D2903" s="2" t="s">
        <v>9253</v>
      </c>
      <c r="E2903" s="2" t="s">
        <v>9254</v>
      </c>
      <c r="F2903" s="2" t="s">
        <v>3334</v>
      </c>
      <c r="G2903" s="2" t="s">
        <v>170</v>
      </c>
      <c r="H2903" s="2" t="s">
        <v>9255</v>
      </c>
      <c r="I2903" s="2" t="s">
        <v>129</v>
      </c>
      <c r="J2903" s="2" t="s">
        <v>74</v>
      </c>
      <c r="K2903" s="2" t="s">
        <v>39</v>
      </c>
      <c r="L2903" s="2" t="s">
        <v>38</v>
      </c>
      <c r="M2903" s="2" t="s">
        <v>38</v>
      </c>
      <c r="N2903" s="2" t="s">
        <v>38</v>
      </c>
      <c r="O2903" s="2" t="s">
        <v>38</v>
      </c>
      <c r="P2903" s="2" t="s">
        <v>38</v>
      </c>
      <c r="Q2903" s="2" t="s">
        <v>38</v>
      </c>
      <c r="R2903" s="2" t="s">
        <v>38</v>
      </c>
      <c r="S2903" s="2" t="s">
        <v>38</v>
      </c>
      <c r="T2903" s="2" t="s">
        <v>38</v>
      </c>
      <c r="U2903" s="2" t="s">
        <v>39</v>
      </c>
      <c r="V2903" s="2" t="s">
        <v>39</v>
      </c>
      <c r="W2903" s="2" t="s">
        <v>38</v>
      </c>
      <c r="X2903" s="2" t="s">
        <v>38</v>
      </c>
      <c r="Y2903" s="2" t="s">
        <v>38</v>
      </c>
      <c r="Z2903" s="2" t="s">
        <v>38</v>
      </c>
      <c r="AA2903" s="2" t="s">
        <v>38</v>
      </c>
      <c r="AB2903" s="2" t="s">
        <v>38</v>
      </c>
      <c r="AC2903" s="2" t="s">
        <v>38</v>
      </c>
      <c r="AD2903" s="2" t="s">
        <v>38</v>
      </c>
      <c r="AE2903" s="2"/>
    </row>
    <row r="2904" spans="1:31" ht="409.5">
      <c r="A2904" s="2">
        <v>2708088</v>
      </c>
      <c r="B2904" s="2">
        <f>HYPERLINK("https://platform.v2.vetology.net/cases/2708088/screening-report/1?type=pdf&amp;v=v6&amp;scorecard=1&amp;secret_key=BX%25IJ%24%2F65ieZ%29f6", 2708088)</f>
        <v>2708088</v>
      </c>
      <c r="C2904" s="2">
        <f>HYPERLINK("https://platform.v2.vetology.net/report/v/final/"&amp;2708088, 2708088)</f>
        <v>2708088</v>
      </c>
      <c r="D2904" s="2" t="s">
        <v>9256</v>
      </c>
      <c r="E2904" s="2" t="s">
        <v>9257</v>
      </c>
      <c r="F2904" s="2" t="s">
        <v>9258</v>
      </c>
      <c r="G2904" s="2" t="s">
        <v>53</v>
      </c>
      <c r="H2904" s="2" t="s">
        <v>9259</v>
      </c>
      <c r="I2904" s="2" t="s">
        <v>73</v>
      </c>
      <c r="J2904" s="2" t="s">
        <v>74</v>
      </c>
      <c r="K2904" s="2" t="s">
        <v>38</v>
      </c>
      <c r="L2904" s="2" t="s">
        <v>39</v>
      </c>
      <c r="M2904" s="2" t="s">
        <v>39</v>
      </c>
      <c r="N2904" s="2" t="s">
        <v>38</v>
      </c>
      <c r="O2904" s="2" t="s">
        <v>39</v>
      </c>
      <c r="P2904" s="2" t="s">
        <v>39</v>
      </c>
      <c r="Q2904" s="2" t="s">
        <v>38</v>
      </c>
      <c r="R2904" s="2" t="s">
        <v>39</v>
      </c>
      <c r="S2904" s="2" t="s">
        <v>39</v>
      </c>
      <c r="T2904" s="2" t="s">
        <v>38</v>
      </c>
      <c r="U2904" s="2" t="s">
        <v>38</v>
      </c>
      <c r="V2904" s="2" t="s">
        <v>38</v>
      </c>
      <c r="W2904" s="2" t="s">
        <v>39</v>
      </c>
      <c r="X2904" s="2" t="s">
        <v>39</v>
      </c>
      <c r="Y2904" s="2" t="s">
        <v>38</v>
      </c>
      <c r="Z2904" s="2" t="s">
        <v>39</v>
      </c>
      <c r="AA2904" s="2" t="s">
        <v>38</v>
      </c>
      <c r="AB2904" s="2" t="s">
        <v>38</v>
      </c>
      <c r="AC2904" s="2" t="s">
        <v>39</v>
      </c>
      <c r="AD2904" s="2" t="s">
        <v>39</v>
      </c>
      <c r="AE2904" s="2" t="s">
        <v>39</v>
      </c>
    </row>
    <row r="2905" spans="1:31" ht="409.5">
      <c r="A2905" s="2">
        <v>2708084</v>
      </c>
      <c r="B2905" s="2">
        <f>HYPERLINK("https://platform.v2.vetology.net/cases/2708084/screening-report/1?type=pdf&amp;v=v6&amp;scorecard=1&amp;secret_key=BX%25IJ%24%2F65ieZ%29f6", 2708084)</f>
        <v>2708084</v>
      </c>
      <c r="C2905" s="2">
        <f>HYPERLINK("https://platform.v2.vetology.net/report/v/final/"&amp;2708084, 2708084)</f>
        <v>2708084</v>
      </c>
      <c r="D2905" s="2" t="s">
        <v>9260</v>
      </c>
      <c r="E2905" s="2" t="s">
        <v>9261</v>
      </c>
      <c r="F2905" s="2" t="s">
        <v>9262</v>
      </c>
      <c r="G2905" s="2" t="s">
        <v>127</v>
      </c>
      <c r="H2905" s="2" t="s">
        <v>9263</v>
      </c>
      <c r="I2905" s="2" t="s">
        <v>36</v>
      </c>
      <c r="J2905" s="2" t="s">
        <v>37</v>
      </c>
      <c r="K2905" s="2" t="s">
        <v>38</v>
      </c>
      <c r="L2905" s="2" t="s">
        <v>38</v>
      </c>
      <c r="M2905" s="2" t="s">
        <v>38</v>
      </c>
      <c r="N2905" s="2" t="s">
        <v>38</v>
      </c>
      <c r="O2905" s="2" t="s">
        <v>38</v>
      </c>
      <c r="P2905" s="2" t="s">
        <v>39</v>
      </c>
      <c r="Q2905" s="2" t="s">
        <v>39</v>
      </c>
      <c r="R2905" s="2" t="s">
        <v>38</v>
      </c>
      <c r="S2905" s="2" t="s">
        <v>39</v>
      </c>
      <c r="T2905" s="2" t="s">
        <v>39</v>
      </c>
      <c r="U2905" s="2" t="s">
        <v>38</v>
      </c>
      <c r="V2905" s="2" t="s">
        <v>38</v>
      </c>
      <c r="W2905" s="2" t="s">
        <v>38</v>
      </c>
      <c r="X2905" s="2" t="s">
        <v>39</v>
      </c>
      <c r="Y2905" s="2" t="s">
        <v>38</v>
      </c>
      <c r="Z2905" s="2" t="s">
        <v>38</v>
      </c>
      <c r="AA2905" s="2" t="s">
        <v>38</v>
      </c>
      <c r="AB2905" s="2" t="s">
        <v>39</v>
      </c>
      <c r="AC2905" s="2" t="s">
        <v>38</v>
      </c>
      <c r="AD2905" s="2" t="s">
        <v>39</v>
      </c>
      <c r="AE2905" s="2" t="s">
        <v>40</v>
      </c>
    </row>
    <row r="2906" spans="1:31" ht="409.5">
      <c r="A2906" s="2">
        <v>2708080</v>
      </c>
      <c r="B2906" s="2">
        <f>HYPERLINK("https://platform.v2.vetology.net/cases/2708080/screening-report/1?type=pdf&amp;v=v6&amp;scorecard=1&amp;secret_key=BX%25IJ%24%2F65ieZ%29f6", 2708080)</f>
        <v>2708080</v>
      </c>
      <c r="C2906" s="2">
        <f>HYPERLINK("https://platform.v2.vetology.net/report/v/final/"&amp;2708080, 2708080)</f>
        <v>2708080</v>
      </c>
      <c r="D2906" s="2" t="s">
        <v>9264</v>
      </c>
      <c r="E2906" s="2" t="s">
        <v>9265</v>
      </c>
      <c r="F2906" s="2" t="s">
        <v>43</v>
      </c>
      <c r="G2906" s="2" t="s">
        <v>44</v>
      </c>
      <c r="H2906" s="2" t="s">
        <v>4932</v>
      </c>
      <c r="I2906" s="2" t="s">
        <v>36</v>
      </c>
      <c r="J2906" s="2" t="s">
        <v>37</v>
      </c>
      <c r="K2906" s="2" t="s">
        <v>39</v>
      </c>
      <c r="L2906" s="2" t="s">
        <v>39</v>
      </c>
      <c r="M2906" s="2" t="s">
        <v>38</v>
      </c>
      <c r="N2906" s="2" t="s">
        <v>38</v>
      </c>
      <c r="O2906" s="2" t="s">
        <v>38</v>
      </c>
      <c r="P2906" s="2" t="s">
        <v>39</v>
      </c>
      <c r="Q2906" s="2" t="s">
        <v>39</v>
      </c>
      <c r="R2906" s="2" t="s">
        <v>38</v>
      </c>
      <c r="S2906" s="2" t="s">
        <v>38</v>
      </c>
      <c r="T2906" s="2" t="s">
        <v>38</v>
      </c>
      <c r="U2906" s="2" t="s">
        <v>39</v>
      </c>
      <c r="V2906" s="2" t="s">
        <v>39</v>
      </c>
      <c r="W2906" s="2" t="s">
        <v>38</v>
      </c>
      <c r="X2906" s="2" t="s">
        <v>38</v>
      </c>
      <c r="Y2906" s="2" t="s">
        <v>39</v>
      </c>
      <c r="Z2906" s="2" t="s">
        <v>38</v>
      </c>
      <c r="AA2906" s="2" t="s">
        <v>38</v>
      </c>
      <c r="AB2906" s="2" t="s">
        <v>39</v>
      </c>
      <c r="AC2906" s="2" t="s">
        <v>38</v>
      </c>
      <c r="AD2906" s="2" t="s">
        <v>38</v>
      </c>
      <c r="AE2906" s="2" t="s">
        <v>39</v>
      </c>
    </row>
    <row r="2907" spans="1:31" ht="409.5">
      <c r="A2907" s="2">
        <v>2708021</v>
      </c>
      <c r="B2907" s="2">
        <f>HYPERLINK("https://platform.v2.vetology.net/cases/2708021/screening-report/1?type=pdf&amp;v=v6&amp;scorecard=1&amp;secret_key=BX%25IJ%24%2F65ieZ%29f6", 2708021)</f>
        <v>2708021</v>
      </c>
      <c r="C2907" s="2">
        <f>HYPERLINK("https://platform.v2.vetology.net/report/v/final/"&amp;2708021, 2708021)</f>
        <v>2708021</v>
      </c>
      <c r="D2907" s="2" t="s">
        <v>9266</v>
      </c>
      <c r="E2907" s="2" t="s">
        <v>9267</v>
      </c>
      <c r="F2907" s="2" t="s">
        <v>9268</v>
      </c>
      <c r="G2907" s="2" t="s">
        <v>127</v>
      </c>
      <c r="H2907" s="2" t="s">
        <v>9269</v>
      </c>
      <c r="I2907" s="2" t="s">
        <v>36</v>
      </c>
      <c r="J2907" s="2" t="s">
        <v>37</v>
      </c>
      <c r="K2907" s="2" t="s">
        <v>38</v>
      </c>
      <c r="L2907" s="2" t="s">
        <v>38</v>
      </c>
      <c r="M2907" s="2" t="s">
        <v>38</v>
      </c>
      <c r="N2907" s="2" t="s">
        <v>38</v>
      </c>
      <c r="O2907" s="2" t="s">
        <v>38</v>
      </c>
      <c r="P2907" s="2" t="s">
        <v>39</v>
      </c>
      <c r="Q2907" s="2" t="s">
        <v>39</v>
      </c>
      <c r="R2907" s="2" t="s">
        <v>38</v>
      </c>
      <c r="S2907" s="2" t="s">
        <v>38</v>
      </c>
      <c r="T2907" s="2" t="s">
        <v>39</v>
      </c>
      <c r="U2907" s="2" t="s">
        <v>38</v>
      </c>
      <c r="V2907" s="2" t="s">
        <v>38</v>
      </c>
      <c r="W2907" s="2" t="s">
        <v>38</v>
      </c>
      <c r="X2907" s="2" t="s">
        <v>39</v>
      </c>
      <c r="Y2907" s="2" t="s">
        <v>38</v>
      </c>
      <c r="Z2907" s="2" t="s">
        <v>38</v>
      </c>
      <c r="AA2907" s="2" t="s">
        <v>38</v>
      </c>
      <c r="AB2907" s="2" t="s">
        <v>39</v>
      </c>
      <c r="AC2907" s="2" t="s">
        <v>38</v>
      </c>
      <c r="AD2907" s="2" t="s">
        <v>38</v>
      </c>
      <c r="AE2907" s="2" t="s">
        <v>40</v>
      </c>
    </row>
    <row r="2908" spans="1:31" ht="409.5">
      <c r="A2908" s="2">
        <v>2708008</v>
      </c>
      <c r="B2908" s="2">
        <f>HYPERLINK("https://platform.v2.vetology.net/cases/2708008/screening-report/1?type=pdf&amp;v=v6&amp;scorecard=1&amp;secret_key=BX%25IJ%24%2F65ieZ%29f6", 2708008)</f>
        <v>2708008</v>
      </c>
      <c r="C2908" s="2">
        <f>HYPERLINK("https://platform.v2.vetology.net/report/v/final/"&amp;2708008, 2708008)</f>
        <v>2708008</v>
      </c>
      <c r="D2908" s="2" t="s">
        <v>9270</v>
      </c>
      <c r="E2908" s="2" t="s">
        <v>9271</v>
      </c>
      <c r="F2908" s="2" t="s">
        <v>9272</v>
      </c>
      <c r="G2908" s="2" t="s">
        <v>53</v>
      </c>
      <c r="H2908" s="2" t="s">
        <v>9273</v>
      </c>
      <c r="I2908" s="2" t="s">
        <v>36</v>
      </c>
      <c r="J2908" s="2" t="s">
        <v>37</v>
      </c>
      <c r="K2908" s="2" t="s">
        <v>39</v>
      </c>
      <c r="L2908" s="2" t="s">
        <v>39</v>
      </c>
      <c r="M2908" s="2" t="s">
        <v>38</v>
      </c>
      <c r="N2908" s="2" t="s">
        <v>39</v>
      </c>
      <c r="O2908" s="2" t="s">
        <v>38</v>
      </c>
      <c r="P2908" s="2" t="s">
        <v>38</v>
      </c>
      <c r="Q2908" s="2" t="s">
        <v>38</v>
      </c>
      <c r="R2908" s="2" t="s">
        <v>39</v>
      </c>
      <c r="S2908" s="2" t="s">
        <v>38</v>
      </c>
      <c r="T2908" s="2" t="s">
        <v>38</v>
      </c>
      <c r="U2908" s="2" t="s">
        <v>39</v>
      </c>
      <c r="V2908" s="2" t="s">
        <v>39</v>
      </c>
      <c r="W2908" s="2" t="s">
        <v>38</v>
      </c>
      <c r="X2908" s="2" t="s">
        <v>39</v>
      </c>
      <c r="Y2908" s="2" t="s">
        <v>39</v>
      </c>
      <c r="Z2908" s="2" t="s">
        <v>38</v>
      </c>
      <c r="AA2908" s="2" t="s">
        <v>38</v>
      </c>
      <c r="AB2908" s="2" t="s">
        <v>39</v>
      </c>
      <c r="AC2908" s="2" t="s">
        <v>38</v>
      </c>
      <c r="AD2908" s="2" t="s">
        <v>38</v>
      </c>
      <c r="AE2908" s="2" t="s">
        <v>40</v>
      </c>
    </row>
    <row r="2909" spans="1:31" ht="409.5">
      <c r="A2909" s="2">
        <v>2708000</v>
      </c>
      <c r="B2909" s="2">
        <f>HYPERLINK("https://platform.v2.vetology.net/cases/2708000/screening-report/1?type=pdf&amp;v=v6&amp;scorecard=1&amp;secret_key=BX%25IJ%24%2F65ieZ%29f6", 2708000)</f>
        <v>2708000</v>
      </c>
      <c r="C2909" s="2">
        <f>HYPERLINK("https://platform.v2.vetology.net/report/v/final/"&amp;2708000, 2708000)</f>
        <v>2708000</v>
      </c>
      <c r="D2909" s="2" t="s">
        <v>9274</v>
      </c>
      <c r="E2909" s="2" t="s">
        <v>9275</v>
      </c>
      <c r="F2909" s="2"/>
      <c r="G2909" s="2" t="s">
        <v>100</v>
      </c>
      <c r="H2909" s="2" t="s">
        <v>1248</v>
      </c>
      <c r="I2909" s="2" t="s">
        <v>813</v>
      </c>
      <c r="J2909" s="2" t="s">
        <v>37</v>
      </c>
      <c r="K2909" s="2" t="s">
        <v>39</v>
      </c>
      <c r="L2909" s="2" t="s">
        <v>39</v>
      </c>
      <c r="M2909" s="2" t="s">
        <v>39</v>
      </c>
      <c r="N2909" s="2" t="s">
        <v>39</v>
      </c>
      <c r="O2909" s="2" t="s">
        <v>39</v>
      </c>
      <c r="P2909" s="2" t="s">
        <v>39</v>
      </c>
      <c r="Q2909" s="2" t="s">
        <v>39</v>
      </c>
      <c r="R2909" s="2" t="s">
        <v>38</v>
      </c>
      <c r="S2909" s="2" t="s">
        <v>39</v>
      </c>
      <c r="T2909" s="2" t="s">
        <v>39</v>
      </c>
      <c r="U2909" s="2" t="s">
        <v>39</v>
      </c>
      <c r="V2909" s="2" t="s">
        <v>39</v>
      </c>
      <c r="W2909" s="2" t="s">
        <v>38</v>
      </c>
      <c r="X2909" s="2" t="s">
        <v>39</v>
      </c>
      <c r="Y2909" s="2" t="s">
        <v>39</v>
      </c>
      <c r="Z2909" s="2" t="s">
        <v>39</v>
      </c>
      <c r="AA2909" s="2" t="s">
        <v>39</v>
      </c>
      <c r="AB2909" s="2" t="s">
        <v>39</v>
      </c>
      <c r="AC2909" s="2" t="s">
        <v>38</v>
      </c>
      <c r="AD2909" s="2" t="s">
        <v>38</v>
      </c>
      <c r="AE2909" s="2" t="s">
        <v>39</v>
      </c>
    </row>
    <row r="2910" spans="1:31" ht="409.5">
      <c r="A2910" s="2">
        <v>2707978</v>
      </c>
      <c r="B2910" s="2">
        <f>HYPERLINK("https://platform.v2.vetology.net/cases/2707978/screening-report/1?type=pdf&amp;v=v6&amp;scorecard=1&amp;secret_key=BX%25IJ%24%2F65ieZ%29f6", 2707978)</f>
        <v>2707978</v>
      </c>
      <c r="C2910" s="2">
        <f>HYPERLINK("https://platform.v2.vetology.net/report/v/final/"&amp;2707978, 2707978)</f>
        <v>2707978</v>
      </c>
      <c r="D2910" s="2" t="s">
        <v>9276</v>
      </c>
      <c r="E2910" s="2" t="s">
        <v>9277</v>
      </c>
      <c r="F2910" s="2" t="s">
        <v>43</v>
      </c>
      <c r="G2910" s="2" t="s">
        <v>100</v>
      </c>
      <c r="H2910" s="2" t="s">
        <v>9278</v>
      </c>
      <c r="I2910" s="2" t="s">
        <v>73</v>
      </c>
      <c r="J2910" s="2" t="s">
        <v>74</v>
      </c>
      <c r="K2910" s="2" t="s">
        <v>38</v>
      </c>
      <c r="L2910" s="2" t="s">
        <v>38</v>
      </c>
      <c r="M2910" s="2" t="s">
        <v>38</v>
      </c>
      <c r="N2910" s="2" t="s">
        <v>38</v>
      </c>
      <c r="O2910" s="2" t="s">
        <v>38</v>
      </c>
      <c r="P2910" s="2" t="s">
        <v>38</v>
      </c>
      <c r="Q2910" s="2" t="s">
        <v>38</v>
      </c>
      <c r="R2910" s="2" t="s">
        <v>38</v>
      </c>
      <c r="S2910" s="2" t="s">
        <v>38</v>
      </c>
      <c r="T2910" s="2" t="s">
        <v>38</v>
      </c>
      <c r="U2910" s="2" t="s">
        <v>38</v>
      </c>
      <c r="V2910" s="2" t="s">
        <v>38</v>
      </c>
      <c r="W2910" s="2" t="s">
        <v>38</v>
      </c>
      <c r="X2910" s="2" t="s">
        <v>38</v>
      </c>
      <c r="Y2910" s="2" t="s">
        <v>39</v>
      </c>
      <c r="Z2910" s="2" t="s">
        <v>38</v>
      </c>
      <c r="AA2910" s="2" t="s">
        <v>38</v>
      </c>
      <c r="AB2910" s="2" t="s">
        <v>38</v>
      </c>
      <c r="AC2910" s="2" t="s">
        <v>39</v>
      </c>
      <c r="AD2910" s="2" t="s">
        <v>39</v>
      </c>
      <c r="AE2910" s="2" t="s">
        <v>40</v>
      </c>
    </row>
    <row r="2911" spans="1:31" ht="409.5">
      <c r="A2911" s="2">
        <v>2707949</v>
      </c>
      <c r="B2911" s="2">
        <f>HYPERLINK("https://platform.v2.vetology.net/cases/2707949/screening-report/1?type=pdf&amp;v=v6&amp;scorecard=1&amp;secret_key=BX%25IJ%24%2F65ieZ%29f6", 2707949)</f>
        <v>2707949</v>
      </c>
      <c r="C2911" s="2">
        <f>HYPERLINK("https://platform.v2.vetology.net/report/v/final/"&amp;2707949, 2707949)</f>
        <v>2707949</v>
      </c>
      <c r="D2911" s="2" t="s">
        <v>9279</v>
      </c>
      <c r="E2911" s="2" t="s">
        <v>9280</v>
      </c>
      <c r="F2911" s="2" t="s">
        <v>8501</v>
      </c>
      <c r="G2911" s="2" t="s">
        <v>170</v>
      </c>
      <c r="H2911" s="2" t="s">
        <v>69</v>
      </c>
      <c r="I2911" s="2" t="s">
        <v>46</v>
      </c>
      <c r="J2911" s="2"/>
      <c r="K2911" s="2" t="s">
        <v>39</v>
      </c>
      <c r="L2911" s="2" t="s">
        <v>39</v>
      </c>
      <c r="M2911" s="2" t="s">
        <v>39</v>
      </c>
      <c r="N2911" s="2" t="s">
        <v>39</v>
      </c>
      <c r="O2911" s="2" t="s">
        <v>39</v>
      </c>
      <c r="P2911" s="2" t="s">
        <v>39</v>
      </c>
      <c r="Q2911" s="2" t="s">
        <v>39</v>
      </c>
      <c r="R2911" s="2" t="s">
        <v>39</v>
      </c>
      <c r="S2911" s="2" t="s">
        <v>39</v>
      </c>
      <c r="T2911" s="2" t="s">
        <v>39</v>
      </c>
      <c r="U2911" s="2" t="s">
        <v>39</v>
      </c>
      <c r="V2911" s="2" t="s">
        <v>39</v>
      </c>
      <c r="W2911" s="2" t="s">
        <v>39</v>
      </c>
      <c r="X2911" s="2" t="s">
        <v>39</v>
      </c>
      <c r="Y2911" s="2" t="s">
        <v>39</v>
      </c>
      <c r="Z2911" s="2" t="s">
        <v>39</v>
      </c>
      <c r="AA2911" s="2" t="s">
        <v>39</v>
      </c>
      <c r="AB2911" s="2" t="s">
        <v>39</v>
      </c>
      <c r="AC2911" s="2" t="s">
        <v>39</v>
      </c>
      <c r="AD2911" s="2" t="s">
        <v>39</v>
      </c>
      <c r="AE2911" s="2" t="s">
        <v>40</v>
      </c>
    </row>
    <row r="2912" spans="1:31" ht="409.5">
      <c r="A2912" s="2">
        <v>2707937</v>
      </c>
      <c r="B2912" s="2">
        <f>HYPERLINK("https://platform.v2.vetology.net/cases/2707937/screening-report/1?type=pdf&amp;v=v6&amp;scorecard=1&amp;secret_key=BX%25IJ%24%2F65ieZ%29f6", 2707937)</f>
        <v>2707937</v>
      </c>
      <c r="C2912" s="2">
        <f>HYPERLINK("https://platform.v2.vetology.net/report/v/final/"&amp;2707937, 2707937)</f>
        <v>2707937</v>
      </c>
      <c r="D2912" s="2" t="s">
        <v>9281</v>
      </c>
      <c r="E2912" s="2" t="s">
        <v>9282</v>
      </c>
      <c r="F2912" s="2" t="s">
        <v>9283</v>
      </c>
      <c r="G2912" s="2" t="s">
        <v>53</v>
      </c>
      <c r="H2912" s="2" t="s">
        <v>9284</v>
      </c>
      <c r="I2912" s="2" t="s">
        <v>36</v>
      </c>
      <c r="J2912" s="2" t="s">
        <v>37</v>
      </c>
      <c r="K2912" s="2" t="s">
        <v>39</v>
      </c>
      <c r="L2912" s="2" t="s">
        <v>38</v>
      </c>
      <c r="M2912" s="2" t="s">
        <v>38</v>
      </c>
      <c r="N2912" s="2" t="s">
        <v>39</v>
      </c>
      <c r="O2912" s="2" t="s">
        <v>38</v>
      </c>
      <c r="P2912" s="2" t="s">
        <v>39</v>
      </c>
      <c r="Q2912" s="2" t="s">
        <v>39</v>
      </c>
      <c r="R2912" s="2" t="s">
        <v>39</v>
      </c>
      <c r="S2912" s="2" t="s">
        <v>38</v>
      </c>
      <c r="T2912" s="2" t="s">
        <v>38</v>
      </c>
      <c r="U2912" s="2" t="s">
        <v>39</v>
      </c>
      <c r="V2912" s="2" t="s">
        <v>39</v>
      </c>
      <c r="W2912" s="2" t="s">
        <v>38</v>
      </c>
      <c r="X2912" s="2" t="s">
        <v>39</v>
      </c>
      <c r="Y2912" s="2" t="s">
        <v>39</v>
      </c>
      <c r="Z2912" s="2" t="s">
        <v>38</v>
      </c>
      <c r="AA2912" s="2" t="s">
        <v>38</v>
      </c>
      <c r="AB2912" s="2" t="s">
        <v>39</v>
      </c>
      <c r="AC2912" s="2" t="s">
        <v>38</v>
      </c>
      <c r="AD2912" s="2" t="s">
        <v>38</v>
      </c>
      <c r="AE2912" s="2" t="s">
        <v>39</v>
      </c>
    </row>
    <row r="2913" spans="1:31" ht="409.5">
      <c r="A2913" s="2">
        <v>2707923</v>
      </c>
      <c r="B2913" s="2">
        <f>HYPERLINK("https://platform.v2.vetology.net/cases/2707923/screening-report/1?type=pdf&amp;v=v6&amp;scorecard=1&amp;secret_key=BX%25IJ%24%2F65ieZ%29f6", 2707923)</f>
        <v>2707923</v>
      </c>
      <c r="C2913" s="2">
        <f>HYPERLINK("https://platform.v2.vetology.net/report/v/final/"&amp;2707923, 2707923)</f>
        <v>2707923</v>
      </c>
      <c r="D2913" s="2" t="s">
        <v>9285</v>
      </c>
      <c r="E2913" s="2" t="s">
        <v>9286</v>
      </c>
      <c r="F2913" s="2" t="s">
        <v>2082</v>
      </c>
      <c r="G2913" s="2" t="s">
        <v>170</v>
      </c>
      <c r="H2913" s="2" t="s">
        <v>561</v>
      </c>
      <c r="I2913" s="2" t="s">
        <v>36</v>
      </c>
      <c r="J2913" s="2" t="s">
        <v>37</v>
      </c>
      <c r="K2913" s="2" t="s">
        <v>39</v>
      </c>
      <c r="L2913" s="2" t="s">
        <v>38</v>
      </c>
      <c r="M2913" s="2" t="s">
        <v>38</v>
      </c>
      <c r="N2913" s="2" t="s">
        <v>38</v>
      </c>
      <c r="O2913" s="2" t="s">
        <v>38</v>
      </c>
      <c r="P2913" s="2" t="s">
        <v>39</v>
      </c>
      <c r="Q2913" s="2" t="s">
        <v>39</v>
      </c>
      <c r="R2913" s="2" t="s">
        <v>38</v>
      </c>
      <c r="S2913" s="2" t="s">
        <v>38</v>
      </c>
      <c r="T2913" s="2" t="s">
        <v>38</v>
      </c>
      <c r="U2913" s="2" t="s">
        <v>39</v>
      </c>
      <c r="V2913" s="2" t="s">
        <v>39</v>
      </c>
      <c r="W2913" s="2" t="s">
        <v>38</v>
      </c>
      <c r="X2913" s="2" t="s">
        <v>39</v>
      </c>
      <c r="Y2913" s="2" t="s">
        <v>39</v>
      </c>
      <c r="Z2913" s="2" t="s">
        <v>38</v>
      </c>
      <c r="AA2913" s="2" t="s">
        <v>38</v>
      </c>
      <c r="AB2913" s="2" t="s">
        <v>39</v>
      </c>
      <c r="AC2913" s="2" t="s">
        <v>38</v>
      </c>
      <c r="AD2913" s="2" t="s">
        <v>39</v>
      </c>
      <c r="AE2913" s="2" t="s">
        <v>39</v>
      </c>
    </row>
    <row r="2914" spans="1:31" ht="409.5">
      <c r="A2914" s="2">
        <v>2707919</v>
      </c>
      <c r="B2914" s="2">
        <f>HYPERLINK("https://platform.v2.vetology.net/cases/2707919/screening-report/1?type=pdf&amp;v=v6&amp;scorecard=1&amp;secret_key=BX%25IJ%24%2F65ieZ%29f6", 2707919)</f>
        <v>2707919</v>
      </c>
      <c r="C2914" s="2">
        <f>HYPERLINK("https://platform.v2.vetology.net/report/v/final/"&amp;2707919, 2707919)</f>
        <v>2707919</v>
      </c>
      <c r="D2914" s="2" t="s">
        <v>9287</v>
      </c>
      <c r="E2914" s="2" t="s">
        <v>9288</v>
      </c>
      <c r="F2914" s="2" t="s">
        <v>9289</v>
      </c>
      <c r="G2914" s="2" t="s">
        <v>170</v>
      </c>
      <c r="H2914" s="2" t="s">
        <v>9290</v>
      </c>
      <c r="I2914" s="2" t="s">
        <v>36</v>
      </c>
      <c r="J2914" s="2" t="s">
        <v>37</v>
      </c>
      <c r="K2914" s="2" t="s">
        <v>39</v>
      </c>
      <c r="L2914" s="2" t="s">
        <v>38</v>
      </c>
      <c r="M2914" s="2" t="s">
        <v>38</v>
      </c>
      <c r="N2914" s="2" t="s">
        <v>38</v>
      </c>
      <c r="O2914" s="2" t="s">
        <v>38</v>
      </c>
      <c r="P2914" s="2" t="s">
        <v>38</v>
      </c>
      <c r="Q2914" s="2" t="s">
        <v>39</v>
      </c>
      <c r="R2914" s="2" t="s">
        <v>38</v>
      </c>
      <c r="S2914" s="2" t="s">
        <v>38</v>
      </c>
      <c r="T2914" s="2" t="s">
        <v>38</v>
      </c>
      <c r="U2914" s="2" t="s">
        <v>38</v>
      </c>
      <c r="V2914" s="2" t="s">
        <v>39</v>
      </c>
      <c r="W2914" s="2" t="s">
        <v>38</v>
      </c>
      <c r="X2914" s="2" t="s">
        <v>39</v>
      </c>
      <c r="Y2914" s="2" t="s">
        <v>39</v>
      </c>
      <c r="Z2914" s="2" t="s">
        <v>38</v>
      </c>
      <c r="AA2914" s="2" t="s">
        <v>38</v>
      </c>
      <c r="AB2914" s="2" t="s">
        <v>39</v>
      </c>
      <c r="AC2914" s="2" t="s">
        <v>38</v>
      </c>
      <c r="AD2914" s="2" t="s">
        <v>38</v>
      </c>
      <c r="AE2914" s="2"/>
    </row>
    <row r="2915" spans="1:31" ht="409.5">
      <c r="A2915" s="2">
        <v>2707908</v>
      </c>
      <c r="B2915" s="2">
        <f>HYPERLINK("https://platform.v2.vetology.net/cases/2707908/screening-report/1?type=pdf&amp;v=v6&amp;scorecard=1&amp;secret_key=BX%25IJ%24%2F65ieZ%29f6", 2707908)</f>
        <v>2707908</v>
      </c>
      <c r="C2915" s="2">
        <f>HYPERLINK("https://platform.v2.vetology.net/report/v/final/"&amp;2707908, 2707908)</f>
        <v>2707908</v>
      </c>
      <c r="D2915" s="2" t="s">
        <v>9291</v>
      </c>
      <c r="E2915" s="2" t="s">
        <v>9292</v>
      </c>
      <c r="F2915" s="2" t="s">
        <v>4320</v>
      </c>
      <c r="G2915" s="2" t="s">
        <v>170</v>
      </c>
      <c r="H2915" s="2" t="s">
        <v>9293</v>
      </c>
      <c r="I2915" s="2" t="s">
        <v>36</v>
      </c>
      <c r="J2915" s="2" t="s">
        <v>37</v>
      </c>
      <c r="K2915" s="2" t="s">
        <v>39</v>
      </c>
      <c r="L2915" s="2" t="s">
        <v>38</v>
      </c>
      <c r="M2915" s="2" t="s">
        <v>38</v>
      </c>
      <c r="N2915" s="2" t="s">
        <v>38</v>
      </c>
      <c r="O2915" s="2" t="s">
        <v>39</v>
      </c>
      <c r="P2915" s="2" t="s">
        <v>39</v>
      </c>
      <c r="Q2915" s="2" t="s">
        <v>39</v>
      </c>
      <c r="R2915" s="2" t="s">
        <v>38</v>
      </c>
      <c r="S2915" s="2" t="s">
        <v>38</v>
      </c>
      <c r="T2915" s="2" t="s">
        <v>38</v>
      </c>
      <c r="U2915" s="2" t="s">
        <v>39</v>
      </c>
      <c r="V2915" s="2" t="s">
        <v>39</v>
      </c>
      <c r="W2915" s="2" t="s">
        <v>38</v>
      </c>
      <c r="X2915" s="2" t="s">
        <v>39</v>
      </c>
      <c r="Y2915" s="2" t="s">
        <v>39</v>
      </c>
      <c r="Z2915" s="2" t="s">
        <v>38</v>
      </c>
      <c r="AA2915" s="2" t="s">
        <v>38</v>
      </c>
      <c r="AB2915" s="2" t="s">
        <v>39</v>
      </c>
      <c r="AC2915" s="2" t="s">
        <v>38</v>
      </c>
      <c r="AD2915" s="2" t="s">
        <v>38</v>
      </c>
      <c r="AE2915" s="2"/>
    </row>
    <row r="2916" spans="1:31" ht="409.5">
      <c r="A2916" s="2">
        <v>2707867</v>
      </c>
      <c r="B2916" s="2">
        <f>HYPERLINK("https://platform.v2.vetology.net/cases/2707867/screening-report/1?type=pdf&amp;v=v6&amp;scorecard=1&amp;secret_key=BX%25IJ%24%2F65ieZ%29f6", 2707867)</f>
        <v>2707867</v>
      </c>
      <c r="C2916" s="2">
        <f>HYPERLINK("https://platform.v2.vetology.net/report/v/final/"&amp;2707867, 2707867)</f>
        <v>2707867</v>
      </c>
      <c r="D2916" s="2" t="s">
        <v>9294</v>
      </c>
      <c r="E2916" s="2" t="s">
        <v>9295</v>
      </c>
      <c r="F2916" s="2" t="s">
        <v>9296</v>
      </c>
      <c r="G2916" s="2" t="s">
        <v>127</v>
      </c>
      <c r="H2916" s="2" t="s">
        <v>9297</v>
      </c>
      <c r="I2916" s="2" t="s">
        <v>36</v>
      </c>
      <c r="J2916" s="2" t="s">
        <v>37</v>
      </c>
      <c r="K2916" s="2" t="s">
        <v>38</v>
      </c>
      <c r="L2916" s="2" t="s">
        <v>38</v>
      </c>
      <c r="M2916" s="2" t="s">
        <v>39</v>
      </c>
      <c r="N2916" s="2" t="s">
        <v>39</v>
      </c>
      <c r="O2916" s="2" t="s">
        <v>38</v>
      </c>
      <c r="P2916" s="2" t="s">
        <v>39</v>
      </c>
      <c r="Q2916" s="2" t="s">
        <v>39</v>
      </c>
      <c r="R2916" s="2" t="s">
        <v>38</v>
      </c>
      <c r="S2916" s="2" t="s">
        <v>38</v>
      </c>
      <c r="T2916" s="2" t="s">
        <v>39</v>
      </c>
      <c r="U2916" s="2" t="s">
        <v>39</v>
      </c>
      <c r="V2916" s="2" t="s">
        <v>38</v>
      </c>
      <c r="W2916" s="2" t="s">
        <v>39</v>
      </c>
      <c r="X2916" s="2" t="s">
        <v>39</v>
      </c>
      <c r="Y2916" s="2" t="s">
        <v>39</v>
      </c>
      <c r="Z2916" s="2" t="s">
        <v>39</v>
      </c>
      <c r="AA2916" s="2" t="s">
        <v>39</v>
      </c>
      <c r="AB2916" s="2" t="s">
        <v>39</v>
      </c>
      <c r="AC2916" s="2" t="s">
        <v>38</v>
      </c>
      <c r="AD2916" s="2" t="s">
        <v>38</v>
      </c>
      <c r="AE2916" s="2" t="s">
        <v>40</v>
      </c>
    </row>
    <row r="2917" spans="1:31" ht="409.5">
      <c r="A2917" s="2">
        <v>2707807</v>
      </c>
      <c r="B2917" s="2">
        <f>HYPERLINK("https://platform.v2.vetology.net/cases/2707807/screening-report/1?type=pdf&amp;v=v6&amp;scorecard=1&amp;secret_key=BX%25IJ%24%2F65ieZ%29f6", 2707807)</f>
        <v>2707807</v>
      </c>
      <c r="C2917" s="2">
        <f>HYPERLINK("https://platform.v2.vetology.net/report/v/final/"&amp;2707807, 2707807)</f>
        <v>2707807</v>
      </c>
      <c r="D2917" s="2" t="s">
        <v>9298</v>
      </c>
      <c r="E2917" s="2" t="s">
        <v>9299</v>
      </c>
      <c r="F2917" s="2"/>
      <c r="G2917" s="2" t="s">
        <v>81</v>
      </c>
      <c r="H2917" s="2" t="s">
        <v>9300</v>
      </c>
      <c r="I2917" s="2" t="s">
        <v>73</v>
      </c>
      <c r="J2917" s="2" t="s">
        <v>74</v>
      </c>
      <c r="K2917" s="2" t="s">
        <v>38</v>
      </c>
      <c r="L2917" s="2" t="s">
        <v>38</v>
      </c>
      <c r="M2917" s="2" t="s">
        <v>39</v>
      </c>
      <c r="N2917" s="2" t="s">
        <v>39</v>
      </c>
      <c r="O2917" s="2" t="s">
        <v>39</v>
      </c>
      <c r="P2917" s="2" t="s">
        <v>38</v>
      </c>
      <c r="Q2917" s="2" t="s">
        <v>38</v>
      </c>
      <c r="R2917" s="2" t="s">
        <v>39</v>
      </c>
      <c r="S2917" s="2" t="s">
        <v>38</v>
      </c>
      <c r="T2917" s="2" t="s">
        <v>38</v>
      </c>
      <c r="U2917" s="2" t="s">
        <v>38</v>
      </c>
      <c r="V2917" s="2" t="s">
        <v>38</v>
      </c>
      <c r="W2917" s="2" t="s">
        <v>38</v>
      </c>
      <c r="X2917" s="2" t="s">
        <v>39</v>
      </c>
      <c r="Y2917" s="2" t="s">
        <v>39</v>
      </c>
      <c r="Z2917" s="2" t="s">
        <v>38</v>
      </c>
      <c r="AA2917" s="2" t="s">
        <v>38</v>
      </c>
      <c r="AB2917" s="2" t="s">
        <v>39</v>
      </c>
      <c r="AC2917" s="2" t="s">
        <v>38</v>
      </c>
      <c r="AD2917" s="2" t="s">
        <v>38</v>
      </c>
      <c r="AE2917" s="2" t="s">
        <v>39</v>
      </c>
    </row>
    <row r="2918" spans="1:31" ht="409.5">
      <c r="A2918" s="2">
        <v>2707754</v>
      </c>
      <c r="B2918" s="2">
        <f>HYPERLINK("https://platform.v2.vetology.net/cases/2707754/screening-report/1?type=pdf&amp;v=v6&amp;scorecard=1&amp;secret_key=BX%25IJ%24%2F65ieZ%29f6", 2707754)</f>
        <v>2707754</v>
      </c>
      <c r="C2918" s="2">
        <f>HYPERLINK("https://platform.v2.vetology.net/report/v/final/"&amp;2707754, 2707754)</f>
        <v>2707754</v>
      </c>
      <c r="D2918" s="2" t="s">
        <v>9301</v>
      </c>
      <c r="E2918" s="2" t="s">
        <v>9302</v>
      </c>
      <c r="F2918" s="2" t="s">
        <v>9303</v>
      </c>
      <c r="G2918" s="2" t="s">
        <v>251</v>
      </c>
      <c r="H2918" s="2" t="s">
        <v>9304</v>
      </c>
      <c r="I2918" s="2" t="s">
        <v>129</v>
      </c>
      <c r="J2918" s="2" t="s">
        <v>74</v>
      </c>
      <c r="K2918" s="2" t="s">
        <v>38</v>
      </c>
      <c r="L2918" s="2" t="s">
        <v>38</v>
      </c>
      <c r="M2918" s="2" t="s">
        <v>38</v>
      </c>
      <c r="N2918" s="2" t="s">
        <v>38</v>
      </c>
      <c r="O2918" s="2" t="s">
        <v>38</v>
      </c>
      <c r="P2918" s="2" t="s">
        <v>38</v>
      </c>
      <c r="Q2918" s="2" t="s">
        <v>38</v>
      </c>
      <c r="R2918" s="2" t="s">
        <v>38</v>
      </c>
      <c r="S2918" s="2" t="s">
        <v>38</v>
      </c>
      <c r="T2918" s="2" t="s">
        <v>38</v>
      </c>
      <c r="U2918" s="2" t="s">
        <v>38</v>
      </c>
      <c r="V2918" s="2" t="s">
        <v>38</v>
      </c>
      <c r="W2918" s="2" t="s">
        <v>38</v>
      </c>
      <c r="X2918" s="2" t="s">
        <v>38</v>
      </c>
      <c r="Y2918" s="2" t="s">
        <v>38</v>
      </c>
      <c r="Z2918" s="2" t="s">
        <v>38</v>
      </c>
      <c r="AA2918" s="2" t="s">
        <v>38</v>
      </c>
      <c r="AB2918" s="2" t="s">
        <v>38</v>
      </c>
      <c r="AC2918" s="2" t="s">
        <v>38</v>
      </c>
      <c r="AD2918" s="2" t="s">
        <v>38</v>
      </c>
      <c r="AE2918" s="2"/>
    </row>
    <row r="2919" spans="1:31" ht="409.5">
      <c r="A2919" s="2">
        <v>2707736</v>
      </c>
      <c r="B2919" s="2">
        <f>HYPERLINK("https://platform.v2.vetology.net/cases/2707736/screening-report/1?type=pdf&amp;v=v6&amp;scorecard=1&amp;secret_key=BX%25IJ%24%2F65ieZ%29f6", 2707736)</f>
        <v>2707736</v>
      </c>
      <c r="C2919" s="2">
        <f>HYPERLINK("https://platform.v2.vetology.net/report/v/final/"&amp;2707736, 2707736)</f>
        <v>2707736</v>
      </c>
      <c r="D2919" s="2" t="s">
        <v>9305</v>
      </c>
      <c r="E2919" s="2" t="s">
        <v>9306</v>
      </c>
      <c r="F2919" s="2" t="s">
        <v>9307</v>
      </c>
      <c r="G2919" s="2" t="s">
        <v>507</v>
      </c>
      <c r="H2919" s="2" t="s">
        <v>9308</v>
      </c>
      <c r="I2919" s="2" t="s">
        <v>36</v>
      </c>
      <c r="J2919" s="2" t="s">
        <v>37</v>
      </c>
      <c r="K2919" s="2" t="s">
        <v>39</v>
      </c>
      <c r="L2919" s="2" t="s">
        <v>38</v>
      </c>
      <c r="M2919" s="2" t="s">
        <v>38</v>
      </c>
      <c r="N2919" s="2" t="s">
        <v>39</v>
      </c>
      <c r="O2919" s="2" t="s">
        <v>38</v>
      </c>
      <c r="P2919" s="2" t="s">
        <v>38</v>
      </c>
      <c r="Q2919" s="2" t="s">
        <v>39</v>
      </c>
      <c r="R2919" s="2" t="s">
        <v>38</v>
      </c>
      <c r="S2919" s="2" t="s">
        <v>38</v>
      </c>
      <c r="T2919" s="2" t="s">
        <v>38</v>
      </c>
      <c r="U2919" s="2" t="s">
        <v>39</v>
      </c>
      <c r="V2919" s="2" t="s">
        <v>39</v>
      </c>
      <c r="W2919" s="2" t="s">
        <v>38</v>
      </c>
      <c r="X2919" s="2" t="s">
        <v>38</v>
      </c>
      <c r="Y2919" s="2" t="s">
        <v>39</v>
      </c>
      <c r="Z2919" s="2" t="s">
        <v>39</v>
      </c>
      <c r="AA2919" s="2" t="s">
        <v>38</v>
      </c>
      <c r="AB2919" s="2" t="s">
        <v>38</v>
      </c>
      <c r="AC2919" s="2" t="s">
        <v>38</v>
      </c>
      <c r="AD2919" s="2" t="s">
        <v>38</v>
      </c>
      <c r="AE2919" s="2" t="s">
        <v>40</v>
      </c>
    </row>
    <row r="2920" spans="1:31" ht="409.5">
      <c r="A2920" s="2">
        <v>2707727</v>
      </c>
      <c r="B2920" s="2">
        <f>HYPERLINK("https://platform.v2.vetology.net/cases/2707727/screening-report/1?type=pdf&amp;v=v6&amp;scorecard=1&amp;secret_key=BX%25IJ%24%2F65ieZ%29f6", 2707727)</f>
        <v>2707727</v>
      </c>
      <c r="C2920" s="2">
        <f>HYPERLINK("https://platform.v2.vetology.net/report/v/final/"&amp;2707727, 2707727)</f>
        <v>2707727</v>
      </c>
      <c r="D2920" s="2" t="s">
        <v>9309</v>
      </c>
      <c r="E2920" s="2" t="s">
        <v>3495</v>
      </c>
      <c r="F2920" s="2" t="s">
        <v>6963</v>
      </c>
      <c r="G2920" s="2" t="s">
        <v>44</v>
      </c>
      <c r="H2920" s="2" t="s">
        <v>69</v>
      </c>
      <c r="I2920" s="2" t="s">
        <v>46</v>
      </c>
      <c r="J2920" s="2"/>
      <c r="K2920" s="2" t="s">
        <v>39</v>
      </c>
      <c r="L2920" s="2" t="s">
        <v>39</v>
      </c>
      <c r="M2920" s="2" t="s">
        <v>39</v>
      </c>
      <c r="N2920" s="2" t="s">
        <v>39</v>
      </c>
      <c r="O2920" s="2" t="s">
        <v>39</v>
      </c>
      <c r="P2920" s="2" t="s">
        <v>39</v>
      </c>
      <c r="Q2920" s="2" t="s">
        <v>39</v>
      </c>
      <c r="R2920" s="2" t="s">
        <v>39</v>
      </c>
      <c r="S2920" s="2" t="s">
        <v>39</v>
      </c>
      <c r="T2920" s="2" t="s">
        <v>39</v>
      </c>
      <c r="U2920" s="2" t="s">
        <v>39</v>
      </c>
      <c r="V2920" s="2" t="s">
        <v>39</v>
      </c>
      <c r="W2920" s="2" t="s">
        <v>39</v>
      </c>
      <c r="X2920" s="2" t="s">
        <v>39</v>
      </c>
      <c r="Y2920" s="2" t="s">
        <v>39</v>
      </c>
      <c r="Z2920" s="2" t="s">
        <v>39</v>
      </c>
      <c r="AA2920" s="2" t="s">
        <v>39</v>
      </c>
      <c r="AB2920" s="2" t="s">
        <v>39</v>
      </c>
      <c r="AC2920" s="2" t="s">
        <v>39</v>
      </c>
      <c r="AD2920" s="2" t="s">
        <v>39</v>
      </c>
      <c r="AE2920" s="2" t="s">
        <v>40</v>
      </c>
    </row>
    <row r="2921" spans="1:31" ht="409.5">
      <c r="A2921" s="2">
        <v>2707684</v>
      </c>
      <c r="B2921" s="2">
        <f>HYPERLINK("https://platform.v2.vetology.net/cases/2707684/screening-report/1?type=pdf&amp;v=v6&amp;scorecard=1&amp;secret_key=BX%25IJ%24%2F65ieZ%29f6", 2707684)</f>
        <v>2707684</v>
      </c>
      <c r="C2921" s="2">
        <f>HYPERLINK("https://platform.v2.vetology.net/report/v/final/"&amp;2707684, 2707684)</f>
        <v>2707684</v>
      </c>
      <c r="D2921" s="2" t="s">
        <v>9310</v>
      </c>
      <c r="E2921" s="2" t="s">
        <v>9311</v>
      </c>
      <c r="F2921" s="2" t="s">
        <v>43</v>
      </c>
      <c r="G2921" s="2" t="s">
        <v>44</v>
      </c>
      <c r="H2921" s="2" t="s">
        <v>69</v>
      </c>
      <c r="I2921" s="2" t="s">
        <v>46</v>
      </c>
      <c r="J2921" s="2"/>
      <c r="K2921" s="2" t="s">
        <v>39</v>
      </c>
      <c r="L2921" s="2" t="s">
        <v>39</v>
      </c>
      <c r="M2921" s="2" t="s">
        <v>39</v>
      </c>
      <c r="N2921" s="2" t="s">
        <v>39</v>
      </c>
      <c r="O2921" s="2" t="s">
        <v>39</v>
      </c>
      <c r="P2921" s="2" t="s">
        <v>39</v>
      </c>
      <c r="Q2921" s="2" t="s">
        <v>39</v>
      </c>
      <c r="R2921" s="2" t="s">
        <v>39</v>
      </c>
      <c r="S2921" s="2" t="s">
        <v>39</v>
      </c>
      <c r="T2921" s="2" t="s">
        <v>38</v>
      </c>
      <c r="U2921" s="2" t="s">
        <v>39</v>
      </c>
      <c r="V2921" s="2" t="s">
        <v>39</v>
      </c>
      <c r="W2921" s="2" t="s">
        <v>39</v>
      </c>
      <c r="X2921" s="2" t="s">
        <v>39</v>
      </c>
      <c r="Y2921" s="2" t="s">
        <v>39</v>
      </c>
      <c r="Z2921" s="2" t="s">
        <v>39</v>
      </c>
      <c r="AA2921" s="2" t="s">
        <v>39</v>
      </c>
      <c r="AB2921" s="2" t="s">
        <v>39</v>
      </c>
      <c r="AC2921" s="2" t="s">
        <v>38</v>
      </c>
      <c r="AD2921" s="2" t="s">
        <v>39</v>
      </c>
      <c r="AE2921" s="2" t="s">
        <v>39</v>
      </c>
    </row>
    <row r="2922" spans="1:31" ht="409.5">
      <c r="A2922" s="2">
        <v>2707682</v>
      </c>
      <c r="B2922" s="2">
        <f>HYPERLINK("https://platform.v2.vetology.net/cases/2707682/screening-report/1?type=pdf&amp;v=v6&amp;scorecard=1&amp;secret_key=BX%25IJ%24%2F65ieZ%29f6", 2707682)</f>
        <v>2707682</v>
      </c>
      <c r="C2922" s="2">
        <f>HYPERLINK("https://platform.v2.vetology.net/report/v/final/"&amp;2707682, 2707682)</f>
        <v>2707682</v>
      </c>
      <c r="D2922" s="2" t="s">
        <v>9312</v>
      </c>
      <c r="E2922" s="2" t="s">
        <v>9313</v>
      </c>
      <c r="F2922" s="2" t="s">
        <v>9314</v>
      </c>
      <c r="G2922" s="2" t="s">
        <v>127</v>
      </c>
      <c r="H2922" s="2" t="s">
        <v>9315</v>
      </c>
      <c r="I2922" s="2" t="s">
        <v>257</v>
      </c>
      <c r="J2922" s="2" t="s">
        <v>74</v>
      </c>
      <c r="K2922" s="2" t="s">
        <v>38</v>
      </c>
      <c r="L2922" s="2" t="s">
        <v>38</v>
      </c>
      <c r="M2922" s="2" t="s">
        <v>38</v>
      </c>
      <c r="N2922" s="2" t="s">
        <v>38</v>
      </c>
      <c r="O2922" s="2" t="s">
        <v>38</v>
      </c>
      <c r="P2922" s="2" t="s">
        <v>38</v>
      </c>
      <c r="Q2922" s="2" t="s">
        <v>38</v>
      </c>
      <c r="R2922" s="2" t="s">
        <v>38</v>
      </c>
      <c r="S2922" s="2" t="s">
        <v>38</v>
      </c>
      <c r="T2922" s="2" t="s">
        <v>38</v>
      </c>
      <c r="U2922" s="2" t="s">
        <v>38</v>
      </c>
      <c r="V2922" s="2" t="s">
        <v>38</v>
      </c>
      <c r="W2922" s="2" t="s">
        <v>38</v>
      </c>
      <c r="X2922" s="2" t="s">
        <v>38</v>
      </c>
      <c r="Y2922" s="2" t="s">
        <v>38</v>
      </c>
      <c r="Z2922" s="2" t="s">
        <v>38</v>
      </c>
      <c r="AA2922" s="2" t="s">
        <v>38</v>
      </c>
      <c r="AB2922" s="2" t="s">
        <v>38</v>
      </c>
      <c r="AC2922" s="2" t="s">
        <v>38</v>
      </c>
      <c r="AD2922" s="2" t="s">
        <v>39</v>
      </c>
      <c r="AE2922" s="2" t="s">
        <v>39</v>
      </c>
    </row>
    <row r="2923" spans="1:31" ht="409.5">
      <c r="A2923" s="2">
        <v>2707680</v>
      </c>
      <c r="B2923" s="2">
        <f>HYPERLINK("https://platform.v2.vetology.net/cases/2707680/screening-report/1?type=pdf&amp;v=v6&amp;scorecard=1&amp;secret_key=BX%25IJ%24%2F65ieZ%29f6", 2707680)</f>
        <v>2707680</v>
      </c>
      <c r="C2923" s="2">
        <f>HYPERLINK("https://platform.v2.vetology.net/report/v/final/"&amp;2707680, 2707680)</f>
        <v>2707680</v>
      </c>
      <c r="D2923" s="2" t="s">
        <v>9316</v>
      </c>
      <c r="E2923" s="2" t="s">
        <v>9317</v>
      </c>
      <c r="F2923" s="2" t="s">
        <v>9318</v>
      </c>
      <c r="G2923" s="2" t="s">
        <v>53</v>
      </c>
      <c r="H2923" s="2" t="s">
        <v>9319</v>
      </c>
      <c r="I2923" s="2" t="s">
        <v>36</v>
      </c>
      <c r="J2923" s="2" t="s">
        <v>37</v>
      </c>
      <c r="K2923" s="2" t="s">
        <v>38</v>
      </c>
      <c r="L2923" s="2" t="s">
        <v>38</v>
      </c>
      <c r="M2923" s="2" t="s">
        <v>38</v>
      </c>
      <c r="N2923" s="2" t="s">
        <v>38</v>
      </c>
      <c r="O2923" s="2" t="s">
        <v>38</v>
      </c>
      <c r="P2923" s="2" t="s">
        <v>39</v>
      </c>
      <c r="Q2923" s="2" t="s">
        <v>39</v>
      </c>
      <c r="R2923" s="2" t="s">
        <v>38</v>
      </c>
      <c r="S2923" s="2" t="s">
        <v>38</v>
      </c>
      <c r="T2923" s="2" t="s">
        <v>39</v>
      </c>
      <c r="U2923" s="2" t="s">
        <v>39</v>
      </c>
      <c r="V2923" s="2" t="s">
        <v>39</v>
      </c>
      <c r="W2923" s="2" t="s">
        <v>39</v>
      </c>
      <c r="X2923" s="2" t="s">
        <v>39</v>
      </c>
      <c r="Y2923" s="2" t="s">
        <v>39</v>
      </c>
      <c r="Z2923" s="2" t="s">
        <v>38</v>
      </c>
      <c r="AA2923" s="2" t="s">
        <v>38</v>
      </c>
      <c r="AB2923" s="2" t="s">
        <v>39</v>
      </c>
      <c r="AC2923" s="2" t="s">
        <v>38</v>
      </c>
      <c r="AD2923" s="2" t="s">
        <v>38</v>
      </c>
      <c r="AE2923" s="2" t="s">
        <v>39</v>
      </c>
    </row>
    <row r="2924" spans="1:31" ht="409.5">
      <c r="A2924" s="2">
        <v>2707659</v>
      </c>
      <c r="B2924" s="2">
        <f>HYPERLINK("https://platform.v2.vetology.net/cases/2707659/screening-report/1?type=pdf&amp;v=v6&amp;scorecard=1&amp;secret_key=BX%25IJ%24%2F65ieZ%29f6", 2707659)</f>
        <v>2707659</v>
      </c>
      <c r="C2924" s="2">
        <f>HYPERLINK("https://platform.v2.vetology.net/report/v/final/"&amp;2707659, 2707659)</f>
        <v>2707659</v>
      </c>
      <c r="D2924" s="2" t="s">
        <v>9320</v>
      </c>
      <c r="E2924" s="2" t="s">
        <v>9321</v>
      </c>
      <c r="F2924" s="2" t="s">
        <v>9322</v>
      </c>
      <c r="G2924" s="2" t="s">
        <v>251</v>
      </c>
      <c r="H2924" s="2" t="s">
        <v>62</v>
      </c>
      <c r="I2924" s="2" t="s">
        <v>46</v>
      </c>
      <c r="J2924" s="2"/>
      <c r="K2924" s="2" t="s">
        <v>39</v>
      </c>
      <c r="L2924" s="2" t="s">
        <v>39</v>
      </c>
      <c r="M2924" s="2" t="s">
        <v>39</v>
      </c>
      <c r="N2924" s="2" t="s">
        <v>39</v>
      </c>
      <c r="O2924" s="2" t="s">
        <v>39</v>
      </c>
      <c r="P2924" s="2" t="s">
        <v>39</v>
      </c>
      <c r="Q2924" s="2" t="s">
        <v>39</v>
      </c>
      <c r="R2924" s="2" t="s">
        <v>38</v>
      </c>
      <c r="S2924" s="2" t="s">
        <v>38</v>
      </c>
      <c r="T2924" s="2" t="s">
        <v>39</v>
      </c>
      <c r="U2924" s="2" t="s">
        <v>39</v>
      </c>
      <c r="V2924" s="2" t="s">
        <v>39</v>
      </c>
      <c r="W2924" s="2" t="s">
        <v>38</v>
      </c>
      <c r="X2924" s="2" t="s">
        <v>39</v>
      </c>
      <c r="Y2924" s="2" t="s">
        <v>39</v>
      </c>
      <c r="Z2924" s="2" t="s">
        <v>38</v>
      </c>
      <c r="AA2924" s="2" t="s">
        <v>39</v>
      </c>
      <c r="AB2924" s="2" t="s">
        <v>39</v>
      </c>
      <c r="AC2924" s="2" t="s">
        <v>38</v>
      </c>
      <c r="AD2924" s="2" t="s">
        <v>38</v>
      </c>
      <c r="AE2924" s="2" t="s">
        <v>39</v>
      </c>
    </row>
    <row r="2925" spans="1:31" ht="409.5">
      <c r="A2925" s="2">
        <v>2707641</v>
      </c>
      <c r="B2925" s="2">
        <f>HYPERLINK("https://platform.v2.vetology.net/cases/2707641/screening-report/1?type=pdf&amp;v=v6&amp;scorecard=1&amp;secret_key=BX%25IJ%24%2F65ieZ%29f6", 2707641)</f>
        <v>2707641</v>
      </c>
      <c r="C2925" s="2">
        <f>HYPERLINK("https://platform.v2.vetology.net/report/v/final/"&amp;2707641, 2707641)</f>
        <v>2707641</v>
      </c>
      <c r="D2925" s="2" t="s">
        <v>9323</v>
      </c>
      <c r="E2925" s="2" t="s">
        <v>9324</v>
      </c>
      <c r="F2925" s="2" t="s">
        <v>43</v>
      </c>
      <c r="G2925" s="2" t="s">
        <v>100</v>
      </c>
      <c r="H2925" s="2" t="s">
        <v>9325</v>
      </c>
      <c r="I2925" s="2" t="s">
        <v>36</v>
      </c>
      <c r="J2925" s="2" t="s">
        <v>37</v>
      </c>
      <c r="K2925" s="2" t="s">
        <v>39</v>
      </c>
      <c r="L2925" s="2" t="s">
        <v>39</v>
      </c>
      <c r="M2925" s="2" t="s">
        <v>38</v>
      </c>
      <c r="N2925" s="2" t="s">
        <v>38</v>
      </c>
      <c r="O2925" s="2" t="s">
        <v>38</v>
      </c>
      <c r="P2925" s="2" t="s">
        <v>38</v>
      </c>
      <c r="Q2925" s="2" t="s">
        <v>39</v>
      </c>
      <c r="R2925" s="2" t="s">
        <v>38</v>
      </c>
      <c r="S2925" s="2" t="s">
        <v>38</v>
      </c>
      <c r="T2925" s="2" t="s">
        <v>38</v>
      </c>
      <c r="U2925" s="2" t="s">
        <v>39</v>
      </c>
      <c r="V2925" s="2" t="s">
        <v>39</v>
      </c>
      <c r="W2925" s="2" t="s">
        <v>38</v>
      </c>
      <c r="X2925" s="2" t="s">
        <v>39</v>
      </c>
      <c r="Y2925" s="2" t="s">
        <v>38</v>
      </c>
      <c r="Z2925" s="2" t="s">
        <v>38</v>
      </c>
      <c r="AA2925" s="2" t="s">
        <v>39</v>
      </c>
      <c r="AB2925" s="2" t="s">
        <v>39</v>
      </c>
      <c r="AC2925" s="2" t="s">
        <v>38</v>
      </c>
      <c r="AD2925" s="2" t="s">
        <v>39</v>
      </c>
      <c r="AE2925" s="2" t="s">
        <v>39</v>
      </c>
    </row>
    <row r="2926" spans="1:31" ht="409.5">
      <c r="A2926" s="2">
        <v>2707624</v>
      </c>
      <c r="B2926" s="2">
        <f>HYPERLINK("https://platform.v2.vetology.net/cases/2707624/screening-report/1?type=pdf&amp;v=v6&amp;scorecard=1&amp;secret_key=BX%25IJ%24%2F65ieZ%29f6", 2707624)</f>
        <v>2707624</v>
      </c>
      <c r="C2926" s="2">
        <f>HYPERLINK("https://platform.v2.vetology.net/report/v/final/"&amp;2707624, 2707624)</f>
        <v>2707624</v>
      </c>
      <c r="D2926" s="2" t="s">
        <v>9326</v>
      </c>
      <c r="E2926" s="2" t="s">
        <v>9327</v>
      </c>
      <c r="F2926" s="2" t="s">
        <v>9328</v>
      </c>
      <c r="G2926" s="2" t="s">
        <v>145</v>
      </c>
      <c r="H2926" s="2" t="s">
        <v>9329</v>
      </c>
      <c r="I2926" s="2" t="s">
        <v>36</v>
      </c>
      <c r="J2926" s="2" t="s">
        <v>37</v>
      </c>
      <c r="K2926" s="2" t="s">
        <v>38</v>
      </c>
      <c r="L2926" s="2" t="s">
        <v>38</v>
      </c>
      <c r="M2926" s="2" t="s">
        <v>38</v>
      </c>
      <c r="N2926" s="2" t="s">
        <v>38</v>
      </c>
      <c r="O2926" s="2" t="s">
        <v>38</v>
      </c>
      <c r="P2926" s="2" t="s">
        <v>39</v>
      </c>
      <c r="Q2926" s="2" t="s">
        <v>39</v>
      </c>
      <c r="R2926" s="2" t="s">
        <v>38</v>
      </c>
      <c r="S2926" s="2" t="s">
        <v>38</v>
      </c>
      <c r="T2926" s="2" t="s">
        <v>38</v>
      </c>
      <c r="U2926" s="2" t="s">
        <v>38</v>
      </c>
      <c r="V2926" s="2" t="s">
        <v>38</v>
      </c>
      <c r="W2926" s="2" t="s">
        <v>38</v>
      </c>
      <c r="X2926" s="2" t="s">
        <v>39</v>
      </c>
      <c r="Y2926" s="2" t="s">
        <v>39</v>
      </c>
      <c r="Z2926" s="2" t="s">
        <v>38</v>
      </c>
      <c r="AA2926" s="2" t="s">
        <v>38</v>
      </c>
      <c r="AB2926" s="2" t="s">
        <v>39</v>
      </c>
      <c r="AC2926" s="2" t="s">
        <v>38</v>
      </c>
      <c r="AD2926" s="2" t="s">
        <v>38</v>
      </c>
      <c r="AE2926" s="2" t="s">
        <v>40</v>
      </c>
    </row>
    <row r="2927" spans="1:31" ht="409.5">
      <c r="A2927" s="2">
        <v>2707612</v>
      </c>
      <c r="B2927" s="2">
        <f>HYPERLINK("https://platform.v2.vetology.net/cases/2707612/screening-report/1?type=pdf&amp;v=v6&amp;scorecard=1&amp;secret_key=BX%25IJ%24%2F65ieZ%29f6", 2707612)</f>
        <v>2707612</v>
      </c>
      <c r="C2927" s="2">
        <f>HYPERLINK("https://platform.v2.vetology.net/report/v/final/"&amp;2707612, 2707612)</f>
        <v>2707612</v>
      </c>
      <c r="D2927" s="2" t="s">
        <v>9330</v>
      </c>
      <c r="E2927" s="2" t="s">
        <v>9331</v>
      </c>
      <c r="F2927" s="2" t="s">
        <v>43</v>
      </c>
      <c r="G2927" s="2" t="s">
        <v>44</v>
      </c>
      <c r="H2927" s="2" t="s">
        <v>9332</v>
      </c>
      <c r="I2927" s="2" t="s">
        <v>36</v>
      </c>
      <c r="J2927" s="2" t="s">
        <v>37</v>
      </c>
      <c r="K2927" s="2" t="s">
        <v>38</v>
      </c>
      <c r="L2927" s="2" t="s">
        <v>39</v>
      </c>
      <c r="M2927" s="2" t="s">
        <v>38</v>
      </c>
      <c r="N2927" s="2" t="s">
        <v>38</v>
      </c>
      <c r="O2927" s="2" t="s">
        <v>38</v>
      </c>
      <c r="P2927" s="2" t="s">
        <v>39</v>
      </c>
      <c r="Q2927" s="2" t="s">
        <v>39</v>
      </c>
      <c r="R2927" s="2" t="s">
        <v>38</v>
      </c>
      <c r="S2927" s="2" t="s">
        <v>38</v>
      </c>
      <c r="T2927" s="2" t="s">
        <v>38</v>
      </c>
      <c r="U2927" s="2" t="s">
        <v>39</v>
      </c>
      <c r="V2927" s="2" t="s">
        <v>39</v>
      </c>
      <c r="W2927" s="2" t="s">
        <v>38</v>
      </c>
      <c r="X2927" s="2" t="s">
        <v>39</v>
      </c>
      <c r="Y2927" s="2" t="s">
        <v>39</v>
      </c>
      <c r="Z2927" s="2" t="s">
        <v>38</v>
      </c>
      <c r="AA2927" s="2" t="s">
        <v>39</v>
      </c>
      <c r="AB2927" s="2" t="s">
        <v>39</v>
      </c>
      <c r="AC2927" s="2" t="s">
        <v>38</v>
      </c>
      <c r="AD2927" s="2" t="s">
        <v>38</v>
      </c>
      <c r="AE2927" s="2" t="s">
        <v>40</v>
      </c>
    </row>
    <row r="2928" spans="1:31" ht="409.5">
      <c r="A2928" s="2">
        <v>2707587</v>
      </c>
      <c r="B2928" s="2">
        <f>HYPERLINK("https://platform.v2.vetology.net/cases/2707587/screening-report/1?type=pdf&amp;v=v6&amp;scorecard=1&amp;secret_key=BX%25IJ%24%2F65ieZ%29f6", 2707587)</f>
        <v>2707587</v>
      </c>
      <c r="C2928" s="2">
        <f>HYPERLINK("https://platform.v2.vetology.net/report/v/final/"&amp;2707587, 2707587)</f>
        <v>2707587</v>
      </c>
      <c r="D2928" s="2" t="s">
        <v>9333</v>
      </c>
      <c r="E2928" s="2" t="s">
        <v>9334</v>
      </c>
      <c r="F2928" s="2" t="s">
        <v>9335</v>
      </c>
      <c r="G2928" s="2" t="s">
        <v>170</v>
      </c>
      <c r="H2928" s="2" t="s">
        <v>9336</v>
      </c>
      <c r="I2928" s="2" t="s">
        <v>129</v>
      </c>
      <c r="J2928" s="2" t="s">
        <v>74</v>
      </c>
      <c r="K2928" s="2" t="s">
        <v>39</v>
      </c>
      <c r="L2928" s="2" t="s">
        <v>38</v>
      </c>
      <c r="M2928" s="2" t="s">
        <v>39</v>
      </c>
      <c r="N2928" s="2" t="s">
        <v>39</v>
      </c>
      <c r="O2928" s="2" t="s">
        <v>39</v>
      </c>
      <c r="P2928" s="2" t="s">
        <v>38</v>
      </c>
      <c r="Q2928" s="2" t="s">
        <v>38</v>
      </c>
      <c r="R2928" s="2" t="s">
        <v>39</v>
      </c>
      <c r="S2928" s="2" t="s">
        <v>39</v>
      </c>
      <c r="T2928" s="2" t="s">
        <v>39</v>
      </c>
      <c r="U2928" s="2" t="s">
        <v>39</v>
      </c>
      <c r="V2928" s="2" t="s">
        <v>39</v>
      </c>
      <c r="W2928" s="2" t="s">
        <v>38</v>
      </c>
      <c r="X2928" s="2" t="s">
        <v>38</v>
      </c>
      <c r="Y2928" s="2" t="s">
        <v>39</v>
      </c>
      <c r="Z2928" s="2" t="s">
        <v>39</v>
      </c>
      <c r="AA2928" s="2" t="s">
        <v>39</v>
      </c>
      <c r="AB2928" s="2" t="s">
        <v>38</v>
      </c>
      <c r="AC2928" s="2" t="s">
        <v>38</v>
      </c>
      <c r="AD2928" s="2" t="s">
        <v>38</v>
      </c>
      <c r="AE2928" s="2"/>
    </row>
    <row r="2929" spans="1:31" ht="409.5">
      <c r="A2929" s="2">
        <v>2707582</v>
      </c>
      <c r="B2929" s="2">
        <f>HYPERLINK("https://platform.v2.vetology.net/cases/2707582/screening-report/1?type=pdf&amp;v=v6&amp;scorecard=1&amp;secret_key=BX%25IJ%24%2F65ieZ%29f6", 2707582)</f>
        <v>2707582</v>
      </c>
      <c r="C2929" s="2">
        <f>HYPERLINK("https://platform.v2.vetology.net/report/v/final/"&amp;2707582, 2707582)</f>
        <v>2707582</v>
      </c>
      <c r="D2929" s="2" t="s">
        <v>9337</v>
      </c>
      <c r="E2929" s="2" t="s">
        <v>9338</v>
      </c>
      <c r="F2929" s="2" t="s">
        <v>9339</v>
      </c>
      <c r="G2929" s="2" t="s">
        <v>170</v>
      </c>
      <c r="H2929" s="2" t="s">
        <v>45</v>
      </c>
      <c r="I2929" s="2" t="s">
        <v>46</v>
      </c>
      <c r="J2929" s="2"/>
      <c r="K2929" s="2" t="s">
        <v>39</v>
      </c>
      <c r="L2929" s="2" t="s">
        <v>39</v>
      </c>
      <c r="M2929" s="2" t="s">
        <v>39</v>
      </c>
      <c r="N2929" s="2" t="s">
        <v>39</v>
      </c>
      <c r="O2929" s="2" t="s">
        <v>38</v>
      </c>
      <c r="P2929" s="2" t="s">
        <v>39</v>
      </c>
      <c r="Q2929" s="2" t="s">
        <v>39</v>
      </c>
      <c r="R2929" s="2" t="s">
        <v>38</v>
      </c>
      <c r="S2929" s="2" t="s">
        <v>39</v>
      </c>
      <c r="T2929" s="2" t="s">
        <v>38</v>
      </c>
      <c r="U2929" s="2" t="s">
        <v>39</v>
      </c>
      <c r="V2929" s="2" t="s">
        <v>39</v>
      </c>
      <c r="W2929" s="2" t="s">
        <v>39</v>
      </c>
      <c r="X2929" s="2" t="s">
        <v>39</v>
      </c>
      <c r="Y2929" s="2" t="s">
        <v>39</v>
      </c>
      <c r="Z2929" s="2" t="s">
        <v>38</v>
      </c>
      <c r="AA2929" s="2" t="s">
        <v>39</v>
      </c>
      <c r="AB2929" s="2" t="s">
        <v>39</v>
      </c>
      <c r="AC2929" s="2" t="s">
        <v>39</v>
      </c>
      <c r="AD2929" s="2" t="s">
        <v>38</v>
      </c>
      <c r="AE2929" s="2" t="s">
        <v>39</v>
      </c>
    </row>
    <row r="2930" spans="1:31" ht="409.5">
      <c r="A2930" s="2">
        <v>2707555</v>
      </c>
      <c r="B2930" s="2">
        <f>HYPERLINK("https://platform.v2.vetology.net/cases/2707555/screening-report/1?type=pdf&amp;v=v6&amp;scorecard=1&amp;secret_key=BX%25IJ%24%2F65ieZ%29f6", 2707555)</f>
        <v>2707555</v>
      </c>
      <c r="C2930" s="2">
        <f>HYPERLINK("https://platform.v2.vetology.net/report/v/final/"&amp;2707555, 2707555)</f>
        <v>2707555</v>
      </c>
      <c r="D2930" s="2" t="s">
        <v>9340</v>
      </c>
      <c r="E2930" s="2" t="s">
        <v>9341</v>
      </c>
      <c r="F2930" s="2" t="s">
        <v>43</v>
      </c>
      <c r="G2930" s="2" t="s">
        <v>44</v>
      </c>
      <c r="H2930" s="2" t="s">
        <v>9342</v>
      </c>
      <c r="I2930" s="2" t="s">
        <v>36</v>
      </c>
      <c r="J2930" s="2" t="s">
        <v>37</v>
      </c>
      <c r="K2930" s="2" t="s">
        <v>38</v>
      </c>
      <c r="L2930" s="2" t="s">
        <v>38</v>
      </c>
      <c r="M2930" s="2" t="s">
        <v>38</v>
      </c>
      <c r="N2930" s="2" t="s">
        <v>38</v>
      </c>
      <c r="O2930" s="2" t="s">
        <v>38</v>
      </c>
      <c r="P2930" s="2" t="s">
        <v>39</v>
      </c>
      <c r="Q2930" s="2" t="s">
        <v>39</v>
      </c>
      <c r="R2930" s="2" t="s">
        <v>38</v>
      </c>
      <c r="S2930" s="2" t="s">
        <v>38</v>
      </c>
      <c r="T2930" s="2" t="s">
        <v>39</v>
      </c>
      <c r="U2930" s="2" t="s">
        <v>38</v>
      </c>
      <c r="V2930" s="2" t="s">
        <v>38</v>
      </c>
      <c r="W2930" s="2" t="s">
        <v>38</v>
      </c>
      <c r="X2930" s="2" t="s">
        <v>39</v>
      </c>
      <c r="Y2930" s="2" t="s">
        <v>38</v>
      </c>
      <c r="Z2930" s="2" t="s">
        <v>38</v>
      </c>
      <c r="AA2930" s="2" t="s">
        <v>39</v>
      </c>
      <c r="AB2930" s="2" t="s">
        <v>39</v>
      </c>
      <c r="AC2930" s="2" t="s">
        <v>38</v>
      </c>
      <c r="AD2930" s="2" t="s">
        <v>38</v>
      </c>
      <c r="AE2930" s="2" t="s">
        <v>39</v>
      </c>
    </row>
    <row r="2931" spans="1:31" ht="409.5">
      <c r="A2931" s="2">
        <v>2707553</v>
      </c>
      <c r="B2931" s="2">
        <f>HYPERLINK("https://platform.v2.vetology.net/cases/2707553/screening-report/1?type=pdf&amp;v=v6&amp;scorecard=1&amp;secret_key=BX%25IJ%24%2F65ieZ%29f6", 2707553)</f>
        <v>2707553</v>
      </c>
      <c r="C2931" s="2">
        <f>HYPERLINK("https://platform.v2.vetology.net/report/v/final/"&amp;2707553, 2707553)</f>
        <v>2707553</v>
      </c>
      <c r="D2931" s="2" t="s">
        <v>9343</v>
      </c>
      <c r="E2931" s="2" t="s">
        <v>9344</v>
      </c>
      <c r="F2931" s="2" t="s">
        <v>787</v>
      </c>
      <c r="G2931" s="2" t="s">
        <v>100</v>
      </c>
      <c r="H2931" s="2" t="s">
        <v>9345</v>
      </c>
      <c r="I2931" s="2" t="s">
        <v>36</v>
      </c>
      <c r="J2931" s="2" t="s">
        <v>37</v>
      </c>
      <c r="K2931" s="2" t="s">
        <v>38</v>
      </c>
      <c r="L2931" s="2" t="s">
        <v>38</v>
      </c>
      <c r="M2931" s="2" t="s">
        <v>38</v>
      </c>
      <c r="N2931" s="2" t="s">
        <v>39</v>
      </c>
      <c r="O2931" s="2" t="s">
        <v>38</v>
      </c>
      <c r="P2931" s="2" t="s">
        <v>39</v>
      </c>
      <c r="Q2931" s="2" t="s">
        <v>39</v>
      </c>
      <c r="R2931" s="2" t="s">
        <v>38</v>
      </c>
      <c r="S2931" s="2" t="s">
        <v>39</v>
      </c>
      <c r="T2931" s="2" t="s">
        <v>39</v>
      </c>
      <c r="U2931" s="2" t="s">
        <v>38</v>
      </c>
      <c r="V2931" s="2" t="s">
        <v>38</v>
      </c>
      <c r="W2931" s="2" t="s">
        <v>39</v>
      </c>
      <c r="X2931" s="2" t="s">
        <v>39</v>
      </c>
      <c r="Y2931" s="2" t="s">
        <v>39</v>
      </c>
      <c r="Z2931" s="2" t="s">
        <v>38</v>
      </c>
      <c r="AA2931" s="2" t="s">
        <v>39</v>
      </c>
      <c r="AB2931" s="2" t="s">
        <v>39</v>
      </c>
      <c r="AC2931" s="2" t="s">
        <v>38</v>
      </c>
      <c r="AD2931" s="2" t="s">
        <v>39</v>
      </c>
      <c r="AE2931" s="2" t="s">
        <v>39</v>
      </c>
    </row>
    <row r="2932" spans="1:31" ht="409.5">
      <c r="A2932" s="2">
        <v>2707548</v>
      </c>
      <c r="B2932" s="2">
        <f>HYPERLINK("https://platform.v2.vetology.net/cases/2707548/screening-report/1?type=pdf&amp;v=v6&amp;scorecard=1&amp;secret_key=BX%25IJ%24%2F65ieZ%29f6", 2707548)</f>
        <v>2707548</v>
      </c>
      <c r="C2932" s="2">
        <f>HYPERLINK("https://platform.v2.vetology.net/report/v/final/"&amp;2707548, 2707548)</f>
        <v>2707548</v>
      </c>
      <c r="D2932" s="2" t="s">
        <v>9346</v>
      </c>
      <c r="E2932" s="2" t="s">
        <v>9347</v>
      </c>
      <c r="F2932" s="2" t="s">
        <v>9348</v>
      </c>
      <c r="G2932" s="2" t="s">
        <v>170</v>
      </c>
      <c r="H2932" s="2" t="s">
        <v>4796</v>
      </c>
      <c r="I2932" s="2" t="s">
        <v>36</v>
      </c>
      <c r="J2932" s="2" t="s">
        <v>37</v>
      </c>
      <c r="K2932" s="2" t="s">
        <v>38</v>
      </c>
      <c r="L2932" s="2" t="s">
        <v>39</v>
      </c>
      <c r="M2932" s="2" t="s">
        <v>38</v>
      </c>
      <c r="N2932" s="2" t="s">
        <v>38</v>
      </c>
      <c r="O2932" s="2" t="s">
        <v>38</v>
      </c>
      <c r="P2932" s="2" t="s">
        <v>39</v>
      </c>
      <c r="Q2932" s="2" t="s">
        <v>39</v>
      </c>
      <c r="R2932" s="2" t="s">
        <v>39</v>
      </c>
      <c r="S2932" s="2" t="s">
        <v>39</v>
      </c>
      <c r="T2932" s="2" t="s">
        <v>38</v>
      </c>
      <c r="U2932" s="2" t="s">
        <v>39</v>
      </c>
      <c r="V2932" s="2" t="s">
        <v>38</v>
      </c>
      <c r="W2932" s="2" t="s">
        <v>38</v>
      </c>
      <c r="X2932" s="2" t="s">
        <v>39</v>
      </c>
      <c r="Y2932" s="2" t="s">
        <v>39</v>
      </c>
      <c r="Z2932" s="2" t="s">
        <v>38</v>
      </c>
      <c r="AA2932" s="2" t="s">
        <v>39</v>
      </c>
      <c r="AB2932" s="2" t="s">
        <v>39</v>
      </c>
      <c r="AC2932" s="2" t="s">
        <v>38</v>
      </c>
      <c r="AD2932" s="2" t="s">
        <v>39</v>
      </c>
      <c r="AE2932" s="2" t="s">
        <v>39</v>
      </c>
    </row>
    <row r="2933" spans="1:31" ht="409.5">
      <c r="A2933" s="2">
        <v>2707547</v>
      </c>
      <c r="B2933" s="2">
        <f>HYPERLINK("https://platform.v2.vetology.net/cases/2707547/screening-report/1?type=pdf&amp;v=v6&amp;scorecard=1&amp;secret_key=BX%25IJ%24%2F65ieZ%29f6", 2707547)</f>
        <v>2707547</v>
      </c>
      <c r="C2933" s="2">
        <f>HYPERLINK("https://platform.v2.vetology.net/report/v/final/"&amp;2707547, 2707547)</f>
        <v>2707547</v>
      </c>
      <c r="D2933" s="2" t="s">
        <v>9349</v>
      </c>
      <c r="E2933" s="2" t="s">
        <v>9350</v>
      </c>
      <c r="F2933" s="2" t="s">
        <v>9335</v>
      </c>
      <c r="G2933" s="2" t="s">
        <v>170</v>
      </c>
      <c r="H2933" s="2" t="s">
        <v>69</v>
      </c>
      <c r="I2933" s="2" t="s">
        <v>46</v>
      </c>
      <c r="J2933" s="2"/>
      <c r="K2933" s="2" t="s">
        <v>39</v>
      </c>
      <c r="L2933" s="2" t="s">
        <v>39</v>
      </c>
      <c r="M2933" s="2" t="s">
        <v>39</v>
      </c>
      <c r="N2933" s="2" t="s">
        <v>39</v>
      </c>
      <c r="O2933" s="2" t="s">
        <v>39</v>
      </c>
      <c r="P2933" s="2" t="s">
        <v>39</v>
      </c>
      <c r="Q2933" s="2" t="s">
        <v>39</v>
      </c>
      <c r="R2933" s="2" t="s">
        <v>39</v>
      </c>
      <c r="S2933" s="2" t="s">
        <v>39</v>
      </c>
      <c r="T2933" s="2" t="s">
        <v>39</v>
      </c>
      <c r="U2933" s="2" t="s">
        <v>39</v>
      </c>
      <c r="V2933" s="2" t="s">
        <v>39</v>
      </c>
      <c r="W2933" s="2" t="s">
        <v>39</v>
      </c>
      <c r="X2933" s="2" t="s">
        <v>39</v>
      </c>
      <c r="Y2933" s="2" t="s">
        <v>39</v>
      </c>
      <c r="Z2933" s="2" t="s">
        <v>39</v>
      </c>
      <c r="AA2933" s="2" t="s">
        <v>39</v>
      </c>
      <c r="AB2933" s="2" t="s">
        <v>39</v>
      </c>
      <c r="AC2933" s="2" t="s">
        <v>39</v>
      </c>
      <c r="AD2933" s="2" t="s">
        <v>39</v>
      </c>
      <c r="AE2933" s="2" t="s">
        <v>39</v>
      </c>
    </row>
    <row r="2934" spans="1:31" ht="409.5">
      <c r="A2934" s="2">
        <v>2707531</v>
      </c>
      <c r="B2934" s="2">
        <f>HYPERLINK("https://platform.v2.vetology.net/cases/2707531/screening-report/1?type=pdf&amp;v=v6&amp;scorecard=1&amp;secret_key=BX%25IJ%24%2F65ieZ%29f6", 2707531)</f>
        <v>2707531</v>
      </c>
      <c r="C2934" s="2">
        <f>HYPERLINK("https://platform.v2.vetology.net/report/v/final/"&amp;2707531, 2707531)</f>
        <v>2707531</v>
      </c>
      <c r="D2934" s="2" t="s">
        <v>9351</v>
      </c>
      <c r="E2934" s="2" t="s">
        <v>9352</v>
      </c>
      <c r="F2934" s="2" t="s">
        <v>9353</v>
      </c>
      <c r="G2934" s="2" t="s">
        <v>53</v>
      </c>
      <c r="H2934" s="2" t="s">
        <v>69</v>
      </c>
      <c r="I2934" s="2" t="s">
        <v>46</v>
      </c>
      <c r="J2934" s="2"/>
      <c r="K2934" s="2" t="s">
        <v>39</v>
      </c>
      <c r="L2934" s="2" t="s">
        <v>39</v>
      </c>
      <c r="M2934" s="2" t="s">
        <v>39</v>
      </c>
      <c r="N2934" s="2" t="s">
        <v>39</v>
      </c>
      <c r="O2934" s="2" t="s">
        <v>39</v>
      </c>
      <c r="P2934" s="2" t="s">
        <v>39</v>
      </c>
      <c r="Q2934" s="2" t="s">
        <v>39</v>
      </c>
      <c r="R2934" s="2" t="s">
        <v>39</v>
      </c>
      <c r="S2934" s="2" t="s">
        <v>39</v>
      </c>
      <c r="T2934" s="2" t="s">
        <v>39</v>
      </c>
      <c r="U2934" s="2" t="s">
        <v>39</v>
      </c>
      <c r="V2934" s="2" t="s">
        <v>39</v>
      </c>
      <c r="W2934" s="2" t="s">
        <v>39</v>
      </c>
      <c r="X2934" s="2" t="s">
        <v>39</v>
      </c>
      <c r="Y2934" s="2" t="s">
        <v>39</v>
      </c>
      <c r="Z2934" s="2" t="s">
        <v>39</v>
      </c>
      <c r="AA2934" s="2" t="s">
        <v>39</v>
      </c>
      <c r="AB2934" s="2" t="s">
        <v>39</v>
      </c>
      <c r="AC2934" s="2" t="s">
        <v>39</v>
      </c>
      <c r="AD2934" s="2" t="s">
        <v>39</v>
      </c>
      <c r="AE2934" s="2" t="s">
        <v>39</v>
      </c>
    </row>
    <row r="2935" spans="1:31" ht="409.5">
      <c r="A2935" s="2">
        <v>2707530</v>
      </c>
      <c r="B2935" s="2">
        <f>HYPERLINK("https://platform.v2.vetology.net/cases/2707530/screening-report/1?type=pdf&amp;v=v6&amp;scorecard=1&amp;secret_key=BX%25IJ%24%2F65ieZ%29f6", 2707530)</f>
        <v>2707530</v>
      </c>
      <c r="C2935" s="2">
        <f>HYPERLINK("https://platform.v2.vetology.net/report/v/final/"&amp;2707530, 2707530)</f>
        <v>2707530</v>
      </c>
      <c r="D2935" s="2" t="s">
        <v>9354</v>
      </c>
      <c r="E2935" s="2" t="s">
        <v>9355</v>
      </c>
      <c r="F2935" s="2" t="s">
        <v>43</v>
      </c>
      <c r="G2935" s="2" t="s">
        <v>100</v>
      </c>
      <c r="H2935" s="2" t="s">
        <v>611</v>
      </c>
      <c r="I2935" s="2" t="s">
        <v>46</v>
      </c>
      <c r="J2935" s="2"/>
      <c r="K2935" s="2" t="s">
        <v>39</v>
      </c>
      <c r="L2935" s="2" t="s">
        <v>39</v>
      </c>
      <c r="M2935" s="2" t="s">
        <v>39</v>
      </c>
      <c r="N2935" s="2" t="s">
        <v>39</v>
      </c>
      <c r="O2935" s="2" t="s">
        <v>39</v>
      </c>
      <c r="P2935" s="2" t="s">
        <v>39</v>
      </c>
      <c r="Q2935" s="2" t="s">
        <v>39</v>
      </c>
      <c r="R2935" s="2" t="s">
        <v>39</v>
      </c>
      <c r="S2935" s="2" t="s">
        <v>39</v>
      </c>
      <c r="T2935" s="2" t="s">
        <v>38</v>
      </c>
      <c r="U2935" s="2" t="s">
        <v>39</v>
      </c>
      <c r="V2935" s="2" t="s">
        <v>39</v>
      </c>
      <c r="W2935" s="2" t="s">
        <v>38</v>
      </c>
      <c r="X2935" s="2" t="s">
        <v>39</v>
      </c>
      <c r="Y2935" s="2" t="s">
        <v>39</v>
      </c>
      <c r="Z2935" s="2" t="s">
        <v>39</v>
      </c>
      <c r="AA2935" s="2" t="s">
        <v>39</v>
      </c>
      <c r="AB2935" s="2" t="s">
        <v>39</v>
      </c>
      <c r="AC2935" s="2" t="s">
        <v>39</v>
      </c>
      <c r="AD2935" s="2" t="s">
        <v>39</v>
      </c>
      <c r="AE2935" s="2" t="s">
        <v>39</v>
      </c>
    </row>
    <row r="2936" spans="1:31" ht="409.5">
      <c r="A2936" s="2">
        <v>2707511</v>
      </c>
      <c r="B2936" s="2">
        <f>HYPERLINK("https://platform.v2.vetology.net/cases/2707511/screening-report/1?type=pdf&amp;v=v6&amp;scorecard=1&amp;secret_key=BX%25IJ%24%2F65ieZ%29f6", 2707511)</f>
        <v>2707511</v>
      </c>
      <c r="C2936" s="2">
        <f>HYPERLINK("https://platform.v2.vetology.net/report/v/final/"&amp;2707511, 2707511)</f>
        <v>2707511</v>
      </c>
      <c r="D2936" s="2" t="s">
        <v>9356</v>
      </c>
      <c r="E2936" s="2" t="s">
        <v>9357</v>
      </c>
      <c r="F2936" s="2" t="s">
        <v>1718</v>
      </c>
      <c r="G2936" s="2" t="s">
        <v>100</v>
      </c>
      <c r="H2936" s="2" t="s">
        <v>69</v>
      </c>
      <c r="I2936" s="2" t="s">
        <v>46</v>
      </c>
      <c r="J2936" s="2"/>
      <c r="K2936" s="2" t="s">
        <v>39</v>
      </c>
      <c r="L2936" s="2" t="s">
        <v>39</v>
      </c>
      <c r="M2936" s="2" t="s">
        <v>39</v>
      </c>
      <c r="N2936" s="2" t="s">
        <v>39</v>
      </c>
      <c r="O2936" s="2" t="s">
        <v>39</v>
      </c>
      <c r="P2936" s="2" t="s">
        <v>39</v>
      </c>
      <c r="Q2936" s="2" t="s">
        <v>39</v>
      </c>
      <c r="R2936" s="2" t="s">
        <v>39</v>
      </c>
      <c r="S2936" s="2" t="s">
        <v>39</v>
      </c>
      <c r="T2936" s="2" t="s">
        <v>39</v>
      </c>
      <c r="U2936" s="2" t="s">
        <v>39</v>
      </c>
      <c r="V2936" s="2" t="s">
        <v>39</v>
      </c>
      <c r="W2936" s="2" t="s">
        <v>38</v>
      </c>
      <c r="X2936" s="2" t="s">
        <v>39</v>
      </c>
      <c r="Y2936" s="2" t="s">
        <v>39</v>
      </c>
      <c r="Z2936" s="2" t="s">
        <v>39</v>
      </c>
      <c r="AA2936" s="2" t="s">
        <v>39</v>
      </c>
      <c r="AB2936" s="2" t="s">
        <v>39</v>
      </c>
      <c r="AC2936" s="2" t="s">
        <v>38</v>
      </c>
      <c r="AD2936" s="2" t="s">
        <v>38</v>
      </c>
      <c r="AE2936" s="2" t="s">
        <v>39</v>
      </c>
    </row>
    <row r="2937" spans="1:31" ht="409.5">
      <c r="A2937" s="2">
        <v>2707490</v>
      </c>
      <c r="B2937" s="2">
        <f>HYPERLINK("https://platform.v2.vetology.net/cases/2707490/screening-report/1?type=pdf&amp;v=v6&amp;scorecard=1&amp;secret_key=BX%25IJ%24%2F65ieZ%29f6", 2707490)</f>
        <v>2707490</v>
      </c>
      <c r="C2937" s="2">
        <f>HYPERLINK("https://platform.v2.vetology.net/report/v/final/"&amp;2707490, 2707490)</f>
        <v>2707490</v>
      </c>
      <c r="D2937" s="2" t="s">
        <v>9358</v>
      </c>
      <c r="E2937" s="2" t="s">
        <v>9359</v>
      </c>
      <c r="F2937" s="2" t="s">
        <v>9360</v>
      </c>
      <c r="G2937" s="2" t="s">
        <v>53</v>
      </c>
      <c r="H2937" s="2" t="s">
        <v>277</v>
      </c>
      <c r="I2937" s="2" t="s">
        <v>46</v>
      </c>
      <c r="J2937" s="2"/>
      <c r="K2937" s="2" t="s">
        <v>39</v>
      </c>
      <c r="L2937" s="2" t="s">
        <v>38</v>
      </c>
      <c r="M2937" s="2" t="s">
        <v>39</v>
      </c>
      <c r="N2937" s="2" t="s">
        <v>39</v>
      </c>
      <c r="O2937" s="2" t="s">
        <v>39</v>
      </c>
      <c r="P2937" s="2" t="s">
        <v>39</v>
      </c>
      <c r="Q2937" s="2" t="s">
        <v>39</v>
      </c>
      <c r="R2937" s="2" t="s">
        <v>39</v>
      </c>
      <c r="S2937" s="2" t="s">
        <v>39</v>
      </c>
      <c r="T2937" s="2" t="s">
        <v>39</v>
      </c>
      <c r="U2937" s="2" t="s">
        <v>38</v>
      </c>
      <c r="V2937" s="2" t="s">
        <v>38</v>
      </c>
      <c r="W2937" s="2" t="s">
        <v>39</v>
      </c>
      <c r="X2937" s="2" t="s">
        <v>39</v>
      </c>
      <c r="Y2937" s="2" t="s">
        <v>39</v>
      </c>
      <c r="Z2937" s="2" t="s">
        <v>39</v>
      </c>
      <c r="AA2937" s="2" t="s">
        <v>39</v>
      </c>
      <c r="AB2937" s="2" t="s">
        <v>39</v>
      </c>
      <c r="AC2937" s="2" t="s">
        <v>38</v>
      </c>
      <c r="AD2937" s="2" t="s">
        <v>38</v>
      </c>
      <c r="AE2937" s="2" t="s">
        <v>40</v>
      </c>
    </row>
    <row r="2938" spans="1:31" ht="409.5">
      <c r="A2938" s="2">
        <v>2707469</v>
      </c>
      <c r="B2938" s="2">
        <f>HYPERLINK("https://platform.v2.vetology.net/cases/2707469/screening-report/1?type=pdf&amp;v=v6&amp;scorecard=1&amp;secret_key=BX%25IJ%24%2F65ieZ%29f6", 2707469)</f>
        <v>2707469</v>
      </c>
      <c r="C2938" s="2">
        <f>HYPERLINK("https://platform.v2.vetology.net/report/v/final/"&amp;2707469, 2707469)</f>
        <v>2707469</v>
      </c>
      <c r="D2938" s="2" t="s">
        <v>9361</v>
      </c>
      <c r="E2938" s="2" t="s">
        <v>9362</v>
      </c>
      <c r="F2938" s="2" t="s">
        <v>9363</v>
      </c>
      <c r="G2938" s="2" t="s">
        <v>53</v>
      </c>
      <c r="H2938" s="2" t="s">
        <v>7233</v>
      </c>
      <c r="I2938" s="2" t="s">
        <v>73</v>
      </c>
      <c r="J2938" s="2" t="s">
        <v>74</v>
      </c>
      <c r="K2938" s="2" t="s">
        <v>38</v>
      </c>
      <c r="L2938" s="2" t="s">
        <v>38</v>
      </c>
      <c r="M2938" s="2" t="s">
        <v>38</v>
      </c>
      <c r="N2938" s="2" t="s">
        <v>38</v>
      </c>
      <c r="O2938" s="2" t="s">
        <v>38</v>
      </c>
      <c r="P2938" s="2" t="s">
        <v>38</v>
      </c>
      <c r="Q2938" s="2" t="s">
        <v>38</v>
      </c>
      <c r="R2938" s="2" t="s">
        <v>38</v>
      </c>
      <c r="S2938" s="2" t="s">
        <v>38</v>
      </c>
      <c r="T2938" s="2" t="s">
        <v>38</v>
      </c>
      <c r="U2938" s="2" t="s">
        <v>38</v>
      </c>
      <c r="V2938" s="2" t="s">
        <v>38</v>
      </c>
      <c r="W2938" s="2" t="s">
        <v>38</v>
      </c>
      <c r="X2938" s="2" t="s">
        <v>38</v>
      </c>
      <c r="Y2938" s="2" t="s">
        <v>38</v>
      </c>
      <c r="Z2938" s="2" t="s">
        <v>38</v>
      </c>
      <c r="AA2938" s="2" t="s">
        <v>38</v>
      </c>
      <c r="AB2938" s="2" t="s">
        <v>38</v>
      </c>
      <c r="AC2938" s="2" t="s">
        <v>38</v>
      </c>
      <c r="AD2938" s="2" t="s">
        <v>38</v>
      </c>
      <c r="AE2938" s="2" t="s">
        <v>40</v>
      </c>
    </row>
    <row r="2939" spans="1:31" ht="409.5">
      <c r="A2939" s="2">
        <v>2707442</v>
      </c>
      <c r="B2939" s="2">
        <f>HYPERLINK("https://platform.v2.vetology.net/cases/2707442/screening-report/1?type=pdf&amp;v=v6&amp;scorecard=1&amp;secret_key=BX%25IJ%24%2F65ieZ%29f6", 2707442)</f>
        <v>2707442</v>
      </c>
      <c r="C2939" s="2">
        <f>HYPERLINK("https://platform.v2.vetology.net/report/v/final/"&amp;2707442, 2707442)</f>
        <v>2707442</v>
      </c>
      <c r="D2939" s="2" t="s">
        <v>9364</v>
      </c>
      <c r="E2939" s="2" t="s">
        <v>9365</v>
      </c>
      <c r="F2939" s="2" t="s">
        <v>9366</v>
      </c>
      <c r="G2939" s="2" t="s">
        <v>53</v>
      </c>
      <c r="H2939" s="2" t="s">
        <v>69</v>
      </c>
      <c r="I2939" s="2" t="s">
        <v>46</v>
      </c>
      <c r="J2939" s="2"/>
      <c r="K2939" s="2" t="s">
        <v>39</v>
      </c>
      <c r="L2939" s="2" t="s">
        <v>39</v>
      </c>
      <c r="M2939" s="2" t="s">
        <v>39</v>
      </c>
      <c r="N2939" s="2" t="s">
        <v>39</v>
      </c>
      <c r="O2939" s="2" t="s">
        <v>39</v>
      </c>
      <c r="P2939" s="2" t="s">
        <v>39</v>
      </c>
      <c r="Q2939" s="2" t="s">
        <v>39</v>
      </c>
      <c r="R2939" s="2" t="s">
        <v>39</v>
      </c>
      <c r="S2939" s="2" t="s">
        <v>39</v>
      </c>
      <c r="T2939" s="2" t="s">
        <v>39</v>
      </c>
      <c r="U2939" s="2" t="s">
        <v>39</v>
      </c>
      <c r="V2939" s="2" t="s">
        <v>39</v>
      </c>
      <c r="W2939" s="2" t="s">
        <v>39</v>
      </c>
      <c r="X2939" s="2" t="s">
        <v>39</v>
      </c>
      <c r="Y2939" s="2" t="s">
        <v>39</v>
      </c>
      <c r="Z2939" s="2" t="s">
        <v>39</v>
      </c>
      <c r="AA2939" s="2" t="s">
        <v>39</v>
      </c>
      <c r="AB2939" s="2" t="s">
        <v>39</v>
      </c>
      <c r="AC2939" s="2" t="s">
        <v>39</v>
      </c>
      <c r="AD2939" s="2" t="s">
        <v>39</v>
      </c>
      <c r="AE2939" s="2" t="s">
        <v>39</v>
      </c>
    </row>
    <row r="2940" spans="1:31" ht="409.5">
      <c r="A2940" s="2">
        <v>2707400</v>
      </c>
      <c r="B2940" s="2">
        <f>HYPERLINK("https://platform.v2.vetology.net/cases/2707400/screening-report/1?type=pdf&amp;v=v6&amp;scorecard=1&amp;secret_key=BX%25IJ%24%2F65ieZ%29f6", 2707400)</f>
        <v>2707400</v>
      </c>
      <c r="C2940" s="2">
        <f>HYPERLINK("https://platform.v2.vetology.net/report/v/final/"&amp;2707400, 2707400)</f>
        <v>2707400</v>
      </c>
      <c r="D2940" s="2" t="s">
        <v>9367</v>
      </c>
      <c r="E2940" s="2" t="s">
        <v>9368</v>
      </c>
      <c r="F2940" s="2" t="s">
        <v>9369</v>
      </c>
      <c r="G2940" s="2" t="s">
        <v>53</v>
      </c>
      <c r="H2940" s="2" t="s">
        <v>69</v>
      </c>
      <c r="I2940" s="2" t="s">
        <v>46</v>
      </c>
      <c r="J2940" s="2"/>
      <c r="K2940" s="2" t="s">
        <v>39</v>
      </c>
      <c r="L2940" s="2" t="s">
        <v>39</v>
      </c>
      <c r="M2940" s="2" t="s">
        <v>39</v>
      </c>
      <c r="N2940" s="2" t="s">
        <v>39</v>
      </c>
      <c r="O2940" s="2" t="s">
        <v>39</v>
      </c>
      <c r="P2940" s="2" t="s">
        <v>39</v>
      </c>
      <c r="Q2940" s="2" t="s">
        <v>39</v>
      </c>
      <c r="R2940" s="2" t="s">
        <v>39</v>
      </c>
      <c r="S2940" s="2" t="s">
        <v>39</v>
      </c>
      <c r="T2940" s="2" t="s">
        <v>38</v>
      </c>
      <c r="U2940" s="2" t="s">
        <v>39</v>
      </c>
      <c r="V2940" s="2" t="s">
        <v>39</v>
      </c>
      <c r="W2940" s="2" t="s">
        <v>39</v>
      </c>
      <c r="X2940" s="2" t="s">
        <v>39</v>
      </c>
      <c r="Y2940" s="2" t="s">
        <v>39</v>
      </c>
      <c r="Z2940" s="2" t="s">
        <v>38</v>
      </c>
      <c r="AA2940" s="2" t="s">
        <v>39</v>
      </c>
      <c r="AB2940" s="2" t="s">
        <v>39</v>
      </c>
      <c r="AC2940" s="2" t="s">
        <v>39</v>
      </c>
      <c r="AD2940" s="2" t="s">
        <v>38</v>
      </c>
      <c r="AE2940" s="2" t="s">
        <v>39</v>
      </c>
    </row>
    <row r="2941" spans="1:31" ht="409.5">
      <c r="A2941" s="2">
        <v>2707399</v>
      </c>
      <c r="B2941" s="2">
        <f>HYPERLINK("https://platform.v2.vetology.net/cases/2707399/screening-report/1?type=pdf&amp;v=v6&amp;scorecard=1&amp;secret_key=BX%25IJ%24%2F65ieZ%29f6", 2707399)</f>
        <v>2707399</v>
      </c>
      <c r="C2941" s="2">
        <f>HYPERLINK("https://platform.v2.vetology.net/report/v/final/"&amp;2707399, 2707399)</f>
        <v>2707399</v>
      </c>
      <c r="D2941" s="2" t="s">
        <v>9370</v>
      </c>
      <c r="E2941" s="2" t="s">
        <v>9371</v>
      </c>
      <c r="F2941" s="2" t="s">
        <v>9372</v>
      </c>
      <c r="G2941" s="2" t="s">
        <v>111</v>
      </c>
      <c r="H2941" s="2" t="s">
        <v>9373</v>
      </c>
      <c r="I2941" s="2" t="s">
        <v>36</v>
      </c>
      <c r="J2941" s="2" t="s">
        <v>37</v>
      </c>
      <c r="K2941" s="2" t="s">
        <v>38</v>
      </c>
      <c r="L2941" s="2" t="s">
        <v>38</v>
      </c>
      <c r="M2941" s="2" t="s">
        <v>38</v>
      </c>
      <c r="N2941" s="2" t="s">
        <v>38</v>
      </c>
      <c r="O2941" s="2" t="s">
        <v>38</v>
      </c>
      <c r="P2941" s="2" t="s">
        <v>38</v>
      </c>
      <c r="Q2941" s="2" t="s">
        <v>39</v>
      </c>
      <c r="R2941" s="2" t="s">
        <v>38</v>
      </c>
      <c r="S2941" s="2" t="s">
        <v>38</v>
      </c>
      <c r="T2941" s="2" t="s">
        <v>38</v>
      </c>
      <c r="U2941" s="2" t="s">
        <v>39</v>
      </c>
      <c r="V2941" s="2" t="s">
        <v>38</v>
      </c>
      <c r="W2941" s="2" t="s">
        <v>38</v>
      </c>
      <c r="X2941" s="2" t="s">
        <v>38</v>
      </c>
      <c r="Y2941" s="2" t="s">
        <v>39</v>
      </c>
      <c r="Z2941" s="2" t="s">
        <v>38</v>
      </c>
      <c r="AA2941" s="2" t="s">
        <v>38</v>
      </c>
      <c r="AB2941" s="2" t="s">
        <v>38</v>
      </c>
      <c r="AC2941" s="2" t="s">
        <v>38</v>
      </c>
      <c r="AD2941" s="2" t="s">
        <v>38</v>
      </c>
      <c r="AE2941" s="2" t="s">
        <v>39</v>
      </c>
    </row>
    <row r="2942" spans="1:31" ht="409.5">
      <c r="A2942" s="2">
        <v>2707396</v>
      </c>
      <c r="B2942" s="2">
        <f>HYPERLINK("https://platform.v2.vetology.net/cases/2707396/screening-report/1?type=pdf&amp;v=v6&amp;scorecard=1&amp;secret_key=BX%25IJ%24%2F65ieZ%29f6", 2707396)</f>
        <v>2707396</v>
      </c>
      <c r="C2942" s="2">
        <f>HYPERLINK("https://platform.v2.vetology.net/report/v/final/"&amp;2707396, 2707396)</f>
        <v>2707396</v>
      </c>
      <c r="D2942" s="2" t="s">
        <v>9374</v>
      </c>
      <c r="E2942" s="2" t="s">
        <v>9375</v>
      </c>
      <c r="F2942" s="2" t="s">
        <v>9376</v>
      </c>
      <c r="G2942" s="2" t="s">
        <v>170</v>
      </c>
      <c r="H2942" s="2" t="s">
        <v>9377</v>
      </c>
      <c r="I2942" s="2" t="s">
        <v>36</v>
      </c>
      <c r="J2942" s="2" t="s">
        <v>37</v>
      </c>
      <c r="K2942" s="2" t="s">
        <v>38</v>
      </c>
      <c r="L2942" s="2" t="s">
        <v>39</v>
      </c>
      <c r="M2942" s="2" t="s">
        <v>38</v>
      </c>
      <c r="N2942" s="2" t="s">
        <v>38</v>
      </c>
      <c r="O2942" s="2" t="s">
        <v>38</v>
      </c>
      <c r="P2942" s="2" t="s">
        <v>38</v>
      </c>
      <c r="Q2942" s="2" t="s">
        <v>39</v>
      </c>
      <c r="R2942" s="2" t="s">
        <v>38</v>
      </c>
      <c r="S2942" s="2" t="s">
        <v>38</v>
      </c>
      <c r="T2942" s="2" t="s">
        <v>38</v>
      </c>
      <c r="U2942" s="2" t="s">
        <v>38</v>
      </c>
      <c r="V2942" s="2" t="s">
        <v>38</v>
      </c>
      <c r="W2942" s="2" t="s">
        <v>38</v>
      </c>
      <c r="X2942" s="2" t="s">
        <v>39</v>
      </c>
      <c r="Y2942" s="2" t="s">
        <v>39</v>
      </c>
      <c r="Z2942" s="2" t="s">
        <v>38</v>
      </c>
      <c r="AA2942" s="2" t="s">
        <v>38</v>
      </c>
      <c r="AB2942" s="2" t="s">
        <v>39</v>
      </c>
      <c r="AC2942" s="2" t="s">
        <v>38</v>
      </c>
      <c r="AD2942" s="2" t="s">
        <v>38</v>
      </c>
      <c r="AE2942" s="2" t="s">
        <v>39</v>
      </c>
    </row>
    <row r="2943" spans="1:31" ht="409.5">
      <c r="A2943" s="2">
        <v>2707395</v>
      </c>
      <c r="B2943" s="2">
        <f>HYPERLINK("https://platform.v2.vetology.net/cases/2707395/screening-report/1?type=pdf&amp;v=v6&amp;scorecard=1&amp;secret_key=BX%25IJ%24%2F65ieZ%29f6", 2707395)</f>
        <v>2707395</v>
      </c>
      <c r="C2943" s="2">
        <f>HYPERLINK("https://platform.v2.vetology.net/report/v/final/"&amp;2707395, 2707395)</f>
        <v>2707395</v>
      </c>
      <c r="D2943" s="2" t="s">
        <v>9378</v>
      </c>
      <c r="E2943" s="2" t="s">
        <v>9379</v>
      </c>
      <c r="F2943" s="2" t="s">
        <v>2270</v>
      </c>
      <c r="G2943" s="2" t="s">
        <v>170</v>
      </c>
      <c r="H2943" s="2" t="s">
        <v>353</v>
      </c>
      <c r="I2943" s="2" t="s">
        <v>36</v>
      </c>
      <c r="J2943" s="2" t="s">
        <v>37</v>
      </c>
      <c r="K2943" s="2" t="s">
        <v>39</v>
      </c>
      <c r="L2943" s="2" t="s">
        <v>38</v>
      </c>
      <c r="M2943" s="2" t="s">
        <v>38</v>
      </c>
      <c r="N2943" s="2" t="s">
        <v>38</v>
      </c>
      <c r="O2943" s="2" t="s">
        <v>38</v>
      </c>
      <c r="P2943" s="2" t="s">
        <v>39</v>
      </c>
      <c r="Q2943" s="2" t="s">
        <v>39</v>
      </c>
      <c r="R2943" s="2" t="s">
        <v>39</v>
      </c>
      <c r="S2943" s="2" t="s">
        <v>38</v>
      </c>
      <c r="T2943" s="2" t="s">
        <v>38</v>
      </c>
      <c r="U2943" s="2" t="s">
        <v>39</v>
      </c>
      <c r="V2943" s="2" t="s">
        <v>38</v>
      </c>
      <c r="W2943" s="2" t="s">
        <v>38</v>
      </c>
      <c r="X2943" s="2" t="s">
        <v>39</v>
      </c>
      <c r="Y2943" s="2" t="s">
        <v>39</v>
      </c>
      <c r="Z2943" s="2" t="s">
        <v>38</v>
      </c>
      <c r="AA2943" s="2" t="s">
        <v>38</v>
      </c>
      <c r="AB2943" s="2" t="s">
        <v>39</v>
      </c>
      <c r="AC2943" s="2" t="s">
        <v>38</v>
      </c>
      <c r="AD2943" s="2" t="s">
        <v>39</v>
      </c>
      <c r="AE2943" s="2" t="s">
        <v>39</v>
      </c>
    </row>
    <row r="2944" spans="1:31" ht="409.5">
      <c r="A2944" s="2">
        <v>2707392</v>
      </c>
      <c r="B2944" s="2">
        <f>HYPERLINK("https://platform.v2.vetology.net/cases/2707392/screening-report/1?type=pdf&amp;v=v6&amp;scorecard=1&amp;secret_key=BX%25IJ%24%2F65ieZ%29f6", 2707392)</f>
        <v>2707392</v>
      </c>
      <c r="C2944" s="2">
        <f>HYPERLINK("https://platform.v2.vetology.net/report/v/final/"&amp;2707392, 2707392)</f>
        <v>2707392</v>
      </c>
      <c r="D2944" s="2" t="s">
        <v>9380</v>
      </c>
      <c r="E2944" s="2" t="s">
        <v>9381</v>
      </c>
      <c r="F2944" s="2" t="s">
        <v>9382</v>
      </c>
      <c r="G2944" s="2" t="s">
        <v>127</v>
      </c>
      <c r="H2944" s="2" t="s">
        <v>3035</v>
      </c>
      <c r="I2944" s="2" t="s">
        <v>36</v>
      </c>
      <c r="J2944" s="2" t="s">
        <v>37</v>
      </c>
      <c r="K2944" s="2" t="s">
        <v>39</v>
      </c>
      <c r="L2944" s="2" t="s">
        <v>39</v>
      </c>
      <c r="M2944" s="2" t="s">
        <v>38</v>
      </c>
      <c r="N2944" s="2" t="s">
        <v>39</v>
      </c>
      <c r="O2944" s="2" t="s">
        <v>38</v>
      </c>
      <c r="P2944" s="2" t="s">
        <v>39</v>
      </c>
      <c r="Q2944" s="2" t="s">
        <v>39</v>
      </c>
      <c r="R2944" s="2" t="s">
        <v>38</v>
      </c>
      <c r="S2944" s="2" t="s">
        <v>39</v>
      </c>
      <c r="T2944" s="2" t="s">
        <v>39</v>
      </c>
      <c r="U2944" s="2" t="s">
        <v>39</v>
      </c>
      <c r="V2944" s="2" t="s">
        <v>38</v>
      </c>
      <c r="W2944" s="2" t="s">
        <v>38</v>
      </c>
      <c r="X2944" s="2" t="s">
        <v>39</v>
      </c>
      <c r="Y2944" s="2" t="s">
        <v>39</v>
      </c>
      <c r="Z2944" s="2" t="s">
        <v>38</v>
      </c>
      <c r="AA2944" s="2" t="s">
        <v>39</v>
      </c>
      <c r="AB2944" s="2" t="s">
        <v>39</v>
      </c>
      <c r="AC2944" s="2" t="s">
        <v>38</v>
      </c>
      <c r="AD2944" s="2" t="s">
        <v>38</v>
      </c>
      <c r="AE2944" s="2" t="s">
        <v>39</v>
      </c>
    </row>
    <row r="2945" spans="1:31" ht="409.5">
      <c r="A2945" s="2">
        <v>2707361</v>
      </c>
      <c r="B2945" s="2">
        <f>HYPERLINK("https://platform.v2.vetology.net/cases/2707361/screening-report/1?type=pdf&amp;v=v6&amp;scorecard=1&amp;secret_key=BX%25IJ%24%2F65ieZ%29f6", 2707361)</f>
        <v>2707361</v>
      </c>
      <c r="C2945" s="2">
        <f>HYPERLINK("https://platform.v2.vetology.net/report/v/final/"&amp;2707361, 2707361)</f>
        <v>2707361</v>
      </c>
      <c r="D2945" s="2" t="s">
        <v>9383</v>
      </c>
      <c r="E2945" s="2" t="s">
        <v>9384</v>
      </c>
      <c r="F2945" s="2" t="s">
        <v>9385</v>
      </c>
      <c r="G2945" s="2" t="s">
        <v>53</v>
      </c>
      <c r="H2945" s="2" t="s">
        <v>9386</v>
      </c>
      <c r="I2945" s="2" t="s">
        <v>73</v>
      </c>
      <c r="J2945" s="2" t="s">
        <v>74</v>
      </c>
      <c r="K2945" s="2" t="s">
        <v>38</v>
      </c>
      <c r="L2945" s="2" t="s">
        <v>38</v>
      </c>
      <c r="M2945" s="2" t="s">
        <v>38</v>
      </c>
      <c r="N2945" s="2" t="s">
        <v>38</v>
      </c>
      <c r="O2945" s="2" t="s">
        <v>38</v>
      </c>
      <c r="P2945" s="2" t="s">
        <v>38</v>
      </c>
      <c r="Q2945" s="2" t="s">
        <v>38</v>
      </c>
      <c r="R2945" s="2" t="s">
        <v>38</v>
      </c>
      <c r="S2945" s="2" t="s">
        <v>38</v>
      </c>
      <c r="T2945" s="2" t="s">
        <v>38</v>
      </c>
      <c r="U2945" s="2" t="s">
        <v>38</v>
      </c>
      <c r="V2945" s="2" t="s">
        <v>38</v>
      </c>
      <c r="W2945" s="2" t="s">
        <v>38</v>
      </c>
      <c r="X2945" s="2" t="s">
        <v>38</v>
      </c>
      <c r="Y2945" s="2" t="s">
        <v>39</v>
      </c>
      <c r="Z2945" s="2" t="s">
        <v>38</v>
      </c>
      <c r="AA2945" s="2" t="s">
        <v>38</v>
      </c>
      <c r="AB2945" s="2" t="s">
        <v>38</v>
      </c>
      <c r="AC2945" s="2" t="s">
        <v>38</v>
      </c>
      <c r="AD2945" s="2" t="s">
        <v>38</v>
      </c>
      <c r="AE2945" s="2" t="s">
        <v>40</v>
      </c>
    </row>
    <row r="2946" spans="1:31" ht="409.5">
      <c r="A2946" s="2">
        <v>2707360</v>
      </c>
      <c r="B2946" s="2">
        <f>HYPERLINK("https://platform.v2.vetology.net/cases/2707360/screening-report/1?type=pdf&amp;v=v6&amp;scorecard=1&amp;secret_key=BX%25IJ%24%2F65ieZ%29f6", 2707360)</f>
        <v>2707360</v>
      </c>
      <c r="C2946" s="2">
        <f>HYPERLINK("https://platform.v2.vetology.net/report/v/final/"&amp;2707360, 2707360)</f>
        <v>2707360</v>
      </c>
      <c r="D2946" s="2" t="s">
        <v>9387</v>
      </c>
      <c r="E2946" s="2" t="s">
        <v>359</v>
      </c>
      <c r="F2946" s="2"/>
      <c r="G2946" s="2" t="s">
        <v>100</v>
      </c>
      <c r="H2946" s="2" t="s">
        <v>3093</v>
      </c>
      <c r="I2946" s="2" t="s">
        <v>36</v>
      </c>
      <c r="J2946" s="2" t="s">
        <v>37</v>
      </c>
      <c r="K2946" s="2" t="s">
        <v>38</v>
      </c>
      <c r="L2946" s="2" t="s">
        <v>39</v>
      </c>
      <c r="M2946" s="2" t="s">
        <v>38</v>
      </c>
      <c r="N2946" s="2" t="s">
        <v>38</v>
      </c>
      <c r="O2946" s="2" t="s">
        <v>39</v>
      </c>
      <c r="P2946" s="2" t="s">
        <v>39</v>
      </c>
      <c r="Q2946" s="2" t="s">
        <v>39</v>
      </c>
      <c r="R2946" s="2" t="s">
        <v>39</v>
      </c>
      <c r="S2946" s="2" t="s">
        <v>39</v>
      </c>
      <c r="T2946" s="2" t="s">
        <v>39</v>
      </c>
      <c r="U2946" s="2" t="s">
        <v>39</v>
      </c>
      <c r="V2946" s="2" t="s">
        <v>38</v>
      </c>
      <c r="W2946" s="2" t="s">
        <v>39</v>
      </c>
      <c r="X2946" s="2" t="s">
        <v>39</v>
      </c>
      <c r="Y2946" s="2" t="s">
        <v>39</v>
      </c>
      <c r="Z2946" s="2" t="s">
        <v>39</v>
      </c>
      <c r="AA2946" s="2" t="s">
        <v>39</v>
      </c>
      <c r="AB2946" s="2" t="s">
        <v>39</v>
      </c>
      <c r="AC2946" s="2" t="s">
        <v>39</v>
      </c>
      <c r="AD2946" s="2" t="s">
        <v>38</v>
      </c>
      <c r="AE2946" s="2" t="s">
        <v>39</v>
      </c>
    </row>
    <row r="2947" spans="1:31" ht="409.5">
      <c r="A2947" s="2">
        <v>2707329</v>
      </c>
      <c r="B2947" s="2">
        <f>HYPERLINK("https://platform.v2.vetology.net/cases/2707329/screening-report/1?type=pdf&amp;v=v6&amp;scorecard=1&amp;secret_key=BX%25IJ%24%2F65ieZ%29f6", 2707329)</f>
        <v>2707329</v>
      </c>
      <c r="C2947" s="2">
        <f>HYPERLINK("https://platform.v2.vetology.net/report/v/final/"&amp;2707329, 2707329)</f>
        <v>2707329</v>
      </c>
      <c r="D2947" s="2" t="s">
        <v>9388</v>
      </c>
      <c r="E2947" s="2" t="s">
        <v>9389</v>
      </c>
      <c r="F2947" s="2" t="s">
        <v>9390</v>
      </c>
      <c r="G2947" s="2" t="s">
        <v>44</v>
      </c>
      <c r="H2947" s="2" t="s">
        <v>1821</v>
      </c>
      <c r="I2947" s="2" t="s">
        <v>36</v>
      </c>
      <c r="J2947" s="2" t="s">
        <v>37</v>
      </c>
      <c r="K2947" s="2" t="s">
        <v>39</v>
      </c>
      <c r="L2947" s="2" t="s">
        <v>38</v>
      </c>
      <c r="M2947" s="2" t="s">
        <v>39</v>
      </c>
      <c r="N2947" s="2" t="s">
        <v>39</v>
      </c>
      <c r="O2947" s="2" t="s">
        <v>39</v>
      </c>
      <c r="P2947" s="2" t="s">
        <v>39</v>
      </c>
      <c r="Q2947" s="2" t="s">
        <v>39</v>
      </c>
      <c r="R2947" s="2" t="s">
        <v>39</v>
      </c>
      <c r="S2947" s="2" t="s">
        <v>38</v>
      </c>
      <c r="T2947" s="2" t="s">
        <v>39</v>
      </c>
      <c r="U2947" s="2" t="s">
        <v>39</v>
      </c>
      <c r="V2947" s="2" t="s">
        <v>39</v>
      </c>
      <c r="W2947" s="2" t="s">
        <v>38</v>
      </c>
      <c r="X2947" s="2" t="s">
        <v>39</v>
      </c>
      <c r="Y2947" s="2" t="s">
        <v>39</v>
      </c>
      <c r="Z2947" s="2" t="s">
        <v>39</v>
      </c>
      <c r="AA2947" s="2" t="s">
        <v>38</v>
      </c>
      <c r="AB2947" s="2" t="s">
        <v>39</v>
      </c>
      <c r="AC2947" s="2" t="s">
        <v>38</v>
      </c>
      <c r="AD2947" s="2" t="s">
        <v>39</v>
      </c>
      <c r="AE2947" s="2" t="s">
        <v>39</v>
      </c>
    </row>
    <row r="2948" spans="1:31" ht="409.5">
      <c r="A2948" s="2">
        <v>2707297</v>
      </c>
      <c r="B2948" s="2">
        <f>HYPERLINK("https://platform.v2.vetology.net/cases/2707297/screening-report/1?type=pdf&amp;v=v6&amp;scorecard=1&amp;secret_key=BX%25IJ%24%2F65ieZ%29f6", 2707297)</f>
        <v>2707297</v>
      </c>
      <c r="C2948" s="2">
        <f>HYPERLINK("https://platform.v2.vetology.net/report/v/final/"&amp;2707297, 2707297)</f>
        <v>2707297</v>
      </c>
      <c r="D2948" s="2" t="s">
        <v>9391</v>
      </c>
      <c r="E2948" s="2" t="s">
        <v>9392</v>
      </c>
      <c r="F2948" s="2"/>
      <c r="G2948" s="2" t="s">
        <v>81</v>
      </c>
      <c r="H2948" s="2" t="s">
        <v>9393</v>
      </c>
      <c r="I2948" s="2" t="s">
        <v>257</v>
      </c>
      <c r="J2948" s="2" t="s">
        <v>74</v>
      </c>
      <c r="K2948" s="2" t="s">
        <v>38</v>
      </c>
      <c r="L2948" s="2" t="s">
        <v>38</v>
      </c>
      <c r="M2948" s="2" t="s">
        <v>38</v>
      </c>
      <c r="N2948" s="2" t="s">
        <v>38</v>
      </c>
      <c r="O2948" s="2" t="s">
        <v>38</v>
      </c>
      <c r="P2948" s="2" t="s">
        <v>38</v>
      </c>
      <c r="Q2948" s="2" t="s">
        <v>38</v>
      </c>
      <c r="R2948" s="2" t="s">
        <v>38</v>
      </c>
      <c r="S2948" s="2" t="s">
        <v>38</v>
      </c>
      <c r="T2948" s="2" t="s">
        <v>38</v>
      </c>
      <c r="U2948" s="2" t="s">
        <v>38</v>
      </c>
      <c r="V2948" s="2" t="s">
        <v>38</v>
      </c>
      <c r="W2948" s="2" t="s">
        <v>38</v>
      </c>
      <c r="X2948" s="2" t="s">
        <v>38</v>
      </c>
      <c r="Y2948" s="2" t="s">
        <v>38</v>
      </c>
      <c r="Z2948" s="2" t="s">
        <v>38</v>
      </c>
      <c r="AA2948" s="2" t="s">
        <v>38</v>
      </c>
      <c r="AB2948" s="2" t="s">
        <v>38</v>
      </c>
      <c r="AC2948" s="2" t="s">
        <v>38</v>
      </c>
      <c r="AD2948" s="2" t="s">
        <v>39</v>
      </c>
      <c r="AE2948" s="2" t="s">
        <v>39</v>
      </c>
    </row>
    <row r="2949" spans="1:31" ht="409.5">
      <c r="A2949" s="2">
        <v>2707296</v>
      </c>
      <c r="B2949" s="2">
        <f>HYPERLINK("https://platform.v2.vetology.net/cases/2707296/screening-report/1?type=pdf&amp;v=v6&amp;scorecard=1&amp;secret_key=BX%25IJ%24%2F65ieZ%29f6", 2707296)</f>
        <v>2707296</v>
      </c>
      <c r="C2949" s="2">
        <f>HYPERLINK("https://platform.v2.vetology.net/report/v/final/"&amp;2707296, 2707296)</f>
        <v>2707296</v>
      </c>
      <c r="D2949" s="2" t="s">
        <v>9394</v>
      </c>
      <c r="E2949" s="2" t="s">
        <v>9395</v>
      </c>
      <c r="F2949" s="2" t="s">
        <v>9396</v>
      </c>
      <c r="G2949" s="2" t="s">
        <v>251</v>
      </c>
      <c r="H2949" s="2" t="s">
        <v>5859</v>
      </c>
      <c r="I2949" s="2" t="s">
        <v>36</v>
      </c>
      <c r="J2949" s="2" t="s">
        <v>37</v>
      </c>
      <c r="K2949" s="2" t="s">
        <v>38</v>
      </c>
      <c r="L2949" s="2" t="s">
        <v>38</v>
      </c>
      <c r="M2949" s="2" t="s">
        <v>38</v>
      </c>
      <c r="N2949" s="2" t="s">
        <v>39</v>
      </c>
      <c r="O2949" s="2" t="s">
        <v>38</v>
      </c>
      <c r="P2949" s="2" t="s">
        <v>39</v>
      </c>
      <c r="Q2949" s="2" t="s">
        <v>39</v>
      </c>
      <c r="R2949" s="2" t="s">
        <v>39</v>
      </c>
      <c r="S2949" s="2" t="s">
        <v>39</v>
      </c>
      <c r="T2949" s="2" t="s">
        <v>38</v>
      </c>
      <c r="U2949" s="2" t="s">
        <v>39</v>
      </c>
      <c r="V2949" s="2" t="s">
        <v>39</v>
      </c>
      <c r="W2949" s="2" t="s">
        <v>39</v>
      </c>
      <c r="X2949" s="2" t="s">
        <v>39</v>
      </c>
      <c r="Y2949" s="2" t="s">
        <v>39</v>
      </c>
      <c r="Z2949" s="2" t="s">
        <v>38</v>
      </c>
      <c r="AA2949" s="2" t="s">
        <v>39</v>
      </c>
      <c r="AB2949" s="2" t="s">
        <v>39</v>
      </c>
      <c r="AC2949" s="2" t="s">
        <v>39</v>
      </c>
      <c r="AD2949" s="2" t="s">
        <v>39</v>
      </c>
      <c r="AE2949" s="2" t="s">
        <v>39</v>
      </c>
    </row>
    <row r="2950" spans="1:31" ht="409.5">
      <c r="A2950" s="2">
        <v>2707259</v>
      </c>
      <c r="B2950" s="2">
        <f>HYPERLINK("https://platform.v2.vetology.net/cases/2707259/screening-report/1?type=pdf&amp;v=v6&amp;scorecard=1&amp;secret_key=BX%25IJ%24%2F65ieZ%29f6", 2707259)</f>
        <v>2707259</v>
      </c>
      <c r="C2950" s="2">
        <f>HYPERLINK("https://platform.v2.vetology.net/report/v/final/"&amp;2707259, 2707259)</f>
        <v>2707259</v>
      </c>
      <c r="D2950" s="2" t="s">
        <v>9397</v>
      </c>
      <c r="E2950" s="2" t="s">
        <v>9398</v>
      </c>
      <c r="F2950" s="2" t="s">
        <v>9399</v>
      </c>
      <c r="G2950" s="2" t="s">
        <v>53</v>
      </c>
      <c r="H2950" s="2" t="s">
        <v>9400</v>
      </c>
      <c r="I2950" s="2" t="s">
        <v>36</v>
      </c>
      <c r="J2950" s="2" t="s">
        <v>37</v>
      </c>
      <c r="K2950" s="2" t="s">
        <v>39</v>
      </c>
      <c r="L2950" s="2" t="s">
        <v>38</v>
      </c>
      <c r="M2950" s="2" t="s">
        <v>38</v>
      </c>
      <c r="N2950" s="2" t="s">
        <v>38</v>
      </c>
      <c r="O2950" s="2" t="s">
        <v>38</v>
      </c>
      <c r="P2950" s="2" t="s">
        <v>39</v>
      </c>
      <c r="Q2950" s="2" t="s">
        <v>39</v>
      </c>
      <c r="R2950" s="2" t="s">
        <v>38</v>
      </c>
      <c r="S2950" s="2" t="s">
        <v>38</v>
      </c>
      <c r="T2950" s="2" t="s">
        <v>39</v>
      </c>
      <c r="U2950" s="2" t="s">
        <v>39</v>
      </c>
      <c r="V2950" s="2" t="s">
        <v>38</v>
      </c>
      <c r="W2950" s="2" t="s">
        <v>38</v>
      </c>
      <c r="X2950" s="2" t="s">
        <v>39</v>
      </c>
      <c r="Y2950" s="2" t="s">
        <v>39</v>
      </c>
      <c r="Z2950" s="2" t="s">
        <v>38</v>
      </c>
      <c r="AA2950" s="2" t="s">
        <v>38</v>
      </c>
      <c r="AB2950" s="2" t="s">
        <v>39</v>
      </c>
      <c r="AC2950" s="2" t="s">
        <v>38</v>
      </c>
      <c r="AD2950" s="2" t="s">
        <v>39</v>
      </c>
      <c r="AE2950" s="2" t="s">
        <v>39</v>
      </c>
    </row>
    <row r="2951" spans="1:31" ht="409.5">
      <c r="A2951" s="2">
        <v>2707200</v>
      </c>
      <c r="B2951" s="2">
        <f>HYPERLINK("https://platform.v2.vetology.net/cases/2707200/screening-report/1?type=pdf&amp;v=v6&amp;scorecard=1&amp;secret_key=BX%25IJ%24%2F65ieZ%29f6", 2707200)</f>
        <v>2707200</v>
      </c>
      <c r="C2951" s="2">
        <f>HYPERLINK("https://platform.v2.vetology.net/report/v/final/"&amp;2707200, 2707200)</f>
        <v>2707200</v>
      </c>
      <c r="D2951" s="2" t="s">
        <v>9401</v>
      </c>
      <c r="E2951" s="2" t="s">
        <v>9402</v>
      </c>
      <c r="F2951" s="2" t="s">
        <v>9403</v>
      </c>
      <c r="G2951" s="2" t="s">
        <v>44</v>
      </c>
      <c r="H2951" s="2" t="s">
        <v>9404</v>
      </c>
      <c r="I2951" s="2" t="s">
        <v>36</v>
      </c>
      <c r="J2951" s="2" t="s">
        <v>37</v>
      </c>
      <c r="K2951" s="2" t="s">
        <v>38</v>
      </c>
      <c r="L2951" s="2" t="s">
        <v>39</v>
      </c>
      <c r="M2951" s="2" t="s">
        <v>39</v>
      </c>
      <c r="N2951" s="2" t="s">
        <v>38</v>
      </c>
      <c r="O2951" s="2" t="s">
        <v>38</v>
      </c>
      <c r="P2951" s="2" t="s">
        <v>39</v>
      </c>
      <c r="Q2951" s="2" t="s">
        <v>39</v>
      </c>
      <c r="R2951" s="2" t="s">
        <v>39</v>
      </c>
      <c r="S2951" s="2" t="s">
        <v>38</v>
      </c>
      <c r="T2951" s="2" t="s">
        <v>38</v>
      </c>
      <c r="U2951" s="2" t="s">
        <v>38</v>
      </c>
      <c r="V2951" s="2" t="s">
        <v>38</v>
      </c>
      <c r="W2951" s="2" t="s">
        <v>38</v>
      </c>
      <c r="X2951" s="2" t="s">
        <v>39</v>
      </c>
      <c r="Y2951" s="2" t="s">
        <v>38</v>
      </c>
      <c r="Z2951" s="2" t="s">
        <v>38</v>
      </c>
      <c r="AA2951" s="2" t="s">
        <v>38</v>
      </c>
      <c r="AB2951" s="2" t="s">
        <v>39</v>
      </c>
      <c r="AC2951" s="2" t="s">
        <v>38</v>
      </c>
      <c r="AD2951" s="2" t="s">
        <v>39</v>
      </c>
      <c r="AE2951" s="2" t="s">
        <v>39</v>
      </c>
    </row>
    <row r="2952" spans="1:31" ht="409.5">
      <c r="A2952" s="2">
        <v>2707174</v>
      </c>
      <c r="B2952" s="2">
        <f>HYPERLINK("https://platform.v2.vetology.net/cases/2707174/screening-report/1?type=pdf&amp;v=v6&amp;scorecard=1&amp;secret_key=BX%25IJ%24%2F65ieZ%29f6", 2707174)</f>
        <v>2707174</v>
      </c>
      <c r="C2952" s="2">
        <f>HYPERLINK("https://platform.v2.vetology.net/report/v/final/"&amp;2707174, 2707174)</f>
        <v>2707174</v>
      </c>
      <c r="D2952" s="2" t="s">
        <v>9405</v>
      </c>
      <c r="E2952" s="2" t="s">
        <v>9406</v>
      </c>
      <c r="F2952" s="2" t="s">
        <v>43</v>
      </c>
      <c r="G2952" s="2" t="s">
        <v>44</v>
      </c>
      <c r="H2952" s="2" t="s">
        <v>9407</v>
      </c>
      <c r="I2952" s="2" t="s">
        <v>36</v>
      </c>
      <c r="J2952" s="2" t="s">
        <v>37</v>
      </c>
      <c r="K2952" s="2" t="s">
        <v>39</v>
      </c>
      <c r="L2952" s="2" t="s">
        <v>39</v>
      </c>
      <c r="M2952" s="2" t="s">
        <v>39</v>
      </c>
      <c r="N2952" s="2" t="s">
        <v>38</v>
      </c>
      <c r="O2952" s="2" t="s">
        <v>38</v>
      </c>
      <c r="P2952" s="2" t="s">
        <v>38</v>
      </c>
      <c r="Q2952" s="2" t="s">
        <v>38</v>
      </c>
      <c r="R2952" s="2" t="s">
        <v>39</v>
      </c>
      <c r="S2952" s="2" t="s">
        <v>39</v>
      </c>
      <c r="T2952" s="2" t="s">
        <v>39</v>
      </c>
      <c r="U2952" s="2" t="s">
        <v>39</v>
      </c>
      <c r="V2952" s="2" t="s">
        <v>39</v>
      </c>
      <c r="W2952" s="2" t="s">
        <v>38</v>
      </c>
      <c r="X2952" s="2" t="s">
        <v>39</v>
      </c>
      <c r="Y2952" s="2" t="s">
        <v>39</v>
      </c>
      <c r="Z2952" s="2" t="s">
        <v>39</v>
      </c>
      <c r="AA2952" s="2" t="s">
        <v>39</v>
      </c>
      <c r="AB2952" s="2" t="s">
        <v>39</v>
      </c>
      <c r="AC2952" s="2" t="s">
        <v>38</v>
      </c>
      <c r="AD2952" s="2" t="s">
        <v>39</v>
      </c>
      <c r="AE2952" s="2" t="s">
        <v>40</v>
      </c>
    </row>
    <row r="2953" spans="1:31" ht="409.5">
      <c r="A2953" s="2">
        <v>2707148</v>
      </c>
      <c r="B2953" s="2">
        <f>HYPERLINK("https://platform.v2.vetology.net/cases/2707148/screening-report/1?type=pdf&amp;v=v6&amp;scorecard=1&amp;secret_key=BX%25IJ%24%2F65ieZ%29f6", 2707148)</f>
        <v>2707148</v>
      </c>
      <c r="C2953" s="2">
        <f>HYPERLINK("https://platform.v2.vetology.net/report/v/final/"&amp;2707148, 2707148)</f>
        <v>2707148</v>
      </c>
      <c r="D2953" s="2" t="s">
        <v>9408</v>
      </c>
      <c r="E2953" s="2" t="s">
        <v>9409</v>
      </c>
      <c r="F2953" s="2" t="s">
        <v>9410</v>
      </c>
      <c r="G2953" s="2" t="s">
        <v>170</v>
      </c>
      <c r="H2953" s="2" t="s">
        <v>69</v>
      </c>
      <c r="I2953" s="2" t="s">
        <v>46</v>
      </c>
      <c r="J2953" s="2"/>
      <c r="K2953" s="2" t="s">
        <v>39</v>
      </c>
      <c r="L2953" s="2" t="s">
        <v>39</v>
      </c>
      <c r="M2953" s="2" t="s">
        <v>39</v>
      </c>
      <c r="N2953" s="2" t="s">
        <v>39</v>
      </c>
      <c r="O2953" s="2" t="s">
        <v>39</v>
      </c>
      <c r="P2953" s="2" t="s">
        <v>39</v>
      </c>
      <c r="Q2953" s="2" t="s">
        <v>39</v>
      </c>
      <c r="R2953" s="2" t="s">
        <v>39</v>
      </c>
      <c r="S2953" s="2" t="s">
        <v>39</v>
      </c>
      <c r="T2953" s="2" t="s">
        <v>39</v>
      </c>
      <c r="U2953" s="2" t="s">
        <v>39</v>
      </c>
      <c r="V2953" s="2" t="s">
        <v>39</v>
      </c>
      <c r="W2953" s="2" t="s">
        <v>38</v>
      </c>
      <c r="X2953" s="2" t="s">
        <v>39</v>
      </c>
      <c r="Y2953" s="2" t="s">
        <v>39</v>
      </c>
      <c r="Z2953" s="2" t="s">
        <v>39</v>
      </c>
      <c r="AA2953" s="2" t="s">
        <v>39</v>
      </c>
      <c r="AB2953" s="2" t="s">
        <v>39</v>
      </c>
      <c r="AC2953" s="2" t="s">
        <v>38</v>
      </c>
      <c r="AD2953" s="2" t="s">
        <v>39</v>
      </c>
      <c r="AE2953" s="2" t="s">
        <v>40</v>
      </c>
    </row>
    <row r="2954" spans="1:31" ht="409.5">
      <c r="A2954" s="2">
        <v>2707130</v>
      </c>
      <c r="B2954" s="2">
        <f>HYPERLINK("https://platform.v2.vetology.net/cases/2707130/screening-report/1?type=pdf&amp;v=v6&amp;scorecard=1&amp;secret_key=BX%25IJ%24%2F65ieZ%29f6", 2707130)</f>
        <v>2707130</v>
      </c>
      <c r="C2954" s="2">
        <f>HYPERLINK("https://platform.v2.vetology.net/report/v/final/"&amp;2707130, 2707130)</f>
        <v>2707130</v>
      </c>
      <c r="D2954" s="2" t="s">
        <v>9411</v>
      </c>
      <c r="E2954" s="2" t="s">
        <v>9412</v>
      </c>
      <c r="F2954" s="2" t="s">
        <v>43</v>
      </c>
      <c r="G2954" s="2" t="s">
        <v>100</v>
      </c>
      <c r="H2954" s="2" t="s">
        <v>69</v>
      </c>
      <c r="I2954" s="2" t="s">
        <v>46</v>
      </c>
      <c r="J2954" s="2"/>
      <c r="K2954" s="2" t="s">
        <v>39</v>
      </c>
      <c r="L2954" s="2" t="s">
        <v>39</v>
      </c>
      <c r="M2954" s="2" t="s">
        <v>39</v>
      </c>
      <c r="N2954" s="2" t="s">
        <v>39</v>
      </c>
      <c r="O2954" s="2" t="s">
        <v>39</v>
      </c>
      <c r="P2954" s="2" t="s">
        <v>39</v>
      </c>
      <c r="Q2954" s="2" t="s">
        <v>39</v>
      </c>
      <c r="R2954" s="2" t="s">
        <v>39</v>
      </c>
      <c r="S2954" s="2" t="s">
        <v>39</v>
      </c>
      <c r="T2954" s="2" t="s">
        <v>39</v>
      </c>
      <c r="U2954" s="2" t="s">
        <v>39</v>
      </c>
      <c r="V2954" s="2" t="s">
        <v>39</v>
      </c>
      <c r="W2954" s="2" t="s">
        <v>39</v>
      </c>
      <c r="X2954" s="2" t="s">
        <v>39</v>
      </c>
      <c r="Y2954" s="2" t="s">
        <v>39</v>
      </c>
      <c r="Z2954" s="2" t="s">
        <v>39</v>
      </c>
      <c r="AA2954" s="2" t="s">
        <v>39</v>
      </c>
      <c r="AB2954" s="2" t="s">
        <v>39</v>
      </c>
      <c r="AC2954" s="2" t="s">
        <v>38</v>
      </c>
      <c r="AD2954" s="2" t="s">
        <v>38</v>
      </c>
      <c r="AE2954" s="2" t="s">
        <v>40</v>
      </c>
    </row>
    <row r="2955" spans="1:31" ht="409.5">
      <c r="A2955" s="2">
        <v>2707110</v>
      </c>
      <c r="B2955" s="2">
        <f>HYPERLINK("https://platform.v2.vetology.net/cases/2707110/screening-report/1?type=pdf&amp;v=v6&amp;scorecard=1&amp;secret_key=BX%25IJ%24%2F65ieZ%29f6", 2707110)</f>
        <v>2707110</v>
      </c>
      <c r="C2955" s="2">
        <f>HYPERLINK("https://platform.v2.vetology.net/report/v/final/"&amp;2707110, 2707110)</f>
        <v>2707110</v>
      </c>
      <c r="D2955" s="2" t="s">
        <v>9413</v>
      </c>
      <c r="E2955" s="2" t="s">
        <v>9414</v>
      </c>
      <c r="F2955" s="2" t="s">
        <v>9415</v>
      </c>
      <c r="G2955" s="2" t="s">
        <v>53</v>
      </c>
      <c r="H2955" s="2" t="s">
        <v>9416</v>
      </c>
      <c r="I2955" s="2" t="s">
        <v>73</v>
      </c>
      <c r="J2955" s="2" t="s">
        <v>74</v>
      </c>
      <c r="K2955" s="2" t="s">
        <v>38</v>
      </c>
      <c r="L2955" s="2" t="s">
        <v>39</v>
      </c>
      <c r="M2955" s="2" t="s">
        <v>38</v>
      </c>
      <c r="N2955" s="2" t="s">
        <v>39</v>
      </c>
      <c r="O2955" s="2" t="s">
        <v>38</v>
      </c>
      <c r="P2955" s="2" t="s">
        <v>38</v>
      </c>
      <c r="Q2955" s="2" t="s">
        <v>38</v>
      </c>
      <c r="R2955" s="2" t="s">
        <v>39</v>
      </c>
      <c r="S2955" s="2" t="s">
        <v>39</v>
      </c>
      <c r="T2955" s="2" t="s">
        <v>38</v>
      </c>
      <c r="U2955" s="2" t="s">
        <v>38</v>
      </c>
      <c r="V2955" s="2" t="s">
        <v>38</v>
      </c>
      <c r="W2955" s="2" t="s">
        <v>38</v>
      </c>
      <c r="X2955" s="2" t="s">
        <v>38</v>
      </c>
      <c r="Y2955" s="2" t="s">
        <v>39</v>
      </c>
      <c r="Z2955" s="2" t="s">
        <v>39</v>
      </c>
      <c r="AA2955" s="2" t="s">
        <v>38</v>
      </c>
      <c r="AB2955" s="2" t="s">
        <v>38</v>
      </c>
      <c r="AC2955" s="2" t="s">
        <v>39</v>
      </c>
      <c r="AD2955" s="2" t="s">
        <v>39</v>
      </c>
      <c r="AE2955" s="2" t="s">
        <v>40</v>
      </c>
    </row>
    <row r="2956" spans="1:31" ht="409.5">
      <c r="A2956" s="2">
        <v>2707102</v>
      </c>
      <c r="B2956" s="2">
        <f>HYPERLINK("https://platform.v2.vetology.net/cases/2707102/screening-report/1?type=pdf&amp;v=v6&amp;scorecard=1&amp;secret_key=BX%25IJ%24%2F65ieZ%29f6", 2707102)</f>
        <v>2707102</v>
      </c>
      <c r="C2956" s="2">
        <f>HYPERLINK("https://platform.v2.vetology.net/report/v/final/"&amp;2707102, 2707102)</f>
        <v>2707102</v>
      </c>
      <c r="D2956" s="2" t="s">
        <v>9417</v>
      </c>
      <c r="E2956" s="2" t="s">
        <v>9418</v>
      </c>
      <c r="F2956" s="2" t="s">
        <v>43</v>
      </c>
      <c r="G2956" s="2" t="s">
        <v>100</v>
      </c>
      <c r="H2956" s="2" t="s">
        <v>9419</v>
      </c>
      <c r="I2956" s="2" t="s">
        <v>73</v>
      </c>
      <c r="J2956" s="2" t="s">
        <v>74</v>
      </c>
      <c r="K2956" s="2" t="s">
        <v>38</v>
      </c>
      <c r="L2956" s="2" t="s">
        <v>38</v>
      </c>
      <c r="M2956" s="2" t="s">
        <v>38</v>
      </c>
      <c r="N2956" s="2" t="s">
        <v>38</v>
      </c>
      <c r="O2956" s="2" t="s">
        <v>38</v>
      </c>
      <c r="P2956" s="2" t="s">
        <v>38</v>
      </c>
      <c r="Q2956" s="2" t="s">
        <v>38</v>
      </c>
      <c r="R2956" s="2" t="s">
        <v>38</v>
      </c>
      <c r="S2956" s="2" t="s">
        <v>38</v>
      </c>
      <c r="T2956" s="2" t="s">
        <v>38</v>
      </c>
      <c r="U2956" s="2" t="s">
        <v>38</v>
      </c>
      <c r="V2956" s="2" t="s">
        <v>38</v>
      </c>
      <c r="W2956" s="2" t="s">
        <v>38</v>
      </c>
      <c r="X2956" s="2" t="s">
        <v>38</v>
      </c>
      <c r="Y2956" s="2" t="s">
        <v>39</v>
      </c>
      <c r="Z2956" s="2" t="s">
        <v>38</v>
      </c>
      <c r="AA2956" s="2" t="s">
        <v>38</v>
      </c>
      <c r="AB2956" s="2" t="s">
        <v>38</v>
      </c>
      <c r="AC2956" s="2" t="s">
        <v>38</v>
      </c>
      <c r="AD2956" s="2" t="s">
        <v>38</v>
      </c>
      <c r="AE2956" s="2" t="s">
        <v>40</v>
      </c>
    </row>
    <row r="2957" spans="1:31" ht="409.5">
      <c r="A2957" s="2">
        <v>2707094</v>
      </c>
      <c r="B2957" s="2">
        <f>HYPERLINK("https://platform.v2.vetology.net/cases/2707094/screening-report/1?type=pdf&amp;v=v6&amp;scorecard=1&amp;secret_key=BX%25IJ%24%2F65ieZ%29f6", 2707094)</f>
        <v>2707094</v>
      </c>
      <c r="C2957" s="2">
        <f>HYPERLINK("https://platform.v2.vetology.net/report/v/final/"&amp;2707094, 2707094)</f>
        <v>2707094</v>
      </c>
      <c r="D2957" s="2" t="s">
        <v>9420</v>
      </c>
      <c r="E2957" s="2" t="s">
        <v>9421</v>
      </c>
      <c r="F2957" s="2" t="s">
        <v>2082</v>
      </c>
      <c r="G2957" s="2" t="s">
        <v>170</v>
      </c>
      <c r="H2957" s="2" t="s">
        <v>45</v>
      </c>
      <c r="I2957" s="2" t="s">
        <v>46</v>
      </c>
      <c r="J2957" s="2"/>
      <c r="K2957" s="2" t="s">
        <v>39</v>
      </c>
      <c r="L2957" s="2" t="s">
        <v>39</v>
      </c>
      <c r="M2957" s="2" t="s">
        <v>39</v>
      </c>
      <c r="N2957" s="2" t="s">
        <v>39</v>
      </c>
      <c r="O2957" s="2" t="s">
        <v>39</v>
      </c>
      <c r="P2957" s="2" t="s">
        <v>39</v>
      </c>
      <c r="Q2957" s="2" t="s">
        <v>39</v>
      </c>
      <c r="R2957" s="2" t="s">
        <v>38</v>
      </c>
      <c r="S2957" s="2" t="s">
        <v>39</v>
      </c>
      <c r="T2957" s="2" t="s">
        <v>39</v>
      </c>
      <c r="U2957" s="2" t="s">
        <v>39</v>
      </c>
      <c r="V2957" s="2" t="s">
        <v>39</v>
      </c>
      <c r="W2957" s="2" t="s">
        <v>39</v>
      </c>
      <c r="X2957" s="2" t="s">
        <v>39</v>
      </c>
      <c r="Y2957" s="2" t="s">
        <v>39</v>
      </c>
      <c r="Z2957" s="2" t="s">
        <v>39</v>
      </c>
      <c r="AA2957" s="2" t="s">
        <v>39</v>
      </c>
      <c r="AB2957" s="2" t="s">
        <v>39</v>
      </c>
      <c r="AC2957" s="2" t="s">
        <v>39</v>
      </c>
      <c r="AD2957" s="2" t="s">
        <v>39</v>
      </c>
      <c r="AE2957" s="2" t="s">
        <v>39</v>
      </c>
    </row>
    <row r="2958" spans="1:31" ht="409.5">
      <c r="A2958" s="2">
        <v>2707062</v>
      </c>
      <c r="B2958" s="2">
        <f>HYPERLINK("https://platform.v2.vetology.net/cases/2707062/screening-report/1?type=pdf&amp;v=v6&amp;scorecard=1&amp;secret_key=BX%25IJ%24%2F65ieZ%29f6", 2707062)</f>
        <v>2707062</v>
      </c>
      <c r="C2958" s="2">
        <f>HYPERLINK("https://platform.v2.vetology.net/report/v/final/"&amp;2707062, 2707062)</f>
        <v>2707062</v>
      </c>
      <c r="D2958" s="2" t="s">
        <v>9422</v>
      </c>
      <c r="E2958" s="2" t="s">
        <v>6399</v>
      </c>
      <c r="F2958" s="2"/>
      <c r="G2958" s="2" t="s">
        <v>100</v>
      </c>
      <c r="H2958" s="2" t="s">
        <v>4999</v>
      </c>
      <c r="I2958" s="2" t="s">
        <v>36</v>
      </c>
      <c r="J2958" s="2" t="s">
        <v>37</v>
      </c>
      <c r="K2958" s="2" t="s">
        <v>38</v>
      </c>
      <c r="L2958" s="2" t="s">
        <v>38</v>
      </c>
      <c r="M2958" s="2" t="s">
        <v>39</v>
      </c>
      <c r="N2958" s="2" t="s">
        <v>39</v>
      </c>
      <c r="O2958" s="2" t="s">
        <v>39</v>
      </c>
      <c r="P2958" s="2" t="s">
        <v>39</v>
      </c>
      <c r="Q2958" s="2" t="s">
        <v>39</v>
      </c>
      <c r="R2958" s="2" t="s">
        <v>39</v>
      </c>
      <c r="S2958" s="2" t="s">
        <v>38</v>
      </c>
      <c r="T2958" s="2" t="s">
        <v>38</v>
      </c>
      <c r="U2958" s="2" t="s">
        <v>39</v>
      </c>
      <c r="V2958" s="2" t="s">
        <v>39</v>
      </c>
      <c r="W2958" s="2" t="s">
        <v>39</v>
      </c>
      <c r="X2958" s="2" t="s">
        <v>39</v>
      </c>
      <c r="Y2958" s="2" t="s">
        <v>39</v>
      </c>
      <c r="Z2958" s="2" t="s">
        <v>39</v>
      </c>
      <c r="AA2958" s="2" t="s">
        <v>39</v>
      </c>
      <c r="AB2958" s="2" t="s">
        <v>39</v>
      </c>
      <c r="AC2958" s="2" t="s">
        <v>38</v>
      </c>
      <c r="AD2958" s="2" t="s">
        <v>39</v>
      </c>
      <c r="AE2958" s="2" t="s">
        <v>40</v>
      </c>
    </row>
    <row r="2959" spans="1:31" ht="409.5">
      <c r="A2959" s="2">
        <v>2707009</v>
      </c>
      <c r="B2959" s="2">
        <f>HYPERLINK("https://platform.v2.vetology.net/cases/2707009/screening-report/1?type=pdf&amp;v=v6&amp;scorecard=1&amp;secret_key=BX%25IJ%24%2F65ieZ%29f6", 2707009)</f>
        <v>2707009</v>
      </c>
      <c r="C2959" s="2">
        <f>HYPERLINK("https://platform.v2.vetology.net/report/v/final/"&amp;2707009, 2707009)</f>
        <v>2707009</v>
      </c>
      <c r="D2959" s="2" t="s">
        <v>9423</v>
      </c>
      <c r="E2959" s="2" t="s">
        <v>9424</v>
      </c>
      <c r="F2959" s="2" t="s">
        <v>9425</v>
      </c>
      <c r="G2959" s="2" t="s">
        <v>170</v>
      </c>
      <c r="H2959" s="2" t="s">
        <v>1168</v>
      </c>
      <c r="I2959" s="2" t="s">
        <v>36</v>
      </c>
      <c r="J2959" s="2" t="s">
        <v>37</v>
      </c>
      <c r="K2959" s="2" t="s">
        <v>38</v>
      </c>
      <c r="L2959" s="2" t="s">
        <v>38</v>
      </c>
      <c r="M2959" s="2" t="s">
        <v>38</v>
      </c>
      <c r="N2959" s="2" t="s">
        <v>38</v>
      </c>
      <c r="O2959" s="2" t="s">
        <v>38</v>
      </c>
      <c r="P2959" s="2" t="s">
        <v>39</v>
      </c>
      <c r="Q2959" s="2" t="s">
        <v>39</v>
      </c>
      <c r="R2959" s="2" t="s">
        <v>38</v>
      </c>
      <c r="S2959" s="2" t="s">
        <v>38</v>
      </c>
      <c r="T2959" s="2" t="s">
        <v>38</v>
      </c>
      <c r="U2959" s="2" t="s">
        <v>39</v>
      </c>
      <c r="V2959" s="2" t="s">
        <v>38</v>
      </c>
      <c r="W2959" s="2" t="s">
        <v>38</v>
      </c>
      <c r="X2959" s="2" t="s">
        <v>39</v>
      </c>
      <c r="Y2959" s="2" t="s">
        <v>39</v>
      </c>
      <c r="Z2959" s="2" t="s">
        <v>38</v>
      </c>
      <c r="AA2959" s="2" t="s">
        <v>38</v>
      </c>
      <c r="AB2959" s="2" t="s">
        <v>39</v>
      </c>
      <c r="AC2959" s="2" t="s">
        <v>38</v>
      </c>
      <c r="AD2959" s="2" t="s">
        <v>39</v>
      </c>
      <c r="AE2959" s="2" t="s">
        <v>39</v>
      </c>
    </row>
    <row r="2960" spans="1:31" ht="409.5">
      <c r="A2960" s="2">
        <v>2706973</v>
      </c>
      <c r="B2960" s="2">
        <f>HYPERLINK("https://platform.v2.vetology.net/cases/2706973/screening-report/1?type=pdf&amp;v=v6&amp;scorecard=1&amp;secret_key=BX%25IJ%24%2F65ieZ%29f6", 2706973)</f>
        <v>2706973</v>
      </c>
      <c r="C2960" s="2">
        <f>HYPERLINK("https://platform.v2.vetology.net/report/v/final/"&amp;2706973, 2706973)</f>
        <v>2706973</v>
      </c>
      <c r="D2960" s="2" t="s">
        <v>9426</v>
      </c>
      <c r="E2960" s="2" t="s">
        <v>9427</v>
      </c>
      <c r="F2960" s="2" t="s">
        <v>9428</v>
      </c>
      <c r="G2960" s="2" t="s">
        <v>53</v>
      </c>
      <c r="H2960" s="2" t="s">
        <v>398</v>
      </c>
      <c r="I2960" s="2" t="s">
        <v>46</v>
      </c>
      <c r="J2960" s="2"/>
      <c r="K2960" s="2" t="s">
        <v>38</v>
      </c>
      <c r="L2960" s="2" t="s">
        <v>39</v>
      </c>
      <c r="M2960" s="2" t="s">
        <v>39</v>
      </c>
      <c r="N2960" s="2" t="s">
        <v>39</v>
      </c>
      <c r="O2960" s="2" t="s">
        <v>39</v>
      </c>
      <c r="P2960" s="2" t="s">
        <v>39</v>
      </c>
      <c r="Q2960" s="2" t="s">
        <v>39</v>
      </c>
      <c r="R2960" s="2" t="s">
        <v>39</v>
      </c>
      <c r="S2960" s="2" t="s">
        <v>39</v>
      </c>
      <c r="T2960" s="2" t="s">
        <v>39</v>
      </c>
      <c r="U2960" s="2" t="s">
        <v>39</v>
      </c>
      <c r="V2960" s="2" t="s">
        <v>38</v>
      </c>
      <c r="W2960" s="2" t="s">
        <v>39</v>
      </c>
      <c r="X2960" s="2" t="s">
        <v>39</v>
      </c>
      <c r="Y2960" s="2" t="s">
        <v>39</v>
      </c>
      <c r="Z2960" s="2" t="s">
        <v>39</v>
      </c>
      <c r="AA2960" s="2" t="s">
        <v>39</v>
      </c>
      <c r="AB2960" s="2" t="s">
        <v>39</v>
      </c>
      <c r="AC2960" s="2" t="s">
        <v>39</v>
      </c>
      <c r="AD2960" s="2" t="s">
        <v>39</v>
      </c>
      <c r="AE2960" s="2"/>
    </row>
    <row r="2961" spans="1:31" ht="409.5">
      <c r="A2961" s="2">
        <v>2706927</v>
      </c>
      <c r="B2961" s="2">
        <f>HYPERLINK("https://platform.v2.vetology.net/cases/2706927/screening-report/1?type=pdf&amp;v=v6&amp;scorecard=1&amp;secret_key=BX%25IJ%24%2F65ieZ%29f6", 2706927)</f>
        <v>2706927</v>
      </c>
      <c r="C2961" s="2">
        <f>HYPERLINK("https://platform.v2.vetology.net/report/v/final/"&amp;2706927, 2706927)</f>
        <v>2706927</v>
      </c>
      <c r="D2961" s="2" t="s">
        <v>9429</v>
      </c>
      <c r="E2961" s="2" t="s">
        <v>9430</v>
      </c>
      <c r="F2961" s="2" t="s">
        <v>2340</v>
      </c>
      <c r="G2961" s="2" t="s">
        <v>170</v>
      </c>
      <c r="H2961" s="2" t="s">
        <v>9431</v>
      </c>
      <c r="I2961" s="2" t="s">
        <v>257</v>
      </c>
      <c r="J2961" s="2" t="s">
        <v>74</v>
      </c>
      <c r="K2961" s="2" t="s">
        <v>38</v>
      </c>
      <c r="L2961" s="2" t="s">
        <v>38</v>
      </c>
      <c r="M2961" s="2" t="s">
        <v>38</v>
      </c>
      <c r="N2961" s="2" t="s">
        <v>38</v>
      </c>
      <c r="O2961" s="2" t="s">
        <v>38</v>
      </c>
      <c r="P2961" s="2" t="s">
        <v>38</v>
      </c>
      <c r="Q2961" s="2" t="s">
        <v>38</v>
      </c>
      <c r="R2961" s="2" t="s">
        <v>38</v>
      </c>
      <c r="S2961" s="2" t="s">
        <v>38</v>
      </c>
      <c r="T2961" s="2" t="s">
        <v>38</v>
      </c>
      <c r="U2961" s="2" t="s">
        <v>38</v>
      </c>
      <c r="V2961" s="2" t="s">
        <v>38</v>
      </c>
      <c r="W2961" s="2" t="s">
        <v>38</v>
      </c>
      <c r="X2961" s="2" t="s">
        <v>38</v>
      </c>
      <c r="Y2961" s="2" t="s">
        <v>38</v>
      </c>
      <c r="Z2961" s="2" t="s">
        <v>38</v>
      </c>
      <c r="AA2961" s="2" t="s">
        <v>38</v>
      </c>
      <c r="AB2961" s="2" t="s">
        <v>38</v>
      </c>
      <c r="AC2961" s="2" t="s">
        <v>38</v>
      </c>
      <c r="AD2961" s="2" t="s">
        <v>38</v>
      </c>
      <c r="AE2961" s="2" t="s">
        <v>39</v>
      </c>
    </row>
    <row r="2962" spans="1:31" ht="409.5">
      <c r="A2962" s="2">
        <v>2706914</v>
      </c>
      <c r="B2962" s="2">
        <f>HYPERLINK("https://platform.v2.vetology.net/cases/2706914/screening-report/1?type=pdf&amp;v=v6&amp;scorecard=1&amp;secret_key=BX%25IJ%24%2F65ieZ%29f6", 2706914)</f>
        <v>2706914</v>
      </c>
      <c r="C2962" s="2">
        <f>HYPERLINK("https://platform.v2.vetology.net/report/v/final/"&amp;2706914, 2706914)</f>
        <v>2706914</v>
      </c>
      <c r="D2962" s="2" t="s">
        <v>9432</v>
      </c>
      <c r="E2962" s="2" t="s">
        <v>9433</v>
      </c>
      <c r="F2962" s="2" t="s">
        <v>3629</v>
      </c>
      <c r="G2962" s="2" t="s">
        <v>251</v>
      </c>
      <c r="H2962" s="2" t="s">
        <v>45</v>
      </c>
      <c r="I2962" s="2" t="s">
        <v>46</v>
      </c>
      <c r="J2962" s="2"/>
      <c r="K2962" s="2" t="s">
        <v>39</v>
      </c>
      <c r="L2962" s="2" t="s">
        <v>39</v>
      </c>
      <c r="M2962" s="2" t="s">
        <v>39</v>
      </c>
      <c r="N2962" s="2" t="s">
        <v>39</v>
      </c>
      <c r="O2962" s="2" t="s">
        <v>39</v>
      </c>
      <c r="P2962" s="2" t="s">
        <v>39</v>
      </c>
      <c r="Q2962" s="2" t="s">
        <v>39</v>
      </c>
      <c r="R2962" s="2" t="s">
        <v>38</v>
      </c>
      <c r="S2962" s="2" t="s">
        <v>39</v>
      </c>
      <c r="T2962" s="2" t="s">
        <v>39</v>
      </c>
      <c r="U2962" s="2" t="s">
        <v>39</v>
      </c>
      <c r="V2962" s="2" t="s">
        <v>39</v>
      </c>
      <c r="W2962" s="2" t="s">
        <v>38</v>
      </c>
      <c r="X2962" s="2" t="s">
        <v>39</v>
      </c>
      <c r="Y2962" s="2" t="s">
        <v>39</v>
      </c>
      <c r="Z2962" s="2" t="s">
        <v>39</v>
      </c>
      <c r="AA2962" s="2" t="s">
        <v>39</v>
      </c>
      <c r="AB2962" s="2" t="s">
        <v>39</v>
      </c>
      <c r="AC2962" s="2" t="s">
        <v>38</v>
      </c>
      <c r="AD2962" s="2" t="s">
        <v>39</v>
      </c>
      <c r="AE2962" s="2" t="s">
        <v>39</v>
      </c>
    </row>
    <row r="2963" spans="1:31" ht="409.5">
      <c r="A2963" s="2">
        <v>2706911</v>
      </c>
      <c r="B2963" s="2">
        <f>HYPERLINK("https://platform.v2.vetology.net/cases/2706911/screening-report/1?type=pdf&amp;v=v6&amp;scorecard=1&amp;secret_key=BX%25IJ%24%2F65ieZ%29f6", 2706911)</f>
        <v>2706911</v>
      </c>
      <c r="C2963" s="2">
        <f>HYPERLINK("https://platform.v2.vetology.net/report/v/final/"&amp;2706911, 2706911)</f>
        <v>2706911</v>
      </c>
      <c r="D2963" s="2" t="s">
        <v>9434</v>
      </c>
      <c r="E2963" s="2" t="s">
        <v>9435</v>
      </c>
      <c r="F2963" s="2" t="s">
        <v>9436</v>
      </c>
      <c r="G2963" s="2" t="s">
        <v>53</v>
      </c>
      <c r="H2963" s="2" t="s">
        <v>3002</v>
      </c>
      <c r="I2963" s="2" t="s">
        <v>36</v>
      </c>
      <c r="J2963" s="2" t="s">
        <v>37</v>
      </c>
      <c r="K2963" s="2" t="s">
        <v>38</v>
      </c>
      <c r="L2963" s="2" t="s">
        <v>38</v>
      </c>
      <c r="M2963" s="2" t="s">
        <v>39</v>
      </c>
      <c r="N2963" s="2" t="s">
        <v>39</v>
      </c>
      <c r="O2963" s="2" t="s">
        <v>39</v>
      </c>
      <c r="P2963" s="2" t="s">
        <v>39</v>
      </c>
      <c r="Q2963" s="2" t="s">
        <v>39</v>
      </c>
      <c r="R2963" s="2" t="s">
        <v>38</v>
      </c>
      <c r="S2963" s="2" t="s">
        <v>38</v>
      </c>
      <c r="T2963" s="2" t="s">
        <v>39</v>
      </c>
      <c r="U2963" s="2" t="s">
        <v>38</v>
      </c>
      <c r="V2963" s="2" t="s">
        <v>38</v>
      </c>
      <c r="W2963" s="2" t="s">
        <v>38</v>
      </c>
      <c r="X2963" s="2" t="s">
        <v>39</v>
      </c>
      <c r="Y2963" s="2" t="s">
        <v>39</v>
      </c>
      <c r="Z2963" s="2" t="s">
        <v>38</v>
      </c>
      <c r="AA2963" s="2" t="s">
        <v>38</v>
      </c>
      <c r="AB2963" s="2" t="s">
        <v>39</v>
      </c>
      <c r="AC2963" s="2" t="s">
        <v>38</v>
      </c>
      <c r="AD2963" s="2" t="s">
        <v>38</v>
      </c>
      <c r="AE2963" s="2" t="s">
        <v>39</v>
      </c>
    </row>
    <row r="2964" spans="1:31" ht="409.5">
      <c r="A2964" s="2">
        <v>2706819</v>
      </c>
      <c r="B2964" s="2">
        <f>HYPERLINK("https://platform.v2.vetology.net/cases/2706819/screening-report/1?type=pdf&amp;v=v6&amp;scorecard=1&amp;secret_key=BX%25IJ%24%2F65ieZ%29f6", 2706819)</f>
        <v>2706819</v>
      </c>
      <c r="C2964" s="2">
        <f>HYPERLINK("https://platform.v2.vetology.net/report/v/final/"&amp;2706819, 2706819)</f>
        <v>2706819</v>
      </c>
      <c r="D2964" s="2" t="s">
        <v>9437</v>
      </c>
      <c r="E2964" s="2" t="s">
        <v>99</v>
      </c>
      <c r="F2964" s="2" t="s">
        <v>3048</v>
      </c>
      <c r="G2964" s="2" t="s">
        <v>100</v>
      </c>
      <c r="H2964" s="2" t="s">
        <v>449</v>
      </c>
      <c r="I2964" s="2" t="s">
        <v>36</v>
      </c>
      <c r="J2964" s="2" t="s">
        <v>37</v>
      </c>
      <c r="K2964" s="2" t="s">
        <v>39</v>
      </c>
      <c r="L2964" s="2" t="s">
        <v>38</v>
      </c>
      <c r="M2964" s="2" t="s">
        <v>39</v>
      </c>
      <c r="N2964" s="2" t="s">
        <v>38</v>
      </c>
      <c r="O2964" s="2" t="s">
        <v>38</v>
      </c>
      <c r="P2964" s="2" t="s">
        <v>39</v>
      </c>
      <c r="Q2964" s="2" t="s">
        <v>39</v>
      </c>
      <c r="R2964" s="2" t="s">
        <v>38</v>
      </c>
      <c r="S2964" s="2" t="s">
        <v>38</v>
      </c>
      <c r="T2964" s="2" t="s">
        <v>38</v>
      </c>
      <c r="U2964" s="2" t="s">
        <v>39</v>
      </c>
      <c r="V2964" s="2" t="s">
        <v>38</v>
      </c>
      <c r="W2964" s="2" t="s">
        <v>38</v>
      </c>
      <c r="X2964" s="2" t="s">
        <v>39</v>
      </c>
      <c r="Y2964" s="2" t="s">
        <v>39</v>
      </c>
      <c r="Z2964" s="2" t="s">
        <v>38</v>
      </c>
      <c r="AA2964" s="2" t="s">
        <v>38</v>
      </c>
      <c r="AB2964" s="2" t="s">
        <v>39</v>
      </c>
      <c r="AC2964" s="2" t="s">
        <v>38</v>
      </c>
      <c r="AD2964" s="2" t="s">
        <v>38</v>
      </c>
      <c r="AE2964" s="2" t="s">
        <v>39</v>
      </c>
    </row>
    <row r="2965" spans="1:31" ht="409.5">
      <c r="A2965" s="2">
        <v>2706771</v>
      </c>
      <c r="B2965" s="2">
        <f>HYPERLINK("https://platform.v2.vetology.net/cases/2706771/screening-report/1?type=pdf&amp;v=v6&amp;scorecard=1&amp;secret_key=BX%25IJ%24%2F65ieZ%29f6", 2706771)</f>
        <v>2706771</v>
      </c>
      <c r="C2965" s="2">
        <f>HYPERLINK("https://platform.v2.vetology.net/report/v/final/"&amp;2706771, 2706771)</f>
        <v>2706771</v>
      </c>
      <c r="D2965" s="2" t="s">
        <v>3694</v>
      </c>
      <c r="E2965" s="2" t="s">
        <v>1848</v>
      </c>
      <c r="F2965" s="2" t="s">
        <v>9438</v>
      </c>
      <c r="G2965" s="2" t="s">
        <v>111</v>
      </c>
      <c r="H2965" s="2" t="s">
        <v>8826</v>
      </c>
      <c r="I2965" s="2" t="s">
        <v>36</v>
      </c>
      <c r="J2965" s="2" t="s">
        <v>37</v>
      </c>
      <c r="K2965" s="2" t="s">
        <v>39</v>
      </c>
      <c r="L2965" s="2" t="s">
        <v>39</v>
      </c>
      <c r="M2965" s="2" t="s">
        <v>38</v>
      </c>
      <c r="N2965" s="2" t="s">
        <v>38</v>
      </c>
      <c r="O2965" s="2" t="s">
        <v>38</v>
      </c>
      <c r="P2965" s="2" t="s">
        <v>39</v>
      </c>
      <c r="Q2965" s="2" t="s">
        <v>39</v>
      </c>
      <c r="R2965" s="2" t="s">
        <v>39</v>
      </c>
      <c r="S2965" s="2" t="s">
        <v>39</v>
      </c>
      <c r="T2965" s="2" t="s">
        <v>38</v>
      </c>
      <c r="U2965" s="2" t="s">
        <v>39</v>
      </c>
      <c r="V2965" s="2" t="s">
        <v>38</v>
      </c>
      <c r="W2965" s="2" t="s">
        <v>38</v>
      </c>
      <c r="X2965" s="2" t="s">
        <v>38</v>
      </c>
      <c r="Y2965" s="2" t="s">
        <v>38</v>
      </c>
      <c r="Z2965" s="2" t="s">
        <v>38</v>
      </c>
      <c r="AA2965" s="2" t="s">
        <v>39</v>
      </c>
      <c r="AB2965" s="2" t="s">
        <v>38</v>
      </c>
      <c r="AC2965" s="2" t="s">
        <v>38</v>
      </c>
      <c r="AD2965" s="2" t="s">
        <v>39</v>
      </c>
      <c r="AE2965" s="2" t="s">
        <v>39</v>
      </c>
    </row>
    <row r="2966" spans="1:31" ht="409.5">
      <c r="A2966" s="2">
        <v>2706757</v>
      </c>
      <c r="B2966" s="2">
        <f>HYPERLINK("https://platform.v2.vetology.net/cases/2706757/screening-report/1?type=pdf&amp;v=v6&amp;scorecard=1&amp;secret_key=BX%25IJ%24%2F65ieZ%29f6", 2706757)</f>
        <v>2706757</v>
      </c>
      <c r="C2966" s="2">
        <f>HYPERLINK("https://platform.v2.vetology.net/report/v/final/"&amp;2706757, 2706757)</f>
        <v>2706757</v>
      </c>
      <c r="D2966" s="2" t="s">
        <v>9439</v>
      </c>
      <c r="E2966" s="2" t="s">
        <v>9440</v>
      </c>
      <c r="F2966" s="2" t="s">
        <v>43</v>
      </c>
      <c r="G2966" s="2" t="s">
        <v>44</v>
      </c>
      <c r="H2966" s="2" t="s">
        <v>97</v>
      </c>
      <c r="I2966" s="2" t="s">
        <v>59</v>
      </c>
      <c r="J2966" s="2" t="s">
        <v>37</v>
      </c>
      <c r="K2966" s="2" t="s">
        <v>38</v>
      </c>
      <c r="L2966" s="2" t="s">
        <v>39</v>
      </c>
      <c r="M2966" s="2" t="s">
        <v>39</v>
      </c>
      <c r="N2966" s="2" t="s">
        <v>39</v>
      </c>
      <c r="O2966" s="2" t="s">
        <v>39</v>
      </c>
      <c r="P2966" s="2" t="s">
        <v>39</v>
      </c>
      <c r="Q2966" s="2" t="s">
        <v>39</v>
      </c>
      <c r="R2966" s="2" t="s">
        <v>39</v>
      </c>
      <c r="S2966" s="2" t="s">
        <v>38</v>
      </c>
      <c r="T2966" s="2" t="s">
        <v>38</v>
      </c>
      <c r="U2966" s="2" t="s">
        <v>38</v>
      </c>
      <c r="V2966" s="2" t="s">
        <v>38</v>
      </c>
      <c r="W2966" s="2" t="s">
        <v>38</v>
      </c>
      <c r="X2966" s="2" t="s">
        <v>39</v>
      </c>
      <c r="Y2966" s="2" t="s">
        <v>39</v>
      </c>
      <c r="Z2966" s="2" t="s">
        <v>39</v>
      </c>
      <c r="AA2966" s="2" t="s">
        <v>38</v>
      </c>
      <c r="AB2966" s="2" t="s">
        <v>39</v>
      </c>
      <c r="AC2966" s="2" t="s">
        <v>38</v>
      </c>
      <c r="AD2966" s="2" t="s">
        <v>39</v>
      </c>
      <c r="AE2966" s="2" t="s">
        <v>40</v>
      </c>
    </row>
    <row r="2967" spans="1:31" ht="409.5">
      <c r="A2967" s="2">
        <v>2706755</v>
      </c>
      <c r="B2967" s="2">
        <f>HYPERLINK("https://platform.v2.vetology.net/cases/2706755/screening-report/1?type=pdf&amp;v=v6&amp;scorecard=1&amp;secret_key=BX%25IJ%24%2F65ieZ%29f6", 2706755)</f>
        <v>2706755</v>
      </c>
      <c r="C2967" s="2">
        <f>HYPERLINK("https://platform.v2.vetology.net/report/v/final/"&amp;2706755, 2706755)</f>
        <v>2706755</v>
      </c>
      <c r="D2967" s="2" t="s">
        <v>9441</v>
      </c>
      <c r="E2967" s="2" t="s">
        <v>9442</v>
      </c>
      <c r="F2967" s="2" t="s">
        <v>9443</v>
      </c>
      <c r="G2967" s="2" t="s">
        <v>556</v>
      </c>
      <c r="H2967" s="2" t="s">
        <v>2518</v>
      </c>
      <c r="I2967" s="2" t="s">
        <v>59</v>
      </c>
      <c r="J2967" s="2" t="s">
        <v>37</v>
      </c>
      <c r="K2967" s="2" t="s">
        <v>38</v>
      </c>
      <c r="L2967" s="2" t="s">
        <v>39</v>
      </c>
      <c r="M2967" s="2" t="s">
        <v>39</v>
      </c>
      <c r="N2967" s="2" t="s">
        <v>38</v>
      </c>
      <c r="O2967" s="2" t="s">
        <v>39</v>
      </c>
      <c r="P2967" s="2" t="s">
        <v>39</v>
      </c>
      <c r="Q2967" s="2" t="s">
        <v>39</v>
      </c>
      <c r="R2967" s="2" t="s">
        <v>39</v>
      </c>
      <c r="S2967" s="2" t="s">
        <v>39</v>
      </c>
      <c r="T2967" s="2" t="s">
        <v>39</v>
      </c>
      <c r="U2967" s="2" t="s">
        <v>38</v>
      </c>
      <c r="V2967" s="2" t="s">
        <v>38</v>
      </c>
      <c r="W2967" s="2" t="s">
        <v>39</v>
      </c>
      <c r="X2967" s="2" t="s">
        <v>39</v>
      </c>
      <c r="Y2967" s="2" t="s">
        <v>39</v>
      </c>
      <c r="Z2967" s="2" t="s">
        <v>39</v>
      </c>
      <c r="AA2967" s="2" t="s">
        <v>39</v>
      </c>
      <c r="AB2967" s="2" t="s">
        <v>39</v>
      </c>
      <c r="AC2967" s="2" t="s">
        <v>39</v>
      </c>
      <c r="AD2967" s="2" t="s">
        <v>38</v>
      </c>
      <c r="AE2967" s="2" t="s">
        <v>39</v>
      </c>
    </row>
    <row r="2968" spans="1:31" ht="409.5">
      <c r="A2968" s="2">
        <v>2706716</v>
      </c>
      <c r="B2968" s="2">
        <f>HYPERLINK("https://platform.v2.vetology.net/cases/2706716/screening-report/1?type=pdf&amp;v=v6&amp;scorecard=1&amp;secret_key=BX%25IJ%24%2F65ieZ%29f6", 2706716)</f>
        <v>2706716</v>
      </c>
      <c r="C2968" s="2">
        <f>HYPERLINK("https://platform.v2.vetology.net/report/v/final/"&amp;2706716, 2706716)</f>
        <v>2706716</v>
      </c>
      <c r="D2968" s="2" t="s">
        <v>9444</v>
      </c>
      <c r="E2968" s="2" t="s">
        <v>9445</v>
      </c>
      <c r="F2968" s="2" t="s">
        <v>9446</v>
      </c>
      <c r="G2968" s="2" t="s">
        <v>53</v>
      </c>
      <c r="H2968" s="2" t="s">
        <v>3121</v>
      </c>
      <c r="I2968" s="2" t="s">
        <v>36</v>
      </c>
      <c r="J2968" s="2" t="s">
        <v>37</v>
      </c>
      <c r="K2968" s="2" t="s">
        <v>38</v>
      </c>
      <c r="L2968" s="2" t="s">
        <v>38</v>
      </c>
      <c r="M2968" s="2" t="s">
        <v>39</v>
      </c>
      <c r="N2968" s="2" t="s">
        <v>38</v>
      </c>
      <c r="O2968" s="2" t="s">
        <v>38</v>
      </c>
      <c r="P2968" s="2" t="s">
        <v>39</v>
      </c>
      <c r="Q2968" s="2" t="s">
        <v>39</v>
      </c>
      <c r="R2968" s="2" t="s">
        <v>38</v>
      </c>
      <c r="S2968" s="2" t="s">
        <v>38</v>
      </c>
      <c r="T2968" s="2" t="s">
        <v>38</v>
      </c>
      <c r="U2968" s="2" t="s">
        <v>38</v>
      </c>
      <c r="V2968" s="2" t="s">
        <v>38</v>
      </c>
      <c r="W2968" s="2" t="s">
        <v>38</v>
      </c>
      <c r="X2968" s="2" t="s">
        <v>39</v>
      </c>
      <c r="Y2968" s="2" t="s">
        <v>38</v>
      </c>
      <c r="Z2968" s="2" t="s">
        <v>38</v>
      </c>
      <c r="AA2968" s="2" t="s">
        <v>38</v>
      </c>
      <c r="AB2968" s="2" t="s">
        <v>39</v>
      </c>
      <c r="AC2968" s="2" t="s">
        <v>38</v>
      </c>
      <c r="AD2968" s="2" t="s">
        <v>38</v>
      </c>
      <c r="AE2968" s="2" t="s">
        <v>40</v>
      </c>
    </row>
    <row r="2969" spans="1:31" ht="409.5">
      <c r="A2969" s="2">
        <v>2706667</v>
      </c>
      <c r="B2969" s="2">
        <f>HYPERLINK("https://platform.v2.vetology.net/cases/2706667/screening-report/1?type=pdf&amp;v=v6&amp;scorecard=1&amp;secret_key=BX%25IJ%24%2F65ieZ%29f6", 2706667)</f>
        <v>2706667</v>
      </c>
      <c r="C2969" s="2">
        <f>HYPERLINK("https://platform.v2.vetology.net/report/v/final/"&amp;2706667, 2706667)</f>
        <v>2706667</v>
      </c>
      <c r="D2969" s="2" t="s">
        <v>9447</v>
      </c>
      <c r="E2969" s="2" t="s">
        <v>1736</v>
      </c>
      <c r="F2969" s="2" t="s">
        <v>9448</v>
      </c>
      <c r="G2969" s="2" t="s">
        <v>111</v>
      </c>
      <c r="H2969" s="2" t="s">
        <v>1821</v>
      </c>
      <c r="I2969" s="2" t="s">
        <v>36</v>
      </c>
      <c r="J2969" s="2" t="s">
        <v>37</v>
      </c>
      <c r="K2969" s="2" t="s">
        <v>39</v>
      </c>
      <c r="L2969" s="2" t="s">
        <v>38</v>
      </c>
      <c r="M2969" s="2" t="s">
        <v>39</v>
      </c>
      <c r="N2969" s="2" t="s">
        <v>39</v>
      </c>
      <c r="O2969" s="2" t="s">
        <v>38</v>
      </c>
      <c r="P2969" s="2" t="s">
        <v>39</v>
      </c>
      <c r="Q2969" s="2" t="s">
        <v>39</v>
      </c>
      <c r="R2969" s="2" t="s">
        <v>39</v>
      </c>
      <c r="S2969" s="2" t="s">
        <v>38</v>
      </c>
      <c r="T2969" s="2" t="s">
        <v>39</v>
      </c>
      <c r="U2969" s="2" t="s">
        <v>39</v>
      </c>
      <c r="V2969" s="2" t="s">
        <v>39</v>
      </c>
      <c r="W2969" s="2" t="s">
        <v>39</v>
      </c>
      <c r="X2969" s="2" t="s">
        <v>39</v>
      </c>
      <c r="Y2969" s="2" t="s">
        <v>39</v>
      </c>
      <c r="Z2969" s="2" t="s">
        <v>38</v>
      </c>
      <c r="AA2969" s="2" t="s">
        <v>39</v>
      </c>
      <c r="AB2969" s="2" t="s">
        <v>39</v>
      </c>
      <c r="AC2969" s="2" t="s">
        <v>39</v>
      </c>
      <c r="AD2969" s="2" t="s">
        <v>38</v>
      </c>
      <c r="AE2969" s="2" t="s">
        <v>39</v>
      </c>
    </row>
    <row r="2970" spans="1:31" ht="409.5">
      <c r="A2970" s="2">
        <v>2706651</v>
      </c>
      <c r="B2970" s="2">
        <f>HYPERLINK("https://platform.v2.vetology.net/cases/2706651/screening-report/1?type=pdf&amp;v=v6&amp;scorecard=1&amp;secret_key=BX%25IJ%24%2F65ieZ%29f6", 2706651)</f>
        <v>2706651</v>
      </c>
      <c r="C2970" s="2">
        <f>HYPERLINK("https://platform.v2.vetology.net/report/v/final/"&amp;2706651, 2706651)</f>
        <v>2706651</v>
      </c>
      <c r="D2970" s="2" t="s">
        <v>9449</v>
      </c>
      <c r="E2970" s="2" t="s">
        <v>9450</v>
      </c>
      <c r="F2970" s="2" t="s">
        <v>43</v>
      </c>
      <c r="G2970" s="2" t="s">
        <v>100</v>
      </c>
      <c r="H2970" s="2" t="s">
        <v>9451</v>
      </c>
      <c r="I2970" s="2" t="s">
        <v>36</v>
      </c>
      <c r="J2970" s="2" t="s">
        <v>37</v>
      </c>
      <c r="K2970" s="2" t="s">
        <v>38</v>
      </c>
      <c r="L2970" s="2" t="s">
        <v>38</v>
      </c>
      <c r="M2970" s="2" t="s">
        <v>39</v>
      </c>
      <c r="N2970" s="2" t="s">
        <v>39</v>
      </c>
      <c r="O2970" s="2" t="s">
        <v>38</v>
      </c>
      <c r="P2970" s="2" t="s">
        <v>39</v>
      </c>
      <c r="Q2970" s="2" t="s">
        <v>39</v>
      </c>
      <c r="R2970" s="2" t="s">
        <v>38</v>
      </c>
      <c r="S2970" s="2" t="s">
        <v>39</v>
      </c>
      <c r="T2970" s="2" t="s">
        <v>39</v>
      </c>
      <c r="U2970" s="2" t="s">
        <v>39</v>
      </c>
      <c r="V2970" s="2" t="s">
        <v>39</v>
      </c>
      <c r="W2970" s="2" t="s">
        <v>38</v>
      </c>
      <c r="X2970" s="2" t="s">
        <v>39</v>
      </c>
      <c r="Y2970" s="2" t="s">
        <v>39</v>
      </c>
      <c r="Z2970" s="2" t="s">
        <v>38</v>
      </c>
      <c r="AA2970" s="2" t="s">
        <v>39</v>
      </c>
      <c r="AB2970" s="2" t="s">
        <v>39</v>
      </c>
      <c r="AC2970" s="2" t="s">
        <v>38</v>
      </c>
      <c r="AD2970" s="2" t="s">
        <v>39</v>
      </c>
      <c r="AE2970" s="2" t="s">
        <v>39</v>
      </c>
    </row>
    <row r="2971" spans="1:31" ht="409.5">
      <c r="A2971" s="2">
        <v>2706601</v>
      </c>
      <c r="B2971" s="2">
        <f>HYPERLINK("https://platform.v2.vetology.net/cases/2706601/screening-report/1?type=pdf&amp;v=v6&amp;scorecard=1&amp;secret_key=BX%25IJ%24%2F65ieZ%29f6", 2706601)</f>
        <v>2706601</v>
      </c>
      <c r="C2971" s="2">
        <f>HYPERLINK("https://platform.v2.vetology.net/report/v/final/"&amp;2706601, 2706601)</f>
        <v>2706601</v>
      </c>
      <c r="D2971" s="2" t="s">
        <v>9452</v>
      </c>
      <c r="E2971" s="2" t="s">
        <v>9453</v>
      </c>
      <c r="F2971" s="2" t="s">
        <v>9454</v>
      </c>
      <c r="G2971" s="2" t="s">
        <v>111</v>
      </c>
      <c r="H2971" s="2" t="s">
        <v>530</v>
      </c>
      <c r="I2971" s="2" t="s">
        <v>59</v>
      </c>
      <c r="J2971" s="2" t="s">
        <v>37</v>
      </c>
      <c r="K2971" s="2" t="s">
        <v>38</v>
      </c>
      <c r="L2971" s="2" t="s">
        <v>39</v>
      </c>
      <c r="M2971" s="2" t="s">
        <v>39</v>
      </c>
      <c r="N2971" s="2" t="s">
        <v>39</v>
      </c>
      <c r="O2971" s="2" t="s">
        <v>39</v>
      </c>
      <c r="P2971" s="2" t="s">
        <v>39</v>
      </c>
      <c r="Q2971" s="2" t="s">
        <v>39</v>
      </c>
      <c r="R2971" s="2" t="s">
        <v>39</v>
      </c>
      <c r="S2971" s="2" t="s">
        <v>39</v>
      </c>
      <c r="T2971" s="2" t="s">
        <v>39</v>
      </c>
      <c r="U2971" s="2" t="s">
        <v>39</v>
      </c>
      <c r="V2971" s="2" t="s">
        <v>38</v>
      </c>
      <c r="W2971" s="2" t="s">
        <v>38</v>
      </c>
      <c r="X2971" s="2" t="s">
        <v>39</v>
      </c>
      <c r="Y2971" s="2" t="s">
        <v>39</v>
      </c>
      <c r="Z2971" s="2" t="s">
        <v>39</v>
      </c>
      <c r="AA2971" s="2" t="s">
        <v>39</v>
      </c>
      <c r="AB2971" s="2" t="s">
        <v>39</v>
      </c>
      <c r="AC2971" s="2" t="s">
        <v>39</v>
      </c>
      <c r="AD2971" s="2" t="s">
        <v>39</v>
      </c>
      <c r="AE2971" s="2" t="s">
        <v>39</v>
      </c>
    </row>
    <row r="2972" spans="1:31" ht="409.5">
      <c r="A2972" s="2">
        <v>2706584</v>
      </c>
      <c r="B2972" s="2">
        <f>HYPERLINK("https://platform.v2.vetology.net/cases/2706584/screening-report/1?type=pdf&amp;v=v6&amp;scorecard=1&amp;secret_key=BX%25IJ%24%2F65ieZ%29f6", 2706584)</f>
        <v>2706584</v>
      </c>
      <c r="C2972" s="2">
        <f>HYPERLINK("https://platform.v2.vetology.net/report/v/final/"&amp;2706584, 2706584)</f>
        <v>2706584</v>
      </c>
      <c r="D2972" s="2" t="s">
        <v>9455</v>
      </c>
      <c r="E2972" s="2" t="s">
        <v>9456</v>
      </c>
      <c r="F2972" s="2" t="s">
        <v>9457</v>
      </c>
      <c r="G2972" s="2" t="s">
        <v>251</v>
      </c>
      <c r="H2972" s="2" t="s">
        <v>277</v>
      </c>
      <c r="I2972" s="2" t="s">
        <v>46</v>
      </c>
      <c r="J2972" s="2"/>
      <c r="K2972" s="2" t="s">
        <v>39</v>
      </c>
      <c r="L2972" s="2" t="s">
        <v>38</v>
      </c>
      <c r="M2972" s="2" t="s">
        <v>39</v>
      </c>
      <c r="N2972" s="2" t="s">
        <v>39</v>
      </c>
      <c r="O2972" s="2" t="s">
        <v>39</v>
      </c>
      <c r="P2972" s="2" t="s">
        <v>39</v>
      </c>
      <c r="Q2972" s="2" t="s">
        <v>39</v>
      </c>
      <c r="R2972" s="2" t="s">
        <v>39</v>
      </c>
      <c r="S2972" s="2" t="s">
        <v>39</v>
      </c>
      <c r="T2972" s="2" t="s">
        <v>39</v>
      </c>
      <c r="U2972" s="2" t="s">
        <v>39</v>
      </c>
      <c r="V2972" s="2" t="s">
        <v>39</v>
      </c>
      <c r="W2972" s="2" t="s">
        <v>39</v>
      </c>
      <c r="X2972" s="2" t="s">
        <v>39</v>
      </c>
      <c r="Y2972" s="2" t="s">
        <v>39</v>
      </c>
      <c r="Z2972" s="2" t="s">
        <v>39</v>
      </c>
      <c r="AA2972" s="2" t="s">
        <v>39</v>
      </c>
      <c r="AB2972" s="2" t="s">
        <v>39</v>
      </c>
      <c r="AC2972" s="2" t="s">
        <v>38</v>
      </c>
      <c r="AD2972" s="2" t="s">
        <v>38</v>
      </c>
      <c r="AE2972" s="2" t="s">
        <v>39</v>
      </c>
    </row>
    <row r="2973" spans="1:31" ht="409.5">
      <c r="A2973" s="2">
        <v>2706583</v>
      </c>
      <c r="B2973" s="2">
        <f>HYPERLINK("https://platform.v2.vetology.net/cases/2706583/screening-report/1?type=pdf&amp;v=v6&amp;scorecard=1&amp;secret_key=BX%25IJ%24%2F65ieZ%29f6", 2706583)</f>
        <v>2706583</v>
      </c>
      <c r="C2973" s="2">
        <f>HYPERLINK("https://platform.v2.vetology.net/report/v/final/"&amp;2706583, 2706583)</f>
        <v>2706583</v>
      </c>
      <c r="D2973" s="2" t="s">
        <v>9458</v>
      </c>
      <c r="E2973" s="2" t="s">
        <v>9459</v>
      </c>
      <c r="F2973" s="2" t="s">
        <v>9460</v>
      </c>
      <c r="G2973" s="2" t="s">
        <v>127</v>
      </c>
      <c r="H2973" s="2" t="s">
        <v>2003</v>
      </c>
      <c r="I2973" s="2" t="s">
        <v>46</v>
      </c>
      <c r="J2973" s="2"/>
      <c r="K2973" s="2" t="s">
        <v>39</v>
      </c>
      <c r="L2973" s="2" t="s">
        <v>38</v>
      </c>
      <c r="M2973" s="2" t="s">
        <v>39</v>
      </c>
      <c r="N2973" s="2" t="s">
        <v>39</v>
      </c>
      <c r="O2973" s="2" t="s">
        <v>39</v>
      </c>
      <c r="P2973" s="2" t="s">
        <v>39</v>
      </c>
      <c r="Q2973" s="2" t="s">
        <v>39</v>
      </c>
      <c r="R2973" s="2" t="s">
        <v>38</v>
      </c>
      <c r="S2973" s="2" t="s">
        <v>39</v>
      </c>
      <c r="T2973" s="2" t="s">
        <v>39</v>
      </c>
      <c r="U2973" s="2" t="s">
        <v>39</v>
      </c>
      <c r="V2973" s="2" t="s">
        <v>39</v>
      </c>
      <c r="W2973" s="2" t="s">
        <v>39</v>
      </c>
      <c r="X2973" s="2" t="s">
        <v>39</v>
      </c>
      <c r="Y2973" s="2" t="s">
        <v>39</v>
      </c>
      <c r="Z2973" s="2" t="s">
        <v>38</v>
      </c>
      <c r="AA2973" s="2" t="s">
        <v>39</v>
      </c>
      <c r="AB2973" s="2" t="s">
        <v>39</v>
      </c>
      <c r="AC2973" s="2" t="s">
        <v>39</v>
      </c>
      <c r="AD2973" s="2" t="s">
        <v>39</v>
      </c>
      <c r="AE2973" s="2" t="s">
        <v>39</v>
      </c>
    </row>
    <row r="2974" spans="1:31" ht="409.5">
      <c r="A2974" s="2">
        <v>2706531</v>
      </c>
      <c r="B2974" s="2">
        <f>HYPERLINK("https://platform.v2.vetology.net/cases/2706531/screening-report/1?type=pdf&amp;v=v6&amp;scorecard=1&amp;secret_key=BX%25IJ%24%2F65ieZ%29f6", 2706531)</f>
        <v>2706531</v>
      </c>
      <c r="C2974" s="2">
        <f>HYPERLINK("https://platform.v2.vetology.net/report/v/final/"&amp;2706531, 2706531)</f>
        <v>2706531</v>
      </c>
      <c r="D2974" s="2" t="s">
        <v>9461</v>
      </c>
      <c r="E2974" s="2" t="s">
        <v>9462</v>
      </c>
      <c r="F2974" s="2" t="s">
        <v>9463</v>
      </c>
      <c r="G2974" s="2" t="s">
        <v>53</v>
      </c>
      <c r="H2974" s="2" t="s">
        <v>9464</v>
      </c>
      <c r="I2974" s="2" t="s">
        <v>36</v>
      </c>
      <c r="J2974" s="2" t="s">
        <v>37</v>
      </c>
      <c r="K2974" s="2" t="s">
        <v>38</v>
      </c>
      <c r="L2974" s="2" t="s">
        <v>38</v>
      </c>
      <c r="M2974" s="2" t="s">
        <v>39</v>
      </c>
      <c r="N2974" s="2" t="s">
        <v>38</v>
      </c>
      <c r="O2974" s="2" t="s">
        <v>38</v>
      </c>
      <c r="P2974" s="2" t="s">
        <v>39</v>
      </c>
      <c r="Q2974" s="2" t="s">
        <v>39</v>
      </c>
      <c r="R2974" s="2" t="s">
        <v>39</v>
      </c>
      <c r="S2974" s="2" t="s">
        <v>39</v>
      </c>
      <c r="T2974" s="2" t="s">
        <v>39</v>
      </c>
      <c r="U2974" s="2" t="s">
        <v>38</v>
      </c>
      <c r="V2974" s="2" t="s">
        <v>38</v>
      </c>
      <c r="W2974" s="2" t="s">
        <v>39</v>
      </c>
      <c r="X2974" s="2" t="s">
        <v>39</v>
      </c>
      <c r="Y2974" s="2" t="s">
        <v>39</v>
      </c>
      <c r="Z2974" s="2" t="s">
        <v>39</v>
      </c>
      <c r="AA2974" s="2" t="s">
        <v>39</v>
      </c>
      <c r="AB2974" s="2" t="s">
        <v>39</v>
      </c>
      <c r="AC2974" s="2" t="s">
        <v>39</v>
      </c>
      <c r="AD2974" s="2" t="s">
        <v>38</v>
      </c>
      <c r="AE2974" s="2" t="s">
        <v>39</v>
      </c>
    </row>
    <row r="2975" spans="1:31" ht="409.5">
      <c r="A2975" s="2">
        <v>2706526</v>
      </c>
      <c r="B2975" s="2">
        <f>HYPERLINK("https://platform.v2.vetology.net/cases/2706526/screening-report/1?type=pdf&amp;v=v6&amp;scorecard=1&amp;secret_key=BX%25IJ%24%2F65ieZ%29f6", 2706526)</f>
        <v>2706526</v>
      </c>
      <c r="C2975" s="2">
        <f>HYPERLINK("https://platform.v2.vetology.net/report/v/final/"&amp;2706526, 2706526)</f>
        <v>2706526</v>
      </c>
      <c r="D2975" s="2" t="s">
        <v>9465</v>
      </c>
      <c r="E2975" s="2" t="s">
        <v>9466</v>
      </c>
      <c r="F2975" s="2" t="s">
        <v>9467</v>
      </c>
      <c r="G2975" s="2" t="s">
        <v>111</v>
      </c>
      <c r="H2975" s="2" t="s">
        <v>9468</v>
      </c>
      <c r="I2975" s="2" t="s">
        <v>36</v>
      </c>
      <c r="J2975" s="2" t="s">
        <v>37</v>
      </c>
      <c r="K2975" s="2" t="s">
        <v>39</v>
      </c>
      <c r="L2975" s="2" t="s">
        <v>38</v>
      </c>
      <c r="M2975" s="2" t="s">
        <v>38</v>
      </c>
      <c r="N2975" s="2" t="s">
        <v>38</v>
      </c>
      <c r="O2975" s="2" t="s">
        <v>38</v>
      </c>
      <c r="P2975" s="2" t="s">
        <v>39</v>
      </c>
      <c r="Q2975" s="2" t="s">
        <v>39</v>
      </c>
      <c r="R2975" s="2" t="s">
        <v>38</v>
      </c>
      <c r="S2975" s="2" t="s">
        <v>38</v>
      </c>
      <c r="T2975" s="2" t="s">
        <v>38</v>
      </c>
      <c r="U2975" s="2" t="s">
        <v>39</v>
      </c>
      <c r="V2975" s="2" t="s">
        <v>39</v>
      </c>
      <c r="W2975" s="2" t="s">
        <v>38</v>
      </c>
      <c r="X2975" s="2" t="s">
        <v>39</v>
      </c>
      <c r="Y2975" s="2" t="s">
        <v>38</v>
      </c>
      <c r="Z2975" s="2" t="s">
        <v>38</v>
      </c>
      <c r="AA2975" s="2" t="s">
        <v>38</v>
      </c>
      <c r="AB2975" s="2" t="s">
        <v>39</v>
      </c>
      <c r="AC2975" s="2" t="s">
        <v>38</v>
      </c>
      <c r="AD2975" s="2" t="s">
        <v>38</v>
      </c>
      <c r="AE2975" s="2"/>
    </row>
    <row r="2976" spans="1:31" ht="409.5">
      <c r="A2976" s="2">
        <v>2706517</v>
      </c>
      <c r="B2976" s="2">
        <f>HYPERLINK("https://platform.v2.vetology.net/cases/2706517/screening-report/1?type=pdf&amp;v=v6&amp;scorecard=1&amp;secret_key=BX%25IJ%24%2F65ieZ%29f6", 2706517)</f>
        <v>2706517</v>
      </c>
      <c r="C2976" s="2">
        <f>HYPERLINK("https://platform.v2.vetology.net/report/v/final/"&amp;2706517, 2706517)</f>
        <v>2706517</v>
      </c>
      <c r="D2976" s="2" t="s">
        <v>9469</v>
      </c>
      <c r="E2976" s="2" t="s">
        <v>9470</v>
      </c>
      <c r="F2976" s="2" t="s">
        <v>9471</v>
      </c>
      <c r="G2976" s="2" t="s">
        <v>53</v>
      </c>
      <c r="H2976" s="2" t="s">
        <v>394</v>
      </c>
      <c r="I2976" s="2" t="s">
        <v>59</v>
      </c>
      <c r="J2976" s="2" t="s">
        <v>37</v>
      </c>
      <c r="K2976" s="2" t="s">
        <v>38</v>
      </c>
      <c r="L2976" s="2" t="s">
        <v>39</v>
      </c>
      <c r="M2976" s="2" t="s">
        <v>39</v>
      </c>
      <c r="N2976" s="2" t="s">
        <v>39</v>
      </c>
      <c r="O2976" s="2" t="s">
        <v>39</v>
      </c>
      <c r="P2976" s="2" t="s">
        <v>39</v>
      </c>
      <c r="Q2976" s="2" t="s">
        <v>39</v>
      </c>
      <c r="R2976" s="2" t="s">
        <v>39</v>
      </c>
      <c r="S2976" s="2" t="s">
        <v>39</v>
      </c>
      <c r="T2976" s="2" t="s">
        <v>39</v>
      </c>
      <c r="U2976" s="2" t="s">
        <v>39</v>
      </c>
      <c r="V2976" s="2" t="s">
        <v>38</v>
      </c>
      <c r="W2976" s="2" t="s">
        <v>39</v>
      </c>
      <c r="X2976" s="2" t="s">
        <v>39</v>
      </c>
      <c r="Y2976" s="2" t="s">
        <v>39</v>
      </c>
      <c r="Z2976" s="2" t="s">
        <v>39</v>
      </c>
      <c r="AA2976" s="2" t="s">
        <v>39</v>
      </c>
      <c r="AB2976" s="2" t="s">
        <v>39</v>
      </c>
      <c r="AC2976" s="2" t="s">
        <v>39</v>
      </c>
      <c r="AD2976" s="2" t="s">
        <v>38</v>
      </c>
      <c r="AE2976" s="2" t="s">
        <v>39</v>
      </c>
    </row>
    <row r="2977" spans="1:31" ht="409.5">
      <c r="A2977" s="2">
        <v>2706462</v>
      </c>
      <c r="B2977" s="2">
        <f>HYPERLINK("https://platform.v2.vetology.net/cases/2706462/screening-report/1?type=pdf&amp;v=v6&amp;scorecard=1&amp;secret_key=BX%25IJ%24%2F65ieZ%29f6", 2706462)</f>
        <v>2706462</v>
      </c>
      <c r="C2977" s="2">
        <f>HYPERLINK("https://platform.v2.vetology.net/report/v/final/"&amp;2706462, 2706462)</f>
        <v>2706462</v>
      </c>
      <c r="D2977" s="2" t="s">
        <v>9472</v>
      </c>
      <c r="E2977" s="2" t="s">
        <v>9473</v>
      </c>
      <c r="F2977" s="2" t="s">
        <v>43</v>
      </c>
      <c r="G2977" s="2" t="s">
        <v>507</v>
      </c>
      <c r="H2977" s="2" t="s">
        <v>9474</v>
      </c>
      <c r="I2977" s="2" t="s">
        <v>257</v>
      </c>
      <c r="J2977" s="2" t="s">
        <v>74</v>
      </c>
      <c r="K2977" s="2" t="s">
        <v>38</v>
      </c>
      <c r="L2977" s="2" t="s">
        <v>38</v>
      </c>
      <c r="M2977" s="2" t="s">
        <v>38</v>
      </c>
      <c r="N2977" s="2" t="s">
        <v>38</v>
      </c>
      <c r="O2977" s="2" t="s">
        <v>38</v>
      </c>
      <c r="P2977" s="2" t="s">
        <v>38</v>
      </c>
      <c r="Q2977" s="2" t="s">
        <v>38</v>
      </c>
      <c r="R2977" s="2" t="s">
        <v>38</v>
      </c>
      <c r="S2977" s="2" t="s">
        <v>38</v>
      </c>
      <c r="T2977" s="2" t="s">
        <v>38</v>
      </c>
      <c r="U2977" s="2" t="s">
        <v>38</v>
      </c>
      <c r="V2977" s="2" t="s">
        <v>38</v>
      </c>
      <c r="W2977" s="2" t="s">
        <v>38</v>
      </c>
      <c r="X2977" s="2" t="s">
        <v>38</v>
      </c>
      <c r="Y2977" s="2" t="s">
        <v>39</v>
      </c>
      <c r="Z2977" s="2" t="s">
        <v>38</v>
      </c>
      <c r="AA2977" s="2" t="s">
        <v>38</v>
      </c>
      <c r="AB2977" s="2" t="s">
        <v>38</v>
      </c>
      <c r="AC2977" s="2" t="s">
        <v>38</v>
      </c>
      <c r="AD2977" s="2" t="s">
        <v>38</v>
      </c>
      <c r="AE2977" s="2" t="s">
        <v>39</v>
      </c>
    </row>
    <row r="2978" spans="1:31" ht="409.5">
      <c r="A2978" s="2">
        <v>2706455</v>
      </c>
      <c r="B2978" s="2">
        <f>HYPERLINK("https://platform.v2.vetology.net/cases/2706455/screening-report/1?type=pdf&amp;v=v6&amp;scorecard=1&amp;secret_key=BX%25IJ%24%2F65ieZ%29f6", 2706455)</f>
        <v>2706455</v>
      </c>
      <c r="C2978" s="2">
        <f>HYPERLINK("https://platform.v2.vetology.net/report/v/final/"&amp;2706455, 2706455)</f>
        <v>2706455</v>
      </c>
      <c r="D2978" s="2" t="s">
        <v>9475</v>
      </c>
      <c r="E2978" s="2" t="s">
        <v>9476</v>
      </c>
      <c r="F2978" s="2" t="s">
        <v>9477</v>
      </c>
      <c r="G2978" s="2" t="s">
        <v>170</v>
      </c>
      <c r="H2978" s="2" t="s">
        <v>9478</v>
      </c>
      <c r="I2978" s="2" t="s">
        <v>129</v>
      </c>
      <c r="J2978" s="2" t="s">
        <v>74</v>
      </c>
      <c r="K2978" s="2" t="s">
        <v>38</v>
      </c>
      <c r="L2978" s="2" t="s">
        <v>38</v>
      </c>
      <c r="M2978" s="2" t="s">
        <v>39</v>
      </c>
      <c r="N2978" s="2" t="s">
        <v>38</v>
      </c>
      <c r="O2978" s="2" t="s">
        <v>38</v>
      </c>
      <c r="P2978" s="2" t="s">
        <v>38</v>
      </c>
      <c r="Q2978" s="2" t="s">
        <v>38</v>
      </c>
      <c r="R2978" s="2" t="s">
        <v>39</v>
      </c>
      <c r="S2978" s="2" t="s">
        <v>39</v>
      </c>
      <c r="T2978" s="2" t="s">
        <v>38</v>
      </c>
      <c r="U2978" s="2" t="s">
        <v>39</v>
      </c>
      <c r="V2978" s="2" t="s">
        <v>39</v>
      </c>
      <c r="W2978" s="2" t="s">
        <v>39</v>
      </c>
      <c r="X2978" s="2" t="s">
        <v>38</v>
      </c>
      <c r="Y2978" s="2" t="s">
        <v>39</v>
      </c>
      <c r="Z2978" s="2" t="s">
        <v>39</v>
      </c>
      <c r="AA2978" s="2" t="s">
        <v>39</v>
      </c>
      <c r="AB2978" s="2" t="s">
        <v>38</v>
      </c>
      <c r="AC2978" s="2" t="s">
        <v>39</v>
      </c>
      <c r="AD2978" s="2" t="s">
        <v>39</v>
      </c>
      <c r="AE2978" s="2" t="s">
        <v>39</v>
      </c>
    </row>
    <row r="2979" spans="1:31" ht="409.5">
      <c r="A2979" s="2">
        <v>2706410</v>
      </c>
      <c r="B2979" s="2">
        <f>HYPERLINK("https://platform.v2.vetology.net/cases/2706410/screening-report/1?type=pdf&amp;v=v6&amp;scorecard=1&amp;secret_key=BX%25IJ%24%2F65ieZ%29f6", 2706410)</f>
        <v>2706410</v>
      </c>
      <c r="C2979" s="2">
        <f>HYPERLINK("https://platform.v2.vetology.net/report/v/final/"&amp;2706410, 2706410)</f>
        <v>2706410</v>
      </c>
      <c r="D2979" s="2" t="s">
        <v>9479</v>
      </c>
      <c r="E2979" s="2" t="s">
        <v>854</v>
      </c>
      <c r="F2979" s="2" t="s">
        <v>9480</v>
      </c>
      <c r="G2979" s="2" t="s">
        <v>111</v>
      </c>
      <c r="H2979" s="2" t="s">
        <v>158</v>
      </c>
      <c r="I2979" s="2" t="s">
        <v>59</v>
      </c>
      <c r="J2979" s="2" t="s">
        <v>37</v>
      </c>
      <c r="K2979" s="2" t="s">
        <v>38</v>
      </c>
      <c r="L2979" s="2" t="s">
        <v>39</v>
      </c>
      <c r="M2979" s="2" t="s">
        <v>39</v>
      </c>
      <c r="N2979" s="2" t="s">
        <v>39</v>
      </c>
      <c r="O2979" s="2" t="s">
        <v>39</v>
      </c>
      <c r="P2979" s="2" t="s">
        <v>39</v>
      </c>
      <c r="Q2979" s="2" t="s">
        <v>39</v>
      </c>
      <c r="R2979" s="2" t="s">
        <v>39</v>
      </c>
      <c r="S2979" s="2" t="s">
        <v>39</v>
      </c>
      <c r="T2979" s="2" t="s">
        <v>39</v>
      </c>
      <c r="U2979" s="2" t="s">
        <v>39</v>
      </c>
      <c r="V2979" s="2" t="s">
        <v>39</v>
      </c>
      <c r="W2979" s="2" t="s">
        <v>39</v>
      </c>
      <c r="X2979" s="2" t="s">
        <v>39</v>
      </c>
      <c r="Y2979" s="2" t="s">
        <v>39</v>
      </c>
      <c r="Z2979" s="2" t="s">
        <v>39</v>
      </c>
      <c r="AA2979" s="2" t="s">
        <v>39</v>
      </c>
      <c r="AB2979" s="2" t="s">
        <v>39</v>
      </c>
      <c r="AC2979" s="2" t="s">
        <v>39</v>
      </c>
      <c r="AD2979" s="2" t="s">
        <v>39</v>
      </c>
      <c r="AE2979" s="2"/>
    </row>
    <row r="2980" spans="1:31" ht="409.5">
      <c r="A2980" s="2">
        <v>2706335</v>
      </c>
      <c r="B2980" s="2">
        <f>HYPERLINK("https://platform.v2.vetology.net/cases/2706335/screening-report/1?type=pdf&amp;v=v6&amp;scorecard=1&amp;secret_key=BX%25IJ%24%2F65ieZ%29f6", 2706335)</f>
        <v>2706335</v>
      </c>
      <c r="C2980" s="2">
        <f>HYPERLINK("https://platform.v2.vetology.net/report/v/final/"&amp;2706335, 2706335)</f>
        <v>2706335</v>
      </c>
      <c r="D2980" s="2" t="s">
        <v>9481</v>
      </c>
      <c r="E2980" s="2" t="s">
        <v>9482</v>
      </c>
      <c r="F2980" s="2" t="s">
        <v>9483</v>
      </c>
      <c r="G2980" s="2" t="s">
        <v>170</v>
      </c>
      <c r="H2980" s="2" t="s">
        <v>69</v>
      </c>
      <c r="I2980" s="2" t="s">
        <v>46</v>
      </c>
      <c r="J2980" s="2"/>
      <c r="K2980" s="2" t="s">
        <v>39</v>
      </c>
      <c r="L2980" s="2" t="s">
        <v>39</v>
      </c>
      <c r="M2980" s="2" t="s">
        <v>39</v>
      </c>
      <c r="N2980" s="2" t="s">
        <v>39</v>
      </c>
      <c r="O2980" s="2" t="s">
        <v>38</v>
      </c>
      <c r="P2980" s="2" t="s">
        <v>39</v>
      </c>
      <c r="Q2980" s="2" t="s">
        <v>39</v>
      </c>
      <c r="R2980" s="2" t="s">
        <v>39</v>
      </c>
      <c r="S2980" s="2" t="s">
        <v>39</v>
      </c>
      <c r="T2980" s="2" t="s">
        <v>39</v>
      </c>
      <c r="U2980" s="2" t="s">
        <v>39</v>
      </c>
      <c r="V2980" s="2" t="s">
        <v>39</v>
      </c>
      <c r="W2980" s="2" t="s">
        <v>39</v>
      </c>
      <c r="X2980" s="2" t="s">
        <v>39</v>
      </c>
      <c r="Y2980" s="2" t="s">
        <v>39</v>
      </c>
      <c r="Z2980" s="2" t="s">
        <v>38</v>
      </c>
      <c r="AA2980" s="2" t="s">
        <v>39</v>
      </c>
      <c r="AB2980" s="2" t="s">
        <v>39</v>
      </c>
      <c r="AC2980" s="2" t="s">
        <v>39</v>
      </c>
      <c r="AD2980" s="2" t="s">
        <v>38</v>
      </c>
      <c r="AE2980" s="2" t="s">
        <v>39</v>
      </c>
    </row>
    <row r="2981" spans="1:31" ht="409.5">
      <c r="A2981" s="2">
        <v>2706330</v>
      </c>
      <c r="B2981" s="2">
        <f>HYPERLINK("https://platform.v2.vetology.net/cases/2706330/screening-report/1?type=pdf&amp;v=v6&amp;scorecard=1&amp;secret_key=BX%25IJ%24%2F65ieZ%29f6", 2706330)</f>
        <v>2706330</v>
      </c>
      <c r="C2981" s="2">
        <f>HYPERLINK("https://platform.v2.vetology.net/report/v/final/"&amp;2706330, 2706330)</f>
        <v>2706330</v>
      </c>
      <c r="D2981" s="2" t="s">
        <v>9484</v>
      </c>
      <c r="E2981" s="2" t="s">
        <v>9485</v>
      </c>
      <c r="F2981" s="2" t="s">
        <v>9486</v>
      </c>
      <c r="G2981" s="2" t="s">
        <v>44</v>
      </c>
      <c r="H2981" s="2" t="s">
        <v>9487</v>
      </c>
      <c r="I2981" s="2" t="s">
        <v>73</v>
      </c>
      <c r="J2981" s="2" t="s">
        <v>74</v>
      </c>
      <c r="K2981" s="2" t="s">
        <v>38</v>
      </c>
      <c r="L2981" s="2" t="s">
        <v>38</v>
      </c>
      <c r="M2981" s="2" t="s">
        <v>38</v>
      </c>
      <c r="N2981" s="2" t="s">
        <v>38</v>
      </c>
      <c r="O2981" s="2" t="s">
        <v>38</v>
      </c>
      <c r="P2981" s="2" t="s">
        <v>38</v>
      </c>
      <c r="Q2981" s="2" t="s">
        <v>38</v>
      </c>
      <c r="R2981" s="2" t="s">
        <v>38</v>
      </c>
      <c r="S2981" s="2" t="s">
        <v>38</v>
      </c>
      <c r="T2981" s="2" t="s">
        <v>38</v>
      </c>
      <c r="U2981" s="2" t="s">
        <v>38</v>
      </c>
      <c r="V2981" s="2" t="s">
        <v>38</v>
      </c>
      <c r="W2981" s="2" t="s">
        <v>38</v>
      </c>
      <c r="X2981" s="2" t="s">
        <v>38</v>
      </c>
      <c r="Y2981" s="2" t="s">
        <v>38</v>
      </c>
      <c r="Z2981" s="2" t="s">
        <v>38</v>
      </c>
      <c r="AA2981" s="2" t="s">
        <v>38</v>
      </c>
      <c r="AB2981" s="2" t="s">
        <v>38</v>
      </c>
      <c r="AC2981" s="2" t="s">
        <v>38</v>
      </c>
      <c r="AD2981" s="2" t="s">
        <v>39</v>
      </c>
      <c r="AE2981" s="2" t="s">
        <v>40</v>
      </c>
    </row>
    <row r="2982" spans="1:31" ht="409.5">
      <c r="A2982" s="2">
        <v>2706324</v>
      </c>
      <c r="B2982" s="2">
        <f>HYPERLINK("https://platform.v2.vetology.net/cases/2706324/screening-report/1?type=pdf&amp;v=v6&amp;scorecard=1&amp;secret_key=BX%25IJ%24%2F65ieZ%29f6", 2706324)</f>
        <v>2706324</v>
      </c>
      <c r="C2982" s="2">
        <f>HYPERLINK("https://platform.v2.vetology.net/report/v/final/"&amp;2706324, 2706324)</f>
        <v>2706324</v>
      </c>
      <c r="D2982" s="2" t="s">
        <v>9488</v>
      </c>
      <c r="E2982" s="2" t="s">
        <v>9489</v>
      </c>
      <c r="F2982" s="2" t="s">
        <v>9490</v>
      </c>
      <c r="G2982" s="2" t="s">
        <v>34</v>
      </c>
      <c r="H2982" s="2" t="s">
        <v>9491</v>
      </c>
      <c r="I2982" s="2" t="s">
        <v>257</v>
      </c>
      <c r="J2982" s="2" t="s">
        <v>74</v>
      </c>
      <c r="K2982" s="2" t="s">
        <v>38</v>
      </c>
      <c r="L2982" s="2" t="s">
        <v>38</v>
      </c>
      <c r="M2982" s="2" t="s">
        <v>38</v>
      </c>
      <c r="N2982" s="2" t="s">
        <v>38</v>
      </c>
      <c r="O2982" s="2" t="s">
        <v>38</v>
      </c>
      <c r="P2982" s="2" t="s">
        <v>38</v>
      </c>
      <c r="Q2982" s="2" t="s">
        <v>38</v>
      </c>
      <c r="R2982" s="2" t="s">
        <v>38</v>
      </c>
      <c r="S2982" s="2" t="s">
        <v>38</v>
      </c>
      <c r="T2982" s="2" t="s">
        <v>38</v>
      </c>
      <c r="U2982" s="2" t="s">
        <v>38</v>
      </c>
      <c r="V2982" s="2" t="s">
        <v>38</v>
      </c>
      <c r="W2982" s="2" t="s">
        <v>38</v>
      </c>
      <c r="X2982" s="2" t="s">
        <v>38</v>
      </c>
      <c r="Y2982" s="2" t="s">
        <v>39</v>
      </c>
      <c r="Z2982" s="2" t="s">
        <v>38</v>
      </c>
      <c r="AA2982" s="2" t="s">
        <v>38</v>
      </c>
      <c r="AB2982" s="2" t="s">
        <v>38</v>
      </c>
      <c r="AC2982" s="2" t="s">
        <v>38</v>
      </c>
      <c r="AD2982" s="2" t="s">
        <v>38</v>
      </c>
      <c r="AE2982" s="2" t="s">
        <v>40</v>
      </c>
    </row>
    <row r="2983" spans="1:31" ht="409.5">
      <c r="A2983" s="2">
        <v>2706297</v>
      </c>
      <c r="B2983" s="2">
        <f>HYPERLINK("https://platform.v2.vetology.net/cases/2706297/screening-report/1?type=pdf&amp;v=v6&amp;scorecard=1&amp;secret_key=BX%25IJ%24%2F65ieZ%29f6", 2706297)</f>
        <v>2706297</v>
      </c>
      <c r="C2983" s="2">
        <f>HYPERLINK("https://platform.v2.vetology.net/report/v/final/"&amp;2706297, 2706297)</f>
        <v>2706297</v>
      </c>
      <c r="D2983" s="2" t="s">
        <v>9492</v>
      </c>
      <c r="E2983" s="2" t="s">
        <v>9493</v>
      </c>
      <c r="F2983" s="2" t="s">
        <v>43</v>
      </c>
      <c r="G2983" s="2" t="s">
        <v>44</v>
      </c>
      <c r="H2983" s="2" t="s">
        <v>9494</v>
      </c>
      <c r="I2983" s="2" t="s">
        <v>36</v>
      </c>
      <c r="J2983" s="2" t="s">
        <v>37</v>
      </c>
      <c r="K2983" s="2" t="s">
        <v>38</v>
      </c>
      <c r="L2983" s="2" t="s">
        <v>38</v>
      </c>
      <c r="M2983" s="2" t="s">
        <v>38</v>
      </c>
      <c r="N2983" s="2" t="s">
        <v>38</v>
      </c>
      <c r="O2983" s="2" t="s">
        <v>38</v>
      </c>
      <c r="P2983" s="2" t="s">
        <v>38</v>
      </c>
      <c r="Q2983" s="2" t="s">
        <v>39</v>
      </c>
      <c r="R2983" s="2" t="s">
        <v>39</v>
      </c>
      <c r="S2983" s="2" t="s">
        <v>38</v>
      </c>
      <c r="T2983" s="2" t="s">
        <v>38</v>
      </c>
      <c r="U2983" s="2" t="s">
        <v>39</v>
      </c>
      <c r="V2983" s="2" t="s">
        <v>38</v>
      </c>
      <c r="W2983" s="2" t="s">
        <v>38</v>
      </c>
      <c r="X2983" s="2" t="s">
        <v>38</v>
      </c>
      <c r="Y2983" s="2" t="s">
        <v>38</v>
      </c>
      <c r="Z2983" s="2" t="s">
        <v>38</v>
      </c>
      <c r="AA2983" s="2" t="s">
        <v>38</v>
      </c>
      <c r="AB2983" s="2" t="s">
        <v>39</v>
      </c>
      <c r="AC2983" s="2" t="s">
        <v>38</v>
      </c>
      <c r="AD2983" s="2" t="s">
        <v>38</v>
      </c>
      <c r="AE2983" s="2" t="s">
        <v>40</v>
      </c>
    </row>
    <row r="2984" spans="1:31" ht="409.5">
      <c r="A2984" s="2">
        <v>2706275</v>
      </c>
      <c r="B2984" s="2">
        <f>HYPERLINK("https://platform.v2.vetology.net/cases/2706275/screening-report/1?type=pdf&amp;v=v6&amp;scorecard=1&amp;secret_key=BX%25IJ%24%2F65ieZ%29f6", 2706275)</f>
        <v>2706275</v>
      </c>
      <c r="C2984" s="2">
        <f>HYPERLINK("https://platform.v2.vetology.net/report/v/final/"&amp;2706275, 2706275)</f>
        <v>2706275</v>
      </c>
      <c r="D2984" s="2" t="s">
        <v>9495</v>
      </c>
      <c r="E2984" s="2" t="s">
        <v>9496</v>
      </c>
      <c r="F2984" s="2"/>
      <c r="G2984" s="2" t="s">
        <v>100</v>
      </c>
      <c r="H2984" s="2" t="s">
        <v>9497</v>
      </c>
      <c r="I2984" s="2" t="s">
        <v>129</v>
      </c>
      <c r="J2984" s="2" t="s">
        <v>74</v>
      </c>
      <c r="K2984" s="2" t="s">
        <v>39</v>
      </c>
      <c r="L2984" s="2" t="s">
        <v>38</v>
      </c>
      <c r="M2984" s="2" t="s">
        <v>39</v>
      </c>
      <c r="N2984" s="2" t="s">
        <v>39</v>
      </c>
      <c r="O2984" s="2" t="s">
        <v>39</v>
      </c>
      <c r="P2984" s="2" t="s">
        <v>39</v>
      </c>
      <c r="Q2984" s="2" t="s">
        <v>38</v>
      </c>
      <c r="R2984" s="2" t="s">
        <v>39</v>
      </c>
      <c r="S2984" s="2" t="s">
        <v>38</v>
      </c>
      <c r="T2984" s="2" t="s">
        <v>38</v>
      </c>
      <c r="U2984" s="2" t="s">
        <v>39</v>
      </c>
      <c r="V2984" s="2" t="s">
        <v>39</v>
      </c>
      <c r="W2984" s="2" t="s">
        <v>39</v>
      </c>
      <c r="X2984" s="2" t="s">
        <v>38</v>
      </c>
      <c r="Y2984" s="2" t="s">
        <v>39</v>
      </c>
      <c r="Z2984" s="2" t="s">
        <v>38</v>
      </c>
      <c r="AA2984" s="2" t="s">
        <v>39</v>
      </c>
      <c r="AB2984" s="2" t="s">
        <v>38</v>
      </c>
      <c r="AC2984" s="2" t="s">
        <v>38</v>
      </c>
      <c r="AD2984" s="2" t="s">
        <v>39</v>
      </c>
      <c r="AE2984" s="2" t="s">
        <v>40</v>
      </c>
    </row>
    <row r="2985" spans="1:31" ht="409.5">
      <c r="A2985" s="2">
        <v>2706247</v>
      </c>
      <c r="B2985" s="2">
        <f>HYPERLINK("https://platform.v2.vetology.net/cases/2706247/screening-report/1?type=pdf&amp;v=v6&amp;scorecard=1&amp;secret_key=BX%25IJ%24%2F65ieZ%29f6", 2706247)</f>
        <v>2706247</v>
      </c>
      <c r="C2985" s="2">
        <f>HYPERLINK("https://platform.v2.vetology.net/report/v/final/"&amp;2706247, 2706247)</f>
        <v>2706247</v>
      </c>
      <c r="D2985" s="2" t="s">
        <v>9498</v>
      </c>
      <c r="E2985" s="2" t="s">
        <v>9499</v>
      </c>
      <c r="F2985" s="2" t="s">
        <v>4029</v>
      </c>
      <c r="G2985" s="2" t="s">
        <v>111</v>
      </c>
      <c r="H2985" s="2" t="s">
        <v>9500</v>
      </c>
      <c r="I2985" s="2" t="s">
        <v>257</v>
      </c>
      <c r="J2985" s="2" t="s">
        <v>74</v>
      </c>
      <c r="K2985" s="2" t="s">
        <v>38</v>
      </c>
      <c r="L2985" s="2" t="s">
        <v>38</v>
      </c>
      <c r="M2985" s="2" t="s">
        <v>38</v>
      </c>
      <c r="N2985" s="2" t="s">
        <v>38</v>
      </c>
      <c r="O2985" s="2" t="s">
        <v>38</v>
      </c>
      <c r="P2985" s="2" t="s">
        <v>38</v>
      </c>
      <c r="Q2985" s="2" t="s">
        <v>38</v>
      </c>
      <c r="R2985" s="2" t="s">
        <v>38</v>
      </c>
      <c r="S2985" s="2" t="s">
        <v>38</v>
      </c>
      <c r="T2985" s="2" t="s">
        <v>38</v>
      </c>
      <c r="U2985" s="2" t="s">
        <v>38</v>
      </c>
      <c r="V2985" s="2" t="s">
        <v>38</v>
      </c>
      <c r="W2985" s="2" t="s">
        <v>38</v>
      </c>
      <c r="X2985" s="2" t="s">
        <v>38</v>
      </c>
      <c r="Y2985" s="2" t="s">
        <v>38</v>
      </c>
      <c r="Z2985" s="2" t="s">
        <v>38</v>
      </c>
      <c r="AA2985" s="2" t="s">
        <v>38</v>
      </c>
      <c r="AB2985" s="2" t="s">
        <v>38</v>
      </c>
      <c r="AC2985" s="2" t="s">
        <v>38</v>
      </c>
      <c r="AD2985" s="2" t="s">
        <v>38</v>
      </c>
      <c r="AE2985" s="2" t="s">
        <v>40</v>
      </c>
    </row>
    <row r="2986" spans="1:31" ht="409.5">
      <c r="A2986" s="2">
        <v>2706238</v>
      </c>
      <c r="B2986" s="2">
        <f>HYPERLINK("https://platform.v2.vetology.net/cases/2706238/screening-report/1?type=pdf&amp;v=v6&amp;scorecard=1&amp;secret_key=BX%25IJ%24%2F65ieZ%29f6", 2706238)</f>
        <v>2706238</v>
      </c>
      <c r="C2986" s="2">
        <f>HYPERLINK("https://platform.v2.vetology.net/report/v/final/"&amp;2706238, 2706238)</f>
        <v>2706238</v>
      </c>
      <c r="D2986" s="2" t="s">
        <v>9501</v>
      </c>
      <c r="E2986" s="2" t="s">
        <v>9502</v>
      </c>
      <c r="F2986" s="2" t="s">
        <v>9503</v>
      </c>
      <c r="G2986" s="2" t="s">
        <v>53</v>
      </c>
      <c r="H2986" s="2" t="s">
        <v>9110</v>
      </c>
      <c r="I2986" s="2" t="s">
        <v>36</v>
      </c>
      <c r="J2986" s="2" t="s">
        <v>37</v>
      </c>
      <c r="K2986" s="2" t="s">
        <v>38</v>
      </c>
      <c r="L2986" s="2" t="s">
        <v>38</v>
      </c>
      <c r="M2986" s="2" t="s">
        <v>39</v>
      </c>
      <c r="N2986" s="2" t="s">
        <v>38</v>
      </c>
      <c r="O2986" s="2" t="s">
        <v>39</v>
      </c>
      <c r="P2986" s="2" t="s">
        <v>39</v>
      </c>
      <c r="Q2986" s="2" t="s">
        <v>39</v>
      </c>
      <c r="R2986" s="2" t="s">
        <v>38</v>
      </c>
      <c r="S2986" s="2" t="s">
        <v>38</v>
      </c>
      <c r="T2986" s="2" t="s">
        <v>39</v>
      </c>
      <c r="U2986" s="2" t="s">
        <v>38</v>
      </c>
      <c r="V2986" s="2" t="s">
        <v>38</v>
      </c>
      <c r="W2986" s="2" t="s">
        <v>38</v>
      </c>
      <c r="X2986" s="2" t="s">
        <v>39</v>
      </c>
      <c r="Y2986" s="2" t="s">
        <v>39</v>
      </c>
      <c r="Z2986" s="2" t="s">
        <v>39</v>
      </c>
      <c r="AA2986" s="2" t="s">
        <v>39</v>
      </c>
      <c r="AB2986" s="2" t="s">
        <v>39</v>
      </c>
      <c r="AC2986" s="2" t="s">
        <v>38</v>
      </c>
      <c r="AD2986" s="2" t="s">
        <v>38</v>
      </c>
      <c r="AE2986" s="2" t="s">
        <v>39</v>
      </c>
    </row>
    <row r="2987" spans="1:31" ht="409.5">
      <c r="A2987" s="2">
        <v>2706206</v>
      </c>
      <c r="B2987" s="2">
        <f>HYPERLINK("https://platform.v2.vetology.net/cases/2706206/screening-report/1?type=pdf&amp;v=v6&amp;scorecard=1&amp;secret_key=BX%25IJ%24%2F65ieZ%29f6", 2706206)</f>
        <v>2706206</v>
      </c>
      <c r="C2987" s="2">
        <f>HYPERLINK("https://platform.v2.vetology.net/report/v/final/"&amp;2706206, 2706206)</f>
        <v>2706206</v>
      </c>
      <c r="D2987" s="2" t="s">
        <v>9504</v>
      </c>
      <c r="E2987" s="2" t="s">
        <v>9505</v>
      </c>
      <c r="F2987" s="2" t="s">
        <v>9506</v>
      </c>
      <c r="G2987" s="2" t="s">
        <v>34</v>
      </c>
      <c r="H2987" s="2" t="s">
        <v>9507</v>
      </c>
      <c r="I2987" s="2" t="s">
        <v>36</v>
      </c>
      <c r="J2987" s="2" t="s">
        <v>37</v>
      </c>
      <c r="K2987" s="2" t="s">
        <v>38</v>
      </c>
      <c r="L2987" s="2" t="s">
        <v>38</v>
      </c>
      <c r="M2987" s="2" t="s">
        <v>38</v>
      </c>
      <c r="N2987" s="2" t="s">
        <v>38</v>
      </c>
      <c r="O2987" s="2" t="s">
        <v>38</v>
      </c>
      <c r="P2987" s="2" t="s">
        <v>39</v>
      </c>
      <c r="Q2987" s="2" t="s">
        <v>39</v>
      </c>
      <c r="R2987" s="2" t="s">
        <v>38</v>
      </c>
      <c r="S2987" s="2" t="s">
        <v>38</v>
      </c>
      <c r="T2987" s="2" t="s">
        <v>39</v>
      </c>
      <c r="U2987" s="2" t="s">
        <v>38</v>
      </c>
      <c r="V2987" s="2" t="s">
        <v>38</v>
      </c>
      <c r="W2987" s="2" t="s">
        <v>38</v>
      </c>
      <c r="X2987" s="2" t="s">
        <v>39</v>
      </c>
      <c r="Y2987" s="2" t="s">
        <v>39</v>
      </c>
      <c r="Z2987" s="2" t="s">
        <v>38</v>
      </c>
      <c r="AA2987" s="2" t="s">
        <v>38</v>
      </c>
      <c r="AB2987" s="2" t="s">
        <v>39</v>
      </c>
      <c r="AC2987" s="2" t="s">
        <v>38</v>
      </c>
      <c r="AD2987" s="2" t="s">
        <v>38</v>
      </c>
      <c r="AE2987" s="2"/>
    </row>
    <row r="2988" spans="1:31" ht="409.5">
      <c r="A2988" s="2">
        <v>2706185</v>
      </c>
      <c r="B2988" s="2">
        <f>HYPERLINK("https://platform.v2.vetology.net/cases/2706185/screening-report/1?type=pdf&amp;v=v6&amp;scorecard=1&amp;secret_key=BX%25IJ%24%2F65ieZ%29f6", 2706185)</f>
        <v>2706185</v>
      </c>
      <c r="C2988" s="2">
        <f>HYPERLINK("https://platform.v2.vetology.net/report/v/final/"&amp;2706185, 2706185)</f>
        <v>2706185</v>
      </c>
      <c r="D2988" s="2" t="s">
        <v>9508</v>
      </c>
      <c r="E2988" s="2" t="s">
        <v>9509</v>
      </c>
      <c r="F2988" s="2" t="s">
        <v>43</v>
      </c>
      <c r="G2988" s="2" t="s">
        <v>44</v>
      </c>
      <c r="H2988" s="2" t="s">
        <v>5196</v>
      </c>
      <c r="I2988" s="2" t="s">
        <v>36</v>
      </c>
      <c r="J2988" s="2" t="s">
        <v>37</v>
      </c>
      <c r="K2988" s="2" t="s">
        <v>38</v>
      </c>
      <c r="L2988" s="2" t="s">
        <v>38</v>
      </c>
      <c r="M2988" s="2" t="s">
        <v>39</v>
      </c>
      <c r="N2988" s="2" t="s">
        <v>39</v>
      </c>
      <c r="O2988" s="2" t="s">
        <v>38</v>
      </c>
      <c r="P2988" s="2" t="s">
        <v>39</v>
      </c>
      <c r="Q2988" s="2" t="s">
        <v>39</v>
      </c>
      <c r="R2988" s="2" t="s">
        <v>38</v>
      </c>
      <c r="S2988" s="2" t="s">
        <v>39</v>
      </c>
      <c r="T2988" s="2" t="s">
        <v>39</v>
      </c>
      <c r="U2988" s="2" t="s">
        <v>38</v>
      </c>
      <c r="V2988" s="2" t="s">
        <v>38</v>
      </c>
      <c r="W2988" s="2" t="s">
        <v>38</v>
      </c>
      <c r="X2988" s="2" t="s">
        <v>39</v>
      </c>
      <c r="Y2988" s="2" t="s">
        <v>39</v>
      </c>
      <c r="Z2988" s="2" t="s">
        <v>39</v>
      </c>
      <c r="AA2988" s="2" t="s">
        <v>39</v>
      </c>
      <c r="AB2988" s="2" t="s">
        <v>39</v>
      </c>
      <c r="AC2988" s="2" t="s">
        <v>38</v>
      </c>
      <c r="AD2988" s="2" t="s">
        <v>39</v>
      </c>
      <c r="AE2988" s="2" t="s">
        <v>40</v>
      </c>
    </row>
    <row r="2989" spans="1:31" ht="409.5">
      <c r="A2989" s="2">
        <v>2706171</v>
      </c>
      <c r="B2989" s="2">
        <f>HYPERLINK("https://platform.v2.vetology.net/cases/2706171/screening-report/1?type=pdf&amp;v=v6&amp;scorecard=1&amp;secret_key=BX%25IJ%24%2F65ieZ%29f6", 2706171)</f>
        <v>2706171</v>
      </c>
      <c r="C2989" s="2">
        <f>HYPERLINK("https://platform.v2.vetology.net/report/v/final/"&amp;2706171, 2706171)</f>
        <v>2706171</v>
      </c>
      <c r="D2989" s="2" t="s">
        <v>9510</v>
      </c>
      <c r="E2989" s="2" t="s">
        <v>9511</v>
      </c>
      <c r="F2989" s="2" t="s">
        <v>9512</v>
      </c>
      <c r="G2989" s="2" t="s">
        <v>415</v>
      </c>
      <c r="H2989" s="2" t="s">
        <v>69</v>
      </c>
      <c r="I2989" s="2" t="s">
        <v>46</v>
      </c>
      <c r="J2989" s="2"/>
      <c r="K2989" s="2" t="s">
        <v>39</v>
      </c>
      <c r="L2989" s="2" t="s">
        <v>39</v>
      </c>
      <c r="M2989" s="2" t="s">
        <v>39</v>
      </c>
      <c r="N2989" s="2" t="s">
        <v>39</v>
      </c>
      <c r="O2989" s="2" t="s">
        <v>39</v>
      </c>
      <c r="P2989" s="2" t="s">
        <v>39</v>
      </c>
      <c r="Q2989" s="2" t="s">
        <v>39</v>
      </c>
      <c r="R2989" s="2" t="s">
        <v>39</v>
      </c>
      <c r="S2989" s="2" t="s">
        <v>39</v>
      </c>
      <c r="T2989" s="2" t="s">
        <v>39</v>
      </c>
      <c r="U2989" s="2" t="s">
        <v>39</v>
      </c>
      <c r="V2989" s="2" t="s">
        <v>39</v>
      </c>
      <c r="W2989" s="2" t="s">
        <v>39</v>
      </c>
      <c r="X2989" s="2" t="s">
        <v>39</v>
      </c>
      <c r="Y2989" s="2" t="s">
        <v>39</v>
      </c>
      <c r="Z2989" s="2" t="s">
        <v>39</v>
      </c>
      <c r="AA2989" s="2" t="s">
        <v>39</v>
      </c>
      <c r="AB2989" s="2" t="s">
        <v>39</v>
      </c>
      <c r="AC2989" s="2" t="s">
        <v>38</v>
      </c>
      <c r="AD2989" s="2" t="s">
        <v>39</v>
      </c>
      <c r="AE2989" s="2" t="s">
        <v>39</v>
      </c>
    </row>
    <row r="2990" spans="1:31" ht="409.5">
      <c r="A2990" s="2">
        <v>2706117</v>
      </c>
      <c r="B2990" s="2">
        <f>HYPERLINK("https://platform.v2.vetology.net/cases/2706117/screening-report/1?type=pdf&amp;v=v6&amp;scorecard=1&amp;secret_key=BX%25IJ%24%2F65ieZ%29f6", 2706117)</f>
        <v>2706117</v>
      </c>
      <c r="C2990" s="2">
        <f>HYPERLINK("https://platform.v2.vetology.net/report/v/final/"&amp;2706117, 2706117)</f>
        <v>2706117</v>
      </c>
      <c r="D2990" s="2" t="s">
        <v>9513</v>
      </c>
      <c r="E2990" s="2" t="s">
        <v>9514</v>
      </c>
      <c r="F2990" s="2" t="s">
        <v>229</v>
      </c>
      <c r="G2990" s="2" t="s">
        <v>170</v>
      </c>
      <c r="H2990" s="2" t="s">
        <v>8026</v>
      </c>
      <c r="I2990" s="2" t="s">
        <v>813</v>
      </c>
      <c r="J2990" s="2" t="s">
        <v>37</v>
      </c>
      <c r="K2990" s="2" t="s">
        <v>39</v>
      </c>
      <c r="L2990" s="2" t="s">
        <v>39</v>
      </c>
      <c r="M2990" s="2" t="s">
        <v>39</v>
      </c>
      <c r="N2990" s="2" t="s">
        <v>39</v>
      </c>
      <c r="O2990" s="2" t="s">
        <v>39</v>
      </c>
      <c r="P2990" s="2" t="s">
        <v>39</v>
      </c>
      <c r="Q2990" s="2" t="s">
        <v>39</v>
      </c>
      <c r="R2990" s="2" t="s">
        <v>38</v>
      </c>
      <c r="S2990" s="2" t="s">
        <v>38</v>
      </c>
      <c r="T2990" s="2" t="s">
        <v>39</v>
      </c>
      <c r="U2990" s="2" t="s">
        <v>39</v>
      </c>
      <c r="V2990" s="2" t="s">
        <v>39</v>
      </c>
      <c r="W2990" s="2" t="s">
        <v>39</v>
      </c>
      <c r="X2990" s="2" t="s">
        <v>39</v>
      </c>
      <c r="Y2990" s="2" t="s">
        <v>39</v>
      </c>
      <c r="Z2990" s="2" t="s">
        <v>39</v>
      </c>
      <c r="AA2990" s="2" t="s">
        <v>39</v>
      </c>
      <c r="AB2990" s="2" t="s">
        <v>39</v>
      </c>
      <c r="AC2990" s="2" t="s">
        <v>38</v>
      </c>
      <c r="AD2990" s="2" t="s">
        <v>38</v>
      </c>
      <c r="AE2990" s="2" t="s">
        <v>39</v>
      </c>
    </row>
    <row r="2991" spans="1:31" ht="409.5">
      <c r="A2991" s="2">
        <v>2706089</v>
      </c>
      <c r="B2991" s="2">
        <f>HYPERLINK("https://platform.v2.vetology.net/cases/2706089/screening-report/1?type=pdf&amp;v=v6&amp;scorecard=1&amp;secret_key=BX%25IJ%24%2F65ieZ%29f6", 2706089)</f>
        <v>2706089</v>
      </c>
      <c r="C2991" s="2">
        <f>HYPERLINK("https://platform.v2.vetology.net/report/v/final/"&amp;2706089, 2706089)</f>
        <v>2706089</v>
      </c>
      <c r="D2991" s="2" t="s">
        <v>9515</v>
      </c>
      <c r="E2991" s="2" t="s">
        <v>9516</v>
      </c>
      <c r="F2991" s="2" t="s">
        <v>4849</v>
      </c>
      <c r="G2991" s="2" t="s">
        <v>170</v>
      </c>
      <c r="H2991" s="2" t="s">
        <v>9517</v>
      </c>
      <c r="I2991" s="2" t="s">
        <v>73</v>
      </c>
      <c r="J2991" s="2" t="s">
        <v>74</v>
      </c>
      <c r="K2991" s="2" t="s">
        <v>38</v>
      </c>
      <c r="L2991" s="2" t="s">
        <v>38</v>
      </c>
      <c r="M2991" s="2" t="s">
        <v>38</v>
      </c>
      <c r="N2991" s="2" t="s">
        <v>38</v>
      </c>
      <c r="O2991" s="2" t="s">
        <v>38</v>
      </c>
      <c r="P2991" s="2" t="s">
        <v>38</v>
      </c>
      <c r="Q2991" s="2" t="s">
        <v>38</v>
      </c>
      <c r="R2991" s="2" t="s">
        <v>39</v>
      </c>
      <c r="S2991" s="2" t="s">
        <v>38</v>
      </c>
      <c r="T2991" s="2" t="s">
        <v>38</v>
      </c>
      <c r="U2991" s="2" t="s">
        <v>39</v>
      </c>
      <c r="V2991" s="2" t="s">
        <v>39</v>
      </c>
      <c r="W2991" s="2" t="s">
        <v>38</v>
      </c>
      <c r="X2991" s="2" t="s">
        <v>38</v>
      </c>
      <c r="Y2991" s="2" t="s">
        <v>38</v>
      </c>
      <c r="Z2991" s="2" t="s">
        <v>38</v>
      </c>
      <c r="AA2991" s="2" t="s">
        <v>38</v>
      </c>
      <c r="AB2991" s="2" t="s">
        <v>38</v>
      </c>
      <c r="AC2991" s="2" t="s">
        <v>38</v>
      </c>
      <c r="AD2991" s="2" t="s">
        <v>38</v>
      </c>
      <c r="AE2991" s="2" t="s">
        <v>40</v>
      </c>
    </row>
    <row r="2992" spans="1:31" ht="409.5">
      <c r="A2992" s="2">
        <v>2706057</v>
      </c>
      <c r="B2992" s="2">
        <f>HYPERLINK("https://platform.v2.vetology.net/cases/2706057/screening-report/1?type=pdf&amp;v=v6&amp;scorecard=1&amp;secret_key=BX%25IJ%24%2F65ieZ%29f6", 2706057)</f>
        <v>2706057</v>
      </c>
      <c r="C2992" s="2">
        <f>HYPERLINK("https://platform.v2.vetology.net/report/v/final/"&amp;2706057, 2706057)</f>
        <v>2706057</v>
      </c>
      <c r="D2992" s="2" t="s">
        <v>9518</v>
      </c>
      <c r="E2992" s="2" t="s">
        <v>5257</v>
      </c>
      <c r="F2992" s="2" t="s">
        <v>174</v>
      </c>
      <c r="G2992" s="2" t="s">
        <v>170</v>
      </c>
      <c r="H2992" s="2" t="s">
        <v>859</v>
      </c>
      <c r="I2992" s="2" t="s">
        <v>36</v>
      </c>
      <c r="J2992" s="2" t="s">
        <v>37</v>
      </c>
      <c r="K2992" s="2" t="s">
        <v>39</v>
      </c>
      <c r="L2992" s="2" t="s">
        <v>38</v>
      </c>
      <c r="M2992" s="2" t="s">
        <v>39</v>
      </c>
      <c r="N2992" s="2" t="s">
        <v>38</v>
      </c>
      <c r="O2992" s="2" t="s">
        <v>39</v>
      </c>
      <c r="P2992" s="2" t="s">
        <v>39</v>
      </c>
      <c r="Q2992" s="2" t="s">
        <v>39</v>
      </c>
      <c r="R2992" s="2" t="s">
        <v>38</v>
      </c>
      <c r="S2992" s="2" t="s">
        <v>38</v>
      </c>
      <c r="T2992" s="2" t="s">
        <v>39</v>
      </c>
      <c r="U2992" s="2" t="s">
        <v>39</v>
      </c>
      <c r="V2992" s="2" t="s">
        <v>39</v>
      </c>
      <c r="W2992" s="2" t="s">
        <v>38</v>
      </c>
      <c r="X2992" s="2" t="s">
        <v>38</v>
      </c>
      <c r="Y2992" s="2" t="s">
        <v>39</v>
      </c>
      <c r="Z2992" s="2" t="s">
        <v>38</v>
      </c>
      <c r="AA2992" s="2" t="s">
        <v>39</v>
      </c>
      <c r="AB2992" s="2" t="s">
        <v>38</v>
      </c>
      <c r="AC2992" s="2" t="s">
        <v>38</v>
      </c>
      <c r="AD2992" s="2" t="s">
        <v>38</v>
      </c>
      <c r="AE2992" s="2" t="s">
        <v>40</v>
      </c>
    </row>
    <row r="2993" spans="1:31" ht="409.5">
      <c r="A2993" s="2">
        <v>2706054</v>
      </c>
      <c r="B2993" s="2">
        <f>HYPERLINK("https://platform.v2.vetology.net/cases/2706054/screening-report/1?type=pdf&amp;v=v6&amp;scorecard=1&amp;secret_key=BX%25IJ%24%2F65ieZ%29f6", 2706054)</f>
        <v>2706054</v>
      </c>
      <c r="C2993" s="2">
        <f>HYPERLINK("https://platform.v2.vetology.net/report/v/final/"&amp;2706054, 2706054)</f>
        <v>2706054</v>
      </c>
      <c r="D2993" s="2" t="s">
        <v>9519</v>
      </c>
      <c r="E2993" s="2" t="s">
        <v>9520</v>
      </c>
      <c r="F2993" s="2" t="s">
        <v>43</v>
      </c>
      <c r="G2993" s="2" t="s">
        <v>100</v>
      </c>
      <c r="H2993" s="2" t="s">
        <v>9521</v>
      </c>
      <c r="I2993" s="2" t="s">
        <v>73</v>
      </c>
      <c r="J2993" s="2" t="s">
        <v>74</v>
      </c>
      <c r="K2993" s="2" t="s">
        <v>38</v>
      </c>
      <c r="L2993" s="2" t="s">
        <v>38</v>
      </c>
      <c r="M2993" s="2" t="s">
        <v>38</v>
      </c>
      <c r="N2993" s="2" t="s">
        <v>38</v>
      </c>
      <c r="O2993" s="2" t="s">
        <v>38</v>
      </c>
      <c r="P2993" s="2" t="s">
        <v>38</v>
      </c>
      <c r="Q2993" s="2" t="s">
        <v>38</v>
      </c>
      <c r="R2993" s="2" t="s">
        <v>39</v>
      </c>
      <c r="S2993" s="2" t="s">
        <v>38</v>
      </c>
      <c r="T2993" s="2" t="s">
        <v>38</v>
      </c>
      <c r="U2993" s="2" t="s">
        <v>38</v>
      </c>
      <c r="V2993" s="2" t="s">
        <v>38</v>
      </c>
      <c r="W2993" s="2" t="s">
        <v>38</v>
      </c>
      <c r="X2993" s="2" t="s">
        <v>38</v>
      </c>
      <c r="Y2993" s="2" t="s">
        <v>38</v>
      </c>
      <c r="Z2993" s="2" t="s">
        <v>38</v>
      </c>
      <c r="AA2993" s="2" t="s">
        <v>39</v>
      </c>
      <c r="AB2993" s="2" t="s">
        <v>38</v>
      </c>
      <c r="AC2993" s="2" t="s">
        <v>38</v>
      </c>
      <c r="AD2993" s="2" t="s">
        <v>38</v>
      </c>
      <c r="AE2993" s="2"/>
    </row>
    <row r="2994" spans="1:31" ht="409.5">
      <c r="A2994" s="2">
        <v>2706050</v>
      </c>
      <c r="B2994" s="2">
        <f>HYPERLINK("https://platform.v2.vetology.net/cases/2706050/screening-report/1?type=pdf&amp;v=v6&amp;scorecard=1&amp;secret_key=BX%25IJ%24%2F65ieZ%29f6", 2706050)</f>
        <v>2706050</v>
      </c>
      <c r="C2994" s="2">
        <f>HYPERLINK("https://platform.v2.vetology.net/report/v/final/"&amp;2706050, 2706050)</f>
        <v>2706050</v>
      </c>
      <c r="D2994" s="2" t="s">
        <v>9522</v>
      </c>
      <c r="E2994" s="2" t="s">
        <v>9523</v>
      </c>
      <c r="F2994" s="2" t="s">
        <v>9524</v>
      </c>
      <c r="G2994" s="2" t="s">
        <v>170</v>
      </c>
      <c r="H2994" s="2" t="s">
        <v>3657</v>
      </c>
      <c r="I2994" s="2" t="s">
        <v>684</v>
      </c>
      <c r="J2994" s="2" t="s">
        <v>74</v>
      </c>
      <c r="K2994" s="2" t="s">
        <v>39</v>
      </c>
      <c r="L2994" s="2" t="s">
        <v>39</v>
      </c>
      <c r="M2994" s="2" t="s">
        <v>39</v>
      </c>
      <c r="N2994" s="2" t="s">
        <v>39</v>
      </c>
      <c r="O2994" s="2" t="s">
        <v>39</v>
      </c>
      <c r="P2994" s="2" t="s">
        <v>39</v>
      </c>
      <c r="Q2994" s="2" t="s">
        <v>38</v>
      </c>
      <c r="R2994" s="2" t="s">
        <v>39</v>
      </c>
      <c r="S2994" s="2" t="s">
        <v>39</v>
      </c>
      <c r="T2994" s="2" t="s">
        <v>38</v>
      </c>
      <c r="U2994" s="2" t="s">
        <v>39</v>
      </c>
      <c r="V2994" s="2" t="s">
        <v>39</v>
      </c>
      <c r="W2994" s="2" t="s">
        <v>39</v>
      </c>
      <c r="X2994" s="2" t="s">
        <v>39</v>
      </c>
      <c r="Y2994" s="2" t="s">
        <v>39</v>
      </c>
      <c r="Z2994" s="2" t="s">
        <v>39</v>
      </c>
      <c r="AA2994" s="2" t="s">
        <v>38</v>
      </c>
      <c r="AB2994" s="2" t="s">
        <v>38</v>
      </c>
      <c r="AC2994" s="2" t="s">
        <v>39</v>
      </c>
      <c r="AD2994" s="2" t="s">
        <v>39</v>
      </c>
      <c r="AE2994" s="2" t="s">
        <v>39</v>
      </c>
    </row>
    <row r="2995" spans="1:31" ht="409.5">
      <c r="A2995" s="2">
        <v>2706041</v>
      </c>
      <c r="B2995" s="2">
        <f>HYPERLINK("https://platform.v2.vetology.net/cases/2706041/screening-report/1?type=pdf&amp;v=v6&amp;scorecard=1&amp;secret_key=BX%25IJ%24%2F65ieZ%29f6", 2706041)</f>
        <v>2706041</v>
      </c>
      <c r="C2995" s="2">
        <f>HYPERLINK("https://platform.v2.vetology.net/report/v/final/"&amp;2706041, 2706041)</f>
        <v>2706041</v>
      </c>
      <c r="D2995" s="2" t="s">
        <v>9525</v>
      </c>
      <c r="E2995" s="2" t="s">
        <v>9526</v>
      </c>
      <c r="F2995" s="2" t="s">
        <v>9527</v>
      </c>
      <c r="G2995" s="2" t="s">
        <v>170</v>
      </c>
      <c r="H2995" s="2" t="s">
        <v>9528</v>
      </c>
      <c r="I2995" s="2" t="s">
        <v>36</v>
      </c>
      <c r="J2995" s="2" t="s">
        <v>37</v>
      </c>
      <c r="K2995" s="2" t="s">
        <v>38</v>
      </c>
      <c r="L2995" s="2" t="s">
        <v>39</v>
      </c>
      <c r="M2995" s="2" t="s">
        <v>38</v>
      </c>
      <c r="N2995" s="2" t="s">
        <v>38</v>
      </c>
      <c r="O2995" s="2" t="s">
        <v>38</v>
      </c>
      <c r="P2995" s="2" t="s">
        <v>38</v>
      </c>
      <c r="Q2995" s="2" t="s">
        <v>39</v>
      </c>
      <c r="R2995" s="2" t="s">
        <v>39</v>
      </c>
      <c r="S2995" s="2" t="s">
        <v>39</v>
      </c>
      <c r="T2995" s="2" t="s">
        <v>39</v>
      </c>
      <c r="U2995" s="2" t="s">
        <v>39</v>
      </c>
      <c r="V2995" s="2" t="s">
        <v>39</v>
      </c>
      <c r="W2995" s="2" t="s">
        <v>38</v>
      </c>
      <c r="X2995" s="2" t="s">
        <v>38</v>
      </c>
      <c r="Y2995" s="2" t="s">
        <v>39</v>
      </c>
      <c r="Z2995" s="2" t="s">
        <v>39</v>
      </c>
      <c r="AA2995" s="2" t="s">
        <v>38</v>
      </c>
      <c r="AB2995" s="2" t="s">
        <v>39</v>
      </c>
      <c r="AC2995" s="2" t="s">
        <v>38</v>
      </c>
      <c r="AD2995" s="2" t="s">
        <v>39</v>
      </c>
      <c r="AE2995" s="2" t="s">
        <v>40</v>
      </c>
    </row>
    <row r="2996" spans="1:31" ht="409.5">
      <c r="A2996" s="2">
        <v>2706039</v>
      </c>
      <c r="B2996" s="2">
        <f>HYPERLINK("https://platform.v2.vetology.net/cases/2706039/screening-report/1?type=pdf&amp;v=v6&amp;scorecard=1&amp;secret_key=BX%25IJ%24%2F65ieZ%29f6", 2706039)</f>
        <v>2706039</v>
      </c>
      <c r="C2996" s="2">
        <f>HYPERLINK("https://platform.v2.vetology.net/report/v/final/"&amp;2706039, 2706039)</f>
        <v>2706039</v>
      </c>
      <c r="D2996" s="2" t="s">
        <v>9529</v>
      </c>
      <c r="E2996" s="2" t="s">
        <v>9530</v>
      </c>
      <c r="F2996" s="2"/>
      <c r="G2996" s="2" t="s">
        <v>100</v>
      </c>
      <c r="H2996" s="2" t="s">
        <v>530</v>
      </c>
      <c r="I2996" s="2" t="s">
        <v>59</v>
      </c>
      <c r="J2996" s="2" t="s">
        <v>37</v>
      </c>
      <c r="K2996" s="2" t="s">
        <v>38</v>
      </c>
      <c r="L2996" s="2" t="s">
        <v>39</v>
      </c>
      <c r="M2996" s="2" t="s">
        <v>39</v>
      </c>
      <c r="N2996" s="2" t="s">
        <v>39</v>
      </c>
      <c r="O2996" s="2" t="s">
        <v>39</v>
      </c>
      <c r="P2996" s="2" t="s">
        <v>39</v>
      </c>
      <c r="Q2996" s="2" t="s">
        <v>39</v>
      </c>
      <c r="R2996" s="2" t="s">
        <v>39</v>
      </c>
      <c r="S2996" s="2" t="s">
        <v>39</v>
      </c>
      <c r="T2996" s="2" t="s">
        <v>39</v>
      </c>
      <c r="U2996" s="2" t="s">
        <v>38</v>
      </c>
      <c r="V2996" s="2" t="s">
        <v>38</v>
      </c>
      <c r="W2996" s="2" t="s">
        <v>39</v>
      </c>
      <c r="X2996" s="2" t="s">
        <v>39</v>
      </c>
      <c r="Y2996" s="2" t="s">
        <v>39</v>
      </c>
      <c r="Z2996" s="2" t="s">
        <v>39</v>
      </c>
      <c r="AA2996" s="2" t="s">
        <v>39</v>
      </c>
      <c r="AB2996" s="2" t="s">
        <v>39</v>
      </c>
      <c r="AC2996" s="2" t="s">
        <v>38</v>
      </c>
      <c r="AD2996" s="2" t="s">
        <v>39</v>
      </c>
      <c r="AE2996" s="2" t="s">
        <v>40</v>
      </c>
    </row>
    <row r="2997" spans="1:31" ht="409.5">
      <c r="A2997" s="2">
        <v>2706029</v>
      </c>
      <c r="B2997" s="2">
        <f>HYPERLINK("https://platform.v2.vetology.net/cases/2706029/screening-report/1?type=pdf&amp;v=v6&amp;scorecard=1&amp;secret_key=BX%25IJ%24%2F65ieZ%29f6", 2706029)</f>
        <v>2706029</v>
      </c>
      <c r="C2997" s="2">
        <f>HYPERLINK("https://platform.v2.vetology.net/report/v/final/"&amp;2706029, 2706029)</f>
        <v>2706029</v>
      </c>
      <c r="D2997" s="2" t="s">
        <v>9531</v>
      </c>
      <c r="E2997" s="2" t="s">
        <v>9532</v>
      </c>
      <c r="F2997" s="2" t="s">
        <v>9533</v>
      </c>
      <c r="G2997" s="2" t="s">
        <v>127</v>
      </c>
      <c r="H2997" s="2" t="s">
        <v>9534</v>
      </c>
      <c r="I2997" s="2" t="s">
        <v>73</v>
      </c>
      <c r="J2997" s="2" t="s">
        <v>74</v>
      </c>
      <c r="K2997" s="2" t="s">
        <v>38</v>
      </c>
      <c r="L2997" s="2" t="s">
        <v>38</v>
      </c>
      <c r="M2997" s="2" t="s">
        <v>38</v>
      </c>
      <c r="N2997" s="2" t="s">
        <v>38</v>
      </c>
      <c r="O2997" s="2" t="s">
        <v>38</v>
      </c>
      <c r="P2997" s="2" t="s">
        <v>38</v>
      </c>
      <c r="Q2997" s="2" t="s">
        <v>38</v>
      </c>
      <c r="R2997" s="2" t="s">
        <v>38</v>
      </c>
      <c r="S2997" s="2" t="s">
        <v>38</v>
      </c>
      <c r="T2997" s="2" t="s">
        <v>38</v>
      </c>
      <c r="U2997" s="2" t="s">
        <v>38</v>
      </c>
      <c r="V2997" s="2" t="s">
        <v>38</v>
      </c>
      <c r="W2997" s="2" t="s">
        <v>38</v>
      </c>
      <c r="X2997" s="2" t="s">
        <v>38</v>
      </c>
      <c r="Y2997" s="2" t="s">
        <v>38</v>
      </c>
      <c r="Z2997" s="2" t="s">
        <v>38</v>
      </c>
      <c r="AA2997" s="2" t="s">
        <v>38</v>
      </c>
      <c r="AB2997" s="2" t="s">
        <v>38</v>
      </c>
      <c r="AC2997" s="2" t="s">
        <v>38</v>
      </c>
      <c r="AD2997" s="2" t="s">
        <v>38</v>
      </c>
      <c r="AE2997" s="2" t="s">
        <v>40</v>
      </c>
    </row>
    <row r="2998" spans="1:31" ht="409.5">
      <c r="A2998" s="2">
        <v>2705996</v>
      </c>
      <c r="B2998" s="2">
        <f>HYPERLINK("https://platform.v2.vetology.net/cases/2705996/screening-report/1?type=pdf&amp;v=v6&amp;scorecard=1&amp;secret_key=BX%25IJ%24%2F65ieZ%29f6", 2705996)</f>
        <v>2705996</v>
      </c>
      <c r="C2998" s="2">
        <f>HYPERLINK("https://platform.v2.vetology.net/report/v/final/"&amp;2705996, 2705996)</f>
        <v>2705996</v>
      </c>
      <c r="D2998" s="2" t="s">
        <v>9535</v>
      </c>
      <c r="E2998" s="2" t="s">
        <v>9536</v>
      </c>
      <c r="F2998" s="2" t="s">
        <v>43</v>
      </c>
      <c r="G2998" s="2" t="s">
        <v>44</v>
      </c>
      <c r="H2998" s="2" t="s">
        <v>9537</v>
      </c>
      <c r="I2998" s="2" t="s">
        <v>129</v>
      </c>
      <c r="J2998" s="2" t="s">
        <v>74</v>
      </c>
      <c r="K2998" s="2" t="s">
        <v>38</v>
      </c>
      <c r="L2998" s="2" t="s">
        <v>39</v>
      </c>
      <c r="M2998" s="2" t="s">
        <v>38</v>
      </c>
      <c r="N2998" s="2" t="s">
        <v>38</v>
      </c>
      <c r="O2998" s="2" t="s">
        <v>38</v>
      </c>
      <c r="P2998" s="2" t="s">
        <v>38</v>
      </c>
      <c r="Q2998" s="2" t="s">
        <v>38</v>
      </c>
      <c r="R2998" s="2" t="s">
        <v>39</v>
      </c>
      <c r="S2998" s="2" t="s">
        <v>39</v>
      </c>
      <c r="T2998" s="2" t="s">
        <v>38</v>
      </c>
      <c r="U2998" s="2" t="s">
        <v>39</v>
      </c>
      <c r="V2998" s="2" t="s">
        <v>38</v>
      </c>
      <c r="W2998" s="2" t="s">
        <v>38</v>
      </c>
      <c r="X2998" s="2" t="s">
        <v>38</v>
      </c>
      <c r="Y2998" s="2" t="s">
        <v>39</v>
      </c>
      <c r="Z2998" s="2" t="s">
        <v>38</v>
      </c>
      <c r="AA2998" s="2" t="s">
        <v>39</v>
      </c>
      <c r="AB2998" s="2" t="s">
        <v>38</v>
      </c>
      <c r="AC2998" s="2" t="s">
        <v>38</v>
      </c>
      <c r="AD2998" s="2" t="s">
        <v>38</v>
      </c>
      <c r="AE2998" s="2" t="s">
        <v>39</v>
      </c>
    </row>
    <row r="2999" spans="1:31" ht="409.5">
      <c r="A2999" s="2">
        <v>2705949</v>
      </c>
      <c r="B2999" s="2">
        <f>HYPERLINK("https://platform.v2.vetology.net/cases/2705949/screening-report/1?type=pdf&amp;v=v6&amp;scorecard=1&amp;secret_key=BX%25IJ%24%2F65ieZ%29f6", 2705949)</f>
        <v>2705949</v>
      </c>
      <c r="C2999" s="2">
        <f>HYPERLINK("https://platform.v2.vetology.net/report/v/final/"&amp;2705949, 2705949)</f>
        <v>2705949</v>
      </c>
      <c r="D2999" s="2" t="s">
        <v>9538</v>
      </c>
      <c r="E2999" s="2" t="s">
        <v>9539</v>
      </c>
      <c r="F2999" s="2" t="s">
        <v>9540</v>
      </c>
      <c r="G2999" s="2" t="s">
        <v>170</v>
      </c>
      <c r="H2999" s="2" t="s">
        <v>265</v>
      </c>
      <c r="I2999" s="2" t="s">
        <v>36</v>
      </c>
      <c r="J2999" s="2" t="s">
        <v>37</v>
      </c>
      <c r="K2999" s="2" t="s">
        <v>39</v>
      </c>
      <c r="L2999" s="2" t="s">
        <v>39</v>
      </c>
      <c r="M2999" s="2" t="s">
        <v>38</v>
      </c>
      <c r="N2999" s="2" t="s">
        <v>39</v>
      </c>
      <c r="O2999" s="2" t="s">
        <v>39</v>
      </c>
      <c r="P2999" s="2" t="s">
        <v>39</v>
      </c>
      <c r="Q2999" s="2" t="s">
        <v>39</v>
      </c>
      <c r="R2999" s="2" t="s">
        <v>39</v>
      </c>
      <c r="S2999" s="2" t="s">
        <v>39</v>
      </c>
      <c r="T2999" s="2" t="s">
        <v>39</v>
      </c>
      <c r="U2999" s="2" t="s">
        <v>39</v>
      </c>
      <c r="V2999" s="2" t="s">
        <v>39</v>
      </c>
      <c r="W2999" s="2" t="s">
        <v>39</v>
      </c>
      <c r="X2999" s="2" t="s">
        <v>39</v>
      </c>
      <c r="Y2999" s="2" t="s">
        <v>39</v>
      </c>
      <c r="Z2999" s="2" t="s">
        <v>39</v>
      </c>
      <c r="AA2999" s="2" t="s">
        <v>39</v>
      </c>
      <c r="AB2999" s="2" t="s">
        <v>39</v>
      </c>
      <c r="AC2999" s="2" t="s">
        <v>39</v>
      </c>
      <c r="AD2999" s="2" t="s">
        <v>38</v>
      </c>
      <c r="AE2999" s="2" t="s">
        <v>40</v>
      </c>
    </row>
    <row r="3000" spans="1:31" ht="409.5">
      <c r="A3000" s="2">
        <v>2705930</v>
      </c>
      <c r="B3000" s="2">
        <f>HYPERLINK("https://platform.v2.vetology.net/cases/2705930/screening-report/1?type=pdf&amp;v=v6&amp;scorecard=1&amp;secret_key=BX%25IJ%24%2F65ieZ%29f6", 2705930)</f>
        <v>2705930</v>
      </c>
      <c r="C3000" s="2">
        <f>HYPERLINK("https://platform.v2.vetology.net/report/v/final/"&amp;2705930, 2705930)</f>
        <v>2705930</v>
      </c>
      <c r="D3000" s="2" t="s">
        <v>9541</v>
      </c>
      <c r="E3000" s="2" t="s">
        <v>9542</v>
      </c>
      <c r="F3000" s="2" t="s">
        <v>9543</v>
      </c>
      <c r="G3000" s="2" t="s">
        <v>170</v>
      </c>
      <c r="H3000" s="2" t="s">
        <v>9544</v>
      </c>
      <c r="I3000" s="2" t="s">
        <v>73</v>
      </c>
      <c r="J3000" s="2" t="s">
        <v>74</v>
      </c>
      <c r="K3000" s="2" t="s">
        <v>38</v>
      </c>
      <c r="L3000" s="2" t="s">
        <v>38</v>
      </c>
      <c r="M3000" s="2" t="s">
        <v>38</v>
      </c>
      <c r="N3000" s="2" t="s">
        <v>38</v>
      </c>
      <c r="O3000" s="2" t="s">
        <v>38</v>
      </c>
      <c r="P3000" s="2" t="s">
        <v>38</v>
      </c>
      <c r="Q3000" s="2" t="s">
        <v>38</v>
      </c>
      <c r="R3000" s="2" t="s">
        <v>38</v>
      </c>
      <c r="S3000" s="2" t="s">
        <v>38</v>
      </c>
      <c r="T3000" s="2" t="s">
        <v>38</v>
      </c>
      <c r="U3000" s="2" t="s">
        <v>38</v>
      </c>
      <c r="V3000" s="2" t="s">
        <v>38</v>
      </c>
      <c r="W3000" s="2" t="s">
        <v>38</v>
      </c>
      <c r="X3000" s="2" t="s">
        <v>38</v>
      </c>
      <c r="Y3000" s="2" t="s">
        <v>38</v>
      </c>
      <c r="Z3000" s="2" t="s">
        <v>38</v>
      </c>
      <c r="AA3000" s="2" t="s">
        <v>38</v>
      </c>
      <c r="AB3000" s="2" t="s">
        <v>38</v>
      </c>
      <c r="AC3000" s="2" t="s">
        <v>38</v>
      </c>
      <c r="AD3000" s="2" t="s">
        <v>39</v>
      </c>
      <c r="AE3000" s="2" t="s">
        <v>40</v>
      </c>
    </row>
    <row r="3001" spans="1:31" ht="409.5">
      <c r="A3001" s="2">
        <v>2705902</v>
      </c>
      <c r="B3001" s="2">
        <f>HYPERLINK("https://platform.v2.vetology.net/cases/2705902/screening-report/1?type=pdf&amp;v=v6&amp;scorecard=1&amp;secret_key=BX%25IJ%24%2F65ieZ%29f6", 2705902)</f>
        <v>2705902</v>
      </c>
      <c r="C3001" s="2">
        <f>HYPERLINK("https://platform.v2.vetology.net/report/v/final/"&amp;2705902, 2705902)</f>
        <v>2705902</v>
      </c>
      <c r="D3001" s="2" t="s">
        <v>9545</v>
      </c>
      <c r="E3001" s="2" t="s">
        <v>9546</v>
      </c>
      <c r="F3001" s="2" t="s">
        <v>9547</v>
      </c>
      <c r="G3001" s="2" t="s">
        <v>53</v>
      </c>
      <c r="H3001" s="2" t="s">
        <v>226</v>
      </c>
      <c r="I3001" s="2" t="s">
        <v>36</v>
      </c>
      <c r="J3001" s="2" t="s">
        <v>37</v>
      </c>
      <c r="K3001" s="2" t="s">
        <v>39</v>
      </c>
      <c r="L3001" s="2" t="s">
        <v>39</v>
      </c>
      <c r="M3001" s="2" t="s">
        <v>38</v>
      </c>
      <c r="N3001" s="2" t="s">
        <v>38</v>
      </c>
      <c r="O3001" s="2" t="s">
        <v>38</v>
      </c>
      <c r="P3001" s="2" t="s">
        <v>39</v>
      </c>
      <c r="Q3001" s="2" t="s">
        <v>39</v>
      </c>
      <c r="R3001" s="2" t="s">
        <v>39</v>
      </c>
      <c r="S3001" s="2" t="s">
        <v>38</v>
      </c>
      <c r="T3001" s="2" t="s">
        <v>38</v>
      </c>
      <c r="U3001" s="2" t="s">
        <v>39</v>
      </c>
      <c r="V3001" s="2" t="s">
        <v>39</v>
      </c>
      <c r="W3001" s="2" t="s">
        <v>38</v>
      </c>
      <c r="X3001" s="2" t="s">
        <v>39</v>
      </c>
      <c r="Y3001" s="2" t="s">
        <v>39</v>
      </c>
      <c r="Z3001" s="2" t="s">
        <v>38</v>
      </c>
      <c r="AA3001" s="2" t="s">
        <v>38</v>
      </c>
      <c r="AB3001" s="2" t="s">
        <v>39</v>
      </c>
      <c r="AC3001" s="2" t="s">
        <v>38</v>
      </c>
      <c r="AD3001" s="2" t="s">
        <v>38</v>
      </c>
      <c r="AE3001" s="2" t="s">
        <v>40</v>
      </c>
    </row>
    <row r="3002" spans="1:31" ht="409.5">
      <c r="A3002" s="2">
        <v>2705875</v>
      </c>
      <c r="B3002" s="2">
        <f>HYPERLINK("https://platform.v2.vetology.net/cases/2705875/screening-report/1?type=pdf&amp;v=v6&amp;scorecard=1&amp;secret_key=BX%25IJ%24%2F65ieZ%29f6", 2705875)</f>
        <v>2705875</v>
      </c>
      <c r="C3002" s="2">
        <f>HYPERLINK("https://platform.v2.vetology.net/report/v/final/"&amp;2705875, 2705875)</f>
        <v>2705875</v>
      </c>
      <c r="D3002" s="2" t="s">
        <v>9548</v>
      </c>
      <c r="E3002" s="2" t="s">
        <v>9549</v>
      </c>
      <c r="F3002" s="2" t="s">
        <v>9550</v>
      </c>
      <c r="G3002" s="2" t="s">
        <v>100</v>
      </c>
      <c r="H3002" s="2" t="s">
        <v>9551</v>
      </c>
      <c r="I3002" s="2" t="s">
        <v>36</v>
      </c>
      <c r="J3002" s="2" t="s">
        <v>37</v>
      </c>
      <c r="K3002" s="2" t="s">
        <v>39</v>
      </c>
      <c r="L3002" s="2" t="s">
        <v>38</v>
      </c>
      <c r="M3002" s="2" t="s">
        <v>38</v>
      </c>
      <c r="N3002" s="2" t="s">
        <v>38</v>
      </c>
      <c r="O3002" s="2" t="s">
        <v>38</v>
      </c>
      <c r="P3002" s="2" t="s">
        <v>38</v>
      </c>
      <c r="Q3002" s="2" t="s">
        <v>39</v>
      </c>
      <c r="R3002" s="2" t="s">
        <v>38</v>
      </c>
      <c r="S3002" s="2" t="s">
        <v>39</v>
      </c>
      <c r="T3002" s="2" t="s">
        <v>38</v>
      </c>
      <c r="U3002" s="2" t="s">
        <v>39</v>
      </c>
      <c r="V3002" s="2" t="s">
        <v>39</v>
      </c>
      <c r="W3002" s="2" t="s">
        <v>38</v>
      </c>
      <c r="X3002" s="2" t="s">
        <v>38</v>
      </c>
      <c r="Y3002" s="2" t="s">
        <v>38</v>
      </c>
      <c r="Z3002" s="2" t="s">
        <v>38</v>
      </c>
      <c r="AA3002" s="2" t="s">
        <v>39</v>
      </c>
      <c r="AB3002" s="2" t="s">
        <v>38</v>
      </c>
      <c r="AC3002" s="2" t="s">
        <v>38</v>
      </c>
      <c r="AD3002" s="2" t="s">
        <v>38</v>
      </c>
      <c r="AE3002" s="2" t="s">
        <v>39</v>
      </c>
    </row>
    <row r="3003" spans="1:31" ht="409.5">
      <c r="A3003" s="2">
        <v>2705859</v>
      </c>
      <c r="B3003" s="2">
        <f>HYPERLINK("https://platform.v2.vetology.net/cases/2705859/screening-report/1?type=pdf&amp;v=v6&amp;scorecard=1&amp;secret_key=BX%25IJ%24%2F65ieZ%29f6", 2705859)</f>
        <v>2705859</v>
      </c>
      <c r="C3003" s="2">
        <f>HYPERLINK("https://platform.v2.vetology.net/report/v/final/"&amp;2705859, 2705859)</f>
        <v>2705859</v>
      </c>
      <c r="D3003" s="2" t="s">
        <v>9552</v>
      </c>
      <c r="E3003" s="2" t="s">
        <v>9553</v>
      </c>
      <c r="F3003" s="2" t="s">
        <v>9554</v>
      </c>
      <c r="G3003" s="2" t="s">
        <v>53</v>
      </c>
      <c r="H3003" s="2" t="s">
        <v>9555</v>
      </c>
      <c r="I3003" s="2" t="s">
        <v>129</v>
      </c>
      <c r="J3003" s="2" t="s">
        <v>74</v>
      </c>
      <c r="K3003" s="2" t="s">
        <v>39</v>
      </c>
      <c r="L3003" s="2" t="s">
        <v>38</v>
      </c>
      <c r="M3003" s="2" t="s">
        <v>38</v>
      </c>
      <c r="N3003" s="2" t="s">
        <v>38</v>
      </c>
      <c r="O3003" s="2" t="s">
        <v>38</v>
      </c>
      <c r="P3003" s="2" t="s">
        <v>38</v>
      </c>
      <c r="Q3003" s="2" t="s">
        <v>38</v>
      </c>
      <c r="R3003" s="2" t="s">
        <v>38</v>
      </c>
      <c r="S3003" s="2" t="s">
        <v>38</v>
      </c>
      <c r="T3003" s="2" t="s">
        <v>38</v>
      </c>
      <c r="U3003" s="2" t="s">
        <v>39</v>
      </c>
      <c r="V3003" s="2" t="s">
        <v>39</v>
      </c>
      <c r="W3003" s="2" t="s">
        <v>38</v>
      </c>
      <c r="X3003" s="2" t="s">
        <v>38</v>
      </c>
      <c r="Y3003" s="2" t="s">
        <v>39</v>
      </c>
      <c r="Z3003" s="2" t="s">
        <v>38</v>
      </c>
      <c r="AA3003" s="2" t="s">
        <v>38</v>
      </c>
      <c r="AB3003" s="2" t="s">
        <v>39</v>
      </c>
      <c r="AC3003" s="2" t="s">
        <v>38</v>
      </c>
      <c r="AD3003" s="2" t="s">
        <v>39</v>
      </c>
      <c r="AE3003" s="2" t="s">
        <v>39</v>
      </c>
    </row>
    <row r="3004" spans="1:31" ht="409.5">
      <c r="A3004" s="2">
        <v>2705838</v>
      </c>
      <c r="B3004" s="2">
        <f>HYPERLINK("https://platform.v2.vetology.net/cases/2705838/screening-report/1?type=pdf&amp;v=v6&amp;scorecard=1&amp;secret_key=BX%25IJ%24%2F65ieZ%29f6", 2705838)</f>
        <v>2705838</v>
      </c>
      <c r="C3004" s="2">
        <f>HYPERLINK("https://platform.v2.vetology.net/report/v/final/"&amp;2705838, 2705838)</f>
        <v>2705838</v>
      </c>
      <c r="D3004" s="2" t="s">
        <v>9556</v>
      </c>
      <c r="E3004" s="2" t="s">
        <v>118</v>
      </c>
      <c r="F3004" s="2" t="s">
        <v>1498</v>
      </c>
      <c r="G3004" s="2" t="s">
        <v>111</v>
      </c>
      <c r="H3004" s="2" t="s">
        <v>9557</v>
      </c>
      <c r="I3004" s="2" t="s">
        <v>36</v>
      </c>
      <c r="J3004" s="2" t="s">
        <v>37</v>
      </c>
      <c r="K3004" s="2" t="s">
        <v>38</v>
      </c>
      <c r="L3004" s="2" t="s">
        <v>38</v>
      </c>
      <c r="M3004" s="2" t="s">
        <v>38</v>
      </c>
      <c r="N3004" s="2" t="s">
        <v>38</v>
      </c>
      <c r="O3004" s="2" t="s">
        <v>38</v>
      </c>
      <c r="P3004" s="2" t="s">
        <v>39</v>
      </c>
      <c r="Q3004" s="2" t="s">
        <v>39</v>
      </c>
      <c r="R3004" s="2" t="s">
        <v>38</v>
      </c>
      <c r="S3004" s="2" t="s">
        <v>38</v>
      </c>
      <c r="T3004" s="2" t="s">
        <v>39</v>
      </c>
      <c r="U3004" s="2" t="s">
        <v>38</v>
      </c>
      <c r="V3004" s="2" t="s">
        <v>38</v>
      </c>
      <c r="W3004" s="2" t="s">
        <v>38</v>
      </c>
      <c r="X3004" s="2" t="s">
        <v>39</v>
      </c>
      <c r="Y3004" s="2" t="s">
        <v>38</v>
      </c>
      <c r="Z3004" s="2" t="s">
        <v>38</v>
      </c>
      <c r="AA3004" s="2" t="s">
        <v>38</v>
      </c>
      <c r="AB3004" s="2" t="s">
        <v>39</v>
      </c>
      <c r="AC3004" s="2" t="s">
        <v>38</v>
      </c>
      <c r="AD3004" s="2" t="s">
        <v>38</v>
      </c>
      <c r="AE3004" s="2" t="s">
        <v>40</v>
      </c>
    </row>
    <row r="3005" spans="1:31" ht="409.5">
      <c r="A3005" s="2">
        <v>2705787</v>
      </c>
      <c r="B3005" s="2">
        <f>HYPERLINK("https://platform.v2.vetology.net/cases/2705787/screening-report/1?type=pdf&amp;v=v6&amp;scorecard=1&amp;secret_key=BX%25IJ%24%2F65ieZ%29f6", 2705787)</f>
        <v>2705787</v>
      </c>
      <c r="C3005" s="2">
        <f>HYPERLINK("https://platform.v2.vetology.net/report/v/final/"&amp;2705787, 2705787)</f>
        <v>2705787</v>
      </c>
      <c r="D3005" s="2" t="s">
        <v>9558</v>
      </c>
      <c r="E3005" s="2" t="s">
        <v>513</v>
      </c>
      <c r="F3005" s="2" t="s">
        <v>9559</v>
      </c>
      <c r="G3005" s="2" t="s">
        <v>111</v>
      </c>
      <c r="H3005" s="2" t="s">
        <v>9560</v>
      </c>
      <c r="I3005" s="2" t="s">
        <v>36</v>
      </c>
      <c r="J3005" s="2" t="s">
        <v>37</v>
      </c>
      <c r="K3005" s="2" t="s">
        <v>38</v>
      </c>
      <c r="L3005" s="2" t="s">
        <v>38</v>
      </c>
      <c r="M3005" s="2" t="s">
        <v>39</v>
      </c>
      <c r="N3005" s="2" t="s">
        <v>38</v>
      </c>
      <c r="O3005" s="2" t="s">
        <v>38</v>
      </c>
      <c r="P3005" s="2" t="s">
        <v>38</v>
      </c>
      <c r="Q3005" s="2" t="s">
        <v>39</v>
      </c>
      <c r="R3005" s="2" t="s">
        <v>38</v>
      </c>
      <c r="S3005" s="2" t="s">
        <v>38</v>
      </c>
      <c r="T3005" s="2" t="s">
        <v>39</v>
      </c>
      <c r="U3005" s="2" t="s">
        <v>39</v>
      </c>
      <c r="V3005" s="2" t="s">
        <v>38</v>
      </c>
      <c r="W3005" s="2" t="s">
        <v>38</v>
      </c>
      <c r="X3005" s="2" t="s">
        <v>39</v>
      </c>
      <c r="Y3005" s="2" t="s">
        <v>38</v>
      </c>
      <c r="Z3005" s="2" t="s">
        <v>38</v>
      </c>
      <c r="AA3005" s="2" t="s">
        <v>38</v>
      </c>
      <c r="AB3005" s="2" t="s">
        <v>38</v>
      </c>
      <c r="AC3005" s="2" t="s">
        <v>38</v>
      </c>
      <c r="AD3005" s="2" t="s">
        <v>38</v>
      </c>
      <c r="AE3005" s="2" t="s">
        <v>39</v>
      </c>
    </row>
    <row r="3006" spans="1:31" ht="409.5">
      <c r="A3006" s="2">
        <v>2705733</v>
      </c>
      <c r="B3006" s="2">
        <f>HYPERLINK("https://platform.v2.vetology.net/cases/2705733/screening-report/1?type=pdf&amp;v=v6&amp;scorecard=1&amp;secret_key=BX%25IJ%24%2F65ieZ%29f6", 2705733)</f>
        <v>2705733</v>
      </c>
      <c r="C3006" s="2">
        <f>HYPERLINK("https://platform.v2.vetology.net/report/v/final/"&amp;2705733, 2705733)</f>
        <v>2705733</v>
      </c>
      <c r="D3006" s="2" t="s">
        <v>1843</v>
      </c>
      <c r="E3006" s="2" t="s">
        <v>513</v>
      </c>
      <c r="F3006" s="2" t="s">
        <v>9561</v>
      </c>
      <c r="G3006" s="2" t="s">
        <v>111</v>
      </c>
      <c r="H3006" s="2" t="s">
        <v>69</v>
      </c>
      <c r="I3006" s="2" t="s">
        <v>46</v>
      </c>
      <c r="J3006" s="2"/>
      <c r="K3006" s="2" t="s">
        <v>39</v>
      </c>
      <c r="L3006" s="2" t="s">
        <v>39</v>
      </c>
      <c r="M3006" s="2" t="s">
        <v>39</v>
      </c>
      <c r="N3006" s="2" t="s">
        <v>39</v>
      </c>
      <c r="O3006" s="2" t="s">
        <v>39</v>
      </c>
      <c r="P3006" s="2" t="s">
        <v>39</v>
      </c>
      <c r="Q3006" s="2" t="s">
        <v>39</v>
      </c>
      <c r="R3006" s="2" t="s">
        <v>39</v>
      </c>
      <c r="S3006" s="2" t="s">
        <v>39</v>
      </c>
      <c r="T3006" s="2" t="s">
        <v>38</v>
      </c>
      <c r="U3006" s="2" t="s">
        <v>39</v>
      </c>
      <c r="V3006" s="2" t="s">
        <v>39</v>
      </c>
      <c r="W3006" s="2" t="s">
        <v>38</v>
      </c>
      <c r="X3006" s="2" t="s">
        <v>39</v>
      </c>
      <c r="Y3006" s="2" t="s">
        <v>39</v>
      </c>
      <c r="Z3006" s="2" t="s">
        <v>39</v>
      </c>
      <c r="AA3006" s="2" t="s">
        <v>39</v>
      </c>
      <c r="AB3006" s="2" t="s">
        <v>39</v>
      </c>
      <c r="AC3006" s="2" t="s">
        <v>38</v>
      </c>
      <c r="AD3006" s="2" t="s">
        <v>39</v>
      </c>
      <c r="AE3006" s="2" t="s">
        <v>39</v>
      </c>
    </row>
    <row r="3007" spans="1:31" ht="409.5">
      <c r="A3007" s="2">
        <v>2705726</v>
      </c>
      <c r="B3007" s="2">
        <f>HYPERLINK("https://platform.v2.vetology.net/cases/2705726/screening-report/1?type=pdf&amp;v=v6&amp;scorecard=1&amp;secret_key=BX%25IJ%24%2F65ieZ%29f6", 2705726)</f>
        <v>2705726</v>
      </c>
      <c r="C3007" s="2">
        <f>HYPERLINK("https://platform.v2.vetology.net/report/v/final/"&amp;2705726, 2705726)</f>
        <v>2705726</v>
      </c>
      <c r="D3007" s="2" t="s">
        <v>9562</v>
      </c>
      <c r="E3007" s="2" t="s">
        <v>9563</v>
      </c>
      <c r="F3007" s="2" t="s">
        <v>9564</v>
      </c>
      <c r="G3007" s="2" t="s">
        <v>111</v>
      </c>
      <c r="H3007" s="2" t="s">
        <v>9565</v>
      </c>
      <c r="I3007" s="2" t="s">
        <v>36</v>
      </c>
      <c r="J3007" s="2" t="s">
        <v>37</v>
      </c>
      <c r="K3007" s="2" t="s">
        <v>39</v>
      </c>
      <c r="L3007" s="2" t="s">
        <v>39</v>
      </c>
      <c r="M3007" s="2" t="s">
        <v>38</v>
      </c>
      <c r="N3007" s="2" t="s">
        <v>38</v>
      </c>
      <c r="O3007" s="2" t="s">
        <v>38</v>
      </c>
      <c r="P3007" s="2" t="s">
        <v>38</v>
      </c>
      <c r="Q3007" s="2" t="s">
        <v>39</v>
      </c>
      <c r="R3007" s="2" t="s">
        <v>38</v>
      </c>
      <c r="S3007" s="2" t="s">
        <v>38</v>
      </c>
      <c r="T3007" s="2" t="s">
        <v>38</v>
      </c>
      <c r="U3007" s="2" t="s">
        <v>39</v>
      </c>
      <c r="V3007" s="2" t="s">
        <v>39</v>
      </c>
      <c r="W3007" s="2" t="s">
        <v>38</v>
      </c>
      <c r="X3007" s="2" t="s">
        <v>39</v>
      </c>
      <c r="Y3007" s="2" t="s">
        <v>39</v>
      </c>
      <c r="Z3007" s="2" t="s">
        <v>38</v>
      </c>
      <c r="AA3007" s="2" t="s">
        <v>38</v>
      </c>
      <c r="AB3007" s="2" t="s">
        <v>39</v>
      </c>
      <c r="AC3007" s="2" t="s">
        <v>38</v>
      </c>
      <c r="AD3007" s="2" t="s">
        <v>38</v>
      </c>
      <c r="AE3007" s="2" t="s">
        <v>40</v>
      </c>
    </row>
    <row r="3008" spans="1:31" ht="409.5">
      <c r="A3008" s="2">
        <v>2705706</v>
      </c>
      <c r="B3008" s="2">
        <f>HYPERLINK("https://platform.v2.vetology.net/cases/2705706/screening-report/1?type=pdf&amp;v=v6&amp;scorecard=1&amp;secret_key=BX%25IJ%24%2F65ieZ%29f6", 2705706)</f>
        <v>2705706</v>
      </c>
      <c r="C3008" s="2">
        <f>HYPERLINK("https://platform.v2.vetology.net/report/v/final/"&amp;2705706, 2705706)</f>
        <v>2705706</v>
      </c>
      <c r="D3008" s="2" t="s">
        <v>9566</v>
      </c>
      <c r="E3008" s="2" t="s">
        <v>9567</v>
      </c>
      <c r="F3008" s="2" t="s">
        <v>43</v>
      </c>
      <c r="G3008" s="2" t="s">
        <v>44</v>
      </c>
      <c r="H3008" s="2" t="s">
        <v>2003</v>
      </c>
      <c r="I3008" s="2" t="s">
        <v>46</v>
      </c>
      <c r="J3008" s="2"/>
      <c r="K3008" s="2" t="s">
        <v>39</v>
      </c>
      <c r="L3008" s="2" t="s">
        <v>38</v>
      </c>
      <c r="M3008" s="2" t="s">
        <v>39</v>
      </c>
      <c r="N3008" s="2" t="s">
        <v>39</v>
      </c>
      <c r="O3008" s="2" t="s">
        <v>39</v>
      </c>
      <c r="P3008" s="2" t="s">
        <v>39</v>
      </c>
      <c r="Q3008" s="2" t="s">
        <v>39</v>
      </c>
      <c r="R3008" s="2" t="s">
        <v>38</v>
      </c>
      <c r="S3008" s="2" t="s">
        <v>39</v>
      </c>
      <c r="T3008" s="2" t="s">
        <v>39</v>
      </c>
      <c r="U3008" s="2" t="s">
        <v>39</v>
      </c>
      <c r="V3008" s="2" t="s">
        <v>39</v>
      </c>
      <c r="W3008" s="2" t="s">
        <v>39</v>
      </c>
      <c r="X3008" s="2" t="s">
        <v>39</v>
      </c>
      <c r="Y3008" s="2" t="s">
        <v>39</v>
      </c>
      <c r="Z3008" s="2" t="s">
        <v>39</v>
      </c>
      <c r="AA3008" s="2" t="s">
        <v>39</v>
      </c>
      <c r="AB3008" s="2" t="s">
        <v>39</v>
      </c>
      <c r="AC3008" s="2" t="s">
        <v>38</v>
      </c>
      <c r="AD3008" s="2" t="s">
        <v>39</v>
      </c>
      <c r="AE3008" s="2" t="s">
        <v>39</v>
      </c>
    </row>
    <row r="3009" spans="1:31" ht="409.5">
      <c r="A3009" s="2">
        <v>2705685</v>
      </c>
      <c r="B3009" s="2">
        <f>HYPERLINK("https://platform.v2.vetology.net/cases/2705685/screening-report/1?type=pdf&amp;v=v6&amp;scorecard=1&amp;secret_key=BX%25IJ%24%2F65ieZ%29f6", 2705685)</f>
        <v>2705685</v>
      </c>
      <c r="C3009" s="2">
        <f>HYPERLINK("https://platform.v2.vetology.net/report/v/final/"&amp;2705685, 2705685)</f>
        <v>2705685</v>
      </c>
      <c r="D3009" s="2" t="s">
        <v>9568</v>
      </c>
      <c r="E3009" s="2" t="s">
        <v>9569</v>
      </c>
      <c r="F3009" s="2" t="s">
        <v>9570</v>
      </c>
      <c r="G3009" s="2" t="s">
        <v>127</v>
      </c>
      <c r="H3009" s="2" t="s">
        <v>158</v>
      </c>
      <c r="I3009" s="2" t="s">
        <v>59</v>
      </c>
      <c r="J3009" s="2" t="s">
        <v>37</v>
      </c>
      <c r="K3009" s="2" t="s">
        <v>38</v>
      </c>
      <c r="L3009" s="2" t="s">
        <v>39</v>
      </c>
      <c r="M3009" s="2" t="s">
        <v>39</v>
      </c>
      <c r="N3009" s="2" t="s">
        <v>39</v>
      </c>
      <c r="O3009" s="2" t="s">
        <v>39</v>
      </c>
      <c r="P3009" s="2" t="s">
        <v>39</v>
      </c>
      <c r="Q3009" s="2" t="s">
        <v>39</v>
      </c>
      <c r="R3009" s="2" t="s">
        <v>39</v>
      </c>
      <c r="S3009" s="2" t="s">
        <v>39</v>
      </c>
      <c r="T3009" s="2" t="s">
        <v>38</v>
      </c>
      <c r="U3009" s="2" t="s">
        <v>39</v>
      </c>
      <c r="V3009" s="2" t="s">
        <v>39</v>
      </c>
      <c r="W3009" s="2" t="s">
        <v>39</v>
      </c>
      <c r="X3009" s="2" t="s">
        <v>39</v>
      </c>
      <c r="Y3009" s="2" t="s">
        <v>39</v>
      </c>
      <c r="Z3009" s="2" t="s">
        <v>39</v>
      </c>
      <c r="AA3009" s="2" t="s">
        <v>39</v>
      </c>
      <c r="AB3009" s="2" t="s">
        <v>39</v>
      </c>
      <c r="AC3009" s="2" t="s">
        <v>39</v>
      </c>
      <c r="AD3009" s="2" t="s">
        <v>39</v>
      </c>
      <c r="AE3009" s="2" t="s">
        <v>39</v>
      </c>
    </row>
    <row r="3010" spans="1:31" ht="409.5">
      <c r="A3010" s="2">
        <v>2705684</v>
      </c>
      <c r="B3010" s="2">
        <f>HYPERLINK("https://platform.v2.vetology.net/cases/2705684/screening-report/1?type=pdf&amp;v=v6&amp;scorecard=1&amp;secret_key=BX%25IJ%24%2F65ieZ%29f6", 2705684)</f>
        <v>2705684</v>
      </c>
      <c r="C3010" s="2">
        <f>HYPERLINK("https://platform.v2.vetology.net/report/v/final/"&amp;2705684, 2705684)</f>
        <v>2705684</v>
      </c>
      <c r="D3010" s="2" t="s">
        <v>9571</v>
      </c>
      <c r="E3010" s="2" t="s">
        <v>9572</v>
      </c>
      <c r="F3010" s="2" t="s">
        <v>43</v>
      </c>
      <c r="G3010" s="2" t="s">
        <v>100</v>
      </c>
      <c r="H3010" s="2" t="s">
        <v>265</v>
      </c>
      <c r="I3010" s="2" t="s">
        <v>36</v>
      </c>
      <c r="J3010" s="2" t="s">
        <v>37</v>
      </c>
      <c r="K3010" s="2" t="s">
        <v>39</v>
      </c>
      <c r="L3010" s="2" t="s">
        <v>39</v>
      </c>
      <c r="M3010" s="2" t="s">
        <v>38</v>
      </c>
      <c r="N3010" s="2" t="s">
        <v>39</v>
      </c>
      <c r="O3010" s="2" t="s">
        <v>38</v>
      </c>
      <c r="P3010" s="2" t="s">
        <v>39</v>
      </c>
      <c r="Q3010" s="2" t="s">
        <v>39</v>
      </c>
      <c r="R3010" s="2" t="s">
        <v>39</v>
      </c>
      <c r="S3010" s="2" t="s">
        <v>39</v>
      </c>
      <c r="T3010" s="2" t="s">
        <v>39</v>
      </c>
      <c r="U3010" s="2" t="s">
        <v>39</v>
      </c>
      <c r="V3010" s="2" t="s">
        <v>39</v>
      </c>
      <c r="W3010" s="2" t="s">
        <v>38</v>
      </c>
      <c r="X3010" s="2" t="s">
        <v>39</v>
      </c>
      <c r="Y3010" s="2" t="s">
        <v>39</v>
      </c>
      <c r="Z3010" s="2" t="s">
        <v>38</v>
      </c>
      <c r="AA3010" s="2" t="s">
        <v>39</v>
      </c>
      <c r="AB3010" s="2" t="s">
        <v>39</v>
      </c>
      <c r="AC3010" s="2" t="s">
        <v>38</v>
      </c>
      <c r="AD3010" s="2" t="s">
        <v>39</v>
      </c>
      <c r="AE3010" s="2" t="s">
        <v>39</v>
      </c>
    </row>
    <row r="3011" spans="1:31" ht="409.5">
      <c r="A3011" s="2">
        <v>2705667</v>
      </c>
      <c r="B3011" s="2">
        <f>HYPERLINK("https://platform.v2.vetology.net/cases/2705667/screening-report/1?type=pdf&amp;v=v6&amp;scorecard=1&amp;secret_key=BX%25IJ%24%2F65ieZ%29f6", 2705667)</f>
        <v>2705667</v>
      </c>
      <c r="C3011" s="2">
        <f>HYPERLINK("https://platform.v2.vetology.net/report/v/final/"&amp;2705667, 2705667)</f>
        <v>2705667</v>
      </c>
      <c r="D3011" s="2" t="s">
        <v>9573</v>
      </c>
      <c r="E3011" s="2" t="s">
        <v>9574</v>
      </c>
      <c r="F3011" s="2" t="s">
        <v>9575</v>
      </c>
      <c r="G3011" s="2" t="s">
        <v>53</v>
      </c>
      <c r="H3011" s="2" t="s">
        <v>9576</v>
      </c>
      <c r="I3011" s="2" t="s">
        <v>129</v>
      </c>
      <c r="J3011" s="2" t="s">
        <v>74</v>
      </c>
      <c r="K3011" s="2" t="s">
        <v>38</v>
      </c>
      <c r="L3011" s="2" t="s">
        <v>38</v>
      </c>
      <c r="M3011" s="2" t="s">
        <v>38</v>
      </c>
      <c r="N3011" s="2" t="s">
        <v>38</v>
      </c>
      <c r="O3011" s="2" t="s">
        <v>38</v>
      </c>
      <c r="P3011" s="2" t="s">
        <v>38</v>
      </c>
      <c r="Q3011" s="2" t="s">
        <v>38</v>
      </c>
      <c r="R3011" s="2" t="s">
        <v>38</v>
      </c>
      <c r="S3011" s="2" t="s">
        <v>38</v>
      </c>
      <c r="T3011" s="2" t="s">
        <v>38</v>
      </c>
      <c r="U3011" s="2" t="s">
        <v>38</v>
      </c>
      <c r="V3011" s="2" t="s">
        <v>38</v>
      </c>
      <c r="W3011" s="2" t="s">
        <v>38</v>
      </c>
      <c r="X3011" s="2" t="s">
        <v>38</v>
      </c>
      <c r="Y3011" s="2" t="s">
        <v>38</v>
      </c>
      <c r="Z3011" s="2" t="s">
        <v>38</v>
      </c>
      <c r="AA3011" s="2" t="s">
        <v>38</v>
      </c>
      <c r="AB3011" s="2" t="s">
        <v>38</v>
      </c>
      <c r="AC3011" s="2" t="s">
        <v>38</v>
      </c>
      <c r="AD3011" s="2" t="s">
        <v>38</v>
      </c>
      <c r="AE3011" s="2" t="s">
        <v>40</v>
      </c>
    </row>
    <row r="3012" spans="1:31" ht="409.5">
      <c r="A3012" s="2">
        <v>2705650</v>
      </c>
      <c r="B3012" s="2">
        <f>HYPERLINK("https://platform.v2.vetology.net/cases/2705650/screening-report/1?type=pdf&amp;v=v6&amp;scorecard=1&amp;secret_key=BX%25IJ%24%2F65ieZ%29f6", 2705650)</f>
        <v>2705650</v>
      </c>
      <c r="C3012" s="2">
        <f>HYPERLINK("https://platform.v2.vetology.net/report/v/final/"&amp;2705650, 2705650)</f>
        <v>2705650</v>
      </c>
      <c r="D3012" s="2" t="s">
        <v>9577</v>
      </c>
      <c r="E3012" s="2" t="s">
        <v>9578</v>
      </c>
      <c r="F3012" s="2" t="s">
        <v>43</v>
      </c>
      <c r="G3012" s="2" t="s">
        <v>44</v>
      </c>
      <c r="H3012" s="2" t="s">
        <v>9579</v>
      </c>
      <c r="I3012" s="2" t="s">
        <v>684</v>
      </c>
      <c r="J3012" s="2" t="s">
        <v>74</v>
      </c>
      <c r="K3012" s="2" t="s">
        <v>38</v>
      </c>
      <c r="L3012" s="2" t="s">
        <v>39</v>
      </c>
      <c r="M3012" s="2" t="s">
        <v>39</v>
      </c>
      <c r="N3012" s="2" t="s">
        <v>39</v>
      </c>
      <c r="O3012" s="2" t="s">
        <v>39</v>
      </c>
      <c r="P3012" s="2" t="s">
        <v>38</v>
      </c>
      <c r="Q3012" s="2" t="s">
        <v>38</v>
      </c>
      <c r="R3012" s="2" t="s">
        <v>38</v>
      </c>
      <c r="S3012" s="2" t="s">
        <v>38</v>
      </c>
      <c r="T3012" s="2" t="s">
        <v>38</v>
      </c>
      <c r="U3012" s="2" t="s">
        <v>38</v>
      </c>
      <c r="V3012" s="2" t="s">
        <v>38</v>
      </c>
      <c r="W3012" s="2" t="s">
        <v>38</v>
      </c>
      <c r="X3012" s="2" t="s">
        <v>38</v>
      </c>
      <c r="Y3012" s="2" t="s">
        <v>39</v>
      </c>
      <c r="Z3012" s="2" t="s">
        <v>38</v>
      </c>
      <c r="AA3012" s="2" t="s">
        <v>39</v>
      </c>
      <c r="AB3012" s="2" t="s">
        <v>38</v>
      </c>
      <c r="AC3012" s="2" t="s">
        <v>39</v>
      </c>
      <c r="AD3012" s="2" t="s">
        <v>39</v>
      </c>
      <c r="AE3012" s="2" t="s">
        <v>40</v>
      </c>
    </row>
    <row r="3013" spans="1:31" ht="409.5">
      <c r="A3013" s="2">
        <v>2705648</v>
      </c>
      <c r="B3013" s="2">
        <f>HYPERLINK("https://platform.v2.vetology.net/cases/2705648/screening-report/1?type=pdf&amp;v=v6&amp;scorecard=1&amp;secret_key=BX%25IJ%24%2F65ieZ%29f6", 2705648)</f>
        <v>2705648</v>
      </c>
      <c r="C3013" s="2">
        <f>HYPERLINK("https://platform.v2.vetology.net/report/v/final/"&amp;2705648, 2705648)</f>
        <v>2705648</v>
      </c>
      <c r="D3013" s="2" t="s">
        <v>9580</v>
      </c>
      <c r="E3013" s="2" t="s">
        <v>9581</v>
      </c>
      <c r="F3013" s="2" t="s">
        <v>9582</v>
      </c>
      <c r="G3013" s="2" t="s">
        <v>44</v>
      </c>
      <c r="H3013" s="2" t="s">
        <v>9583</v>
      </c>
      <c r="I3013" s="2" t="s">
        <v>36</v>
      </c>
      <c r="J3013" s="2" t="s">
        <v>37</v>
      </c>
      <c r="K3013" s="2" t="s">
        <v>38</v>
      </c>
      <c r="L3013" s="2" t="s">
        <v>38</v>
      </c>
      <c r="M3013" s="2" t="s">
        <v>38</v>
      </c>
      <c r="N3013" s="2" t="s">
        <v>39</v>
      </c>
      <c r="O3013" s="2" t="s">
        <v>38</v>
      </c>
      <c r="P3013" s="2" t="s">
        <v>39</v>
      </c>
      <c r="Q3013" s="2" t="s">
        <v>39</v>
      </c>
      <c r="R3013" s="2" t="s">
        <v>38</v>
      </c>
      <c r="S3013" s="2" t="s">
        <v>38</v>
      </c>
      <c r="T3013" s="2" t="s">
        <v>39</v>
      </c>
      <c r="U3013" s="2" t="s">
        <v>39</v>
      </c>
      <c r="V3013" s="2" t="s">
        <v>39</v>
      </c>
      <c r="W3013" s="2" t="s">
        <v>39</v>
      </c>
      <c r="X3013" s="2" t="s">
        <v>39</v>
      </c>
      <c r="Y3013" s="2" t="s">
        <v>39</v>
      </c>
      <c r="Z3013" s="2" t="s">
        <v>38</v>
      </c>
      <c r="AA3013" s="2" t="s">
        <v>38</v>
      </c>
      <c r="AB3013" s="2" t="s">
        <v>39</v>
      </c>
      <c r="AC3013" s="2" t="s">
        <v>38</v>
      </c>
      <c r="AD3013" s="2" t="s">
        <v>38</v>
      </c>
      <c r="AE3013" s="2" t="s">
        <v>40</v>
      </c>
    </row>
    <row r="3014" spans="1:31" ht="409.5">
      <c r="A3014" s="2">
        <v>2705619</v>
      </c>
      <c r="B3014" s="2">
        <f>HYPERLINK("https://platform.v2.vetology.net/cases/2705619/screening-report/1?type=pdf&amp;v=v6&amp;scorecard=1&amp;secret_key=BX%25IJ%24%2F65ieZ%29f6", 2705619)</f>
        <v>2705619</v>
      </c>
      <c r="C3014" s="2">
        <f>HYPERLINK("https://platform.v2.vetology.net/report/v/final/"&amp;2705619, 2705619)</f>
        <v>2705619</v>
      </c>
      <c r="D3014" s="2" t="s">
        <v>9584</v>
      </c>
      <c r="E3014" s="2" t="s">
        <v>9585</v>
      </c>
      <c r="F3014" s="2"/>
      <c r="G3014" s="2" t="s">
        <v>81</v>
      </c>
      <c r="H3014" s="2" t="s">
        <v>9586</v>
      </c>
      <c r="I3014" s="2" t="s">
        <v>73</v>
      </c>
      <c r="J3014" s="2" t="s">
        <v>74</v>
      </c>
      <c r="K3014" s="2" t="s">
        <v>38</v>
      </c>
      <c r="L3014" s="2" t="s">
        <v>38</v>
      </c>
      <c r="M3014" s="2" t="s">
        <v>38</v>
      </c>
      <c r="N3014" s="2" t="s">
        <v>38</v>
      </c>
      <c r="O3014" s="2" t="s">
        <v>38</v>
      </c>
      <c r="P3014" s="2" t="s">
        <v>38</v>
      </c>
      <c r="Q3014" s="2" t="s">
        <v>38</v>
      </c>
      <c r="R3014" s="2" t="s">
        <v>38</v>
      </c>
      <c r="S3014" s="2" t="s">
        <v>38</v>
      </c>
      <c r="T3014" s="2" t="s">
        <v>38</v>
      </c>
      <c r="U3014" s="2" t="s">
        <v>38</v>
      </c>
      <c r="V3014" s="2" t="s">
        <v>38</v>
      </c>
      <c r="W3014" s="2" t="s">
        <v>38</v>
      </c>
      <c r="X3014" s="2" t="s">
        <v>38</v>
      </c>
      <c r="Y3014" s="2" t="s">
        <v>38</v>
      </c>
      <c r="Z3014" s="2" t="s">
        <v>38</v>
      </c>
      <c r="AA3014" s="2" t="s">
        <v>38</v>
      </c>
      <c r="AB3014" s="2" t="s">
        <v>38</v>
      </c>
      <c r="AC3014" s="2" t="s">
        <v>38</v>
      </c>
      <c r="AD3014" s="2" t="s">
        <v>39</v>
      </c>
      <c r="AE3014" s="2" t="s">
        <v>40</v>
      </c>
    </row>
    <row r="3015" spans="1:31" ht="409.5">
      <c r="A3015" s="2">
        <v>2705602</v>
      </c>
      <c r="B3015" s="2">
        <f>HYPERLINK("https://platform.v2.vetology.net/cases/2705602/screening-report/1?type=pdf&amp;v=v6&amp;scorecard=1&amp;secret_key=BX%25IJ%24%2F65ieZ%29f6", 2705602)</f>
        <v>2705602</v>
      </c>
      <c r="C3015" s="2">
        <f>HYPERLINK("https://platform.v2.vetology.net/report/v/final/"&amp;2705602, 2705602)</f>
        <v>2705602</v>
      </c>
      <c r="D3015" s="2" t="s">
        <v>9587</v>
      </c>
      <c r="E3015" s="2" t="s">
        <v>9588</v>
      </c>
      <c r="F3015" s="2" t="s">
        <v>9589</v>
      </c>
      <c r="G3015" s="2" t="s">
        <v>170</v>
      </c>
      <c r="H3015" s="2" t="s">
        <v>3606</v>
      </c>
      <c r="I3015" s="2" t="s">
        <v>36</v>
      </c>
      <c r="J3015" s="2" t="s">
        <v>37</v>
      </c>
      <c r="K3015" s="2" t="s">
        <v>39</v>
      </c>
      <c r="L3015" s="2" t="s">
        <v>38</v>
      </c>
      <c r="M3015" s="2" t="s">
        <v>38</v>
      </c>
      <c r="N3015" s="2" t="s">
        <v>39</v>
      </c>
      <c r="O3015" s="2" t="s">
        <v>39</v>
      </c>
      <c r="P3015" s="2" t="s">
        <v>39</v>
      </c>
      <c r="Q3015" s="2" t="s">
        <v>39</v>
      </c>
      <c r="R3015" s="2" t="s">
        <v>39</v>
      </c>
      <c r="S3015" s="2" t="s">
        <v>39</v>
      </c>
      <c r="T3015" s="2" t="s">
        <v>39</v>
      </c>
      <c r="U3015" s="2" t="s">
        <v>39</v>
      </c>
      <c r="V3015" s="2" t="s">
        <v>39</v>
      </c>
      <c r="W3015" s="2" t="s">
        <v>38</v>
      </c>
      <c r="X3015" s="2" t="s">
        <v>39</v>
      </c>
      <c r="Y3015" s="2" t="s">
        <v>39</v>
      </c>
      <c r="Z3015" s="2" t="s">
        <v>38</v>
      </c>
      <c r="AA3015" s="2" t="s">
        <v>38</v>
      </c>
      <c r="AB3015" s="2" t="s">
        <v>39</v>
      </c>
      <c r="AC3015" s="2" t="s">
        <v>39</v>
      </c>
      <c r="AD3015" s="2" t="s">
        <v>39</v>
      </c>
      <c r="AE3015" s="2" t="s">
        <v>39</v>
      </c>
    </row>
    <row r="3016" spans="1:31" ht="409.5">
      <c r="A3016" s="2">
        <v>2705590</v>
      </c>
      <c r="B3016" s="2">
        <f>HYPERLINK("https://platform.v2.vetology.net/cases/2705590/screening-report/1?type=pdf&amp;v=v6&amp;scorecard=1&amp;secret_key=BX%25IJ%24%2F65ieZ%29f6", 2705590)</f>
        <v>2705590</v>
      </c>
      <c r="C3016" s="2">
        <f>HYPERLINK("https://platform.v2.vetology.net/report/v/final/"&amp;2705590, 2705590)</f>
        <v>2705590</v>
      </c>
      <c r="D3016" s="2" t="s">
        <v>9590</v>
      </c>
      <c r="E3016" s="2" t="s">
        <v>9591</v>
      </c>
      <c r="F3016" s="2" t="s">
        <v>9592</v>
      </c>
      <c r="G3016" s="2" t="s">
        <v>556</v>
      </c>
      <c r="H3016" s="2" t="s">
        <v>9593</v>
      </c>
      <c r="I3016" s="2" t="s">
        <v>36</v>
      </c>
      <c r="J3016" s="2" t="s">
        <v>37</v>
      </c>
      <c r="K3016" s="2" t="s">
        <v>39</v>
      </c>
      <c r="L3016" s="2" t="s">
        <v>38</v>
      </c>
      <c r="M3016" s="2" t="s">
        <v>38</v>
      </c>
      <c r="N3016" s="2" t="s">
        <v>39</v>
      </c>
      <c r="O3016" s="2" t="s">
        <v>38</v>
      </c>
      <c r="P3016" s="2" t="s">
        <v>38</v>
      </c>
      <c r="Q3016" s="2" t="s">
        <v>39</v>
      </c>
      <c r="R3016" s="2" t="s">
        <v>38</v>
      </c>
      <c r="S3016" s="2" t="s">
        <v>39</v>
      </c>
      <c r="T3016" s="2" t="s">
        <v>38</v>
      </c>
      <c r="U3016" s="2" t="s">
        <v>39</v>
      </c>
      <c r="V3016" s="2" t="s">
        <v>39</v>
      </c>
      <c r="W3016" s="2" t="s">
        <v>38</v>
      </c>
      <c r="X3016" s="2" t="s">
        <v>39</v>
      </c>
      <c r="Y3016" s="2" t="s">
        <v>39</v>
      </c>
      <c r="Z3016" s="2" t="s">
        <v>38</v>
      </c>
      <c r="AA3016" s="2" t="s">
        <v>39</v>
      </c>
      <c r="AB3016" s="2" t="s">
        <v>39</v>
      </c>
      <c r="AC3016" s="2" t="s">
        <v>38</v>
      </c>
      <c r="AD3016" s="2" t="s">
        <v>38</v>
      </c>
      <c r="AE3016" s="2" t="s">
        <v>39</v>
      </c>
    </row>
    <row r="3017" spans="1:31" ht="409.5">
      <c r="A3017" s="2">
        <v>2705584</v>
      </c>
      <c r="B3017" s="2">
        <f>HYPERLINK("https://platform.v2.vetology.net/cases/2705584/screening-report/1?type=pdf&amp;v=v6&amp;scorecard=1&amp;secret_key=BX%25IJ%24%2F65ieZ%29f6", 2705584)</f>
        <v>2705584</v>
      </c>
      <c r="C3017" s="2">
        <f>HYPERLINK("https://platform.v2.vetology.net/report/v/final/"&amp;2705584, 2705584)</f>
        <v>2705584</v>
      </c>
      <c r="D3017" s="2" t="s">
        <v>9594</v>
      </c>
      <c r="E3017" s="2" t="s">
        <v>9595</v>
      </c>
      <c r="F3017" s="2" t="s">
        <v>9596</v>
      </c>
      <c r="G3017" s="2" t="s">
        <v>34</v>
      </c>
      <c r="H3017" s="2" t="s">
        <v>45</v>
      </c>
      <c r="I3017" s="2" t="s">
        <v>46</v>
      </c>
      <c r="J3017" s="2"/>
      <c r="K3017" s="2" t="s">
        <v>39</v>
      </c>
      <c r="L3017" s="2" t="s">
        <v>39</v>
      </c>
      <c r="M3017" s="2" t="s">
        <v>39</v>
      </c>
      <c r="N3017" s="2" t="s">
        <v>39</v>
      </c>
      <c r="O3017" s="2" t="s">
        <v>39</v>
      </c>
      <c r="P3017" s="2" t="s">
        <v>39</v>
      </c>
      <c r="Q3017" s="2" t="s">
        <v>39</v>
      </c>
      <c r="R3017" s="2" t="s">
        <v>38</v>
      </c>
      <c r="S3017" s="2" t="s">
        <v>39</v>
      </c>
      <c r="T3017" s="2" t="s">
        <v>39</v>
      </c>
      <c r="U3017" s="2" t="s">
        <v>39</v>
      </c>
      <c r="V3017" s="2" t="s">
        <v>39</v>
      </c>
      <c r="W3017" s="2" t="s">
        <v>38</v>
      </c>
      <c r="X3017" s="2" t="s">
        <v>39</v>
      </c>
      <c r="Y3017" s="2" t="s">
        <v>39</v>
      </c>
      <c r="Z3017" s="2" t="s">
        <v>38</v>
      </c>
      <c r="AA3017" s="2" t="s">
        <v>39</v>
      </c>
      <c r="AB3017" s="2" t="s">
        <v>39</v>
      </c>
      <c r="AC3017" s="2" t="s">
        <v>38</v>
      </c>
      <c r="AD3017" s="2" t="s">
        <v>38</v>
      </c>
      <c r="AE3017" s="2" t="s">
        <v>39</v>
      </c>
    </row>
    <row r="3018" spans="1:31" ht="409.5">
      <c r="A3018" s="2">
        <v>2705583</v>
      </c>
      <c r="B3018" s="2">
        <f>HYPERLINK("https://platform.v2.vetology.net/cases/2705583/screening-report/1?type=pdf&amp;v=v6&amp;scorecard=1&amp;secret_key=BX%25IJ%24%2F65ieZ%29f6", 2705583)</f>
        <v>2705583</v>
      </c>
      <c r="C3018" s="2">
        <f>HYPERLINK("https://platform.v2.vetology.net/report/v/final/"&amp;2705583, 2705583)</f>
        <v>2705583</v>
      </c>
      <c r="D3018" s="2" t="s">
        <v>9597</v>
      </c>
      <c r="E3018" s="2" t="s">
        <v>9598</v>
      </c>
      <c r="F3018" s="2" t="s">
        <v>9599</v>
      </c>
      <c r="G3018" s="2" t="s">
        <v>34</v>
      </c>
      <c r="H3018" s="2" t="s">
        <v>69</v>
      </c>
      <c r="I3018" s="2" t="s">
        <v>46</v>
      </c>
      <c r="J3018" s="2"/>
      <c r="K3018" s="2" t="s">
        <v>39</v>
      </c>
      <c r="L3018" s="2" t="s">
        <v>39</v>
      </c>
      <c r="M3018" s="2" t="s">
        <v>39</v>
      </c>
      <c r="N3018" s="2" t="s">
        <v>39</v>
      </c>
      <c r="O3018" s="2" t="s">
        <v>39</v>
      </c>
      <c r="P3018" s="2" t="s">
        <v>39</v>
      </c>
      <c r="Q3018" s="2" t="s">
        <v>39</v>
      </c>
      <c r="R3018" s="2" t="s">
        <v>39</v>
      </c>
      <c r="S3018" s="2" t="s">
        <v>39</v>
      </c>
      <c r="T3018" s="2" t="s">
        <v>39</v>
      </c>
      <c r="U3018" s="2" t="s">
        <v>39</v>
      </c>
      <c r="V3018" s="2" t="s">
        <v>39</v>
      </c>
      <c r="W3018" s="2" t="s">
        <v>39</v>
      </c>
      <c r="X3018" s="2" t="s">
        <v>39</v>
      </c>
      <c r="Y3018" s="2" t="s">
        <v>39</v>
      </c>
      <c r="Z3018" s="2" t="s">
        <v>39</v>
      </c>
      <c r="AA3018" s="2" t="s">
        <v>39</v>
      </c>
      <c r="AB3018" s="2" t="s">
        <v>39</v>
      </c>
      <c r="AC3018" s="2" t="s">
        <v>38</v>
      </c>
      <c r="AD3018" s="2" t="s">
        <v>39</v>
      </c>
      <c r="AE3018" s="2" t="s">
        <v>39</v>
      </c>
    </row>
    <row r="3019" spans="1:31" ht="409.5">
      <c r="A3019" s="2">
        <v>2705570</v>
      </c>
      <c r="B3019" s="2">
        <f>HYPERLINK("https://platform.v2.vetology.net/cases/2705570/screening-report/1?type=pdf&amp;v=v6&amp;scorecard=1&amp;secret_key=BX%25IJ%24%2F65ieZ%29f6", 2705570)</f>
        <v>2705570</v>
      </c>
      <c r="C3019" s="2">
        <f>HYPERLINK("https://platform.v2.vetology.net/report/v/final/"&amp;2705570, 2705570)</f>
        <v>2705570</v>
      </c>
      <c r="D3019" s="2" t="s">
        <v>9600</v>
      </c>
      <c r="E3019" s="2" t="s">
        <v>9601</v>
      </c>
      <c r="F3019" s="2" t="s">
        <v>43</v>
      </c>
      <c r="G3019" s="2" t="s">
        <v>44</v>
      </c>
      <c r="H3019" s="2" t="s">
        <v>9602</v>
      </c>
      <c r="I3019" s="2" t="s">
        <v>129</v>
      </c>
      <c r="J3019" s="2" t="s">
        <v>74</v>
      </c>
      <c r="K3019" s="2" t="s">
        <v>39</v>
      </c>
      <c r="L3019" s="2" t="s">
        <v>39</v>
      </c>
      <c r="M3019" s="2" t="s">
        <v>38</v>
      </c>
      <c r="N3019" s="2" t="s">
        <v>38</v>
      </c>
      <c r="O3019" s="2" t="s">
        <v>38</v>
      </c>
      <c r="P3019" s="2" t="s">
        <v>39</v>
      </c>
      <c r="Q3019" s="2" t="s">
        <v>38</v>
      </c>
      <c r="R3019" s="2" t="s">
        <v>38</v>
      </c>
      <c r="S3019" s="2" t="s">
        <v>39</v>
      </c>
      <c r="T3019" s="2" t="s">
        <v>39</v>
      </c>
      <c r="U3019" s="2" t="s">
        <v>39</v>
      </c>
      <c r="V3019" s="2" t="s">
        <v>38</v>
      </c>
      <c r="W3019" s="2" t="s">
        <v>38</v>
      </c>
      <c r="X3019" s="2" t="s">
        <v>38</v>
      </c>
      <c r="Y3019" s="2" t="s">
        <v>38</v>
      </c>
      <c r="Z3019" s="2" t="s">
        <v>38</v>
      </c>
      <c r="AA3019" s="2" t="s">
        <v>38</v>
      </c>
      <c r="AB3019" s="2" t="s">
        <v>39</v>
      </c>
      <c r="AC3019" s="2" t="s">
        <v>38</v>
      </c>
      <c r="AD3019" s="2" t="s">
        <v>39</v>
      </c>
      <c r="AE3019" s="2" t="s">
        <v>39</v>
      </c>
    </row>
    <row r="3020" spans="1:31" ht="409.5">
      <c r="A3020" s="2">
        <v>2705568</v>
      </c>
      <c r="B3020" s="2">
        <f>HYPERLINK("https://platform.v2.vetology.net/cases/2705568/screening-report/1?type=pdf&amp;v=v6&amp;scorecard=1&amp;secret_key=BX%25IJ%24%2F65ieZ%29f6", 2705568)</f>
        <v>2705568</v>
      </c>
      <c r="C3020" s="2">
        <f>HYPERLINK("https://platform.v2.vetology.net/report/v/final/"&amp;2705568, 2705568)</f>
        <v>2705568</v>
      </c>
      <c r="D3020" s="2" t="s">
        <v>9603</v>
      </c>
      <c r="E3020" s="2" t="s">
        <v>9604</v>
      </c>
      <c r="F3020" s="2" t="s">
        <v>9605</v>
      </c>
      <c r="G3020" s="2" t="s">
        <v>111</v>
      </c>
      <c r="H3020" s="2" t="s">
        <v>605</v>
      </c>
      <c r="I3020" s="2" t="s">
        <v>36</v>
      </c>
      <c r="J3020" s="2" t="s">
        <v>37</v>
      </c>
      <c r="K3020" s="2" t="s">
        <v>39</v>
      </c>
      <c r="L3020" s="2" t="s">
        <v>39</v>
      </c>
      <c r="M3020" s="2" t="s">
        <v>38</v>
      </c>
      <c r="N3020" s="2" t="s">
        <v>39</v>
      </c>
      <c r="O3020" s="2" t="s">
        <v>39</v>
      </c>
      <c r="P3020" s="2" t="s">
        <v>38</v>
      </c>
      <c r="Q3020" s="2" t="s">
        <v>39</v>
      </c>
      <c r="R3020" s="2" t="s">
        <v>39</v>
      </c>
      <c r="S3020" s="2" t="s">
        <v>39</v>
      </c>
      <c r="T3020" s="2" t="s">
        <v>39</v>
      </c>
      <c r="U3020" s="2" t="s">
        <v>39</v>
      </c>
      <c r="V3020" s="2" t="s">
        <v>39</v>
      </c>
      <c r="W3020" s="2" t="s">
        <v>38</v>
      </c>
      <c r="X3020" s="2" t="s">
        <v>39</v>
      </c>
      <c r="Y3020" s="2" t="s">
        <v>39</v>
      </c>
      <c r="Z3020" s="2" t="s">
        <v>39</v>
      </c>
      <c r="AA3020" s="2" t="s">
        <v>39</v>
      </c>
      <c r="AB3020" s="2" t="s">
        <v>39</v>
      </c>
      <c r="AC3020" s="2" t="s">
        <v>39</v>
      </c>
      <c r="AD3020" s="2" t="s">
        <v>38</v>
      </c>
      <c r="AE3020" s="2" t="s">
        <v>40</v>
      </c>
    </row>
    <row r="3021" spans="1:31" ht="409.5">
      <c r="A3021" s="2">
        <v>2705562</v>
      </c>
      <c r="B3021" s="2">
        <f>HYPERLINK("https://platform.v2.vetology.net/cases/2705562/screening-report/1?type=pdf&amp;v=v6&amp;scorecard=1&amp;secret_key=BX%25IJ%24%2F65ieZ%29f6", 2705562)</f>
        <v>2705562</v>
      </c>
      <c r="C3021" s="2">
        <f>HYPERLINK("https://platform.v2.vetology.net/report/v/final/"&amp;2705562, 2705562)</f>
        <v>2705562</v>
      </c>
      <c r="D3021" s="2" t="s">
        <v>9606</v>
      </c>
      <c r="E3021" s="2" t="s">
        <v>9607</v>
      </c>
      <c r="F3021" s="2" t="s">
        <v>9608</v>
      </c>
      <c r="G3021" s="2" t="s">
        <v>251</v>
      </c>
      <c r="H3021" s="2" t="s">
        <v>9609</v>
      </c>
      <c r="I3021" s="2" t="s">
        <v>36</v>
      </c>
      <c r="J3021" s="2" t="s">
        <v>37</v>
      </c>
      <c r="K3021" s="2" t="s">
        <v>38</v>
      </c>
      <c r="L3021" s="2" t="s">
        <v>38</v>
      </c>
      <c r="M3021" s="2" t="s">
        <v>39</v>
      </c>
      <c r="N3021" s="2" t="s">
        <v>39</v>
      </c>
      <c r="O3021" s="2" t="s">
        <v>39</v>
      </c>
      <c r="P3021" s="2" t="s">
        <v>39</v>
      </c>
      <c r="Q3021" s="2" t="s">
        <v>39</v>
      </c>
      <c r="R3021" s="2" t="s">
        <v>39</v>
      </c>
      <c r="S3021" s="2" t="s">
        <v>39</v>
      </c>
      <c r="T3021" s="2" t="s">
        <v>39</v>
      </c>
      <c r="U3021" s="2" t="s">
        <v>38</v>
      </c>
      <c r="V3021" s="2" t="s">
        <v>38</v>
      </c>
      <c r="W3021" s="2" t="s">
        <v>39</v>
      </c>
      <c r="X3021" s="2" t="s">
        <v>39</v>
      </c>
      <c r="Y3021" s="2" t="s">
        <v>39</v>
      </c>
      <c r="Z3021" s="2" t="s">
        <v>39</v>
      </c>
      <c r="AA3021" s="2" t="s">
        <v>39</v>
      </c>
      <c r="AB3021" s="2" t="s">
        <v>39</v>
      </c>
      <c r="AC3021" s="2" t="s">
        <v>38</v>
      </c>
      <c r="AD3021" s="2" t="s">
        <v>39</v>
      </c>
      <c r="AE3021" s="2" t="s">
        <v>39</v>
      </c>
    </row>
    <row r="3022" spans="1:31" ht="409.5">
      <c r="A3022" s="2">
        <v>2705552</v>
      </c>
      <c r="B3022" s="2">
        <f>HYPERLINK("https://platform.v2.vetology.net/cases/2705552/screening-report/1?type=pdf&amp;v=v6&amp;scorecard=1&amp;secret_key=BX%25IJ%24%2F65ieZ%29f6", 2705552)</f>
        <v>2705552</v>
      </c>
      <c r="C3022" s="2">
        <f>HYPERLINK("https://platform.v2.vetology.net/report/v/final/"&amp;2705552, 2705552)</f>
        <v>2705552</v>
      </c>
      <c r="D3022" s="2" t="s">
        <v>9610</v>
      </c>
      <c r="E3022" s="2" t="s">
        <v>9611</v>
      </c>
      <c r="F3022" s="2" t="s">
        <v>9612</v>
      </c>
      <c r="G3022" s="2" t="s">
        <v>34</v>
      </c>
      <c r="H3022" s="2" t="s">
        <v>675</v>
      </c>
      <c r="I3022" s="2" t="s">
        <v>36</v>
      </c>
      <c r="J3022" s="2" t="s">
        <v>37</v>
      </c>
      <c r="K3022" s="2" t="s">
        <v>38</v>
      </c>
      <c r="L3022" s="2" t="s">
        <v>38</v>
      </c>
      <c r="M3022" s="2" t="s">
        <v>38</v>
      </c>
      <c r="N3022" s="2" t="s">
        <v>38</v>
      </c>
      <c r="O3022" s="2" t="s">
        <v>38</v>
      </c>
      <c r="P3022" s="2" t="s">
        <v>39</v>
      </c>
      <c r="Q3022" s="2" t="s">
        <v>39</v>
      </c>
      <c r="R3022" s="2" t="s">
        <v>38</v>
      </c>
      <c r="S3022" s="2" t="s">
        <v>38</v>
      </c>
      <c r="T3022" s="2" t="s">
        <v>39</v>
      </c>
      <c r="U3022" s="2" t="s">
        <v>39</v>
      </c>
      <c r="V3022" s="2" t="s">
        <v>38</v>
      </c>
      <c r="W3022" s="2" t="s">
        <v>38</v>
      </c>
      <c r="X3022" s="2" t="s">
        <v>39</v>
      </c>
      <c r="Y3022" s="2" t="s">
        <v>38</v>
      </c>
      <c r="Z3022" s="2" t="s">
        <v>38</v>
      </c>
      <c r="AA3022" s="2" t="s">
        <v>38</v>
      </c>
      <c r="AB3022" s="2" t="s">
        <v>39</v>
      </c>
      <c r="AC3022" s="2" t="s">
        <v>38</v>
      </c>
      <c r="AD3022" s="2" t="s">
        <v>38</v>
      </c>
      <c r="AE3022" s="2" t="s">
        <v>39</v>
      </c>
    </row>
    <row r="3023" spans="1:31" ht="409.5">
      <c r="A3023" s="2">
        <v>2705540</v>
      </c>
      <c r="B3023" s="2">
        <f>HYPERLINK("https://platform.v2.vetology.net/cases/2705540/screening-report/1?type=pdf&amp;v=v6&amp;scorecard=1&amp;secret_key=BX%25IJ%24%2F65ieZ%29f6", 2705540)</f>
        <v>2705540</v>
      </c>
      <c r="C3023" s="2">
        <f>HYPERLINK("https://platform.v2.vetology.net/report/v/final/"&amp;2705540, 2705540)</f>
        <v>2705540</v>
      </c>
      <c r="D3023" s="2" t="s">
        <v>9613</v>
      </c>
      <c r="E3023" s="2" t="s">
        <v>9614</v>
      </c>
      <c r="F3023" s="2" t="s">
        <v>9615</v>
      </c>
      <c r="G3023" s="2" t="s">
        <v>127</v>
      </c>
      <c r="H3023" s="2" t="s">
        <v>9616</v>
      </c>
      <c r="I3023" s="2" t="s">
        <v>73</v>
      </c>
      <c r="J3023" s="2" t="s">
        <v>74</v>
      </c>
      <c r="K3023" s="2" t="s">
        <v>38</v>
      </c>
      <c r="L3023" s="2" t="s">
        <v>38</v>
      </c>
      <c r="M3023" s="2" t="s">
        <v>38</v>
      </c>
      <c r="N3023" s="2" t="s">
        <v>38</v>
      </c>
      <c r="O3023" s="2" t="s">
        <v>38</v>
      </c>
      <c r="P3023" s="2" t="s">
        <v>38</v>
      </c>
      <c r="Q3023" s="2" t="s">
        <v>38</v>
      </c>
      <c r="R3023" s="2" t="s">
        <v>38</v>
      </c>
      <c r="S3023" s="2" t="s">
        <v>38</v>
      </c>
      <c r="T3023" s="2" t="s">
        <v>38</v>
      </c>
      <c r="U3023" s="2" t="s">
        <v>38</v>
      </c>
      <c r="V3023" s="2" t="s">
        <v>38</v>
      </c>
      <c r="W3023" s="2" t="s">
        <v>38</v>
      </c>
      <c r="X3023" s="2" t="s">
        <v>38</v>
      </c>
      <c r="Y3023" s="2" t="s">
        <v>38</v>
      </c>
      <c r="Z3023" s="2" t="s">
        <v>38</v>
      </c>
      <c r="AA3023" s="2" t="s">
        <v>38</v>
      </c>
      <c r="AB3023" s="2" t="s">
        <v>38</v>
      </c>
      <c r="AC3023" s="2" t="s">
        <v>38</v>
      </c>
      <c r="AD3023" s="2" t="s">
        <v>38</v>
      </c>
      <c r="AE3023" s="2" t="s">
        <v>40</v>
      </c>
    </row>
    <row r="3024" spans="1:31" ht="409.5">
      <c r="A3024" s="2">
        <v>2705538</v>
      </c>
      <c r="B3024" s="2">
        <f>HYPERLINK("https://platform.v2.vetology.net/cases/2705538/screening-report/1?type=pdf&amp;v=v6&amp;scorecard=1&amp;secret_key=BX%25IJ%24%2F65ieZ%29f6", 2705538)</f>
        <v>2705538</v>
      </c>
      <c r="C3024" s="2">
        <f>HYPERLINK("https://platform.v2.vetology.net/report/v/final/"&amp;2705538, 2705538)</f>
        <v>2705538</v>
      </c>
      <c r="D3024" s="2" t="s">
        <v>9617</v>
      </c>
      <c r="E3024" s="2" t="s">
        <v>3347</v>
      </c>
      <c r="F3024" s="2" t="s">
        <v>9618</v>
      </c>
      <c r="G3024" s="2" t="s">
        <v>111</v>
      </c>
      <c r="H3024" s="2" t="s">
        <v>9619</v>
      </c>
      <c r="I3024" s="2" t="s">
        <v>129</v>
      </c>
      <c r="J3024" s="2" t="s">
        <v>74</v>
      </c>
      <c r="K3024" s="2" t="s">
        <v>39</v>
      </c>
      <c r="L3024" s="2" t="s">
        <v>38</v>
      </c>
      <c r="M3024" s="2" t="s">
        <v>38</v>
      </c>
      <c r="N3024" s="2" t="s">
        <v>38</v>
      </c>
      <c r="O3024" s="2" t="s">
        <v>38</v>
      </c>
      <c r="P3024" s="2" t="s">
        <v>38</v>
      </c>
      <c r="Q3024" s="2" t="s">
        <v>38</v>
      </c>
      <c r="R3024" s="2" t="s">
        <v>39</v>
      </c>
      <c r="S3024" s="2" t="s">
        <v>38</v>
      </c>
      <c r="T3024" s="2" t="s">
        <v>38</v>
      </c>
      <c r="U3024" s="2" t="s">
        <v>38</v>
      </c>
      <c r="V3024" s="2" t="s">
        <v>38</v>
      </c>
      <c r="W3024" s="2" t="s">
        <v>38</v>
      </c>
      <c r="X3024" s="2" t="s">
        <v>38</v>
      </c>
      <c r="Y3024" s="2" t="s">
        <v>38</v>
      </c>
      <c r="Z3024" s="2" t="s">
        <v>38</v>
      </c>
      <c r="AA3024" s="2" t="s">
        <v>38</v>
      </c>
      <c r="AB3024" s="2" t="s">
        <v>38</v>
      </c>
      <c r="AC3024" s="2" t="s">
        <v>38</v>
      </c>
      <c r="AD3024" s="2" t="s">
        <v>38</v>
      </c>
      <c r="AE3024" s="2" t="s">
        <v>40</v>
      </c>
    </row>
    <row r="3025" spans="1:31" ht="409.5">
      <c r="A3025" s="2">
        <v>2705532</v>
      </c>
      <c r="B3025" s="2">
        <f>HYPERLINK("https://platform.v2.vetology.net/cases/2705532/screening-report/1?type=pdf&amp;v=v6&amp;scorecard=1&amp;secret_key=BX%25IJ%24%2F65ieZ%29f6", 2705532)</f>
        <v>2705532</v>
      </c>
      <c r="C3025" s="2">
        <f>HYPERLINK("https://platform.v2.vetology.net/report/v/final/"&amp;2705532, 2705532)</f>
        <v>2705532</v>
      </c>
      <c r="D3025" s="2" t="s">
        <v>9620</v>
      </c>
      <c r="E3025" s="2" t="s">
        <v>9621</v>
      </c>
      <c r="F3025" s="2" t="s">
        <v>5650</v>
      </c>
      <c r="G3025" s="2" t="s">
        <v>44</v>
      </c>
      <c r="H3025" s="2" t="s">
        <v>62</v>
      </c>
      <c r="I3025" s="2" t="s">
        <v>46</v>
      </c>
      <c r="J3025" s="2"/>
      <c r="K3025" s="2" t="s">
        <v>39</v>
      </c>
      <c r="L3025" s="2" t="s">
        <v>39</v>
      </c>
      <c r="M3025" s="2" t="s">
        <v>39</v>
      </c>
      <c r="N3025" s="2" t="s">
        <v>39</v>
      </c>
      <c r="O3025" s="2" t="s">
        <v>39</v>
      </c>
      <c r="P3025" s="2" t="s">
        <v>39</v>
      </c>
      <c r="Q3025" s="2" t="s">
        <v>39</v>
      </c>
      <c r="R3025" s="2" t="s">
        <v>38</v>
      </c>
      <c r="S3025" s="2" t="s">
        <v>38</v>
      </c>
      <c r="T3025" s="2" t="s">
        <v>39</v>
      </c>
      <c r="U3025" s="2" t="s">
        <v>39</v>
      </c>
      <c r="V3025" s="2" t="s">
        <v>39</v>
      </c>
      <c r="W3025" s="2" t="s">
        <v>38</v>
      </c>
      <c r="X3025" s="2" t="s">
        <v>39</v>
      </c>
      <c r="Y3025" s="2" t="s">
        <v>39</v>
      </c>
      <c r="Z3025" s="2" t="s">
        <v>38</v>
      </c>
      <c r="AA3025" s="2" t="s">
        <v>39</v>
      </c>
      <c r="AB3025" s="2" t="s">
        <v>39</v>
      </c>
      <c r="AC3025" s="2" t="s">
        <v>38</v>
      </c>
      <c r="AD3025" s="2" t="s">
        <v>38</v>
      </c>
      <c r="AE3025" s="2" t="s">
        <v>39</v>
      </c>
    </row>
    <row r="3026" spans="1:31" ht="409.5">
      <c r="A3026" s="2">
        <v>2705511</v>
      </c>
      <c r="B3026" s="2">
        <f>HYPERLINK("https://platform.v2.vetology.net/cases/2705511/screening-report/1?type=pdf&amp;v=v6&amp;scorecard=1&amp;secret_key=BX%25IJ%24%2F65ieZ%29f6", 2705511)</f>
        <v>2705511</v>
      </c>
      <c r="C3026" s="2">
        <f>HYPERLINK("https://platform.v2.vetology.net/report/v/final/"&amp;2705511, 2705511)</f>
        <v>2705511</v>
      </c>
      <c r="D3026" s="2" t="s">
        <v>9622</v>
      </c>
      <c r="E3026" s="2" t="s">
        <v>9623</v>
      </c>
      <c r="F3026" s="2" t="s">
        <v>43</v>
      </c>
      <c r="G3026" s="2" t="s">
        <v>44</v>
      </c>
      <c r="H3026" s="2" t="s">
        <v>9624</v>
      </c>
      <c r="I3026" s="2" t="s">
        <v>129</v>
      </c>
      <c r="J3026" s="2" t="s">
        <v>74</v>
      </c>
      <c r="K3026" s="2" t="s">
        <v>39</v>
      </c>
      <c r="L3026" s="2" t="s">
        <v>38</v>
      </c>
      <c r="M3026" s="2" t="s">
        <v>38</v>
      </c>
      <c r="N3026" s="2" t="s">
        <v>38</v>
      </c>
      <c r="O3026" s="2" t="s">
        <v>38</v>
      </c>
      <c r="P3026" s="2" t="s">
        <v>38</v>
      </c>
      <c r="Q3026" s="2" t="s">
        <v>38</v>
      </c>
      <c r="R3026" s="2" t="s">
        <v>38</v>
      </c>
      <c r="S3026" s="2" t="s">
        <v>38</v>
      </c>
      <c r="T3026" s="2" t="s">
        <v>38</v>
      </c>
      <c r="U3026" s="2" t="s">
        <v>39</v>
      </c>
      <c r="V3026" s="2" t="s">
        <v>39</v>
      </c>
      <c r="W3026" s="2" t="s">
        <v>38</v>
      </c>
      <c r="X3026" s="2" t="s">
        <v>38</v>
      </c>
      <c r="Y3026" s="2" t="s">
        <v>39</v>
      </c>
      <c r="Z3026" s="2" t="s">
        <v>38</v>
      </c>
      <c r="AA3026" s="2" t="s">
        <v>38</v>
      </c>
      <c r="AB3026" s="2" t="s">
        <v>38</v>
      </c>
      <c r="AC3026" s="2" t="s">
        <v>38</v>
      </c>
      <c r="AD3026" s="2" t="s">
        <v>39</v>
      </c>
      <c r="AE3026" s="2" t="s">
        <v>40</v>
      </c>
    </row>
    <row r="3027" spans="1:31" ht="409.5">
      <c r="A3027" s="2">
        <v>2705509</v>
      </c>
      <c r="B3027" s="2">
        <f>HYPERLINK("https://platform.v2.vetology.net/cases/2705509/screening-report/1?type=pdf&amp;v=v6&amp;scorecard=1&amp;secret_key=BX%25IJ%24%2F65ieZ%29f6", 2705509)</f>
        <v>2705509</v>
      </c>
      <c r="C3027" s="2">
        <f>HYPERLINK("https://platform.v2.vetology.net/report/v/final/"&amp;2705509, 2705509)</f>
        <v>2705509</v>
      </c>
      <c r="D3027" s="2" t="s">
        <v>9625</v>
      </c>
      <c r="E3027" s="2" t="s">
        <v>9626</v>
      </c>
      <c r="F3027" s="2" t="s">
        <v>1433</v>
      </c>
      <c r="G3027" s="2" t="s">
        <v>100</v>
      </c>
      <c r="H3027" s="2" t="s">
        <v>9627</v>
      </c>
      <c r="I3027" s="2" t="s">
        <v>129</v>
      </c>
      <c r="J3027" s="2" t="s">
        <v>74</v>
      </c>
      <c r="K3027" s="2" t="s">
        <v>39</v>
      </c>
      <c r="L3027" s="2" t="s">
        <v>38</v>
      </c>
      <c r="M3027" s="2" t="s">
        <v>39</v>
      </c>
      <c r="N3027" s="2" t="s">
        <v>39</v>
      </c>
      <c r="O3027" s="2" t="s">
        <v>39</v>
      </c>
      <c r="P3027" s="2" t="s">
        <v>38</v>
      </c>
      <c r="Q3027" s="2" t="s">
        <v>38</v>
      </c>
      <c r="R3027" s="2" t="s">
        <v>39</v>
      </c>
      <c r="S3027" s="2" t="s">
        <v>39</v>
      </c>
      <c r="T3027" s="2" t="s">
        <v>39</v>
      </c>
      <c r="U3027" s="2" t="s">
        <v>39</v>
      </c>
      <c r="V3027" s="2" t="s">
        <v>39</v>
      </c>
      <c r="W3027" s="2" t="s">
        <v>39</v>
      </c>
      <c r="X3027" s="2" t="s">
        <v>38</v>
      </c>
      <c r="Y3027" s="2" t="s">
        <v>39</v>
      </c>
      <c r="Z3027" s="2" t="s">
        <v>39</v>
      </c>
      <c r="AA3027" s="2" t="s">
        <v>39</v>
      </c>
      <c r="AB3027" s="2" t="s">
        <v>39</v>
      </c>
      <c r="AC3027" s="2" t="s">
        <v>39</v>
      </c>
      <c r="AD3027" s="2" t="s">
        <v>39</v>
      </c>
      <c r="AE3027" s="2"/>
    </row>
    <row r="3028" spans="1:31" ht="409.5">
      <c r="A3028" s="2">
        <v>2705497</v>
      </c>
      <c r="B3028" s="2">
        <f>HYPERLINK("https://platform.v2.vetology.net/cases/2705497/screening-report/1?type=pdf&amp;v=v6&amp;scorecard=1&amp;secret_key=BX%25IJ%24%2F65ieZ%29f6", 2705497)</f>
        <v>2705497</v>
      </c>
      <c r="C3028" s="2">
        <f>HYPERLINK("https://platform.v2.vetology.net/report/v/final/"&amp;2705497, 2705497)</f>
        <v>2705497</v>
      </c>
      <c r="D3028" s="2" t="s">
        <v>9628</v>
      </c>
      <c r="E3028" s="2" t="s">
        <v>9629</v>
      </c>
      <c r="F3028" s="2" t="s">
        <v>276</v>
      </c>
      <c r="G3028" s="2" t="s">
        <v>170</v>
      </c>
      <c r="H3028" s="2" t="s">
        <v>69</v>
      </c>
      <c r="I3028" s="2" t="s">
        <v>46</v>
      </c>
      <c r="J3028" s="2"/>
      <c r="K3028" s="2" t="s">
        <v>39</v>
      </c>
      <c r="L3028" s="2" t="s">
        <v>39</v>
      </c>
      <c r="M3028" s="2" t="s">
        <v>39</v>
      </c>
      <c r="N3028" s="2" t="s">
        <v>39</v>
      </c>
      <c r="O3028" s="2" t="s">
        <v>39</v>
      </c>
      <c r="P3028" s="2" t="s">
        <v>39</v>
      </c>
      <c r="Q3028" s="2" t="s">
        <v>39</v>
      </c>
      <c r="R3028" s="2" t="s">
        <v>39</v>
      </c>
      <c r="S3028" s="2" t="s">
        <v>39</v>
      </c>
      <c r="T3028" s="2" t="s">
        <v>38</v>
      </c>
      <c r="U3028" s="2" t="s">
        <v>39</v>
      </c>
      <c r="V3028" s="2" t="s">
        <v>39</v>
      </c>
      <c r="W3028" s="2" t="s">
        <v>38</v>
      </c>
      <c r="X3028" s="2" t="s">
        <v>39</v>
      </c>
      <c r="Y3028" s="2" t="s">
        <v>39</v>
      </c>
      <c r="Z3028" s="2" t="s">
        <v>38</v>
      </c>
      <c r="AA3028" s="2" t="s">
        <v>39</v>
      </c>
      <c r="AB3028" s="2" t="s">
        <v>39</v>
      </c>
      <c r="AC3028" s="2" t="s">
        <v>38</v>
      </c>
      <c r="AD3028" s="2" t="s">
        <v>38</v>
      </c>
      <c r="AE3028" s="2" t="s">
        <v>39</v>
      </c>
    </row>
    <row r="3029" spans="1:31" ht="409.5">
      <c r="A3029" s="2">
        <v>2705492</v>
      </c>
      <c r="B3029" s="2">
        <f>HYPERLINK("https://platform.v2.vetology.net/cases/2705492/screening-report/1?type=pdf&amp;v=v6&amp;scorecard=1&amp;secret_key=BX%25IJ%24%2F65ieZ%29f6", 2705492)</f>
        <v>2705492</v>
      </c>
      <c r="C3029" s="2">
        <f>HYPERLINK("https://platform.v2.vetology.net/report/v/final/"&amp;2705492, 2705492)</f>
        <v>2705492</v>
      </c>
      <c r="D3029" s="2" t="s">
        <v>9630</v>
      </c>
      <c r="E3029" s="2" t="s">
        <v>9631</v>
      </c>
      <c r="F3029" s="2" t="s">
        <v>43</v>
      </c>
      <c r="G3029" s="2" t="s">
        <v>44</v>
      </c>
      <c r="H3029" s="2" t="s">
        <v>9632</v>
      </c>
      <c r="I3029" s="2" t="s">
        <v>36</v>
      </c>
      <c r="J3029" s="2" t="s">
        <v>37</v>
      </c>
      <c r="K3029" s="2" t="s">
        <v>38</v>
      </c>
      <c r="L3029" s="2" t="s">
        <v>38</v>
      </c>
      <c r="M3029" s="2" t="s">
        <v>38</v>
      </c>
      <c r="N3029" s="2" t="s">
        <v>38</v>
      </c>
      <c r="O3029" s="2" t="s">
        <v>38</v>
      </c>
      <c r="P3029" s="2" t="s">
        <v>38</v>
      </c>
      <c r="Q3029" s="2" t="s">
        <v>39</v>
      </c>
      <c r="R3029" s="2" t="s">
        <v>38</v>
      </c>
      <c r="S3029" s="2" t="s">
        <v>38</v>
      </c>
      <c r="T3029" s="2" t="s">
        <v>38</v>
      </c>
      <c r="U3029" s="2" t="s">
        <v>38</v>
      </c>
      <c r="V3029" s="2" t="s">
        <v>38</v>
      </c>
      <c r="W3029" s="2" t="s">
        <v>38</v>
      </c>
      <c r="X3029" s="2" t="s">
        <v>38</v>
      </c>
      <c r="Y3029" s="2" t="s">
        <v>38</v>
      </c>
      <c r="Z3029" s="2" t="s">
        <v>38</v>
      </c>
      <c r="AA3029" s="2" t="s">
        <v>38</v>
      </c>
      <c r="AB3029" s="2" t="s">
        <v>38</v>
      </c>
      <c r="AC3029" s="2" t="s">
        <v>38</v>
      </c>
      <c r="AD3029" s="2" t="s">
        <v>38</v>
      </c>
      <c r="AE3029" s="2" t="s">
        <v>40</v>
      </c>
    </row>
    <row r="3030" spans="1:31" ht="409.5">
      <c r="A3030" s="2">
        <v>2705473</v>
      </c>
      <c r="B3030" s="2">
        <f>HYPERLINK("https://platform.v2.vetology.net/cases/2705473/screening-report/1?type=pdf&amp;v=v6&amp;scorecard=1&amp;secret_key=BX%25IJ%24%2F65ieZ%29f6", 2705473)</f>
        <v>2705473</v>
      </c>
      <c r="C3030" s="2">
        <f>HYPERLINK("https://platform.v2.vetology.net/report/v/final/"&amp;2705473, 2705473)</f>
        <v>2705473</v>
      </c>
      <c r="D3030" s="2" t="s">
        <v>9633</v>
      </c>
      <c r="E3030" s="2" t="s">
        <v>9634</v>
      </c>
      <c r="F3030" s="2" t="s">
        <v>9635</v>
      </c>
      <c r="G3030" s="2" t="s">
        <v>34</v>
      </c>
      <c r="H3030" s="2" t="s">
        <v>530</v>
      </c>
      <c r="I3030" s="2" t="s">
        <v>59</v>
      </c>
      <c r="J3030" s="2" t="s">
        <v>37</v>
      </c>
      <c r="K3030" s="2" t="s">
        <v>38</v>
      </c>
      <c r="L3030" s="2" t="s">
        <v>39</v>
      </c>
      <c r="M3030" s="2" t="s">
        <v>39</v>
      </c>
      <c r="N3030" s="2" t="s">
        <v>39</v>
      </c>
      <c r="O3030" s="2" t="s">
        <v>39</v>
      </c>
      <c r="P3030" s="2" t="s">
        <v>39</v>
      </c>
      <c r="Q3030" s="2" t="s">
        <v>39</v>
      </c>
      <c r="R3030" s="2" t="s">
        <v>39</v>
      </c>
      <c r="S3030" s="2" t="s">
        <v>39</v>
      </c>
      <c r="T3030" s="2" t="s">
        <v>38</v>
      </c>
      <c r="U3030" s="2" t="s">
        <v>38</v>
      </c>
      <c r="V3030" s="2" t="s">
        <v>38</v>
      </c>
      <c r="W3030" s="2" t="s">
        <v>39</v>
      </c>
      <c r="X3030" s="2" t="s">
        <v>39</v>
      </c>
      <c r="Y3030" s="2" t="s">
        <v>39</v>
      </c>
      <c r="Z3030" s="2" t="s">
        <v>39</v>
      </c>
      <c r="AA3030" s="2" t="s">
        <v>38</v>
      </c>
      <c r="AB3030" s="2" t="s">
        <v>39</v>
      </c>
      <c r="AC3030" s="2" t="s">
        <v>38</v>
      </c>
      <c r="AD3030" s="2" t="s">
        <v>39</v>
      </c>
      <c r="AE3030" s="2" t="s">
        <v>40</v>
      </c>
    </row>
    <row r="3031" spans="1:31" ht="409.5">
      <c r="A3031" s="2">
        <v>2705466</v>
      </c>
      <c r="B3031" s="2">
        <f>HYPERLINK("https://platform.v2.vetology.net/cases/2705466/screening-report/1?type=pdf&amp;v=v6&amp;scorecard=1&amp;secret_key=BX%25IJ%24%2F65ieZ%29f6", 2705466)</f>
        <v>2705466</v>
      </c>
      <c r="C3031" s="2">
        <f>HYPERLINK("https://platform.v2.vetology.net/report/v/final/"&amp;2705466, 2705466)</f>
        <v>2705466</v>
      </c>
      <c r="D3031" s="2" t="s">
        <v>9636</v>
      </c>
      <c r="E3031" s="2" t="s">
        <v>9637</v>
      </c>
      <c r="F3031" s="2" t="s">
        <v>43</v>
      </c>
      <c r="G3031" s="2" t="s">
        <v>44</v>
      </c>
      <c r="H3031" s="2" t="s">
        <v>9638</v>
      </c>
      <c r="I3031" s="2" t="s">
        <v>73</v>
      </c>
      <c r="J3031" s="2" t="s">
        <v>74</v>
      </c>
      <c r="K3031" s="2" t="s">
        <v>38</v>
      </c>
      <c r="L3031" s="2" t="s">
        <v>39</v>
      </c>
      <c r="M3031" s="2" t="s">
        <v>38</v>
      </c>
      <c r="N3031" s="2" t="s">
        <v>38</v>
      </c>
      <c r="O3031" s="2" t="s">
        <v>38</v>
      </c>
      <c r="P3031" s="2" t="s">
        <v>38</v>
      </c>
      <c r="Q3031" s="2" t="s">
        <v>38</v>
      </c>
      <c r="R3031" s="2" t="s">
        <v>38</v>
      </c>
      <c r="S3031" s="2" t="s">
        <v>39</v>
      </c>
      <c r="T3031" s="2" t="s">
        <v>38</v>
      </c>
      <c r="U3031" s="2" t="s">
        <v>38</v>
      </c>
      <c r="V3031" s="2" t="s">
        <v>38</v>
      </c>
      <c r="W3031" s="2" t="s">
        <v>38</v>
      </c>
      <c r="X3031" s="2" t="s">
        <v>38</v>
      </c>
      <c r="Y3031" s="2" t="s">
        <v>39</v>
      </c>
      <c r="Z3031" s="2" t="s">
        <v>38</v>
      </c>
      <c r="AA3031" s="2" t="s">
        <v>38</v>
      </c>
      <c r="AB3031" s="2" t="s">
        <v>38</v>
      </c>
      <c r="AC3031" s="2" t="s">
        <v>38</v>
      </c>
      <c r="AD3031" s="2" t="s">
        <v>39</v>
      </c>
      <c r="AE3031" s="2" t="s">
        <v>39</v>
      </c>
    </row>
    <row r="3032" spans="1:31" ht="409.5">
      <c r="A3032" s="2">
        <v>2705445</v>
      </c>
      <c r="B3032" s="2">
        <f>HYPERLINK("https://platform.v2.vetology.net/cases/2705445/screening-report/1?type=pdf&amp;v=v6&amp;scorecard=1&amp;secret_key=BX%25IJ%24%2F65ieZ%29f6", 2705445)</f>
        <v>2705445</v>
      </c>
      <c r="C3032" s="2">
        <f>HYPERLINK("https://platform.v2.vetology.net/report/v/final/"&amp;2705445, 2705445)</f>
        <v>2705445</v>
      </c>
      <c r="D3032" s="2" t="s">
        <v>9639</v>
      </c>
      <c r="E3032" s="2" t="s">
        <v>9640</v>
      </c>
      <c r="F3032" s="2" t="s">
        <v>9641</v>
      </c>
      <c r="G3032" s="2" t="s">
        <v>34</v>
      </c>
      <c r="H3032" s="2" t="s">
        <v>9642</v>
      </c>
      <c r="I3032" s="2" t="s">
        <v>73</v>
      </c>
      <c r="J3032" s="2" t="s">
        <v>74</v>
      </c>
      <c r="K3032" s="2" t="s">
        <v>38</v>
      </c>
      <c r="L3032" s="2" t="s">
        <v>38</v>
      </c>
      <c r="M3032" s="2" t="s">
        <v>39</v>
      </c>
      <c r="N3032" s="2" t="s">
        <v>38</v>
      </c>
      <c r="O3032" s="2" t="s">
        <v>39</v>
      </c>
      <c r="P3032" s="2" t="s">
        <v>38</v>
      </c>
      <c r="Q3032" s="2" t="s">
        <v>38</v>
      </c>
      <c r="R3032" s="2" t="s">
        <v>39</v>
      </c>
      <c r="S3032" s="2" t="s">
        <v>39</v>
      </c>
      <c r="T3032" s="2" t="s">
        <v>38</v>
      </c>
      <c r="U3032" s="2" t="s">
        <v>38</v>
      </c>
      <c r="V3032" s="2" t="s">
        <v>39</v>
      </c>
      <c r="W3032" s="2" t="s">
        <v>39</v>
      </c>
      <c r="X3032" s="2" t="s">
        <v>38</v>
      </c>
      <c r="Y3032" s="2" t="s">
        <v>39</v>
      </c>
      <c r="Z3032" s="2" t="s">
        <v>39</v>
      </c>
      <c r="AA3032" s="2" t="s">
        <v>39</v>
      </c>
      <c r="AB3032" s="2" t="s">
        <v>39</v>
      </c>
      <c r="AC3032" s="2" t="s">
        <v>38</v>
      </c>
      <c r="AD3032" s="2" t="s">
        <v>39</v>
      </c>
      <c r="AE3032" s="2" t="s">
        <v>40</v>
      </c>
    </row>
    <row r="3033" spans="1:31" ht="409.5">
      <c r="A3033" s="2">
        <v>2705424</v>
      </c>
      <c r="B3033" s="2">
        <f>HYPERLINK("https://platform.v2.vetology.net/cases/2705424/screening-report/1?type=pdf&amp;v=v6&amp;scorecard=1&amp;secret_key=BX%25IJ%24%2F65ieZ%29f6", 2705424)</f>
        <v>2705424</v>
      </c>
      <c r="C3033" s="2">
        <f>HYPERLINK("https://platform.v2.vetology.net/report/v/final/"&amp;2705424, 2705424)</f>
        <v>2705424</v>
      </c>
      <c r="D3033" s="2" t="s">
        <v>9643</v>
      </c>
      <c r="E3033" s="2" t="s">
        <v>9644</v>
      </c>
      <c r="F3033" s="2" t="s">
        <v>9645</v>
      </c>
      <c r="G3033" s="2" t="s">
        <v>127</v>
      </c>
      <c r="H3033" s="2" t="s">
        <v>9646</v>
      </c>
      <c r="I3033" s="2" t="s">
        <v>36</v>
      </c>
      <c r="J3033" s="2" t="s">
        <v>37</v>
      </c>
      <c r="K3033" s="2" t="s">
        <v>38</v>
      </c>
      <c r="L3033" s="2" t="s">
        <v>38</v>
      </c>
      <c r="M3033" s="2" t="s">
        <v>38</v>
      </c>
      <c r="N3033" s="2" t="s">
        <v>38</v>
      </c>
      <c r="O3033" s="2" t="s">
        <v>38</v>
      </c>
      <c r="P3033" s="2" t="s">
        <v>38</v>
      </c>
      <c r="Q3033" s="2" t="s">
        <v>38</v>
      </c>
      <c r="R3033" s="2" t="s">
        <v>38</v>
      </c>
      <c r="S3033" s="2" t="s">
        <v>38</v>
      </c>
      <c r="T3033" s="2" t="s">
        <v>38</v>
      </c>
      <c r="U3033" s="2" t="s">
        <v>38</v>
      </c>
      <c r="V3033" s="2" t="s">
        <v>38</v>
      </c>
      <c r="W3033" s="2" t="s">
        <v>38</v>
      </c>
      <c r="X3033" s="2" t="s">
        <v>39</v>
      </c>
      <c r="Y3033" s="2" t="s">
        <v>39</v>
      </c>
      <c r="Z3033" s="2" t="s">
        <v>38</v>
      </c>
      <c r="AA3033" s="2" t="s">
        <v>39</v>
      </c>
      <c r="AB3033" s="2" t="s">
        <v>38</v>
      </c>
      <c r="AC3033" s="2" t="s">
        <v>38</v>
      </c>
      <c r="AD3033" s="2" t="s">
        <v>39</v>
      </c>
      <c r="AE3033" s="2" t="s">
        <v>39</v>
      </c>
    </row>
    <row r="3034" spans="1:31" ht="409.5">
      <c r="A3034" s="2">
        <v>2705419</v>
      </c>
      <c r="B3034" s="2">
        <f>HYPERLINK("https://platform.v2.vetology.net/cases/2705419/screening-report/1?type=pdf&amp;v=v6&amp;scorecard=1&amp;secret_key=BX%25IJ%24%2F65ieZ%29f6", 2705419)</f>
        <v>2705419</v>
      </c>
      <c r="C3034" s="2">
        <f>HYPERLINK("https://platform.v2.vetology.net/report/v/final/"&amp;2705419, 2705419)</f>
        <v>2705419</v>
      </c>
      <c r="D3034" s="2" t="s">
        <v>9647</v>
      </c>
      <c r="E3034" s="2" t="s">
        <v>9648</v>
      </c>
      <c r="F3034" s="2" t="s">
        <v>9649</v>
      </c>
      <c r="G3034" s="2" t="s">
        <v>111</v>
      </c>
      <c r="H3034" s="2" t="s">
        <v>5949</v>
      </c>
      <c r="I3034" s="2" t="s">
        <v>36</v>
      </c>
      <c r="J3034" s="2" t="s">
        <v>37</v>
      </c>
      <c r="K3034" s="2" t="s">
        <v>38</v>
      </c>
      <c r="L3034" s="2" t="s">
        <v>38</v>
      </c>
      <c r="M3034" s="2" t="s">
        <v>38</v>
      </c>
      <c r="N3034" s="2" t="s">
        <v>38</v>
      </c>
      <c r="O3034" s="2" t="s">
        <v>38</v>
      </c>
      <c r="P3034" s="2" t="s">
        <v>39</v>
      </c>
      <c r="Q3034" s="2" t="s">
        <v>39</v>
      </c>
      <c r="R3034" s="2" t="s">
        <v>38</v>
      </c>
      <c r="S3034" s="2" t="s">
        <v>38</v>
      </c>
      <c r="T3034" s="2" t="s">
        <v>39</v>
      </c>
      <c r="U3034" s="2" t="s">
        <v>38</v>
      </c>
      <c r="V3034" s="2" t="s">
        <v>38</v>
      </c>
      <c r="W3034" s="2" t="s">
        <v>38</v>
      </c>
      <c r="X3034" s="2" t="s">
        <v>39</v>
      </c>
      <c r="Y3034" s="2" t="s">
        <v>39</v>
      </c>
      <c r="Z3034" s="2" t="s">
        <v>38</v>
      </c>
      <c r="AA3034" s="2" t="s">
        <v>39</v>
      </c>
      <c r="AB3034" s="2" t="s">
        <v>39</v>
      </c>
      <c r="AC3034" s="2" t="s">
        <v>38</v>
      </c>
      <c r="AD3034" s="2" t="s">
        <v>39</v>
      </c>
      <c r="AE3034" s="2" t="s">
        <v>40</v>
      </c>
    </row>
    <row r="3035" spans="1:31" ht="409.5">
      <c r="A3035" s="2">
        <v>2705398</v>
      </c>
      <c r="B3035" s="2">
        <f>HYPERLINK("https://platform.v2.vetology.net/cases/2705398/screening-report/1?type=pdf&amp;v=v6&amp;scorecard=1&amp;secret_key=BX%25IJ%24%2F65ieZ%29f6", 2705398)</f>
        <v>2705398</v>
      </c>
      <c r="C3035" s="2">
        <f>HYPERLINK("https://platform.v2.vetology.net/report/v/final/"&amp;2705398, 2705398)</f>
        <v>2705398</v>
      </c>
      <c r="D3035" s="2" t="s">
        <v>9650</v>
      </c>
      <c r="E3035" s="2" t="s">
        <v>9651</v>
      </c>
      <c r="F3035" s="2" t="s">
        <v>9652</v>
      </c>
      <c r="G3035" s="2" t="s">
        <v>170</v>
      </c>
      <c r="H3035" s="2" t="s">
        <v>1222</v>
      </c>
      <c r="I3035" s="2" t="s">
        <v>36</v>
      </c>
      <c r="J3035" s="2" t="s">
        <v>37</v>
      </c>
      <c r="K3035" s="2" t="s">
        <v>38</v>
      </c>
      <c r="L3035" s="2" t="s">
        <v>38</v>
      </c>
      <c r="M3035" s="2" t="s">
        <v>39</v>
      </c>
      <c r="N3035" s="2" t="s">
        <v>39</v>
      </c>
      <c r="O3035" s="2" t="s">
        <v>38</v>
      </c>
      <c r="P3035" s="2" t="s">
        <v>39</v>
      </c>
      <c r="Q3035" s="2" t="s">
        <v>39</v>
      </c>
      <c r="R3035" s="2" t="s">
        <v>39</v>
      </c>
      <c r="S3035" s="2" t="s">
        <v>39</v>
      </c>
      <c r="T3035" s="2" t="s">
        <v>39</v>
      </c>
      <c r="U3035" s="2" t="s">
        <v>39</v>
      </c>
      <c r="V3035" s="2" t="s">
        <v>39</v>
      </c>
      <c r="W3035" s="2" t="s">
        <v>39</v>
      </c>
      <c r="X3035" s="2" t="s">
        <v>39</v>
      </c>
      <c r="Y3035" s="2" t="s">
        <v>39</v>
      </c>
      <c r="Z3035" s="2" t="s">
        <v>39</v>
      </c>
      <c r="AA3035" s="2" t="s">
        <v>39</v>
      </c>
      <c r="AB3035" s="2" t="s">
        <v>39</v>
      </c>
      <c r="AC3035" s="2" t="s">
        <v>38</v>
      </c>
      <c r="AD3035" s="2" t="s">
        <v>38</v>
      </c>
      <c r="AE3035" s="2" t="s">
        <v>40</v>
      </c>
    </row>
    <row r="3036" spans="1:31" ht="409.5">
      <c r="A3036" s="2">
        <v>2705383</v>
      </c>
      <c r="B3036" s="2">
        <f>HYPERLINK("https://platform.v2.vetology.net/cases/2705383/screening-report/1?type=pdf&amp;v=v6&amp;scorecard=1&amp;secret_key=BX%25IJ%24%2F65ieZ%29f6", 2705383)</f>
        <v>2705383</v>
      </c>
      <c r="C3036" s="2">
        <f>HYPERLINK("https://platform.v2.vetology.net/report/v/final/"&amp;2705383, 2705383)</f>
        <v>2705383</v>
      </c>
      <c r="D3036" s="2" t="s">
        <v>9653</v>
      </c>
      <c r="E3036" s="2" t="s">
        <v>9654</v>
      </c>
      <c r="F3036" s="2" t="s">
        <v>9655</v>
      </c>
      <c r="G3036" s="2" t="s">
        <v>53</v>
      </c>
      <c r="H3036" s="2" t="s">
        <v>69</v>
      </c>
      <c r="I3036" s="2" t="s">
        <v>46</v>
      </c>
      <c r="J3036" s="2"/>
      <c r="K3036" s="2" t="s">
        <v>39</v>
      </c>
      <c r="L3036" s="2" t="s">
        <v>39</v>
      </c>
      <c r="M3036" s="2" t="s">
        <v>39</v>
      </c>
      <c r="N3036" s="2" t="s">
        <v>39</v>
      </c>
      <c r="O3036" s="2" t="s">
        <v>39</v>
      </c>
      <c r="P3036" s="2" t="s">
        <v>39</v>
      </c>
      <c r="Q3036" s="2" t="s">
        <v>39</v>
      </c>
      <c r="R3036" s="2" t="s">
        <v>39</v>
      </c>
      <c r="S3036" s="2" t="s">
        <v>39</v>
      </c>
      <c r="T3036" s="2" t="s">
        <v>39</v>
      </c>
      <c r="U3036" s="2" t="s">
        <v>39</v>
      </c>
      <c r="V3036" s="2" t="s">
        <v>39</v>
      </c>
      <c r="W3036" s="2" t="s">
        <v>39</v>
      </c>
      <c r="X3036" s="2" t="s">
        <v>39</v>
      </c>
      <c r="Y3036" s="2" t="s">
        <v>39</v>
      </c>
      <c r="Z3036" s="2" t="s">
        <v>39</v>
      </c>
      <c r="AA3036" s="2" t="s">
        <v>39</v>
      </c>
      <c r="AB3036" s="2" t="s">
        <v>39</v>
      </c>
      <c r="AC3036" s="2" t="s">
        <v>39</v>
      </c>
      <c r="AD3036" s="2" t="s">
        <v>39</v>
      </c>
      <c r="AE3036" s="2" t="s">
        <v>40</v>
      </c>
    </row>
    <row r="3037" spans="1:31" ht="409.5">
      <c r="A3037" s="2">
        <v>2705363</v>
      </c>
      <c r="B3037" s="2">
        <f>HYPERLINK("https://platform.v2.vetology.net/cases/2705363/screening-report/1?type=pdf&amp;v=v6&amp;scorecard=1&amp;secret_key=BX%25IJ%24%2F65ieZ%29f6", 2705363)</f>
        <v>2705363</v>
      </c>
      <c r="C3037" s="2">
        <f>HYPERLINK("https://platform.v2.vetology.net/report/v/final/"&amp;2705363, 2705363)</f>
        <v>2705363</v>
      </c>
      <c r="D3037" s="2" t="s">
        <v>9656</v>
      </c>
      <c r="E3037" s="2" t="s">
        <v>9657</v>
      </c>
      <c r="F3037" s="2" t="s">
        <v>1672</v>
      </c>
      <c r="G3037" s="2" t="s">
        <v>111</v>
      </c>
      <c r="H3037" s="2" t="s">
        <v>9658</v>
      </c>
      <c r="I3037" s="2" t="s">
        <v>129</v>
      </c>
      <c r="J3037" s="2" t="s">
        <v>74</v>
      </c>
      <c r="K3037" s="2" t="s">
        <v>38</v>
      </c>
      <c r="L3037" s="2" t="s">
        <v>38</v>
      </c>
      <c r="M3037" s="2" t="s">
        <v>38</v>
      </c>
      <c r="N3037" s="2" t="s">
        <v>38</v>
      </c>
      <c r="O3037" s="2" t="s">
        <v>38</v>
      </c>
      <c r="P3037" s="2" t="s">
        <v>38</v>
      </c>
      <c r="Q3037" s="2" t="s">
        <v>38</v>
      </c>
      <c r="R3037" s="2" t="s">
        <v>38</v>
      </c>
      <c r="S3037" s="2" t="s">
        <v>38</v>
      </c>
      <c r="T3037" s="2" t="s">
        <v>38</v>
      </c>
      <c r="U3037" s="2" t="s">
        <v>39</v>
      </c>
      <c r="V3037" s="2" t="s">
        <v>38</v>
      </c>
      <c r="W3037" s="2" t="s">
        <v>38</v>
      </c>
      <c r="X3037" s="2" t="s">
        <v>38</v>
      </c>
      <c r="Y3037" s="2" t="s">
        <v>38</v>
      </c>
      <c r="Z3037" s="2" t="s">
        <v>38</v>
      </c>
      <c r="AA3037" s="2" t="s">
        <v>38</v>
      </c>
      <c r="AB3037" s="2" t="s">
        <v>38</v>
      </c>
      <c r="AC3037" s="2" t="s">
        <v>38</v>
      </c>
      <c r="AD3037" s="2" t="s">
        <v>38</v>
      </c>
      <c r="AE3037" s="2"/>
    </row>
    <row r="3038" spans="1:31" ht="409.5">
      <c r="A3038" s="2">
        <v>2705351</v>
      </c>
      <c r="B3038" s="2">
        <f>HYPERLINK("https://platform.v2.vetology.net/cases/2705351/screening-report/1?type=pdf&amp;v=v6&amp;scorecard=1&amp;secret_key=BX%25IJ%24%2F65ieZ%29f6", 2705351)</f>
        <v>2705351</v>
      </c>
      <c r="C3038" s="2">
        <f>HYPERLINK("https://platform.v2.vetology.net/report/v/final/"&amp;2705351, 2705351)</f>
        <v>2705351</v>
      </c>
      <c r="D3038" s="2" t="s">
        <v>9659</v>
      </c>
      <c r="E3038" s="2" t="s">
        <v>9660</v>
      </c>
      <c r="F3038" s="2" t="s">
        <v>9661</v>
      </c>
      <c r="G3038" s="2" t="s">
        <v>34</v>
      </c>
      <c r="H3038" s="2" t="s">
        <v>9662</v>
      </c>
      <c r="I3038" s="2" t="s">
        <v>73</v>
      </c>
      <c r="J3038" s="2" t="s">
        <v>74</v>
      </c>
      <c r="K3038" s="2" t="s">
        <v>38</v>
      </c>
      <c r="L3038" s="2" t="s">
        <v>39</v>
      </c>
      <c r="M3038" s="2" t="s">
        <v>38</v>
      </c>
      <c r="N3038" s="2" t="s">
        <v>38</v>
      </c>
      <c r="O3038" s="2" t="s">
        <v>38</v>
      </c>
      <c r="P3038" s="2" t="s">
        <v>38</v>
      </c>
      <c r="Q3038" s="2" t="s">
        <v>38</v>
      </c>
      <c r="R3038" s="2" t="s">
        <v>39</v>
      </c>
      <c r="S3038" s="2" t="s">
        <v>39</v>
      </c>
      <c r="T3038" s="2" t="s">
        <v>38</v>
      </c>
      <c r="U3038" s="2" t="s">
        <v>38</v>
      </c>
      <c r="V3038" s="2" t="s">
        <v>38</v>
      </c>
      <c r="W3038" s="2" t="s">
        <v>38</v>
      </c>
      <c r="X3038" s="2" t="s">
        <v>38</v>
      </c>
      <c r="Y3038" s="2" t="s">
        <v>38</v>
      </c>
      <c r="Z3038" s="2" t="s">
        <v>39</v>
      </c>
      <c r="AA3038" s="2" t="s">
        <v>38</v>
      </c>
      <c r="AB3038" s="2" t="s">
        <v>38</v>
      </c>
      <c r="AC3038" s="2" t="s">
        <v>38</v>
      </c>
      <c r="AD3038" s="2" t="s">
        <v>39</v>
      </c>
      <c r="AE3038" s="2" t="s">
        <v>40</v>
      </c>
    </row>
    <row r="3039" spans="1:31" ht="409.5">
      <c r="A3039" s="2">
        <v>2705341</v>
      </c>
      <c r="B3039" s="2">
        <f>HYPERLINK("https://platform.v2.vetology.net/cases/2705341/screening-report/1?type=pdf&amp;v=v6&amp;scorecard=1&amp;secret_key=BX%25IJ%24%2F65ieZ%29f6", 2705341)</f>
        <v>2705341</v>
      </c>
      <c r="C3039" s="2">
        <f>HYPERLINK("https://platform.v2.vetology.net/report/v/final/"&amp;2705341, 2705341)</f>
        <v>2705341</v>
      </c>
      <c r="D3039" s="2" t="s">
        <v>9663</v>
      </c>
      <c r="E3039" s="2" t="s">
        <v>9664</v>
      </c>
      <c r="F3039" s="2" t="s">
        <v>9665</v>
      </c>
      <c r="G3039" s="2" t="s">
        <v>127</v>
      </c>
      <c r="H3039" s="2" t="s">
        <v>277</v>
      </c>
      <c r="I3039" s="2" t="s">
        <v>46</v>
      </c>
      <c r="J3039" s="2"/>
      <c r="K3039" s="2" t="s">
        <v>39</v>
      </c>
      <c r="L3039" s="2" t="s">
        <v>38</v>
      </c>
      <c r="M3039" s="2" t="s">
        <v>39</v>
      </c>
      <c r="N3039" s="2" t="s">
        <v>39</v>
      </c>
      <c r="O3039" s="2" t="s">
        <v>39</v>
      </c>
      <c r="P3039" s="2" t="s">
        <v>39</v>
      </c>
      <c r="Q3039" s="2" t="s">
        <v>39</v>
      </c>
      <c r="R3039" s="2" t="s">
        <v>39</v>
      </c>
      <c r="S3039" s="2" t="s">
        <v>39</v>
      </c>
      <c r="T3039" s="2" t="s">
        <v>39</v>
      </c>
      <c r="U3039" s="2" t="s">
        <v>39</v>
      </c>
      <c r="V3039" s="2" t="s">
        <v>39</v>
      </c>
      <c r="W3039" s="2" t="s">
        <v>38</v>
      </c>
      <c r="X3039" s="2" t="s">
        <v>39</v>
      </c>
      <c r="Y3039" s="2" t="s">
        <v>39</v>
      </c>
      <c r="Z3039" s="2" t="s">
        <v>39</v>
      </c>
      <c r="AA3039" s="2" t="s">
        <v>39</v>
      </c>
      <c r="AB3039" s="2" t="s">
        <v>39</v>
      </c>
      <c r="AC3039" s="2" t="s">
        <v>38</v>
      </c>
      <c r="AD3039" s="2" t="s">
        <v>38</v>
      </c>
      <c r="AE3039" s="2" t="s">
        <v>39</v>
      </c>
    </row>
    <row r="3040" spans="1:31" ht="409.5">
      <c r="A3040" s="2">
        <v>2705314</v>
      </c>
      <c r="B3040" s="2">
        <f>HYPERLINK("https://platform.v2.vetology.net/cases/2705314/screening-report/1?type=pdf&amp;v=v6&amp;scorecard=1&amp;secret_key=BX%25IJ%24%2F65ieZ%29f6", 2705314)</f>
        <v>2705314</v>
      </c>
      <c r="C3040" s="2">
        <f>HYPERLINK("https://platform.v2.vetology.net/report/v/final/"&amp;2705314, 2705314)</f>
        <v>2705314</v>
      </c>
      <c r="D3040" s="2" t="s">
        <v>9666</v>
      </c>
      <c r="E3040" s="2" t="s">
        <v>9667</v>
      </c>
      <c r="F3040" s="2" t="s">
        <v>9668</v>
      </c>
      <c r="G3040" s="2" t="s">
        <v>53</v>
      </c>
      <c r="H3040" s="2" t="s">
        <v>9669</v>
      </c>
      <c r="I3040" s="2" t="s">
        <v>36</v>
      </c>
      <c r="J3040" s="2" t="s">
        <v>37</v>
      </c>
      <c r="K3040" s="2" t="s">
        <v>39</v>
      </c>
      <c r="L3040" s="2" t="s">
        <v>38</v>
      </c>
      <c r="M3040" s="2" t="s">
        <v>38</v>
      </c>
      <c r="N3040" s="2" t="s">
        <v>38</v>
      </c>
      <c r="O3040" s="2" t="s">
        <v>38</v>
      </c>
      <c r="P3040" s="2" t="s">
        <v>38</v>
      </c>
      <c r="Q3040" s="2" t="s">
        <v>38</v>
      </c>
      <c r="R3040" s="2" t="s">
        <v>38</v>
      </c>
      <c r="S3040" s="2" t="s">
        <v>38</v>
      </c>
      <c r="T3040" s="2" t="s">
        <v>38</v>
      </c>
      <c r="U3040" s="2" t="s">
        <v>39</v>
      </c>
      <c r="V3040" s="2" t="s">
        <v>38</v>
      </c>
      <c r="W3040" s="2" t="s">
        <v>38</v>
      </c>
      <c r="X3040" s="2" t="s">
        <v>39</v>
      </c>
      <c r="Y3040" s="2" t="s">
        <v>38</v>
      </c>
      <c r="Z3040" s="2" t="s">
        <v>39</v>
      </c>
      <c r="AA3040" s="2" t="s">
        <v>39</v>
      </c>
      <c r="AB3040" s="2" t="s">
        <v>38</v>
      </c>
      <c r="AC3040" s="2" t="s">
        <v>38</v>
      </c>
      <c r="AD3040" s="2" t="s">
        <v>38</v>
      </c>
      <c r="AE3040" s="2" t="s">
        <v>40</v>
      </c>
    </row>
    <row r="3041" spans="1:31" ht="409.5">
      <c r="A3041" s="2">
        <v>2705306</v>
      </c>
      <c r="B3041" s="2">
        <f>HYPERLINK("https://platform.v2.vetology.net/cases/2705306/screening-report/1?type=pdf&amp;v=v6&amp;scorecard=1&amp;secret_key=BX%25IJ%24%2F65ieZ%29f6", 2705306)</f>
        <v>2705306</v>
      </c>
      <c r="C3041" s="2">
        <f>HYPERLINK("https://platform.v2.vetology.net/report/v/final/"&amp;2705306, 2705306)</f>
        <v>2705306</v>
      </c>
      <c r="D3041" s="2" t="s">
        <v>9670</v>
      </c>
      <c r="E3041" s="2" t="s">
        <v>9671</v>
      </c>
      <c r="F3041" s="2" t="s">
        <v>9672</v>
      </c>
      <c r="G3041" s="2" t="s">
        <v>34</v>
      </c>
      <c r="H3041" s="2" t="s">
        <v>45</v>
      </c>
      <c r="I3041" s="2" t="s">
        <v>46</v>
      </c>
      <c r="J3041" s="2"/>
      <c r="K3041" s="2" t="s">
        <v>39</v>
      </c>
      <c r="L3041" s="2" t="s">
        <v>39</v>
      </c>
      <c r="M3041" s="2" t="s">
        <v>39</v>
      </c>
      <c r="N3041" s="2" t="s">
        <v>39</v>
      </c>
      <c r="O3041" s="2" t="s">
        <v>39</v>
      </c>
      <c r="P3041" s="2" t="s">
        <v>39</v>
      </c>
      <c r="Q3041" s="2" t="s">
        <v>39</v>
      </c>
      <c r="R3041" s="2" t="s">
        <v>38</v>
      </c>
      <c r="S3041" s="2" t="s">
        <v>39</v>
      </c>
      <c r="T3041" s="2" t="s">
        <v>39</v>
      </c>
      <c r="U3041" s="2" t="s">
        <v>39</v>
      </c>
      <c r="V3041" s="2" t="s">
        <v>39</v>
      </c>
      <c r="W3041" s="2" t="s">
        <v>38</v>
      </c>
      <c r="X3041" s="2" t="s">
        <v>39</v>
      </c>
      <c r="Y3041" s="2" t="s">
        <v>39</v>
      </c>
      <c r="Z3041" s="2" t="s">
        <v>39</v>
      </c>
      <c r="AA3041" s="2" t="s">
        <v>39</v>
      </c>
      <c r="AB3041" s="2" t="s">
        <v>39</v>
      </c>
      <c r="AC3041" s="2" t="s">
        <v>38</v>
      </c>
      <c r="AD3041" s="2" t="s">
        <v>38</v>
      </c>
      <c r="AE3041" s="2" t="s">
        <v>39</v>
      </c>
    </row>
    <row r="3042" spans="1:31" ht="409.5">
      <c r="A3042" s="2">
        <v>2705305</v>
      </c>
      <c r="B3042" s="2">
        <f>HYPERLINK("https://platform.v2.vetology.net/cases/2705305/screening-report/1?type=pdf&amp;v=v6&amp;scorecard=1&amp;secret_key=BX%25IJ%24%2F65ieZ%29f6", 2705305)</f>
        <v>2705305</v>
      </c>
      <c r="C3042" s="2">
        <f>HYPERLINK("https://platform.v2.vetology.net/report/v/final/"&amp;2705305, 2705305)</f>
        <v>2705305</v>
      </c>
      <c r="D3042" s="2" t="s">
        <v>9673</v>
      </c>
      <c r="E3042" s="2" t="s">
        <v>9674</v>
      </c>
      <c r="F3042" s="2" t="s">
        <v>9675</v>
      </c>
      <c r="G3042" s="2" t="s">
        <v>170</v>
      </c>
      <c r="H3042" s="2" t="s">
        <v>2842</v>
      </c>
      <c r="I3042" s="2" t="s">
        <v>36</v>
      </c>
      <c r="J3042" s="2" t="s">
        <v>37</v>
      </c>
      <c r="K3042" s="2" t="s">
        <v>39</v>
      </c>
      <c r="L3042" s="2" t="s">
        <v>38</v>
      </c>
      <c r="M3042" s="2" t="s">
        <v>39</v>
      </c>
      <c r="N3042" s="2" t="s">
        <v>38</v>
      </c>
      <c r="O3042" s="2" t="s">
        <v>38</v>
      </c>
      <c r="P3042" s="2" t="s">
        <v>39</v>
      </c>
      <c r="Q3042" s="2" t="s">
        <v>39</v>
      </c>
      <c r="R3042" s="2" t="s">
        <v>38</v>
      </c>
      <c r="S3042" s="2" t="s">
        <v>38</v>
      </c>
      <c r="T3042" s="2" t="s">
        <v>39</v>
      </c>
      <c r="U3042" s="2" t="s">
        <v>39</v>
      </c>
      <c r="V3042" s="2" t="s">
        <v>39</v>
      </c>
      <c r="W3042" s="2" t="s">
        <v>38</v>
      </c>
      <c r="X3042" s="2" t="s">
        <v>39</v>
      </c>
      <c r="Y3042" s="2" t="s">
        <v>39</v>
      </c>
      <c r="Z3042" s="2" t="s">
        <v>38</v>
      </c>
      <c r="AA3042" s="2" t="s">
        <v>39</v>
      </c>
      <c r="AB3042" s="2" t="s">
        <v>38</v>
      </c>
      <c r="AC3042" s="2" t="s">
        <v>38</v>
      </c>
      <c r="AD3042" s="2" t="s">
        <v>38</v>
      </c>
      <c r="AE3042" s="2" t="s">
        <v>39</v>
      </c>
    </row>
    <row r="3043" spans="1:31" ht="409.5">
      <c r="A3043" s="2">
        <v>2705297</v>
      </c>
      <c r="B3043" s="2">
        <f>HYPERLINK("https://platform.v2.vetology.net/cases/2705297/screening-report/1?type=pdf&amp;v=v6&amp;scorecard=1&amp;secret_key=BX%25IJ%24%2F65ieZ%29f6", 2705297)</f>
        <v>2705297</v>
      </c>
      <c r="C3043" s="2">
        <f>HYPERLINK("https://platform.v2.vetology.net/report/v/final/"&amp;2705297, 2705297)</f>
        <v>2705297</v>
      </c>
      <c r="D3043" s="2" t="s">
        <v>9676</v>
      </c>
      <c r="E3043" s="2" t="s">
        <v>6634</v>
      </c>
      <c r="F3043" s="2" t="s">
        <v>43</v>
      </c>
      <c r="G3043" s="2" t="s">
        <v>100</v>
      </c>
      <c r="H3043" s="2" t="s">
        <v>9677</v>
      </c>
      <c r="I3043" s="2" t="s">
        <v>129</v>
      </c>
      <c r="J3043" s="2" t="s">
        <v>74</v>
      </c>
      <c r="K3043" s="2" t="s">
        <v>38</v>
      </c>
      <c r="L3043" s="2" t="s">
        <v>38</v>
      </c>
      <c r="M3043" s="2" t="s">
        <v>38</v>
      </c>
      <c r="N3043" s="2" t="s">
        <v>38</v>
      </c>
      <c r="O3043" s="2" t="s">
        <v>38</v>
      </c>
      <c r="P3043" s="2" t="s">
        <v>38</v>
      </c>
      <c r="Q3043" s="2" t="s">
        <v>38</v>
      </c>
      <c r="R3043" s="2" t="s">
        <v>38</v>
      </c>
      <c r="S3043" s="2" t="s">
        <v>38</v>
      </c>
      <c r="T3043" s="2" t="s">
        <v>38</v>
      </c>
      <c r="U3043" s="2" t="s">
        <v>39</v>
      </c>
      <c r="V3043" s="2" t="s">
        <v>38</v>
      </c>
      <c r="W3043" s="2" t="s">
        <v>38</v>
      </c>
      <c r="X3043" s="2" t="s">
        <v>39</v>
      </c>
      <c r="Y3043" s="2" t="s">
        <v>39</v>
      </c>
      <c r="Z3043" s="2" t="s">
        <v>38</v>
      </c>
      <c r="AA3043" s="2" t="s">
        <v>38</v>
      </c>
      <c r="AB3043" s="2" t="s">
        <v>38</v>
      </c>
      <c r="AC3043" s="2" t="s">
        <v>38</v>
      </c>
      <c r="AD3043" s="2" t="s">
        <v>38</v>
      </c>
      <c r="AE3043" s="2" t="s">
        <v>40</v>
      </c>
    </row>
    <row r="3044" spans="1:31" ht="409.5">
      <c r="A3044" s="2">
        <v>2705280</v>
      </c>
      <c r="B3044" s="2">
        <f>HYPERLINK("https://platform.v2.vetology.net/cases/2705280/screening-report/1?type=pdf&amp;v=v6&amp;scorecard=1&amp;secret_key=BX%25IJ%24%2F65ieZ%29f6", 2705280)</f>
        <v>2705280</v>
      </c>
      <c r="C3044" s="2">
        <f>HYPERLINK("https://platform.v2.vetology.net/report/v/final/"&amp;2705280, 2705280)</f>
        <v>2705280</v>
      </c>
      <c r="D3044" s="2" t="s">
        <v>9678</v>
      </c>
      <c r="E3044" s="2" t="s">
        <v>9679</v>
      </c>
      <c r="F3044" s="2" t="s">
        <v>2226</v>
      </c>
      <c r="G3044" s="2" t="s">
        <v>100</v>
      </c>
      <c r="H3044" s="2" t="s">
        <v>9680</v>
      </c>
      <c r="I3044" s="2" t="s">
        <v>129</v>
      </c>
      <c r="J3044" s="2" t="s">
        <v>74</v>
      </c>
      <c r="K3044" s="2" t="s">
        <v>39</v>
      </c>
      <c r="L3044" s="2" t="s">
        <v>38</v>
      </c>
      <c r="M3044" s="2" t="s">
        <v>38</v>
      </c>
      <c r="N3044" s="2" t="s">
        <v>38</v>
      </c>
      <c r="O3044" s="2" t="s">
        <v>38</v>
      </c>
      <c r="P3044" s="2" t="s">
        <v>38</v>
      </c>
      <c r="Q3044" s="2" t="s">
        <v>38</v>
      </c>
      <c r="R3044" s="2" t="s">
        <v>38</v>
      </c>
      <c r="S3044" s="2" t="s">
        <v>38</v>
      </c>
      <c r="T3044" s="2" t="s">
        <v>38</v>
      </c>
      <c r="U3044" s="2" t="s">
        <v>38</v>
      </c>
      <c r="V3044" s="2" t="s">
        <v>39</v>
      </c>
      <c r="W3044" s="2" t="s">
        <v>38</v>
      </c>
      <c r="X3044" s="2" t="s">
        <v>39</v>
      </c>
      <c r="Y3044" s="2" t="s">
        <v>38</v>
      </c>
      <c r="Z3044" s="2" t="s">
        <v>38</v>
      </c>
      <c r="AA3044" s="2" t="s">
        <v>38</v>
      </c>
      <c r="AB3044" s="2" t="s">
        <v>39</v>
      </c>
      <c r="AC3044" s="2" t="s">
        <v>38</v>
      </c>
      <c r="AD3044" s="2" t="s">
        <v>39</v>
      </c>
      <c r="AE3044" s="2"/>
    </row>
    <row r="3045" spans="1:31" ht="409.5">
      <c r="A3045" s="2">
        <v>2705278</v>
      </c>
      <c r="B3045" s="2">
        <f>HYPERLINK("https://platform.v2.vetology.net/cases/2705278/screening-report/1?type=pdf&amp;v=v6&amp;scorecard=1&amp;secret_key=BX%25IJ%24%2F65ieZ%29f6", 2705278)</f>
        <v>2705278</v>
      </c>
      <c r="C3045" s="2">
        <f>HYPERLINK("https://platform.v2.vetology.net/report/v/final/"&amp;2705278, 2705278)</f>
        <v>2705278</v>
      </c>
      <c r="D3045" s="2" t="s">
        <v>9681</v>
      </c>
      <c r="E3045" s="2" t="s">
        <v>9682</v>
      </c>
      <c r="F3045" s="2" t="s">
        <v>8391</v>
      </c>
      <c r="G3045" s="2" t="s">
        <v>34</v>
      </c>
      <c r="H3045" s="2" t="s">
        <v>9683</v>
      </c>
      <c r="I3045" s="2" t="s">
        <v>36</v>
      </c>
      <c r="J3045" s="2" t="s">
        <v>37</v>
      </c>
      <c r="K3045" s="2" t="s">
        <v>38</v>
      </c>
      <c r="L3045" s="2" t="s">
        <v>38</v>
      </c>
      <c r="M3045" s="2" t="s">
        <v>38</v>
      </c>
      <c r="N3045" s="2" t="s">
        <v>38</v>
      </c>
      <c r="O3045" s="2" t="s">
        <v>38</v>
      </c>
      <c r="P3045" s="2" t="s">
        <v>39</v>
      </c>
      <c r="Q3045" s="2" t="s">
        <v>39</v>
      </c>
      <c r="R3045" s="2" t="s">
        <v>38</v>
      </c>
      <c r="S3045" s="2" t="s">
        <v>38</v>
      </c>
      <c r="T3045" s="2" t="s">
        <v>39</v>
      </c>
      <c r="U3045" s="2" t="s">
        <v>39</v>
      </c>
      <c r="V3045" s="2" t="s">
        <v>38</v>
      </c>
      <c r="W3045" s="2" t="s">
        <v>38</v>
      </c>
      <c r="X3045" s="2" t="s">
        <v>39</v>
      </c>
      <c r="Y3045" s="2" t="s">
        <v>39</v>
      </c>
      <c r="Z3045" s="2" t="s">
        <v>38</v>
      </c>
      <c r="AA3045" s="2" t="s">
        <v>38</v>
      </c>
      <c r="AB3045" s="2" t="s">
        <v>39</v>
      </c>
      <c r="AC3045" s="2" t="s">
        <v>38</v>
      </c>
      <c r="AD3045" s="2" t="s">
        <v>38</v>
      </c>
      <c r="AE3045" s="2" t="s">
        <v>40</v>
      </c>
    </row>
    <row r="3046" spans="1:31" ht="409.5">
      <c r="A3046" s="2">
        <v>2705268</v>
      </c>
      <c r="B3046" s="2">
        <f>HYPERLINK("https://platform.v2.vetology.net/cases/2705268/screening-report/1?type=pdf&amp;v=v6&amp;scorecard=1&amp;secret_key=BX%25IJ%24%2F65ieZ%29f6", 2705268)</f>
        <v>2705268</v>
      </c>
      <c r="C3046" s="2">
        <f>HYPERLINK("https://platform.v2.vetology.net/report/v/final/"&amp;2705268, 2705268)</f>
        <v>2705268</v>
      </c>
      <c r="D3046" s="2" t="s">
        <v>9684</v>
      </c>
      <c r="E3046" s="2" t="s">
        <v>9685</v>
      </c>
      <c r="F3046" s="2" t="s">
        <v>9686</v>
      </c>
      <c r="G3046" s="2" t="s">
        <v>127</v>
      </c>
      <c r="H3046" s="2" t="s">
        <v>9687</v>
      </c>
      <c r="I3046" s="2" t="s">
        <v>73</v>
      </c>
      <c r="J3046" s="2" t="s">
        <v>74</v>
      </c>
      <c r="K3046" s="2" t="s">
        <v>38</v>
      </c>
      <c r="L3046" s="2" t="s">
        <v>38</v>
      </c>
      <c r="M3046" s="2" t="s">
        <v>38</v>
      </c>
      <c r="N3046" s="2" t="s">
        <v>38</v>
      </c>
      <c r="O3046" s="2" t="s">
        <v>38</v>
      </c>
      <c r="P3046" s="2" t="s">
        <v>38</v>
      </c>
      <c r="Q3046" s="2" t="s">
        <v>38</v>
      </c>
      <c r="R3046" s="2" t="s">
        <v>38</v>
      </c>
      <c r="S3046" s="2" t="s">
        <v>38</v>
      </c>
      <c r="T3046" s="2" t="s">
        <v>39</v>
      </c>
      <c r="U3046" s="2" t="s">
        <v>38</v>
      </c>
      <c r="V3046" s="2" t="s">
        <v>38</v>
      </c>
      <c r="W3046" s="2" t="s">
        <v>38</v>
      </c>
      <c r="X3046" s="2" t="s">
        <v>38</v>
      </c>
      <c r="Y3046" s="2" t="s">
        <v>38</v>
      </c>
      <c r="Z3046" s="2" t="s">
        <v>38</v>
      </c>
      <c r="AA3046" s="2" t="s">
        <v>38</v>
      </c>
      <c r="AB3046" s="2" t="s">
        <v>38</v>
      </c>
      <c r="AC3046" s="2" t="s">
        <v>38</v>
      </c>
      <c r="AD3046" s="2" t="s">
        <v>39</v>
      </c>
      <c r="AE3046" s="2" t="s">
        <v>40</v>
      </c>
    </row>
    <row r="3047" spans="1:31" ht="409.5">
      <c r="A3047" s="2">
        <v>2705263</v>
      </c>
      <c r="B3047" s="2">
        <f>HYPERLINK("https://platform.v2.vetology.net/cases/2705263/screening-report/1?type=pdf&amp;v=v6&amp;scorecard=1&amp;secret_key=BX%25IJ%24%2F65ieZ%29f6", 2705263)</f>
        <v>2705263</v>
      </c>
      <c r="C3047" s="2">
        <f>HYPERLINK("https://platform.v2.vetology.net/report/v/final/"&amp;2705263, 2705263)</f>
        <v>2705263</v>
      </c>
      <c r="D3047" s="2" t="s">
        <v>9688</v>
      </c>
      <c r="E3047" s="2" t="s">
        <v>9689</v>
      </c>
      <c r="F3047" s="2" t="s">
        <v>9690</v>
      </c>
      <c r="G3047" s="2" t="s">
        <v>53</v>
      </c>
      <c r="H3047" s="2" t="s">
        <v>9691</v>
      </c>
      <c r="I3047" s="2" t="s">
        <v>129</v>
      </c>
      <c r="J3047" s="2" t="s">
        <v>74</v>
      </c>
      <c r="K3047" s="2" t="s">
        <v>38</v>
      </c>
      <c r="L3047" s="2" t="s">
        <v>38</v>
      </c>
      <c r="M3047" s="2" t="s">
        <v>38</v>
      </c>
      <c r="N3047" s="2" t="s">
        <v>38</v>
      </c>
      <c r="O3047" s="2" t="s">
        <v>38</v>
      </c>
      <c r="P3047" s="2" t="s">
        <v>39</v>
      </c>
      <c r="Q3047" s="2" t="s">
        <v>38</v>
      </c>
      <c r="R3047" s="2" t="s">
        <v>39</v>
      </c>
      <c r="S3047" s="2" t="s">
        <v>38</v>
      </c>
      <c r="T3047" s="2" t="s">
        <v>38</v>
      </c>
      <c r="U3047" s="2" t="s">
        <v>39</v>
      </c>
      <c r="V3047" s="2" t="s">
        <v>38</v>
      </c>
      <c r="W3047" s="2" t="s">
        <v>38</v>
      </c>
      <c r="X3047" s="2" t="s">
        <v>38</v>
      </c>
      <c r="Y3047" s="2" t="s">
        <v>39</v>
      </c>
      <c r="Z3047" s="2" t="s">
        <v>39</v>
      </c>
      <c r="AA3047" s="2" t="s">
        <v>38</v>
      </c>
      <c r="AB3047" s="2" t="s">
        <v>38</v>
      </c>
      <c r="AC3047" s="2" t="s">
        <v>38</v>
      </c>
      <c r="AD3047" s="2" t="s">
        <v>39</v>
      </c>
      <c r="AE3047" s="2" t="s">
        <v>40</v>
      </c>
    </row>
    <row r="3048" spans="1:31" ht="409.5">
      <c r="A3048" s="2">
        <v>2705256</v>
      </c>
      <c r="B3048" s="2">
        <f>HYPERLINK("https://platform.v2.vetology.net/cases/2705256/screening-report/1?type=pdf&amp;v=v6&amp;scorecard=1&amp;secret_key=BX%25IJ%24%2F65ieZ%29f6", 2705256)</f>
        <v>2705256</v>
      </c>
      <c r="C3048" s="2">
        <f>HYPERLINK("https://platform.v2.vetology.net/report/v/final/"&amp;2705256, 2705256)</f>
        <v>2705256</v>
      </c>
      <c r="D3048" s="2" t="s">
        <v>9692</v>
      </c>
      <c r="E3048" s="2" t="s">
        <v>9693</v>
      </c>
      <c r="F3048" s="2" t="s">
        <v>43</v>
      </c>
      <c r="G3048" s="2" t="s">
        <v>44</v>
      </c>
      <c r="H3048" s="2" t="s">
        <v>9694</v>
      </c>
      <c r="I3048" s="2" t="s">
        <v>73</v>
      </c>
      <c r="J3048" s="2" t="s">
        <v>74</v>
      </c>
      <c r="K3048" s="2" t="s">
        <v>38</v>
      </c>
      <c r="L3048" s="2" t="s">
        <v>38</v>
      </c>
      <c r="M3048" s="2" t="s">
        <v>38</v>
      </c>
      <c r="N3048" s="2" t="s">
        <v>38</v>
      </c>
      <c r="O3048" s="2" t="s">
        <v>38</v>
      </c>
      <c r="P3048" s="2" t="s">
        <v>38</v>
      </c>
      <c r="Q3048" s="2" t="s">
        <v>38</v>
      </c>
      <c r="R3048" s="2" t="s">
        <v>38</v>
      </c>
      <c r="S3048" s="2" t="s">
        <v>38</v>
      </c>
      <c r="T3048" s="2" t="s">
        <v>38</v>
      </c>
      <c r="U3048" s="2" t="s">
        <v>38</v>
      </c>
      <c r="V3048" s="2" t="s">
        <v>38</v>
      </c>
      <c r="W3048" s="2" t="s">
        <v>38</v>
      </c>
      <c r="X3048" s="2" t="s">
        <v>38</v>
      </c>
      <c r="Y3048" s="2" t="s">
        <v>38</v>
      </c>
      <c r="Z3048" s="2" t="s">
        <v>38</v>
      </c>
      <c r="AA3048" s="2" t="s">
        <v>38</v>
      </c>
      <c r="AB3048" s="2" t="s">
        <v>38</v>
      </c>
      <c r="AC3048" s="2" t="s">
        <v>38</v>
      </c>
      <c r="AD3048" s="2" t="s">
        <v>38</v>
      </c>
      <c r="AE3048" s="2" t="s">
        <v>40</v>
      </c>
    </row>
    <row r="3049" spans="1:31" ht="409.5">
      <c r="A3049" s="2">
        <v>2705255</v>
      </c>
      <c r="B3049" s="2">
        <f>HYPERLINK("https://platform.v2.vetology.net/cases/2705255/screening-report/1?type=pdf&amp;v=v6&amp;scorecard=1&amp;secret_key=BX%25IJ%24%2F65ieZ%29f6", 2705255)</f>
        <v>2705255</v>
      </c>
      <c r="C3049" s="2">
        <f>HYPERLINK("https://platform.v2.vetology.net/report/v/final/"&amp;2705255, 2705255)</f>
        <v>2705255</v>
      </c>
      <c r="D3049" s="2" t="s">
        <v>9695</v>
      </c>
      <c r="E3049" s="2" t="s">
        <v>9696</v>
      </c>
      <c r="F3049" s="2" t="s">
        <v>9697</v>
      </c>
      <c r="G3049" s="2" t="s">
        <v>127</v>
      </c>
      <c r="H3049" s="2" t="s">
        <v>9698</v>
      </c>
      <c r="I3049" s="2" t="s">
        <v>73</v>
      </c>
      <c r="J3049" s="2" t="s">
        <v>74</v>
      </c>
      <c r="K3049" s="2" t="s">
        <v>38</v>
      </c>
      <c r="L3049" s="2" t="s">
        <v>38</v>
      </c>
      <c r="M3049" s="2" t="s">
        <v>38</v>
      </c>
      <c r="N3049" s="2" t="s">
        <v>38</v>
      </c>
      <c r="O3049" s="2" t="s">
        <v>38</v>
      </c>
      <c r="P3049" s="2" t="s">
        <v>38</v>
      </c>
      <c r="Q3049" s="2" t="s">
        <v>38</v>
      </c>
      <c r="R3049" s="2" t="s">
        <v>39</v>
      </c>
      <c r="S3049" s="2" t="s">
        <v>38</v>
      </c>
      <c r="T3049" s="2" t="s">
        <v>38</v>
      </c>
      <c r="U3049" s="2" t="s">
        <v>38</v>
      </c>
      <c r="V3049" s="2" t="s">
        <v>38</v>
      </c>
      <c r="W3049" s="2" t="s">
        <v>39</v>
      </c>
      <c r="X3049" s="2" t="s">
        <v>38</v>
      </c>
      <c r="Y3049" s="2" t="s">
        <v>39</v>
      </c>
      <c r="Z3049" s="2" t="s">
        <v>38</v>
      </c>
      <c r="AA3049" s="2" t="s">
        <v>38</v>
      </c>
      <c r="AB3049" s="2" t="s">
        <v>38</v>
      </c>
      <c r="AC3049" s="2" t="s">
        <v>39</v>
      </c>
      <c r="AD3049" s="2" t="s">
        <v>38</v>
      </c>
      <c r="AE3049" s="2" t="s">
        <v>40</v>
      </c>
    </row>
    <row r="3050" spans="1:31" ht="409.5">
      <c r="A3050" s="2">
        <v>2705248</v>
      </c>
      <c r="B3050" s="2">
        <f>HYPERLINK("https://platform.v2.vetology.net/cases/2705248/screening-report/1?type=pdf&amp;v=v6&amp;scorecard=1&amp;secret_key=BX%25IJ%24%2F65ieZ%29f6", 2705248)</f>
        <v>2705248</v>
      </c>
      <c r="C3050" s="2">
        <f>HYPERLINK("https://platform.v2.vetology.net/report/v/final/"&amp;2705248, 2705248)</f>
        <v>2705248</v>
      </c>
      <c r="D3050" s="2" t="s">
        <v>9699</v>
      </c>
      <c r="E3050" s="2" t="s">
        <v>9700</v>
      </c>
      <c r="F3050" s="2" t="s">
        <v>9701</v>
      </c>
      <c r="G3050" s="2" t="s">
        <v>53</v>
      </c>
      <c r="H3050" s="2" t="s">
        <v>9702</v>
      </c>
      <c r="I3050" s="2" t="s">
        <v>129</v>
      </c>
      <c r="J3050" s="2" t="s">
        <v>74</v>
      </c>
      <c r="K3050" s="2" t="s">
        <v>38</v>
      </c>
      <c r="L3050" s="2" t="s">
        <v>39</v>
      </c>
      <c r="M3050" s="2" t="s">
        <v>38</v>
      </c>
      <c r="N3050" s="2" t="s">
        <v>39</v>
      </c>
      <c r="O3050" s="2" t="s">
        <v>38</v>
      </c>
      <c r="P3050" s="2" t="s">
        <v>38</v>
      </c>
      <c r="Q3050" s="2" t="s">
        <v>38</v>
      </c>
      <c r="R3050" s="2" t="s">
        <v>39</v>
      </c>
      <c r="S3050" s="2" t="s">
        <v>39</v>
      </c>
      <c r="T3050" s="2" t="s">
        <v>38</v>
      </c>
      <c r="U3050" s="2" t="s">
        <v>39</v>
      </c>
      <c r="V3050" s="2" t="s">
        <v>38</v>
      </c>
      <c r="W3050" s="2" t="s">
        <v>38</v>
      </c>
      <c r="X3050" s="2" t="s">
        <v>38</v>
      </c>
      <c r="Y3050" s="2" t="s">
        <v>38</v>
      </c>
      <c r="Z3050" s="2" t="s">
        <v>39</v>
      </c>
      <c r="AA3050" s="2" t="s">
        <v>38</v>
      </c>
      <c r="AB3050" s="2" t="s">
        <v>38</v>
      </c>
      <c r="AC3050" s="2" t="s">
        <v>39</v>
      </c>
      <c r="AD3050" s="2" t="s">
        <v>38</v>
      </c>
      <c r="AE3050" s="2" t="s">
        <v>40</v>
      </c>
    </row>
    <row r="3051" spans="1:31" ht="409.5">
      <c r="A3051" s="2">
        <v>2705243</v>
      </c>
      <c r="B3051" s="2">
        <f>HYPERLINK("https://platform.v2.vetology.net/cases/2705243/screening-report/1?type=pdf&amp;v=v6&amp;scorecard=1&amp;secret_key=BX%25IJ%24%2F65ieZ%29f6", 2705243)</f>
        <v>2705243</v>
      </c>
      <c r="C3051" s="2">
        <f>HYPERLINK("https://platform.v2.vetology.net/report/v/final/"&amp;2705243, 2705243)</f>
        <v>2705243</v>
      </c>
      <c r="D3051" s="2" t="s">
        <v>9703</v>
      </c>
      <c r="E3051" s="2" t="s">
        <v>9704</v>
      </c>
      <c r="F3051" s="2" t="s">
        <v>9705</v>
      </c>
      <c r="G3051" s="2" t="s">
        <v>127</v>
      </c>
      <c r="H3051" s="2" t="s">
        <v>9706</v>
      </c>
      <c r="I3051" s="2" t="s">
        <v>59</v>
      </c>
      <c r="J3051" s="2" t="s">
        <v>37</v>
      </c>
      <c r="K3051" s="2" t="s">
        <v>38</v>
      </c>
      <c r="L3051" s="2" t="s">
        <v>38</v>
      </c>
      <c r="M3051" s="2" t="s">
        <v>39</v>
      </c>
      <c r="N3051" s="2" t="s">
        <v>39</v>
      </c>
      <c r="O3051" s="2" t="s">
        <v>39</v>
      </c>
      <c r="P3051" s="2" t="s">
        <v>39</v>
      </c>
      <c r="Q3051" s="2" t="s">
        <v>39</v>
      </c>
      <c r="R3051" s="2" t="s">
        <v>39</v>
      </c>
      <c r="S3051" s="2" t="s">
        <v>38</v>
      </c>
      <c r="T3051" s="2" t="s">
        <v>39</v>
      </c>
      <c r="U3051" s="2" t="s">
        <v>38</v>
      </c>
      <c r="V3051" s="2" t="s">
        <v>38</v>
      </c>
      <c r="W3051" s="2" t="s">
        <v>39</v>
      </c>
      <c r="X3051" s="2" t="s">
        <v>39</v>
      </c>
      <c r="Y3051" s="2" t="s">
        <v>39</v>
      </c>
      <c r="Z3051" s="2" t="s">
        <v>39</v>
      </c>
      <c r="AA3051" s="2" t="s">
        <v>39</v>
      </c>
      <c r="AB3051" s="2" t="s">
        <v>39</v>
      </c>
      <c r="AC3051" s="2" t="s">
        <v>38</v>
      </c>
      <c r="AD3051" s="2" t="s">
        <v>39</v>
      </c>
      <c r="AE3051" s="2" t="s">
        <v>40</v>
      </c>
    </row>
    <row r="3052" spans="1:31" ht="409.5">
      <c r="A3052" s="2">
        <v>2705241</v>
      </c>
      <c r="B3052" s="2">
        <f>HYPERLINK("https://platform.v2.vetology.net/cases/2705241/screening-report/1?type=pdf&amp;v=v6&amp;scorecard=1&amp;secret_key=BX%25IJ%24%2F65ieZ%29f6", 2705241)</f>
        <v>2705241</v>
      </c>
      <c r="C3052" s="2">
        <f>HYPERLINK("https://platform.v2.vetology.net/report/v/final/"&amp;2705241, 2705241)</f>
        <v>2705241</v>
      </c>
      <c r="D3052" s="2" t="s">
        <v>9707</v>
      </c>
      <c r="E3052" s="2" t="s">
        <v>9708</v>
      </c>
      <c r="F3052" s="2" t="s">
        <v>9709</v>
      </c>
      <c r="G3052" s="2" t="s">
        <v>170</v>
      </c>
      <c r="H3052" s="2" t="s">
        <v>9710</v>
      </c>
      <c r="I3052" s="2" t="s">
        <v>36</v>
      </c>
      <c r="J3052" s="2" t="s">
        <v>37</v>
      </c>
      <c r="K3052" s="2" t="s">
        <v>39</v>
      </c>
      <c r="L3052" s="2" t="s">
        <v>38</v>
      </c>
      <c r="M3052" s="2" t="s">
        <v>38</v>
      </c>
      <c r="N3052" s="2" t="s">
        <v>38</v>
      </c>
      <c r="O3052" s="2" t="s">
        <v>38</v>
      </c>
      <c r="P3052" s="2" t="s">
        <v>38</v>
      </c>
      <c r="Q3052" s="2" t="s">
        <v>39</v>
      </c>
      <c r="R3052" s="2" t="s">
        <v>38</v>
      </c>
      <c r="S3052" s="2" t="s">
        <v>38</v>
      </c>
      <c r="T3052" s="2" t="s">
        <v>38</v>
      </c>
      <c r="U3052" s="2" t="s">
        <v>39</v>
      </c>
      <c r="V3052" s="2" t="s">
        <v>39</v>
      </c>
      <c r="W3052" s="2" t="s">
        <v>38</v>
      </c>
      <c r="X3052" s="2" t="s">
        <v>39</v>
      </c>
      <c r="Y3052" s="2" t="s">
        <v>38</v>
      </c>
      <c r="Z3052" s="2" t="s">
        <v>38</v>
      </c>
      <c r="AA3052" s="2" t="s">
        <v>38</v>
      </c>
      <c r="AB3052" s="2" t="s">
        <v>39</v>
      </c>
      <c r="AC3052" s="2" t="s">
        <v>38</v>
      </c>
      <c r="AD3052" s="2" t="s">
        <v>38</v>
      </c>
      <c r="AE3052" s="2"/>
    </row>
    <row r="3053" spans="1:31" ht="409.5">
      <c r="A3053" s="2">
        <v>2705234</v>
      </c>
      <c r="B3053" s="2">
        <f>HYPERLINK("https://platform.v2.vetology.net/cases/2705234/screening-report/1?type=pdf&amp;v=v6&amp;scorecard=1&amp;secret_key=BX%25IJ%24%2F65ieZ%29f6", 2705234)</f>
        <v>2705234</v>
      </c>
      <c r="C3053" s="2">
        <f>HYPERLINK("https://platform.v2.vetology.net/report/v/final/"&amp;2705234, 2705234)</f>
        <v>2705234</v>
      </c>
      <c r="D3053" s="2" t="s">
        <v>9711</v>
      </c>
      <c r="E3053" s="2" t="s">
        <v>9712</v>
      </c>
      <c r="F3053" s="2" t="s">
        <v>43</v>
      </c>
      <c r="G3053" s="2" t="s">
        <v>44</v>
      </c>
      <c r="H3053" s="2" t="s">
        <v>9713</v>
      </c>
      <c r="I3053" s="2" t="s">
        <v>129</v>
      </c>
      <c r="J3053" s="2" t="s">
        <v>74</v>
      </c>
      <c r="K3053" s="2" t="s">
        <v>38</v>
      </c>
      <c r="L3053" s="2" t="s">
        <v>38</v>
      </c>
      <c r="M3053" s="2" t="s">
        <v>38</v>
      </c>
      <c r="N3053" s="2" t="s">
        <v>38</v>
      </c>
      <c r="O3053" s="2" t="s">
        <v>38</v>
      </c>
      <c r="P3053" s="2" t="s">
        <v>38</v>
      </c>
      <c r="Q3053" s="2" t="s">
        <v>38</v>
      </c>
      <c r="R3053" s="2" t="s">
        <v>38</v>
      </c>
      <c r="S3053" s="2" t="s">
        <v>38</v>
      </c>
      <c r="T3053" s="2" t="s">
        <v>38</v>
      </c>
      <c r="U3053" s="2" t="s">
        <v>39</v>
      </c>
      <c r="V3053" s="2" t="s">
        <v>39</v>
      </c>
      <c r="W3053" s="2" t="s">
        <v>38</v>
      </c>
      <c r="X3053" s="2" t="s">
        <v>38</v>
      </c>
      <c r="Y3053" s="2" t="s">
        <v>39</v>
      </c>
      <c r="Z3053" s="2" t="s">
        <v>38</v>
      </c>
      <c r="AA3053" s="2" t="s">
        <v>38</v>
      </c>
      <c r="AB3053" s="2" t="s">
        <v>39</v>
      </c>
      <c r="AC3053" s="2" t="s">
        <v>38</v>
      </c>
      <c r="AD3053" s="2" t="s">
        <v>38</v>
      </c>
      <c r="AE3053" s="2" t="s">
        <v>39</v>
      </c>
    </row>
    <row r="3054" spans="1:31" ht="409.5">
      <c r="A3054" s="2">
        <v>2705221</v>
      </c>
      <c r="B3054" s="2">
        <f>HYPERLINK("https://platform.v2.vetology.net/cases/2705221/screening-report/1?type=pdf&amp;v=v6&amp;scorecard=1&amp;secret_key=BX%25IJ%24%2F65ieZ%29f6", 2705221)</f>
        <v>2705221</v>
      </c>
      <c r="C3054" s="2">
        <f>HYPERLINK("https://platform.v2.vetology.net/report/v/final/"&amp;2705221, 2705221)</f>
        <v>2705221</v>
      </c>
      <c r="D3054" s="2" t="s">
        <v>9714</v>
      </c>
      <c r="E3054" s="2" t="s">
        <v>9715</v>
      </c>
      <c r="F3054" s="2" t="s">
        <v>9716</v>
      </c>
      <c r="G3054" s="2" t="s">
        <v>111</v>
      </c>
      <c r="H3054" s="2" t="s">
        <v>9717</v>
      </c>
      <c r="I3054" s="2" t="s">
        <v>129</v>
      </c>
      <c r="J3054" s="2" t="s">
        <v>74</v>
      </c>
      <c r="K3054" s="2" t="s">
        <v>39</v>
      </c>
      <c r="L3054" s="2" t="s">
        <v>38</v>
      </c>
      <c r="M3054" s="2" t="s">
        <v>38</v>
      </c>
      <c r="N3054" s="2" t="s">
        <v>38</v>
      </c>
      <c r="O3054" s="2" t="s">
        <v>38</v>
      </c>
      <c r="P3054" s="2" t="s">
        <v>38</v>
      </c>
      <c r="Q3054" s="2" t="s">
        <v>38</v>
      </c>
      <c r="R3054" s="2" t="s">
        <v>38</v>
      </c>
      <c r="S3054" s="2" t="s">
        <v>38</v>
      </c>
      <c r="T3054" s="2" t="s">
        <v>39</v>
      </c>
      <c r="U3054" s="2" t="s">
        <v>39</v>
      </c>
      <c r="V3054" s="2" t="s">
        <v>39</v>
      </c>
      <c r="W3054" s="2" t="s">
        <v>39</v>
      </c>
      <c r="X3054" s="2" t="s">
        <v>39</v>
      </c>
      <c r="Y3054" s="2" t="s">
        <v>39</v>
      </c>
      <c r="Z3054" s="2" t="s">
        <v>38</v>
      </c>
      <c r="AA3054" s="2" t="s">
        <v>38</v>
      </c>
      <c r="AB3054" s="2" t="s">
        <v>38</v>
      </c>
      <c r="AC3054" s="2" t="s">
        <v>38</v>
      </c>
      <c r="AD3054" s="2" t="s">
        <v>39</v>
      </c>
      <c r="AE3054" s="2"/>
    </row>
    <row r="3055" spans="1:31" ht="409.5">
      <c r="A3055" s="2">
        <v>2705217</v>
      </c>
      <c r="B3055" s="2">
        <f>HYPERLINK("https://platform.v2.vetology.net/cases/2705217/screening-report/1?type=pdf&amp;v=v6&amp;scorecard=1&amp;secret_key=BX%25IJ%24%2F65ieZ%29f6", 2705217)</f>
        <v>2705217</v>
      </c>
      <c r="C3055" s="2">
        <f>HYPERLINK("https://platform.v2.vetology.net/report/v/final/"&amp;2705217, 2705217)</f>
        <v>2705217</v>
      </c>
      <c r="D3055" s="2" t="s">
        <v>9718</v>
      </c>
      <c r="E3055" s="2" t="s">
        <v>9719</v>
      </c>
      <c r="F3055" s="2" t="s">
        <v>610</v>
      </c>
      <c r="G3055" s="2" t="s">
        <v>251</v>
      </c>
      <c r="H3055" s="2" t="s">
        <v>69</v>
      </c>
      <c r="I3055" s="2" t="s">
        <v>46</v>
      </c>
      <c r="J3055" s="2"/>
      <c r="K3055" s="2" t="s">
        <v>39</v>
      </c>
      <c r="L3055" s="2" t="s">
        <v>39</v>
      </c>
      <c r="M3055" s="2" t="s">
        <v>39</v>
      </c>
      <c r="N3055" s="2" t="s">
        <v>39</v>
      </c>
      <c r="O3055" s="2" t="s">
        <v>39</v>
      </c>
      <c r="P3055" s="2" t="s">
        <v>39</v>
      </c>
      <c r="Q3055" s="2" t="s">
        <v>39</v>
      </c>
      <c r="R3055" s="2" t="s">
        <v>39</v>
      </c>
      <c r="S3055" s="2" t="s">
        <v>39</v>
      </c>
      <c r="T3055" s="2" t="s">
        <v>39</v>
      </c>
      <c r="U3055" s="2" t="s">
        <v>39</v>
      </c>
      <c r="V3055" s="2" t="s">
        <v>39</v>
      </c>
      <c r="W3055" s="2" t="s">
        <v>39</v>
      </c>
      <c r="X3055" s="2" t="s">
        <v>39</v>
      </c>
      <c r="Y3055" s="2" t="s">
        <v>39</v>
      </c>
      <c r="Z3055" s="2" t="s">
        <v>39</v>
      </c>
      <c r="AA3055" s="2" t="s">
        <v>39</v>
      </c>
      <c r="AB3055" s="2" t="s">
        <v>39</v>
      </c>
      <c r="AC3055" s="2" t="s">
        <v>39</v>
      </c>
      <c r="AD3055" s="2" t="s">
        <v>39</v>
      </c>
      <c r="AE3055" s="2" t="s">
        <v>39</v>
      </c>
    </row>
    <row r="3056" spans="1:31" ht="409.5">
      <c r="A3056" s="2">
        <v>2705201</v>
      </c>
      <c r="B3056" s="2">
        <f>HYPERLINK("https://platform.v2.vetology.net/cases/2705201/screening-report/1?type=pdf&amp;v=v6&amp;scorecard=1&amp;secret_key=BX%25IJ%24%2F65ieZ%29f6", 2705201)</f>
        <v>2705201</v>
      </c>
      <c r="C3056" s="2">
        <f>HYPERLINK("https://platform.v2.vetology.net/report/v/final/"&amp;2705201, 2705201)</f>
        <v>2705201</v>
      </c>
      <c r="D3056" s="2" t="s">
        <v>9720</v>
      </c>
      <c r="E3056" s="2" t="s">
        <v>9721</v>
      </c>
      <c r="F3056" s="2" t="s">
        <v>9722</v>
      </c>
      <c r="G3056" s="2" t="s">
        <v>127</v>
      </c>
      <c r="H3056" s="2" t="s">
        <v>419</v>
      </c>
      <c r="I3056" s="2" t="s">
        <v>36</v>
      </c>
      <c r="J3056" s="2" t="s">
        <v>37</v>
      </c>
      <c r="K3056" s="2" t="s">
        <v>39</v>
      </c>
      <c r="L3056" s="2" t="s">
        <v>39</v>
      </c>
      <c r="M3056" s="2" t="s">
        <v>38</v>
      </c>
      <c r="N3056" s="2" t="s">
        <v>39</v>
      </c>
      <c r="O3056" s="2" t="s">
        <v>39</v>
      </c>
      <c r="P3056" s="2" t="s">
        <v>39</v>
      </c>
      <c r="Q3056" s="2" t="s">
        <v>39</v>
      </c>
      <c r="R3056" s="2" t="s">
        <v>38</v>
      </c>
      <c r="S3056" s="2" t="s">
        <v>39</v>
      </c>
      <c r="T3056" s="2" t="s">
        <v>38</v>
      </c>
      <c r="U3056" s="2" t="s">
        <v>39</v>
      </c>
      <c r="V3056" s="2" t="s">
        <v>39</v>
      </c>
      <c r="W3056" s="2" t="s">
        <v>38</v>
      </c>
      <c r="X3056" s="2" t="s">
        <v>39</v>
      </c>
      <c r="Y3056" s="2" t="s">
        <v>39</v>
      </c>
      <c r="Z3056" s="2" t="s">
        <v>38</v>
      </c>
      <c r="AA3056" s="2" t="s">
        <v>39</v>
      </c>
      <c r="AB3056" s="2" t="s">
        <v>39</v>
      </c>
      <c r="AC3056" s="2" t="s">
        <v>39</v>
      </c>
      <c r="AD3056" s="2" t="s">
        <v>39</v>
      </c>
      <c r="AE3056" s="2" t="s">
        <v>39</v>
      </c>
    </row>
    <row r="3057" spans="1:31" ht="409.5">
      <c r="A3057" s="2">
        <v>2705178</v>
      </c>
      <c r="B3057" s="2">
        <f>HYPERLINK("https://platform.v2.vetology.net/cases/2705178/screening-report/1?type=pdf&amp;v=v6&amp;scorecard=1&amp;secret_key=BX%25IJ%24%2F65ieZ%29f6", 2705178)</f>
        <v>2705178</v>
      </c>
      <c r="C3057" s="2">
        <f>HYPERLINK("https://platform.v2.vetology.net/report/v/final/"&amp;2705178, 2705178)</f>
        <v>2705178</v>
      </c>
      <c r="D3057" s="2" t="s">
        <v>9723</v>
      </c>
      <c r="E3057" s="2" t="s">
        <v>9724</v>
      </c>
      <c r="F3057" s="2" t="s">
        <v>9725</v>
      </c>
      <c r="G3057" s="2" t="s">
        <v>53</v>
      </c>
      <c r="H3057" s="2" t="s">
        <v>9726</v>
      </c>
      <c r="I3057" s="2" t="s">
        <v>73</v>
      </c>
      <c r="J3057" s="2" t="s">
        <v>74</v>
      </c>
      <c r="K3057" s="2" t="s">
        <v>38</v>
      </c>
      <c r="L3057" s="2" t="s">
        <v>38</v>
      </c>
      <c r="M3057" s="2" t="s">
        <v>38</v>
      </c>
      <c r="N3057" s="2" t="s">
        <v>38</v>
      </c>
      <c r="O3057" s="2" t="s">
        <v>38</v>
      </c>
      <c r="P3057" s="2" t="s">
        <v>38</v>
      </c>
      <c r="Q3057" s="2" t="s">
        <v>38</v>
      </c>
      <c r="R3057" s="2" t="s">
        <v>38</v>
      </c>
      <c r="S3057" s="2" t="s">
        <v>38</v>
      </c>
      <c r="T3057" s="2" t="s">
        <v>38</v>
      </c>
      <c r="U3057" s="2" t="s">
        <v>38</v>
      </c>
      <c r="V3057" s="2" t="s">
        <v>38</v>
      </c>
      <c r="W3057" s="2" t="s">
        <v>38</v>
      </c>
      <c r="X3057" s="2" t="s">
        <v>38</v>
      </c>
      <c r="Y3057" s="2" t="s">
        <v>38</v>
      </c>
      <c r="Z3057" s="2" t="s">
        <v>38</v>
      </c>
      <c r="AA3057" s="2" t="s">
        <v>39</v>
      </c>
      <c r="AB3057" s="2" t="s">
        <v>38</v>
      </c>
      <c r="AC3057" s="2" t="s">
        <v>38</v>
      </c>
      <c r="AD3057" s="2" t="s">
        <v>38</v>
      </c>
      <c r="AE3057" s="2" t="s">
        <v>40</v>
      </c>
    </row>
    <row r="3058" spans="1:31" ht="409.5">
      <c r="A3058" s="2">
        <v>2705173</v>
      </c>
      <c r="B3058" s="2">
        <f>HYPERLINK("https://platform.v2.vetology.net/cases/2705173/screening-report/1?type=pdf&amp;v=v6&amp;scorecard=1&amp;secret_key=BX%25IJ%24%2F65ieZ%29f6", 2705173)</f>
        <v>2705173</v>
      </c>
      <c r="C3058" s="2">
        <f>HYPERLINK("https://platform.v2.vetology.net/report/v/final/"&amp;2705173, 2705173)</f>
        <v>2705173</v>
      </c>
      <c r="D3058" s="2" t="s">
        <v>9727</v>
      </c>
      <c r="E3058" s="2" t="s">
        <v>9728</v>
      </c>
      <c r="F3058" s="2" t="s">
        <v>9729</v>
      </c>
      <c r="G3058" s="2" t="s">
        <v>100</v>
      </c>
      <c r="H3058" s="2" t="s">
        <v>9730</v>
      </c>
      <c r="I3058" s="2" t="s">
        <v>73</v>
      </c>
      <c r="J3058" s="2" t="s">
        <v>74</v>
      </c>
      <c r="K3058" s="2" t="s">
        <v>38</v>
      </c>
      <c r="L3058" s="2" t="s">
        <v>38</v>
      </c>
      <c r="M3058" s="2" t="s">
        <v>38</v>
      </c>
      <c r="N3058" s="2" t="s">
        <v>38</v>
      </c>
      <c r="O3058" s="2" t="s">
        <v>38</v>
      </c>
      <c r="P3058" s="2" t="s">
        <v>39</v>
      </c>
      <c r="Q3058" s="2" t="s">
        <v>38</v>
      </c>
      <c r="R3058" s="2" t="s">
        <v>39</v>
      </c>
      <c r="S3058" s="2" t="s">
        <v>38</v>
      </c>
      <c r="T3058" s="2" t="s">
        <v>39</v>
      </c>
      <c r="U3058" s="2" t="s">
        <v>39</v>
      </c>
      <c r="V3058" s="2" t="s">
        <v>38</v>
      </c>
      <c r="W3058" s="2" t="s">
        <v>39</v>
      </c>
      <c r="X3058" s="2" t="s">
        <v>39</v>
      </c>
      <c r="Y3058" s="2" t="s">
        <v>39</v>
      </c>
      <c r="Z3058" s="2" t="s">
        <v>38</v>
      </c>
      <c r="AA3058" s="2" t="s">
        <v>38</v>
      </c>
      <c r="AB3058" s="2" t="s">
        <v>39</v>
      </c>
      <c r="AC3058" s="2" t="s">
        <v>38</v>
      </c>
      <c r="AD3058" s="2" t="s">
        <v>38</v>
      </c>
      <c r="AE3058" s="2" t="s">
        <v>39</v>
      </c>
    </row>
    <row r="3059" spans="1:31" ht="409.5">
      <c r="A3059" s="2">
        <v>2705120</v>
      </c>
      <c r="B3059" s="2">
        <f>HYPERLINK("https://platform.v2.vetology.net/cases/2705120/screening-report/1?type=pdf&amp;v=v6&amp;scorecard=1&amp;secret_key=BX%25IJ%24%2F65ieZ%29f6", 2705120)</f>
        <v>2705120</v>
      </c>
      <c r="C3059" s="2">
        <f>HYPERLINK("https://platform.v2.vetology.net/report/v/final/"&amp;2705120, 2705120)</f>
        <v>2705120</v>
      </c>
      <c r="D3059" s="2" t="s">
        <v>9731</v>
      </c>
      <c r="E3059" s="2" t="s">
        <v>9732</v>
      </c>
      <c r="F3059" s="2" t="s">
        <v>9733</v>
      </c>
      <c r="G3059" s="2" t="s">
        <v>556</v>
      </c>
      <c r="H3059" s="2" t="s">
        <v>9734</v>
      </c>
      <c r="I3059" s="2" t="s">
        <v>129</v>
      </c>
      <c r="J3059" s="2" t="s">
        <v>74</v>
      </c>
      <c r="K3059" s="2" t="s">
        <v>39</v>
      </c>
      <c r="L3059" s="2" t="s">
        <v>39</v>
      </c>
      <c r="M3059" s="2" t="s">
        <v>38</v>
      </c>
      <c r="N3059" s="2" t="s">
        <v>39</v>
      </c>
      <c r="O3059" s="2" t="s">
        <v>39</v>
      </c>
      <c r="P3059" s="2" t="s">
        <v>39</v>
      </c>
      <c r="Q3059" s="2" t="s">
        <v>38</v>
      </c>
      <c r="R3059" s="2" t="s">
        <v>39</v>
      </c>
      <c r="S3059" s="2" t="s">
        <v>39</v>
      </c>
      <c r="T3059" s="2" t="s">
        <v>38</v>
      </c>
      <c r="U3059" s="2" t="s">
        <v>39</v>
      </c>
      <c r="V3059" s="2" t="s">
        <v>39</v>
      </c>
      <c r="W3059" s="2" t="s">
        <v>38</v>
      </c>
      <c r="X3059" s="2" t="s">
        <v>39</v>
      </c>
      <c r="Y3059" s="2" t="s">
        <v>39</v>
      </c>
      <c r="Z3059" s="2" t="s">
        <v>38</v>
      </c>
      <c r="AA3059" s="2" t="s">
        <v>38</v>
      </c>
      <c r="AB3059" s="2" t="s">
        <v>39</v>
      </c>
      <c r="AC3059" s="2" t="s">
        <v>39</v>
      </c>
      <c r="AD3059" s="2" t="s">
        <v>39</v>
      </c>
      <c r="AE3059" s="2" t="s">
        <v>40</v>
      </c>
    </row>
    <row r="3060" spans="1:31" ht="409.5">
      <c r="A3060" s="2">
        <v>2705112</v>
      </c>
      <c r="B3060" s="2">
        <f>HYPERLINK("https://platform.v2.vetology.net/cases/2705112/screening-report/1?type=pdf&amp;v=v6&amp;scorecard=1&amp;secret_key=BX%25IJ%24%2F65ieZ%29f6", 2705112)</f>
        <v>2705112</v>
      </c>
      <c r="C3060" s="2">
        <f>HYPERLINK("https://platform.v2.vetology.net/report/v/final/"&amp;2705112, 2705112)</f>
        <v>2705112</v>
      </c>
      <c r="D3060" s="2" t="s">
        <v>9735</v>
      </c>
      <c r="E3060" s="2" t="s">
        <v>9736</v>
      </c>
      <c r="F3060" s="2" t="s">
        <v>1389</v>
      </c>
      <c r="G3060" s="2" t="s">
        <v>100</v>
      </c>
      <c r="H3060" s="2" t="s">
        <v>9737</v>
      </c>
      <c r="I3060" s="2" t="s">
        <v>257</v>
      </c>
      <c r="J3060" s="2" t="s">
        <v>74</v>
      </c>
      <c r="K3060" s="2" t="s">
        <v>38</v>
      </c>
      <c r="L3060" s="2" t="s">
        <v>38</v>
      </c>
      <c r="M3060" s="2" t="s">
        <v>38</v>
      </c>
      <c r="N3060" s="2" t="s">
        <v>38</v>
      </c>
      <c r="O3060" s="2" t="s">
        <v>38</v>
      </c>
      <c r="P3060" s="2" t="s">
        <v>38</v>
      </c>
      <c r="Q3060" s="2" t="s">
        <v>38</v>
      </c>
      <c r="R3060" s="2" t="s">
        <v>38</v>
      </c>
      <c r="S3060" s="2" t="s">
        <v>38</v>
      </c>
      <c r="T3060" s="2" t="s">
        <v>38</v>
      </c>
      <c r="U3060" s="2" t="s">
        <v>38</v>
      </c>
      <c r="V3060" s="2" t="s">
        <v>38</v>
      </c>
      <c r="W3060" s="2" t="s">
        <v>38</v>
      </c>
      <c r="X3060" s="2" t="s">
        <v>38</v>
      </c>
      <c r="Y3060" s="2" t="s">
        <v>38</v>
      </c>
      <c r="Z3060" s="2" t="s">
        <v>38</v>
      </c>
      <c r="AA3060" s="2" t="s">
        <v>38</v>
      </c>
      <c r="AB3060" s="2" t="s">
        <v>38</v>
      </c>
      <c r="AC3060" s="2" t="s">
        <v>38</v>
      </c>
      <c r="AD3060" s="2" t="s">
        <v>39</v>
      </c>
      <c r="AE3060" s="2" t="s">
        <v>40</v>
      </c>
    </row>
    <row r="3061" spans="1:31" ht="409.5">
      <c r="A3061" s="2">
        <v>2705111</v>
      </c>
      <c r="B3061" s="2">
        <f>HYPERLINK("https://platform.v2.vetology.net/cases/2705111/screening-report/1?type=pdf&amp;v=v6&amp;scorecard=1&amp;secret_key=BX%25IJ%24%2F65ieZ%29f6", 2705111)</f>
        <v>2705111</v>
      </c>
      <c r="C3061" s="2">
        <f>HYPERLINK("https://platform.v2.vetology.net/report/v/final/"&amp;2705111, 2705111)</f>
        <v>2705111</v>
      </c>
      <c r="D3061" s="2" t="s">
        <v>9738</v>
      </c>
      <c r="E3061" s="2" t="s">
        <v>9739</v>
      </c>
      <c r="F3061" s="2" t="s">
        <v>9740</v>
      </c>
      <c r="G3061" s="2" t="s">
        <v>53</v>
      </c>
      <c r="H3061" s="2" t="s">
        <v>9741</v>
      </c>
      <c r="I3061" s="2" t="s">
        <v>73</v>
      </c>
      <c r="J3061" s="2" t="s">
        <v>74</v>
      </c>
      <c r="K3061" s="2" t="s">
        <v>38</v>
      </c>
      <c r="L3061" s="2" t="s">
        <v>38</v>
      </c>
      <c r="M3061" s="2" t="s">
        <v>38</v>
      </c>
      <c r="N3061" s="2" t="s">
        <v>38</v>
      </c>
      <c r="O3061" s="2" t="s">
        <v>38</v>
      </c>
      <c r="P3061" s="2" t="s">
        <v>38</v>
      </c>
      <c r="Q3061" s="2" t="s">
        <v>38</v>
      </c>
      <c r="R3061" s="2" t="s">
        <v>38</v>
      </c>
      <c r="S3061" s="2" t="s">
        <v>38</v>
      </c>
      <c r="T3061" s="2" t="s">
        <v>38</v>
      </c>
      <c r="U3061" s="2" t="s">
        <v>38</v>
      </c>
      <c r="V3061" s="2" t="s">
        <v>38</v>
      </c>
      <c r="W3061" s="2" t="s">
        <v>38</v>
      </c>
      <c r="X3061" s="2" t="s">
        <v>38</v>
      </c>
      <c r="Y3061" s="2" t="s">
        <v>39</v>
      </c>
      <c r="Z3061" s="2" t="s">
        <v>38</v>
      </c>
      <c r="AA3061" s="2" t="s">
        <v>38</v>
      </c>
      <c r="AB3061" s="2" t="s">
        <v>38</v>
      </c>
      <c r="AC3061" s="2" t="s">
        <v>38</v>
      </c>
      <c r="AD3061" s="2" t="s">
        <v>38</v>
      </c>
      <c r="AE3061" s="2" t="s">
        <v>39</v>
      </c>
    </row>
    <row r="3062" spans="1:31" ht="409.5">
      <c r="A3062" s="2">
        <v>2705106</v>
      </c>
      <c r="B3062" s="2">
        <f>HYPERLINK("https://platform.v2.vetology.net/cases/2705106/screening-report/1?type=pdf&amp;v=v6&amp;scorecard=1&amp;secret_key=BX%25IJ%24%2F65ieZ%29f6", 2705106)</f>
        <v>2705106</v>
      </c>
      <c r="C3062" s="2">
        <f>HYPERLINK("https://platform.v2.vetology.net/report/v/final/"&amp;2705106, 2705106)</f>
        <v>2705106</v>
      </c>
      <c r="D3062" s="2" t="s">
        <v>9742</v>
      </c>
      <c r="E3062" s="2" t="s">
        <v>9743</v>
      </c>
      <c r="F3062" s="2" t="s">
        <v>43</v>
      </c>
      <c r="G3062" s="2" t="s">
        <v>100</v>
      </c>
      <c r="H3062" s="2" t="s">
        <v>9744</v>
      </c>
      <c r="I3062" s="2" t="s">
        <v>73</v>
      </c>
      <c r="J3062" s="2" t="s">
        <v>74</v>
      </c>
      <c r="K3062" s="2" t="s">
        <v>38</v>
      </c>
      <c r="L3062" s="2" t="s">
        <v>38</v>
      </c>
      <c r="M3062" s="2" t="s">
        <v>38</v>
      </c>
      <c r="N3062" s="2" t="s">
        <v>38</v>
      </c>
      <c r="O3062" s="2" t="s">
        <v>38</v>
      </c>
      <c r="P3062" s="2" t="s">
        <v>38</v>
      </c>
      <c r="Q3062" s="2" t="s">
        <v>38</v>
      </c>
      <c r="R3062" s="2" t="s">
        <v>38</v>
      </c>
      <c r="S3062" s="2" t="s">
        <v>38</v>
      </c>
      <c r="T3062" s="2" t="s">
        <v>38</v>
      </c>
      <c r="U3062" s="2" t="s">
        <v>38</v>
      </c>
      <c r="V3062" s="2" t="s">
        <v>38</v>
      </c>
      <c r="W3062" s="2" t="s">
        <v>38</v>
      </c>
      <c r="X3062" s="2" t="s">
        <v>38</v>
      </c>
      <c r="Y3062" s="2" t="s">
        <v>38</v>
      </c>
      <c r="Z3062" s="2" t="s">
        <v>38</v>
      </c>
      <c r="AA3062" s="2" t="s">
        <v>38</v>
      </c>
      <c r="AB3062" s="2" t="s">
        <v>38</v>
      </c>
      <c r="AC3062" s="2" t="s">
        <v>38</v>
      </c>
      <c r="AD3062" s="2" t="s">
        <v>38</v>
      </c>
      <c r="AE3062" s="2" t="s">
        <v>40</v>
      </c>
    </row>
    <row r="3063" spans="1:31" ht="409.5">
      <c r="A3063" s="2">
        <v>2705105</v>
      </c>
      <c r="B3063" s="2">
        <f>HYPERLINK("https://platform.v2.vetology.net/cases/2705105/screening-report/1?type=pdf&amp;v=v6&amp;scorecard=1&amp;secret_key=BX%25IJ%24%2F65ieZ%29f6", 2705105)</f>
        <v>2705105</v>
      </c>
      <c r="C3063" s="2">
        <f>HYPERLINK("https://platform.v2.vetology.net/report/v/final/"&amp;2705105, 2705105)</f>
        <v>2705105</v>
      </c>
      <c r="D3063" s="2" t="s">
        <v>9745</v>
      </c>
      <c r="E3063" s="2" t="s">
        <v>9746</v>
      </c>
      <c r="F3063" s="2" t="s">
        <v>3690</v>
      </c>
      <c r="G3063" s="2" t="s">
        <v>251</v>
      </c>
      <c r="H3063" s="2" t="s">
        <v>9747</v>
      </c>
      <c r="I3063" s="2" t="s">
        <v>36</v>
      </c>
      <c r="J3063" s="2" t="s">
        <v>37</v>
      </c>
      <c r="K3063" s="2" t="s">
        <v>38</v>
      </c>
      <c r="L3063" s="2" t="s">
        <v>38</v>
      </c>
      <c r="M3063" s="2" t="s">
        <v>39</v>
      </c>
      <c r="N3063" s="2" t="s">
        <v>39</v>
      </c>
      <c r="O3063" s="2" t="s">
        <v>39</v>
      </c>
      <c r="P3063" s="2" t="s">
        <v>39</v>
      </c>
      <c r="Q3063" s="2" t="s">
        <v>39</v>
      </c>
      <c r="R3063" s="2" t="s">
        <v>39</v>
      </c>
      <c r="S3063" s="2" t="s">
        <v>39</v>
      </c>
      <c r="T3063" s="2" t="s">
        <v>39</v>
      </c>
      <c r="U3063" s="2" t="s">
        <v>38</v>
      </c>
      <c r="V3063" s="2" t="s">
        <v>38</v>
      </c>
      <c r="W3063" s="2" t="s">
        <v>39</v>
      </c>
      <c r="X3063" s="2" t="s">
        <v>39</v>
      </c>
      <c r="Y3063" s="2" t="s">
        <v>39</v>
      </c>
      <c r="Z3063" s="2" t="s">
        <v>39</v>
      </c>
      <c r="AA3063" s="2" t="s">
        <v>39</v>
      </c>
      <c r="AB3063" s="2" t="s">
        <v>39</v>
      </c>
      <c r="AC3063" s="2" t="s">
        <v>39</v>
      </c>
      <c r="AD3063" s="2" t="s">
        <v>39</v>
      </c>
      <c r="AE3063" s="2"/>
    </row>
    <row r="3064" spans="1:31" ht="409.5">
      <c r="A3064" s="2">
        <v>2705104</v>
      </c>
      <c r="B3064" s="2">
        <f>HYPERLINK("https://platform.v2.vetology.net/cases/2705104/screening-report/1?type=pdf&amp;v=v6&amp;scorecard=1&amp;secret_key=BX%25IJ%24%2F65ieZ%29f6", 2705104)</f>
        <v>2705104</v>
      </c>
      <c r="C3064" s="2">
        <f>HYPERLINK("https://platform.v2.vetology.net/report/v/final/"&amp;2705104, 2705104)</f>
        <v>2705104</v>
      </c>
      <c r="D3064" s="2" t="s">
        <v>9748</v>
      </c>
      <c r="E3064" s="2" t="s">
        <v>9749</v>
      </c>
      <c r="F3064" s="2" t="s">
        <v>9750</v>
      </c>
      <c r="G3064" s="2" t="s">
        <v>145</v>
      </c>
      <c r="H3064" s="2" t="s">
        <v>45</v>
      </c>
      <c r="I3064" s="2" t="s">
        <v>46</v>
      </c>
      <c r="J3064" s="2"/>
      <c r="K3064" s="2" t="s">
        <v>39</v>
      </c>
      <c r="L3064" s="2" t="s">
        <v>39</v>
      </c>
      <c r="M3064" s="2" t="s">
        <v>39</v>
      </c>
      <c r="N3064" s="2" t="s">
        <v>39</v>
      </c>
      <c r="O3064" s="2" t="s">
        <v>39</v>
      </c>
      <c r="P3064" s="2" t="s">
        <v>39</v>
      </c>
      <c r="Q3064" s="2" t="s">
        <v>39</v>
      </c>
      <c r="R3064" s="2" t="s">
        <v>38</v>
      </c>
      <c r="S3064" s="2" t="s">
        <v>39</v>
      </c>
      <c r="T3064" s="2" t="s">
        <v>39</v>
      </c>
      <c r="U3064" s="2" t="s">
        <v>39</v>
      </c>
      <c r="V3064" s="2" t="s">
        <v>39</v>
      </c>
      <c r="W3064" s="2" t="s">
        <v>38</v>
      </c>
      <c r="X3064" s="2" t="s">
        <v>39</v>
      </c>
      <c r="Y3064" s="2" t="s">
        <v>39</v>
      </c>
      <c r="Z3064" s="2" t="s">
        <v>39</v>
      </c>
      <c r="AA3064" s="2" t="s">
        <v>39</v>
      </c>
      <c r="AB3064" s="2" t="s">
        <v>39</v>
      </c>
      <c r="AC3064" s="2" t="s">
        <v>38</v>
      </c>
      <c r="AD3064" s="2" t="s">
        <v>39</v>
      </c>
      <c r="AE3064" s="2" t="s">
        <v>39</v>
      </c>
    </row>
    <row r="3065" spans="1:31" ht="409.5">
      <c r="A3065" s="2">
        <v>2705092</v>
      </c>
      <c r="B3065" s="2">
        <f>HYPERLINK("https://platform.v2.vetology.net/cases/2705092/screening-report/1?type=pdf&amp;v=v6&amp;scorecard=1&amp;secret_key=BX%25IJ%24%2F65ieZ%29f6", 2705092)</f>
        <v>2705092</v>
      </c>
      <c r="C3065" s="2">
        <f>HYPERLINK("https://platform.v2.vetology.net/report/v/final/"&amp;2705092, 2705092)</f>
        <v>2705092</v>
      </c>
      <c r="D3065" s="2" t="s">
        <v>9751</v>
      </c>
      <c r="E3065" s="2" t="s">
        <v>9752</v>
      </c>
      <c r="F3065" s="2" t="s">
        <v>5774</v>
      </c>
      <c r="G3065" s="2" t="s">
        <v>111</v>
      </c>
      <c r="H3065" s="2" t="s">
        <v>9753</v>
      </c>
      <c r="I3065" s="2" t="s">
        <v>129</v>
      </c>
      <c r="J3065" s="2" t="s">
        <v>74</v>
      </c>
      <c r="K3065" s="2" t="s">
        <v>39</v>
      </c>
      <c r="L3065" s="2" t="s">
        <v>39</v>
      </c>
      <c r="M3065" s="2" t="s">
        <v>38</v>
      </c>
      <c r="N3065" s="2" t="s">
        <v>38</v>
      </c>
      <c r="O3065" s="2" t="s">
        <v>38</v>
      </c>
      <c r="P3065" s="2" t="s">
        <v>38</v>
      </c>
      <c r="Q3065" s="2" t="s">
        <v>38</v>
      </c>
      <c r="R3065" s="2" t="s">
        <v>39</v>
      </c>
      <c r="S3065" s="2" t="s">
        <v>38</v>
      </c>
      <c r="T3065" s="2" t="s">
        <v>38</v>
      </c>
      <c r="U3065" s="2" t="s">
        <v>39</v>
      </c>
      <c r="V3065" s="2" t="s">
        <v>39</v>
      </c>
      <c r="W3065" s="2" t="s">
        <v>38</v>
      </c>
      <c r="X3065" s="2" t="s">
        <v>38</v>
      </c>
      <c r="Y3065" s="2" t="s">
        <v>39</v>
      </c>
      <c r="Z3065" s="2" t="s">
        <v>38</v>
      </c>
      <c r="AA3065" s="2" t="s">
        <v>38</v>
      </c>
      <c r="AB3065" s="2" t="s">
        <v>38</v>
      </c>
      <c r="AC3065" s="2" t="s">
        <v>38</v>
      </c>
      <c r="AD3065" s="2" t="s">
        <v>38</v>
      </c>
      <c r="AE3065" s="2" t="s">
        <v>40</v>
      </c>
    </row>
    <row r="3066" spans="1:31" ht="409.5">
      <c r="A3066" s="2">
        <v>2705075</v>
      </c>
      <c r="B3066" s="2">
        <f>HYPERLINK("https://platform.v2.vetology.net/cases/2705075/screening-report/1?type=pdf&amp;v=v6&amp;scorecard=1&amp;secret_key=BX%25IJ%24%2F65ieZ%29f6", 2705075)</f>
        <v>2705075</v>
      </c>
      <c r="C3066" s="2">
        <f>HYPERLINK("https://platform.v2.vetology.net/report/v/final/"&amp;2705075, 2705075)</f>
        <v>2705075</v>
      </c>
      <c r="D3066" s="2" t="s">
        <v>9754</v>
      </c>
      <c r="E3066" s="2" t="s">
        <v>9755</v>
      </c>
      <c r="F3066" s="2"/>
      <c r="G3066" s="2" t="s">
        <v>100</v>
      </c>
      <c r="H3066" s="2" t="s">
        <v>9756</v>
      </c>
      <c r="I3066" s="2" t="s">
        <v>73</v>
      </c>
      <c r="J3066" s="2" t="s">
        <v>74</v>
      </c>
      <c r="K3066" s="2" t="s">
        <v>38</v>
      </c>
      <c r="L3066" s="2" t="s">
        <v>38</v>
      </c>
      <c r="M3066" s="2" t="s">
        <v>38</v>
      </c>
      <c r="N3066" s="2" t="s">
        <v>38</v>
      </c>
      <c r="O3066" s="2" t="s">
        <v>38</v>
      </c>
      <c r="P3066" s="2" t="s">
        <v>38</v>
      </c>
      <c r="Q3066" s="2" t="s">
        <v>38</v>
      </c>
      <c r="R3066" s="2" t="s">
        <v>39</v>
      </c>
      <c r="S3066" s="2" t="s">
        <v>39</v>
      </c>
      <c r="T3066" s="2" t="s">
        <v>38</v>
      </c>
      <c r="U3066" s="2" t="s">
        <v>39</v>
      </c>
      <c r="V3066" s="2" t="s">
        <v>38</v>
      </c>
      <c r="W3066" s="2" t="s">
        <v>38</v>
      </c>
      <c r="X3066" s="2" t="s">
        <v>38</v>
      </c>
      <c r="Y3066" s="2" t="s">
        <v>39</v>
      </c>
      <c r="Z3066" s="2" t="s">
        <v>38</v>
      </c>
      <c r="AA3066" s="2" t="s">
        <v>39</v>
      </c>
      <c r="AB3066" s="2" t="s">
        <v>38</v>
      </c>
      <c r="AC3066" s="2" t="s">
        <v>38</v>
      </c>
      <c r="AD3066" s="2" t="s">
        <v>38</v>
      </c>
      <c r="AE3066" s="2" t="s">
        <v>40</v>
      </c>
    </row>
    <row r="3067" spans="1:31" ht="409.5">
      <c r="A3067" s="2">
        <v>2705072</v>
      </c>
      <c r="B3067" s="2">
        <f>HYPERLINK("https://platform.v2.vetology.net/cases/2705072/screening-report/1?type=pdf&amp;v=v6&amp;scorecard=1&amp;secret_key=BX%25IJ%24%2F65ieZ%29f6", 2705072)</f>
        <v>2705072</v>
      </c>
      <c r="C3067" s="2">
        <f>HYPERLINK("https://platform.v2.vetology.net/report/v/final/"&amp;2705072, 2705072)</f>
        <v>2705072</v>
      </c>
      <c r="D3067" s="2" t="s">
        <v>9757</v>
      </c>
      <c r="E3067" s="2" t="s">
        <v>9758</v>
      </c>
      <c r="F3067" s="2" t="s">
        <v>9759</v>
      </c>
      <c r="G3067" s="2" t="s">
        <v>53</v>
      </c>
      <c r="H3067" s="2" t="s">
        <v>9760</v>
      </c>
      <c r="I3067" s="2" t="s">
        <v>257</v>
      </c>
      <c r="J3067" s="2" t="s">
        <v>74</v>
      </c>
      <c r="K3067" s="2" t="s">
        <v>38</v>
      </c>
      <c r="L3067" s="2" t="s">
        <v>38</v>
      </c>
      <c r="M3067" s="2" t="s">
        <v>38</v>
      </c>
      <c r="N3067" s="2" t="s">
        <v>38</v>
      </c>
      <c r="O3067" s="2" t="s">
        <v>38</v>
      </c>
      <c r="P3067" s="2" t="s">
        <v>38</v>
      </c>
      <c r="Q3067" s="2" t="s">
        <v>38</v>
      </c>
      <c r="R3067" s="2" t="s">
        <v>38</v>
      </c>
      <c r="S3067" s="2" t="s">
        <v>38</v>
      </c>
      <c r="T3067" s="2" t="s">
        <v>38</v>
      </c>
      <c r="U3067" s="2" t="s">
        <v>39</v>
      </c>
      <c r="V3067" s="2" t="s">
        <v>38</v>
      </c>
      <c r="W3067" s="2" t="s">
        <v>38</v>
      </c>
      <c r="X3067" s="2" t="s">
        <v>38</v>
      </c>
      <c r="Y3067" s="2" t="s">
        <v>38</v>
      </c>
      <c r="Z3067" s="2" t="s">
        <v>38</v>
      </c>
      <c r="AA3067" s="2" t="s">
        <v>38</v>
      </c>
      <c r="AB3067" s="2" t="s">
        <v>38</v>
      </c>
      <c r="AC3067" s="2" t="s">
        <v>38</v>
      </c>
      <c r="AD3067" s="2" t="s">
        <v>38</v>
      </c>
      <c r="AE3067" s="2" t="s">
        <v>39</v>
      </c>
    </row>
    <row r="3068" spans="1:31" ht="409.5">
      <c r="A3068" s="2">
        <v>2705043</v>
      </c>
      <c r="B3068" s="2">
        <f>HYPERLINK("https://platform.v2.vetology.net/cases/2705043/screening-report/1?type=pdf&amp;v=v6&amp;scorecard=1&amp;secret_key=BX%25IJ%24%2F65ieZ%29f6", 2705043)</f>
        <v>2705043</v>
      </c>
      <c r="C3068" s="2">
        <f>HYPERLINK("https://platform.v2.vetology.net/report/v/final/"&amp;2705043, 2705043)</f>
        <v>2705043</v>
      </c>
      <c r="D3068" s="2" t="s">
        <v>9761</v>
      </c>
      <c r="E3068" s="2" t="s">
        <v>9762</v>
      </c>
      <c r="F3068" s="2" t="s">
        <v>9763</v>
      </c>
      <c r="G3068" s="2" t="s">
        <v>170</v>
      </c>
      <c r="H3068" s="2" t="s">
        <v>69</v>
      </c>
      <c r="I3068" s="2" t="s">
        <v>46</v>
      </c>
      <c r="J3068" s="2"/>
      <c r="K3068" s="2" t="s">
        <v>39</v>
      </c>
      <c r="L3068" s="2" t="s">
        <v>39</v>
      </c>
      <c r="M3068" s="2" t="s">
        <v>39</v>
      </c>
      <c r="N3068" s="2" t="s">
        <v>39</v>
      </c>
      <c r="O3068" s="2" t="s">
        <v>39</v>
      </c>
      <c r="P3068" s="2" t="s">
        <v>39</v>
      </c>
      <c r="Q3068" s="2" t="s">
        <v>39</v>
      </c>
      <c r="R3068" s="2" t="s">
        <v>39</v>
      </c>
      <c r="S3068" s="2" t="s">
        <v>39</v>
      </c>
      <c r="T3068" s="2" t="s">
        <v>39</v>
      </c>
      <c r="U3068" s="2" t="s">
        <v>39</v>
      </c>
      <c r="V3068" s="2" t="s">
        <v>39</v>
      </c>
      <c r="W3068" s="2" t="s">
        <v>39</v>
      </c>
      <c r="X3068" s="2" t="s">
        <v>39</v>
      </c>
      <c r="Y3068" s="2" t="s">
        <v>39</v>
      </c>
      <c r="Z3068" s="2" t="s">
        <v>39</v>
      </c>
      <c r="AA3068" s="2" t="s">
        <v>39</v>
      </c>
      <c r="AB3068" s="2" t="s">
        <v>39</v>
      </c>
      <c r="AC3068" s="2" t="s">
        <v>39</v>
      </c>
      <c r="AD3068" s="2" t="s">
        <v>38</v>
      </c>
      <c r="AE3068" s="2" t="s">
        <v>39</v>
      </c>
    </row>
    <row r="3069" spans="1:31" ht="409.5">
      <c r="A3069" s="2">
        <v>2705040</v>
      </c>
      <c r="B3069" s="2">
        <f>HYPERLINK("https://platform.v2.vetology.net/cases/2705040/screening-report/1?type=pdf&amp;v=v6&amp;scorecard=1&amp;secret_key=BX%25IJ%24%2F65ieZ%29f6", 2705040)</f>
        <v>2705040</v>
      </c>
      <c r="C3069" s="2">
        <f>HYPERLINK("https://platform.v2.vetology.net/report/v/final/"&amp;2705040, 2705040)</f>
        <v>2705040</v>
      </c>
      <c r="D3069" s="2" t="s">
        <v>9764</v>
      </c>
      <c r="E3069" s="2" t="s">
        <v>9765</v>
      </c>
      <c r="F3069" s="2" t="s">
        <v>9766</v>
      </c>
      <c r="G3069" s="2" t="s">
        <v>127</v>
      </c>
      <c r="H3069" s="2" t="s">
        <v>967</v>
      </c>
      <c r="I3069" s="2" t="s">
        <v>36</v>
      </c>
      <c r="J3069" s="2" t="s">
        <v>37</v>
      </c>
      <c r="K3069" s="2" t="s">
        <v>38</v>
      </c>
      <c r="L3069" s="2" t="s">
        <v>39</v>
      </c>
      <c r="M3069" s="2" t="s">
        <v>38</v>
      </c>
      <c r="N3069" s="2" t="s">
        <v>38</v>
      </c>
      <c r="O3069" s="2" t="s">
        <v>39</v>
      </c>
      <c r="P3069" s="2" t="s">
        <v>39</v>
      </c>
      <c r="Q3069" s="2" t="s">
        <v>39</v>
      </c>
      <c r="R3069" s="2" t="s">
        <v>38</v>
      </c>
      <c r="S3069" s="2" t="s">
        <v>39</v>
      </c>
      <c r="T3069" s="2" t="s">
        <v>39</v>
      </c>
      <c r="U3069" s="2" t="s">
        <v>38</v>
      </c>
      <c r="V3069" s="2" t="s">
        <v>38</v>
      </c>
      <c r="W3069" s="2" t="s">
        <v>38</v>
      </c>
      <c r="X3069" s="2" t="s">
        <v>39</v>
      </c>
      <c r="Y3069" s="2" t="s">
        <v>39</v>
      </c>
      <c r="Z3069" s="2" t="s">
        <v>39</v>
      </c>
      <c r="AA3069" s="2" t="s">
        <v>39</v>
      </c>
      <c r="AB3069" s="2" t="s">
        <v>39</v>
      </c>
      <c r="AC3069" s="2" t="s">
        <v>38</v>
      </c>
      <c r="AD3069" s="2" t="s">
        <v>39</v>
      </c>
      <c r="AE3069" s="2" t="s">
        <v>40</v>
      </c>
    </row>
    <row r="3070" spans="1:31" ht="409.5">
      <c r="A3070" s="2">
        <v>2705018</v>
      </c>
      <c r="B3070" s="2">
        <f>HYPERLINK("https://platform.v2.vetology.net/cases/2705018/screening-report/1?type=pdf&amp;v=v6&amp;scorecard=1&amp;secret_key=BX%25IJ%24%2F65ieZ%29f6", 2705018)</f>
        <v>2705018</v>
      </c>
      <c r="C3070" s="2">
        <f>HYPERLINK("https://platform.v2.vetology.net/report/v/final/"&amp;2705018, 2705018)</f>
        <v>2705018</v>
      </c>
      <c r="D3070" s="2" t="s">
        <v>9767</v>
      </c>
      <c r="E3070" s="2" t="s">
        <v>9768</v>
      </c>
      <c r="F3070" s="2" t="s">
        <v>9769</v>
      </c>
      <c r="G3070" s="2" t="s">
        <v>170</v>
      </c>
      <c r="H3070" s="2" t="s">
        <v>3564</v>
      </c>
      <c r="I3070" s="2" t="s">
        <v>59</v>
      </c>
      <c r="J3070" s="2" t="s">
        <v>37</v>
      </c>
      <c r="K3070" s="2" t="s">
        <v>38</v>
      </c>
      <c r="L3070" s="2" t="s">
        <v>38</v>
      </c>
      <c r="M3070" s="2" t="s">
        <v>39</v>
      </c>
      <c r="N3070" s="2" t="s">
        <v>39</v>
      </c>
      <c r="O3070" s="2" t="s">
        <v>39</v>
      </c>
      <c r="P3070" s="2" t="s">
        <v>39</v>
      </c>
      <c r="Q3070" s="2" t="s">
        <v>39</v>
      </c>
      <c r="R3070" s="2" t="s">
        <v>39</v>
      </c>
      <c r="S3070" s="2" t="s">
        <v>39</v>
      </c>
      <c r="T3070" s="2" t="s">
        <v>38</v>
      </c>
      <c r="U3070" s="2" t="s">
        <v>38</v>
      </c>
      <c r="V3070" s="2" t="s">
        <v>38</v>
      </c>
      <c r="W3070" s="2" t="s">
        <v>39</v>
      </c>
      <c r="X3070" s="2" t="s">
        <v>39</v>
      </c>
      <c r="Y3070" s="2" t="s">
        <v>39</v>
      </c>
      <c r="Z3070" s="2" t="s">
        <v>39</v>
      </c>
      <c r="AA3070" s="2" t="s">
        <v>39</v>
      </c>
      <c r="AB3070" s="2" t="s">
        <v>39</v>
      </c>
      <c r="AC3070" s="2" t="s">
        <v>38</v>
      </c>
      <c r="AD3070" s="2" t="s">
        <v>38</v>
      </c>
      <c r="AE3070" s="2" t="s">
        <v>39</v>
      </c>
    </row>
    <row r="3071" spans="1:31" ht="409.5">
      <c r="A3071" s="2">
        <v>2704995</v>
      </c>
      <c r="B3071" s="2">
        <f>HYPERLINK("https://platform.v2.vetology.net/cases/2704995/screening-report/1?type=pdf&amp;v=v6&amp;scorecard=1&amp;secret_key=BX%25IJ%24%2F65ieZ%29f6", 2704995)</f>
        <v>2704995</v>
      </c>
      <c r="C3071" s="2">
        <f>HYPERLINK("https://platform.v2.vetology.net/report/v/final/"&amp;2704995, 2704995)</f>
        <v>2704995</v>
      </c>
      <c r="D3071" s="2" t="s">
        <v>9770</v>
      </c>
      <c r="E3071" s="2" t="s">
        <v>9771</v>
      </c>
      <c r="F3071" s="2" t="s">
        <v>9772</v>
      </c>
      <c r="G3071" s="2" t="s">
        <v>170</v>
      </c>
      <c r="H3071" s="2" t="s">
        <v>9773</v>
      </c>
      <c r="I3071" s="2" t="s">
        <v>129</v>
      </c>
      <c r="J3071" s="2" t="s">
        <v>74</v>
      </c>
      <c r="K3071" s="2" t="s">
        <v>38</v>
      </c>
      <c r="L3071" s="2" t="s">
        <v>38</v>
      </c>
      <c r="M3071" s="2" t="s">
        <v>38</v>
      </c>
      <c r="N3071" s="2" t="s">
        <v>38</v>
      </c>
      <c r="O3071" s="2" t="s">
        <v>38</v>
      </c>
      <c r="P3071" s="2" t="s">
        <v>38</v>
      </c>
      <c r="Q3071" s="2" t="s">
        <v>38</v>
      </c>
      <c r="R3071" s="2" t="s">
        <v>38</v>
      </c>
      <c r="S3071" s="2" t="s">
        <v>39</v>
      </c>
      <c r="T3071" s="2" t="s">
        <v>38</v>
      </c>
      <c r="U3071" s="2" t="s">
        <v>38</v>
      </c>
      <c r="V3071" s="2" t="s">
        <v>38</v>
      </c>
      <c r="W3071" s="2" t="s">
        <v>38</v>
      </c>
      <c r="X3071" s="2" t="s">
        <v>39</v>
      </c>
      <c r="Y3071" s="2" t="s">
        <v>38</v>
      </c>
      <c r="Z3071" s="2" t="s">
        <v>38</v>
      </c>
      <c r="AA3071" s="2" t="s">
        <v>38</v>
      </c>
      <c r="AB3071" s="2" t="s">
        <v>39</v>
      </c>
      <c r="AC3071" s="2" t="s">
        <v>38</v>
      </c>
      <c r="AD3071" s="2" t="s">
        <v>38</v>
      </c>
      <c r="AE3071" s="2"/>
    </row>
    <row r="3072" spans="1:31" ht="409.5">
      <c r="A3072" s="2">
        <v>2704986</v>
      </c>
      <c r="B3072" s="2">
        <f>HYPERLINK("https://platform.v2.vetology.net/cases/2704986/screening-report/1?type=pdf&amp;v=v6&amp;scorecard=1&amp;secret_key=BX%25IJ%24%2F65ieZ%29f6", 2704986)</f>
        <v>2704986</v>
      </c>
      <c r="C3072" s="2">
        <f>HYPERLINK("https://platform.v2.vetology.net/report/v/final/"&amp;2704986, 2704986)</f>
        <v>2704986</v>
      </c>
      <c r="D3072" s="2" t="s">
        <v>9774</v>
      </c>
      <c r="E3072" s="2" t="s">
        <v>9775</v>
      </c>
      <c r="F3072" s="2" t="s">
        <v>9776</v>
      </c>
      <c r="G3072" s="2" t="s">
        <v>415</v>
      </c>
      <c r="H3072" s="2" t="s">
        <v>9777</v>
      </c>
      <c r="I3072" s="2" t="s">
        <v>36</v>
      </c>
      <c r="J3072" s="2" t="s">
        <v>37</v>
      </c>
      <c r="K3072" s="2" t="s">
        <v>39</v>
      </c>
      <c r="L3072" s="2" t="s">
        <v>39</v>
      </c>
      <c r="M3072" s="2" t="s">
        <v>38</v>
      </c>
      <c r="N3072" s="2" t="s">
        <v>38</v>
      </c>
      <c r="O3072" s="2" t="s">
        <v>38</v>
      </c>
      <c r="P3072" s="2" t="s">
        <v>39</v>
      </c>
      <c r="Q3072" s="2" t="s">
        <v>39</v>
      </c>
      <c r="R3072" s="2" t="s">
        <v>38</v>
      </c>
      <c r="S3072" s="2" t="s">
        <v>38</v>
      </c>
      <c r="T3072" s="2" t="s">
        <v>38</v>
      </c>
      <c r="U3072" s="2" t="s">
        <v>38</v>
      </c>
      <c r="V3072" s="2" t="s">
        <v>38</v>
      </c>
      <c r="W3072" s="2" t="s">
        <v>38</v>
      </c>
      <c r="X3072" s="2" t="s">
        <v>39</v>
      </c>
      <c r="Y3072" s="2" t="s">
        <v>38</v>
      </c>
      <c r="Z3072" s="2" t="s">
        <v>38</v>
      </c>
      <c r="AA3072" s="2" t="s">
        <v>39</v>
      </c>
      <c r="AB3072" s="2" t="s">
        <v>39</v>
      </c>
      <c r="AC3072" s="2" t="s">
        <v>38</v>
      </c>
      <c r="AD3072" s="2" t="s">
        <v>38</v>
      </c>
      <c r="AE3072" s="2" t="s">
        <v>39</v>
      </c>
    </row>
    <row r="3073" spans="1:31" ht="409.5">
      <c r="A3073" s="2">
        <v>2704981</v>
      </c>
      <c r="B3073" s="2">
        <f>HYPERLINK("https://platform.v2.vetology.net/cases/2704981/screening-report/1?type=pdf&amp;v=v6&amp;scorecard=1&amp;secret_key=BX%25IJ%24%2F65ieZ%29f6", 2704981)</f>
        <v>2704981</v>
      </c>
      <c r="C3073" s="2">
        <f>HYPERLINK("https://platform.v2.vetology.net/report/v/final/"&amp;2704981, 2704981)</f>
        <v>2704981</v>
      </c>
      <c r="D3073" s="2" t="s">
        <v>9778</v>
      </c>
      <c r="E3073" s="2" t="s">
        <v>9779</v>
      </c>
      <c r="F3073" s="2" t="s">
        <v>9780</v>
      </c>
      <c r="G3073" s="2" t="s">
        <v>170</v>
      </c>
      <c r="H3073" s="2" t="s">
        <v>6873</v>
      </c>
      <c r="I3073" s="2" t="s">
        <v>59</v>
      </c>
      <c r="J3073" s="2" t="s">
        <v>37</v>
      </c>
      <c r="K3073" s="2" t="s">
        <v>39</v>
      </c>
      <c r="L3073" s="2" t="s">
        <v>39</v>
      </c>
      <c r="M3073" s="2" t="s">
        <v>39</v>
      </c>
      <c r="N3073" s="2" t="s">
        <v>38</v>
      </c>
      <c r="O3073" s="2" t="s">
        <v>39</v>
      </c>
      <c r="P3073" s="2" t="s">
        <v>39</v>
      </c>
      <c r="Q3073" s="2" t="s">
        <v>39</v>
      </c>
      <c r="R3073" s="2" t="s">
        <v>38</v>
      </c>
      <c r="S3073" s="2" t="s">
        <v>39</v>
      </c>
      <c r="T3073" s="2" t="s">
        <v>39</v>
      </c>
      <c r="U3073" s="2" t="s">
        <v>39</v>
      </c>
      <c r="V3073" s="2" t="s">
        <v>39</v>
      </c>
      <c r="W3073" s="2" t="s">
        <v>39</v>
      </c>
      <c r="X3073" s="2" t="s">
        <v>39</v>
      </c>
      <c r="Y3073" s="2" t="s">
        <v>39</v>
      </c>
      <c r="Z3073" s="2" t="s">
        <v>38</v>
      </c>
      <c r="AA3073" s="2" t="s">
        <v>38</v>
      </c>
      <c r="AB3073" s="2" t="s">
        <v>39</v>
      </c>
      <c r="AC3073" s="2" t="s">
        <v>39</v>
      </c>
      <c r="AD3073" s="2" t="s">
        <v>39</v>
      </c>
      <c r="AE3073" s="2" t="s">
        <v>40</v>
      </c>
    </row>
    <row r="3074" spans="1:31" ht="409.5">
      <c r="A3074" s="2">
        <v>2704956</v>
      </c>
      <c r="B3074" s="2">
        <f>HYPERLINK("https://platform.v2.vetology.net/cases/2704956/screening-report/1?type=pdf&amp;v=v6&amp;scorecard=1&amp;secret_key=BX%25IJ%24%2F65ieZ%29f6", 2704956)</f>
        <v>2704956</v>
      </c>
      <c r="C3074" s="2">
        <f>HYPERLINK("https://platform.v2.vetology.net/report/v/final/"&amp;2704956, 2704956)</f>
        <v>2704956</v>
      </c>
      <c r="D3074" s="2" t="s">
        <v>9781</v>
      </c>
      <c r="E3074" s="2" t="s">
        <v>9782</v>
      </c>
      <c r="F3074" s="2" t="s">
        <v>9783</v>
      </c>
      <c r="G3074" s="2" t="s">
        <v>34</v>
      </c>
      <c r="H3074" s="2" t="s">
        <v>9784</v>
      </c>
      <c r="I3074" s="2" t="s">
        <v>129</v>
      </c>
      <c r="J3074" s="2" t="s">
        <v>74</v>
      </c>
      <c r="K3074" s="2" t="s">
        <v>39</v>
      </c>
      <c r="L3074" s="2" t="s">
        <v>39</v>
      </c>
      <c r="M3074" s="2" t="s">
        <v>38</v>
      </c>
      <c r="N3074" s="2" t="s">
        <v>38</v>
      </c>
      <c r="O3074" s="2" t="s">
        <v>38</v>
      </c>
      <c r="P3074" s="2" t="s">
        <v>38</v>
      </c>
      <c r="Q3074" s="2" t="s">
        <v>38</v>
      </c>
      <c r="R3074" s="2" t="s">
        <v>38</v>
      </c>
      <c r="S3074" s="2" t="s">
        <v>38</v>
      </c>
      <c r="T3074" s="2" t="s">
        <v>38</v>
      </c>
      <c r="U3074" s="2" t="s">
        <v>39</v>
      </c>
      <c r="V3074" s="2" t="s">
        <v>39</v>
      </c>
      <c r="W3074" s="2" t="s">
        <v>38</v>
      </c>
      <c r="X3074" s="2" t="s">
        <v>38</v>
      </c>
      <c r="Y3074" s="2" t="s">
        <v>39</v>
      </c>
      <c r="Z3074" s="2" t="s">
        <v>38</v>
      </c>
      <c r="AA3074" s="2" t="s">
        <v>39</v>
      </c>
      <c r="AB3074" s="2" t="s">
        <v>38</v>
      </c>
      <c r="AC3074" s="2" t="s">
        <v>39</v>
      </c>
      <c r="AD3074" s="2" t="s">
        <v>39</v>
      </c>
      <c r="AE3074" s="2" t="s">
        <v>40</v>
      </c>
    </row>
    <row r="3075" spans="1:31" ht="409.5">
      <c r="A3075" s="2">
        <v>2704948</v>
      </c>
      <c r="B3075" s="2">
        <f>HYPERLINK("https://platform.v2.vetology.net/cases/2704948/screening-report/1?type=pdf&amp;v=v6&amp;scorecard=1&amp;secret_key=BX%25IJ%24%2F65ieZ%29f6", 2704948)</f>
        <v>2704948</v>
      </c>
      <c r="C3075" s="2">
        <f>HYPERLINK("https://platform.v2.vetology.net/report/v/final/"&amp;2704948, 2704948)</f>
        <v>2704948</v>
      </c>
      <c r="D3075" s="2" t="s">
        <v>9785</v>
      </c>
      <c r="E3075" s="2" t="s">
        <v>9786</v>
      </c>
      <c r="F3075" s="2" t="s">
        <v>43</v>
      </c>
      <c r="G3075" s="2" t="s">
        <v>100</v>
      </c>
      <c r="H3075" s="2" t="s">
        <v>9787</v>
      </c>
      <c r="I3075" s="2" t="s">
        <v>36</v>
      </c>
      <c r="J3075" s="2" t="s">
        <v>37</v>
      </c>
      <c r="K3075" s="2" t="s">
        <v>38</v>
      </c>
      <c r="L3075" s="2" t="s">
        <v>38</v>
      </c>
      <c r="M3075" s="2" t="s">
        <v>38</v>
      </c>
      <c r="N3075" s="2" t="s">
        <v>38</v>
      </c>
      <c r="O3075" s="2" t="s">
        <v>38</v>
      </c>
      <c r="P3075" s="2" t="s">
        <v>38</v>
      </c>
      <c r="Q3075" s="2" t="s">
        <v>39</v>
      </c>
      <c r="R3075" s="2" t="s">
        <v>38</v>
      </c>
      <c r="S3075" s="2" t="s">
        <v>38</v>
      </c>
      <c r="T3075" s="2" t="s">
        <v>38</v>
      </c>
      <c r="U3075" s="2" t="s">
        <v>38</v>
      </c>
      <c r="V3075" s="2" t="s">
        <v>38</v>
      </c>
      <c r="W3075" s="2" t="s">
        <v>38</v>
      </c>
      <c r="X3075" s="2" t="s">
        <v>39</v>
      </c>
      <c r="Y3075" s="2" t="s">
        <v>39</v>
      </c>
      <c r="Z3075" s="2" t="s">
        <v>38</v>
      </c>
      <c r="AA3075" s="2" t="s">
        <v>38</v>
      </c>
      <c r="AB3075" s="2" t="s">
        <v>39</v>
      </c>
      <c r="AC3075" s="2" t="s">
        <v>38</v>
      </c>
      <c r="AD3075" s="2" t="s">
        <v>38</v>
      </c>
      <c r="AE3075" s="2" t="s">
        <v>40</v>
      </c>
    </row>
    <row r="3076" spans="1:31" ht="409.5">
      <c r="A3076" s="2">
        <v>2704902</v>
      </c>
      <c r="B3076" s="2">
        <f>HYPERLINK("https://platform.v2.vetology.net/cases/2704902/screening-report/1?type=pdf&amp;v=v6&amp;scorecard=1&amp;secret_key=BX%25IJ%24%2F65ieZ%29f6", 2704902)</f>
        <v>2704902</v>
      </c>
      <c r="C3076" s="2">
        <f>HYPERLINK("https://platform.v2.vetology.net/report/v/final/"&amp;2704902, 2704902)</f>
        <v>2704902</v>
      </c>
      <c r="D3076" s="2" t="s">
        <v>9788</v>
      </c>
      <c r="E3076" s="2" t="s">
        <v>9789</v>
      </c>
      <c r="F3076" s="2" t="s">
        <v>9790</v>
      </c>
      <c r="G3076" s="2" t="s">
        <v>251</v>
      </c>
      <c r="H3076" s="2" t="s">
        <v>62</v>
      </c>
      <c r="I3076" s="2" t="s">
        <v>46</v>
      </c>
      <c r="J3076" s="2"/>
      <c r="K3076" s="2" t="s">
        <v>39</v>
      </c>
      <c r="L3076" s="2" t="s">
        <v>39</v>
      </c>
      <c r="M3076" s="2" t="s">
        <v>39</v>
      </c>
      <c r="N3076" s="2" t="s">
        <v>39</v>
      </c>
      <c r="O3076" s="2" t="s">
        <v>39</v>
      </c>
      <c r="P3076" s="2" t="s">
        <v>39</v>
      </c>
      <c r="Q3076" s="2" t="s">
        <v>39</v>
      </c>
      <c r="R3076" s="2" t="s">
        <v>38</v>
      </c>
      <c r="S3076" s="2" t="s">
        <v>38</v>
      </c>
      <c r="T3076" s="2" t="s">
        <v>39</v>
      </c>
      <c r="U3076" s="2" t="s">
        <v>39</v>
      </c>
      <c r="V3076" s="2" t="s">
        <v>39</v>
      </c>
      <c r="W3076" s="2" t="s">
        <v>39</v>
      </c>
      <c r="X3076" s="2" t="s">
        <v>39</v>
      </c>
      <c r="Y3076" s="2" t="s">
        <v>39</v>
      </c>
      <c r="Z3076" s="2" t="s">
        <v>38</v>
      </c>
      <c r="AA3076" s="2" t="s">
        <v>39</v>
      </c>
      <c r="AB3076" s="2" t="s">
        <v>39</v>
      </c>
      <c r="AC3076" s="2" t="s">
        <v>38</v>
      </c>
      <c r="AD3076" s="2" t="s">
        <v>39</v>
      </c>
      <c r="AE3076" s="2" t="s">
        <v>39</v>
      </c>
    </row>
    <row r="3077" spans="1:31" ht="409.5">
      <c r="A3077" s="2">
        <v>2704870</v>
      </c>
      <c r="B3077" s="2">
        <f>HYPERLINK("https://platform.v2.vetology.net/cases/2704870/screening-report/1?type=pdf&amp;v=v6&amp;scorecard=1&amp;secret_key=BX%25IJ%24%2F65ieZ%29f6", 2704870)</f>
        <v>2704870</v>
      </c>
      <c r="C3077" s="2">
        <f>HYPERLINK("https://platform.v2.vetology.net/report/v/final/"&amp;2704870, 2704870)</f>
        <v>2704870</v>
      </c>
      <c r="D3077" s="2" t="s">
        <v>9791</v>
      </c>
      <c r="E3077" s="2" t="s">
        <v>9792</v>
      </c>
      <c r="F3077" s="2" t="s">
        <v>43</v>
      </c>
      <c r="G3077" s="2" t="s">
        <v>44</v>
      </c>
      <c r="H3077" s="2" t="s">
        <v>9793</v>
      </c>
      <c r="I3077" s="2" t="s">
        <v>36</v>
      </c>
      <c r="J3077" s="2" t="s">
        <v>37</v>
      </c>
      <c r="K3077" s="2" t="s">
        <v>39</v>
      </c>
      <c r="L3077" s="2" t="s">
        <v>38</v>
      </c>
      <c r="M3077" s="2" t="s">
        <v>38</v>
      </c>
      <c r="N3077" s="2" t="s">
        <v>39</v>
      </c>
      <c r="O3077" s="2" t="s">
        <v>38</v>
      </c>
      <c r="P3077" s="2" t="s">
        <v>39</v>
      </c>
      <c r="Q3077" s="2" t="s">
        <v>39</v>
      </c>
      <c r="R3077" s="2" t="s">
        <v>39</v>
      </c>
      <c r="S3077" s="2" t="s">
        <v>39</v>
      </c>
      <c r="T3077" s="2" t="s">
        <v>39</v>
      </c>
      <c r="U3077" s="2" t="s">
        <v>39</v>
      </c>
      <c r="V3077" s="2" t="s">
        <v>39</v>
      </c>
      <c r="W3077" s="2" t="s">
        <v>38</v>
      </c>
      <c r="X3077" s="2" t="s">
        <v>39</v>
      </c>
      <c r="Y3077" s="2" t="s">
        <v>39</v>
      </c>
      <c r="Z3077" s="2" t="s">
        <v>38</v>
      </c>
      <c r="AA3077" s="2" t="s">
        <v>38</v>
      </c>
      <c r="AB3077" s="2" t="s">
        <v>39</v>
      </c>
      <c r="AC3077" s="2" t="s">
        <v>38</v>
      </c>
      <c r="AD3077" s="2" t="s">
        <v>39</v>
      </c>
      <c r="AE3077" s="2"/>
    </row>
    <row r="3078" spans="1:31" ht="409.5">
      <c r="A3078" s="2">
        <v>2704825</v>
      </c>
      <c r="B3078" s="2">
        <f>HYPERLINK("https://platform.v2.vetology.net/cases/2704825/screening-report/1?type=pdf&amp;v=v6&amp;scorecard=1&amp;secret_key=BX%25IJ%24%2F65ieZ%29f6", 2704825)</f>
        <v>2704825</v>
      </c>
      <c r="C3078" s="2">
        <f>HYPERLINK("https://platform.v2.vetology.net/report/v/final/"&amp;2704825, 2704825)</f>
        <v>2704825</v>
      </c>
      <c r="D3078" s="2" t="s">
        <v>9794</v>
      </c>
      <c r="E3078" s="2" t="s">
        <v>9795</v>
      </c>
      <c r="F3078" s="2" t="s">
        <v>43</v>
      </c>
      <c r="G3078" s="2" t="s">
        <v>44</v>
      </c>
      <c r="H3078" s="2" t="s">
        <v>6550</v>
      </c>
      <c r="I3078" s="2" t="s">
        <v>36</v>
      </c>
      <c r="J3078" s="2" t="s">
        <v>37</v>
      </c>
      <c r="K3078" s="2" t="s">
        <v>39</v>
      </c>
      <c r="L3078" s="2" t="s">
        <v>38</v>
      </c>
      <c r="M3078" s="2" t="s">
        <v>38</v>
      </c>
      <c r="N3078" s="2" t="s">
        <v>39</v>
      </c>
      <c r="O3078" s="2" t="s">
        <v>38</v>
      </c>
      <c r="P3078" s="2" t="s">
        <v>39</v>
      </c>
      <c r="Q3078" s="2" t="s">
        <v>39</v>
      </c>
      <c r="R3078" s="2" t="s">
        <v>38</v>
      </c>
      <c r="S3078" s="2" t="s">
        <v>38</v>
      </c>
      <c r="T3078" s="2" t="s">
        <v>38</v>
      </c>
      <c r="U3078" s="2" t="s">
        <v>39</v>
      </c>
      <c r="V3078" s="2" t="s">
        <v>39</v>
      </c>
      <c r="W3078" s="2" t="s">
        <v>38</v>
      </c>
      <c r="X3078" s="2" t="s">
        <v>39</v>
      </c>
      <c r="Y3078" s="2" t="s">
        <v>39</v>
      </c>
      <c r="Z3078" s="2" t="s">
        <v>38</v>
      </c>
      <c r="AA3078" s="2" t="s">
        <v>39</v>
      </c>
      <c r="AB3078" s="2" t="s">
        <v>39</v>
      </c>
      <c r="AC3078" s="2" t="s">
        <v>39</v>
      </c>
      <c r="AD3078" s="2" t="s">
        <v>38</v>
      </c>
      <c r="AE3078" s="2" t="s">
        <v>39</v>
      </c>
    </row>
    <row r="3079" spans="1:31" ht="409.5">
      <c r="A3079" s="2">
        <v>2704803</v>
      </c>
      <c r="B3079" s="2">
        <f>HYPERLINK("https://platform.v2.vetology.net/cases/2704803/screening-report/1?type=pdf&amp;v=v6&amp;scorecard=1&amp;secret_key=BX%25IJ%24%2F65ieZ%29f6", 2704803)</f>
        <v>2704803</v>
      </c>
      <c r="C3079" s="2">
        <f>HYPERLINK("https://platform.v2.vetology.net/report/v/final/"&amp;2704803, 2704803)</f>
        <v>2704803</v>
      </c>
      <c r="D3079" s="2" t="s">
        <v>9796</v>
      </c>
      <c r="E3079" s="2" t="s">
        <v>9797</v>
      </c>
      <c r="F3079" s="2" t="s">
        <v>9798</v>
      </c>
      <c r="G3079" s="2" t="s">
        <v>53</v>
      </c>
      <c r="H3079" s="2" t="s">
        <v>9799</v>
      </c>
      <c r="I3079" s="2" t="s">
        <v>257</v>
      </c>
      <c r="J3079" s="2" t="s">
        <v>74</v>
      </c>
      <c r="K3079" s="2" t="s">
        <v>38</v>
      </c>
      <c r="L3079" s="2" t="s">
        <v>38</v>
      </c>
      <c r="M3079" s="2" t="s">
        <v>38</v>
      </c>
      <c r="N3079" s="2" t="s">
        <v>38</v>
      </c>
      <c r="O3079" s="2" t="s">
        <v>38</v>
      </c>
      <c r="P3079" s="2" t="s">
        <v>38</v>
      </c>
      <c r="Q3079" s="2" t="s">
        <v>38</v>
      </c>
      <c r="R3079" s="2" t="s">
        <v>38</v>
      </c>
      <c r="S3079" s="2" t="s">
        <v>38</v>
      </c>
      <c r="T3079" s="2" t="s">
        <v>38</v>
      </c>
      <c r="U3079" s="2" t="s">
        <v>38</v>
      </c>
      <c r="V3079" s="2" t="s">
        <v>38</v>
      </c>
      <c r="W3079" s="2" t="s">
        <v>38</v>
      </c>
      <c r="X3079" s="2" t="s">
        <v>38</v>
      </c>
      <c r="Y3079" s="2" t="s">
        <v>38</v>
      </c>
      <c r="Z3079" s="2" t="s">
        <v>38</v>
      </c>
      <c r="AA3079" s="2" t="s">
        <v>38</v>
      </c>
      <c r="AB3079" s="2" t="s">
        <v>38</v>
      </c>
      <c r="AC3079" s="2" t="s">
        <v>38</v>
      </c>
      <c r="AD3079" s="2" t="s">
        <v>38</v>
      </c>
      <c r="AE3079" s="2" t="s">
        <v>40</v>
      </c>
    </row>
    <row r="3080" spans="1:31" ht="409.5">
      <c r="A3080" s="2">
        <v>2704764</v>
      </c>
      <c r="B3080" s="2">
        <f>HYPERLINK("https://platform.v2.vetology.net/cases/2704764/screening-report/1?type=pdf&amp;v=v6&amp;scorecard=1&amp;secret_key=BX%25IJ%24%2F65ieZ%29f6", 2704764)</f>
        <v>2704764</v>
      </c>
      <c r="C3080" s="2">
        <f>HYPERLINK("https://platform.v2.vetology.net/report/v/final/"&amp;2704764, 2704764)</f>
        <v>2704764</v>
      </c>
      <c r="D3080" s="2" t="s">
        <v>9800</v>
      </c>
      <c r="E3080" s="2" t="s">
        <v>9801</v>
      </c>
      <c r="F3080" s="2" t="s">
        <v>1225</v>
      </c>
      <c r="G3080" s="2" t="s">
        <v>44</v>
      </c>
      <c r="H3080" s="2" t="s">
        <v>93</v>
      </c>
      <c r="I3080" s="2" t="s">
        <v>36</v>
      </c>
      <c r="J3080" s="2" t="s">
        <v>37</v>
      </c>
      <c r="K3080" s="2" t="s">
        <v>38</v>
      </c>
      <c r="L3080" s="2" t="s">
        <v>39</v>
      </c>
      <c r="M3080" s="2" t="s">
        <v>39</v>
      </c>
      <c r="N3080" s="2" t="s">
        <v>38</v>
      </c>
      <c r="O3080" s="2" t="s">
        <v>38</v>
      </c>
      <c r="P3080" s="2" t="s">
        <v>39</v>
      </c>
      <c r="Q3080" s="2" t="s">
        <v>39</v>
      </c>
      <c r="R3080" s="2" t="s">
        <v>39</v>
      </c>
      <c r="S3080" s="2" t="s">
        <v>39</v>
      </c>
      <c r="T3080" s="2" t="s">
        <v>38</v>
      </c>
      <c r="U3080" s="2" t="s">
        <v>38</v>
      </c>
      <c r="V3080" s="2" t="s">
        <v>38</v>
      </c>
      <c r="W3080" s="2" t="s">
        <v>39</v>
      </c>
      <c r="X3080" s="2" t="s">
        <v>39</v>
      </c>
      <c r="Y3080" s="2" t="s">
        <v>39</v>
      </c>
      <c r="Z3080" s="2" t="s">
        <v>39</v>
      </c>
      <c r="AA3080" s="2" t="s">
        <v>39</v>
      </c>
      <c r="AB3080" s="2" t="s">
        <v>39</v>
      </c>
      <c r="AC3080" s="2" t="s">
        <v>38</v>
      </c>
      <c r="AD3080" s="2" t="s">
        <v>38</v>
      </c>
      <c r="AE3080" s="2" t="s">
        <v>40</v>
      </c>
    </row>
    <row r="3081" spans="1:31" ht="409.5">
      <c r="A3081" s="2">
        <v>2704688</v>
      </c>
      <c r="B3081" s="2">
        <f>HYPERLINK("https://platform.v2.vetology.net/cases/2704688/screening-report/1?type=pdf&amp;v=v6&amp;scorecard=1&amp;secret_key=BX%25IJ%24%2F65ieZ%29f6", 2704688)</f>
        <v>2704688</v>
      </c>
      <c r="C3081" s="2">
        <f>HYPERLINK("https://platform.v2.vetology.net/report/v/final/"&amp;2704688, 2704688)</f>
        <v>2704688</v>
      </c>
      <c r="D3081" s="2" t="s">
        <v>9802</v>
      </c>
      <c r="E3081" s="2" t="s">
        <v>9803</v>
      </c>
      <c r="F3081" s="2" t="s">
        <v>9804</v>
      </c>
      <c r="G3081" s="2" t="s">
        <v>44</v>
      </c>
      <c r="H3081" s="2" t="s">
        <v>530</v>
      </c>
      <c r="I3081" s="2" t="s">
        <v>59</v>
      </c>
      <c r="J3081" s="2" t="s">
        <v>37</v>
      </c>
      <c r="K3081" s="2" t="s">
        <v>38</v>
      </c>
      <c r="L3081" s="2" t="s">
        <v>39</v>
      </c>
      <c r="M3081" s="2" t="s">
        <v>39</v>
      </c>
      <c r="N3081" s="2" t="s">
        <v>39</v>
      </c>
      <c r="O3081" s="2" t="s">
        <v>39</v>
      </c>
      <c r="P3081" s="2" t="s">
        <v>39</v>
      </c>
      <c r="Q3081" s="2" t="s">
        <v>39</v>
      </c>
      <c r="R3081" s="2" t="s">
        <v>39</v>
      </c>
      <c r="S3081" s="2" t="s">
        <v>39</v>
      </c>
      <c r="T3081" s="2" t="s">
        <v>39</v>
      </c>
      <c r="U3081" s="2" t="s">
        <v>38</v>
      </c>
      <c r="V3081" s="2" t="s">
        <v>38</v>
      </c>
      <c r="W3081" s="2" t="s">
        <v>39</v>
      </c>
      <c r="X3081" s="2" t="s">
        <v>39</v>
      </c>
      <c r="Y3081" s="2" t="s">
        <v>39</v>
      </c>
      <c r="Z3081" s="2" t="s">
        <v>39</v>
      </c>
      <c r="AA3081" s="2" t="s">
        <v>39</v>
      </c>
      <c r="AB3081" s="2" t="s">
        <v>39</v>
      </c>
      <c r="AC3081" s="2" t="s">
        <v>39</v>
      </c>
      <c r="AD3081" s="2" t="s">
        <v>39</v>
      </c>
      <c r="AE3081" s="2" t="s">
        <v>40</v>
      </c>
    </row>
    <row r="3082" spans="1:31" ht="409.5">
      <c r="A3082" s="2">
        <v>2704629</v>
      </c>
      <c r="B3082" s="2">
        <f>HYPERLINK("https://platform.v2.vetology.net/cases/2704629/screening-report/1?type=pdf&amp;v=v6&amp;scorecard=1&amp;secret_key=BX%25IJ%24%2F65ieZ%29f6", 2704629)</f>
        <v>2704629</v>
      </c>
      <c r="C3082" s="2">
        <f>HYPERLINK("https://platform.v2.vetology.net/report/v/final/"&amp;2704629, 2704629)</f>
        <v>2704629</v>
      </c>
      <c r="D3082" s="2" t="s">
        <v>9805</v>
      </c>
      <c r="E3082" s="2" t="s">
        <v>9806</v>
      </c>
      <c r="F3082" s="2" t="s">
        <v>657</v>
      </c>
      <c r="G3082" s="2" t="s">
        <v>34</v>
      </c>
      <c r="H3082" s="2" t="s">
        <v>1656</v>
      </c>
      <c r="I3082" s="2" t="s">
        <v>36</v>
      </c>
      <c r="J3082" s="2" t="s">
        <v>37</v>
      </c>
      <c r="K3082" s="2" t="s">
        <v>39</v>
      </c>
      <c r="L3082" s="2" t="s">
        <v>39</v>
      </c>
      <c r="M3082" s="2" t="s">
        <v>38</v>
      </c>
      <c r="N3082" s="2" t="s">
        <v>39</v>
      </c>
      <c r="O3082" s="2" t="s">
        <v>39</v>
      </c>
      <c r="P3082" s="2" t="s">
        <v>39</v>
      </c>
      <c r="Q3082" s="2" t="s">
        <v>39</v>
      </c>
      <c r="R3082" s="2" t="s">
        <v>38</v>
      </c>
      <c r="S3082" s="2" t="s">
        <v>38</v>
      </c>
      <c r="T3082" s="2" t="s">
        <v>38</v>
      </c>
      <c r="U3082" s="2" t="s">
        <v>39</v>
      </c>
      <c r="V3082" s="2" t="s">
        <v>39</v>
      </c>
      <c r="W3082" s="2" t="s">
        <v>38</v>
      </c>
      <c r="X3082" s="2" t="s">
        <v>39</v>
      </c>
      <c r="Y3082" s="2" t="s">
        <v>39</v>
      </c>
      <c r="Z3082" s="2" t="s">
        <v>38</v>
      </c>
      <c r="AA3082" s="2" t="s">
        <v>39</v>
      </c>
      <c r="AB3082" s="2" t="s">
        <v>39</v>
      </c>
      <c r="AC3082" s="2" t="s">
        <v>38</v>
      </c>
      <c r="AD3082" s="2" t="s">
        <v>38</v>
      </c>
      <c r="AE3082" s="2" t="s">
        <v>39</v>
      </c>
    </row>
    <row r="3083" spans="1:31" ht="409.5">
      <c r="A3083" s="2">
        <v>2704558</v>
      </c>
      <c r="B3083" s="2">
        <f>HYPERLINK("https://platform.v2.vetology.net/cases/2704558/screening-report/1?type=pdf&amp;v=v6&amp;scorecard=1&amp;secret_key=BX%25IJ%24%2F65ieZ%29f6", 2704558)</f>
        <v>2704558</v>
      </c>
      <c r="C3083" s="2">
        <f>HYPERLINK("https://platform.v2.vetology.net/report/v/final/"&amp;2704558, 2704558)</f>
        <v>2704558</v>
      </c>
      <c r="D3083" s="2" t="s">
        <v>9807</v>
      </c>
      <c r="E3083" s="2" t="s">
        <v>9808</v>
      </c>
      <c r="F3083" s="2" t="s">
        <v>9809</v>
      </c>
      <c r="G3083" s="2" t="s">
        <v>34</v>
      </c>
      <c r="H3083" s="2" t="s">
        <v>69</v>
      </c>
      <c r="I3083" s="2" t="s">
        <v>46</v>
      </c>
      <c r="J3083" s="2"/>
      <c r="K3083" s="2" t="s">
        <v>39</v>
      </c>
      <c r="L3083" s="2" t="s">
        <v>39</v>
      </c>
      <c r="M3083" s="2" t="s">
        <v>39</v>
      </c>
      <c r="N3083" s="2" t="s">
        <v>39</v>
      </c>
      <c r="O3083" s="2" t="s">
        <v>39</v>
      </c>
      <c r="P3083" s="2" t="s">
        <v>39</v>
      </c>
      <c r="Q3083" s="2" t="s">
        <v>39</v>
      </c>
      <c r="R3083" s="2" t="s">
        <v>39</v>
      </c>
      <c r="S3083" s="2" t="s">
        <v>39</v>
      </c>
      <c r="T3083" s="2" t="s">
        <v>39</v>
      </c>
      <c r="U3083" s="2" t="s">
        <v>39</v>
      </c>
      <c r="V3083" s="2" t="s">
        <v>39</v>
      </c>
      <c r="W3083" s="2" t="s">
        <v>39</v>
      </c>
      <c r="X3083" s="2" t="s">
        <v>39</v>
      </c>
      <c r="Y3083" s="2" t="s">
        <v>39</v>
      </c>
      <c r="Z3083" s="2" t="s">
        <v>39</v>
      </c>
      <c r="AA3083" s="2" t="s">
        <v>39</v>
      </c>
      <c r="AB3083" s="2" t="s">
        <v>39</v>
      </c>
      <c r="AC3083" s="2" t="s">
        <v>39</v>
      </c>
      <c r="AD3083" s="2" t="s">
        <v>39</v>
      </c>
      <c r="AE3083" s="2" t="s">
        <v>39</v>
      </c>
    </row>
    <row r="3084" spans="1:31" ht="409.5">
      <c r="A3084" s="2">
        <v>2704551</v>
      </c>
      <c r="B3084" s="2">
        <f>HYPERLINK("https://platform.v2.vetology.net/cases/2704551/screening-report/1?type=pdf&amp;v=v6&amp;scorecard=1&amp;secret_key=BX%25IJ%24%2F65ieZ%29f6", 2704551)</f>
        <v>2704551</v>
      </c>
      <c r="C3084" s="2">
        <f>HYPERLINK("https://platform.v2.vetology.net/report/v/final/"&amp;2704551, 2704551)</f>
        <v>2704551</v>
      </c>
      <c r="D3084" s="2" t="s">
        <v>9810</v>
      </c>
      <c r="E3084" s="2" t="s">
        <v>9811</v>
      </c>
      <c r="F3084" s="2" t="s">
        <v>9812</v>
      </c>
      <c r="G3084" s="2" t="s">
        <v>34</v>
      </c>
      <c r="H3084" s="2" t="s">
        <v>423</v>
      </c>
      <c r="I3084" s="2" t="s">
        <v>73</v>
      </c>
      <c r="J3084" s="2" t="s">
        <v>74</v>
      </c>
      <c r="K3084" s="2" t="s">
        <v>38</v>
      </c>
      <c r="L3084" s="2" t="s">
        <v>38</v>
      </c>
      <c r="M3084" s="2" t="s">
        <v>38</v>
      </c>
      <c r="N3084" s="2" t="s">
        <v>38</v>
      </c>
      <c r="O3084" s="2" t="s">
        <v>38</v>
      </c>
      <c r="P3084" s="2" t="s">
        <v>38</v>
      </c>
      <c r="Q3084" s="2" t="s">
        <v>38</v>
      </c>
      <c r="R3084" s="2" t="s">
        <v>38</v>
      </c>
      <c r="S3084" s="2" t="s">
        <v>38</v>
      </c>
      <c r="T3084" s="2" t="s">
        <v>38</v>
      </c>
      <c r="U3084" s="2" t="s">
        <v>38</v>
      </c>
      <c r="V3084" s="2" t="s">
        <v>38</v>
      </c>
      <c r="W3084" s="2" t="s">
        <v>38</v>
      </c>
      <c r="X3084" s="2" t="s">
        <v>38</v>
      </c>
      <c r="Y3084" s="2" t="s">
        <v>38</v>
      </c>
      <c r="Z3084" s="2" t="s">
        <v>38</v>
      </c>
      <c r="AA3084" s="2" t="s">
        <v>38</v>
      </c>
      <c r="AB3084" s="2" t="s">
        <v>38</v>
      </c>
      <c r="AC3084" s="2" t="s">
        <v>38</v>
      </c>
      <c r="AD3084" s="2" t="s">
        <v>38</v>
      </c>
      <c r="AE3084" s="2" t="s">
        <v>40</v>
      </c>
    </row>
    <row r="3085" spans="1:31" ht="409.5">
      <c r="A3085" s="2">
        <v>2704537</v>
      </c>
      <c r="B3085" s="2">
        <f>HYPERLINK("https://platform.v2.vetology.net/cases/2704537/screening-report/1?type=pdf&amp;v=v6&amp;scorecard=1&amp;secret_key=BX%25IJ%24%2F65ieZ%29f6", 2704537)</f>
        <v>2704537</v>
      </c>
      <c r="C3085" s="2">
        <f>HYPERLINK("https://platform.v2.vetology.net/report/v/final/"&amp;2704537, 2704537)</f>
        <v>2704537</v>
      </c>
      <c r="D3085" s="2" t="s">
        <v>9813</v>
      </c>
      <c r="E3085" s="2" t="s">
        <v>9814</v>
      </c>
      <c r="F3085" s="2" t="s">
        <v>9815</v>
      </c>
      <c r="G3085" s="2" t="s">
        <v>34</v>
      </c>
      <c r="H3085" s="2" t="s">
        <v>45</v>
      </c>
      <c r="I3085" s="2" t="s">
        <v>46</v>
      </c>
      <c r="J3085" s="2"/>
      <c r="K3085" s="2" t="s">
        <v>39</v>
      </c>
      <c r="L3085" s="2" t="s">
        <v>39</v>
      </c>
      <c r="M3085" s="2" t="s">
        <v>39</v>
      </c>
      <c r="N3085" s="2" t="s">
        <v>39</v>
      </c>
      <c r="O3085" s="2" t="s">
        <v>38</v>
      </c>
      <c r="P3085" s="2" t="s">
        <v>39</v>
      </c>
      <c r="Q3085" s="2" t="s">
        <v>39</v>
      </c>
      <c r="R3085" s="2" t="s">
        <v>38</v>
      </c>
      <c r="S3085" s="2" t="s">
        <v>39</v>
      </c>
      <c r="T3085" s="2" t="s">
        <v>39</v>
      </c>
      <c r="U3085" s="2" t="s">
        <v>39</v>
      </c>
      <c r="V3085" s="2" t="s">
        <v>38</v>
      </c>
      <c r="W3085" s="2" t="s">
        <v>39</v>
      </c>
      <c r="X3085" s="2" t="s">
        <v>39</v>
      </c>
      <c r="Y3085" s="2" t="s">
        <v>39</v>
      </c>
      <c r="Z3085" s="2" t="s">
        <v>39</v>
      </c>
      <c r="AA3085" s="2" t="s">
        <v>39</v>
      </c>
      <c r="AB3085" s="2" t="s">
        <v>39</v>
      </c>
      <c r="AC3085" s="2" t="s">
        <v>38</v>
      </c>
      <c r="AD3085" s="2" t="s">
        <v>38</v>
      </c>
      <c r="AE3085" s="2" t="s">
        <v>39</v>
      </c>
    </row>
    <row r="3086" spans="1:31" ht="409.5">
      <c r="A3086" s="2">
        <v>2704483</v>
      </c>
      <c r="B3086" s="2">
        <f>HYPERLINK("https://platform.v2.vetology.net/cases/2704483/screening-report/1?type=pdf&amp;v=v6&amp;scorecard=1&amp;secret_key=BX%25IJ%24%2F65ieZ%29f6", 2704483)</f>
        <v>2704483</v>
      </c>
      <c r="C3086" s="2">
        <f>HYPERLINK("https://platform.v2.vetology.net/report/v/final/"&amp;2704483, 2704483)</f>
        <v>2704483</v>
      </c>
      <c r="D3086" s="2" t="s">
        <v>9816</v>
      </c>
      <c r="E3086" s="2" t="s">
        <v>9817</v>
      </c>
      <c r="F3086" s="2"/>
      <c r="G3086" s="2" t="s">
        <v>53</v>
      </c>
      <c r="H3086" s="2" t="s">
        <v>9818</v>
      </c>
      <c r="I3086" s="2" t="s">
        <v>36</v>
      </c>
      <c r="J3086" s="2" t="s">
        <v>37</v>
      </c>
      <c r="K3086" s="2" t="s">
        <v>39</v>
      </c>
      <c r="L3086" s="2" t="s">
        <v>39</v>
      </c>
      <c r="M3086" s="2" t="s">
        <v>38</v>
      </c>
      <c r="N3086" s="2" t="s">
        <v>38</v>
      </c>
      <c r="O3086" s="2" t="s">
        <v>39</v>
      </c>
      <c r="P3086" s="2" t="s">
        <v>39</v>
      </c>
      <c r="Q3086" s="2" t="s">
        <v>39</v>
      </c>
      <c r="R3086" s="2" t="s">
        <v>38</v>
      </c>
      <c r="S3086" s="2" t="s">
        <v>38</v>
      </c>
      <c r="T3086" s="2" t="s">
        <v>39</v>
      </c>
      <c r="U3086" s="2" t="s">
        <v>39</v>
      </c>
      <c r="V3086" s="2" t="s">
        <v>39</v>
      </c>
      <c r="W3086" s="2" t="s">
        <v>38</v>
      </c>
      <c r="X3086" s="2" t="s">
        <v>39</v>
      </c>
      <c r="Y3086" s="2" t="s">
        <v>39</v>
      </c>
      <c r="Z3086" s="2" t="s">
        <v>38</v>
      </c>
      <c r="AA3086" s="2" t="s">
        <v>39</v>
      </c>
      <c r="AB3086" s="2" t="s">
        <v>39</v>
      </c>
      <c r="AC3086" s="2" t="s">
        <v>38</v>
      </c>
      <c r="AD3086" s="2" t="s">
        <v>38</v>
      </c>
      <c r="AE3086" s="2" t="s">
        <v>39</v>
      </c>
    </row>
    <row r="3087" spans="1:31" ht="409.5">
      <c r="A3087" s="2">
        <v>2704418</v>
      </c>
      <c r="B3087" s="2">
        <f>HYPERLINK("https://platform.v2.vetology.net/cases/2704418/screening-report/1?type=pdf&amp;v=v6&amp;scorecard=1&amp;secret_key=BX%25IJ%24%2F65ieZ%29f6", 2704418)</f>
        <v>2704418</v>
      </c>
      <c r="C3087" s="2">
        <f>HYPERLINK("https://platform.v2.vetology.net/report/v/final/"&amp;2704418, 2704418)</f>
        <v>2704418</v>
      </c>
      <c r="D3087" s="2" t="s">
        <v>9819</v>
      </c>
      <c r="E3087" s="2" t="s">
        <v>9820</v>
      </c>
      <c r="F3087" s="2" t="s">
        <v>9821</v>
      </c>
      <c r="G3087" s="2" t="s">
        <v>127</v>
      </c>
      <c r="H3087" s="2" t="s">
        <v>9822</v>
      </c>
      <c r="I3087" s="2" t="s">
        <v>36</v>
      </c>
      <c r="J3087" s="2" t="s">
        <v>37</v>
      </c>
      <c r="K3087" s="2" t="s">
        <v>39</v>
      </c>
      <c r="L3087" s="2" t="s">
        <v>38</v>
      </c>
      <c r="M3087" s="2" t="s">
        <v>38</v>
      </c>
      <c r="N3087" s="2" t="s">
        <v>39</v>
      </c>
      <c r="O3087" s="2" t="s">
        <v>39</v>
      </c>
      <c r="P3087" s="2" t="s">
        <v>38</v>
      </c>
      <c r="Q3087" s="2" t="s">
        <v>39</v>
      </c>
      <c r="R3087" s="2" t="s">
        <v>39</v>
      </c>
      <c r="S3087" s="2" t="s">
        <v>39</v>
      </c>
      <c r="T3087" s="2" t="s">
        <v>39</v>
      </c>
      <c r="U3087" s="2" t="s">
        <v>39</v>
      </c>
      <c r="V3087" s="2" t="s">
        <v>38</v>
      </c>
      <c r="W3087" s="2" t="s">
        <v>38</v>
      </c>
      <c r="X3087" s="2" t="s">
        <v>38</v>
      </c>
      <c r="Y3087" s="2" t="s">
        <v>39</v>
      </c>
      <c r="Z3087" s="2" t="s">
        <v>38</v>
      </c>
      <c r="AA3087" s="2" t="s">
        <v>39</v>
      </c>
      <c r="AB3087" s="2" t="s">
        <v>39</v>
      </c>
      <c r="AC3087" s="2" t="s">
        <v>38</v>
      </c>
      <c r="AD3087" s="2" t="s">
        <v>38</v>
      </c>
      <c r="AE3087" s="2" t="s">
        <v>39</v>
      </c>
    </row>
    <row r="3088" spans="1:31" ht="409.5">
      <c r="A3088" s="2">
        <v>2704402</v>
      </c>
      <c r="B3088" s="2">
        <f>HYPERLINK("https://platform.v2.vetology.net/cases/2704402/screening-report/1?type=pdf&amp;v=v6&amp;scorecard=1&amp;secret_key=BX%25IJ%24%2F65ieZ%29f6", 2704402)</f>
        <v>2704402</v>
      </c>
      <c r="C3088" s="2">
        <f>HYPERLINK("https://platform.v2.vetology.net/report/v/final/"&amp;2704402, 2704402)</f>
        <v>2704402</v>
      </c>
      <c r="D3088" s="2" t="s">
        <v>9823</v>
      </c>
      <c r="E3088" s="2" t="s">
        <v>9824</v>
      </c>
      <c r="F3088" s="2"/>
      <c r="G3088" s="2" t="s">
        <v>81</v>
      </c>
      <c r="H3088" s="2" t="s">
        <v>9825</v>
      </c>
      <c r="I3088" s="2" t="s">
        <v>73</v>
      </c>
      <c r="J3088" s="2" t="s">
        <v>74</v>
      </c>
      <c r="K3088" s="2" t="s">
        <v>38</v>
      </c>
      <c r="L3088" s="2" t="s">
        <v>38</v>
      </c>
      <c r="M3088" s="2" t="s">
        <v>38</v>
      </c>
      <c r="N3088" s="2" t="s">
        <v>38</v>
      </c>
      <c r="O3088" s="2" t="s">
        <v>38</v>
      </c>
      <c r="P3088" s="2" t="s">
        <v>38</v>
      </c>
      <c r="Q3088" s="2" t="s">
        <v>38</v>
      </c>
      <c r="R3088" s="2" t="s">
        <v>38</v>
      </c>
      <c r="S3088" s="2" t="s">
        <v>38</v>
      </c>
      <c r="T3088" s="2" t="s">
        <v>38</v>
      </c>
      <c r="U3088" s="2" t="s">
        <v>38</v>
      </c>
      <c r="V3088" s="2" t="s">
        <v>38</v>
      </c>
      <c r="W3088" s="2" t="s">
        <v>38</v>
      </c>
      <c r="X3088" s="2" t="s">
        <v>38</v>
      </c>
      <c r="Y3088" s="2" t="s">
        <v>39</v>
      </c>
      <c r="Z3088" s="2" t="s">
        <v>38</v>
      </c>
      <c r="AA3088" s="2" t="s">
        <v>38</v>
      </c>
      <c r="AB3088" s="2" t="s">
        <v>38</v>
      </c>
      <c r="AC3088" s="2" t="s">
        <v>38</v>
      </c>
      <c r="AD3088" s="2" t="s">
        <v>38</v>
      </c>
      <c r="AE3088" s="2" t="s">
        <v>39</v>
      </c>
    </row>
    <row r="3089" spans="1:31" ht="409.5">
      <c r="A3089" s="2">
        <v>2704383</v>
      </c>
      <c r="B3089" s="2">
        <f>HYPERLINK("https://platform.v2.vetology.net/cases/2704383/screening-report/1?type=pdf&amp;v=v6&amp;scorecard=1&amp;secret_key=BX%25IJ%24%2F65ieZ%29f6", 2704383)</f>
        <v>2704383</v>
      </c>
      <c r="C3089" s="2">
        <f>HYPERLINK("https://platform.v2.vetology.net/report/v/final/"&amp;2704383, 2704383)</f>
        <v>2704383</v>
      </c>
      <c r="D3089" s="2" t="s">
        <v>9826</v>
      </c>
      <c r="E3089" s="2" t="s">
        <v>9827</v>
      </c>
      <c r="F3089" s="2" t="s">
        <v>9828</v>
      </c>
      <c r="G3089" s="2" t="s">
        <v>145</v>
      </c>
      <c r="H3089" s="2" t="s">
        <v>9829</v>
      </c>
      <c r="I3089" s="2" t="s">
        <v>129</v>
      </c>
      <c r="J3089" s="2" t="s">
        <v>74</v>
      </c>
      <c r="K3089" s="2" t="s">
        <v>39</v>
      </c>
      <c r="L3089" s="2" t="s">
        <v>38</v>
      </c>
      <c r="M3089" s="2" t="s">
        <v>38</v>
      </c>
      <c r="N3089" s="2" t="s">
        <v>38</v>
      </c>
      <c r="O3089" s="2" t="s">
        <v>38</v>
      </c>
      <c r="P3089" s="2" t="s">
        <v>39</v>
      </c>
      <c r="Q3089" s="2" t="s">
        <v>38</v>
      </c>
      <c r="R3089" s="2" t="s">
        <v>39</v>
      </c>
      <c r="S3089" s="2" t="s">
        <v>38</v>
      </c>
      <c r="T3089" s="2" t="s">
        <v>38</v>
      </c>
      <c r="U3089" s="2" t="s">
        <v>39</v>
      </c>
      <c r="V3089" s="2" t="s">
        <v>39</v>
      </c>
      <c r="W3089" s="2" t="s">
        <v>38</v>
      </c>
      <c r="X3089" s="2" t="s">
        <v>39</v>
      </c>
      <c r="Y3089" s="2" t="s">
        <v>38</v>
      </c>
      <c r="Z3089" s="2" t="s">
        <v>38</v>
      </c>
      <c r="AA3089" s="2" t="s">
        <v>38</v>
      </c>
      <c r="AB3089" s="2" t="s">
        <v>39</v>
      </c>
      <c r="AC3089" s="2" t="s">
        <v>38</v>
      </c>
      <c r="AD3089" s="2" t="s">
        <v>39</v>
      </c>
      <c r="AE3089" s="2" t="s">
        <v>40</v>
      </c>
    </row>
    <row r="3090" spans="1:31" ht="409.5">
      <c r="A3090" s="2">
        <v>2704376</v>
      </c>
      <c r="B3090" s="2">
        <f>HYPERLINK("https://platform.v2.vetology.net/cases/2704376/screening-report/1?type=pdf&amp;v=v6&amp;scorecard=1&amp;secret_key=BX%25IJ%24%2F65ieZ%29f6", 2704376)</f>
        <v>2704376</v>
      </c>
      <c r="C3090" s="2">
        <f>HYPERLINK("https://platform.v2.vetology.net/report/v/final/"&amp;2704376, 2704376)</f>
        <v>2704376</v>
      </c>
      <c r="D3090" s="2" t="s">
        <v>302</v>
      </c>
      <c r="E3090" s="2" t="s">
        <v>99</v>
      </c>
      <c r="F3090" s="2"/>
      <c r="G3090" s="2" t="s">
        <v>100</v>
      </c>
      <c r="H3090" s="2" t="s">
        <v>69</v>
      </c>
      <c r="I3090" s="2" t="s">
        <v>46</v>
      </c>
      <c r="J3090" s="2"/>
      <c r="K3090" s="2" t="s">
        <v>39</v>
      </c>
      <c r="L3090" s="2" t="s">
        <v>39</v>
      </c>
      <c r="M3090" s="2" t="s">
        <v>39</v>
      </c>
      <c r="N3090" s="2" t="s">
        <v>39</v>
      </c>
      <c r="O3090" s="2" t="s">
        <v>39</v>
      </c>
      <c r="P3090" s="2" t="s">
        <v>39</v>
      </c>
      <c r="Q3090" s="2" t="s">
        <v>39</v>
      </c>
      <c r="R3090" s="2" t="s">
        <v>39</v>
      </c>
      <c r="S3090" s="2" t="s">
        <v>39</v>
      </c>
      <c r="T3090" s="2" t="s">
        <v>39</v>
      </c>
      <c r="U3090" s="2" t="s">
        <v>39</v>
      </c>
      <c r="V3090" s="2" t="s">
        <v>39</v>
      </c>
      <c r="W3090" s="2" t="s">
        <v>39</v>
      </c>
      <c r="X3090" s="2" t="s">
        <v>39</v>
      </c>
      <c r="Y3090" s="2" t="s">
        <v>39</v>
      </c>
      <c r="Z3090" s="2" t="s">
        <v>39</v>
      </c>
      <c r="AA3090" s="2" t="s">
        <v>39</v>
      </c>
      <c r="AB3090" s="2" t="s">
        <v>39</v>
      </c>
      <c r="AC3090" s="2" t="s">
        <v>39</v>
      </c>
      <c r="AD3090" s="2" t="s">
        <v>39</v>
      </c>
      <c r="AE3090" s="2" t="s">
        <v>39</v>
      </c>
    </row>
    <row r="3091" spans="1:31" ht="409.5">
      <c r="A3091" s="2">
        <v>2704357</v>
      </c>
      <c r="B3091" s="2">
        <f>HYPERLINK("https://platform.v2.vetology.net/cases/2704357/screening-report/1?type=pdf&amp;v=v6&amp;scorecard=1&amp;secret_key=BX%25IJ%24%2F65ieZ%29f6", 2704357)</f>
        <v>2704357</v>
      </c>
      <c r="C3091" s="2">
        <f>HYPERLINK("https://platform.v2.vetology.net/report/v/final/"&amp;2704357, 2704357)</f>
        <v>2704357</v>
      </c>
      <c r="D3091" s="2" t="s">
        <v>9830</v>
      </c>
      <c r="E3091" s="2" t="s">
        <v>9831</v>
      </c>
      <c r="F3091" s="2" t="s">
        <v>9832</v>
      </c>
      <c r="G3091" s="2" t="s">
        <v>145</v>
      </c>
      <c r="H3091" s="2" t="s">
        <v>69</v>
      </c>
      <c r="I3091" s="2" t="s">
        <v>46</v>
      </c>
      <c r="J3091" s="2"/>
      <c r="K3091" s="2" t="s">
        <v>39</v>
      </c>
      <c r="L3091" s="2" t="s">
        <v>39</v>
      </c>
      <c r="M3091" s="2" t="s">
        <v>39</v>
      </c>
      <c r="N3091" s="2" t="s">
        <v>39</v>
      </c>
      <c r="O3091" s="2" t="s">
        <v>39</v>
      </c>
      <c r="P3091" s="2" t="s">
        <v>39</v>
      </c>
      <c r="Q3091" s="2" t="s">
        <v>39</v>
      </c>
      <c r="R3091" s="2" t="s">
        <v>39</v>
      </c>
      <c r="S3091" s="2" t="s">
        <v>39</v>
      </c>
      <c r="T3091" s="2" t="s">
        <v>39</v>
      </c>
      <c r="U3091" s="2" t="s">
        <v>39</v>
      </c>
      <c r="V3091" s="2" t="s">
        <v>39</v>
      </c>
      <c r="W3091" s="2" t="s">
        <v>39</v>
      </c>
      <c r="X3091" s="2" t="s">
        <v>39</v>
      </c>
      <c r="Y3091" s="2" t="s">
        <v>39</v>
      </c>
      <c r="Z3091" s="2" t="s">
        <v>39</v>
      </c>
      <c r="AA3091" s="2" t="s">
        <v>39</v>
      </c>
      <c r="AB3091" s="2" t="s">
        <v>39</v>
      </c>
      <c r="AC3091" s="2" t="s">
        <v>38</v>
      </c>
      <c r="AD3091" s="2" t="s">
        <v>38</v>
      </c>
      <c r="AE3091" s="2" t="s">
        <v>39</v>
      </c>
    </row>
    <row r="3092" spans="1:31" ht="409.5">
      <c r="A3092" s="2">
        <v>2704314</v>
      </c>
      <c r="B3092" s="2">
        <f>HYPERLINK("https://platform.v2.vetology.net/cases/2704314/screening-report/1?type=pdf&amp;v=v6&amp;scorecard=1&amp;secret_key=BX%25IJ%24%2F65ieZ%29f6", 2704314)</f>
        <v>2704314</v>
      </c>
      <c r="C3092" s="2">
        <f>HYPERLINK("https://platform.v2.vetology.net/report/v/final/"&amp;2704314, 2704314)</f>
        <v>2704314</v>
      </c>
      <c r="D3092" s="2" t="s">
        <v>9833</v>
      </c>
      <c r="E3092" s="2" t="s">
        <v>9834</v>
      </c>
      <c r="F3092" s="2" t="s">
        <v>43</v>
      </c>
      <c r="G3092" s="2" t="s">
        <v>44</v>
      </c>
      <c r="H3092" s="2" t="s">
        <v>1155</v>
      </c>
      <c r="I3092" s="2" t="s">
        <v>36</v>
      </c>
      <c r="J3092" s="2" t="s">
        <v>37</v>
      </c>
      <c r="K3092" s="2" t="s">
        <v>39</v>
      </c>
      <c r="L3092" s="2" t="s">
        <v>39</v>
      </c>
      <c r="M3092" s="2" t="s">
        <v>38</v>
      </c>
      <c r="N3092" s="2" t="s">
        <v>38</v>
      </c>
      <c r="O3092" s="2" t="s">
        <v>38</v>
      </c>
      <c r="P3092" s="2" t="s">
        <v>39</v>
      </c>
      <c r="Q3092" s="2" t="s">
        <v>39</v>
      </c>
      <c r="R3092" s="2" t="s">
        <v>39</v>
      </c>
      <c r="S3092" s="2" t="s">
        <v>39</v>
      </c>
      <c r="T3092" s="2" t="s">
        <v>39</v>
      </c>
      <c r="U3092" s="2" t="s">
        <v>39</v>
      </c>
      <c r="V3092" s="2" t="s">
        <v>39</v>
      </c>
      <c r="W3092" s="2" t="s">
        <v>39</v>
      </c>
      <c r="X3092" s="2" t="s">
        <v>39</v>
      </c>
      <c r="Y3092" s="2" t="s">
        <v>39</v>
      </c>
      <c r="Z3092" s="2" t="s">
        <v>39</v>
      </c>
      <c r="AA3092" s="2" t="s">
        <v>39</v>
      </c>
      <c r="AB3092" s="2" t="s">
        <v>39</v>
      </c>
      <c r="AC3092" s="2" t="s">
        <v>39</v>
      </c>
      <c r="AD3092" s="2" t="s">
        <v>39</v>
      </c>
      <c r="AE3092" s="2" t="s">
        <v>39</v>
      </c>
    </row>
    <row r="3093" spans="1:31" ht="409.5">
      <c r="A3093" s="2">
        <v>2704307</v>
      </c>
      <c r="B3093" s="2">
        <f>HYPERLINK("https://platform.v2.vetology.net/cases/2704307/screening-report/1?type=pdf&amp;v=v6&amp;scorecard=1&amp;secret_key=BX%25IJ%24%2F65ieZ%29f6", 2704307)</f>
        <v>2704307</v>
      </c>
      <c r="C3093" s="2">
        <f>HYPERLINK("https://platform.v2.vetology.net/report/v/final/"&amp;2704307, 2704307)</f>
        <v>2704307</v>
      </c>
      <c r="D3093" s="2" t="s">
        <v>9835</v>
      </c>
      <c r="E3093" s="2" t="s">
        <v>9836</v>
      </c>
      <c r="F3093" s="2" t="s">
        <v>9837</v>
      </c>
      <c r="G3093" s="2" t="s">
        <v>127</v>
      </c>
      <c r="H3093" s="2" t="s">
        <v>9838</v>
      </c>
      <c r="I3093" s="2" t="s">
        <v>36</v>
      </c>
      <c r="J3093" s="2" t="s">
        <v>37</v>
      </c>
      <c r="K3093" s="2" t="s">
        <v>38</v>
      </c>
      <c r="L3093" s="2" t="s">
        <v>38</v>
      </c>
      <c r="M3093" s="2" t="s">
        <v>39</v>
      </c>
      <c r="N3093" s="2" t="s">
        <v>38</v>
      </c>
      <c r="O3093" s="2" t="s">
        <v>38</v>
      </c>
      <c r="P3093" s="2" t="s">
        <v>39</v>
      </c>
      <c r="Q3093" s="2" t="s">
        <v>39</v>
      </c>
      <c r="R3093" s="2" t="s">
        <v>38</v>
      </c>
      <c r="S3093" s="2" t="s">
        <v>38</v>
      </c>
      <c r="T3093" s="2" t="s">
        <v>38</v>
      </c>
      <c r="U3093" s="2" t="s">
        <v>38</v>
      </c>
      <c r="V3093" s="2" t="s">
        <v>38</v>
      </c>
      <c r="W3093" s="2" t="s">
        <v>39</v>
      </c>
      <c r="X3093" s="2" t="s">
        <v>39</v>
      </c>
      <c r="Y3093" s="2" t="s">
        <v>39</v>
      </c>
      <c r="Z3093" s="2" t="s">
        <v>38</v>
      </c>
      <c r="AA3093" s="2" t="s">
        <v>38</v>
      </c>
      <c r="AB3093" s="2" t="s">
        <v>39</v>
      </c>
      <c r="AC3093" s="2" t="s">
        <v>38</v>
      </c>
      <c r="AD3093" s="2" t="s">
        <v>39</v>
      </c>
      <c r="AE3093" s="2" t="s">
        <v>39</v>
      </c>
    </row>
    <row r="3094" spans="1:31" ht="409.5">
      <c r="A3094" s="2">
        <v>2704229</v>
      </c>
      <c r="B3094" s="2">
        <f>HYPERLINK("https://platform.v2.vetology.net/cases/2704229/screening-report/1?type=pdf&amp;v=v6&amp;scorecard=1&amp;secret_key=BX%25IJ%24%2F65ieZ%29f6", 2704229)</f>
        <v>2704229</v>
      </c>
      <c r="C3094" s="2">
        <f>HYPERLINK("https://platform.v2.vetology.net/report/v/final/"&amp;2704229, 2704229)</f>
        <v>2704229</v>
      </c>
      <c r="D3094" s="2" t="s">
        <v>1847</v>
      </c>
      <c r="E3094" s="2" t="s">
        <v>9839</v>
      </c>
      <c r="F3094" s="2" t="s">
        <v>9840</v>
      </c>
      <c r="G3094" s="2" t="s">
        <v>111</v>
      </c>
      <c r="H3094" s="2" t="s">
        <v>1175</v>
      </c>
      <c r="I3094" s="2" t="s">
        <v>36</v>
      </c>
      <c r="J3094" s="2" t="s">
        <v>37</v>
      </c>
      <c r="K3094" s="2" t="s">
        <v>39</v>
      </c>
      <c r="L3094" s="2" t="s">
        <v>39</v>
      </c>
      <c r="M3094" s="2" t="s">
        <v>38</v>
      </c>
      <c r="N3094" s="2" t="s">
        <v>39</v>
      </c>
      <c r="O3094" s="2" t="s">
        <v>38</v>
      </c>
      <c r="P3094" s="2" t="s">
        <v>39</v>
      </c>
      <c r="Q3094" s="2" t="s">
        <v>39</v>
      </c>
      <c r="R3094" s="2" t="s">
        <v>38</v>
      </c>
      <c r="S3094" s="2" t="s">
        <v>39</v>
      </c>
      <c r="T3094" s="2" t="s">
        <v>38</v>
      </c>
      <c r="U3094" s="2" t="s">
        <v>39</v>
      </c>
      <c r="V3094" s="2" t="s">
        <v>39</v>
      </c>
      <c r="W3094" s="2" t="s">
        <v>38</v>
      </c>
      <c r="X3094" s="2" t="s">
        <v>39</v>
      </c>
      <c r="Y3094" s="2" t="s">
        <v>39</v>
      </c>
      <c r="Z3094" s="2" t="s">
        <v>38</v>
      </c>
      <c r="AA3094" s="2" t="s">
        <v>39</v>
      </c>
      <c r="AB3094" s="2" t="s">
        <v>39</v>
      </c>
      <c r="AC3094" s="2" t="s">
        <v>38</v>
      </c>
      <c r="AD3094" s="2" t="s">
        <v>39</v>
      </c>
      <c r="AE3094" s="2" t="s">
        <v>40</v>
      </c>
    </row>
    <row r="3095" spans="1:31" ht="409.5">
      <c r="A3095" s="2">
        <v>2704188</v>
      </c>
      <c r="B3095" s="2">
        <f>HYPERLINK("https://platform.v2.vetology.net/cases/2704188/screening-report/1?type=pdf&amp;v=v6&amp;scorecard=1&amp;secret_key=BX%25IJ%24%2F65ieZ%29f6", 2704188)</f>
        <v>2704188</v>
      </c>
      <c r="C3095" s="2">
        <f>HYPERLINK("https://platform.v2.vetology.net/report/v/final/"&amp;2704188, 2704188)</f>
        <v>2704188</v>
      </c>
      <c r="D3095" s="2" t="s">
        <v>853</v>
      </c>
      <c r="E3095" s="2" t="s">
        <v>9841</v>
      </c>
      <c r="F3095" s="2" t="s">
        <v>9842</v>
      </c>
      <c r="G3095" s="2" t="s">
        <v>111</v>
      </c>
      <c r="H3095" s="2" t="s">
        <v>9843</v>
      </c>
      <c r="I3095" s="2" t="s">
        <v>36</v>
      </c>
      <c r="J3095" s="2" t="s">
        <v>37</v>
      </c>
      <c r="K3095" s="2" t="s">
        <v>38</v>
      </c>
      <c r="L3095" s="2" t="s">
        <v>38</v>
      </c>
      <c r="M3095" s="2" t="s">
        <v>38</v>
      </c>
      <c r="N3095" s="2" t="s">
        <v>38</v>
      </c>
      <c r="O3095" s="2" t="s">
        <v>39</v>
      </c>
      <c r="P3095" s="2" t="s">
        <v>39</v>
      </c>
      <c r="Q3095" s="2" t="s">
        <v>39</v>
      </c>
      <c r="R3095" s="2" t="s">
        <v>39</v>
      </c>
      <c r="S3095" s="2" t="s">
        <v>39</v>
      </c>
      <c r="T3095" s="2" t="s">
        <v>39</v>
      </c>
      <c r="U3095" s="2" t="s">
        <v>39</v>
      </c>
      <c r="V3095" s="2" t="s">
        <v>39</v>
      </c>
      <c r="W3095" s="2" t="s">
        <v>38</v>
      </c>
      <c r="X3095" s="2" t="s">
        <v>39</v>
      </c>
      <c r="Y3095" s="2" t="s">
        <v>39</v>
      </c>
      <c r="Z3095" s="2" t="s">
        <v>39</v>
      </c>
      <c r="AA3095" s="2" t="s">
        <v>39</v>
      </c>
      <c r="AB3095" s="2" t="s">
        <v>39</v>
      </c>
      <c r="AC3095" s="2" t="s">
        <v>39</v>
      </c>
      <c r="AD3095" s="2" t="s">
        <v>39</v>
      </c>
      <c r="AE3095" s="2" t="s">
        <v>40</v>
      </c>
    </row>
    <row r="3096" spans="1:31" ht="409.5">
      <c r="A3096" s="2">
        <v>2704157</v>
      </c>
      <c r="B3096" s="2">
        <f>HYPERLINK("https://platform.v2.vetology.net/cases/2704157/screening-report/1?type=pdf&amp;v=v6&amp;scorecard=1&amp;secret_key=BX%25IJ%24%2F65ieZ%29f6", 2704157)</f>
        <v>2704157</v>
      </c>
      <c r="C3096" s="2">
        <f>HYPERLINK("https://platform.v2.vetology.net/report/v/final/"&amp;2704157, 2704157)</f>
        <v>2704157</v>
      </c>
      <c r="D3096" s="2" t="s">
        <v>9844</v>
      </c>
      <c r="E3096" s="2" t="s">
        <v>9845</v>
      </c>
      <c r="F3096" s="2" t="s">
        <v>43</v>
      </c>
      <c r="G3096" s="2" t="s">
        <v>44</v>
      </c>
      <c r="H3096" s="2" t="s">
        <v>9846</v>
      </c>
      <c r="I3096" s="2" t="s">
        <v>36</v>
      </c>
      <c r="J3096" s="2" t="s">
        <v>37</v>
      </c>
      <c r="K3096" s="2" t="s">
        <v>39</v>
      </c>
      <c r="L3096" s="2" t="s">
        <v>38</v>
      </c>
      <c r="M3096" s="2" t="s">
        <v>38</v>
      </c>
      <c r="N3096" s="2" t="s">
        <v>38</v>
      </c>
      <c r="O3096" s="2" t="s">
        <v>38</v>
      </c>
      <c r="P3096" s="2" t="s">
        <v>39</v>
      </c>
      <c r="Q3096" s="2" t="s">
        <v>39</v>
      </c>
      <c r="R3096" s="2" t="s">
        <v>38</v>
      </c>
      <c r="S3096" s="2" t="s">
        <v>38</v>
      </c>
      <c r="T3096" s="2" t="s">
        <v>38</v>
      </c>
      <c r="U3096" s="2" t="s">
        <v>39</v>
      </c>
      <c r="V3096" s="2" t="s">
        <v>39</v>
      </c>
      <c r="W3096" s="2" t="s">
        <v>38</v>
      </c>
      <c r="X3096" s="2" t="s">
        <v>39</v>
      </c>
      <c r="Y3096" s="2" t="s">
        <v>38</v>
      </c>
      <c r="Z3096" s="2" t="s">
        <v>38</v>
      </c>
      <c r="AA3096" s="2" t="s">
        <v>38</v>
      </c>
      <c r="AB3096" s="2" t="s">
        <v>39</v>
      </c>
      <c r="AC3096" s="2" t="s">
        <v>38</v>
      </c>
      <c r="AD3096" s="2" t="s">
        <v>38</v>
      </c>
      <c r="AE3096" s="2" t="s">
        <v>40</v>
      </c>
    </row>
    <row r="3097" spans="1:31" ht="409.5">
      <c r="A3097" s="2">
        <v>2704017</v>
      </c>
      <c r="B3097" s="2">
        <f>HYPERLINK("https://platform.v2.vetology.net/cases/2704017/screening-report/1?type=pdf&amp;v=v6&amp;scorecard=1&amp;secret_key=BX%25IJ%24%2F65ieZ%29f6", 2704017)</f>
        <v>2704017</v>
      </c>
      <c r="C3097" s="2">
        <f>HYPERLINK("https://platform.v2.vetology.net/report/v/final/"&amp;2704017, 2704017)</f>
        <v>2704017</v>
      </c>
      <c r="D3097" s="2" t="s">
        <v>9847</v>
      </c>
      <c r="E3097" s="2" t="s">
        <v>9848</v>
      </c>
      <c r="F3097" s="2" t="s">
        <v>9849</v>
      </c>
      <c r="G3097" s="2" t="s">
        <v>170</v>
      </c>
      <c r="H3097" s="2" t="s">
        <v>9850</v>
      </c>
      <c r="I3097" s="2" t="s">
        <v>36</v>
      </c>
      <c r="J3097" s="2" t="s">
        <v>37</v>
      </c>
      <c r="K3097" s="2" t="s">
        <v>38</v>
      </c>
      <c r="L3097" s="2" t="s">
        <v>38</v>
      </c>
      <c r="M3097" s="2" t="s">
        <v>38</v>
      </c>
      <c r="N3097" s="2" t="s">
        <v>38</v>
      </c>
      <c r="O3097" s="2" t="s">
        <v>38</v>
      </c>
      <c r="P3097" s="2" t="s">
        <v>39</v>
      </c>
      <c r="Q3097" s="2" t="s">
        <v>39</v>
      </c>
      <c r="R3097" s="2" t="s">
        <v>38</v>
      </c>
      <c r="S3097" s="2" t="s">
        <v>38</v>
      </c>
      <c r="T3097" s="2" t="s">
        <v>38</v>
      </c>
      <c r="U3097" s="2" t="s">
        <v>38</v>
      </c>
      <c r="V3097" s="2" t="s">
        <v>38</v>
      </c>
      <c r="W3097" s="2" t="s">
        <v>38</v>
      </c>
      <c r="X3097" s="2" t="s">
        <v>38</v>
      </c>
      <c r="Y3097" s="2" t="s">
        <v>39</v>
      </c>
      <c r="Z3097" s="2" t="s">
        <v>38</v>
      </c>
      <c r="AA3097" s="2" t="s">
        <v>38</v>
      </c>
      <c r="AB3097" s="2" t="s">
        <v>39</v>
      </c>
      <c r="AC3097" s="2" t="s">
        <v>38</v>
      </c>
      <c r="AD3097" s="2" t="s">
        <v>38</v>
      </c>
      <c r="AE3097" s="2" t="s">
        <v>39</v>
      </c>
    </row>
    <row r="3098" spans="1:31" ht="409.5">
      <c r="A3098" s="2">
        <v>2703935</v>
      </c>
      <c r="B3098" s="2">
        <f>HYPERLINK("https://platform.v2.vetology.net/cases/2703935/screening-report/1?type=pdf&amp;v=v6&amp;scorecard=1&amp;secret_key=BX%25IJ%24%2F65ieZ%29f6", 2703935)</f>
        <v>2703935</v>
      </c>
      <c r="C3098" s="2">
        <f>HYPERLINK("https://platform.v2.vetology.net/report/v/final/"&amp;2703935, 2703935)</f>
        <v>2703935</v>
      </c>
      <c r="D3098" s="2" t="s">
        <v>9851</v>
      </c>
      <c r="E3098" s="2" t="s">
        <v>9852</v>
      </c>
      <c r="F3098" s="2" t="s">
        <v>43</v>
      </c>
      <c r="G3098" s="2" t="s">
        <v>100</v>
      </c>
      <c r="H3098" s="2" t="s">
        <v>9853</v>
      </c>
      <c r="I3098" s="2" t="s">
        <v>36</v>
      </c>
      <c r="J3098" s="2" t="s">
        <v>37</v>
      </c>
      <c r="K3098" s="2" t="s">
        <v>38</v>
      </c>
      <c r="L3098" s="2" t="s">
        <v>38</v>
      </c>
      <c r="M3098" s="2" t="s">
        <v>38</v>
      </c>
      <c r="N3098" s="2" t="s">
        <v>38</v>
      </c>
      <c r="O3098" s="2" t="s">
        <v>38</v>
      </c>
      <c r="P3098" s="2" t="s">
        <v>39</v>
      </c>
      <c r="Q3098" s="2" t="s">
        <v>38</v>
      </c>
      <c r="R3098" s="2" t="s">
        <v>38</v>
      </c>
      <c r="S3098" s="2" t="s">
        <v>39</v>
      </c>
      <c r="T3098" s="2" t="s">
        <v>38</v>
      </c>
      <c r="U3098" s="2" t="s">
        <v>39</v>
      </c>
      <c r="V3098" s="2" t="s">
        <v>39</v>
      </c>
      <c r="W3098" s="2" t="s">
        <v>38</v>
      </c>
      <c r="X3098" s="2" t="s">
        <v>38</v>
      </c>
      <c r="Y3098" s="2" t="s">
        <v>39</v>
      </c>
      <c r="Z3098" s="2" t="s">
        <v>38</v>
      </c>
      <c r="AA3098" s="2" t="s">
        <v>38</v>
      </c>
      <c r="AB3098" s="2" t="s">
        <v>38</v>
      </c>
      <c r="AC3098" s="2" t="s">
        <v>38</v>
      </c>
      <c r="AD3098" s="2" t="s">
        <v>38</v>
      </c>
      <c r="AE3098" s="2" t="s">
        <v>40</v>
      </c>
    </row>
    <row r="3099" spans="1:31" ht="409.5">
      <c r="A3099" s="2">
        <v>2703911</v>
      </c>
      <c r="B3099" s="2">
        <f>HYPERLINK("https://platform.v2.vetology.net/cases/2703911/screening-report/1?type=pdf&amp;v=v6&amp;scorecard=1&amp;secret_key=BX%25IJ%24%2F65ieZ%29f6", 2703911)</f>
        <v>2703911</v>
      </c>
      <c r="C3099" s="2">
        <f>HYPERLINK("https://platform.v2.vetology.net/report/v/final/"&amp;2703911, 2703911)</f>
        <v>2703911</v>
      </c>
      <c r="D3099" s="2" t="s">
        <v>9854</v>
      </c>
      <c r="E3099" s="2" t="s">
        <v>118</v>
      </c>
      <c r="F3099" s="2" t="s">
        <v>9855</v>
      </c>
      <c r="G3099" s="2" t="s">
        <v>111</v>
      </c>
      <c r="H3099" s="2" t="s">
        <v>2323</v>
      </c>
      <c r="I3099" s="2" t="s">
        <v>59</v>
      </c>
      <c r="J3099" s="2" t="s">
        <v>37</v>
      </c>
      <c r="K3099" s="2" t="s">
        <v>38</v>
      </c>
      <c r="L3099" s="2" t="s">
        <v>39</v>
      </c>
      <c r="M3099" s="2" t="s">
        <v>39</v>
      </c>
      <c r="N3099" s="2" t="s">
        <v>39</v>
      </c>
      <c r="O3099" s="2" t="s">
        <v>39</v>
      </c>
      <c r="P3099" s="2" t="s">
        <v>39</v>
      </c>
      <c r="Q3099" s="2" t="s">
        <v>39</v>
      </c>
      <c r="R3099" s="2" t="s">
        <v>38</v>
      </c>
      <c r="S3099" s="2" t="s">
        <v>38</v>
      </c>
      <c r="T3099" s="2" t="s">
        <v>38</v>
      </c>
      <c r="U3099" s="2" t="s">
        <v>38</v>
      </c>
      <c r="V3099" s="2" t="s">
        <v>38</v>
      </c>
      <c r="W3099" s="2" t="s">
        <v>38</v>
      </c>
      <c r="X3099" s="2" t="s">
        <v>39</v>
      </c>
      <c r="Y3099" s="2" t="s">
        <v>39</v>
      </c>
      <c r="Z3099" s="2" t="s">
        <v>39</v>
      </c>
      <c r="AA3099" s="2" t="s">
        <v>39</v>
      </c>
      <c r="AB3099" s="2" t="s">
        <v>39</v>
      </c>
      <c r="AC3099" s="2" t="s">
        <v>38</v>
      </c>
      <c r="AD3099" s="2" t="s">
        <v>38</v>
      </c>
      <c r="AE3099" s="2" t="s">
        <v>40</v>
      </c>
    </row>
    <row r="3100" spans="1:31" ht="409.5">
      <c r="A3100" s="2">
        <v>2703909</v>
      </c>
      <c r="B3100" s="2">
        <f>HYPERLINK("https://platform.v2.vetology.net/cases/2703909/screening-report/1?type=pdf&amp;v=v6&amp;scorecard=1&amp;secret_key=BX%25IJ%24%2F65ieZ%29f6", 2703909)</f>
        <v>2703909</v>
      </c>
      <c r="C3100" s="2">
        <f>HYPERLINK("https://platform.v2.vetology.net/report/v/final/"&amp;2703909, 2703909)</f>
        <v>2703909</v>
      </c>
      <c r="D3100" s="2" t="s">
        <v>9856</v>
      </c>
      <c r="E3100" s="2" t="s">
        <v>9857</v>
      </c>
      <c r="F3100" s="2" t="s">
        <v>9858</v>
      </c>
      <c r="G3100" s="2" t="s">
        <v>53</v>
      </c>
      <c r="H3100" s="2" t="s">
        <v>9859</v>
      </c>
      <c r="I3100" s="2" t="s">
        <v>129</v>
      </c>
      <c r="J3100" s="2" t="s">
        <v>74</v>
      </c>
      <c r="K3100" s="2" t="s">
        <v>39</v>
      </c>
      <c r="L3100" s="2" t="s">
        <v>39</v>
      </c>
      <c r="M3100" s="2" t="s">
        <v>38</v>
      </c>
      <c r="N3100" s="2" t="s">
        <v>39</v>
      </c>
      <c r="O3100" s="2" t="s">
        <v>38</v>
      </c>
      <c r="P3100" s="2" t="s">
        <v>38</v>
      </c>
      <c r="Q3100" s="2" t="s">
        <v>38</v>
      </c>
      <c r="R3100" s="2" t="s">
        <v>38</v>
      </c>
      <c r="S3100" s="2" t="s">
        <v>39</v>
      </c>
      <c r="T3100" s="2" t="s">
        <v>38</v>
      </c>
      <c r="U3100" s="2" t="s">
        <v>39</v>
      </c>
      <c r="V3100" s="2" t="s">
        <v>39</v>
      </c>
      <c r="W3100" s="2" t="s">
        <v>38</v>
      </c>
      <c r="X3100" s="2" t="s">
        <v>38</v>
      </c>
      <c r="Y3100" s="2" t="s">
        <v>39</v>
      </c>
      <c r="Z3100" s="2" t="s">
        <v>39</v>
      </c>
      <c r="AA3100" s="2" t="s">
        <v>39</v>
      </c>
      <c r="AB3100" s="2" t="s">
        <v>38</v>
      </c>
      <c r="AC3100" s="2" t="s">
        <v>39</v>
      </c>
      <c r="AD3100" s="2" t="s">
        <v>39</v>
      </c>
      <c r="AE3100" s="2" t="s">
        <v>39</v>
      </c>
    </row>
    <row r="3101" spans="1:31" ht="409.5">
      <c r="A3101" s="2">
        <v>2703885</v>
      </c>
      <c r="B3101" s="2">
        <f>HYPERLINK("https://platform.v2.vetology.net/cases/2703885/screening-report/1?type=pdf&amp;v=v6&amp;scorecard=1&amp;secret_key=BX%25IJ%24%2F65ieZ%29f6", 2703885)</f>
        <v>2703885</v>
      </c>
      <c r="C3101" s="2">
        <f>HYPERLINK("https://platform.v2.vetology.net/report/v/final/"&amp;2703885, 2703885)</f>
        <v>2703885</v>
      </c>
      <c r="D3101" s="2" t="s">
        <v>9860</v>
      </c>
      <c r="E3101" s="2" t="s">
        <v>9861</v>
      </c>
      <c r="F3101" s="2"/>
      <c r="G3101" s="2" t="s">
        <v>81</v>
      </c>
      <c r="H3101" s="2" t="s">
        <v>9862</v>
      </c>
      <c r="I3101" s="2" t="s">
        <v>36</v>
      </c>
      <c r="J3101" s="2" t="s">
        <v>37</v>
      </c>
      <c r="K3101" s="2" t="s">
        <v>39</v>
      </c>
      <c r="L3101" s="2" t="s">
        <v>38</v>
      </c>
      <c r="M3101" s="2" t="s">
        <v>38</v>
      </c>
      <c r="N3101" s="2" t="s">
        <v>38</v>
      </c>
      <c r="O3101" s="2" t="s">
        <v>38</v>
      </c>
      <c r="P3101" s="2" t="s">
        <v>39</v>
      </c>
      <c r="Q3101" s="2" t="s">
        <v>39</v>
      </c>
      <c r="R3101" s="2" t="s">
        <v>39</v>
      </c>
      <c r="S3101" s="2" t="s">
        <v>39</v>
      </c>
      <c r="T3101" s="2" t="s">
        <v>39</v>
      </c>
      <c r="U3101" s="2" t="s">
        <v>38</v>
      </c>
      <c r="V3101" s="2" t="s">
        <v>38</v>
      </c>
      <c r="W3101" s="2" t="s">
        <v>38</v>
      </c>
      <c r="X3101" s="2" t="s">
        <v>39</v>
      </c>
      <c r="Y3101" s="2" t="s">
        <v>39</v>
      </c>
      <c r="Z3101" s="2" t="s">
        <v>38</v>
      </c>
      <c r="AA3101" s="2" t="s">
        <v>39</v>
      </c>
      <c r="AB3101" s="2" t="s">
        <v>39</v>
      </c>
      <c r="AC3101" s="2" t="s">
        <v>38</v>
      </c>
      <c r="AD3101" s="2" t="s">
        <v>38</v>
      </c>
      <c r="AE3101" s="2" t="s">
        <v>39</v>
      </c>
    </row>
    <row r="3102" spans="1:31" ht="409.5">
      <c r="A3102" s="2">
        <v>2703881</v>
      </c>
      <c r="B3102" s="2">
        <f>HYPERLINK("https://platform.v2.vetology.net/cases/2703881/screening-report/1?type=pdf&amp;v=v6&amp;scorecard=1&amp;secret_key=BX%25IJ%24%2F65ieZ%29f6", 2703881)</f>
        <v>2703881</v>
      </c>
      <c r="C3102" s="2">
        <f>HYPERLINK("https://platform.v2.vetology.net/report/v/final/"&amp;2703881, 2703881)</f>
        <v>2703881</v>
      </c>
      <c r="D3102" s="2" t="s">
        <v>9863</v>
      </c>
      <c r="E3102" s="2" t="s">
        <v>9864</v>
      </c>
      <c r="F3102" s="2" t="s">
        <v>43</v>
      </c>
      <c r="G3102" s="2" t="s">
        <v>44</v>
      </c>
      <c r="H3102" s="2" t="s">
        <v>9865</v>
      </c>
      <c r="I3102" s="2" t="s">
        <v>73</v>
      </c>
      <c r="J3102" s="2" t="s">
        <v>74</v>
      </c>
      <c r="K3102" s="2" t="s">
        <v>38</v>
      </c>
      <c r="L3102" s="2" t="s">
        <v>39</v>
      </c>
      <c r="M3102" s="2" t="s">
        <v>38</v>
      </c>
      <c r="N3102" s="2" t="s">
        <v>38</v>
      </c>
      <c r="O3102" s="2" t="s">
        <v>38</v>
      </c>
      <c r="P3102" s="2" t="s">
        <v>38</v>
      </c>
      <c r="Q3102" s="2" t="s">
        <v>38</v>
      </c>
      <c r="R3102" s="2" t="s">
        <v>39</v>
      </c>
      <c r="S3102" s="2" t="s">
        <v>39</v>
      </c>
      <c r="T3102" s="2" t="s">
        <v>38</v>
      </c>
      <c r="U3102" s="2" t="s">
        <v>39</v>
      </c>
      <c r="V3102" s="2" t="s">
        <v>38</v>
      </c>
      <c r="W3102" s="2" t="s">
        <v>39</v>
      </c>
      <c r="X3102" s="2" t="s">
        <v>38</v>
      </c>
      <c r="Y3102" s="2" t="s">
        <v>39</v>
      </c>
      <c r="Z3102" s="2" t="s">
        <v>38</v>
      </c>
      <c r="AA3102" s="2" t="s">
        <v>39</v>
      </c>
      <c r="AB3102" s="2" t="s">
        <v>38</v>
      </c>
      <c r="AC3102" s="2" t="s">
        <v>39</v>
      </c>
      <c r="AD3102" s="2" t="s">
        <v>39</v>
      </c>
      <c r="AE3102" s="2" t="s">
        <v>40</v>
      </c>
    </row>
    <row r="3103" spans="1:31" ht="409.5">
      <c r="A3103" s="2">
        <v>2703861</v>
      </c>
      <c r="B3103" s="2">
        <f>HYPERLINK("https://platform.v2.vetology.net/cases/2703861/screening-report/1?type=pdf&amp;v=v6&amp;scorecard=1&amp;secret_key=BX%25IJ%24%2F65ieZ%29f6", 2703861)</f>
        <v>2703861</v>
      </c>
      <c r="C3103" s="2">
        <f>HYPERLINK("https://platform.v2.vetology.net/report/v/final/"&amp;2703861, 2703861)</f>
        <v>2703861</v>
      </c>
      <c r="D3103" s="2" t="s">
        <v>9866</v>
      </c>
      <c r="E3103" s="2" t="s">
        <v>9867</v>
      </c>
      <c r="F3103" s="2"/>
      <c r="G3103" s="2" t="s">
        <v>81</v>
      </c>
      <c r="H3103" s="2" t="s">
        <v>530</v>
      </c>
      <c r="I3103" s="2" t="s">
        <v>59</v>
      </c>
      <c r="J3103" s="2" t="s">
        <v>37</v>
      </c>
      <c r="K3103" s="2" t="s">
        <v>38</v>
      </c>
      <c r="L3103" s="2" t="s">
        <v>39</v>
      </c>
      <c r="M3103" s="2" t="s">
        <v>39</v>
      </c>
      <c r="N3103" s="2" t="s">
        <v>39</v>
      </c>
      <c r="O3103" s="2" t="s">
        <v>39</v>
      </c>
      <c r="P3103" s="2" t="s">
        <v>39</v>
      </c>
      <c r="Q3103" s="2" t="s">
        <v>39</v>
      </c>
      <c r="R3103" s="2" t="s">
        <v>39</v>
      </c>
      <c r="S3103" s="2" t="s">
        <v>39</v>
      </c>
      <c r="T3103" s="2" t="s">
        <v>39</v>
      </c>
      <c r="U3103" s="2" t="s">
        <v>38</v>
      </c>
      <c r="V3103" s="2" t="s">
        <v>38</v>
      </c>
      <c r="W3103" s="2" t="s">
        <v>39</v>
      </c>
      <c r="X3103" s="2" t="s">
        <v>39</v>
      </c>
      <c r="Y3103" s="2" t="s">
        <v>39</v>
      </c>
      <c r="Z3103" s="2" t="s">
        <v>38</v>
      </c>
      <c r="AA3103" s="2" t="s">
        <v>38</v>
      </c>
      <c r="AB3103" s="2" t="s">
        <v>39</v>
      </c>
      <c r="AC3103" s="2" t="s">
        <v>39</v>
      </c>
      <c r="AD3103" s="2" t="s">
        <v>38</v>
      </c>
      <c r="AE3103" s="2" t="s">
        <v>40</v>
      </c>
    </row>
    <row r="3104" spans="1:31" ht="409.5">
      <c r="A3104" s="2">
        <v>2703841</v>
      </c>
      <c r="B3104" s="2">
        <f>HYPERLINK("https://platform.v2.vetology.net/cases/2703841/screening-report/1?type=pdf&amp;v=v6&amp;scorecard=1&amp;secret_key=BX%25IJ%24%2F65ieZ%29f6", 2703841)</f>
        <v>2703841</v>
      </c>
      <c r="C3104" s="2">
        <f>HYPERLINK("https://platform.v2.vetology.net/report/v/final/"&amp;2703841, 2703841)</f>
        <v>2703841</v>
      </c>
      <c r="D3104" s="2" t="s">
        <v>9868</v>
      </c>
      <c r="E3104" s="2" t="s">
        <v>9869</v>
      </c>
      <c r="F3104" s="2"/>
      <c r="G3104" s="2" t="s">
        <v>81</v>
      </c>
      <c r="H3104" s="2" t="s">
        <v>9870</v>
      </c>
      <c r="I3104" s="2" t="s">
        <v>129</v>
      </c>
      <c r="J3104" s="2" t="s">
        <v>74</v>
      </c>
      <c r="K3104" s="2" t="s">
        <v>39</v>
      </c>
      <c r="L3104" s="2" t="s">
        <v>38</v>
      </c>
      <c r="M3104" s="2" t="s">
        <v>38</v>
      </c>
      <c r="N3104" s="2" t="s">
        <v>38</v>
      </c>
      <c r="O3104" s="2" t="s">
        <v>38</v>
      </c>
      <c r="P3104" s="2" t="s">
        <v>38</v>
      </c>
      <c r="Q3104" s="2" t="s">
        <v>38</v>
      </c>
      <c r="R3104" s="2" t="s">
        <v>38</v>
      </c>
      <c r="S3104" s="2" t="s">
        <v>38</v>
      </c>
      <c r="T3104" s="2" t="s">
        <v>38</v>
      </c>
      <c r="U3104" s="2" t="s">
        <v>39</v>
      </c>
      <c r="V3104" s="2" t="s">
        <v>39</v>
      </c>
      <c r="W3104" s="2" t="s">
        <v>38</v>
      </c>
      <c r="X3104" s="2" t="s">
        <v>38</v>
      </c>
      <c r="Y3104" s="2" t="s">
        <v>39</v>
      </c>
      <c r="Z3104" s="2" t="s">
        <v>38</v>
      </c>
      <c r="AA3104" s="2" t="s">
        <v>39</v>
      </c>
      <c r="AB3104" s="2" t="s">
        <v>38</v>
      </c>
      <c r="AC3104" s="2" t="s">
        <v>38</v>
      </c>
      <c r="AD3104" s="2" t="s">
        <v>39</v>
      </c>
      <c r="AE3104" s="2" t="s">
        <v>39</v>
      </c>
    </row>
    <row r="3105" spans="1:31" ht="409.5">
      <c r="A3105" s="2">
        <v>2703839</v>
      </c>
      <c r="B3105" s="2">
        <f>HYPERLINK("https://platform.v2.vetology.net/cases/2703839/screening-report/1?type=pdf&amp;v=v6&amp;scorecard=1&amp;secret_key=BX%25IJ%24%2F65ieZ%29f6", 2703839)</f>
        <v>2703839</v>
      </c>
      <c r="C3105" s="2">
        <f>HYPERLINK("https://platform.v2.vetology.net/report/v/final/"&amp;2703839, 2703839)</f>
        <v>2703839</v>
      </c>
      <c r="D3105" s="2" t="s">
        <v>9871</v>
      </c>
      <c r="E3105" s="2" t="s">
        <v>9872</v>
      </c>
      <c r="F3105" s="2" t="s">
        <v>43</v>
      </c>
      <c r="G3105" s="2" t="s">
        <v>44</v>
      </c>
      <c r="H3105" s="2" t="s">
        <v>9873</v>
      </c>
      <c r="I3105" s="2" t="s">
        <v>129</v>
      </c>
      <c r="J3105" s="2" t="s">
        <v>74</v>
      </c>
      <c r="K3105" s="2" t="s">
        <v>39</v>
      </c>
      <c r="L3105" s="2" t="s">
        <v>38</v>
      </c>
      <c r="M3105" s="2" t="s">
        <v>38</v>
      </c>
      <c r="N3105" s="2" t="s">
        <v>39</v>
      </c>
      <c r="O3105" s="2" t="s">
        <v>38</v>
      </c>
      <c r="P3105" s="2" t="s">
        <v>38</v>
      </c>
      <c r="Q3105" s="2" t="s">
        <v>38</v>
      </c>
      <c r="R3105" s="2" t="s">
        <v>39</v>
      </c>
      <c r="S3105" s="2" t="s">
        <v>39</v>
      </c>
      <c r="T3105" s="2" t="s">
        <v>38</v>
      </c>
      <c r="U3105" s="2" t="s">
        <v>39</v>
      </c>
      <c r="V3105" s="2" t="s">
        <v>39</v>
      </c>
      <c r="W3105" s="2" t="s">
        <v>38</v>
      </c>
      <c r="X3105" s="2" t="s">
        <v>38</v>
      </c>
      <c r="Y3105" s="2" t="s">
        <v>39</v>
      </c>
      <c r="Z3105" s="2" t="s">
        <v>38</v>
      </c>
      <c r="AA3105" s="2" t="s">
        <v>39</v>
      </c>
      <c r="AB3105" s="2" t="s">
        <v>38</v>
      </c>
      <c r="AC3105" s="2" t="s">
        <v>39</v>
      </c>
      <c r="AD3105" s="2" t="s">
        <v>38</v>
      </c>
      <c r="AE3105" s="2" t="s">
        <v>39</v>
      </c>
    </row>
    <row r="3106" spans="1:31" ht="409.5">
      <c r="A3106" s="2">
        <v>2703824</v>
      </c>
      <c r="B3106" s="2">
        <f>HYPERLINK("https://platform.v2.vetology.net/cases/2703824/screening-report/1?type=pdf&amp;v=v6&amp;scorecard=1&amp;secret_key=BX%25IJ%24%2F65ieZ%29f6", 2703824)</f>
        <v>2703824</v>
      </c>
      <c r="C3106" s="2">
        <f>HYPERLINK("https://platform.v2.vetology.net/report/v/final/"&amp;2703824, 2703824)</f>
        <v>2703824</v>
      </c>
      <c r="D3106" s="2" t="s">
        <v>9874</v>
      </c>
      <c r="E3106" s="2" t="s">
        <v>9875</v>
      </c>
      <c r="F3106" s="2" t="s">
        <v>9876</v>
      </c>
      <c r="G3106" s="2" t="s">
        <v>170</v>
      </c>
      <c r="H3106" s="2" t="s">
        <v>9877</v>
      </c>
      <c r="I3106" s="2" t="s">
        <v>129</v>
      </c>
      <c r="J3106" s="2" t="s">
        <v>74</v>
      </c>
      <c r="K3106" s="2" t="s">
        <v>38</v>
      </c>
      <c r="L3106" s="2" t="s">
        <v>38</v>
      </c>
      <c r="M3106" s="2" t="s">
        <v>38</v>
      </c>
      <c r="N3106" s="2" t="s">
        <v>38</v>
      </c>
      <c r="O3106" s="2" t="s">
        <v>38</v>
      </c>
      <c r="P3106" s="2" t="s">
        <v>38</v>
      </c>
      <c r="Q3106" s="2" t="s">
        <v>38</v>
      </c>
      <c r="R3106" s="2" t="s">
        <v>38</v>
      </c>
      <c r="S3106" s="2" t="s">
        <v>38</v>
      </c>
      <c r="T3106" s="2" t="s">
        <v>38</v>
      </c>
      <c r="U3106" s="2" t="s">
        <v>38</v>
      </c>
      <c r="V3106" s="2" t="s">
        <v>38</v>
      </c>
      <c r="W3106" s="2" t="s">
        <v>38</v>
      </c>
      <c r="X3106" s="2" t="s">
        <v>38</v>
      </c>
      <c r="Y3106" s="2" t="s">
        <v>39</v>
      </c>
      <c r="Z3106" s="2" t="s">
        <v>38</v>
      </c>
      <c r="AA3106" s="2" t="s">
        <v>38</v>
      </c>
      <c r="AB3106" s="2" t="s">
        <v>38</v>
      </c>
      <c r="AC3106" s="2" t="s">
        <v>38</v>
      </c>
      <c r="AD3106" s="2" t="s">
        <v>38</v>
      </c>
      <c r="AE3106" s="2" t="s">
        <v>39</v>
      </c>
    </row>
    <row r="3107" spans="1:31" ht="409.5">
      <c r="A3107" s="2">
        <v>2703814</v>
      </c>
      <c r="B3107" s="2">
        <f>HYPERLINK("https://platform.v2.vetology.net/cases/2703814/screening-report/1?type=pdf&amp;v=v6&amp;scorecard=1&amp;secret_key=BX%25IJ%24%2F65ieZ%29f6", 2703814)</f>
        <v>2703814</v>
      </c>
      <c r="C3107" s="2">
        <f>HYPERLINK("https://platform.v2.vetology.net/report/v/final/"&amp;2703814, 2703814)</f>
        <v>2703814</v>
      </c>
      <c r="D3107" s="2" t="s">
        <v>9878</v>
      </c>
      <c r="E3107" s="2" t="s">
        <v>9879</v>
      </c>
      <c r="F3107" s="2"/>
      <c r="G3107" s="2" t="s">
        <v>81</v>
      </c>
      <c r="H3107" s="2" t="s">
        <v>9880</v>
      </c>
      <c r="I3107" s="2" t="s">
        <v>36</v>
      </c>
      <c r="J3107" s="2" t="s">
        <v>37</v>
      </c>
      <c r="K3107" s="2" t="s">
        <v>38</v>
      </c>
      <c r="L3107" s="2" t="s">
        <v>38</v>
      </c>
      <c r="M3107" s="2" t="s">
        <v>39</v>
      </c>
      <c r="N3107" s="2" t="s">
        <v>39</v>
      </c>
      <c r="O3107" s="2" t="s">
        <v>39</v>
      </c>
      <c r="P3107" s="2" t="s">
        <v>38</v>
      </c>
      <c r="Q3107" s="2" t="s">
        <v>39</v>
      </c>
      <c r="R3107" s="2" t="s">
        <v>39</v>
      </c>
      <c r="S3107" s="2" t="s">
        <v>39</v>
      </c>
      <c r="T3107" s="2" t="s">
        <v>39</v>
      </c>
      <c r="U3107" s="2" t="s">
        <v>38</v>
      </c>
      <c r="V3107" s="2" t="s">
        <v>38</v>
      </c>
      <c r="W3107" s="2" t="s">
        <v>38</v>
      </c>
      <c r="X3107" s="2" t="s">
        <v>39</v>
      </c>
      <c r="Y3107" s="2" t="s">
        <v>39</v>
      </c>
      <c r="Z3107" s="2" t="s">
        <v>38</v>
      </c>
      <c r="AA3107" s="2" t="s">
        <v>39</v>
      </c>
      <c r="AB3107" s="2" t="s">
        <v>39</v>
      </c>
      <c r="AC3107" s="2" t="s">
        <v>38</v>
      </c>
      <c r="AD3107" s="2" t="s">
        <v>39</v>
      </c>
      <c r="AE3107" s="2" t="s">
        <v>40</v>
      </c>
    </row>
    <row r="3108" spans="1:31" ht="409.5">
      <c r="A3108" s="2">
        <v>2703809</v>
      </c>
      <c r="B3108" s="2">
        <f>HYPERLINK("https://platform.v2.vetology.net/cases/2703809/screening-report/1?type=pdf&amp;v=v6&amp;scorecard=1&amp;secret_key=BX%25IJ%24%2F65ieZ%29f6", 2703809)</f>
        <v>2703809</v>
      </c>
      <c r="C3108" s="2">
        <f>HYPERLINK("https://platform.v2.vetology.net/report/v/final/"&amp;2703809, 2703809)</f>
        <v>2703809</v>
      </c>
      <c r="D3108" s="2" t="s">
        <v>9881</v>
      </c>
      <c r="E3108" s="2" t="s">
        <v>9882</v>
      </c>
      <c r="F3108" s="2"/>
      <c r="G3108" s="2" t="s">
        <v>81</v>
      </c>
      <c r="H3108" s="2" t="s">
        <v>9883</v>
      </c>
      <c r="I3108" s="2" t="s">
        <v>129</v>
      </c>
      <c r="J3108" s="2" t="s">
        <v>74</v>
      </c>
      <c r="K3108" s="2" t="s">
        <v>38</v>
      </c>
      <c r="L3108" s="2" t="s">
        <v>39</v>
      </c>
      <c r="M3108" s="2" t="s">
        <v>38</v>
      </c>
      <c r="N3108" s="2" t="s">
        <v>38</v>
      </c>
      <c r="O3108" s="2" t="s">
        <v>39</v>
      </c>
      <c r="P3108" s="2" t="s">
        <v>39</v>
      </c>
      <c r="Q3108" s="2" t="s">
        <v>38</v>
      </c>
      <c r="R3108" s="2" t="s">
        <v>38</v>
      </c>
      <c r="S3108" s="2" t="s">
        <v>39</v>
      </c>
      <c r="T3108" s="2" t="s">
        <v>38</v>
      </c>
      <c r="U3108" s="2" t="s">
        <v>38</v>
      </c>
      <c r="V3108" s="2" t="s">
        <v>38</v>
      </c>
      <c r="W3108" s="2" t="s">
        <v>39</v>
      </c>
      <c r="X3108" s="2" t="s">
        <v>38</v>
      </c>
      <c r="Y3108" s="2" t="s">
        <v>38</v>
      </c>
      <c r="Z3108" s="2" t="s">
        <v>38</v>
      </c>
      <c r="AA3108" s="2" t="s">
        <v>38</v>
      </c>
      <c r="AB3108" s="2" t="s">
        <v>38</v>
      </c>
      <c r="AC3108" s="2" t="s">
        <v>39</v>
      </c>
      <c r="AD3108" s="2" t="s">
        <v>39</v>
      </c>
      <c r="AE3108" s="2" t="s">
        <v>40</v>
      </c>
    </row>
    <row r="3109" spans="1:31" ht="409.5">
      <c r="A3109" s="2">
        <v>2703800</v>
      </c>
      <c r="B3109" s="2">
        <f>HYPERLINK("https://platform.v2.vetology.net/cases/2703800/screening-report/1?type=pdf&amp;v=v6&amp;scorecard=1&amp;secret_key=BX%25IJ%24%2F65ieZ%29f6", 2703800)</f>
        <v>2703800</v>
      </c>
      <c r="C3109" s="2">
        <f>HYPERLINK("https://platform.v2.vetology.net/report/v/final/"&amp;2703800, 2703800)</f>
        <v>2703800</v>
      </c>
      <c r="D3109" s="2" t="s">
        <v>9884</v>
      </c>
      <c r="E3109" s="2" t="s">
        <v>9885</v>
      </c>
      <c r="F3109" s="2" t="s">
        <v>9886</v>
      </c>
      <c r="G3109" s="2" t="s">
        <v>53</v>
      </c>
      <c r="H3109" s="2" t="s">
        <v>2159</v>
      </c>
      <c r="I3109" s="2" t="s">
        <v>36</v>
      </c>
      <c r="J3109" s="2" t="s">
        <v>37</v>
      </c>
      <c r="K3109" s="2" t="s">
        <v>38</v>
      </c>
      <c r="L3109" s="2" t="s">
        <v>38</v>
      </c>
      <c r="M3109" s="2" t="s">
        <v>38</v>
      </c>
      <c r="N3109" s="2" t="s">
        <v>38</v>
      </c>
      <c r="O3109" s="2" t="s">
        <v>38</v>
      </c>
      <c r="P3109" s="2" t="s">
        <v>39</v>
      </c>
      <c r="Q3109" s="2" t="s">
        <v>39</v>
      </c>
      <c r="R3109" s="2" t="s">
        <v>38</v>
      </c>
      <c r="S3109" s="2" t="s">
        <v>38</v>
      </c>
      <c r="T3109" s="2" t="s">
        <v>39</v>
      </c>
      <c r="U3109" s="2" t="s">
        <v>38</v>
      </c>
      <c r="V3109" s="2" t="s">
        <v>38</v>
      </c>
      <c r="W3109" s="2" t="s">
        <v>38</v>
      </c>
      <c r="X3109" s="2" t="s">
        <v>39</v>
      </c>
      <c r="Y3109" s="2" t="s">
        <v>38</v>
      </c>
      <c r="Z3109" s="2" t="s">
        <v>38</v>
      </c>
      <c r="AA3109" s="2" t="s">
        <v>38</v>
      </c>
      <c r="AB3109" s="2" t="s">
        <v>39</v>
      </c>
      <c r="AC3109" s="2" t="s">
        <v>38</v>
      </c>
      <c r="AD3109" s="2" t="s">
        <v>38</v>
      </c>
      <c r="AE3109" s="2" t="s">
        <v>40</v>
      </c>
    </row>
    <row r="3110" spans="1:31" ht="409.5">
      <c r="A3110" s="2">
        <v>2703791</v>
      </c>
      <c r="B3110" s="2">
        <f>HYPERLINK("https://platform.v2.vetology.net/cases/2703791/screening-report/1?type=pdf&amp;v=v6&amp;scorecard=1&amp;secret_key=BX%25IJ%24%2F65ieZ%29f6", 2703791)</f>
        <v>2703791</v>
      </c>
      <c r="C3110" s="2">
        <f>HYPERLINK("https://platform.v2.vetology.net/report/v/final/"&amp;2703791, 2703791)</f>
        <v>2703791</v>
      </c>
      <c r="D3110" s="2" t="s">
        <v>9887</v>
      </c>
      <c r="E3110" s="2" t="s">
        <v>9888</v>
      </c>
      <c r="F3110" s="2" t="s">
        <v>9889</v>
      </c>
      <c r="G3110" s="2" t="s">
        <v>53</v>
      </c>
      <c r="H3110" s="2" t="s">
        <v>9890</v>
      </c>
      <c r="I3110" s="2" t="s">
        <v>36</v>
      </c>
      <c r="J3110" s="2" t="s">
        <v>37</v>
      </c>
      <c r="K3110" s="2" t="s">
        <v>39</v>
      </c>
      <c r="L3110" s="2" t="s">
        <v>38</v>
      </c>
      <c r="M3110" s="2" t="s">
        <v>38</v>
      </c>
      <c r="N3110" s="2" t="s">
        <v>38</v>
      </c>
      <c r="O3110" s="2" t="s">
        <v>38</v>
      </c>
      <c r="P3110" s="2" t="s">
        <v>39</v>
      </c>
      <c r="Q3110" s="2" t="s">
        <v>39</v>
      </c>
      <c r="R3110" s="2" t="s">
        <v>38</v>
      </c>
      <c r="S3110" s="2" t="s">
        <v>38</v>
      </c>
      <c r="T3110" s="2" t="s">
        <v>39</v>
      </c>
      <c r="U3110" s="2" t="s">
        <v>39</v>
      </c>
      <c r="V3110" s="2" t="s">
        <v>39</v>
      </c>
      <c r="W3110" s="2" t="s">
        <v>38</v>
      </c>
      <c r="X3110" s="2" t="s">
        <v>39</v>
      </c>
      <c r="Y3110" s="2" t="s">
        <v>39</v>
      </c>
      <c r="Z3110" s="2" t="s">
        <v>38</v>
      </c>
      <c r="AA3110" s="2" t="s">
        <v>38</v>
      </c>
      <c r="AB3110" s="2" t="s">
        <v>39</v>
      </c>
      <c r="AC3110" s="2" t="s">
        <v>38</v>
      </c>
      <c r="AD3110" s="2" t="s">
        <v>39</v>
      </c>
      <c r="AE3110" s="2" t="s">
        <v>39</v>
      </c>
    </row>
    <row r="3111" spans="1:31" ht="409.5">
      <c r="A3111" s="2">
        <v>2703693</v>
      </c>
      <c r="B3111" s="2">
        <f>HYPERLINK("https://platform.v2.vetology.net/cases/2703693/screening-report/1?type=pdf&amp;v=v6&amp;scorecard=1&amp;secret_key=BX%25IJ%24%2F65ieZ%29f6", 2703693)</f>
        <v>2703693</v>
      </c>
      <c r="C3111" s="2">
        <f>HYPERLINK("https://platform.v2.vetology.net/report/v/final/"&amp;2703693, 2703693)</f>
        <v>2703693</v>
      </c>
      <c r="D3111" s="2" t="s">
        <v>9891</v>
      </c>
      <c r="E3111" s="2" t="s">
        <v>9892</v>
      </c>
      <c r="F3111" s="2" t="s">
        <v>9893</v>
      </c>
      <c r="G3111" s="2" t="s">
        <v>170</v>
      </c>
      <c r="H3111" s="2" t="s">
        <v>394</v>
      </c>
      <c r="I3111" s="2" t="s">
        <v>59</v>
      </c>
      <c r="J3111" s="2" t="s">
        <v>37</v>
      </c>
      <c r="K3111" s="2" t="s">
        <v>38</v>
      </c>
      <c r="L3111" s="2" t="s">
        <v>39</v>
      </c>
      <c r="M3111" s="2" t="s">
        <v>39</v>
      </c>
      <c r="N3111" s="2" t="s">
        <v>39</v>
      </c>
      <c r="O3111" s="2" t="s">
        <v>39</v>
      </c>
      <c r="P3111" s="2" t="s">
        <v>39</v>
      </c>
      <c r="Q3111" s="2" t="s">
        <v>39</v>
      </c>
      <c r="R3111" s="2" t="s">
        <v>39</v>
      </c>
      <c r="S3111" s="2" t="s">
        <v>39</v>
      </c>
      <c r="T3111" s="2" t="s">
        <v>38</v>
      </c>
      <c r="U3111" s="2" t="s">
        <v>38</v>
      </c>
      <c r="V3111" s="2" t="s">
        <v>38</v>
      </c>
      <c r="W3111" s="2" t="s">
        <v>39</v>
      </c>
      <c r="X3111" s="2" t="s">
        <v>39</v>
      </c>
      <c r="Y3111" s="2" t="s">
        <v>39</v>
      </c>
      <c r="Z3111" s="2" t="s">
        <v>39</v>
      </c>
      <c r="AA3111" s="2" t="s">
        <v>39</v>
      </c>
      <c r="AB3111" s="2" t="s">
        <v>39</v>
      </c>
      <c r="AC3111" s="2" t="s">
        <v>39</v>
      </c>
      <c r="AD3111" s="2" t="s">
        <v>39</v>
      </c>
      <c r="AE3111" s="2" t="s">
        <v>39</v>
      </c>
    </row>
    <row r="3112" spans="1:31" ht="409.5">
      <c r="A3112" s="2">
        <v>2703625</v>
      </c>
      <c r="B3112" s="2">
        <f>HYPERLINK("https://platform.v2.vetology.net/cases/2703625/screening-report/1?type=pdf&amp;v=v6&amp;scorecard=1&amp;secret_key=BX%25IJ%24%2F65ieZ%29f6", 2703625)</f>
        <v>2703625</v>
      </c>
      <c r="C3112" s="2">
        <f>HYPERLINK("https://platform.v2.vetology.net/report/v/final/"&amp;2703625, 2703625)</f>
        <v>2703625</v>
      </c>
      <c r="D3112" s="2" t="s">
        <v>9894</v>
      </c>
      <c r="E3112" s="2" t="s">
        <v>9895</v>
      </c>
      <c r="F3112" s="2"/>
      <c r="G3112" s="2" t="s">
        <v>81</v>
      </c>
      <c r="H3112" s="2" t="s">
        <v>9896</v>
      </c>
      <c r="I3112" s="2" t="s">
        <v>73</v>
      </c>
      <c r="J3112" s="2" t="s">
        <v>74</v>
      </c>
      <c r="K3112" s="2" t="s">
        <v>38</v>
      </c>
      <c r="L3112" s="2" t="s">
        <v>38</v>
      </c>
      <c r="M3112" s="2" t="s">
        <v>38</v>
      </c>
      <c r="N3112" s="2" t="s">
        <v>38</v>
      </c>
      <c r="O3112" s="2" t="s">
        <v>38</v>
      </c>
      <c r="P3112" s="2" t="s">
        <v>38</v>
      </c>
      <c r="Q3112" s="2" t="s">
        <v>38</v>
      </c>
      <c r="R3112" s="2" t="s">
        <v>38</v>
      </c>
      <c r="S3112" s="2" t="s">
        <v>38</v>
      </c>
      <c r="T3112" s="2" t="s">
        <v>38</v>
      </c>
      <c r="U3112" s="2" t="s">
        <v>38</v>
      </c>
      <c r="V3112" s="2" t="s">
        <v>38</v>
      </c>
      <c r="W3112" s="2" t="s">
        <v>39</v>
      </c>
      <c r="X3112" s="2" t="s">
        <v>38</v>
      </c>
      <c r="Y3112" s="2" t="s">
        <v>38</v>
      </c>
      <c r="Z3112" s="2" t="s">
        <v>38</v>
      </c>
      <c r="AA3112" s="2" t="s">
        <v>38</v>
      </c>
      <c r="AB3112" s="2" t="s">
        <v>38</v>
      </c>
      <c r="AC3112" s="2" t="s">
        <v>38</v>
      </c>
      <c r="AD3112" s="2" t="s">
        <v>38</v>
      </c>
      <c r="AE3112" s="2" t="s">
        <v>40</v>
      </c>
    </row>
    <row r="3113" spans="1:31" ht="409.5">
      <c r="A3113" s="2">
        <v>2703612</v>
      </c>
      <c r="B3113" s="2">
        <f>HYPERLINK("https://platform.v2.vetology.net/cases/2703612/screening-report/1?type=pdf&amp;v=v6&amp;scorecard=1&amp;secret_key=BX%25IJ%24%2F65ieZ%29f6", 2703612)</f>
        <v>2703612</v>
      </c>
      <c r="C3113" s="2">
        <f>HYPERLINK("https://platform.v2.vetology.net/report/v/final/"&amp;2703612, 2703612)</f>
        <v>2703612</v>
      </c>
      <c r="D3113" s="2" t="s">
        <v>9897</v>
      </c>
      <c r="E3113" s="2" t="s">
        <v>9898</v>
      </c>
      <c r="F3113" s="2" t="s">
        <v>9899</v>
      </c>
      <c r="G3113" s="2" t="s">
        <v>127</v>
      </c>
      <c r="H3113" s="2" t="s">
        <v>9900</v>
      </c>
      <c r="I3113" s="2" t="s">
        <v>129</v>
      </c>
      <c r="J3113" s="2" t="s">
        <v>74</v>
      </c>
      <c r="K3113" s="2" t="s">
        <v>39</v>
      </c>
      <c r="L3113" s="2" t="s">
        <v>38</v>
      </c>
      <c r="M3113" s="2" t="s">
        <v>38</v>
      </c>
      <c r="N3113" s="2" t="s">
        <v>38</v>
      </c>
      <c r="O3113" s="2" t="s">
        <v>38</v>
      </c>
      <c r="P3113" s="2" t="s">
        <v>39</v>
      </c>
      <c r="Q3113" s="2" t="s">
        <v>38</v>
      </c>
      <c r="R3113" s="2" t="s">
        <v>38</v>
      </c>
      <c r="S3113" s="2" t="s">
        <v>38</v>
      </c>
      <c r="T3113" s="2" t="s">
        <v>39</v>
      </c>
      <c r="U3113" s="2" t="s">
        <v>39</v>
      </c>
      <c r="V3113" s="2" t="s">
        <v>38</v>
      </c>
      <c r="W3113" s="2" t="s">
        <v>38</v>
      </c>
      <c r="X3113" s="2" t="s">
        <v>38</v>
      </c>
      <c r="Y3113" s="2" t="s">
        <v>39</v>
      </c>
      <c r="Z3113" s="2" t="s">
        <v>38</v>
      </c>
      <c r="AA3113" s="2" t="s">
        <v>39</v>
      </c>
      <c r="AB3113" s="2" t="s">
        <v>38</v>
      </c>
      <c r="AC3113" s="2" t="s">
        <v>38</v>
      </c>
      <c r="AD3113" s="2" t="s">
        <v>38</v>
      </c>
      <c r="AE3113" s="2" t="s">
        <v>39</v>
      </c>
    </row>
    <row r="3114" spans="1:31" ht="409.5">
      <c r="A3114" s="2">
        <v>2703578</v>
      </c>
      <c r="B3114" s="2">
        <f>HYPERLINK("https://platform.v2.vetology.net/cases/2703578/screening-report/1?type=pdf&amp;v=v6&amp;scorecard=1&amp;secret_key=BX%25IJ%24%2F65ieZ%29f6", 2703578)</f>
        <v>2703578</v>
      </c>
      <c r="C3114" s="2">
        <f>HYPERLINK("https://platform.v2.vetology.net/report/v/final/"&amp;2703578, 2703578)</f>
        <v>2703578</v>
      </c>
      <c r="D3114" s="2" t="s">
        <v>9901</v>
      </c>
      <c r="E3114" s="2" t="s">
        <v>9902</v>
      </c>
      <c r="F3114" s="2" t="s">
        <v>9903</v>
      </c>
      <c r="G3114" s="2" t="s">
        <v>127</v>
      </c>
      <c r="H3114" s="2" t="s">
        <v>9904</v>
      </c>
      <c r="I3114" s="2" t="s">
        <v>73</v>
      </c>
      <c r="J3114" s="2" t="s">
        <v>74</v>
      </c>
      <c r="K3114" s="2" t="s">
        <v>38</v>
      </c>
      <c r="L3114" s="2" t="s">
        <v>38</v>
      </c>
      <c r="M3114" s="2" t="s">
        <v>38</v>
      </c>
      <c r="N3114" s="2" t="s">
        <v>38</v>
      </c>
      <c r="O3114" s="2" t="s">
        <v>38</v>
      </c>
      <c r="P3114" s="2" t="s">
        <v>38</v>
      </c>
      <c r="Q3114" s="2" t="s">
        <v>38</v>
      </c>
      <c r="R3114" s="2" t="s">
        <v>38</v>
      </c>
      <c r="S3114" s="2" t="s">
        <v>38</v>
      </c>
      <c r="T3114" s="2" t="s">
        <v>38</v>
      </c>
      <c r="U3114" s="2" t="s">
        <v>38</v>
      </c>
      <c r="V3114" s="2" t="s">
        <v>38</v>
      </c>
      <c r="W3114" s="2" t="s">
        <v>38</v>
      </c>
      <c r="X3114" s="2" t="s">
        <v>38</v>
      </c>
      <c r="Y3114" s="2" t="s">
        <v>38</v>
      </c>
      <c r="Z3114" s="2" t="s">
        <v>38</v>
      </c>
      <c r="AA3114" s="2" t="s">
        <v>38</v>
      </c>
      <c r="AB3114" s="2" t="s">
        <v>38</v>
      </c>
      <c r="AC3114" s="2" t="s">
        <v>38</v>
      </c>
      <c r="AD3114" s="2" t="s">
        <v>38</v>
      </c>
      <c r="AE3114" s="2" t="s">
        <v>39</v>
      </c>
    </row>
    <row r="3115" spans="1:31" ht="409.5">
      <c r="A3115" s="2">
        <v>2703563</v>
      </c>
      <c r="B3115" s="2">
        <f>HYPERLINK("https://platform.v2.vetology.net/cases/2703563/screening-report/1?type=pdf&amp;v=v6&amp;scorecard=1&amp;secret_key=BX%25IJ%24%2F65ieZ%29f6", 2703563)</f>
        <v>2703563</v>
      </c>
      <c r="C3115" s="2">
        <f>HYPERLINK("https://platform.v2.vetology.net/report/v/final/"&amp;2703563, 2703563)</f>
        <v>2703563</v>
      </c>
      <c r="D3115" s="2" t="s">
        <v>9905</v>
      </c>
      <c r="E3115" s="2" t="s">
        <v>9906</v>
      </c>
      <c r="F3115" s="2" t="s">
        <v>9907</v>
      </c>
      <c r="G3115" s="2" t="s">
        <v>53</v>
      </c>
      <c r="H3115" s="2" t="s">
        <v>9908</v>
      </c>
      <c r="I3115" s="2" t="s">
        <v>36</v>
      </c>
      <c r="J3115" s="2" t="s">
        <v>37</v>
      </c>
      <c r="K3115" s="2" t="s">
        <v>39</v>
      </c>
      <c r="L3115" s="2" t="s">
        <v>38</v>
      </c>
      <c r="M3115" s="2" t="s">
        <v>38</v>
      </c>
      <c r="N3115" s="2" t="s">
        <v>38</v>
      </c>
      <c r="O3115" s="2" t="s">
        <v>38</v>
      </c>
      <c r="P3115" s="2" t="s">
        <v>39</v>
      </c>
      <c r="Q3115" s="2" t="s">
        <v>39</v>
      </c>
      <c r="R3115" s="2" t="s">
        <v>38</v>
      </c>
      <c r="S3115" s="2" t="s">
        <v>38</v>
      </c>
      <c r="T3115" s="2" t="s">
        <v>38</v>
      </c>
      <c r="U3115" s="2" t="s">
        <v>39</v>
      </c>
      <c r="V3115" s="2" t="s">
        <v>39</v>
      </c>
      <c r="W3115" s="2" t="s">
        <v>38</v>
      </c>
      <c r="X3115" s="2" t="s">
        <v>39</v>
      </c>
      <c r="Y3115" s="2" t="s">
        <v>38</v>
      </c>
      <c r="Z3115" s="2" t="s">
        <v>38</v>
      </c>
      <c r="AA3115" s="2" t="s">
        <v>38</v>
      </c>
      <c r="AB3115" s="2" t="s">
        <v>39</v>
      </c>
      <c r="AC3115" s="2" t="s">
        <v>38</v>
      </c>
      <c r="AD3115" s="2" t="s">
        <v>38</v>
      </c>
      <c r="AE3115" s="2" t="s">
        <v>39</v>
      </c>
    </row>
    <row r="3116" spans="1:31" ht="409.5">
      <c r="A3116" s="2">
        <v>2703514</v>
      </c>
      <c r="B3116" s="2">
        <f>HYPERLINK("https://platform.v2.vetology.net/cases/2703514/screening-report/1?type=pdf&amp;v=v6&amp;scorecard=1&amp;secret_key=BX%25IJ%24%2F65ieZ%29f6", 2703514)</f>
        <v>2703514</v>
      </c>
      <c r="C3116" s="2">
        <f>HYPERLINK("https://platform.v2.vetology.net/report/v/final/"&amp;2703514, 2703514)</f>
        <v>2703514</v>
      </c>
      <c r="D3116" s="2" t="s">
        <v>9909</v>
      </c>
      <c r="E3116" s="2" t="s">
        <v>9910</v>
      </c>
      <c r="F3116" s="2" t="s">
        <v>9911</v>
      </c>
      <c r="G3116" s="2" t="s">
        <v>53</v>
      </c>
      <c r="H3116" s="2" t="s">
        <v>9912</v>
      </c>
      <c r="I3116" s="2" t="s">
        <v>36</v>
      </c>
      <c r="J3116" s="2" t="s">
        <v>37</v>
      </c>
      <c r="K3116" s="2" t="s">
        <v>38</v>
      </c>
      <c r="L3116" s="2" t="s">
        <v>38</v>
      </c>
      <c r="M3116" s="2" t="s">
        <v>38</v>
      </c>
      <c r="N3116" s="2" t="s">
        <v>38</v>
      </c>
      <c r="O3116" s="2" t="s">
        <v>38</v>
      </c>
      <c r="P3116" s="2" t="s">
        <v>39</v>
      </c>
      <c r="Q3116" s="2" t="s">
        <v>39</v>
      </c>
      <c r="R3116" s="2" t="s">
        <v>38</v>
      </c>
      <c r="S3116" s="2" t="s">
        <v>38</v>
      </c>
      <c r="T3116" s="2" t="s">
        <v>39</v>
      </c>
      <c r="U3116" s="2" t="s">
        <v>38</v>
      </c>
      <c r="V3116" s="2" t="s">
        <v>38</v>
      </c>
      <c r="W3116" s="2" t="s">
        <v>38</v>
      </c>
      <c r="X3116" s="2" t="s">
        <v>39</v>
      </c>
      <c r="Y3116" s="2" t="s">
        <v>39</v>
      </c>
      <c r="Z3116" s="2" t="s">
        <v>38</v>
      </c>
      <c r="AA3116" s="2" t="s">
        <v>38</v>
      </c>
      <c r="AB3116" s="2" t="s">
        <v>39</v>
      </c>
      <c r="AC3116" s="2" t="s">
        <v>38</v>
      </c>
      <c r="AD3116" s="2" t="s">
        <v>38</v>
      </c>
      <c r="AE3116" s="2" t="s">
        <v>39</v>
      </c>
    </row>
    <row r="3117" spans="1:31" ht="409.5">
      <c r="A3117" s="2">
        <v>2703499</v>
      </c>
      <c r="B3117" s="2">
        <f>HYPERLINK("https://platform.v2.vetology.net/cases/2703499/screening-report/1?type=pdf&amp;v=v6&amp;scorecard=1&amp;secret_key=BX%25IJ%24%2F65ieZ%29f6", 2703499)</f>
        <v>2703499</v>
      </c>
      <c r="C3117" s="2">
        <f>HYPERLINK("https://platform.v2.vetology.net/report/v/final/"&amp;2703499, 2703499)</f>
        <v>2703499</v>
      </c>
      <c r="D3117" s="2" t="s">
        <v>9913</v>
      </c>
      <c r="E3117" s="2" t="s">
        <v>9914</v>
      </c>
      <c r="F3117" s="2" t="s">
        <v>9915</v>
      </c>
      <c r="G3117" s="2" t="s">
        <v>53</v>
      </c>
      <c r="H3117" s="2" t="s">
        <v>5549</v>
      </c>
      <c r="I3117" s="2" t="s">
        <v>36</v>
      </c>
      <c r="J3117" s="2" t="s">
        <v>37</v>
      </c>
      <c r="K3117" s="2" t="s">
        <v>39</v>
      </c>
      <c r="L3117" s="2" t="s">
        <v>38</v>
      </c>
      <c r="M3117" s="2" t="s">
        <v>38</v>
      </c>
      <c r="N3117" s="2" t="s">
        <v>39</v>
      </c>
      <c r="O3117" s="2" t="s">
        <v>39</v>
      </c>
      <c r="P3117" s="2" t="s">
        <v>39</v>
      </c>
      <c r="Q3117" s="2" t="s">
        <v>39</v>
      </c>
      <c r="R3117" s="2" t="s">
        <v>39</v>
      </c>
      <c r="S3117" s="2" t="s">
        <v>39</v>
      </c>
      <c r="T3117" s="2" t="s">
        <v>39</v>
      </c>
      <c r="U3117" s="2" t="s">
        <v>39</v>
      </c>
      <c r="V3117" s="2" t="s">
        <v>39</v>
      </c>
      <c r="W3117" s="2" t="s">
        <v>38</v>
      </c>
      <c r="X3117" s="2" t="s">
        <v>39</v>
      </c>
      <c r="Y3117" s="2" t="s">
        <v>39</v>
      </c>
      <c r="Z3117" s="2" t="s">
        <v>38</v>
      </c>
      <c r="AA3117" s="2" t="s">
        <v>38</v>
      </c>
      <c r="AB3117" s="2" t="s">
        <v>39</v>
      </c>
      <c r="AC3117" s="2" t="s">
        <v>39</v>
      </c>
      <c r="AD3117" s="2" t="s">
        <v>39</v>
      </c>
      <c r="AE3117" s="2"/>
    </row>
    <row r="3118" spans="1:31" ht="409.5">
      <c r="A3118" s="2">
        <v>2703454</v>
      </c>
      <c r="B3118" s="2">
        <f>HYPERLINK("https://platform.v2.vetology.net/cases/2703454/screening-report/1?type=pdf&amp;v=v6&amp;scorecard=1&amp;secret_key=BX%25IJ%24%2F65ieZ%29f6", 2703454)</f>
        <v>2703454</v>
      </c>
      <c r="C3118" s="2">
        <f>HYPERLINK("https://platform.v2.vetology.net/report/v/final/"&amp;2703454, 2703454)</f>
        <v>2703454</v>
      </c>
      <c r="D3118" s="2" t="s">
        <v>9916</v>
      </c>
      <c r="E3118" s="2" t="s">
        <v>7973</v>
      </c>
      <c r="F3118" s="2" t="s">
        <v>4822</v>
      </c>
      <c r="G3118" s="2" t="s">
        <v>111</v>
      </c>
      <c r="H3118" s="2" t="s">
        <v>9917</v>
      </c>
      <c r="I3118" s="2" t="s">
        <v>73</v>
      </c>
      <c r="J3118" s="2" t="s">
        <v>74</v>
      </c>
      <c r="K3118" s="2" t="s">
        <v>38</v>
      </c>
      <c r="L3118" s="2" t="s">
        <v>38</v>
      </c>
      <c r="M3118" s="2" t="s">
        <v>38</v>
      </c>
      <c r="N3118" s="2" t="s">
        <v>38</v>
      </c>
      <c r="O3118" s="2" t="s">
        <v>38</v>
      </c>
      <c r="P3118" s="2" t="s">
        <v>38</v>
      </c>
      <c r="Q3118" s="2" t="s">
        <v>38</v>
      </c>
      <c r="R3118" s="2" t="s">
        <v>38</v>
      </c>
      <c r="S3118" s="2" t="s">
        <v>38</v>
      </c>
      <c r="T3118" s="2" t="s">
        <v>38</v>
      </c>
      <c r="U3118" s="2" t="s">
        <v>38</v>
      </c>
      <c r="V3118" s="2" t="s">
        <v>38</v>
      </c>
      <c r="W3118" s="2" t="s">
        <v>38</v>
      </c>
      <c r="X3118" s="2" t="s">
        <v>38</v>
      </c>
      <c r="Y3118" s="2" t="s">
        <v>39</v>
      </c>
      <c r="Z3118" s="2" t="s">
        <v>38</v>
      </c>
      <c r="AA3118" s="2" t="s">
        <v>38</v>
      </c>
      <c r="AB3118" s="2" t="s">
        <v>38</v>
      </c>
      <c r="AC3118" s="2" t="s">
        <v>38</v>
      </c>
      <c r="AD3118" s="2" t="s">
        <v>38</v>
      </c>
      <c r="AE3118" s="2" t="s">
        <v>40</v>
      </c>
    </row>
    <row r="3119" spans="1:31" ht="409.5">
      <c r="A3119" s="2">
        <v>2703407</v>
      </c>
      <c r="B3119" s="2">
        <f>HYPERLINK("https://platform.v2.vetology.net/cases/2703407/screening-report/1?type=pdf&amp;v=v6&amp;scorecard=1&amp;secret_key=BX%25IJ%24%2F65ieZ%29f6", 2703407)</f>
        <v>2703407</v>
      </c>
      <c r="C3119" s="2">
        <f>HYPERLINK("https://platform.v2.vetology.net/report/v/final/"&amp;2703407, 2703407)</f>
        <v>2703407</v>
      </c>
      <c r="D3119" s="2" t="s">
        <v>9918</v>
      </c>
      <c r="E3119" s="2" t="s">
        <v>9919</v>
      </c>
      <c r="F3119" s="2" t="s">
        <v>7849</v>
      </c>
      <c r="G3119" s="2" t="s">
        <v>170</v>
      </c>
      <c r="H3119" s="2" t="s">
        <v>9920</v>
      </c>
      <c r="I3119" s="2" t="s">
        <v>36</v>
      </c>
      <c r="J3119" s="2" t="s">
        <v>37</v>
      </c>
      <c r="K3119" s="2" t="s">
        <v>38</v>
      </c>
      <c r="L3119" s="2" t="s">
        <v>39</v>
      </c>
      <c r="M3119" s="2" t="s">
        <v>38</v>
      </c>
      <c r="N3119" s="2" t="s">
        <v>38</v>
      </c>
      <c r="O3119" s="2" t="s">
        <v>38</v>
      </c>
      <c r="P3119" s="2" t="s">
        <v>39</v>
      </c>
      <c r="Q3119" s="2" t="s">
        <v>39</v>
      </c>
      <c r="R3119" s="2" t="s">
        <v>38</v>
      </c>
      <c r="S3119" s="2" t="s">
        <v>38</v>
      </c>
      <c r="T3119" s="2" t="s">
        <v>38</v>
      </c>
      <c r="U3119" s="2" t="s">
        <v>39</v>
      </c>
      <c r="V3119" s="2" t="s">
        <v>38</v>
      </c>
      <c r="W3119" s="2" t="s">
        <v>38</v>
      </c>
      <c r="X3119" s="2" t="s">
        <v>38</v>
      </c>
      <c r="Y3119" s="2" t="s">
        <v>38</v>
      </c>
      <c r="Z3119" s="2" t="s">
        <v>38</v>
      </c>
      <c r="AA3119" s="2" t="s">
        <v>38</v>
      </c>
      <c r="AB3119" s="2" t="s">
        <v>39</v>
      </c>
      <c r="AC3119" s="2" t="s">
        <v>38</v>
      </c>
      <c r="AD3119" s="2" t="s">
        <v>38</v>
      </c>
      <c r="AE3119" s="2" t="s">
        <v>40</v>
      </c>
    </row>
    <row r="3120" spans="1:31" ht="409.5">
      <c r="A3120" s="2">
        <v>2703396</v>
      </c>
      <c r="B3120" s="2">
        <f>HYPERLINK("https://platform.v2.vetology.net/cases/2703396/screening-report/1?type=pdf&amp;v=v6&amp;scorecard=1&amp;secret_key=BX%25IJ%24%2F65ieZ%29f6", 2703396)</f>
        <v>2703396</v>
      </c>
      <c r="C3120" s="2">
        <f>HYPERLINK("https://platform.v2.vetology.net/report/v/final/"&amp;2703396, 2703396)</f>
        <v>2703396</v>
      </c>
      <c r="D3120" s="2" t="s">
        <v>9921</v>
      </c>
      <c r="E3120" s="2" t="s">
        <v>9922</v>
      </c>
      <c r="F3120" s="2" t="s">
        <v>9923</v>
      </c>
      <c r="G3120" s="2" t="s">
        <v>170</v>
      </c>
      <c r="H3120" s="2" t="s">
        <v>9924</v>
      </c>
      <c r="I3120" s="2" t="s">
        <v>129</v>
      </c>
      <c r="J3120" s="2" t="s">
        <v>74</v>
      </c>
      <c r="K3120" s="2" t="s">
        <v>38</v>
      </c>
      <c r="L3120" s="2" t="s">
        <v>38</v>
      </c>
      <c r="M3120" s="2" t="s">
        <v>38</v>
      </c>
      <c r="N3120" s="2" t="s">
        <v>38</v>
      </c>
      <c r="O3120" s="2" t="s">
        <v>38</v>
      </c>
      <c r="P3120" s="2" t="s">
        <v>38</v>
      </c>
      <c r="Q3120" s="2" t="s">
        <v>38</v>
      </c>
      <c r="R3120" s="2" t="s">
        <v>39</v>
      </c>
      <c r="S3120" s="2" t="s">
        <v>38</v>
      </c>
      <c r="T3120" s="2" t="s">
        <v>38</v>
      </c>
      <c r="U3120" s="2" t="s">
        <v>38</v>
      </c>
      <c r="V3120" s="2" t="s">
        <v>38</v>
      </c>
      <c r="W3120" s="2" t="s">
        <v>38</v>
      </c>
      <c r="X3120" s="2" t="s">
        <v>38</v>
      </c>
      <c r="Y3120" s="2" t="s">
        <v>39</v>
      </c>
      <c r="Z3120" s="2" t="s">
        <v>39</v>
      </c>
      <c r="AA3120" s="2" t="s">
        <v>38</v>
      </c>
      <c r="AB3120" s="2" t="s">
        <v>39</v>
      </c>
      <c r="AC3120" s="2" t="s">
        <v>38</v>
      </c>
      <c r="AD3120" s="2" t="s">
        <v>38</v>
      </c>
      <c r="AE3120" s="2"/>
    </row>
    <row r="3121" spans="1:31" ht="409.5">
      <c r="A3121" s="2">
        <v>2703395</v>
      </c>
      <c r="B3121" s="2">
        <f>HYPERLINK("https://platform.v2.vetology.net/cases/2703395/screening-report/1?type=pdf&amp;v=v6&amp;scorecard=1&amp;secret_key=BX%25IJ%24%2F65ieZ%29f6", 2703395)</f>
        <v>2703395</v>
      </c>
      <c r="C3121" s="2">
        <f>HYPERLINK("https://platform.v2.vetology.net/report/v/final/"&amp;2703395, 2703395)</f>
        <v>2703395</v>
      </c>
      <c r="D3121" s="2" t="s">
        <v>9925</v>
      </c>
      <c r="E3121" s="2" t="s">
        <v>9926</v>
      </c>
      <c r="F3121" s="2" t="s">
        <v>43</v>
      </c>
      <c r="G3121" s="2" t="s">
        <v>44</v>
      </c>
      <c r="H3121" s="2" t="s">
        <v>9927</v>
      </c>
      <c r="I3121" s="2" t="s">
        <v>73</v>
      </c>
      <c r="J3121" s="2" t="s">
        <v>74</v>
      </c>
      <c r="K3121" s="2" t="s">
        <v>38</v>
      </c>
      <c r="L3121" s="2" t="s">
        <v>38</v>
      </c>
      <c r="M3121" s="2" t="s">
        <v>38</v>
      </c>
      <c r="N3121" s="2" t="s">
        <v>38</v>
      </c>
      <c r="O3121" s="2" t="s">
        <v>38</v>
      </c>
      <c r="P3121" s="2" t="s">
        <v>38</v>
      </c>
      <c r="Q3121" s="2" t="s">
        <v>38</v>
      </c>
      <c r="R3121" s="2" t="s">
        <v>38</v>
      </c>
      <c r="S3121" s="2" t="s">
        <v>38</v>
      </c>
      <c r="T3121" s="2" t="s">
        <v>38</v>
      </c>
      <c r="U3121" s="2" t="s">
        <v>39</v>
      </c>
      <c r="V3121" s="2" t="s">
        <v>38</v>
      </c>
      <c r="W3121" s="2" t="s">
        <v>38</v>
      </c>
      <c r="X3121" s="2" t="s">
        <v>38</v>
      </c>
      <c r="Y3121" s="2" t="s">
        <v>38</v>
      </c>
      <c r="Z3121" s="2" t="s">
        <v>38</v>
      </c>
      <c r="AA3121" s="2" t="s">
        <v>38</v>
      </c>
      <c r="AB3121" s="2" t="s">
        <v>38</v>
      </c>
      <c r="AC3121" s="2" t="s">
        <v>38</v>
      </c>
      <c r="AD3121" s="2" t="s">
        <v>38</v>
      </c>
      <c r="AE3121" s="2" t="s">
        <v>40</v>
      </c>
    </row>
    <row r="3122" spans="1:31" ht="409.5">
      <c r="A3122" s="2">
        <v>2703393</v>
      </c>
      <c r="B3122" s="2">
        <f>HYPERLINK("https://platform.v2.vetology.net/cases/2703393/screening-report/1?type=pdf&amp;v=v6&amp;scorecard=1&amp;secret_key=BX%25IJ%24%2F65ieZ%29f6", 2703393)</f>
        <v>2703393</v>
      </c>
      <c r="C3122" s="2">
        <f>HYPERLINK("https://platform.v2.vetology.net/report/v/final/"&amp;2703393, 2703393)</f>
        <v>2703393</v>
      </c>
      <c r="D3122" s="2" t="s">
        <v>9928</v>
      </c>
      <c r="E3122" s="2" t="s">
        <v>9929</v>
      </c>
      <c r="F3122" s="2" t="s">
        <v>9930</v>
      </c>
      <c r="G3122" s="2" t="s">
        <v>127</v>
      </c>
      <c r="H3122" s="2" t="s">
        <v>9931</v>
      </c>
      <c r="I3122" s="2" t="s">
        <v>73</v>
      </c>
      <c r="J3122" s="2" t="s">
        <v>74</v>
      </c>
      <c r="K3122" s="2" t="s">
        <v>38</v>
      </c>
      <c r="L3122" s="2" t="s">
        <v>38</v>
      </c>
      <c r="M3122" s="2" t="s">
        <v>38</v>
      </c>
      <c r="N3122" s="2" t="s">
        <v>38</v>
      </c>
      <c r="O3122" s="2" t="s">
        <v>38</v>
      </c>
      <c r="P3122" s="2" t="s">
        <v>38</v>
      </c>
      <c r="Q3122" s="2" t="s">
        <v>38</v>
      </c>
      <c r="R3122" s="2" t="s">
        <v>38</v>
      </c>
      <c r="S3122" s="2" t="s">
        <v>38</v>
      </c>
      <c r="T3122" s="2" t="s">
        <v>38</v>
      </c>
      <c r="U3122" s="2" t="s">
        <v>38</v>
      </c>
      <c r="V3122" s="2" t="s">
        <v>38</v>
      </c>
      <c r="W3122" s="2" t="s">
        <v>38</v>
      </c>
      <c r="X3122" s="2" t="s">
        <v>38</v>
      </c>
      <c r="Y3122" s="2" t="s">
        <v>39</v>
      </c>
      <c r="Z3122" s="2" t="s">
        <v>38</v>
      </c>
      <c r="AA3122" s="2" t="s">
        <v>38</v>
      </c>
      <c r="AB3122" s="2" t="s">
        <v>38</v>
      </c>
      <c r="AC3122" s="2" t="s">
        <v>38</v>
      </c>
      <c r="AD3122" s="2" t="s">
        <v>39</v>
      </c>
      <c r="AE3122" s="2" t="s">
        <v>40</v>
      </c>
    </row>
    <row r="3123" spans="1:31" ht="409.5">
      <c r="A3123" s="2">
        <v>2703380</v>
      </c>
      <c r="B3123" s="2">
        <f>HYPERLINK("https://platform.v2.vetology.net/cases/2703380/screening-report/1?type=pdf&amp;v=v6&amp;scorecard=1&amp;secret_key=BX%25IJ%24%2F65ieZ%29f6", 2703380)</f>
        <v>2703380</v>
      </c>
      <c r="C3123" s="2">
        <f>HYPERLINK("https://platform.v2.vetology.net/report/v/final/"&amp;2703380, 2703380)</f>
        <v>2703380</v>
      </c>
      <c r="D3123" s="2" t="s">
        <v>9932</v>
      </c>
      <c r="E3123" s="2" t="s">
        <v>9933</v>
      </c>
      <c r="F3123" s="2" t="s">
        <v>9934</v>
      </c>
      <c r="G3123" s="2" t="s">
        <v>111</v>
      </c>
      <c r="H3123" s="2" t="s">
        <v>158</v>
      </c>
      <c r="I3123" s="2" t="s">
        <v>59</v>
      </c>
      <c r="J3123" s="2" t="s">
        <v>37</v>
      </c>
      <c r="K3123" s="2" t="s">
        <v>38</v>
      </c>
      <c r="L3123" s="2" t="s">
        <v>39</v>
      </c>
      <c r="M3123" s="2" t="s">
        <v>39</v>
      </c>
      <c r="N3123" s="2" t="s">
        <v>39</v>
      </c>
      <c r="O3123" s="2" t="s">
        <v>39</v>
      </c>
      <c r="P3123" s="2" t="s">
        <v>39</v>
      </c>
      <c r="Q3123" s="2" t="s">
        <v>39</v>
      </c>
      <c r="R3123" s="2" t="s">
        <v>39</v>
      </c>
      <c r="S3123" s="2" t="s">
        <v>39</v>
      </c>
      <c r="T3123" s="2" t="s">
        <v>39</v>
      </c>
      <c r="U3123" s="2" t="s">
        <v>38</v>
      </c>
      <c r="V3123" s="2" t="s">
        <v>38</v>
      </c>
      <c r="W3123" s="2" t="s">
        <v>38</v>
      </c>
      <c r="X3123" s="2" t="s">
        <v>39</v>
      </c>
      <c r="Y3123" s="2" t="s">
        <v>39</v>
      </c>
      <c r="Z3123" s="2" t="s">
        <v>39</v>
      </c>
      <c r="AA3123" s="2" t="s">
        <v>39</v>
      </c>
      <c r="AB3123" s="2" t="s">
        <v>39</v>
      </c>
      <c r="AC3123" s="2" t="s">
        <v>38</v>
      </c>
      <c r="AD3123" s="2" t="s">
        <v>38</v>
      </c>
      <c r="AE3123" s="2" t="s">
        <v>39</v>
      </c>
    </row>
    <row r="3124" spans="1:31" ht="409.5">
      <c r="A3124" s="2">
        <v>2703379</v>
      </c>
      <c r="B3124" s="2">
        <f>HYPERLINK("https://platform.v2.vetology.net/cases/2703379/screening-report/1?type=pdf&amp;v=v6&amp;scorecard=1&amp;secret_key=BX%25IJ%24%2F65ieZ%29f6", 2703379)</f>
        <v>2703379</v>
      </c>
      <c r="C3124" s="2">
        <f>HYPERLINK("https://platform.v2.vetology.net/report/v/final/"&amp;2703379, 2703379)</f>
        <v>2703379</v>
      </c>
      <c r="D3124" s="2" t="s">
        <v>9935</v>
      </c>
      <c r="E3124" s="2" t="s">
        <v>9936</v>
      </c>
      <c r="F3124" s="2" t="s">
        <v>9937</v>
      </c>
      <c r="G3124" s="2" t="s">
        <v>170</v>
      </c>
      <c r="H3124" s="2" t="s">
        <v>515</v>
      </c>
      <c r="I3124" s="2" t="s">
        <v>36</v>
      </c>
      <c r="J3124" s="2" t="s">
        <v>37</v>
      </c>
      <c r="K3124" s="2" t="s">
        <v>39</v>
      </c>
      <c r="L3124" s="2" t="s">
        <v>39</v>
      </c>
      <c r="M3124" s="2" t="s">
        <v>38</v>
      </c>
      <c r="N3124" s="2" t="s">
        <v>39</v>
      </c>
      <c r="O3124" s="2" t="s">
        <v>38</v>
      </c>
      <c r="P3124" s="2" t="s">
        <v>39</v>
      </c>
      <c r="Q3124" s="2" t="s">
        <v>39</v>
      </c>
      <c r="R3124" s="2" t="s">
        <v>39</v>
      </c>
      <c r="S3124" s="2" t="s">
        <v>39</v>
      </c>
      <c r="T3124" s="2" t="s">
        <v>39</v>
      </c>
      <c r="U3124" s="2" t="s">
        <v>39</v>
      </c>
      <c r="V3124" s="2" t="s">
        <v>39</v>
      </c>
      <c r="W3124" s="2" t="s">
        <v>39</v>
      </c>
      <c r="X3124" s="2" t="s">
        <v>39</v>
      </c>
      <c r="Y3124" s="2" t="s">
        <v>39</v>
      </c>
      <c r="Z3124" s="2" t="s">
        <v>39</v>
      </c>
      <c r="AA3124" s="2" t="s">
        <v>39</v>
      </c>
      <c r="AB3124" s="2" t="s">
        <v>39</v>
      </c>
      <c r="AC3124" s="2" t="s">
        <v>39</v>
      </c>
      <c r="AD3124" s="2" t="s">
        <v>39</v>
      </c>
      <c r="AE3124" s="2" t="s">
        <v>39</v>
      </c>
    </row>
    <row r="3125" spans="1:31" ht="409.5">
      <c r="A3125" s="2">
        <v>2703376</v>
      </c>
      <c r="B3125" s="2">
        <f>HYPERLINK("https://platform.v2.vetology.net/cases/2703376/screening-report/1?type=pdf&amp;v=v6&amp;scorecard=1&amp;secret_key=BX%25IJ%24%2F65ieZ%29f6", 2703376)</f>
        <v>2703376</v>
      </c>
      <c r="C3125" s="2">
        <f>HYPERLINK("https://platform.v2.vetology.net/report/v/final/"&amp;2703376, 2703376)</f>
        <v>2703376</v>
      </c>
      <c r="D3125" s="2" t="s">
        <v>9938</v>
      </c>
      <c r="E3125" s="2" t="s">
        <v>9939</v>
      </c>
      <c r="F3125" s="2" t="s">
        <v>9940</v>
      </c>
      <c r="G3125" s="2" t="s">
        <v>556</v>
      </c>
      <c r="H3125" s="2" t="s">
        <v>9941</v>
      </c>
      <c r="I3125" s="2" t="s">
        <v>36</v>
      </c>
      <c r="J3125" s="2" t="s">
        <v>37</v>
      </c>
      <c r="K3125" s="2" t="s">
        <v>38</v>
      </c>
      <c r="L3125" s="2" t="s">
        <v>38</v>
      </c>
      <c r="M3125" s="2" t="s">
        <v>39</v>
      </c>
      <c r="N3125" s="2" t="s">
        <v>39</v>
      </c>
      <c r="O3125" s="2" t="s">
        <v>39</v>
      </c>
      <c r="P3125" s="2" t="s">
        <v>39</v>
      </c>
      <c r="Q3125" s="2" t="s">
        <v>39</v>
      </c>
      <c r="R3125" s="2" t="s">
        <v>38</v>
      </c>
      <c r="S3125" s="2" t="s">
        <v>39</v>
      </c>
      <c r="T3125" s="2" t="s">
        <v>39</v>
      </c>
      <c r="U3125" s="2" t="s">
        <v>38</v>
      </c>
      <c r="V3125" s="2" t="s">
        <v>38</v>
      </c>
      <c r="W3125" s="2" t="s">
        <v>39</v>
      </c>
      <c r="X3125" s="2" t="s">
        <v>39</v>
      </c>
      <c r="Y3125" s="2" t="s">
        <v>39</v>
      </c>
      <c r="Z3125" s="2" t="s">
        <v>39</v>
      </c>
      <c r="AA3125" s="2" t="s">
        <v>39</v>
      </c>
      <c r="AB3125" s="2" t="s">
        <v>39</v>
      </c>
      <c r="AC3125" s="2" t="s">
        <v>39</v>
      </c>
      <c r="AD3125" s="2" t="s">
        <v>38</v>
      </c>
      <c r="AE3125" s="2" t="s">
        <v>39</v>
      </c>
    </row>
    <row r="3126" spans="1:31" ht="409.5">
      <c r="A3126" s="2">
        <v>2703262</v>
      </c>
      <c r="B3126" s="2">
        <f>HYPERLINK("https://platform.v2.vetology.net/cases/2703262/screening-report/1?type=pdf&amp;v=v6&amp;scorecard=1&amp;secret_key=BX%25IJ%24%2F65ieZ%29f6", 2703262)</f>
        <v>2703262</v>
      </c>
      <c r="C3126" s="2">
        <f>HYPERLINK("https://platform.v2.vetology.net/report/v/final/"&amp;2703262, 2703262)</f>
        <v>2703262</v>
      </c>
      <c r="D3126" s="2" t="s">
        <v>9942</v>
      </c>
      <c r="E3126" s="2" t="s">
        <v>9943</v>
      </c>
      <c r="F3126" s="2" t="s">
        <v>9944</v>
      </c>
      <c r="G3126" s="2" t="s">
        <v>53</v>
      </c>
      <c r="H3126" s="2" t="s">
        <v>9945</v>
      </c>
      <c r="I3126" s="2" t="s">
        <v>257</v>
      </c>
      <c r="J3126" s="2" t="s">
        <v>74</v>
      </c>
      <c r="K3126" s="2" t="s">
        <v>38</v>
      </c>
      <c r="L3126" s="2" t="s">
        <v>38</v>
      </c>
      <c r="M3126" s="2" t="s">
        <v>38</v>
      </c>
      <c r="N3126" s="2" t="s">
        <v>38</v>
      </c>
      <c r="O3126" s="2" t="s">
        <v>38</v>
      </c>
      <c r="P3126" s="2" t="s">
        <v>38</v>
      </c>
      <c r="Q3126" s="2" t="s">
        <v>38</v>
      </c>
      <c r="R3126" s="2" t="s">
        <v>38</v>
      </c>
      <c r="S3126" s="2" t="s">
        <v>38</v>
      </c>
      <c r="T3126" s="2" t="s">
        <v>38</v>
      </c>
      <c r="U3126" s="2" t="s">
        <v>38</v>
      </c>
      <c r="V3126" s="2" t="s">
        <v>38</v>
      </c>
      <c r="W3126" s="2" t="s">
        <v>38</v>
      </c>
      <c r="X3126" s="2" t="s">
        <v>38</v>
      </c>
      <c r="Y3126" s="2" t="s">
        <v>38</v>
      </c>
      <c r="Z3126" s="2" t="s">
        <v>38</v>
      </c>
      <c r="AA3126" s="2" t="s">
        <v>38</v>
      </c>
      <c r="AB3126" s="2" t="s">
        <v>38</v>
      </c>
      <c r="AC3126" s="2" t="s">
        <v>38</v>
      </c>
      <c r="AD3126" s="2" t="s">
        <v>38</v>
      </c>
      <c r="AE3126" s="2" t="s">
        <v>40</v>
      </c>
    </row>
    <row r="3127" spans="1:31" ht="409.5">
      <c r="A3127" s="2">
        <v>2703258</v>
      </c>
      <c r="B3127" s="2">
        <f>HYPERLINK("https://platform.v2.vetology.net/cases/2703258/screening-report/1?type=pdf&amp;v=v6&amp;scorecard=1&amp;secret_key=BX%25IJ%24%2F65ieZ%29f6", 2703258)</f>
        <v>2703258</v>
      </c>
      <c r="C3127" s="2">
        <f>HYPERLINK("https://platform.v2.vetology.net/report/v/final/"&amp;2703258, 2703258)</f>
        <v>2703258</v>
      </c>
      <c r="D3127" s="2" t="s">
        <v>9946</v>
      </c>
      <c r="E3127" s="2" t="s">
        <v>9947</v>
      </c>
      <c r="F3127" s="2"/>
      <c r="G3127" s="2" t="s">
        <v>100</v>
      </c>
      <c r="H3127" s="2" t="s">
        <v>9948</v>
      </c>
      <c r="I3127" s="2" t="s">
        <v>36</v>
      </c>
      <c r="J3127" s="2" t="s">
        <v>37</v>
      </c>
      <c r="K3127" s="2" t="s">
        <v>38</v>
      </c>
      <c r="L3127" s="2" t="s">
        <v>38</v>
      </c>
      <c r="M3127" s="2" t="s">
        <v>38</v>
      </c>
      <c r="N3127" s="2" t="s">
        <v>38</v>
      </c>
      <c r="O3127" s="2" t="s">
        <v>38</v>
      </c>
      <c r="P3127" s="2" t="s">
        <v>38</v>
      </c>
      <c r="Q3127" s="2" t="s">
        <v>38</v>
      </c>
      <c r="R3127" s="2" t="s">
        <v>38</v>
      </c>
      <c r="S3127" s="2" t="s">
        <v>38</v>
      </c>
      <c r="T3127" s="2" t="s">
        <v>38</v>
      </c>
      <c r="U3127" s="2" t="s">
        <v>39</v>
      </c>
      <c r="V3127" s="2" t="s">
        <v>39</v>
      </c>
      <c r="W3127" s="2" t="s">
        <v>38</v>
      </c>
      <c r="X3127" s="2" t="s">
        <v>39</v>
      </c>
      <c r="Y3127" s="2" t="s">
        <v>39</v>
      </c>
      <c r="Z3127" s="2" t="s">
        <v>38</v>
      </c>
      <c r="AA3127" s="2" t="s">
        <v>38</v>
      </c>
      <c r="AB3127" s="2" t="s">
        <v>39</v>
      </c>
      <c r="AC3127" s="2" t="s">
        <v>38</v>
      </c>
      <c r="AD3127" s="2" t="s">
        <v>38</v>
      </c>
      <c r="AE3127" s="2" t="s">
        <v>40</v>
      </c>
    </row>
    <row r="3128" spans="1:31" ht="409.5">
      <c r="A3128" s="2">
        <v>2703257</v>
      </c>
      <c r="B3128" s="2">
        <f>HYPERLINK("https://platform.v2.vetology.net/cases/2703257/screening-report/1?type=pdf&amp;v=v6&amp;scorecard=1&amp;secret_key=BX%25IJ%24%2F65ieZ%29f6", 2703257)</f>
        <v>2703257</v>
      </c>
      <c r="C3128" s="2">
        <f>HYPERLINK("https://platform.v2.vetology.net/report/v/final/"&amp;2703257, 2703257)</f>
        <v>2703257</v>
      </c>
      <c r="D3128" s="2" t="s">
        <v>9949</v>
      </c>
      <c r="E3128" s="2" t="s">
        <v>9950</v>
      </c>
      <c r="F3128" s="2" t="s">
        <v>43</v>
      </c>
      <c r="G3128" s="2" t="s">
        <v>100</v>
      </c>
      <c r="H3128" s="2" t="s">
        <v>3355</v>
      </c>
      <c r="I3128" s="2" t="s">
        <v>36</v>
      </c>
      <c r="J3128" s="2" t="s">
        <v>37</v>
      </c>
      <c r="K3128" s="2" t="s">
        <v>38</v>
      </c>
      <c r="L3128" s="2" t="s">
        <v>39</v>
      </c>
      <c r="M3128" s="2" t="s">
        <v>38</v>
      </c>
      <c r="N3128" s="2" t="s">
        <v>38</v>
      </c>
      <c r="O3128" s="2" t="s">
        <v>38</v>
      </c>
      <c r="P3128" s="2" t="s">
        <v>39</v>
      </c>
      <c r="Q3128" s="2" t="s">
        <v>39</v>
      </c>
      <c r="R3128" s="2" t="s">
        <v>38</v>
      </c>
      <c r="S3128" s="2" t="s">
        <v>38</v>
      </c>
      <c r="T3128" s="2" t="s">
        <v>39</v>
      </c>
      <c r="U3128" s="2" t="s">
        <v>38</v>
      </c>
      <c r="V3128" s="2" t="s">
        <v>38</v>
      </c>
      <c r="W3128" s="2" t="s">
        <v>38</v>
      </c>
      <c r="X3128" s="2" t="s">
        <v>39</v>
      </c>
      <c r="Y3128" s="2" t="s">
        <v>38</v>
      </c>
      <c r="Z3128" s="2" t="s">
        <v>38</v>
      </c>
      <c r="AA3128" s="2" t="s">
        <v>39</v>
      </c>
      <c r="AB3128" s="2" t="s">
        <v>39</v>
      </c>
      <c r="AC3128" s="2" t="s">
        <v>38</v>
      </c>
      <c r="AD3128" s="2" t="s">
        <v>39</v>
      </c>
      <c r="AE3128" s="2" t="s">
        <v>40</v>
      </c>
    </row>
    <row r="3129" spans="1:31" ht="409.5">
      <c r="A3129" s="2">
        <v>2703198</v>
      </c>
      <c r="B3129" s="2">
        <f>HYPERLINK("https://platform.v2.vetology.net/cases/2703198/screening-report/1?type=pdf&amp;v=v6&amp;scorecard=1&amp;secret_key=BX%25IJ%24%2F65ieZ%29f6", 2703198)</f>
        <v>2703198</v>
      </c>
      <c r="C3129" s="2">
        <f>HYPERLINK("https://platform.v2.vetology.net/report/v/final/"&amp;2703198, 2703198)</f>
        <v>2703198</v>
      </c>
      <c r="D3129" s="2" t="s">
        <v>9951</v>
      </c>
      <c r="E3129" s="2" t="s">
        <v>9952</v>
      </c>
      <c r="F3129" s="2" t="s">
        <v>9953</v>
      </c>
      <c r="G3129" s="2" t="s">
        <v>53</v>
      </c>
      <c r="H3129" s="2" t="s">
        <v>9954</v>
      </c>
      <c r="I3129" s="2" t="s">
        <v>36</v>
      </c>
      <c r="J3129" s="2" t="s">
        <v>37</v>
      </c>
      <c r="K3129" s="2" t="s">
        <v>39</v>
      </c>
      <c r="L3129" s="2" t="s">
        <v>38</v>
      </c>
      <c r="M3129" s="2" t="s">
        <v>38</v>
      </c>
      <c r="N3129" s="2" t="s">
        <v>38</v>
      </c>
      <c r="O3129" s="2" t="s">
        <v>38</v>
      </c>
      <c r="P3129" s="2" t="s">
        <v>38</v>
      </c>
      <c r="Q3129" s="2" t="s">
        <v>39</v>
      </c>
      <c r="R3129" s="2" t="s">
        <v>39</v>
      </c>
      <c r="S3129" s="2" t="s">
        <v>38</v>
      </c>
      <c r="T3129" s="2" t="s">
        <v>38</v>
      </c>
      <c r="U3129" s="2" t="s">
        <v>39</v>
      </c>
      <c r="V3129" s="2" t="s">
        <v>39</v>
      </c>
      <c r="W3129" s="2" t="s">
        <v>38</v>
      </c>
      <c r="X3129" s="2" t="s">
        <v>38</v>
      </c>
      <c r="Y3129" s="2" t="s">
        <v>39</v>
      </c>
      <c r="Z3129" s="2" t="s">
        <v>38</v>
      </c>
      <c r="AA3129" s="2" t="s">
        <v>38</v>
      </c>
      <c r="AB3129" s="2" t="s">
        <v>38</v>
      </c>
      <c r="AC3129" s="2" t="s">
        <v>38</v>
      </c>
      <c r="AD3129" s="2" t="s">
        <v>38</v>
      </c>
      <c r="AE3129" s="2" t="s">
        <v>40</v>
      </c>
    </row>
    <row r="3130" spans="1:31" ht="409.5">
      <c r="A3130" s="2">
        <v>2703170</v>
      </c>
      <c r="B3130" s="2">
        <f>HYPERLINK("https://platform.v2.vetology.net/cases/2703170/screening-report/1?type=pdf&amp;v=v6&amp;scorecard=1&amp;secret_key=BX%25IJ%24%2F65ieZ%29f6", 2703170)</f>
        <v>2703170</v>
      </c>
      <c r="C3130" s="2">
        <f>HYPERLINK("https://platform.v2.vetology.net/report/v/final/"&amp;2703170, 2703170)</f>
        <v>2703170</v>
      </c>
      <c r="D3130" s="2" t="s">
        <v>9955</v>
      </c>
      <c r="E3130" s="2" t="s">
        <v>9956</v>
      </c>
      <c r="F3130" s="2" t="s">
        <v>9957</v>
      </c>
      <c r="G3130" s="2" t="s">
        <v>145</v>
      </c>
      <c r="H3130" s="2" t="s">
        <v>9958</v>
      </c>
      <c r="I3130" s="2" t="s">
        <v>129</v>
      </c>
      <c r="J3130" s="2" t="s">
        <v>74</v>
      </c>
      <c r="K3130" s="2" t="s">
        <v>38</v>
      </c>
      <c r="L3130" s="2" t="s">
        <v>38</v>
      </c>
      <c r="M3130" s="2" t="s">
        <v>38</v>
      </c>
      <c r="N3130" s="2" t="s">
        <v>39</v>
      </c>
      <c r="O3130" s="2" t="s">
        <v>38</v>
      </c>
      <c r="P3130" s="2" t="s">
        <v>38</v>
      </c>
      <c r="Q3130" s="2" t="s">
        <v>38</v>
      </c>
      <c r="R3130" s="2" t="s">
        <v>39</v>
      </c>
      <c r="S3130" s="2" t="s">
        <v>38</v>
      </c>
      <c r="T3130" s="2" t="s">
        <v>38</v>
      </c>
      <c r="U3130" s="2" t="s">
        <v>39</v>
      </c>
      <c r="V3130" s="2" t="s">
        <v>38</v>
      </c>
      <c r="W3130" s="2" t="s">
        <v>38</v>
      </c>
      <c r="X3130" s="2" t="s">
        <v>39</v>
      </c>
      <c r="Y3130" s="2" t="s">
        <v>39</v>
      </c>
      <c r="Z3130" s="2" t="s">
        <v>38</v>
      </c>
      <c r="AA3130" s="2" t="s">
        <v>38</v>
      </c>
      <c r="AB3130" s="2" t="s">
        <v>39</v>
      </c>
      <c r="AC3130" s="2" t="s">
        <v>38</v>
      </c>
      <c r="AD3130" s="2" t="s">
        <v>38</v>
      </c>
      <c r="AE3130" s="2" t="s">
        <v>39</v>
      </c>
    </row>
    <row r="3131" spans="1:31" ht="409.5">
      <c r="A3131" s="2">
        <v>2703134</v>
      </c>
      <c r="B3131" s="2">
        <f>HYPERLINK("https://platform.v2.vetology.net/cases/2703134/screening-report/1?type=pdf&amp;v=v6&amp;scorecard=1&amp;secret_key=BX%25IJ%24%2F65ieZ%29f6", 2703134)</f>
        <v>2703134</v>
      </c>
      <c r="C3131" s="2">
        <f>HYPERLINK("https://platform.v2.vetology.net/report/v/final/"&amp;2703134, 2703134)</f>
        <v>2703134</v>
      </c>
      <c r="D3131" s="2" t="s">
        <v>9959</v>
      </c>
      <c r="E3131" s="2" t="s">
        <v>9960</v>
      </c>
      <c r="F3131" s="2" t="s">
        <v>9961</v>
      </c>
      <c r="G3131" s="2" t="s">
        <v>145</v>
      </c>
      <c r="H3131" s="2" t="s">
        <v>69</v>
      </c>
      <c r="I3131" s="2" t="s">
        <v>46</v>
      </c>
      <c r="J3131" s="2"/>
      <c r="K3131" s="2" t="s">
        <v>39</v>
      </c>
      <c r="L3131" s="2" t="s">
        <v>39</v>
      </c>
      <c r="M3131" s="2" t="s">
        <v>39</v>
      </c>
      <c r="N3131" s="2" t="s">
        <v>39</v>
      </c>
      <c r="O3131" s="2" t="s">
        <v>39</v>
      </c>
      <c r="P3131" s="2" t="s">
        <v>39</v>
      </c>
      <c r="Q3131" s="2" t="s">
        <v>39</v>
      </c>
      <c r="R3131" s="2" t="s">
        <v>39</v>
      </c>
      <c r="S3131" s="2" t="s">
        <v>39</v>
      </c>
      <c r="T3131" s="2" t="s">
        <v>38</v>
      </c>
      <c r="U3131" s="2" t="s">
        <v>39</v>
      </c>
      <c r="V3131" s="2" t="s">
        <v>38</v>
      </c>
      <c r="W3131" s="2" t="s">
        <v>38</v>
      </c>
      <c r="X3131" s="2" t="s">
        <v>39</v>
      </c>
      <c r="Y3131" s="2" t="s">
        <v>39</v>
      </c>
      <c r="Z3131" s="2" t="s">
        <v>39</v>
      </c>
      <c r="AA3131" s="2" t="s">
        <v>39</v>
      </c>
      <c r="AB3131" s="2" t="s">
        <v>39</v>
      </c>
      <c r="AC3131" s="2" t="s">
        <v>38</v>
      </c>
      <c r="AD3131" s="2" t="s">
        <v>39</v>
      </c>
      <c r="AE3131" s="2" t="s">
        <v>39</v>
      </c>
    </row>
    <row r="3132" spans="1:31" ht="409.5">
      <c r="A3132" s="2">
        <v>2703059</v>
      </c>
      <c r="B3132" s="2">
        <f>HYPERLINK("https://platform.v2.vetology.net/cases/2703059/screening-report/1?type=pdf&amp;v=v6&amp;scorecard=1&amp;secret_key=BX%25IJ%24%2F65ieZ%29f6", 2703059)</f>
        <v>2703059</v>
      </c>
      <c r="C3132" s="2">
        <f>HYPERLINK("https://platform.v2.vetology.net/report/v/final/"&amp;2703059, 2703059)</f>
        <v>2703059</v>
      </c>
      <c r="D3132" s="2" t="s">
        <v>9962</v>
      </c>
      <c r="E3132" s="2" t="s">
        <v>9963</v>
      </c>
      <c r="F3132" s="2" t="s">
        <v>9964</v>
      </c>
      <c r="G3132" s="2" t="s">
        <v>34</v>
      </c>
      <c r="H3132" s="2" t="s">
        <v>9965</v>
      </c>
      <c r="I3132" s="2" t="s">
        <v>129</v>
      </c>
      <c r="J3132" s="2" t="s">
        <v>74</v>
      </c>
      <c r="K3132" s="2" t="s">
        <v>38</v>
      </c>
      <c r="L3132" s="2" t="s">
        <v>38</v>
      </c>
      <c r="M3132" s="2" t="s">
        <v>38</v>
      </c>
      <c r="N3132" s="2" t="s">
        <v>38</v>
      </c>
      <c r="O3132" s="2" t="s">
        <v>38</v>
      </c>
      <c r="P3132" s="2" t="s">
        <v>38</v>
      </c>
      <c r="Q3132" s="2" t="s">
        <v>38</v>
      </c>
      <c r="R3132" s="2" t="s">
        <v>38</v>
      </c>
      <c r="S3132" s="2" t="s">
        <v>38</v>
      </c>
      <c r="T3132" s="2" t="s">
        <v>38</v>
      </c>
      <c r="U3132" s="2" t="s">
        <v>39</v>
      </c>
      <c r="V3132" s="2" t="s">
        <v>38</v>
      </c>
      <c r="W3132" s="2" t="s">
        <v>38</v>
      </c>
      <c r="X3132" s="2" t="s">
        <v>38</v>
      </c>
      <c r="Y3132" s="2" t="s">
        <v>38</v>
      </c>
      <c r="Z3132" s="2" t="s">
        <v>38</v>
      </c>
      <c r="AA3132" s="2" t="s">
        <v>38</v>
      </c>
      <c r="AB3132" s="2" t="s">
        <v>38</v>
      </c>
      <c r="AC3132" s="2" t="s">
        <v>38</v>
      </c>
      <c r="AD3132" s="2" t="s">
        <v>38</v>
      </c>
      <c r="AE3132" s="2" t="s">
        <v>39</v>
      </c>
    </row>
    <row r="3133" spans="1:31" ht="409.5">
      <c r="A3133" s="2">
        <v>2703023</v>
      </c>
      <c r="B3133" s="2">
        <f>HYPERLINK("https://platform.v2.vetology.net/cases/2703023/screening-report/1?type=pdf&amp;v=v6&amp;scorecard=1&amp;secret_key=BX%25IJ%24%2F65ieZ%29f6", 2703023)</f>
        <v>2703023</v>
      </c>
      <c r="C3133" s="2">
        <f>HYPERLINK("https://platform.v2.vetology.net/report/v/final/"&amp;2703023, 2703023)</f>
        <v>2703023</v>
      </c>
      <c r="D3133" s="2" t="s">
        <v>9966</v>
      </c>
      <c r="E3133" s="2" t="s">
        <v>9967</v>
      </c>
      <c r="F3133" s="2" t="s">
        <v>7600</v>
      </c>
      <c r="G3133" s="2" t="s">
        <v>111</v>
      </c>
      <c r="H3133" s="2" t="s">
        <v>9968</v>
      </c>
      <c r="I3133" s="2" t="s">
        <v>73</v>
      </c>
      <c r="J3133" s="2" t="s">
        <v>74</v>
      </c>
      <c r="K3133" s="2" t="s">
        <v>38</v>
      </c>
      <c r="L3133" s="2" t="s">
        <v>38</v>
      </c>
      <c r="M3133" s="2" t="s">
        <v>38</v>
      </c>
      <c r="N3133" s="2" t="s">
        <v>38</v>
      </c>
      <c r="O3133" s="2" t="s">
        <v>38</v>
      </c>
      <c r="P3133" s="2" t="s">
        <v>38</v>
      </c>
      <c r="Q3133" s="2" t="s">
        <v>38</v>
      </c>
      <c r="R3133" s="2" t="s">
        <v>38</v>
      </c>
      <c r="S3133" s="2" t="s">
        <v>38</v>
      </c>
      <c r="T3133" s="2" t="s">
        <v>38</v>
      </c>
      <c r="U3133" s="2" t="s">
        <v>38</v>
      </c>
      <c r="V3133" s="2" t="s">
        <v>38</v>
      </c>
      <c r="W3133" s="2" t="s">
        <v>38</v>
      </c>
      <c r="X3133" s="2" t="s">
        <v>38</v>
      </c>
      <c r="Y3133" s="2" t="s">
        <v>38</v>
      </c>
      <c r="Z3133" s="2" t="s">
        <v>38</v>
      </c>
      <c r="AA3133" s="2" t="s">
        <v>38</v>
      </c>
      <c r="AB3133" s="2" t="s">
        <v>38</v>
      </c>
      <c r="AC3133" s="2" t="s">
        <v>38</v>
      </c>
      <c r="AD3133" s="2" t="s">
        <v>38</v>
      </c>
      <c r="AE3133" s="2" t="s">
        <v>39</v>
      </c>
    </row>
    <row r="3134" spans="1:31" ht="409.5">
      <c r="A3134" s="2">
        <v>2702928</v>
      </c>
      <c r="B3134" s="2">
        <f>HYPERLINK("https://platform.v2.vetology.net/cases/2702928/screening-report/1?type=pdf&amp;v=v6&amp;scorecard=1&amp;secret_key=BX%25IJ%24%2F65ieZ%29f6", 2702928)</f>
        <v>2702928</v>
      </c>
      <c r="C3134" s="2">
        <f>HYPERLINK("https://platform.v2.vetology.net/report/v/final/"&amp;2702928, 2702928)</f>
        <v>2702928</v>
      </c>
      <c r="D3134" s="2" t="s">
        <v>9969</v>
      </c>
      <c r="E3134" s="2" t="s">
        <v>9970</v>
      </c>
      <c r="F3134" s="2" t="s">
        <v>9971</v>
      </c>
      <c r="G3134" s="2" t="s">
        <v>53</v>
      </c>
      <c r="H3134" s="2" t="s">
        <v>530</v>
      </c>
      <c r="I3134" s="2" t="s">
        <v>59</v>
      </c>
      <c r="J3134" s="2" t="s">
        <v>37</v>
      </c>
      <c r="K3134" s="2" t="s">
        <v>38</v>
      </c>
      <c r="L3134" s="2" t="s">
        <v>39</v>
      </c>
      <c r="M3134" s="2" t="s">
        <v>39</v>
      </c>
      <c r="N3134" s="2" t="s">
        <v>39</v>
      </c>
      <c r="O3134" s="2" t="s">
        <v>39</v>
      </c>
      <c r="P3134" s="2" t="s">
        <v>39</v>
      </c>
      <c r="Q3134" s="2" t="s">
        <v>39</v>
      </c>
      <c r="R3134" s="2" t="s">
        <v>39</v>
      </c>
      <c r="S3134" s="2" t="s">
        <v>39</v>
      </c>
      <c r="T3134" s="2" t="s">
        <v>39</v>
      </c>
      <c r="U3134" s="2" t="s">
        <v>38</v>
      </c>
      <c r="V3134" s="2" t="s">
        <v>38</v>
      </c>
      <c r="W3134" s="2" t="s">
        <v>38</v>
      </c>
      <c r="X3134" s="2" t="s">
        <v>39</v>
      </c>
      <c r="Y3134" s="2" t="s">
        <v>39</v>
      </c>
      <c r="Z3134" s="2" t="s">
        <v>38</v>
      </c>
      <c r="AA3134" s="2" t="s">
        <v>39</v>
      </c>
      <c r="AB3134" s="2" t="s">
        <v>39</v>
      </c>
      <c r="AC3134" s="2" t="s">
        <v>39</v>
      </c>
      <c r="AD3134" s="2" t="s">
        <v>38</v>
      </c>
      <c r="AE3134" s="2" t="s">
        <v>39</v>
      </c>
    </row>
    <row r="3135" spans="1:31" ht="409.5">
      <c r="A3135" s="2">
        <v>2702923</v>
      </c>
      <c r="B3135" s="2">
        <f>HYPERLINK("https://platform.v2.vetology.net/cases/2702923/screening-report/1?type=pdf&amp;v=v6&amp;scorecard=1&amp;secret_key=BX%25IJ%24%2F65ieZ%29f6", 2702923)</f>
        <v>2702923</v>
      </c>
      <c r="C3135" s="2">
        <f>HYPERLINK("https://platform.v2.vetology.net/report/v/final/"&amp;2702923, 2702923)</f>
        <v>2702923</v>
      </c>
      <c r="D3135" s="2" t="s">
        <v>9972</v>
      </c>
      <c r="E3135" s="2" t="s">
        <v>9973</v>
      </c>
      <c r="F3135" s="2" t="s">
        <v>43</v>
      </c>
      <c r="G3135" s="2" t="s">
        <v>44</v>
      </c>
      <c r="H3135" s="2" t="s">
        <v>9974</v>
      </c>
      <c r="I3135" s="2" t="s">
        <v>36</v>
      </c>
      <c r="J3135" s="2" t="s">
        <v>37</v>
      </c>
      <c r="K3135" s="2" t="s">
        <v>39</v>
      </c>
      <c r="L3135" s="2" t="s">
        <v>39</v>
      </c>
      <c r="M3135" s="2" t="s">
        <v>39</v>
      </c>
      <c r="N3135" s="2" t="s">
        <v>38</v>
      </c>
      <c r="O3135" s="2" t="s">
        <v>39</v>
      </c>
      <c r="P3135" s="2" t="s">
        <v>38</v>
      </c>
      <c r="Q3135" s="2" t="s">
        <v>39</v>
      </c>
      <c r="R3135" s="2" t="s">
        <v>39</v>
      </c>
      <c r="S3135" s="2" t="s">
        <v>38</v>
      </c>
      <c r="T3135" s="2" t="s">
        <v>38</v>
      </c>
      <c r="U3135" s="2" t="s">
        <v>39</v>
      </c>
      <c r="V3135" s="2" t="s">
        <v>39</v>
      </c>
      <c r="W3135" s="2" t="s">
        <v>38</v>
      </c>
      <c r="X3135" s="2" t="s">
        <v>39</v>
      </c>
      <c r="Y3135" s="2" t="s">
        <v>39</v>
      </c>
      <c r="Z3135" s="2" t="s">
        <v>38</v>
      </c>
      <c r="AA3135" s="2" t="s">
        <v>39</v>
      </c>
      <c r="AB3135" s="2" t="s">
        <v>39</v>
      </c>
      <c r="AC3135" s="2" t="s">
        <v>38</v>
      </c>
      <c r="AD3135" s="2" t="s">
        <v>38</v>
      </c>
      <c r="AE3135" s="2" t="s">
        <v>39</v>
      </c>
    </row>
    <row r="3136" spans="1:31" ht="409.5">
      <c r="A3136" s="2">
        <v>2702910</v>
      </c>
      <c r="B3136" s="2">
        <f>HYPERLINK("https://platform.v2.vetology.net/cases/2702910/screening-report/1?type=pdf&amp;v=v6&amp;scorecard=1&amp;secret_key=BX%25IJ%24%2F65ieZ%29f6", 2702910)</f>
        <v>2702910</v>
      </c>
      <c r="C3136" s="2">
        <f>HYPERLINK("https://platform.v2.vetology.net/report/v/final/"&amp;2702910, 2702910)</f>
        <v>2702910</v>
      </c>
      <c r="D3136" s="2" t="s">
        <v>9975</v>
      </c>
      <c r="E3136" s="2" t="s">
        <v>9976</v>
      </c>
      <c r="F3136" s="2" t="s">
        <v>43</v>
      </c>
      <c r="G3136" s="2" t="s">
        <v>44</v>
      </c>
      <c r="H3136" s="2" t="s">
        <v>6233</v>
      </c>
      <c r="I3136" s="2" t="s">
        <v>36</v>
      </c>
      <c r="J3136" s="2" t="s">
        <v>37</v>
      </c>
      <c r="K3136" s="2" t="s">
        <v>38</v>
      </c>
      <c r="L3136" s="2" t="s">
        <v>39</v>
      </c>
      <c r="M3136" s="2" t="s">
        <v>38</v>
      </c>
      <c r="N3136" s="2" t="s">
        <v>38</v>
      </c>
      <c r="O3136" s="2" t="s">
        <v>38</v>
      </c>
      <c r="P3136" s="2" t="s">
        <v>39</v>
      </c>
      <c r="Q3136" s="2" t="s">
        <v>39</v>
      </c>
      <c r="R3136" s="2" t="s">
        <v>38</v>
      </c>
      <c r="S3136" s="2" t="s">
        <v>39</v>
      </c>
      <c r="T3136" s="2" t="s">
        <v>39</v>
      </c>
      <c r="U3136" s="2" t="s">
        <v>39</v>
      </c>
      <c r="V3136" s="2" t="s">
        <v>38</v>
      </c>
      <c r="W3136" s="2" t="s">
        <v>38</v>
      </c>
      <c r="X3136" s="2" t="s">
        <v>39</v>
      </c>
      <c r="Y3136" s="2" t="s">
        <v>39</v>
      </c>
      <c r="Z3136" s="2" t="s">
        <v>39</v>
      </c>
      <c r="AA3136" s="2" t="s">
        <v>38</v>
      </c>
      <c r="AB3136" s="2" t="s">
        <v>38</v>
      </c>
      <c r="AC3136" s="2" t="s">
        <v>38</v>
      </c>
      <c r="AD3136" s="2" t="s">
        <v>39</v>
      </c>
      <c r="AE3136" s="2" t="s">
        <v>39</v>
      </c>
    </row>
    <row r="3137" spans="1:31" ht="409.5">
      <c r="A3137" s="2">
        <v>2702904</v>
      </c>
      <c r="B3137" s="2">
        <f>HYPERLINK("https://platform.v2.vetology.net/cases/2702904/screening-report/1?type=pdf&amp;v=v6&amp;scorecard=1&amp;secret_key=BX%25IJ%24%2F65ieZ%29f6", 2702904)</f>
        <v>2702904</v>
      </c>
      <c r="C3137" s="2">
        <f>HYPERLINK("https://platform.v2.vetology.net/report/v/final/"&amp;2702904, 2702904)</f>
        <v>2702904</v>
      </c>
      <c r="D3137" s="2" t="s">
        <v>9977</v>
      </c>
      <c r="E3137" s="2" t="s">
        <v>9978</v>
      </c>
      <c r="F3137" s="2"/>
      <c r="G3137" s="2" t="s">
        <v>81</v>
      </c>
      <c r="H3137" s="2" t="s">
        <v>9979</v>
      </c>
      <c r="I3137" s="2" t="s">
        <v>129</v>
      </c>
      <c r="J3137" s="2" t="s">
        <v>74</v>
      </c>
      <c r="K3137" s="2" t="s">
        <v>38</v>
      </c>
      <c r="L3137" s="2" t="s">
        <v>38</v>
      </c>
      <c r="M3137" s="2" t="s">
        <v>38</v>
      </c>
      <c r="N3137" s="2" t="s">
        <v>38</v>
      </c>
      <c r="O3137" s="2" t="s">
        <v>38</v>
      </c>
      <c r="P3137" s="2" t="s">
        <v>38</v>
      </c>
      <c r="Q3137" s="2" t="s">
        <v>38</v>
      </c>
      <c r="R3137" s="2" t="s">
        <v>38</v>
      </c>
      <c r="S3137" s="2" t="s">
        <v>38</v>
      </c>
      <c r="T3137" s="2" t="s">
        <v>38</v>
      </c>
      <c r="U3137" s="2" t="s">
        <v>39</v>
      </c>
      <c r="V3137" s="2" t="s">
        <v>38</v>
      </c>
      <c r="W3137" s="2" t="s">
        <v>38</v>
      </c>
      <c r="X3137" s="2" t="s">
        <v>38</v>
      </c>
      <c r="Y3137" s="2" t="s">
        <v>38</v>
      </c>
      <c r="Z3137" s="2" t="s">
        <v>38</v>
      </c>
      <c r="AA3137" s="2" t="s">
        <v>38</v>
      </c>
      <c r="AB3137" s="2" t="s">
        <v>38</v>
      </c>
      <c r="AC3137" s="2" t="s">
        <v>38</v>
      </c>
      <c r="AD3137" s="2" t="s">
        <v>38</v>
      </c>
      <c r="AE3137" s="2" t="s">
        <v>40</v>
      </c>
    </row>
    <row r="3138" spans="1:31" ht="409.5">
      <c r="A3138" s="2">
        <v>2702854</v>
      </c>
      <c r="B3138" s="2">
        <f>HYPERLINK("https://platform.v2.vetology.net/cases/2702854/screening-report/1?type=pdf&amp;v=v6&amp;scorecard=1&amp;secret_key=BX%25IJ%24%2F65ieZ%29f6", 2702854)</f>
        <v>2702854</v>
      </c>
      <c r="C3138" s="2">
        <f>HYPERLINK("https://platform.v2.vetology.net/report/v/final/"&amp;2702854, 2702854)</f>
        <v>2702854</v>
      </c>
      <c r="D3138" s="2" t="s">
        <v>9980</v>
      </c>
      <c r="E3138" s="2" t="s">
        <v>9981</v>
      </c>
      <c r="F3138" s="2" t="s">
        <v>43</v>
      </c>
      <c r="G3138" s="2" t="s">
        <v>44</v>
      </c>
      <c r="H3138" s="2" t="s">
        <v>9982</v>
      </c>
      <c r="I3138" s="2" t="s">
        <v>73</v>
      </c>
      <c r="J3138" s="2" t="s">
        <v>74</v>
      </c>
      <c r="K3138" s="2" t="s">
        <v>38</v>
      </c>
      <c r="L3138" s="2" t="s">
        <v>38</v>
      </c>
      <c r="M3138" s="2" t="s">
        <v>38</v>
      </c>
      <c r="N3138" s="2" t="s">
        <v>38</v>
      </c>
      <c r="O3138" s="2" t="s">
        <v>38</v>
      </c>
      <c r="P3138" s="2" t="s">
        <v>38</v>
      </c>
      <c r="Q3138" s="2" t="s">
        <v>38</v>
      </c>
      <c r="R3138" s="2" t="s">
        <v>38</v>
      </c>
      <c r="S3138" s="2" t="s">
        <v>38</v>
      </c>
      <c r="T3138" s="2" t="s">
        <v>38</v>
      </c>
      <c r="U3138" s="2" t="s">
        <v>38</v>
      </c>
      <c r="V3138" s="2" t="s">
        <v>38</v>
      </c>
      <c r="W3138" s="2" t="s">
        <v>38</v>
      </c>
      <c r="X3138" s="2" t="s">
        <v>38</v>
      </c>
      <c r="Y3138" s="2" t="s">
        <v>38</v>
      </c>
      <c r="Z3138" s="2" t="s">
        <v>38</v>
      </c>
      <c r="AA3138" s="2" t="s">
        <v>38</v>
      </c>
      <c r="AB3138" s="2" t="s">
        <v>38</v>
      </c>
      <c r="AC3138" s="2" t="s">
        <v>38</v>
      </c>
      <c r="AD3138" s="2" t="s">
        <v>38</v>
      </c>
      <c r="AE3138" s="2" t="s">
        <v>40</v>
      </c>
    </row>
    <row r="3139" spans="1:31" ht="409.5">
      <c r="A3139" s="2">
        <v>2702807</v>
      </c>
      <c r="B3139" s="2">
        <f>HYPERLINK("https://platform.v2.vetology.net/cases/2702807/screening-report/1?type=pdf&amp;v=v6&amp;scorecard=1&amp;secret_key=BX%25IJ%24%2F65ieZ%29f6", 2702807)</f>
        <v>2702807</v>
      </c>
      <c r="C3139" s="2">
        <f>HYPERLINK("https://platform.v2.vetology.net/report/v/final/"&amp;2702807, 2702807)</f>
        <v>2702807</v>
      </c>
      <c r="D3139" s="2" t="s">
        <v>9983</v>
      </c>
      <c r="E3139" s="2" t="s">
        <v>9984</v>
      </c>
      <c r="F3139" s="2" t="s">
        <v>9985</v>
      </c>
      <c r="G3139" s="2" t="s">
        <v>127</v>
      </c>
      <c r="H3139" s="2" t="s">
        <v>9986</v>
      </c>
      <c r="I3139" s="2" t="s">
        <v>257</v>
      </c>
      <c r="J3139" s="2" t="s">
        <v>74</v>
      </c>
      <c r="K3139" s="2" t="s">
        <v>38</v>
      </c>
      <c r="L3139" s="2" t="s">
        <v>39</v>
      </c>
      <c r="M3139" s="2" t="s">
        <v>38</v>
      </c>
      <c r="N3139" s="2" t="s">
        <v>38</v>
      </c>
      <c r="O3139" s="2" t="s">
        <v>38</v>
      </c>
      <c r="P3139" s="2" t="s">
        <v>39</v>
      </c>
      <c r="Q3139" s="2" t="s">
        <v>38</v>
      </c>
      <c r="R3139" s="2" t="s">
        <v>38</v>
      </c>
      <c r="S3139" s="2" t="s">
        <v>38</v>
      </c>
      <c r="T3139" s="2" t="s">
        <v>39</v>
      </c>
      <c r="U3139" s="2" t="s">
        <v>38</v>
      </c>
      <c r="V3139" s="2" t="s">
        <v>38</v>
      </c>
      <c r="W3139" s="2" t="s">
        <v>38</v>
      </c>
      <c r="X3139" s="2" t="s">
        <v>38</v>
      </c>
      <c r="Y3139" s="2" t="s">
        <v>38</v>
      </c>
      <c r="Z3139" s="2" t="s">
        <v>38</v>
      </c>
      <c r="AA3139" s="2" t="s">
        <v>38</v>
      </c>
      <c r="AB3139" s="2" t="s">
        <v>38</v>
      </c>
      <c r="AC3139" s="2" t="s">
        <v>38</v>
      </c>
      <c r="AD3139" s="2" t="s">
        <v>39</v>
      </c>
      <c r="AE3139" s="2" t="s">
        <v>40</v>
      </c>
    </row>
    <row r="3140" spans="1:31" ht="409.5">
      <c r="A3140" s="2">
        <v>2702792</v>
      </c>
      <c r="B3140" s="2">
        <f>HYPERLINK("https://platform.v2.vetology.net/cases/2702792/screening-report/1?type=pdf&amp;v=v6&amp;scorecard=1&amp;secret_key=BX%25IJ%24%2F65ieZ%29f6", 2702792)</f>
        <v>2702792</v>
      </c>
      <c r="C3140" s="2">
        <f>HYPERLINK("https://platform.v2.vetology.net/report/v/final/"&amp;2702792, 2702792)</f>
        <v>2702792</v>
      </c>
      <c r="D3140" s="2" t="s">
        <v>9987</v>
      </c>
      <c r="E3140" s="2" t="s">
        <v>9988</v>
      </c>
      <c r="F3140" s="2" t="s">
        <v>43</v>
      </c>
      <c r="G3140" s="2" t="s">
        <v>44</v>
      </c>
      <c r="H3140" s="2" t="s">
        <v>69</v>
      </c>
      <c r="I3140" s="2" t="s">
        <v>46</v>
      </c>
      <c r="J3140" s="2"/>
      <c r="K3140" s="2" t="s">
        <v>39</v>
      </c>
      <c r="L3140" s="2" t="s">
        <v>39</v>
      </c>
      <c r="M3140" s="2" t="s">
        <v>39</v>
      </c>
      <c r="N3140" s="2" t="s">
        <v>39</v>
      </c>
      <c r="O3140" s="2" t="s">
        <v>39</v>
      </c>
      <c r="P3140" s="2" t="s">
        <v>39</v>
      </c>
      <c r="Q3140" s="2" t="s">
        <v>39</v>
      </c>
      <c r="R3140" s="2" t="s">
        <v>39</v>
      </c>
      <c r="S3140" s="2" t="s">
        <v>39</v>
      </c>
      <c r="T3140" s="2" t="s">
        <v>39</v>
      </c>
      <c r="U3140" s="2" t="s">
        <v>39</v>
      </c>
      <c r="V3140" s="2" t="s">
        <v>39</v>
      </c>
      <c r="W3140" s="2" t="s">
        <v>39</v>
      </c>
      <c r="X3140" s="2" t="s">
        <v>39</v>
      </c>
      <c r="Y3140" s="2" t="s">
        <v>39</v>
      </c>
      <c r="Z3140" s="2" t="s">
        <v>39</v>
      </c>
      <c r="AA3140" s="2" t="s">
        <v>39</v>
      </c>
      <c r="AB3140" s="2" t="s">
        <v>39</v>
      </c>
      <c r="AC3140" s="2" t="s">
        <v>38</v>
      </c>
      <c r="AD3140" s="2" t="s">
        <v>39</v>
      </c>
      <c r="AE3140" s="2" t="s">
        <v>39</v>
      </c>
    </row>
    <row r="3141" spans="1:31" ht="409.5">
      <c r="A3141" s="2">
        <v>2702788</v>
      </c>
      <c r="B3141" s="2">
        <f>HYPERLINK("https://platform.v2.vetology.net/cases/2702788/screening-report/1?type=pdf&amp;v=v6&amp;scorecard=1&amp;secret_key=BX%25IJ%24%2F65ieZ%29f6", 2702788)</f>
        <v>2702788</v>
      </c>
      <c r="C3141" s="2">
        <f>HYPERLINK("https://platform.v2.vetology.net/report/v/final/"&amp;2702788, 2702788)</f>
        <v>2702788</v>
      </c>
      <c r="D3141" s="2" t="s">
        <v>9989</v>
      </c>
      <c r="E3141" s="2" t="s">
        <v>9990</v>
      </c>
      <c r="F3141" s="2" t="s">
        <v>9991</v>
      </c>
      <c r="G3141" s="2" t="s">
        <v>34</v>
      </c>
      <c r="H3141" s="2" t="s">
        <v>9992</v>
      </c>
      <c r="I3141" s="2" t="s">
        <v>129</v>
      </c>
      <c r="J3141" s="2" t="s">
        <v>74</v>
      </c>
      <c r="K3141" s="2" t="s">
        <v>38</v>
      </c>
      <c r="L3141" s="2" t="s">
        <v>38</v>
      </c>
      <c r="M3141" s="2" t="s">
        <v>38</v>
      </c>
      <c r="N3141" s="2" t="s">
        <v>38</v>
      </c>
      <c r="O3141" s="2" t="s">
        <v>38</v>
      </c>
      <c r="P3141" s="2" t="s">
        <v>38</v>
      </c>
      <c r="Q3141" s="2" t="s">
        <v>38</v>
      </c>
      <c r="R3141" s="2" t="s">
        <v>38</v>
      </c>
      <c r="S3141" s="2" t="s">
        <v>39</v>
      </c>
      <c r="T3141" s="2" t="s">
        <v>38</v>
      </c>
      <c r="U3141" s="2" t="s">
        <v>39</v>
      </c>
      <c r="V3141" s="2" t="s">
        <v>39</v>
      </c>
      <c r="W3141" s="2" t="s">
        <v>38</v>
      </c>
      <c r="X3141" s="2" t="s">
        <v>38</v>
      </c>
      <c r="Y3141" s="2" t="s">
        <v>39</v>
      </c>
      <c r="Z3141" s="2" t="s">
        <v>38</v>
      </c>
      <c r="AA3141" s="2" t="s">
        <v>38</v>
      </c>
      <c r="AB3141" s="2" t="s">
        <v>38</v>
      </c>
      <c r="AC3141" s="2" t="s">
        <v>38</v>
      </c>
      <c r="AD3141" s="2" t="s">
        <v>38</v>
      </c>
      <c r="AE3141" s="2" t="s">
        <v>40</v>
      </c>
    </row>
    <row r="3142" spans="1:31" ht="409.5">
      <c r="A3142" s="2">
        <v>2702781</v>
      </c>
      <c r="B3142" s="2">
        <f>HYPERLINK("https://platform.v2.vetology.net/cases/2702781/screening-report/1?type=pdf&amp;v=v6&amp;scorecard=1&amp;secret_key=BX%25IJ%24%2F65ieZ%29f6", 2702781)</f>
        <v>2702781</v>
      </c>
      <c r="C3142" s="2">
        <f>HYPERLINK("https://platform.v2.vetology.net/report/v/final/"&amp;2702781, 2702781)</f>
        <v>2702781</v>
      </c>
      <c r="D3142" s="2" t="s">
        <v>9993</v>
      </c>
      <c r="E3142" s="2" t="s">
        <v>9994</v>
      </c>
      <c r="F3142" s="2" t="s">
        <v>9995</v>
      </c>
      <c r="G3142" s="2" t="s">
        <v>53</v>
      </c>
      <c r="H3142" s="2" t="s">
        <v>1685</v>
      </c>
      <c r="I3142" s="2" t="s">
        <v>59</v>
      </c>
      <c r="J3142" s="2" t="s">
        <v>37</v>
      </c>
      <c r="K3142" s="2" t="s">
        <v>38</v>
      </c>
      <c r="L3142" s="2" t="s">
        <v>39</v>
      </c>
      <c r="M3142" s="2" t="s">
        <v>39</v>
      </c>
      <c r="N3142" s="2" t="s">
        <v>39</v>
      </c>
      <c r="O3142" s="2" t="s">
        <v>39</v>
      </c>
      <c r="P3142" s="2" t="s">
        <v>39</v>
      </c>
      <c r="Q3142" s="2" t="s">
        <v>39</v>
      </c>
      <c r="R3142" s="2" t="s">
        <v>38</v>
      </c>
      <c r="S3142" s="2" t="s">
        <v>39</v>
      </c>
      <c r="T3142" s="2" t="s">
        <v>39</v>
      </c>
      <c r="U3142" s="2" t="s">
        <v>38</v>
      </c>
      <c r="V3142" s="2" t="s">
        <v>38</v>
      </c>
      <c r="W3142" s="2" t="s">
        <v>39</v>
      </c>
      <c r="X3142" s="2" t="s">
        <v>39</v>
      </c>
      <c r="Y3142" s="2" t="s">
        <v>39</v>
      </c>
      <c r="Z3142" s="2" t="s">
        <v>39</v>
      </c>
      <c r="AA3142" s="2" t="s">
        <v>39</v>
      </c>
      <c r="AB3142" s="2" t="s">
        <v>39</v>
      </c>
      <c r="AC3142" s="2" t="s">
        <v>39</v>
      </c>
      <c r="AD3142" s="2" t="s">
        <v>39</v>
      </c>
      <c r="AE3142" s="2" t="s">
        <v>39</v>
      </c>
    </row>
    <row r="3143" spans="1:31" ht="409.5">
      <c r="A3143" s="2">
        <v>2702779</v>
      </c>
      <c r="B3143" s="2">
        <f>HYPERLINK("https://platform.v2.vetology.net/cases/2702779/screening-report/1?type=pdf&amp;v=v6&amp;scorecard=1&amp;secret_key=BX%25IJ%24%2F65ieZ%29f6", 2702779)</f>
        <v>2702779</v>
      </c>
      <c r="C3143" s="2">
        <f>HYPERLINK("https://platform.v2.vetology.net/report/v/final/"&amp;2702779, 2702779)</f>
        <v>2702779</v>
      </c>
      <c r="D3143" s="2" t="s">
        <v>9996</v>
      </c>
      <c r="E3143" s="2" t="s">
        <v>9997</v>
      </c>
      <c r="F3143" s="2" t="s">
        <v>9998</v>
      </c>
      <c r="G3143" s="2" t="s">
        <v>170</v>
      </c>
      <c r="H3143" s="2" t="s">
        <v>69</v>
      </c>
      <c r="I3143" s="2" t="s">
        <v>46</v>
      </c>
      <c r="J3143" s="2"/>
      <c r="K3143" s="2" t="s">
        <v>39</v>
      </c>
      <c r="L3143" s="2" t="s">
        <v>39</v>
      </c>
      <c r="M3143" s="2" t="s">
        <v>39</v>
      </c>
      <c r="N3143" s="2" t="s">
        <v>39</v>
      </c>
      <c r="O3143" s="2" t="s">
        <v>39</v>
      </c>
      <c r="P3143" s="2" t="s">
        <v>39</v>
      </c>
      <c r="Q3143" s="2" t="s">
        <v>39</v>
      </c>
      <c r="R3143" s="2" t="s">
        <v>39</v>
      </c>
      <c r="S3143" s="2" t="s">
        <v>39</v>
      </c>
      <c r="T3143" s="2" t="s">
        <v>39</v>
      </c>
      <c r="U3143" s="2" t="s">
        <v>39</v>
      </c>
      <c r="V3143" s="2" t="s">
        <v>39</v>
      </c>
      <c r="W3143" s="2" t="s">
        <v>39</v>
      </c>
      <c r="X3143" s="2" t="s">
        <v>39</v>
      </c>
      <c r="Y3143" s="2" t="s">
        <v>39</v>
      </c>
      <c r="Z3143" s="2" t="s">
        <v>39</v>
      </c>
      <c r="AA3143" s="2" t="s">
        <v>39</v>
      </c>
      <c r="AB3143" s="2" t="s">
        <v>39</v>
      </c>
      <c r="AC3143" s="2" t="s">
        <v>39</v>
      </c>
      <c r="AD3143" s="2" t="s">
        <v>39</v>
      </c>
      <c r="AE3143" s="2" t="s">
        <v>39</v>
      </c>
    </row>
    <row r="3144" spans="1:31" ht="409.5">
      <c r="A3144" s="2">
        <v>2702775</v>
      </c>
      <c r="B3144" s="2">
        <f>HYPERLINK("https://platform.v2.vetology.net/cases/2702775/screening-report/1?type=pdf&amp;v=v6&amp;scorecard=1&amp;secret_key=BX%25IJ%24%2F65ieZ%29f6", 2702775)</f>
        <v>2702775</v>
      </c>
      <c r="C3144" s="2">
        <f>HYPERLINK("https://platform.v2.vetology.net/report/v/final/"&amp;2702775, 2702775)</f>
        <v>2702775</v>
      </c>
      <c r="D3144" s="2" t="s">
        <v>9999</v>
      </c>
      <c r="E3144" s="2" t="s">
        <v>10000</v>
      </c>
      <c r="F3144" s="2" t="s">
        <v>10001</v>
      </c>
      <c r="G3144" s="2" t="s">
        <v>127</v>
      </c>
      <c r="H3144" s="2" t="s">
        <v>10002</v>
      </c>
      <c r="I3144" s="2" t="s">
        <v>36</v>
      </c>
      <c r="J3144" s="2" t="s">
        <v>37</v>
      </c>
      <c r="K3144" s="2" t="s">
        <v>38</v>
      </c>
      <c r="L3144" s="2" t="s">
        <v>38</v>
      </c>
      <c r="M3144" s="2" t="s">
        <v>38</v>
      </c>
      <c r="N3144" s="2" t="s">
        <v>38</v>
      </c>
      <c r="O3144" s="2" t="s">
        <v>38</v>
      </c>
      <c r="P3144" s="2" t="s">
        <v>39</v>
      </c>
      <c r="Q3144" s="2" t="s">
        <v>39</v>
      </c>
      <c r="R3144" s="2" t="s">
        <v>38</v>
      </c>
      <c r="S3144" s="2" t="s">
        <v>38</v>
      </c>
      <c r="T3144" s="2" t="s">
        <v>38</v>
      </c>
      <c r="U3144" s="2" t="s">
        <v>38</v>
      </c>
      <c r="V3144" s="2" t="s">
        <v>38</v>
      </c>
      <c r="W3144" s="2" t="s">
        <v>38</v>
      </c>
      <c r="X3144" s="2" t="s">
        <v>39</v>
      </c>
      <c r="Y3144" s="2" t="s">
        <v>39</v>
      </c>
      <c r="Z3144" s="2" t="s">
        <v>38</v>
      </c>
      <c r="AA3144" s="2" t="s">
        <v>38</v>
      </c>
      <c r="AB3144" s="2" t="s">
        <v>39</v>
      </c>
      <c r="AC3144" s="2" t="s">
        <v>38</v>
      </c>
      <c r="AD3144" s="2" t="s">
        <v>38</v>
      </c>
      <c r="AE3144" s="2" t="s">
        <v>39</v>
      </c>
    </row>
    <row r="3145" spans="1:31" ht="409.5">
      <c r="A3145" s="2">
        <v>2702754</v>
      </c>
      <c r="B3145" s="2">
        <f>HYPERLINK("https://platform.v2.vetology.net/cases/2702754/screening-report/1?type=pdf&amp;v=v6&amp;scorecard=1&amp;secret_key=BX%25IJ%24%2F65ieZ%29f6", 2702754)</f>
        <v>2702754</v>
      </c>
      <c r="C3145" s="2">
        <f>HYPERLINK("https://platform.v2.vetology.net/report/v/final/"&amp;2702754, 2702754)</f>
        <v>2702754</v>
      </c>
      <c r="D3145" s="2" t="s">
        <v>10003</v>
      </c>
      <c r="E3145" s="2" t="s">
        <v>10004</v>
      </c>
      <c r="F3145" s="2" t="s">
        <v>10005</v>
      </c>
      <c r="G3145" s="2" t="s">
        <v>34</v>
      </c>
      <c r="H3145" s="2" t="s">
        <v>10006</v>
      </c>
      <c r="I3145" s="2" t="s">
        <v>36</v>
      </c>
      <c r="J3145" s="2" t="s">
        <v>37</v>
      </c>
      <c r="K3145" s="2" t="s">
        <v>39</v>
      </c>
      <c r="L3145" s="2" t="s">
        <v>38</v>
      </c>
      <c r="M3145" s="2" t="s">
        <v>39</v>
      </c>
      <c r="N3145" s="2" t="s">
        <v>38</v>
      </c>
      <c r="O3145" s="2" t="s">
        <v>38</v>
      </c>
      <c r="P3145" s="2" t="s">
        <v>39</v>
      </c>
      <c r="Q3145" s="2" t="s">
        <v>39</v>
      </c>
      <c r="R3145" s="2" t="s">
        <v>38</v>
      </c>
      <c r="S3145" s="2" t="s">
        <v>38</v>
      </c>
      <c r="T3145" s="2" t="s">
        <v>38</v>
      </c>
      <c r="U3145" s="2" t="s">
        <v>39</v>
      </c>
      <c r="V3145" s="2" t="s">
        <v>39</v>
      </c>
      <c r="W3145" s="2" t="s">
        <v>38</v>
      </c>
      <c r="X3145" s="2" t="s">
        <v>39</v>
      </c>
      <c r="Y3145" s="2" t="s">
        <v>39</v>
      </c>
      <c r="Z3145" s="2" t="s">
        <v>38</v>
      </c>
      <c r="AA3145" s="2" t="s">
        <v>39</v>
      </c>
      <c r="AB3145" s="2" t="s">
        <v>39</v>
      </c>
      <c r="AC3145" s="2" t="s">
        <v>38</v>
      </c>
      <c r="AD3145" s="2" t="s">
        <v>38</v>
      </c>
      <c r="AE3145" s="2" t="s">
        <v>39</v>
      </c>
    </row>
    <row r="3146" spans="1:31" ht="409.5">
      <c r="A3146" s="2">
        <v>2702746</v>
      </c>
      <c r="B3146" s="2">
        <f>HYPERLINK("https://platform.v2.vetology.net/cases/2702746/screening-report/1?type=pdf&amp;v=v6&amp;scorecard=1&amp;secret_key=BX%25IJ%24%2F65ieZ%29f6", 2702746)</f>
        <v>2702746</v>
      </c>
      <c r="C3146" s="2">
        <f>HYPERLINK("https://platform.v2.vetology.net/report/v/final/"&amp;2702746, 2702746)</f>
        <v>2702746</v>
      </c>
      <c r="D3146" s="2" t="s">
        <v>10007</v>
      </c>
      <c r="E3146" s="2" t="s">
        <v>10008</v>
      </c>
      <c r="F3146" s="2" t="s">
        <v>10009</v>
      </c>
      <c r="G3146" s="2" t="s">
        <v>170</v>
      </c>
      <c r="H3146" s="2" t="s">
        <v>10010</v>
      </c>
      <c r="I3146" s="2" t="s">
        <v>36</v>
      </c>
      <c r="J3146" s="2" t="s">
        <v>37</v>
      </c>
      <c r="K3146" s="2" t="s">
        <v>39</v>
      </c>
      <c r="L3146" s="2" t="s">
        <v>38</v>
      </c>
      <c r="M3146" s="2" t="s">
        <v>39</v>
      </c>
      <c r="N3146" s="2" t="s">
        <v>38</v>
      </c>
      <c r="O3146" s="2" t="s">
        <v>38</v>
      </c>
      <c r="P3146" s="2" t="s">
        <v>38</v>
      </c>
      <c r="Q3146" s="2" t="s">
        <v>39</v>
      </c>
      <c r="R3146" s="2" t="s">
        <v>39</v>
      </c>
      <c r="S3146" s="2" t="s">
        <v>38</v>
      </c>
      <c r="T3146" s="2" t="s">
        <v>38</v>
      </c>
      <c r="U3146" s="2" t="s">
        <v>39</v>
      </c>
      <c r="V3146" s="2" t="s">
        <v>38</v>
      </c>
      <c r="W3146" s="2" t="s">
        <v>38</v>
      </c>
      <c r="X3146" s="2" t="s">
        <v>39</v>
      </c>
      <c r="Y3146" s="2" t="s">
        <v>39</v>
      </c>
      <c r="Z3146" s="2" t="s">
        <v>39</v>
      </c>
      <c r="AA3146" s="2" t="s">
        <v>39</v>
      </c>
      <c r="AB3146" s="2" t="s">
        <v>39</v>
      </c>
      <c r="AC3146" s="2" t="s">
        <v>38</v>
      </c>
      <c r="AD3146" s="2" t="s">
        <v>38</v>
      </c>
      <c r="AE3146" s="2"/>
    </row>
    <row r="3147" spans="1:31" ht="409.5">
      <c r="A3147" s="2">
        <v>2702743</v>
      </c>
      <c r="B3147" s="2">
        <f>HYPERLINK("https://platform.v2.vetology.net/cases/2702743/screening-report/1?type=pdf&amp;v=v6&amp;scorecard=1&amp;secret_key=BX%25IJ%24%2F65ieZ%29f6", 2702743)</f>
        <v>2702743</v>
      </c>
      <c r="C3147" s="2">
        <f>HYPERLINK("https://platform.v2.vetology.net/report/v/final/"&amp;2702743, 2702743)</f>
        <v>2702743</v>
      </c>
      <c r="D3147" s="2" t="s">
        <v>10011</v>
      </c>
      <c r="E3147" s="2" t="s">
        <v>10012</v>
      </c>
      <c r="F3147" s="2" t="s">
        <v>43</v>
      </c>
      <c r="G3147" s="2" t="s">
        <v>44</v>
      </c>
      <c r="H3147" s="2" t="s">
        <v>10013</v>
      </c>
      <c r="I3147" s="2" t="s">
        <v>73</v>
      </c>
      <c r="J3147" s="2" t="s">
        <v>74</v>
      </c>
      <c r="K3147" s="2" t="s">
        <v>38</v>
      </c>
      <c r="L3147" s="2" t="s">
        <v>38</v>
      </c>
      <c r="M3147" s="2" t="s">
        <v>38</v>
      </c>
      <c r="N3147" s="2" t="s">
        <v>38</v>
      </c>
      <c r="O3147" s="2" t="s">
        <v>38</v>
      </c>
      <c r="P3147" s="2" t="s">
        <v>38</v>
      </c>
      <c r="Q3147" s="2" t="s">
        <v>38</v>
      </c>
      <c r="R3147" s="2" t="s">
        <v>39</v>
      </c>
      <c r="S3147" s="2" t="s">
        <v>38</v>
      </c>
      <c r="T3147" s="2" t="s">
        <v>39</v>
      </c>
      <c r="U3147" s="2" t="s">
        <v>38</v>
      </c>
      <c r="V3147" s="2" t="s">
        <v>38</v>
      </c>
      <c r="W3147" s="2" t="s">
        <v>39</v>
      </c>
      <c r="X3147" s="2" t="s">
        <v>38</v>
      </c>
      <c r="Y3147" s="2" t="s">
        <v>39</v>
      </c>
      <c r="Z3147" s="2" t="s">
        <v>39</v>
      </c>
      <c r="AA3147" s="2" t="s">
        <v>38</v>
      </c>
      <c r="AB3147" s="2" t="s">
        <v>38</v>
      </c>
      <c r="AC3147" s="2" t="s">
        <v>38</v>
      </c>
      <c r="AD3147" s="2" t="s">
        <v>38</v>
      </c>
      <c r="AE3147" s="2" t="s">
        <v>40</v>
      </c>
    </row>
    <row r="3148" spans="1:31" ht="409.5">
      <c r="A3148" s="2">
        <v>2702730</v>
      </c>
      <c r="B3148" s="2">
        <f>HYPERLINK("https://platform.v2.vetology.net/cases/2702730/screening-report/1?type=pdf&amp;v=v6&amp;scorecard=1&amp;secret_key=BX%25IJ%24%2F65ieZ%29f6", 2702730)</f>
        <v>2702730</v>
      </c>
      <c r="C3148" s="2">
        <f>HYPERLINK("https://platform.v2.vetology.net/report/v/final/"&amp;2702730, 2702730)</f>
        <v>2702730</v>
      </c>
      <c r="D3148" s="2" t="s">
        <v>10014</v>
      </c>
      <c r="E3148" s="2" t="s">
        <v>10015</v>
      </c>
      <c r="F3148" s="2" t="s">
        <v>10016</v>
      </c>
      <c r="G3148" s="2" t="s">
        <v>53</v>
      </c>
      <c r="H3148" s="2" t="s">
        <v>201</v>
      </c>
      <c r="I3148" s="2" t="s">
        <v>36</v>
      </c>
      <c r="J3148" s="2" t="s">
        <v>37</v>
      </c>
      <c r="K3148" s="2" t="s">
        <v>39</v>
      </c>
      <c r="L3148" s="2" t="s">
        <v>39</v>
      </c>
      <c r="M3148" s="2" t="s">
        <v>38</v>
      </c>
      <c r="N3148" s="2" t="s">
        <v>38</v>
      </c>
      <c r="O3148" s="2" t="s">
        <v>38</v>
      </c>
      <c r="P3148" s="2" t="s">
        <v>39</v>
      </c>
      <c r="Q3148" s="2" t="s">
        <v>39</v>
      </c>
      <c r="R3148" s="2" t="s">
        <v>39</v>
      </c>
      <c r="S3148" s="2" t="s">
        <v>39</v>
      </c>
      <c r="T3148" s="2" t="s">
        <v>39</v>
      </c>
      <c r="U3148" s="2" t="s">
        <v>39</v>
      </c>
      <c r="V3148" s="2" t="s">
        <v>39</v>
      </c>
      <c r="W3148" s="2" t="s">
        <v>38</v>
      </c>
      <c r="X3148" s="2" t="s">
        <v>39</v>
      </c>
      <c r="Y3148" s="2" t="s">
        <v>39</v>
      </c>
      <c r="Z3148" s="2" t="s">
        <v>38</v>
      </c>
      <c r="AA3148" s="2" t="s">
        <v>39</v>
      </c>
      <c r="AB3148" s="2" t="s">
        <v>39</v>
      </c>
      <c r="AC3148" s="2" t="s">
        <v>38</v>
      </c>
      <c r="AD3148" s="2" t="s">
        <v>38</v>
      </c>
      <c r="AE3148" s="2" t="s">
        <v>39</v>
      </c>
    </row>
    <row r="3149" spans="1:31" ht="409.5">
      <c r="A3149" s="2">
        <v>2702712</v>
      </c>
      <c r="B3149" s="2">
        <f>HYPERLINK("https://platform.v2.vetology.net/cases/2702712/screening-report/1?type=pdf&amp;v=v6&amp;scorecard=1&amp;secret_key=BX%25IJ%24%2F65ieZ%29f6", 2702712)</f>
        <v>2702712</v>
      </c>
      <c r="C3149" s="2">
        <f>HYPERLINK("https://platform.v2.vetology.net/report/v/final/"&amp;2702712, 2702712)</f>
        <v>2702712</v>
      </c>
      <c r="D3149" s="2" t="s">
        <v>10017</v>
      </c>
      <c r="E3149" s="2" t="s">
        <v>10018</v>
      </c>
      <c r="F3149" s="2" t="s">
        <v>10019</v>
      </c>
      <c r="G3149" s="2" t="s">
        <v>127</v>
      </c>
      <c r="H3149" s="2" t="s">
        <v>398</v>
      </c>
      <c r="I3149" s="2" t="s">
        <v>46</v>
      </c>
      <c r="J3149" s="2"/>
      <c r="K3149" s="2" t="s">
        <v>38</v>
      </c>
      <c r="L3149" s="2" t="s">
        <v>39</v>
      </c>
      <c r="M3149" s="2" t="s">
        <v>39</v>
      </c>
      <c r="N3149" s="2" t="s">
        <v>39</v>
      </c>
      <c r="O3149" s="2" t="s">
        <v>39</v>
      </c>
      <c r="P3149" s="2" t="s">
        <v>39</v>
      </c>
      <c r="Q3149" s="2" t="s">
        <v>39</v>
      </c>
      <c r="R3149" s="2" t="s">
        <v>39</v>
      </c>
      <c r="S3149" s="2" t="s">
        <v>39</v>
      </c>
      <c r="T3149" s="2" t="s">
        <v>39</v>
      </c>
      <c r="U3149" s="2" t="s">
        <v>39</v>
      </c>
      <c r="V3149" s="2" t="s">
        <v>39</v>
      </c>
      <c r="W3149" s="2" t="s">
        <v>39</v>
      </c>
      <c r="X3149" s="2" t="s">
        <v>39</v>
      </c>
      <c r="Y3149" s="2" t="s">
        <v>39</v>
      </c>
      <c r="Z3149" s="2" t="s">
        <v>39</v>
      </c>
      <c r="AA3149" s="2" t="s">
        <v>39</v>
      </c>
      <c r="AB3149" s="2" t="s">
        <v>39</v>
      </c>
      <c r="AC3149" s="2" t="s">
        <v>38</v>
      </c>
      <c r="AD3149" s="2" t="s">
        <v>38</v>
      </c>
      <c r="AE3149" s="2" t="s">
        <v>40</v>
      </c>
    </row>
    <row r="3150" spans="1:31" ht="409.5">
      <c r="A3150" s="2">
        <v>2702703</v>
      </c>
      <c r="B3150" s="2">
        <f>HYPERLINK("https://platform.v2.vetology.net/cases/2702703/screening-report/1?type=pdf&amp;v=v6&amp;scorecard=1&amp;secret_key=BX%25IJ%24%2F65ieZ%29f6", 2702703)</f>
        <v>2702703</v>
      </c>
      <c r="C3150" s="2">
        <f>HYPERLINK("https://platform.v2.vetology.net/report/v/final/"&amp;2702703, 2702703)</f>
        <v>2702703</v>
      </c>
      <c r="D3150" s="2" t="s">
        <v>10020</v>
      </c>
      <c r="E3150" s="2" t="s">
        <v>10021</v>
      </c>
      <c r="F3150" s="2" t="s">
        <v>10022</v>
      </c>
      <c r="G3150" s="2" t="s">
        <v>44</v>
      </c>
      <c r="H3150" s="2" t="s">
        <v>171</v>
      </c>
      <c r="I3150" s="2" t="s">
        <v>36</v>
      </c>
      <c r="J3150" s="2" t="s">
        <v>37</v>
      </c>
      <c r="K3150" s="2" t="s">
        <v>39</v>
      </c>
      <c r="L3150" s="2" t="s">
        <v>38</v>
      </c>
      <c r="M3150" s="2" t="s">
        <v>38</v>
      </c>
      <c r="N3150" s="2" t="s">
        <v>38</v>
      </c>
      <c r="O3150" s="2" t="s">
        <v>38</v>
      </c>
      <c r="P3150" s="2" t="s">
        <v>39</v>
      </c>
      <c r="Q3150" s="2" t="s">
        <v>39</v>
      </c>
      <c r="R3150" s="2" t="s">
        <v>38</v>
      </c>
      <c r="S3150" s="2" t="s">
        <v>38</v>
      </c>
      <c r="T3150" s="2" t="s">
        <v>39</v>
      </c>
      <c r="U3150" s="2" t="s">
        <v>39</v>
      </c>
      <c r="V3150" s="2" t="s">
        <v>39</v>
      </c>
      <c r="W3150" s="2" t="s">
        <v>38</v>
      </c>
      <c r="X3150" s="2" t="s">
        <v>39</v>
      </c>
      <c r="Y3150" s="2" t="s">
        <v>39</v>
      </c>
      <c r="Z3150" s="2" t="s">
        <v>38</v>
      </c>
      <c r="AA3150" s="2" t="s">
        <v>39</v>
      </c>
      <c r="AB3150" s="2" t="s">
        <v>39</v>
      </c>
      <c r="AC3150" s="2" t="s">
        <v>38</v>
      </c>
      <c r="AD3150" s="2" t="s">
        <v>38</v>
      </c>
      <c r="AE3150" s="2" t="s">
        <v>39</v>
      </c>
    </row>
    <row r="3151" spans="1:31" ht="409.5">
      <c r="A3151" s="2">
        <v>2702693</v>
      </c>
      <c r="B3151" s="2">
        <f>HYPERLINK("https://platform.v2.vetology.net/cases/2702693/screening-report/1?type=pdf&amp;v=v6&amp;scorecard=1&amp;secret_key=BX%25IJ%24%2F65ieZ%29f6", 2702693)</f>
        <v>2702693</v>
      </c>
      <c r="C3151" s="2">
        <f>HYPERLINK("https://platform.v2.vetology.net/report/v/final/"&amp;2702693, 2702693)</f>
        <v>2702693</v>
      </c>
      <c r="D3151" s="2" t="s">
        <v>10023</v>
      </c>
      <c r="E3151" s="2" t="s">
        <v>10024</v>
      </c>
      <c r="F3151" s="2" t="s">
        <v>10025</v>
      </c>
      <c r="G3151" s="2" t="s">
        <v>170</v>
      </c>
      <c r="H3151" s="2" t="s">
        <v>69</v>
      </c>
      <c r="I3151" s="2" t="s">
        <v>46</v>
      </c>
      <c r="J3151" s="2"/>
      <c r="K3151" s="2" t="s">
        <v>39</v>
      </c>
      <c r="L3151" s="2" t="s">
        <v>39</v>
      </c>
      <c r="M3151" s="2" t="s">
        <v>39</v>
      </c>
      <c r="N3151" s="2" t="s">
        <v>39</v>
      </c>
      <c r="O3151" s="2" t="s">
        <v>39</v>
      </c>
      <c r="P3151" s="2" t="s">
        <v>39</v>
      </c>
      <c r="Q3151" s="2" t="s">
        <v>39</v>
      </c>
      <c r="R3151" s="2" t="s">
        <v>39</v>
      </c>
      <c r="S3151" s="2" t="s">
        <v>39</v>
      </c>
      <c r="T3151" s="2" t="s">
        <v>39</v>
      </c>
      <c r="U3151" s="2" t="s">
        <v>39</v>
      </c>
      <c r="V3151" s="2" t="s">
        <v>39</v>
      </c>
      <c r="W3151" s="2" t="s">
        <v>39</v>
      </c>
      <c r="X3151" s="2" t="s">
        <v>39</v>
      </c>
      <c r="Y3151" s="2" t="s">
        <v>39</v>
      </c>
      <c r="Z3151" s="2" t="s">
        <v>39</v>
      </c>
      <c r="AA3151" s="2" t="s">
        <v>39</v>
      </c>
      <c r="AB3151" s="2" t="s">
        <v>39</v>
      </c>
      <c r="AC3151" s="2" t="s">
        <v>39</v>
      </c>
      <c r="AD3151" s="2" t="s">
        <v>39</v>
      </c>
      <c r="AE3151" s="2" t="s">
        <v>39</v>
      </c>
    </row>
    <row r="3152" spans="1:31" ht="409.5">
      <c r="A3152" s="2">
        <v>2702690</v>
      </c>
      <c r="B3152" s="2">
        <f>HYPERLINK("https://platform.v2.vetology.net/cases/2702690/screening-report/1?type=pdf&amp;v=v6&amp;scorecard=1&amp;secret_key=BX%25IJ%24%2F65ieZ%29f6", 2702690)</f>
        <v>2702690</v>
      </c>
      <c r="C3152" s="2">
        <f>HYPERLINK("https://platform.v2.vetology.net/report/v/final/"&amp;2702690, 2702690)</f>
        <v>2702690</v>
      </c>
      <c r="D3152" s="2" t="s">
        <v>10026</v>
      </c>
      <c r="E3152" s="2" t="s">
        <v>10027</v>
      </c>
      <c r="F3152" s="2" t="s">
        <v>10028</v>
      </c>
      <c r="G3152" s="2" t="s">
        <v>127</v>
      </c>
      <c r="H3152" s="2" t="s">
        <v>6860</v>
      </c>
      <c r="I3152" s="2" t="s">
        <v>36</v>
      </c>
      <c r="J3152" s="2" t="s">
        <v>37</v>
      </c>
      <c r="K3152" s="2" t="s">
        <v>39</v>
      </c>
      <c r="L3152" s="2" t="s">
        <v>38</v>
      </c>
      <c r="M3152" s="2" t="s">
        <v>38</v>
      </c>
      <c r="N3152" s="2" t="s">
        <v>38</v>
      </c>
      <c r="O3152" s="2" t="s">
        <v>39</v>
      </c>
      <c r="P3152" s="2" t="s">
        <v>39</v>
      </c>
      <c r="Q3152" s="2" t="s">
        <v>39</v>
      </c>
      <c r="R3152" s="2" t="s">
        <v>39</v>
      </c>
      <c r="S3152" s="2" t="s">
        <v>38</v>
      </c>
      <c r="T3152" s="2" t="s">
        <v>39</v>
      </c>
      <c r="U3152" s="2" t="s">
        <v>39</v>
      </c>
      <c r="V3152" s="2" t="s">
        <v>39</v>
      </c>
      <c r="W3152" s="2" t="s">
        <v>38</v>
      </c>
      <c r="X3152" s="2" t="s">
        <v>39</v>
      </c>
      <c r="Y3152" s="2" t="s">
        <v>39</v>
      </c>
      <c r="Z3152" s="2" t="s">
        <v>38</v>
      </c>
      <c r="AA3152" s="2" t="s">
        <v>39</v>
      </c>
      <c r="AB3152" s="2" t="s">
        <v>39</v>
      </c>
      <c r="AC3152" s="2" t="s">
        <v>38</v>
      </c>
      <c r="AD3152" s="2" t="s">
        <v>38</v>
      </c>
      <c r="AE3152" s="2" t="s">
        <v>40</v>
      </c>
    </row>
    <row r="3153" spans="1:31" ht="409.5">
      <c r="A3153" s="2">
        <v>2702670</v>
      </c>
      <c r="B3153" s="2">
        <f>HYPERLINK("https://platform.v2.vetology.net/cases/2702670/screening-report/1?type=pdf&amp;v=v6&amp;scorecard=1&amp;secret_key=BX%25IJ%24%2F65ieZ%29f6", 2702670)</f>
        <v>2702670</v>
      </c>
      <c r="C3153" s="2">
        <f>HYPERLINK("https://platform.v2.vetology.net/report/v/final/"&amp;2702670, 2702670)</f>
        <v>2702670</v>
      </c>
      <c r="D3153" s="2" t="s">
        <v>10029</v>
      </c>
      <c r="E3153" s="2" t="s">
        <v>10030</v>
      </c>
      <c r="F3153" s="2" t="s">
        <v>10031</v>
      </c>
      <c r="G3153" s="2" t="s">
        <v>53</v>
      </c>
      <c r="H3153" s="2" t="s">
        <v>2534</v>
      </c>
      <c r="I3153" s="2" t="s">
        <v>684</v>
      </c>
      <c r="J3153" s="2" t="s">
        <v>74</v>
      </c>
      <c r="K3153" s="2" t="s">
        <v>39</v>
      </c>
      <c r="L3153" s="2" t="s">
        <v>39</v>
      </c>
      <c r="M3153" s="2" t="s">
        <v>39</v>
      </c>
      <c r="N3153" s="2" t="s">
        <v>39</v>
      </c>
      <c r="O3153" s="2" t="s">
        <v>39</v>
      </c>
      <c r="P3153" s="2" t="s">
        <v>39</v>
      </c>
      <c r="Q3153" s="2" t="s">
        <v>38</v>
      </c>
      <c r="R3153" s="2" t="s">
        <v>39</v>
      </c>
      <c r="S3153" s="2" t="s">
        <v>39</v>
      </c>
      <c r="T3153" s="2" t="s">
        <v>39</v>
      </c>
      <c r="U3153" s="2" t="s">
        <v>39</v>
      </c>
      <c r="V3153" s="2" t="s">
        <v>39</v>
      </c>
      <c r="W3153" s="2" t="s">
        <v>39</v>
      </c>
      <c r="X3153" s="2" t="s">
        <v>39</v>
      </c>
      <c r="Y3153" s="2" t="s">
        <v>39</v>
      </c>
      <c r="Z3153" s="2" t="s">
        <v>38</v>
      </c>
      <c r="AA3153" s="2" t="s">
        <v>39</v>
      </c>
      <c r="AB3153" s="2" t="s">
        <v>39</v>
      </c>
      <c r="AC3153" s="2" t="s">
        <v>39</v>
      </c>
      <c r="AD3153" s="2" t="s">
        <v>39</v>
      </c>
      <c r="AE3153" s="2"/>
    </row>
    <row r="3154" spans="1:31" ht="409.5">
      <c r="A3154" s="2">
        <v>2702629</v>
      </c>
      <c r="B3154" s="2">
        <f>HYPERLINK("https://platform.v2.vetology.net/cases/2702629/screening-report/1?type=pdf&amp;v=v6&amp;scorecard=1&amp;secret_key=BX%25IJ%24%2F65ieZ%29f6", 2702629)</f>
        <v>2702629</v>
      </c>
      <c r="C3154" s="2">
        <f>HYPERLINK("https://platform.v2.vetology.net/report/v/final/"&amp;2702629, 2702629)</f>
        <v>2702629</v>
      </c>
      <c r="D3154" s="2" t="s">
        <v>10032</v>
      </c>
      <c r="E3154" s="2" t="s">
        <v>10033</v>
      </c>
      <c r="F3154" s="2" t="s">
        <v>10034</v>
      </c>
      <c r="G3154" s="2" t="s">
        <v>53</v>
      </c>
      <c r="H3154" s="2" t="s">
        <v>10035</v>
      </c>
      <c r="I3154" s="2" t="s">
        <v>73</v>
      </c>
      <c r="J3154" s="2" t="s">
        <v>74</v>
      </c>
      <c r="K3154" s="2" t="s">
        <v>38</v>
      </c>
      <c r="L3154" s="2" t="s">
        <v>38</v>
      </c>
      <c r="M3154" s="2" t="s">
        <v>38</v>
      </c>
      <c r="N3154" s="2" t="s">
        <v>38</v>
      </c>
      <c r="O3154" s="2" t="s">
        <v>38</v>
      </c>
      <c r="P3154" s="2" t="s">
        <v>38</v>
      </c>
      <c r="Q3154" s="2" t="s">
        <v>38</v>
      </c>
      <c r="R3154" s="2" t="s">
        <v>39</v>
      </c>
      <c r="S3154" s="2" t="s">
        <v>38</v>
      </c>
      <c r="T3154" s="2" t="s">
        <v>38</v>
      </c>
      <c r="U3154" s="2" t="s">
        <v>38</v>
      </c>
      <c r="V3154" s="2" t="s">
        <v>38</v>
      </c>
      <c r="W3154" s="2" t="s">
        <v>38</v>
      </c>
      <c r="X3154" s="2" t="s">
        <v>38</v>
      </c>
      <c r="Y3154" s="2" t="s">
        <v>39</v>
      </c>
      <c r="Z3154" s="2" t="s">
        <v>38</v>
      </c>
      <c r="AA3154" s="2" t="s">
        <v>38</v>
      </c>
      <c r="AB3154" s="2" t="s">
        <v>38</v>
      </c>
      <c r="AC3154" s="2" t="s">
        <v>38</v>
      </c>
      <c r="AD3154" s="2" t="s">
        <v>38</v>
      </c>
      <c r="AE3154" s="2" t="s">
        <v>39</v>
      </c>
    </row>
    <row r="3155" spans="1:31" ht="409.5">
      <c r="A3155" s="2">
        <v>2702597</v>
      </c>
      <c r="B3155" s="2">
        <f>HYPERLINK("https://platform.v2.vetology.net/cases/2702597/screening-report/1?type=pdf&amp;v=v6&amp;scorecard=1&amp;secret_key=BX%25IJ%24%2F65ieZ%29f6", 2702597)</f>
        <v>2702597</v>
      </c>
      <c r="C3155" s="2">
        <f>HYPERLINK("https://platform.v2.vetology.net/report/v/final/"&amp;2702597, 2702597)</f>
        <v>2702597</v>
      </c>
      <c r="D3155" s="2" t="s">
        <v>10036</v>
      </c>
      <c r="E3155" s="2" t="s">
        <v>10037</v>
      </c>
      <c r="F3155" s="2" t="s">
        <v>10038</v>
      </c>
      <c r="G3155" s="2" t="s">
        <v>53</v>
      </c>
      <c r="H3155" s="2" t="s">
        <v>158</v>
      </c>
      <c r="I3155" s="2" t="s">
        <v>59</v>
      </c>
      <c r="J3155" s="2" t="s">
        <v>37</v>
      </c>
      <c r="K3155" s="2" t="s">
        <v>38</v>
      </c>
      <c r="L3155" s="2" t="s">
        <v>39</v>
      </c>
      <c r="M3155" s="2" t="s">
        <v>39</v>
      </c>
      <c r="N3155" s="2" t="s">
        <v>39</v>
      </c>
      <c r="O3155" s="2" t="s">
        <v>39</v>
      </c>
      <c r="P3155" s="2" t="s">
        <v>39</v>
      </c>
      <c r="Q3155" s="2" t="s">
        <v>39</v>
      </c>
      <c r="R3155" s="2" t="s">
        <v>39</v>
      </c>
      <c r="S3155" s="2" t="s">
        <v>39</v>
      </c>
      <c r="T3155" s="2" t="s">
        <v>39</v>
      </c>
      <c r="U3155" s="2" t="s">
        <v>39</v>
      </c>
      <c r="V3155" s="2" t="s">
        <v>38</v>
      </c>
      <c r="W3155" s="2" t="s">
        <v>39</v>
      </c>
      <c r="X3155" s="2" t="s">
        <v>39</v>
      </c>
      <c r="Y3155" s="2" t="s">
        <v>39</v>
      </c>
      <c r="Z3155" s="2" t="s">
        <v>38</v>
      </c>
      <c r="AA3155" s="2" t="s">
        <v>39</v>
      </c>
      <c r="AB3155" s="2" t="s">
        <v>39</v>
      </c>
      <c r="AC3155" s="2" t="s">
        <v>39</v>
      </c>
      <c r="AD3155" s="2" t="s">
        <v>39</v>
      </c>
      <c r="AE3155" s="2" t="s">
        <v>39</v>
      </c>
    </row>
    <row r="3156" spans="1:31" ht="409.5">
      <c r="A3156" s="2">
        <v>2702590</v>
      </c>
      <c r="B3156" s="2">
        <f>HYPERLINK("https://platform.v2.vetology.net/cases/2702590/screening-report/1?type=pdf&amp;v=v6&amp;scorecard=1&amp;secret_key=BX%25IJ%24%2F65ieZ%29f6", 2702590)</f>
        <v>2702590</v>
      </c>
      <c r="C3156" s="2">
        <f>HYPERLINK("https://platform.v2.vetology.net/report/v/final/"&amp;2702590, 2702590)</f>
        <v>2702590</v>
      </c>
      <c r="D3156" s="2" t="s">
        <v>10039</v>
      </c>
      <c r="E3156" s="2" t="s">
        <v>10040</v>
      </c>
      <c r="F3156" s="2" t="s">
        <v>10041</v>
      </c>
      <c r="G3156" s="2" t="s">
        <v>170</v>
      </c>
      <c r="H3156" s="2" t="s">
        <v>10042</v>
      </c>
      <c r="I3156" s="2" t="s">
        <v>36</v>
      </c>
      <c r="J3156" s="2" t="s">
        <v>37</v>
      </c>
      <c r="K3156" s="2" t="s">
        <v>38</v>
      </c>
      <c r="L3156" s="2" t="s">
        <v>39</v>
      </c>
      <c r="M3156" s="2" t="s">
        <v>38</v>
      </c>
      <c r="N3156" s="2" t="s">
        <v>38</v>
      </c>
      <c r="O3156" s="2" t="s">
        <v>38</v>
      </c>
      <c r="P3156" s="2" t="s">
        <v>39</v>
      </c>
      <c r="Q3156" s="2" t="s">
        <v>39</v>
      </c>
      <c r="R3156" s="2" t="s">
        <v>38</v>
      </c>
      <c r="S3156" s="2" t="s">
        <v>38</v>
      </c>
      <c r="T3156" s="2" t="s">
        <v>38</v>
      </c>
      <c r="U3156" s="2" t="s">
        <v>38</v>
      </c>
      <c r="V3156" s="2" t="s">
        <v>38</v>
      </c>
      <c r="W3156" s="2" t="s">
        <v>39</v>
      </c>
      <c r="X3156" s="2" t="s">
        <v>39</v>
      </c>
      <c r="Y3156" s="2" t="s">
        <v>39</v>
      </c>
      <c r="Z3156" s="2" t="s">
        <v>38</v>
      </c>
      <c r="AA3156" s="2" t="s">
        <v>39</v>
      </c>
      <c r="AB3156" s="2" t="s">
        <v>39</v>
      </c>
      <c r="AC3156" s="2" t="s">
        <v>38</v>
      </c>
      <c r="AD3156" s="2" t="s">
        <v>38</v>
      </c>
      <c r="AE3156" s="2" t="s">
        <v>40</v>
      </c>
    </row>
    <row r="3157" spans="1:31" ht="409.5">
      <c r="A3157" s="2">
        <v>2702588</v>
      </c>
      <c r="B3157" s="2">
        <f>HYPERLINK("https://platform.v2.vetology.net/cases/2702588/screening-report/1?type=pdf&amp;v=v6&amp;scorecard=1&amp;secret_key=BX%25IJ%24%2F65ieZ%29f6", 2702588)</f>
        <v>2702588</v>
      </c>
      <c r="C3157" s="2">
        <f>HYPERLINK("https://platform.v2.vetology.net/report/v/final/"&amp;2702588, 2702588)</f>
        <v>2702588</v>
      </c>
      <c r="D3157" s="2" t="s">
        <v>10043</v>
      </c>
      <c r="E3157" s="2" t="s">
        <v>10044</v>
      </c>
      <c r="F3157" s="2" t="s">
        <v>10045</v>
      </c>
      <c r="G3157" s="2" t="s">
        <v>53</v>
      </c>
      <c r="H3157" s="2" t="s">
        <v>6828</v>
      </c>
      <c r="I3157" s="2" t="s">
        <v>36</v>
      </c>
      <c r="J3157" s="2" t="s">
        <v>37</v>
      </c>
      <c r="K3157" s="2" t="s">
        <v>38</v>
      </c>
      <c r="L3157" s="2" t="s">
        <v>39</v>
      </c>
      <c r="M3157" s="2" t="s">
        <v>38</v>
      </c>
      <c r="N3157" s="2" t="s">
        <v>39</v>
      </c>
      <c r="O3157" s="2" t="s">
        <v>39</v>
      </c>
      <c r="P3157" s="2" t="s">
        <v>39</v>
      </c>
      <c r="Q3157" s="2" t="s">
        <v>39</v>
      </c>
      <c r="R3157" s="2" t="s">
        <v>38</v>
      </c>
      <c r="S3157" s="2" t="s">
        <v>39</v>
      </c>
      <c r="T3157" s="2" t="s">
        <v>39</v>
      </c>
      <c r="U3157" s="2" t="s">
        <v>38</v>
      </c>
      <c r="V3157" s="2" t="s">
        <v>38</v>
      </c>
      <c r="W3157" s="2" t="s">
        <v>39</v>
      </c>
      <c r="X3157" s="2" t="s">
        <v>39</v>
      </c>
      <c r="Y3157" s="2" t="s">
        <v>39</v>
      </c>
      <c r="Z3157" s="2" t="s">
        <v>39</v>
      </c>
      <c r="AA3157" s="2" t="s">
        <v>39</v>
      </c>
      <c r="AB3157" s="2" t="s">
        <v>39</v>
      </c>
      <c r="AC3157" s="2" t="s">
        <v>38</v>
      </c>
      <c r="AD3157" s="2" t="s">
        <v>38</v>
      </c>
      <c r="AE3157" s="2" t="s">
        <v>39</v>
      </c>
    </row>
    <row r="3158" spans="1:31" ht="409.5">
      <c r="A3158" s="2">
        <v>2702587</v>
      </c>
      <c r="B3158" s="2">
        <f>HYPERLINK("https://platform.v2.vetology.net/cases/2702587/screening-report/1?type=pdf&amp;v=v6&amp;scorecard=1&amp;secret_key=BX%25IJ%24%2F65ieZ%29f6", 2702587)</f>
        <v>2702587</v>
      </c>
      <c r="C3158" s="2">
        <f>HYPERLINK("https://platform.v2.vetology.net/report/v/final/"&amp;2702587, 2702587)</f>
        <v>2702587</v>
      </c>
      <c r="D3158" s="2" t="s">
        <v>10046</v>
      </c>
      <c r="E3158" s="2" t="s">
        <v>10047</v>
      </c>
      <c r="F3158" s="2" t="s">
        <v>10048</v>
      </c>
      <c r="G3158" s="2" t="s">
        <v>127</v>
      </c>
      <c r="H3158" s="2" t="s">
        <v>10049</v>
      </c>
      <c r="I3158" s="2" t="s">
        <v>73</v>
      </c>
      <c r="J3158" s="2" t="s">
        <v>74</v>
      </c>
      <c r="K3158" s="2" t="s">
        <v>38</v>
      </c>
      <c r="L3158" s="2" t="s">
        <v>39</v>
      </c>
      <c r="M3158" s="2" t="s">
        <v>38</v>
      </c>
      <c r="N3158" s="2" t="s">
        <v>39</v>
      </c>
      <c r="O3158" s="2" t="s">
        <v>38</v>
      </c>
      <c r="P3158" s="2" t="s">
        <v>38</v>
      </c>
      <c r="Q3158" s="2" t="s">
        <v>38</v>
      </c>
      <c r="R3158" s="2" t="s">
        <v>38</v>
      </c>
      <c r="S3158" s="2" t="s">
        <v>38</v>
      </c>
      <c r="T3158" s="2" t="s">
        <v>39</v>
      </c>
      <c r="U3158" s="2" t="s">
        <v>38</v>
      </c>
      <c r="V3158" s="2" t="s">
        <v>38</v>
      </c>
      <c r="W3158" s="2" t="s">
        <v>38</v>
      </c>
      <c r="X3158" s="2" t="s">
        <v>38</v>
      </c>
      <c r="Y3158" s="2" t="s">
        <v>39</v>
      </c>
      <c r="Z3158" s="2" t="s">
        <v>39</v>
      </c>
      <c r="AA3158" s="2" t="s">
        <v>39</v>
      </c>
      <c r="AB3158" s="2" t="s">
        <v>38</v>
      </c>
      <c r="AC3158" s="2" t="s">
        <v>38</v>
      </c>
      <c r="AD3158" s="2" t="s">
        <v>38</v>
      </c>
      <c r="AE3158" s="2" t="s">
        <v>40</v>
      </c>
    </row>
    <row r="3159" spans="1:31" ht="409.5">
      <c r="A3159" s="2">
        <v>2702476</v>
      </c>
      <c r="B3159" s="2">
        <f>HYPERLINK("https://platform.v2.vetology.net/cases/2702476/screening-report/1?type=pdf&amp;v=v6&amp;scorecard=1&amp;secret_key=BX%25IJ%24%2F65ieZ%29f6", 2702476)</f>
        <v>2702476</v>
      </c>
      <c r="C3159" s="2">
        <f>HYPERLINK("https://platform.v2.vetology.net/report/v/final/"&amp;2702476, 2702476)</f>
        <v>2702476</v>
      </c>
      <c r="D3159" s="2" t="s">
        <v>10050</v>
      </c>
      <c r="E3159" s="2" t="s">
        <v>10051</v>
      </c>
      <c r="F3159" s="2" t="s">
        <v>10052</v>
      </c>
      <c r="G3159" s="2" t="s">
        <v>53</v>
      </c>
      <c r="H3159" s="2" t="s">
        <v>10053</v>
      </c>
      <c r="I3159" s="2" t="s">
        <v>36</v>
      </c>
      <c r="J3159" s="2" t="s">
        <v>37</v>
      </c>
      <c r="K3159" s="2" t="s">
        <v>39</v>
      </c>
      <c r="L3159" s="2" t="s">
        <v>38</v>
      </c>
      <c r="M3159" s="2" t="s">
        <v>39</v>
      </c>
      <c r="N3159" s="2" t="s">
        <v>38</v>
      </c>
      <c r="O3159" s="2" t="s">
        <v>39</v>
      </c>
      <c r="P3159" s="2" t="s">
        <v>39</v>
      </c>
      <c r="Q3159" s="2" t="s">
        <v>39</v>
      </c>
      <c r="R3159" s="2" t="s">
        <v>38</v>
      </c>
      <c r="S3159" s="2" t="s">
        <v>39</v>
      </c>
      <c r="T3159" s="2" t="s">
        <v>39</v>
      </c>
      <c r="U3159" s="2" t="s">
        <v>39</v>
      </c>
      <c r="V3159" s="2" t="s">
        <v>39</v>
      </c>
      <c r="W3159" s="2" t="s">
        <v>38</v>
      </c>
      <c r="X3159" s="2" t="s">
        <v>38</v>
      </c>
      <c r="Y3159" s="2" t="s">
        <v>39</v>
      </c>
      <c r="Z3159" s="2" t="s">
        <v>38</v>
      </c>
      <c r="AA3159" s="2" t="s">
        <v>38</v>
      </c>
      <c r="AB3159" s="2" t="s">
        <v>39</v>
      </c>
      <c r="AC3159" s="2" t="s">
        <v>38</v>
      </c>
      <c r="AD3159" s="2" t="s">
        <v>38</v>
      </c>
      <c r="AE3159" s="2"/>
    </row>
    <row r="3160" spans="1:31" ht="409.5">
      <c r="A3160" s="2">
        <v>2702475</v>
      </c>
      <c r="B3160" s="2">
        <f>HYPERLINK("https://platform.v2.vetology.net/cases/2702475/screening-report/1?type=pdf&amp;v=v6&amp;scorecard=1&amp;secret_key=BX%25IJ%24%2F65ieZ%29f6", 2702475)</f>
        <v>2702475</v>
      </c>
      <c r="C3160" s="2">
        <f>HYPERLINK("https://platform.v2.vetology.net/report/v/final/"&amp;2702475, 2702475)</f>
        <v>2702475</v>
      </c>
      <c r="D3160" s="2" t="s">
        <v>10054</v>
      </c>
      <c r="E3160" s="2" t="s">
        <v>10055</v>
      </c>
      <c r="F3160" s="2" t="s">
        <v>43</v>
      </c>
      <c r="G3160" s="2" t="s">
        <v>44</v>
      </c>
      <c r="H3160" s="2" t="s">
        <v>398</v>
      </c>
      <c r="I3160" s="2" t="s">
        <v>46</v>
      </c>
      <c r="J3160" s="2"/>
      <c r="K3160" s="2" t="s">
        <v>38</v>
      </c>
      <c r="L3160" s="2" t="s">
        <v>39</v>
      </c>
      <c r="M3160" s="2" t="s">
        <v>39</v>
      </c>
      <c r="N3160" s="2" t="s">
        <v>39</v>
      </c>
      <c r="O3160" s="2" t="s">
        <v>39</v>
      </c>
      <c r="P3160" s="2" t="s">
        <v>39</v>
      </c>
      <c r="Q3160" s="2" t="s">
        <v>39</v>
      </c>
      <c r="R3160" s="2" t="s">
        <v>39</v>
      </c>
      <c r="S3160" s="2" t="s">
        <v>39</v>
      </c>
      <c r="T3160" s="2" t="s">
        <v>39</v>
      </c>
      <c r="U3160" s="2" t="s">
        <v>39</v>
      </c>
      <c r="V3160" s="2" t="s">
        <v>38</v>
      </c>
      <c r="W3160" s="2" t="s">
        <v>39</v>
      </c>
      <c r="X3160" s="2" t="s">
        <v>39</v>
      </c>
      <c r="Y3160" s="2" t="s">
        <v>39</v>
      </c>
      <c r="Z3160" s="2" t="s">
        <v>39</v>
      </c>
      <c r="AA3160" s="2" t="s">
        <v>39</v>
      </c>
      <c r="AB3160" s="2" t="s">
        <v>39</v>
      </c>
      <c r="AC3160" s="2" t="s">
        <v>39</v>
      </c>
      <c r="AD3160" s="2" t="s">
        <v>39</v>
      </c>
      <c r="AE3160" s="2" t="s">
        <v>39</v>
      </c>
    </row>
    <row r="3161" spans="1:31" ht="409.5">
      <c r="A3161" s="2">
        <v>2702464</v>
      </c>
      <c r="B3161" s="2">
        <f>HYPERLINK("https://platform.v2.vetology.net/cases/2702464/screening-report/1?type=pdf&amp;v=v6&amp;scorecard=1&amp;secret_key=BX%25IJ%24%2F65ieZ%29f6", 2702464)</f>
        <v>2702464</v>
      </c>
      <c r="C3161" s="2">
        <f>HYPERLINK("https://platform.v2.vetology.net/report/v/final/"&amp;2702464, 2702464)</f>
        <v>2702464</v>
      </c>
      <c r="D3161" s="2" t="s">
        <v>10056</v>
      </c>
      <c r="E3161" s="2" t="s">
        <v>10057</v>
      </c>
      <c r="F3161" s="2" t="s">
        <v>43</v>
      </c>
      <c r="G3161" s="2" t="s">
        <v>44</v>
      </c>
      <c r="H3161" s="2" t="s">
        <v>10058</v>
      </c>
      <c r="I3161" s="2" t="s">
        <v>257</v>
      </c>
      <c r="J3161" s="2" t="s">
        <v>74</v>
      </c>
      <c r="K3161" s="2" t="s">
        <v>38</v>
      </c>
      <c r="L3161" s="2" t="s">
        <v>38</v>
      </c>
      <c r="M3161" s="2" t="s">
        <v>38</v>
      </c>
      <c r="N3161" s="2" t="s">
        <v>38</v>
      </c>
      <c r="O3161" s="2" t="s">
        <v>38</v>
      </c>
      <c r="P3161" s="2" t="s">
        <v>38</v>
      </c>
      <c r="Q3161" s="2" t="s">
        <v>38</v>
      </c>
      <c r="R3161" s="2" t="s">
        <v>38</v>
      </c>
      <c r="S3161" s="2" t="s">
        <v>38</v>
      </c>
      <c r="T3161" s="2" t="s">
        <v>38</v>
      </c>
      <c r="U3161" s="2" t="s">
        <v>38</v>
      </c>
      <c r="V3161" s="2" t="s">
        <v>38</v>
      </c>
      <c r="W3161" s="2" t="s">
        <v>38</v>
      </c>
      <c r="X3161" s="2" t="s">
        <v>38</v>
      </c>
      <c r="Y3161" s="2" t="s">
        <v>39</v>
      </c>
      <c r="Z3161" s="2" t="s">
        <v>38</v>
      </c>
      <c r="AA3161" s="2" t="s">
        <v>38</v>
      </c>
      <c r="AB3161" s="2" t="s">
        <v>38</v>
      </c>
      <c r="AC3161" s="2" t="s">
        <v>38</v>
      </c>
      <c r="AD3161" s="2" t="s">
        <v>38</v>
      </c>
      <c r="AE3161" s="2" t="s">
        <v>40</v>
      </c>
    </row>
    <row r="3162" spans="1:31" ht="409.5">
      <c r="A3162" s="2">
        <v>2702459</v>
      </c>
      <c r="B3162" s="2">
        <f>HYPERLINK("https://platform.v2.vetology.net/cases/2702459/screening-report/1?type=pdf&amp;v=v6&amp;scorecard=1&amp;secret_key=BX%25IJ%24%2F65ieZ%29f6", 2702459)</f>
        <v>2702459</v>
      </c>
      <c r="C3162" s="2">
        <f>HYPERLINK("https://platform.v2.vetology.net/report/v/final/"&amp;2702459, 2702459)</f>
        <v>2702459</v>
      </c>
      <c r="D3162" s="2" t="s">
        <v>10059</v>
      </c>
      <c r="E3162" s="2" t="s">
        <v>10060</v>
      </c>
      <c r="F3162" s="2" t="s">
        <v>10061</v>
      </c>
      <c r="G3162" s="2" t="s">
        <v>170</v>
      </c>
      <c r="H3162" s="2" t="s">
        <v>158</v>
      </c>
      <c r="I3162" s="2" t="s">
        <v>59</v>
      </c>
      <c r="J3162" s="2" t="s">
        <v>37</v>
      </c>
      <c r="K3162" s="2" t="s">
        <v>38</v>
      </c>
      <c r="L3162" s="2" t="s">
        <v>39</v>
      </c>
      <c r="M3162" s="2" t="s">
        <v>39</v>
      </c>
      <c r="N3162" s="2" t="s">
        <v>39</v>
      </c>
      <c r="O3162" s="2" t="s">
        <v>39</v>
      </c>
      <c r="P3162" s="2" t="s">
        <v>39</v>
      </c>
      <c r="Q3162" s="2" t="s">
        <v>39</v>
      </c>
      <c r="R3162" s="2" t="s">
        <v>39</v>
      </c>
      <c r="S3162" s="2" t="s">
        <v>39</v>
      </c>
      <c r="T3162" s="2" t="s">
        <v>39</v>
      </c>
      <c r="U3162" s="2" t="s">
        <v>39</v>
      </c>
      <c r="V3162" s="2" t="s">
        <v>38</v>
      </c>
      <c r="W3162" s="2" t="s">
        <v>39</v>
      </c>
      <c r="X3162" s="2" t="s">
        <v>39</v>
      </c>
      <c r="Y3162" s="2" t="s">
        <v>39</v>
      </c>
      <c r="Z3162" s="2" t="s">
        <v>39</v>
      </c>
      <c r="AA3162" s="2" t="s">
        <v>39</v>
      </c>
      <c r="AB3162" s="2" t="s">
        <v>39</v>
      </c>
      <c r="AC3162" s="2" t="s">
        <v>39</v>
      </c>
      <c r="AD3162" s="2" t="s">
        <v>39</v>
      </c>
      <c r="AE3162" s="2" t="s">
        <v>39</v>
      </c>
    </row>
    <row r="3163" spans="1:31" ht="409.5">
      <c r="A3163" s="2">
        <v>2702446</v>
      </c>
      <c r="B3163" s="2">
        <f>HYPERLINK("https://platform.v2.vetology.net/cases/2702446/screening-report/1?type=pdf&amp;v=v6&amp;scorecard=1&amp;secret_key=BX%25IJ%24%2F65ieZ%29f6", 2702446)</f>
        <v>2702446</v>
      </c>
      <c r="C3163" s="2">
        <f>HYPERLINK("https://platform.v2.vetology.net/report/v/final/"&amp;2702446, 2702446)</f>
        <v>2702446</v>
      </c>
      <c r="D3163" s="2" t="s">
        <v>10062</v>
      </c>
      <c r="E3163" s="2" t="s">
        <v>10063</v>
      </c>
      <c r="F3163" s="2" t="s">
        <v>10064</v>
      </c>
      <c r="G3163" s="2" t="s">
        <v>53</v>
      </c>
      <c r="H3163" s="2" t="s">
        <v>4261</v>
      </c>
      <c r="I3163" s="2" t="s">
        <v>36</v>
      </c>
      <c r="J3163" s="2" t="s">
        <v>37</v>
      </c>
      <c r="K3163" s="2" t="s">
        <v>38</v>
      </c>
      <c r="L3163" s="2" t="s">
        <v>39</v>
      </c>
      <c r="M3163" s="2" t="s">
        <v>38</v>
      </c>
      <c r="N3163" s="2" t="s">
        <v>39</v>
      </c>
      <c r="O3163" s="2" t="s">
        <v>39</v>
      </c>
      <c r="P3163" s="2" t="s">
        <v>39</v>
      </c>
      <c r="Q3163" s="2" t="s">
        <v>39</v>
      </c>
      <c r="R3163" s="2" t="s">
        <v>38</v>
      </c>
      <c r="S3163" s="2" t="s">
        <v>39</v>
      </c>
      <c r="T3163" s="2" t="s">
        <v>39</v>
      </c>
      <c r="U3163" s="2" t="s">
        <v>39</v>
      </c>
      <c r="V3163" s="2" t="s">
        <v>38</v>
      </c>
      <c r="W3163" s="2" t="s">
        <v>39</v>
      </c>
      <c r="X3163" s="2" t="s">
        <v>39</v>
      </c>
      <c r="Y3163" s="2" t="s">
        <v>39</v>
      </c>
      <c r="Z3163" s="2" t="s">
        <v>38</v>
      </c>
      <c r="AA3163" s="2" t="s">
        <v>39</v>
      </c>
      <c r="AB3163" s="2" t="s">
        <v>39</v>
      </c>
      <c r="AC3163" s="2" t="s">
        <v>38</v>
      </c>
      <c r="AD3163" s="2" t="s">
        <v>38</v>
      </c>
      <c r="AE3163" s="2" t="s">
        <v>40</v>
      </c>
    </row>
    <row r="3164" spans="1:31" ht="409.5">
      <c r="A3164" s="2">
        <v>2702439</v>
      </c>
      <c r="B3164" s="2">
        <f>HYPERLINK("https://platform.v2.vetology.net/cases/2702439/screening-report/1?type=pdf&amp;v=v6&amp;scorecard=1&amp;secret_key=BX%25IJ%24%2F65ieZ%29f6", 2702439)</f>
        <v>2702439</v>
      </c>
      <c r="C3164" s="2">
        <f>HYPERLINK("https://platform.v2.vetology.net/report/v/final/"&amp;2702439, 2702439)</f>
        <v>2702439</v>
      </c>
      <c r="D3164" s="2" t="s">
        <v>10065</v>
      </c>
      <c r="E3164" s="2" t="s">
        <v>10066</v>
      </c>
      <c r="F3164" s="2" t="s">
        <v>43</v>
      </c>
      <c r="G3164" s="2" t="s">
        <v>44</v>
      </c>
      <c r="H3164" s="2" t="s">
        <v>69</v>
      </c>
      <c r="I3164" s="2" t="s">
        <v>46</v>
      </c>
      <c r="J3164" s="2"/>
      <c r="K3164" s="2" t="s">
        <v>39</v>
      </c>
      <c r="L3164" s="2" t="s">
        <v>39</v>
      </c>
      <c r="M3164" s="2" t="s">
        <v>39</v>
      </c>
      <c r="N3164" s="2" t="s">
        <v>39</v>
      </c>
      <c r="O3164" s="2" t="s">
        <v>39</v>
      </c>
      <c r="P3164" s="2" t="s">
        <v>39</v>
      </c>
      <c r="Q3164" s="2" t="s">
        <v>39</v>
      </c>
      <c r="R3164" s="2" t="s">
        <v>39</v>
      </c>
      <c r="S3164" s="2" t="s">
        <v>39</v>
      </c>
      <c r="T3164" s="2" t="s">
        <v>39</v>
      </c>
      <c r="U3164" s="2" t="s">
        <v>39</v>
      </c>
      <c r="V3164" s="2" t="s">
        <v>39</v>
      </c>
      <c r="W3164" s="2" t="s">
        <v>39</v>
      </c>
      <c r="X3164" s="2" t="s">
        <v>39</v>
      </c>
      <c r="Y3164" s="2" t="s">
        <v>39</v>
      </c>
      <c r="Z3164" s="2" t="s">
        <v>39</v>
      </c>
      <c r="AA3164" s="2" t="s">
        <v>39</v>
      </c>
      <c r="AB3164" s="2" t="s">
        <v>39</v>
      </c>
      <c r="AC3164" s="2" t="s">
        <v>39</v>
      </c>
      <c r="AD3164" s="2" t="s">
        <v>39</v>
      </c>
      <c r="AE3164" s="2" t="s">
        <v>39</v>
      </c>
    </row>
    <row r="3165" spans="1:31" ht="409.5">
      <c r="A3165" s="2">
        <v>2702436</v>
      </c>
      <c r="B3165" s="2">
        <f>HYPERLINK("https://platform.v2.vetology.net/cases/2702436/screening-report/1?type=pdf&amp;v=v6&amp;scorecard=1&amp;secret_key=BX%25IJ%24%2F65ieZ%29f6", 2702436)</f>
        <v>2702436</v>
      </c>
      <c r="C3165" s="2">
        <f>HYPERLINK("https://platform.v2.vetology.net/report/v/final/"&amp;2702436, 2702436)</f>
        <v>2702436</v>
      </c>
      <c r="D3165" s="2" t="s">
        <v>10067</v>
      </c>
      <c r="E3165" s="2" t="s">
        <v>10068</v>
      </c>
      <c r="F3165" s="2" t="s">
        <v>43</v>
      </c>
      <c r="G3165" s="2" t="s">
        <v>100</v>
      </c>
      <c r="H3165" s="2" t="s">
        <v>3838</v>
      </c>
      <c r="I3165" s="2" t="s">
        <v>129</v>
      </c>
      <c r="J3165" s="2" t="s">
        <v>74</v>
      </c>
      <c r="K3165" s="2" t="s">
        <v>39</v>
      </c>
      <c r="L3165" s="2" t="s">
        <v>38</v>
      </c>
      <c r="M3165" s="2" t="s">
        <v>38</v>
      </c>
      <c r="N3165" s="2" t="s">
        <v>38</v>
      </c>
      <c r="O3165" s="2" t="s">
        <v>38</v>
      </c>
      <c r="P3165" s="2" t="s">
        <v>38</v>
      </c>
      <c r="Q3165" s="2" t="s">
        <v>38</v>
      </c>
      <c r="R3165" s="2" t="s">
        <v>38</v>
      </c>
      <c r="S3165" s="2" t="s">
        <v>38</v>
      </c>
      <c r="T3165" s="2" t="s">
        <v>38</v>
      </c>
      <c r="U3165" s="2" t="s">
        <v>39</v>
      </c>
      <c r="V3165" s="2" t="s">
        <v>39</v>
      </c>
      <c r="W3165" s="2" t="s">
        <v>38</v>
      </c>
      <c r="X3165" s="2" t="s">
        <v>38</v>
      </c>
      <c r="Y3165" s="2" t="s">
        <v>39</v>
      </c>
      <c r="Z3165" s="2" t="s">
        <v>38</v>
      </c>
      <c r="AA3165" s="2" t="s">
        <v>38</v>
      </c>
      <c r="AB3165" s="2" t="s">
        <v>38</v>
      </c>
      <c r="AC3165" s="2" t="s">
        <v>38</v>
      </c>
      <c r="AD3165" s="2" t="s">
        <v>38</v>
      </c>
      <c r="AE3165" s="2" t="s">
        <v>40</v>
      </c>
    </row>
    <row r="3166" spans="1:31" ht="409.5">
      <c r="A3166" s="2">
        <v>2702435</v>
      </c>
      <c r="B3166" s="2">
        <f>HYPERLINK("https://platform.v2.vetology.net/cases/2702435/screening-report/1?type=pdf&amp;v=v6&amp;scorecard=1&amp;secret_key=BX%25IJ%24%2F65ieZ%29f6", 2702435)</f>
        <v>2702435</v>
      </c>
      <c r="C3166" s="2">
        <f>HYPERLINK("https://platform.v2.vetology.net/report/v/final/"&amp;2702435, 2702435)</f>
        <v>2702435</v>
      </c>
      <c r="D3166" s="2" t="s">
        <v>10069</v>
      </c>
      <c r="E3166" s="2" t="s">
        <v>10070</v>
      </c>
      <c r="F3166" s="2" t="s">
        <v>10071</v>
      </c>
      <c r="G3166" s="2" t="s">
        <v>170</v>
      </c>
      <c r="H3166" s="2" t="s">
        <v>10072</v>
      </c>
      <c r="I3166" s="2" t="s">
        <v>73</v>
      </c>
      <c r="J3166" s="2" t="s">
        <v>74</v>
      </c>
      <c r="K3166" s="2" t="s">
        <v>38</v>
      </c>
      <c r="L3166" s="2" t="s">
        <v>38</v>
      </c>
      <c r="M3166" s="2" t="s">
        <v>38</v>
      </c>
      <c r="N3166" s="2" t="s">
        <v>38</v>
      </c>
      <c r="O3166" s="2" t="s">
        <v>38</v>
      </c>
      <c r="P3166" s="2" t="s">
        <v>38</v>
      </c>
      <c r="Q3166" s="2" t="s">
        <v>38</v>
      </c>
      <c r="R3166" s="2" t="s">
        <v>38</v>
      </c>
      <c r="S3166" s="2" t="s">
        <v>38</v>
      </c>
      <c r="T3166" s="2" t="s">
        <v>38</v>
      </c>
      <c r="U3166" s="2" t="s">
        <v>38</v>
      </c>
      <c r="V3166" s="2" t="s">
        <v>38</v>
      </c>
      <c r="W3166" s="2" t="s">
        <v>38</v>
      </c>
      <c r="X3166" s="2" t="s">
        <v>38</v>
      </c>
      <c r="Y3166" s="2" t="s">
        <v>38</v>
      </c>
      <c r="Z3166" s="2" t="s">
        <v>38</v>
      </c>
      <c r="AA3166" s="2" t="s">
        <v>38</v>
      </c>
      <c r="AB3166" s="2" t="s">
        <v>38</v>
      </c>
      <c r="AC3166" s="2" t="s">
        <v>38</v>
      </c>
      <c r="AD3166" s="2" t="s">
        <v>39</v>
      </c>
      <c r="AE3166" s="2" t="s">
        <v>40</v>
      </c>
    </row>
    <row r="3167" spans="1:31" ht="409.5">
      <c r="A3167" s="2">
        <v>2702414</v>
      </c>
      <c r="B3167" s="2">
        <f>HYPERLINK("https://platform.v2.vetology.net/cases/2702414/screening-report/1?type=pdf&amp;v=v6&amp;scorecard=1&amp;secret_key=BX%25IJ%24%2F65ieZ%29f6", 2702414)</f>
        <v>2702414</v>
      </c>
      <c r="C3167" s="2">
        <f>HYPERLINK("https://platform.v2.vetology.net/report/v/final/"&amp;2702414, 2702414)</f>
        <v>2702414</v>
      </c>
      <c r="D3167" s="2" t="s">
        <v>10073</v>
      </c>
      <c r="E3167" s="2" t="s">
        <v>10074</v>
      </c>
      <c r="F3167" s="2" t="s">
        <v>10075</v>
      </c>
      <c r="G3167" s="2" t="s">
        <v>53</v>
      </c>
      <c r="H3167" s="2" t="s">
        <v>10076</v>
      </c>
      <c r="I3167" s="2" t="s">
        <v>129</v>
      </c>
      <c r="J3167" s="2" t="s">
        <v>74</v>
      </c>
      <c r="K3167" s="2" t="s">
        <v>38</v>
      </c>
      <c r="L3167" s="2" t="s">
        <v>39</v>
      </c>
      <c r="M3167" s="2" t="s">
        <v>38</v>
      </c>
      <c r="N3167" s="2" t="s">
        <v>38</v>
      </c>
      <c r="O3167" s="2" t="s">
        <v>38</v>
      </c>
      <c r="P3167" s="2" t="s">
        <v>38</v>
      </c>
      <c r="Q3167" s="2" t="s">
        <v>38</v>
      </c>
      <c r="R3167" s="2" t="s">
        <v>39</v>
      </c>
      <c r="S3167" s="2" t="s">
        <v>39</v>
      </c>
      <c r="T3167" s="2" t="s">
        <v>38</v>
      </c>
      <c r="U3167" s="2" t="s">
        <v>39</v>
      </c>
      <c r="V3167" s="2" t="s">
        <v>38</v>
      </c>
      <c r="W3167" s="2" t="s">
        <v>38</v>
      </c>
      <c r="X3167" s="2" t="s">
        <v>38</v>
      </c>
      <c r="Y3167" s="2" t="s">
        <v>38</v>
      </c>
      <c r="Z3167" s="2" t="s">
        <v>38</v>
      </c>
      <c r="AA3167" s="2" t="s">
        <v>38</v>
      </c>
      <c r="AB3167" s="2" t="s">
        <v>38</v>
      </c>
      <c r="AC3167" s="2" t="s">
        <v>38</v>
      </c>
      <c r="AD3167" s="2" t="s">
        <v>39</v>
      </c>
      <c r="AE3167" s="2" t="s">
        <v>39</v>
      </c>
    </row>
    <row r="3168" spans="1:31" ht="409.5">
      <c r="A3168" s="2">
        <v>2702408</v>
      </c>
      <c r="B3168" s="2">
        <f>HYPERLINK("https://platform.v2.vetology.net/cases/2702408/screening-report/1?type=pdf&amp;v=v6&amp;scorecard=1&amp;secret_key=BX%25IJ%24%2F65ieZ%29f6", 2702408)</f>
        <v>2702408</v>
      </c>
      <c r="C3168" s="2">
        <f>HYPERLINK("https://platform.v2.vetology.net/report/v/final/"&amp;2702408, 2702408)</f>
        <v>2702408</v>
      </c>
      <c r="D3168" s="2" t="s">
        <v>10077</v>
      </c>
      <c r="E3168" s="2" t="s">
        <v>10078</v>
      </c>
      <c r="F3168" s="2" t="s">
        <v>43</v>
      </c>
      <c r="G3168" s="2" t="s">
        <v>507</v>
      </c>
      <c r="H3168" s="2" t="s">
        <v>10079</v>
      </c>
      <c r="I3168" s="2" t="s">
        <v>129</v>
      </c>
      <c r="J3168" s="2" t="s">
        <v>74</v>
      </c>
      <c r="K3168" s="2" t="s">
        <v>39</v>
      </c>
      <c r="L3168" s="2" t="s">
        <v>39</v>
      </c>
      <c r="M3168" s="2" t="s">
        <v>38</v>
      </c>
      <c r="N3168" s="2" t="s">
        <v>39</v>
      </c>
      <c r="O3168" s="2" t="s">
        <v>38</v>
      </c>
      <c r="P3168" s="2" t="s">
        <v>38</v>
      </c>
      <c r="Q3168" s="2" t="s">
        <v>38</v>
      </c>
      <c r="R3168" s="2" t="s">
        <v>38</v>
      </c>
      <c r="S3168" s="2" t="s">
        <v>39</v>
      </c>
      <c r="T3168" s="2" t="s">
        <v>38</v>
      </c>
      <c r="U3168" s="2" t="s">
        <v>39</v>
      </c>
      <c r="V3168" s="2" t="s">
        <v>38</v>
      </c>
      <c r="W3168" s="2" t="s">
        <v>38</v>
      </c>
      <c r="X3168" s="2" t="s">
        <v>39</v>
      </c>
      <c r="Y3168" s="2" t="s">
        <v>39</v>
      </c>
      <c r="Z3168" s="2" t="s">
        <v>38</v>
      </c>
      <c r="AA3168" s="2" t="s">
        <v>39</v>
      </c>
      <c r="AB3168" s="2" t="s">
        <v>38</v>
      </c>
      <c r="AC3168" s="2" t="s">
        <v>38</v>
      </c>
      <c r="AD3168" s="2" t="s">
        <v>39</v>
      </c>
      <c r="AE3168" s="2" t="s">
        <v>39</v>
      </c>
    </row>
    <row r="3169" spans="1:31" ht="409.5">
      <c r="A3169" s="2">
        <v>2702401</v>
      </c>
      <c r="B3169" s="2">
        <f>HYPERLINK("https://platform.v2.vetology.net/cases/2702401/screening-report/1?type=pdf&amp;v=v6&amp;scorecard=1&amp;secret_key=BX%25IJ%24%2F65ieZ%29f6", 2702401)</f>
        <v>2702401</v>
      </c>
      <c r="C3169" s="2">
        <f>HYPERLINK("https://platform.v2.vetology.net/report/v/final/"&amp;2702401, 2702401)</f>
        <v>2702401</v>
      </c>
      <c r="D3169" s="2" t="s">
        <v>10080</v>
      </c>
      <c r="E3169" s="2" t="s">
        <v>10081</v>
      </c>
      <c r="F3169" s="2" t="s">
        <v>10082</v>
      </c>
      <c r="G3169" s="2" t="s">
        <v>170</v>
      </c>
      <c r="H3169" s="2" t="s">
        <v>1446</v>
      </c>
      <c r="I3169" s="2" t="s">
        <v>36</v>
      </c>
      <c r="J3169" s="2" t="s">
        <v>37</v>
      </c>
      <c r="K3169" s="2" t="s">
        <v>39</v>
      </c>
      <c r="L3169" s="2" t="s">
        <v>39</v>
      </c>
      <c r="M3169" s="2" t="s">
        <v>38</v>
      </c>
      <c r="N3169" s="2" t="s">
        <v>39</v>
      </c>
      <c r="O3169" s="2" t="s">
        <v>39</v>
      </c>
      <c r="P3169" s="2" t="s">
        <v>39</v>
      </c>
      <c r="Q3169" s="2" t="s">
        <v>39</v>
      </c>
      <c r="R3169" s="2" t="s">
        <v>38</v>
      </c>
      <c r="S3169" s="2" t="s">
        <v>39</v>
      </c>
      <c r="T3169" s="2" t="s">
        <v>38</v>
      </c>
      <c r="U3169" s="2" t="s">
        <v>39</v>
      </c>
      <c r="V3169" s="2" t="s">
        <v>39</v>
      </c>
      <c r="W3169" s="2" t="s">
        <v>39</v>
      </c>
      <c r="X3169" s="2" t="s">
        <v>39</v>
      </c>
      <c r="Y3169" s="2" t="s">
        <v>39</v>
      </c>
      <c r="Z3169" s="2" t="s">
        <v>38</v>
      </c>
      <c r="AA3169" s="2" t="s">
        <v>39</v>
      </c>
      <c r="AB3169" s="2" t="s">
        <v>39</v>
      </c>
      <c r="AC3169" s="2" t="s">
        <v>38</v>
      </c>
      <c r="AD3169" s="2" t="s">
        <v>38</v>
      </c>
      <c r="AE3169" s="2" t="s">
        <v>39</v>
      </c>
    </row>
    <row r="3170" spans="1:31" ht="409.5">
      <c r="A3170" s="2">
        <v>2702350</v>
      </c>
      <c r="B3170" s="2">
        <f>HYPERLINK("https://platform.v2.vetology.net/cases/2702350/screening-report/1?type=pdf&amp;v=v6&amp;scorecard=1&amp;secret_key=BX%25IJ%24%2F65ieZ%29f6", 2702350)</f>
        <v>2702350</v>
      </c>
      <c r="C3170" s="2">
        <f>HYPERLINK("https://platform.v2.vetology.net/report/v/final/"&amp;2702350, 2702350)</f>
        <v>2702350</v>
      </c>
      <c r="D3170" s="2" t="s">
        <v>10083</v>
      </c>
      <c r="E3170" s="2" t="s">
        <v>10084</v>
      </c>
      <c r="F3170" s="2" t="s">
        <v>10085</v>
      </c>
      <c r="G3170" s="2" t="s">
        <v>34</v>
      </c>
      <c r="H3170" s="2" t="s">
        <v>10086</v>
      </c>
      <c r="I3170" s="2" t="s">
        <v>36</v>
      </c>
      <c r="J3170" s="2" t="s">
        <v>37</v>
      </c>
      <c r="K3170" s="2" t="s">
        <v>39</v>
      </c>
      <c r="L3170" s="2" t="s">
        <v>39</v>
      </c>
      <c r="M3170" s="2" t="s">
        <v>38</v>
      </c>
      <c r="N3170" s="2" t="s">
        <v>39</v>
      </c>
      <c r="O3170" s="2" t="s">
        <v>38</v>
      </c>
      <c r="P3170" s="2" t="s">
        <v>38</v>
      </c>
      <c r="Q3170" s="2" t="s">
        <v>39</v>
      </c>
      <c r="R3170" s="2" t="s">
        <v>38</v>
      </c>
      <c r="S3170" s="2" t="s">
        <v>38</v>
      </c>
      <c r="T3170" s="2" t="s">
        <v>38</v>
      </c>
      <c r="U3170" s="2" t="s">
        <v>39</v>
      </c>
      <c r="V3170" s="2" t="s">
        <v>39</v>
      </c>
      <c r="W3170" s="2" t="s">
        <v>38</v>
      </c>
      <c r="X3170" s="2" t="s">
        <v>39</v>
      </c>
      <c r="Y3170" s="2" t="s">
        <v>39</v>
      </c>
      <c r="Z3170" s="2" t="s">
        <v>38</v>
      </c>
      <c r="AA3170" s="2" t="s">
        <v>38</v>
      </c>
      <c r="AB3170" s="2" t="s">
        <v>38</v>
      </c>
      <c r="AC3170" s="2" t="s">
        <v>38</v>
      </c>
      <c r="AD3170" s="2" t="s">
        <v>38</v>
      </c>
      <c r="AE3170" s="2" t="s">
        <v>40</v>
      </c>
    </row>
    <row r="3171" spans="1:31" ht="409.5">
      <c r="A3171" s="2">
        <v>2702349</v>
      </c>
      <c r="B3171" s="2">
        <f>HYPERLINK("https://platform.v2.vetology.net/cases/2702349/screening-report/1?type=pdf&amp;v=v6&amp;scorecard=1&amp;secret_key=BX%25IJ%24%2F65ieZ%29f6", 2702349)</f>
        <v>2702349</v>
      </c>
      <c r="C3171" s="2">
        <f>HYPERLINK("https://platform.v2.vetology.net/report/v/final/"&amp;2702349, 2702349)</f>
        <v>2702349</v>
      </c>
      <c r="D3171" s="2" t="s">
        <v>10087</v>
      </c>
      <c r="E3171" s="2" t="s">
        <v>10088</v>
      </c>
      <c r="F3171" s="2" t="s">
        <v>10089</v>
      </c>
      <c r="G3171" s="2" t="s">
        <v>170</v>
      </c>
      <c r="H3171" s="2" t="s">
        <v>10090</v>
      </c>
      <c r="I3171" s="2" t="s">
        <v>129</v>
      </c>
      <c r="J3171" s="2" t="s">
        <v>74</v>
      </c>
      <c r="K3171" s="2" t="s">
        <v>39</v>
      </c>
      <c r="L3171" s="2" t="s">
        <v>38</v>
      </c>
      <c r="M3171" s="2" t="s">
        <v>38</v>
      </c>
      <c r="N3171" s="2" t="s">
        <v>38</v>
      </c>
      <c r="O3171" s="2" t="s">
        <v>38</v>
      </c>
      <c r="P3171" s="2" t="s">
        <v>38</v>
      </c>
      <c r="Q3171" s="2" t="s">
        <v>38</v>
      </c>
      <c r="R3171" s="2" t="s">
        <v>39</v>
      </c>
      <c r="S3171" s="2" t="s">
        <v>38</v>
      </c>
      <c r="T3171" s="2" t="s">
        <v>39</v>
      </c>
      <c r="U3171" s="2" t="s">
        <v>39</v>
      </c>
      <c r="V3171" s="2" t="s">
        <v>39</v>
      </c>
      <c r="W3171" s="2" t="s">
        <v>38</v>
      </c>
      <c r="X3171" s="2" t="s">
        <v>38</v>
      </c>
      <c r="Y3171" s="2" t="s">
        <v>39</v>
      </c>
      <c r="Z3171" s="2" t="s">
        <v>38</v>
      </c>
      <c r="AA3171" s="2" t="s">
        <v>38</v>
      </c>
      <c r="AB3171" s="2" t="s">
        <v>38</v>
      </c>
      <c r="AC3171" s="2" t="s">
        <v>38</v>
      </c>
      <c r="AD3171" s="2" t="s">
        <v>39</v>
      </c>
      <c r="AE3171" s="2" t="s">
        <v>40</v>
      </c>
    </row>
    <row r="3172" spans="1:31" ht="409.5">
      <c r="A3172" s="2">
        <v>2702286</v>
      </c>
      <c r="B3172" s="2">
        <f>HYPERLINK("https://platform.v2.vetology.net/cases/2702286/screening-report/1?type=pdf&amp;v=v6&amp;scorecard=1&amp;secret_key=BX%25IJ%24%2F65ieZ%29f6", 2702286)</f>
        <v>2702286</v>
      </c>
      <c r="C3172" s="2">
        <f>HYPERLINK("https://platform.v2.vetology.net/report/v/final/"&amp;2702286, 2702286)</f>
        <v>2702286</v>
      </c>
      <c r="D3172" s="2" t="s">
        <v>10091</v>
      </c>
      <c r="E3172" s="2" t="s">
        <v>10092</v>
      </c>
      <c r="F3172" s="2" t="s">
        <v>10093</v>
      </c>
      <c r="G3172" s="2" t="s">
        <v>170</v>
      </c>
      <c r="H3172" s="2" t="s">
        <v>394</v>
      </c>
      <c r="I3172" s="2" t="s">
        <v>59</v>
      </c>
      <c r="J3172" s="2" t="s">
        <v>37</v>
      </c>
      <c r="K3172" s="2" t="s">
        <v>38</v>
      </c>
      <c r="L3172" s="2" t="s">
        <v>39</v>
      </c>
      <c r="M3172" s="2" t="s">
        <v>39</v>
      </c>
      <c r="N3172" s="2" t="s">
        <v>39</v>
      </c>
      <c r="O3172" s="2" t="s">
        <v>39</v>
      </c>
      <c r="P3172" s="2" t="s">
        <v>39</v>
      </c>
      <c r="Q3172" s="2" t="s">
        <v>39</v>
      </c>
      <c r="R3172" s="2" t="s">
        <v>39</v>
      </c>
      <c r="S3172" s="2" t="s">
        <v>39</v>
      </c>
      <c r="T3172" s="2" t="s">
        <v>39</v>
      </c>
      <c r="U3172" s="2" t="s">
        <v>39</v>
      </c>
      <c r="V3172" s="2" t="s">
        <v>38</v>
      </c>
      <c r="W3172" s="2" t="s">
        <v>38</v>
      </c>
      <c r="X3172" s="2" t="s">
        <v>39</v>
      </c>
      <c r="Y3172" s="2" t="s">
        <v>39</v>
      </c>
      <c r="Z3172" s="2" t="s">
        <v>39</v>
      </c>
      <c r="AA3172" s="2" t="s">
        <v>38</v>
      </c>
      <c r="AB3172" s="2" t="s">
        <v>39</v>
      </c>
      <c r="AC3172" s="2" t="s">
        <v>38</v>
      </c>
      <c r="AD3172" s="2" t="s">
        <v>38</v>
      </c>
      <c r="AE3172" s="2" t="s">
        <v>39</v>
      </c>
    </row>
    <row r="3173" spans="1:31" ht="409.5">
      <c r="A3173" s="2">
        <v>2702261</v>
      </c>
      <c r="B3173" s="2">
        <f>HYPERLINK("https://platform.v2.vetology.net/cases/2702261/screening-report/1?type=pdf&amp;v=v6&amp;scorecard=1&amp;secret_key=BX%25IJ%24%2F65ieZ%29f6", 2702261)</f>
        <v>2702261</v>
      </c>
      <c r="C3173" s="2">
        <f>HYPERLINK("https://platform.v2.vetology.net/report/v/final/"&amp;2702261, 2702261)</f>
        <v>2702261</v>
      </c>
      <c r="D3173" s="2" t="s">
        <v>10094</v>
      </c>
      <c r="E3173" s="2" t="s">
        <v>10095</v>
      </c>
      <c r="F3173" s="2" t="s">
        <v>10096</v>
      </c>
      <c r="G3173" s="2" t="s">
        <v>507</v>
      </c>
      <c r="H3173" s="2" t="s">
        <v>10097</v>
      </c>
      <c r="I3173" s="2" t="s">
        <v>73</v>
      </c>
      <c r="J3173" s="2" t="s">
        <v>74</v>
      </c>
      <c r="K3173" s="2" t="s">
        <v>38</v>
      </c>
      <c r="L3173" s="2" t="s">
        <v>38</v>
      </c>
      <c r="M3173" s="2" t="s">
        <v>38</v>
      </c>
      <c r="N3173" s="2" t="s">
        <v>38</v>
      </c>
      <c r="O3173" s="2" t="s">
        <v>38</v>
      </c>
      <c r="P3173" s="2" t="s">
        <v>38</v>
      </c>
      <c r="Q3173" s="2" t="s">
        <v>38</v>
      </c>
      <c r="R3173" s="2" t="s">
        <v>38</v>
      </c>
      <c r="S3173" s="2" t="s">
        <v>38</v>
      </c>
      <c r="T3173" s="2" t="s">
        <v>38</v>
      </c>
      <c r="U3173" s="2" t="s">
        <v>39</v>
      </c>
      <c r="V3173" s="2" t="s">
        <v>38</v>
      </c>
      <c r="W3173" s="2" t="s">
        <v>38</v>
      </c>
      <c r="X3173" s="2" t="s">
        <v>38</v>
      </c>
      <c r="Y3173" s="2" t="s">
        <v>38</v>
      </c>
      <c r="Z3173" s="2" t="s">
        <v>38</v>
      </c>
      <c r="AA3173" s="2" t="s">
        <v>38</v>
      </c>
      <c r="AB3173" s="2" t="s">
        <v>38</v>
      </c>
      <c r="AC3173" s="2" t="s">
        <v>38</v>
      </c>
      <c r="AD3173" s="2" t="s">
        <v>38</v>
      </c>
      <c r="AE3173" s="2" t="s">
        <v>40</v>
      </c>
    </row>
    <row r="3174" spans="1:31" ht="409.5">
      <c r="A3174" s="2">
        <v>2702228</v>
      </c>
      <c r="B3174" s="2">
        <f>HYPERLINK("https://platform.v2.vetology.net/cases/2702228/screening-report/1?type=pdf&amp;v=v6&amp;scorecard=1&amp;secret_key=BX%25IJ%24%2F65ieZ%29f6", 2702228)</f>
        <v>2702228</v>
      </c>
      <c r="C3174" s="2">
        <f>HYPERLINK("https://platform.v2.vetology.net/report/v/final/"&amp;2702228, 2702228)</f>
        <v>2702228</v>
      </c>
      <c r="D3174" s="2" t="s">
        <v>10098</v>
      </c>
      <c r="E3174" s="2" t="s">
        <v>10099</v>
      </c>
      <c r="F3174" s="2" t="s">
        <v>10100</v>
      </c>
      <c r="G3174" s="2" t="s">
        <v>53</v>
      </c>
      <c r="H3174" s="2" t="s">
        <v>537</v>
      </c>
      <c r="I3174" s="2" t="s">
        <v>59</v>
      </c>
      <c r="J3174" s="2" t="s">
        <v>37</v>
      </c>
      <c r="K3174" s="2" t="s">
        <v>38</v>
      </c>
      <c r="L3174" s="2" t="s">
        <v>39</v>
      </c>
      <c r="M3174" s="2" t="s">
        <v>39</v>
      </c>
      <c r="N3174" s="2" t="s">
        <v>39</v>
      </c>
      <c r="O3174" s="2" t="s">
        <v>39</v>
      </c>
      <c r="P3174" s="2" t="s">
        <v>39</v>
      </c>
      <c r="Q3174" s="2" t="s">
        <v>39</v>
      </c>
      <c r="R3174" s="2" t="s">
        <v>39</v>
      </c>
      <c r="S3174" s="2" t="s">
        <v>39</v>
      </c>
      <c r="T3174" s="2" t="s">
        <v>39</v>
      </c>
      <c r="U3174" s="2" t="s">
        <v>38</v>
      </c>
      <c r="V3174" s="2" t="s">
        <v>38</v>
      </c>
      <c r="W3174" s="2" t="s">
        <v>39</v>
      </c>
      <c r="X3174" s="2" t="s">
        <v>39</v>
      </c>
      <c r="Y3174" s="2" t="s">
        <v>39</v>
      </c>
      <c r="Z3174" s="2" t="s">
        <v>39</v>
      </c>
      <c r="AA3174" s="2" t="s">
        <v>39</v>
      </c>
      <c r="AB3174" s="2" t="s">
        <v>39</v>
      </c>
      <c r="AC3174" s="2" t="s">
        <v>39</v>
      </c>
      <c r="AD3174" s="2" t="s">
        <v>39</v>
      </c>
      <c r="AE3174" s="2" t="s">
        <v>40</v>
      </c>
    </row>
    <row r="3175" spans="1:31" ht="409.5">
      <c r="A3175" s="2">
        <v>2702191</v>
      </c>
      <c r="B3175" s="2">
        <f>HYPERLINK("https://platform.v2.vetology.net/cases/2702191/screening-report/1?type=pdf&amp;v=v6&amp;scorecard=1&amp;secret_key=BX%25IJ%24%2F65ieZ%29f6", 2702191)</f>
        <v>2702191</v>
      </c>
      <c r="C3175" s="2">
        <f>HYPERLINK("https://platform.v2.vetology.net/report/v/final/"&amp;2702191, 2702191)</f>
        <v>2702191</v>
      </c>
      <c r="D3175" s="2" t="s">
        <v>10101</v>
      </c>
      <c r="E3175" s="2" t="s">
        <v>10102</v>
      </c>
      <c r="F3175" s="2" t="s">
        <v>43</v>
      </c>
      <c r="G3175" s="2" t="s">
        <v>44</v>
      </c>
      <c r="H3175" s="2" t="s">
        <v>273</v>
      </c>
      <c r="I3175" s="2" t="s">
        <v>46</v>
      </c>
      <c r="J3175" s="2"/>
      <c r="K3175" s="2" t="s">
        <v>39</v>
      </c>
      <c r="L3175" s="2" t="s">
        <v>39</v>
      </c>
      <c r="M3175" s="2" t="s">
        <v>39</v>
      </c>
      <c r="N3175" s="2" t="s">
        <v>39</v>
      </c>
      <c r="O3175" s="2" t="s">
        <v>39</v>
      </c>
      <c r="P3175" s="2" t="s">
        <v>39</v>
      </c>
      <c r="Q3175" s="2" t="s">
        <v>39</v>
      </c>
      <c r="R3175" s="2" t="s">
        <v>39</v>
      </c>
      <c r="S3175" s="2" t="s">
        <v>38</v>
      </c>
      <c r="T3175" s="2" t="s">
        <v>39</v>
      </c>
      <c r="U3175" s="2" t="s">
        <v>39</v>
      </c>
      <c r="V3175" s="2" t="s">
        <v>39</v>
      </c>
      <c r="W3175" s="2" t="s">
        <v>39</v>
      </c>
      <c r="X3175" s="2" t="s">
        <v>39</v>
      </c>
      <c r="Y3175" s="2" t="s">
        <v>39</v>
      </c>
      <c r="Z3175" s="2" t="s">
        <v>38</v>
      </c>
      <c r="AA3175" s="2" t="s">
        <v>39</v>
      </c>
      <c r="AB3175" s="2" t="s">
        <v>39</v>
      </c>
      <c r="AC3175" s="2" t="s">
        <v>39</v>
      </c>
      <c r="AD3175" s="2" t="s">
        <v>38</v>
      </c>
      <c r="AE3175" s="2" t="s">
        <v>39</v>
      </c>
    </row>
    <row r="3176" spans="1:31" ht="409.5">
      <c r="A3176" s="2">
        <v>2702156</v>
      </c>
      <c r="B3176" s="2">
        <f>HYPERLINK("https://platform.v2.vetology.net/cases/2702156/screening-report/1?type=pdf&amp;v=v6&amp;scorecard=1&amp;secret_key=BX%25IJ%24%2F65ieZ%29f6", 2702156)</f>
        <v>2702156</v>
      </c>
      <c r="C3176" s="2">
        <f>HYPERLINK("https://platform.v2.vetology.net/report/v/final/"&amp;2702156, 2702156)</f>
        <v>2702156</v>
      </c>
      <c r="D3176" s="2" t="s">
        <v>10103</v>
      </c>
      <c r="E3176" s="2" t="s">
        <v>10104</v>
      </c>
      <c r="F3176" s="2" t="s">
        <v>229</v>
      </c>
      <c r="G3176" s="2" t="s">
        <v>170</v>
      </c>
      <c r="H3176" s="2" t="s">
        <v>69</v>
      </c>
      <c r="I3176" s="2" t="s">
        <v>46</v>
      </c>
      <c r="J3176" s="2"/>
      <c r="K3176" s="2" t="s">
        <v>39</v>
      </c>
      <c r="L3176" s="2" t="s">
        <v>39</v>
      </c>
      <c r="M3176" s="2" t="s">
        <v>39</v>
      </c>
      <c r="N3176" s="2" t="s">
        <v>39</v>
      </c>
      <c r="O3176" s="2" t="s">
        <v>39</v>
      </c>
      <c r="P3176" s="2" t="s">
        <v>39</v>
      </c>
      <c r="Q3176" s="2" t="s">
        <v>39</v>
      </c>
      <c r="R3176" s="2" t="s">
        <v>39</v>
      </c>
      <c r="S3176" s="2" t="s">
        <v>39</v>
      </c>
      <c r="T3176" s="2" t="s">
        <v>39</v>
      </c>
      <c r="U3176" s="2" t="s">
        <v>39</v>
      </c>
      <c r="V3176" s="2" t="s">
        <v>39</v>
      </c>
      <c r="W3176" s="2" t="s">
        <v>39</v>
      </c>
      <c r="X3176" s="2" t="s">
        <v>39</v>
      </c>
      <c r="Y3176" s="2" t="s">
        <v>39</v>
      </c>
      <c r="Z3176" s="2" t="s">
        <v>39</v>
      </c>
      <c r="AA3176" s="2" t="s">
        <v>39</v>
      </c>
      <c r="AB3176" s="2" t="s">
        <v>39</v>
      </c>
      <c r="AC3176" s="2" t="s">
        <v>39</v>
      </c>
      <c r="AD3176" s="2" t="s">
        <v>39</v>
      </c>
      <c r="AE3176" s="2" t="s">
        <v>39</v>
      </c>
    </row>
    <row r="3177" spans="1:31" ht="409.5">
      <c r="A3177" s="2">
        <v>2702131</v>
      </c>
      <c r="B3177" s="2">
        <f>HYPERLINK("https://platform.v2.vetology.net/cases/2702131/screening-report/1?type=pdf&amp;v=v6&amp;scorecard=1&amp;secret_key=BX%25IJ%24%2F65ieZ%29f6", 2702131)</f>
        <v>2702131</v>
      </c>
      <c r="C3177" s="2">
        <f>HYPERLINK("https://platform.v2.vetology.net/report/v/final/"&amp;2702131, 2702131)</f>
        <v>2702131</v>
      </c>
      <c r="D3177" s="2" t="s">
        <v>10105</v>
      </c>
      <c r="E3177" s="2" t="s">
        <v>10106</v>
      </c>
      <c r="F3177" s="2" t="s">
        <v>174</v>
      </c>
      <c r="G3177" s="2" t="s">
        <v>170</v>
      </c>
      <c r="H3177" s="2" t="s">
        <v>2479</v>
      </c>
      <c r="I3177" s="2" t="s">
        <v>36</v>
      </c>
      <c r="J3177" s="2" t="s">
        <v>37</v>
      </c>
      <c r="K3177" s="2" t="s">
        <v>38</v>
      </c>
      <c r="L3177" s="2" t="s">
        <v>39</v>
      </c>
      <c r="M3177" s="2" t="s">
        <v>38</v>
      </c>
      <c r="N3177" s="2" t="s">
        <v>38</v>
      </c>
      <c r="O3177" s="2" t="s">
        <v>38</v>
      </c>
      <c r="P3177" s="2" t="s">
        <v>39</v>
      </c>
      <c r="Q3177" s="2" t="s">
        <v>39</v>
      </c>
      <c r="R3177" s="2" t="s">
        <v>38</v>
      </c>
      <c r="S3177" s="2" t="s">
        <v>38</v>
      </c>
      <c r="T3177" s="2" t="s">
        <v>39</v>
      </c>
      <c r="U3177" s="2" t="s">
        <v>38</v>
      </c>
      <c r="V3177" s="2" t="s">
        <v>38</v>
      </c>
      <c r="W3177" s="2" t="s">
        <v>38</v>
      </c>
      <c r="X3177" s="2" t="s">
        <v>39</v>
      </c>
      <c r="Y3177" s="2" t="s">
        <v>39</v>
      </c>
      <c r="Z3177" s="2" t="s">
        <v>39</v>
      </c>
      <c r="AA3177" s="2" t="s">
        <v>39</v>
      </c>
      <c r="AB3177" s="2" t="s">
        <v>39</v>
      </c>
      <c r="AC3177" s="2" t="s">
        <v>38</v>
      </c>
      <c r="AD3177" s="2" t="s">
        <v>39</v>
      </c>
      <c r="AE3177" s="2" t="s">
        <v>39</v>
      </c>
    </row>
    <row r="3178" spans="1:31" ht="409.5">
      <c r="A3178" s="2">
        <v>2702128</v>
      </c>
      <c r="B3178" s="2">
        <f>HYPERLINK("https://platform.v2.vetology.net/cases/2702128/screening-report/1?type=pdf&amp;v=v6&amp;scorecard=1&amp;secret_key=BX%25IJ%24%2F65ieZ%29f6", 2702128)</f>
        <v>2702128</v>
      </c>
      <c r="C3178" s="2">
        <f>HYPERLINK("https://platform.v2.vetology.net/report/v/final/"&amp;2702128, 2702128)</f>
        <v>2702128</v>
      </c>
      <c r="D3178" s="2" t="s">
        <v>10107</v>
      </c>
      <c r="E3178" s="2" t="s">
        <v>10108</v>
      </c>
      <c r="F3178" s="2" t="s">
        <v>10109</v>
      </c>
      <c r="G3178" s="2" t="s">
        <v>170</v>
      </c>
      <c r="H3178" s="2" t="s">
        <v>10110</v>
      </c>
      <c r="I3178" s="2" t="s">
        <v>129</v>
      </c>
      <c r="J3178" s="2" t="s">
        <v>74</v>
      </c>
      <c r="K3178" s="2" t="s">
        <v>39</v>
      </c>
      <c r="L3178" s="2" t="s">
        <v>38</v>
      </c>
      <c r="M3178" s="2" t="s">
        <v>38</v>
      </c>
      <c r="N3178" s="2" t="s">
        <v>38</v>
      </c>
      <c r="O3178" s="2" t="s">
        <v>38</v>
      </c>
      <c r="P3178" s="2" t="s">
        <v>38</v>
      </c>
      <c r="Q3178" s="2" t="s">
        <v>38</v>
      </c>
      <c r="R3178" s="2" t="s">
        <v>38</v>
      </c>
      <c r="S3178" s="2" t="s">
        <v>38</v>
      </c>
      <c r="T3178" s="2" t="s">
        <v>38</v>
      </c>
      <c r="U3178" s="2" t="s">
        <v>39</v>
      </c>
      <c r="V3178" s="2" t="s">
        <v>39</v>
      </c>
      <c r="W3178" s="2" t="s">
        <v>38</v>
      </c>
      <c r="X3178" s="2" t="s">
        <v>39</v>
      </c>
      <c r="Y3178" s="2" t="s">
        <v>39</v>
      </c>
      <c r="Z3178" s="2" t="s">
        <v>38</v>
      </c>
      <c r="AA3178" s="2" t="s">
        <v>38</v>
      </c>
      <c r="AB3178" s="2" t="s">
        <v>38</v>
      </c>
      <c r="AC3178" s="2" t="s">
        <v>38</v>
      </c>
      <c r="AD3178" s="2" t="s">
        <v>38</v>
      </c>
      <c r="AE3178" s="2"/>
    </row>
    <row r="3179" spans="1:31" ht="409.5">
      <c r="A3179" s="2">
        <v>2702117</v>
      </c>
      <c r="B3179" s="2">
        <f>HYPERLINK("https://platform.v2.vetology.net/cases/2702117/screening-report/1?type=pdf&amp;v=v6&amp;scorecard=1&amp;secret_key=BX%25IJ%24%2F65ieZ%29f6", 2702117)</f>
        <v>2702117</v>
      </c>
      <c r="C3179" s="2">
        <f>HYPERLINK("https://platform.v2.vetology.net/report/v/final/"&amp;2702117, 2702117)</f>
        <v>2702117</v>
      </c>
      <c r="D3179" s="2" t="s">
        <v>10111</v>
      </c>
      <c r="E3179" s="2" t="s">
        <v>10112</v>
      </c>
      <c r="F3179" s="2" t="s">
        <v>10113</v>
      </c>
      <c r="G3179" s="2" t="s">
        <v>170</v>
      </c>
      <c r="H3179" s="2" t="s">
        <v>10114</v>
      </c>
      <c r="I3179" s="2" t="s">
        <v>129</v>
      </c>
      <c r="J3179" s="2" t="s">
        <v>74</v>
      </c>
      <c r="K3179" s="2" t="s">
        <v>38</v>
      </c>
      <c r="L3179" s="2" t="s">
        <v>38</v>
      </c>
      <c r="M3179" s="2" t="s">
        <v>38</v>
      </c>
      <c r="N3179" s="2" t="s">
        <v>38</v>
      </c>
      <c r="O3179" s="2" t="s">
        <v>38</v>
      </c>
      <c r="P3179" s="2" t="s">
        <v>38</v>
      </c>
      <c r="Q3179" s="2" t="s">
        <v>38</v>
      </c>
      <c r="R3179" s="2" t="s">
        <v>38</v>
      </c>
      <c r="S3179" s="2" t="s">
        <v>38</v>
      </c>
      <c r="T3179" s="2" t="s">
        <v>38</v>
      </c>
      <c r="U3179" s="2" t="s">
        <v>39</v>
      </c>
      <c r="V3179" s="2" t="s">
        <v>39</v>
      </c>
      <c r="W3179" s="2" t="s">
        <v>38</v>
      </c>
      <c r="X3179" s="2" t="s">
        <v>39</v>
      </c>
      <c r="Y3179" s="2" t="s">
        <v>39</v>
      </c>
      <c r="Z3179" s="2" t="s">
        <v>38</v>
      </c>
      <c r="AA3179" s="2" t="s">
        <v>38</v>
      </c>
      <c r="AB3179" s="2" t="s">
        <v>39</v>
      </c>
      <c r="AC3179" s="2" t="s">
        <v>38</v>
      </c>
      <c r="AD3179" s="2" t="s">
        <v>38</v>
      </c>
      <c r="AE3179" s="2" t="s">
        <v>39</v>
      </c>
    </row>
    <row r="3180" spans="1:31" ht="409.5">
      <c r="A3180" s="2">
        <v>2702081</v>
      </c>
      <c r="B3180" s="2">
        <f>HYPERLINK("https://platform.v2.vetology.net/cases/2702081/screening-report/1?type=pdf&amp;v=v6&amp;scorecard=1&amp;secret_key=BX%25IJ%24%2F65ieZ%29f6", 2702081)</f>
        <v>2702081</v>
      </c>
      <c r="C3180" s="2">
        <f>HYPERLINK("https://platform.v2.vetology.net/report/v/final/"&amp;2702081, 2702081)</f>
        <v>2702081</v>
      </c>
      <c r="D3180" s="2" t="s">
        <v>10115</v>
      </c>
      <c r="E3180" s="2" t="s">
        <v>10116</v>
      </c>
      <c r="F3180" s="2" t="s">
        <v>43</v>
      </c>
      <c r="G3180" s="2" t="s">
        <v>507</v>
      </c>
      <c r="H3180" s="2" t="s">
        <v>10117</v>
      </c>
      <c r="I3180" s="2" t="s">
        <v>36</v>
      </c>
      <c r="J3180" s="2" t="s">
        <v>37</v>
      </c>
      <c r="K3180" s="2" t="s">
        <v>38</v>
      </c>
      <c r="L3180" s="2" t="s">
        <v>38</v>
      </c>
      <c r="M3180" s="2" t="s">
        <v>38</v>
      </c>
      <c r="N3180" s="2" t="s">
        <v>38</v>
      </c>
      <c r="O3180" s="2" t="s">
        <v>38</v>
      </c>
      <c r="P3180" s="2" t="s">
        <v>38</v>
      </c>
      <c r="Q3180" s="2" t="s">
        <v>39</v>
      </c>
      <c r="R3180" s="2" t="s">
        <v>38</v>
      </c>
      <c r="S3180" s="2" t="s">
        <v>38</v>
      </c>
      <c r="T3180" s="2" t="s">
        <v>38</v>
      </c>
      <c r="U3180" s="2" t="s">
        <v>39</v>
      </c>
      <c r="V3180" s="2" t="s">
        <v>38</v>
      </c>
      <c r="W3180" s="2" t="s">
        <v>38</v>
      </c>
      <c r="X3180" s="2" t="s">
        <v>39</v>
      </c>
      <c r="Y3180" s="2" t="s">
        <v>38</v>
      </c>
      <c r="Z3180" s="2" t="s">
        <v>38</v>
      </c>
      <c r="AA3180" s="2" t="s">
        <v>38</v>
      </c>
      <c r="AB3180" s="2" t="s">
        <v>39</v>
      </c>
      <c r="AC3180" s="2" t="s">
        <v>38</v>
      </c>
      <c r="AD3180" s="2" t="s">
        <v>38</v>
      </c>
      <c r="AE3180" s="2" t="s">
        <v>39</v>
      </c>
    </row>
    <row r="3181" spans="1:31" ht="409.5">
      <c r="A3181" s="2">
        <v>2702070</v>
      </c>
      <c r="B3181" s="2">
        <f>HYPERLINK("https://platform.v2.vetology.net/cases/2702070/screening-report/1?type=pdf&amp;v=v6&amp;scorecard=1&amp;secret_key=BX%25IJ%24%2F65ieZ%29f6", 2702070)</f>
        <v>2702070</v>
      </c>
      <c r="C3181" s="2">
        <f>HYPERLINK("https://platform.v2.vetology.net/report/v/final/"&amp;2702070, 2702070)</f>
        <v>2702070</v>
      </c>
      <c r="D3181" s="2" t="s">
        <v>10118</v>
      </c>
      <c r="E3181" s="2" t="s">
        <v>10119</v>
      </c>
      <c r="F3181" s="2" t="s">
        <v>10120</v>
      </c>
      <c r="G3181" s="2" t="s">
        <v>34</v>
      </c>
      <c r="H3181" s="2" t="s">
        <v>6873</v>
      </c>
      <c r="I3181" s="2" t="s">
        <v>59</v>
      </c>
      <c r="J3181" s="2" t="s">
        <v>37</v>
      </c>
      <c r="K3181" s="2" t="s">
        <v>39</v>
      </c>
      <c r="L3181" s="2" t="s">
        <v>39</v>
      </c>
      <c r="M3181" s="2" t="s">
        <v>39</v>
      </c>
      <c r="N3181" s="2" t="s">
        <v>38</v>
      </c>
      <c r="O3181" s="2" t="s">
        <v>38</v>
      </c>
      <c r="P3181" s="2" t="s">
        <v>39</v>
      </c>
      <c r="Q3181" s="2" t="s">
        <v>39</v>
      </c>
      <c r="R3181" s="2" t="s">
        <v>38</v>
      </c>
      <c r="S3181" s="2" t="s">
        <v>39</v>
      </c>
      <c r="T3181" s="2" t="s">
        <v>38</v>
      </c>
      <c r="U3181" s="2" t="s">
        <v>39</v>
      </c>
      <c r="V3181" s="2" t="s">
        <v>39</v>
      </c>
      <c r="W3181" s="2" t="s">
        <v>38</v>
      </c>
      <c r="X3181" s="2" t="s">
        <v>39</v>
      </c>
      <c r="Y3181" s="2" t="s">
        <v>39</v>
      </c>
      <c r="Z3181" s="2" t="s">
        <v>38</v>
      </c>
      <c r="AA3181" s="2" t="s">
        <v>38</v>
      </c>
      <c r="AB3181" s="2" t="s">
        <v>39</v>
      </c>
      <c r="AC3181" s="2" t="s">
        <v>38</v>
      </c>
      <c r="AD3181" s="2" t="s">
        <v>38</v>
      </c>
      <c r="AE3181" s="2" t="s">
        <v>40</v>
      </c>
    </row>
    <row r="3182" spans="1:31" ht="409.5">
      <c r="A3182" s="2">
        <v>2702042</v>
      </c>
      <c r="B3182" s="2">
        <f>HYPERLINK("https://platform.v2.vetology.net/cases/2702042/screening-report/1?type=pdf&amp;v=v6&amp;scorecard=1&amp;secret_key=BX%25IJ%24%2F65ieZ%29f6", 2702042)</f>
        <v>2702042</v>
      </c>
      <c r="C3182" s="2">
        <f>HYPERLINK("https://platform.v2.vetology.net/report/v/final/"&amp;2702042, 2702042)</f>
        <v>2702042</v>
      </c>
      <c r="D3182" s="2" t="s">
        <v>302</v>
      </c>
      <c r="E3182" s="2" t="s">
        <v>99</v>
      </c>
      <c r="F3182" s="2" t="s">
        <v>2633</v>
      </c>
      <c r="G3182" s="2" t="s">
        <v>100</v>
      </c>
      <c r="H3182" s="2" t="s">
        <v>10121</v>
      </c>
      <c r="I3182" s="2" t="s">
        <v>73</v>
      </c>
      <c r="J3182" s="2" t="s">
        <v>74</v>
      </c>
      <c r="K3182" s="2" t="s">
        <v>38</v>
      </c>
      <c r="L3182" s="2" t="s">
        <v>39</v>
      </c>
      <c r="M3182" s="2" t="s">
        <v>38</v>
      </c>
      <c r="N3182" s="2" t="s">
        <v>38</v>
      </c>
      <c r="O3182" s="2" t="s">
        <v>38</v>
      </c>
      <c r="P3182" s="2" t="s">
        <v>38</v>
      </c>
      <c r="Q3182" s="2" t="s">
        <v>38</v>
      </c>
      <c r="R3182" s="2" t="s">
        <v>38</v>
      </c>
      <c r="S3182" s="2" t="s">
        <v>38</v>
      </c>
      <c r="T3182" s="2" t="s">
        <v>38</v>
      </c>
      <c r="U3182" s="2" t="s">
        <v>38</v>
      </c>
      <c r="V3182" s="2" t="s">
        <v>38</v>
      </c>
      <c r="W3182" s="2" t="s">
        <v>38</v>
      </c>
      <c r="X3182" s="2" t="s">
        <v>38</v>
      </c>
      <c r="Y3182" s="2" t="s">
        <v>39</v>
      </c>
      <c r="Z3182" s="2" t="s">
        <v>38</v>
      </c>
      <c r="AA3182" s="2" t="s">
        <v>39</v>
      </c>
      <c r="AB3182" s="2" t="s">
        <v>39</v>
      </c>
      <c r="AC3182" s="2" t="s">
        <v>38</v>
      </c>
      <c r="AD3182" s="2" t="s">
        <v>39</v>
      </c>
      <c r="AE3182" s="2" t="s">
        <v>39</v>
      </c>
    </row>
    <row r="3183" spans="1:31" ht="409.5">
      <c r="A3183" s="2">
        <v>2701974</v>
      </c>
      <c r="B3183" s="2">
        <f>HYPERLINK("https://platform.v2.vetology.net/cases/2701974/screening-report/1?type=pdf&amp;v=v6&amp;scorecard=1&amp;secret_key=BX%25IJ%24%2F65ieZ%29f6", 2701974)</f>
        <v>2701974</v>
      </c>
      <c r="C3183" s="2">
        <f>HYPERLINK("https://platform.v2.vetology.net/report/v/final/"&amp;2701974, 2701974)</f>
        <v>2701974</v>
      </c>
      <c r="D3183" s="2" t="s">
        <v>10122</v>
      </c>
      <c r="E3183" s="2" t="s">
        <v>10123</v>
      </c>
      <c r="F3183" s="2" t="s">
        <v>787</v>
      </c>
      <c r="G3183" s="2" t="s">
        <v>100</v>
      </c>
      <c r="H3183" s="2" t="s">
        <v>6066</v>
      </c>
      <c r="I3183" s="2" t="s">
        <v>36</v>
      </c>
      <c r="J3183" s="2" t="s">
        <v>37</v>
      </c>
      <c r="K3183" s="2" t="s">
        <v>38</v>
      </c>
      <c r="L3183" s="2" t="s">
        <v>38</v>
      </c>
      <c r="M3183" s="2" t="s">
        <v>38</v>
      </c>
      <c r="N3183" s="2" t="s">
        <v>38</v>
      </c>
      <c r="O3183" s="2" t="s">
        <v>38</v>
      </c>
      <c r="P3183" s="2" t="s">
        <v>38</v>
      </c>
      <c r="Q3183" s="2" t="s">
        <v>39</v>
      </c>
      <c r="R3183" s="2" t="s">
        <v>39</v>
      </c>
      <c r="S3183" s="2" t="s">
        <v>38</v>
      </c>
      <c r="T3183" s="2" t="s">
        <v>38</v>
      </c>
      <c r="U3183" s="2" t="s">
        <v>39</v>
      </c>
      <c r="V3183" s="2" t="s">
        <v>38</v>
      </c>
      <c r="W3183" s="2" t="s">
        <v>38</v>
      </c>
      <c r="X3183" s="2" t="s">
        <v>38</v>
      </c>
      <c r="Y3183" s="2" t="s">
        <v>39</v>
      </c>
      <c r="Z3183" s="2" t="s">
        <v>38</v>
      </c>
      <c r="AA3183" s="2" t="s">
        <v>39</v>
      </c>
      <c r="AB3183" s="2" t="s">
        <v>38</v>
      </c>
      <c r="AC3183" s="2" t="s">
        <v>38</v>
      </c>
      <c r="AD3183" s="2" t="s">
        <v>38</v>
      </c>
      <c r="AE3183" s="2" t="s">
        <v>40</v>
      </c>
    </row>
    <row r="3184" spans="1:31" ht="409.5">
      <c r="A3184" s="2">
        <v>2701966</v>
      </c>
      <c r="B3184" s="2">
        <f>HYPERLINK("https://platform.v2.vetology.net/cases/2701966/screening-report/1?type=pdf&amp;v=v6&amp;scorecard=1&amp;secret_key=BX%25IJ%24%2F65ieZ%29f6", 2701966)</f>
        <v>2701966</v>
      </c>
      <c r="C3184" s="2">
        <f>HYPERLINK("https://platform.v2.vetology.net/report/v/final/"&amp;2701966, 2701966)</f>
        <v>2701966</v>
      </c>
      <c r="D3184" s="2" t="s">
        <v>10124</v>
      </c>
      <c r="E3184" s="2" t="s">
        <v>10125</v>
      </c>
      <c r="F3184" s="2" t="s">
        <v>43</v>
      </c>
      <c r="G3184" s="2" t="s">
        <v>44</v>
      </c>
      <c r="H3184" s="2" t="s">
        <v>10126</v>
      </c>
      <c r="I3184" s="2" t="s">
        <v>73</v>
      </c>
      <c r="J3184" s="2" t="s">
        <v>74</v>
      </c>
      <c r="K3184" s="2" t="s">
        <v>38</v>
      </c>
      <c r="L3184" s="2" t="s">
        <v>38</v>
      </c>
      <c r="M3184" s="2" t="s">
        <v>38</v>
      </c>
      <c r="N3184" s="2" t="s">
        <v>38</v>
      </c>
      <c r="O3184" s="2" t="s">
        <v>38</v>
      </c>
      <c r="P3184" s="2" t="s">
        <v>38</v>
      </c>
      <c r="Q3184" s="2" t="s">
        <v>38</v>
      </c>
      <c r="R3184" s="2" t="s">
        <v>38</v>
      </c>
      <c r="S3184" s="2" t="s">
        <v>38</v>
      </c>
      <c r="T3184" s="2" t="s">
        <v>38</v>
      </c>
      <c r="U3184" s="2" t="s">
        <v>38</v>
      </c>
      <c r="V3184" s="2" t="s">
        <v>38</v>
      </c>
      <c r="W3184" s="2" t="s">
        <v>38</v>
      </c>
      <c r="X3184" s="2" t="s">
        <v>38</v>
      </c>
      <c r="Y3184" s="2" t="s">
        <v>39</v>
      </c>
      <c r="Z3184" s="2" t="s">
        <v>38</v>
      </c>
      <c r="AA3184" s="2" t="s">
        <v>38</v>
      </c>
      <c r="AB3184" s="2" t="s">
        <v>38</v>
      </c>
      <c r="AC3184" s="2" t="s">
        <v>39</v>
      </c>
      <c r="AD3184" s="2" t="s">
        <v>38</v>
      </c>
      <c r="AE3184" s="2" t="s">
        <v>40</v>
      </c>
    </row>
    <row r="3185" spans="1:31" ht="409.5">
      <c r="A3185" s="2">
        <v>2701941</v>
      </c>
      <c r="B3185" s="2">
        <f>HYPERLINK("https://platform.v2.vetology.net/cases/2701941/screening-report/1?type=pdf&amp;v=v6&amp;scorecard=1&amp;secret_key=BX%25IJ%24%2F65ieZ%29f6", 2701941)</f>
        <v>2701941</v>
      </c>
      <c r="C3185" s="2">
        <f>HYPERLINK("https://platform.v2.vetology.net/report/v/final/"&amp;2701941, 2701941)</f>
        <v>2701941</v>
      </c>
      <c r="D3185" s="2" t="s">
        <v>10127</v>
      </c>
      <c r="E3185" s="2" t="s">
        <v>10128</v>
      </c>
      <c r="F3185" s="2" t="s">
        <v>10129</v>
      </c>
      <c r="G3185" s="2" t="s">
        <v>53</v>
      </c>
      <c r="H3185" s="2" t="s">
        <v>69</v>
      </c>
      <c r="I3185" s="2" t="s">
        <v>46</v>
      </c>
      <c r="J3185" s="2"/>
      <c r="K3185" s="2" t="s">
        <v>39</v>
      </c>
      <c r="L3185" s="2" t="s">
        <v>39</v>
      </c>
      <c r="M3185" s="2" t="s">
        <v>39</v>
      </c>
      <c r="N3185" s="2" t="s">
        <v>39</v>
      </c>
      <c r="O3185" s="2" t="s">
        <v>38</v>
      </c>
      <c r="P3185" s="2" t="s">
        <v>39</v>
      </c>
      <c r="Q3185" s="2" t="s">
        <v>39</v>
      </c>
      <c r="R3185" s="2" t="s">
        <v>39</v>
      </c>
      <c r="S3185" s="2" t="s">
        <v>39</v>
      </c>
      <c r="T3185" s="2" t="s">
        <v>39</v>
      </c>
      <c r="U3185" s="2" t="s">
        <v>39</v>
      </c>
      <c r="V3185" s="2" t="s">
        <v>39</v>
      </c>
      <c r="W3185" s="2" t="s">
        <v>39</v>
      </c>
      <c r="X3185" s="2" t="s">
        <v>39</v>
      </c>
      <c r="Y3185" s="2" t="s">
        <v>39</v>
      </c>
      <c r="Z3185" s="2" t="s">
        <v>39</v>
      </c>
      <c r="AA3185" s="2" t="s">
        <v>39</v>
      </c>
      <c r="AB3185" s="2" t="s">
        <v>39</v>
      </c>
      <c r="AC3185" s="2" t="s">
        <v>39</v>
      </c>
      <c r="AD3185" s="2" t="s">
        <v>38</v>
      </c>
      <c r="AE3185" s="2" t="s">
        <v>39</v>
      </c>
    </row>
    <row r="3186" spans="1:31" ht="409.5">
      <c r="A3186" s="2">
        <v>2701898</v>
      </c>
      <c r="B3186" s="2">
        <f>HYPERLINK("https://platform.v2.vetology.net/cases/2701898/screening-report/1?type=pdf&amp;v=v6&amp;scorecard=1&amp;secret_key=BX%25IJ%24%2F65ieZ%29f6", 2701898)</f>
        <v>2701898</v>
      </c>
      <c r="C3186" s="2">
        <f>HYPERLINK("https://platform.v2.vetology.net/report/v/final/"&amp;2701898, 2701898)</f>
        <v>2701898</v>
      </c>
      <c r="D3186" s="2" t="s">
        <v>10130</v>
      </c>
      <c r="E3186" s="2" t="s">
        <v>10131</v>
      </c>
      <c r="F3186" s="2" t="s">
        <v>10132</v>
      </c>
      <c r="G3186" s="2" t="s">
        <v>53</v>
      </c>
      <c r="H3186" s="2" t="s">
        <v>10133</v>
      </c>
      <c r="I3186" s="2" t="s">
        <v>36</v>
      </c>
      <c r="J3186" s="2" t="s">
        <v>37</v>
      </c>
      <c r="K3186" s="2" t="s">
        <v>39</v>
      </c>
      <c r="L3186" s="2" t="s">
        <v>38</v>
      </c>
      <c r="M3186" s="2" t="s">
        <v>38</v>
      </c>
      <c r="N3186" s="2" t="s">
        <v>39</v>
      </c>
      <c r="O3186" s="2" t="s">
        <v>38</v>
      </c>
      <c r="P3186" s="2" t="s">
        <v>39</v>
      </c>
      <c r="Q3186" s="2" t="s">
        <v>39</v>
      </c>
      <c r="R3186" s="2" t="s">
        <v>38</v>
      </c>
      <c r="S3186" s="2" t="s">
        <v>38</v>
      </c>
      <c r="T3186" s="2" t="s">
        <v>38</v>
      </c>
      <c r="U3186" s="2" t="s">
        <v>39</v>
      </c>
      <c r="V3186" s="2" t="s">
        <v>38</v>
      </c>
      <c r="W3186" s="2" t="s">
        <v>39</v>
      </c>
      <c r="X3186" s="2" t="s">
        <v>39</v>
      </c>
      <c r="Y3186" s="2" t="s">
        <v>39</v>
      </c>
      <c r="Z3186" s="2" t="s">
        <v>38</v>
      </c>
      <c r="AA3186" s="2" t="s">
        <v>38</v>
      </c>
      <c r="AB3186" s="2" t="s">
        <v>39</v>
      </c>
      <c r="AC3186" s="2" t="s">
        <v>38</v>
      </c>
      <c r="AD3186" s="2" t="s">
        <v>38</v>
      </c>
      <c r="AE3186" s="2" t="s">
        <v>39</v>
      </c>
    </row>
    <row r="3187" spans="1:31" ht="409.5">
      <c r="A3187" s="2">
        <v>2701896</v>
      </c>
      <c r="B3187" s="2">
        <f>HYPERLINK("https://platform.v2.vetology.net/cases/2701896/screening-report/1?type=pdf&amp;v=v6&amp;scorecard=1&amp;secret_key=BX%25IJ%24%2F65ieZ%29f6", 2701896)</f>
        <v>2701896</v>
      </c>
      <c r="C3187" s="2">
        <f>HYPERLINK("https://platform.v2.vetology.net/report/v/final/"&amp;2701896, 2701896)</f>
        <v>2701896</v>
      </c>
      <c r="D3187" s="2" t="s">
        <v>10134</v>
      </c>
      <c r="E3187" s="2" t="s">
        <v>118</v>
      </c>
      <c r="F3187" s="2" t="s">
        <v>1498</v>
      </c>
      <c r="G3187" s="2" t="s">
        <v>111</v>
      </c>
      <c r="H3187" s="2" t="s">
        <v>1168</v>
      </c>
      <c r="I3187" s="2" t="s">
        <v>36</v>
      </c>
      <c r="J3187" s="2" t="s">
        <v>37</v>
      </c>
      <c r="K3187" s="2" t="s">
        <v>38</v>
      </c>
      <c r="L3187" s="2" t="s">
        <v>38</v>
      </c>
      <c r="M3187" s="2" t="s">
        <v>38</v>
      </c>
      <c r="N3187" s="2" t="s">
        <v>38</v>
      </c>
      <c r="O3187" s="2" t="s">
        <v>38</v>
      </c>
      <c r="P3187" s="2" t="s">
        <v>39</v>
      </c>
      <c r="Q3187" s="2" t="s">
        <v>39</v>
      </c>
      <c r="R3187" s="2" t="s">
        <v>38</v>
      </c>
      <c r="S3187" s="2" t="s">
        <v>38</v>
      </c>
      <c r="T3187" s="2" t="s">
        <v>39</v>
      </c>
      <c r="U3187" s="2" t="s">
        <v>38</v>
      </c>
      <c r="V3187" s="2" t="s">
        <v>38</v>
      </c>
      <c r="W3187" s="2" t="s">
        <v>38</v>
      </c>
      <c r="X3187" s="2" t="s">
        <v>39</v>
      </c>
      <c r="Y3187" s="2" t="s">
        <v>39</v>
      </c>
      <c r="Z3187" s="2" t="s">
        <v>38</v>
      </c>
      <c r="AA3187" s="2" t="s">
        <v>38</v>
      </c>
      <c r="AB3187" s="2" t="s">
        <v>39</v>
      </c>
      <c r="AC3187" s="2" t="s">
        <v>38</v>
      </c>
      <c r="AD3187" s="2" t="s">
        <v>38</v>
      </c>
      <c r="AE3187" s="2" t="s">
        <v>39</v>
      </c>
    </row>
    <row r="3188" spans="1:31" ht="409.5">
      <c r="A3188" s="2">
        <v>2701872</v>
      </c>
      <c r="B3188" s="2">
        <f>HYPERLINK("https://platform.v2.vetology.net/cases/2701872/screening-report/1?type=pdf&amp;v=v6&amp;scorecard=1&amp;secret_key=BX%25IJ%24%2F65ieZ%29f6", 2701872)</f>
        <v>2701872</v>
      </c>
      <c r="C3188" s="2">
        <f>HYPERLINK("https://platform.v2.vetology.net/report/v/final/"&amp;2701872, 2701872)</f>
        <v>2701872</v>
      </c>
      <c r="D3188" s="2" t="s">
        <v>10135</v>
      </c>
      <c r="E3188" s="2" t="s">
        <v>10136</v>
      </c>
      <c r="F3188" s="2" t="s">
        <v>761</v>
      </c>
      <c r="G3188" s="2" t="s">
        <v>34</v>
      </c>
      <c r="H3188" s="2" t="s">
        <v>436</v>
      </c>
      <c r="I3188" s="2" t="s">
        <v>59</v>
      </c>
      <c r="J3188" s="2" t="s">
        <v>37</v>
      </c>
      <c r="K3188" s="2" t="s">
        <v>38</v>
      </c>
      <c r="L3188" s="2" t="s">
        <v>39</v>
      </c>
      <c r="M3188" s="2" t="s">
        <v>39</v>
      </c>
      <c r="N3188" s="2" t="s">
        <v>39</v>
      </c>
      <c r="O3188" s="2" t="s">
        <v>39</v>
      </c>
      <c r="P3188" s="2" t="s">
        <v>39</v>
      </c>
      <c r="Q3188" s="2" t="s">
        <v>39</v>
      </c>
      <c r="R3188" s="2" t="s">
        <v>38</v>
      </c>
      <c r="S3188" s="2" t="s">
        <v>39</v>
      </c>
      <c r="T3188" s="2" t="s">
        <v>39</v>
      </c>
      <c r="U3188" s="2" t="s">
        <v>38</v>
      </c>
      <c r="V3188" s="2" t="s">
        <v>38</v>
      </c>
      <c r="W3188" s="2" t="s">
        <v>39</v>
      </c>
      <c r="X3188" s="2" t="s">
        <v>39</v>
      </c>
      <c r="Y3188" s="2" t="s">
        <v>39</v>
      </c>
      <c r="Z3188" s="2" t="s">
        <v>39</v>
      </c>
      <c r="AA3188" s="2" t="s">
        <v>39</v>
      </c>
      <c r="AB3188" s="2" t="s">
        <v>39</v>
      </c>
      <c r="AC3188" s="2" t="s">
        <v>38</v>
      </c>
      <c r="AD3188" s="2" t="s">
        <v>38</v>
      </c>
      <c r="AE3188" s="2" t="s">
        <v>39</v>
      </c>
    </row>
    <row r="3189" spans="1:31" ht="409.5">
      <c r="A3189" s="2">
        <v>2701863</v>
      </c>
      <c r="B3189" s="2">
        <f>HYPERLINK("https://platform.v2.vetology.net/cases/2701863/screening-report/1?type=pdf&amp;v=v6&amp;scorecard=1&amp;secret_key=BX%25IJ%24%2F65ieZ%29f6", 2701863)</f>
        <v>2701863</v>
      </c>
      <c r="C3189" s="2">
        <f>HYPERLINK("https://platform.v2.vetology.net/report/v/final/"&amp;2701863, 2701863)</f>
        <v>2701863</v>
      </c>
      <c r="D3189" s="2" t="s">
        <v>10137</v>
      </c>
      <c r="E3189" s="2" t="s">
        <v>118</v>
      </c>
      <c r="F3189" s="2" t="s">
        <v>10138</v>
      </c>
      <c r="G3189" s="2" t="s">
        <v>111</v>
      </c>
      <c r="H3189" s="2" t="s">
        <v>10139</v>
      </c>
      <c r="I3189" s="2" t="s">
        <v>257</v>
      </c>
      <c r="J3189" s="2" t="s">
        <v>74</v>
      </c>
      <c r="K3189" s="2" t="s">
        <v>38</v>
      </c>
      <c r="L3189" s="2" t="s">
        <v>38</v>
      </c>
      <c r="M3189" s="2" t="s">
        <v>38</v>
      </c>
      <c r="N3189" s="2" t="s">
        <v>38</v>
      </c>
      <c r="O3189" s="2" t="s">
        <v>38</v>
      </c>
      <c r="P3189" s="2" t="s">
        <v>38</v>
      </c>
      <c r="Q3189" s="2" t="s">
        <v>38</v>
      </c>
      <c r="R3189" s="2" t="s">
        <v>38</v>
      </c>
      <c r="S3189" s="2" t="s">
        <v>38</v>
      </c>
      <c r="T3189" s="2" t="s">
        <v>38</v>
      </c>
      <c r="U3189" s="2" t="s">
        <v>38</v>
      </c>
      <c r="V3189" s="2" t="s">
        <v>38</v>
      </c>
      <c r="W3189" s="2" t="s">
        <v>38</v>
      </c>
      <c r="X3189" s="2" t="s">
        <v>38</v>
      </c>
      <c r="Y3189" s="2" t="s">
        <v>38</v>
      </c>
      <c r="Z3189" s="2" t="s">
        <v>38</v>
      </c>
      <c r="AA3189" s="2" t="s">
        <v>38</v>
      </c>
      <c r="AB3189" s="2" t="s">
        <v>38</v>
      </c>
      <c r="AC3189" s="2" t="s">
        <v>38</v>
      </c>
      <c r="AD3189" s="2" t="s">
        <v>38</v>
      </c>
      <c r="AE3189" s="2"/>
    </row>
    <row r="3190" spans="1:31" ht="409.5">
      <c r="A3190" s="2">
        <v>2701862</v>
      </c>
      <c r="B3190" s="2">
        <f>HYPERLINK("https://platform.v2.vetology.net/cases/2701862/screening-report/1?type=pdf&amp;v=v6&amp;scorecard=1&amp;secret_key=BX%25IJ%24%2F65ieZ%29f6", 2701862)</f>
        <v>2701862</v>
      </c>
      <c r="C3190" s="2">
        <f>HYPERLINK("https://platform.v2.vetology.net/report/v/final/"&amp;2701862, 2701862)</f>
        <v>2701862</v>
      </c>
      <c r="D3190" s="2" t="s">
        <v>10140</v>
      </c>
      <c r="E3190" s="2" t="s">
        <v>359</v>
      </c>
      <c r="F3190" s="2"/>
      <c r="G3190" s="2" t="s">
        <v>100</v>
      </c>
      <c r="H3190" s="2" t="s">
        <v>69</v>
      </c>
      <c r="I3190" s="2" t="s">
        <v>46</v>
      </c>
      <c r="J3190" s="2"/>
      <c r="K3190" s="2" t="s">
        <v>39</v>
      </c>
      <c r="L3190" s="2" t="s">
        <v>39</v>
      </c>
      <c r="M3190" s="2" t="s">
        <v>39</v>
      </c>
      <c r="N3190" s="2" t="s">
        <v>39</v>
      </c>
      <c r="O3190" s="2" t="s">
        <v>38</v>
      </c>
      <c r="P3190" s="2" t="s">
        <v>39</v>
      </c>
      <c r="Q3190" s="2" t="s">
        <v>39</v>
      </c>
      <c r="R3190" s="2" t="s">
        <v>39</v>
      </c>
      <c r="S3190" s="2" t="s">
        <v>39</v>
      </c>
      <c r="T3190" s="2" t="s">
        <v>39</v>
      </c>
      <c r="U3190" s="2" t="s">
        <v>39</v>
      </c>
      <c r="V3190" s="2" t="s">
        <v>39</v>
      </c>
      <c r="W3190" s="2" t="s">
        <v>39</v>
      </c>
      <c r="X3190" s="2" t="s">
        <v>39</v>
      </c>
      <c r="Y3190" s="2" t="s">
        <v>39</v>
      </c>
      <c r="Z3190" s="2" t="s">
        <v>39</v>
      </c>
      <c r="AA3190" s="2" t="s">
        <v>39</v>
      </c>
      <c r="AB3190" s="2" t="s">
        <v>39</v>
      </c>
      <c r="AC3190" s="2" t="s">
        <v>39</v>
      </c>
      <c r="AD3190" s="2" t="s">
        <v>38</v>
      </c>
      <c r="AE3190" s="2" t="s">
        <v>39</v>
      </c>
    </row>
    <row r="3191" spans="1:31" ht="409.5">
      <c r="A3191" s="2">
        <v>2701851</v>
      </c>
      <c r="B3191" s="2">
        <f>HYPERLINK("https://platform.v2.vetology.net/cases/2701851/screening-report/1?type=pdf&amp;v=v6&amp;scorecard=1&amp;secret_key=BX%25IJ%24%2F65ieZ%29f6", 2701851)</f>
        <v>2701851</v>
      </c>
      <c r="C3191" s="2">
        <f>HYPERLINK("https://platform.v2.vetology.net/report/v/final/"&amp;2701851, 2701851)</f>
        <v>2701851</v>
      </c>
      <c r="D3191" s="2" t="s">
        <v>10141</v>
      </c>
      <c r="E3191" s="2" t="s">
        <v>10142</v>
      </c>
      <c r="F3191" s="2" t="s">
        <v>43</v>
      </c>
      <c r="G3191" s="2" t="s">
        <v>44</v>
      </c>
      <c r="H3191" s="2" t="s">
        <v>10143</v>
      </c>
      <c r="I3191" s="2" t="s">
        <v>129</v>
      </c>
      <c r="J3191" s="2" t="s">
        <v>74</v>
      </c>
      <c r="K3191" s="2" t="s">
        <v>39</v>
      </c>
      <c r="L3191" s="2" t="s">
        <v>38</v>
      </c>
      <c r="M3191" s="2" t="s">
        <v>38</v>
      </c>
      <c r="N3191" s="2" t="s">
        <v>38</v>
      </c>
      <c r="O3191" s="2" t="s">
        <v>38</v>
      </c>
      <c r="P3191" s="2" t="s">
        <v>38</v>
      </c>
      <c r="Q3191" s="2" t="s">
        <v>38</v>
      </c>
      <c r="R3191" s="2" t="s">
        <v>38</v>
      </c>
      <c r="S3191" s="2" t="s">
        <v>38</v>
      </c>
      <c r="T3191" s="2" t="s">
        <v>38</v>
      </c>
      <c r="U3191" s="2" t="s">
        <v>39</v>
      </c>
      <c r="V3191" s="2" t="s">
        <v>39</v>
      </c>
      <c r="W3191" s="2" t="s">
        <v>38</v>
      </c>
      <c r="X3191" s="2" t="s">
        <v>38</v>
      </c>
      <c r="Y3191" s="2" t="s">
        <v>39</v>
      </c>
      <c r="Z3191" s="2" t="s">
        <v>38</v>
      </c>
      <c r="AA3191" s="2" t="s">
        <v>38</v>
      </c>
      <c r="AB3191" s="2" t="s">
        <v>38</v>
      </c>
      <c r="AC3191" s="2" t="s">
        <v>38</v>
      </c>
      <c r="AD3191" s="2" t="s">
        <v>39</v>
      </c>
      <c r="AE3191" s="2" t="s">
        <v>39</v>
      </c>
    </row>
    <row r="3192" spans="1:31" ht="409.5">
      <c r="A3192" s="2">
        <v>2701848</v>
      </c>
      <c r="B3192" s="2">
        <f>HYPERLINK("https://platform.v2.vetology.net/cases/2701848/screening-report/1?type=pdf&amp;v=v6&amp;scorecard=1&amp;secret_key=BX%25IJ%24%2F65ieZ%29f6", 2701848)</f>
        <v>2701848</v>
      </c>
      <c r="C3192" s="2">
        <f>HYPERLINK("https://platform.v2.vetology.net/report/v/final/"&amp;2701848, 2701848)</f>
        <v>2701848</v>
      </c>
      <c r="D3192" s="2" t="s">
        <v>10144</v>
      </c>
      <c r="E3192" s="2" t="s">
        <v>10145</v>
      </c>
      <c r="F3192" s="2" t="s">
        <v>10146</v>
      </c>
      <c r="G3192" s="2" t="s">
        <v>111</v>
      </c>
      <c r="H3192" s="2" t="s">
        <v>10147</v>
      </c>
      <c r="I3192" s="2" t="s">
        <v>73</v>
      </c>
      <c r="J3192" s="2" t="s">
        <v>74</v>
      </c>
      <c r="K3192" s="2" t="s">
        <v>38</v>
      </c>
      <c r="L3192" s="2" t="s">
        <v>38</v>
      </c>
      <c r="M3192" s="2" t="s">
        <v>38</v>
      </c>
      <c r="N3192" s="2" t="s">
        <v>38</v>
      </c>
      <c r="O3192" s="2" t="s">
        <v>38</v>
      </c>
      <c r="P3192" s="2" t="s">
        <v>38</v>
      </c>
      <c r="Q3192" s="2" t="s">
        <v>38</v>
      </c>
      <c r="R3192" s="2" t="s">
        <v>39</v>
      </c>
      <c r="S3192" s="2" t="s">
        <v>38</v>
      </c>
      <c r="T3192" s="2" t="s">
        <v>38</v>
      </c>
      <c r="U3192" s="2" t="s">
        <v>39</v>
      </c>
      <c r="V3192" s="2" t="s">
        <v>38</v>
      </c>
      <c r="W3192" s="2" t="s">
        <v>38</v>
      </c>
      <c r="X3192" s="2" t="s">
        <v>38</v>
      </c>
      <c r="Y3192" s="2" t="s">
        <v>38</v>
      </c>
      <c r="Z3192" s="2" t="s">
        <v>38</v>
      </c>
      <c r="AA3192" s="2" t="s">
        <v>38</v>
      </c>
      <c r="AB3192" s="2" t="s">
        <v>38</v>
      </c>
      <c r="AC3192" s="2" t="s">
        <v>38</v>
      </c>
      <c r="AD3192" s="2" t="s">
        <v>38</v>
      </c>
      <c r="AE3192" s="2" t="s">
        <v>39</v>
      </c>
    </row>
    <row r="3193" spans="1:31" ht="409.5">
      <c r="A3193" s="2">
        <v>2701823</v>
      </c>
      <c r="B3193" s="2">
        <f>HYPERLINK("https://platform.v2.vetology.net/cases/2701823/screening-report/1?type=pdf&amp;v=v6&amp;scorecard=1&amp;secret_key=BX%25IJ%24%2F65ieZ%29f6", 2701823)</f>
        <v>2701823</v>
      </c>
      <c r="C3193" s="2">
        <f>HYPERLINK("https://platform.v2.vetology.net/report/v/final/"&amp;2701823, 2701823)</f>
        <v>2701823</v>
      </c>
      <c r="D3193" s="2" t="s">
        <v>10148</v>
      </c>
      <c r="E3193" s="2" t="s">
        <v>10149</v>
      </c>
      <c r="F3193" s="2"/>
      <c r="G3193" s="2" t="s">
        <v>81</v>
      </c>
      <c r="H3193" s="2" t="s">
        <v>10150</v>
      </c>
      <c r="I3193" s="2" t="s">
        <v>73</v>
      </c>
      <c r="J3193" s="2" t="s">
        <v>74</v>
      </c>
      <c r="K3193" s="2" t="s">
        <v>38</v>
      </c>
      <c r="L3193" s="2" t="s">
        <v>38</v>
      </c>
      <c r="M3193" s="2" t="s">
        <v>38</v>
      </c>
      <c r="N3193" s="2" t="s">
        <v>38</v>
      </c>
      <c r="O3193" s="2" t="s">
        <v>38</v>
      </c>
      <c r="P3193" s="2" t="s">
        <v>38</v>
      </c>
      <c r="Q3193" s="2" t="s">
        <v>38</v>
      </c>
      <c r="R3193" s="2" t="s">
        <v>38</v>
      </c>
      <c r="S3193" s="2" t="s">
        <v>38</v>
      </c>
      <c r="T3193" s="2" t="s">
        <v>38</v>
      </c>
      <c r="U3193" s="2" t="s">
        <v>38</v>
      </c>
      <c r="V3193" s="2" t="s">
        <v>38</v>
      </c>
      <c r="W3193" s="2" t="s">
        <v>38</v>
      </c>
      <c r="X3193" s="2" t="s">
        <v>38</v>
      </c>
      <c r="Y3193" s="2" t="s">
        <v>39</v>
      </c>
      <c r="Z3193" s="2" t="s">
        <v>38</v>
      </c>
      <c r="AA3193" s="2" t="s">
        <v>38</v>
      </c>
      <c r="AB3193" s="2" t="s">
        <v>38</v>
      </c>
      <c r="AC3193" s="2" t="s">
        <v>38</v>
      </c>
      <c r="AD3193" s="2" t="s">
        <v>38</v>
      </c>
      <c r="AE3193" s="2" t="s">
        <v>40</v>
      </c>
    </row>
    <row r="3194" spans="1:31" ht="409.5">
      <c r="A3194" s="2">
        <v>2701818</v>
      </c>
      <c r="B3194" s="2">
        <f>HYPERLINK("https://platform.v2.vetology.net/cases/2701818/screening-report/1?type=pdf&amp;v=v6&amp;scorecard=1&amp;secret_key=BX%25IJ%24%2F65ieZ%29f6", 2701818)</f>
        <v>2701818</v>
      </c>
      <c r="C3194" s="2">
        <f>HYPERLINK("https://platform.v2.vetology.net/report/v/final/"&amp;2701818, 2701818)</f>
        <v>2701818</v>
      </c>
      <c r="D3194" s="2" t="s">
        <v>10151</v>
      </c>
      <c r="E3194" s="2" t="s">
        <v>10152</v>
      </c>
      <c r="F3194" s="2" t="s">
        <v>10153</v>
      </c>
      <c r="G3194" s="2" t="s">
        <v>111</v>
      </c>
      <c r="H3194" s="2" t="s">
        <v>3236</v>
      </c>
      <c r="I3194" s="2" t="s">
        <v>36</v>
      </c>
      <c r="J3194" s="2" t="s">
        <v>37</v>
      </c>
      <c r="K3194" s="2" t="s">
        <v>38</v>
      </c>
      <c r="L3194" s="2" t="s">
        <v>39</v>
      </c>
      <c r="M3194" s="2" t="s">
        <v>38</v>
      </c>
      <c r="N3194" s="2" t="s">
        <v>39</v>
      </c>
      <c r="O3194" s="2" t="s">
        <v>38</v>
      </c>
      <c r="P3194" s="2" t="s">
        <v>39</v>
      </c>
      <c r="Q3194" s="2" t="s">
        <v>39</v>
      </c>
      <c r="R3194" s="2" t="s">
        <v>39</v>
      </c>
      <c r="S3194" s="2" t="s">
        <v>39</v>
      </c>
      <c r="T3194" s="2" t="s">
        <v>39</v>
      </c>
      <c r="U3194" s="2" t="s">
        <v>39</v>
      </c>
      <c r="V3194" s="2" t="s">
        <v>38</v>
      </c>
      <c r="W3194" s="2" t="s">
        <v>38</v>
      </c>
      <c r="X3194" s="2" t="s">
        <v>39</v>
      </c>
      <c r="Y3194" s="2" t="s">
        <v>39</v>
      </c>
      <c r="Z3194" s="2" t="s">
        <v>38</v>
      </c>
      <c r="AA3194" s="2" t="s">
        <v>38</v>
      </c>
      <c r="AB3194" s="2" t="s">
        <v>39</v>
      </c>
      <c r="AC3194" s="2" t="s">
        <v>38</v>
      </c>
      <c r="AD3194" s="2" t="s">
        <v>38</v>
      </c>
      <c r="AE3194" s="2" t="s">
        <v>40</v>
      </c>
    </row>
    <row r="3195" spans="1:31" ht="409.5">
      <c r="A3195" s="2">
        <v>2701769</v>
      </c>
      <c r="B3195" s="2">
        <f>HYPERLINK("https://platform.v2.vetology.net/cases/2701769/screening-report/1?type=pdf&amp;v=v6&amp;scorecard=1&amp;secret_key=BX%25IJ%24%2F65ieZ%29f6", 2701769)</f>
        <v>2701769</v>
      </c>
      <c r="C3195" s="2">
        <f>HYPERLINK("https://platform.v2.vetology.net/report/v/final/"&amp;2701769, 2701769)</f>
        <v>2701769</v>
      </c>
      <c r="D3195" s="2" t="s">
        <v>10154</v>
      </c>
      <c r="E3195" s="2" t="s">
        <v>4764</v>
      </c>
      <c r="F3195" s="2" t="s">
        <v>43</v>
      </c>
      <c r="G3195" s="2" t="s">
        <v>44</v>
      </c>
      <c r="H3195" s="2" t="s">
        <v>10155</v>
      </c>
      <c r="I3195" s="2" t="s">
        <v>36</v>
      </c>
      <c r="J3195" s="2" t="s">
        <v>37</v>
      </c>
      <c r="K3195" s="2" t="s">
        <v>39</v>
      </c>
      <c r="L3195" s="2" t="s">
        <v>38</v>
      </c>
      <c r="M3195" s="2" t="s">
        <v>38</v>
      </c>
      <c r="N3195" s="2" t="s">
        <v>39</v>
      </c>
      <c r="O3195" s="2" t="s">
        <v>38</v>
      </c>
      <c r="P3195" s="2" t="s">
        <v>38</v>
      </c>
      <c r="Q3195" s="2" t="s">
        <v>38</v>
      </c>
      <c r="R3195" s="2" t="s">
        <v>38</v>
      </c>
      <c r="S3195" s="2" t="s">
        <v>39</v>
      </c>
      <c r="T3195" s="2" t="s">
        <v>38</v>
      </c>
      <c r="U3195" s="2" t="s">
        <v>39</v>
      </c>
      <c r="V3195" s="2" t="s">
        <v>39</v>
      </c>
      <c r="W3195" s="2" t="s">
        <v>38</v>
      </c>
      <c r="X3195" s="2" t="s">
        <v>39</v>
      </c>
      <c r="Y3195" s="2" t="s">
        <v>39</v>
      </c>
      <c r="Z3195" s="2" t="s">
        <v>38</v>
      </c>
      <c r="AA3195" s="2" t="s">
        <v>38</v>
      </c>
      <c r="AB3195" s="2" t="s">
        <v>39</v>
      </c>
      <c r="AC3195" s="2" t="s">
        <v>38</v>
      </c>
      <c r="AD3195" s="2" t="s">
        <v>39</v>
      </c>
      <c r="AE3195" s="2" t="s">
        <v>39</v>
      </c>
    </row>
    <row r="3196" spans="1:31" ht="409.5">
      <c r="A3196" s="2">
        <v>2701737</v>
      </c>
      <c r="B3196" s="2">
        <f>HYPERLINK("https://platform.v2.vetology.net/cases/2701737/screening-report/1?type=pdf&amp;v=v6&amp;scorecard=1&amp;secret_key=BX%25IJ%24%2F65ieZ%29f6", 2701737)</f>
        <v>2701737</v>
      </c>
      <c r="C3196" s="2">
        <f>HYPERLINK("https://platform.v2.vetology.net/report/v/final/"&amp;2701737, 2701737)</f>
        <v>2701737</v>
      </c>
      <c r="D3196" s="2" t="s">
        <v>10156</v>
      </c>
      <c r="E3196" s="2" t="s">
        <v>10157</v>
      </c>
      <c r="F3196" s="2" t="s">
        <v>10158</v>
      </c>
      <c r="G3196" s="2" t="s">
        <v>127</v>
      </c>
      <c r="H3196" s="2" t="s">
        <v>515</v>
      </c>
      <c r="I3196" s="2" t="s">
        <v>36</v>
      </c>
      <c r="J3196" s="2" t="s">
        <v>37</v>
      </c>
      <c r="K3196" s="2" t="s">
        <v>39</v>
      </c>
      <c r="L3196" s="2" t="s">
        <v>39</v>
      </c>
      <c r="M3196" s="2" t="s">
        <v>38</v>
      </c>
      <c r="N3196" s="2" t="s">
        <v>39</v>
      </c>
      <c r="O3196" s="2" t="s">
        <v>39</v>
      </c>
      <c r="P3196" s="2" t="s">
        <v>39</v>
      </c>
      <c r="Q3196" s="2" t="s">
        <v>39</v>
      </c>
      <c r="R3196" s="2" t="s">
        <v>39</v>
      </c>
      <c r="S3196" s="2" t="s">
        <v>39</v>
      </c>
      <c r="T3196" s="2" t="s">
        <v>39</v>
      </c>
      <c r="U3196" s="2" t="s">
        <v>39</v>
      </c>
      <c r="V3196" s="2" t="s">
        <v>39</v>
      </c>
      <c r="W3196" s="2" t="s">
        <v>39</v>
      </c>
      <c r="X3196" s="2" t="s">
        <v>39</v>
      </c>
      <c r="Y3196" s="2" t="s">
        <v>39</v>
      </c>
      <c r="Z3196" s="2" t="s">
        <v>38</v>
      </c>
      <c r="AA3196" s="2" t="s">
        <v>39</v>
      </c>
      <c r="AB3196" s="2" t="s">
        <v>39</v>
      </c>
      <c r="AC3196" s="2" t="s">
        <v>39</v>
      </c>
      <c r="AD3196" s="2" t="s">
        <v>39</v>
      </c>
      <c r="AE3196" s="2" t="s">
        <v>39</v>
      </c>
    </row>
    <row r="3197" spans="1:31" ht="409.5">
      <c r="A3197" s="2">
        <v>2701728</v>
      </c>
      <c r="B3197" s="2">
        <f>HYPERLINK("https://platform.v2.vetology.net/cases/2701728/screening-report/1?type=pdf&amp;v=v6&amp;scorecard=1&amp;secret_key=BX%25IJ%24%2F65ieZ%29f6", 2701728)</f>
        <v>2701728</v>
      </c>
      <c r="C3197" s="2">
        <f>HYPERLINK("https://platform.v2.vetology.net/report/v/final/"&amp;2701728, 2701728)</f>
        <v>2701728</v>
      </c>
      <c r="D3197" s="2" t="s">
        <v>10159</v>
      </c>
      <c r="E3197" s="2" t="s">
        <v>10160</v>
      </c>
      <c r="F3197" s="2"/>
      <c r="G3197" s="2" t="s">
        <v>100</v>
      </c>
      <c r="H3197" s="2" t="s">
        <v>5459</v>
      </c>
      <c r="I3197" s="2" t="s">
        <v>257</v>
      </c>
      <c r="J3197" s="2" t="s">
        <v>74</v>
      </c>
      <c r="K3197" s="2" t="s">
        <v>38</v>
      </c>
      <c r="L3197" s="2" t="s">
        <v>38</v>
      </c>
      <c r="M3197" s="2" t="s">
        <v>38</v>
      </c>
      <c r="N3197" s="2" t="s">
        <v>38</v>
      </c>
      <c r="O3197" s="2" t="s">
        <v>38</v>
      </c>
      <c r="P3197" s="2" t="s">
        <v>38</v>
      </c>
      <c r="Q3197" s="2" t="s">
        <v>38</v>
      </c>
      <c r="R3197" s="2" t="s">
        <v>38</v>
      </c>
      <c r="S3197" s="2" t="s">
        <v>38</v>
      </c>
      <c r="T3197" s="2" t="s">
        <v>39</v>
      </c>
      <c r="U3197" s="2" t="s">
        <v>38</v>
      </c>
      <c r="V3197" s="2" t="s">
        <v>38</v>
      </c>
      <c r="W3197" s="2" t="s">
        <v>38</v>
      </c>
      <c r="X3197" s="2" t="s">
        <v>38</v>
      </c>
      <c r="Y3197" s="2" t="s">
        <v>38</v>
      </c>
      <c r="Z3197" s="2" t="s">
        <v>38</v>
      </c>
      <c r="AA3197" s="2" t="s">
        <v>38</v>
      </c>
      <c r="AB3197" s="2" t="s">
        <v>39</v>
      </c>
      <c r="AC3197" s="2" t="s">
        <v>38</v>
      </c>
      <c r="AD3197" s="2" t="s">
        <v>38</v>
      </c>
      <c r="AE3197" s="2" t="s">
        <v>39</v>
      </c>
    </row>
    <row r="3198" spans="1:31" ht="409.5">
      <c r="A3198" s="2">
        <v>2701700</v>
      </c>
      <c r="B3198" s="2">
        <f>HYPERLINK("https://platform.v2.vetology.net/cases/2701700/screening-report/1?type=pdf&amp;v=v6&amp;scorecard=1&amp;secret_key=BX%25IJ%24%2F65ieZ%29f6", 2701700)</f>
        <v>2701700</v>
      </c>
      <c r="C3198" s="2">
        <f>HYPERLINK("https://platform.v2.vetology.net/report/v/final/"&amp;2701700, 2701700)</f>
        <v>2701700</v>
      </c>
      <c r="D3198" s="2" t="s">
        <v>10161</v>
      </c>
      <c r="E3198" s="2" t="s">
        <v>10162</v>
      </c>
      <c r="F3198" s="2" t="s">
        <v>43</v>
      </c>
      <c r="G3198" s="2" t="s">
        <v>44</v>
      </c>
      <c r="H3198" s="2" t="s">
        <v>45</v>
      </c>
      <c r="I3198" s="2" t="s">
        <v>46</v>
      </c>
      <c r="J3198" s="2"/>
      <c r="K3198" s="2" t="s">
        <v>39</v>
      </c>
      <c r="L3198" s="2" t="s">
        <v>39</v>
      </c>
      <c r="M3198" s="2" t="s">
        <v>39</v>
      </c>
      <c r="N3198" s="2" t="s">
        <v>39</v>
      </c>
      <c r="O3198" s="2" t="s">
        <v>39</v>
      </c>
      <c r="P3198" s="2" t="s">
        <v>39</v>
      </c>
      <c r="Q3198" s="2" t="s">
        <v>39</v>
      </c>
      <c r="R3198" s="2" t="s">
        <v>38</v>
      </c>
      <c r="S3198" s="2" t="s">
        <v>39</v>
      </c>
      <c r="T3198" s="2" t="s">
        <v>39</v>
      </c>
      <c r="U3198" s="2" t="s">
        <v>39</v>
      </c>
      <c r="V3198" s="2" t="s">
        <v>38</v>
      </c>
      <c r="W3198" s="2" t="s">
        <v>39</v>
      </c>
      <c r="X3198" s="2" t="s">
        <v>39</v>
      </c>
      <c r="Y3198" s="2" t="s">
        <v>39</v>
      </c>
      <c r="Z3198" s="2" t="s">
        <v>39</v>
      </c>
      <c r="AA3198" s="2" t="s">
        <v>39</v>
      </c>
      <c r="AB3198" s="2" t="s">
        <v>39</v>
      </c>
      <c r="AC3198" s="2" t="s">
        <v>38</v>
      </c>
      <c r="AD3198" s="2" t="s">
        <v>39</v>
      </c>
      <c r="AE3198" s="2" t="s">
        <v>39</v>
      </c>
    </row>
    <row r="3199" spans="1:31" ht="409.5">
      <c r="A3199" s="2">
        <v>2701682</v>
      </c>
      <c r="B3199" s="2">
        <f>HYPERLINK("https://platform.v2.vetology.net/cases/2701682/screening-report/1?type=pdf&amp;v=v6&amp;scorecard=1&amp;secret_key=BX%25IJ%24%2F65ieZ%29f6", 2701682)</f>
        <v>2701682</v>
      </c>
      <c r="C3199" s="2">
        <f>HYPERLINK("https://platform.v2.vetology.net/report/v/final/"&amp;2701682, 2701682)</f>
        <v>2701682</v>
      </c>
      <c r="D3199" s="2" t="s">
        <v>10163</v>
      </c>
      <c r="E3199" s="2" t="s">
        <v>10164</v>
      </c>
      <c r="F3199" s="2" t="s">
        <v>10165</v>
      </c>
      <c r="G3199" s="2" t="s">
        <v>111</v>
      </c>
      <c r="H3199" s="2" t="s">
        <v>10166</v>
      </c>
      <c r="I3199" s="2" t="s">
        <v>257</v>
      </c>
      <c r="J3199" s="2" t="s">
        <v>74</v>
      </c>
      <c r="K3199" s="2" t="s">
        <v>38</v>
      </c>
      <c r="L3199" s="2" t="s">
        <v>38</v>
      </c>
      <c r="M3199" s="2" t="s">
        <v>38</v>
      </c>
      <c r="N3199" s="2" t="s">
        <v>38</v>
      </c>
      <c r="O3199" s="2" t="s">
        <v>38</v>
      </c>
      <c r="P3199" s="2" t="s">
        <v>38</v>
      </c>
      <c r="Q3199" s="2" t="s">
        <v>38</v>
      </c>
      <c r="R3199" s="2" t="s">
        <v>38</v>
      </c>
      <c r="S3199" s="2" t="s">
        <v>38</v>
      </c>
      <c r="T3199" s="2" t="s">
        <v>38</v>
      </c>
      <c r="U3199" s="2" t="s">
        <v>38</v>
      </c>
      <c r="V3199" s="2" t="s">
        <v>38</v>
      </c>
      <c r="W3199" s="2" t="s">
        <v>38</v>
      </c>
      <c r="X3199" s="2" t="s">
        <v>38</v>
      </c>
      <c r="Y3199" s="2" t="s">
        <v>39</v>
      </c>
      <c r="Z3199" s="2" t="s">
        <v>38</v>
      </c>
      <c r="AA3199" s="2" t="s">
        <v>38</v>
      </c>
      <c r="AB3199" s="2" t="s">
        <v>38</v>
      </c>
      <c r="AC3199" s="2" t="s">
        <v>38</v>
      </c>
      <c r="AD3199" s="2" t="s">
        <v>38</v>
      </c>
      <c r="AE3199" s="2"/>
    </row>
    <row r="3200" spans="1:31" ht="409.5">
      <c r="A3200" s="2">
        <v>2701634</v>
      </c>
      <c r="B3200" s="2">
        <f>HYPERLINK("https://platform.v2.vetology.net/cases/2701634/screening-report/1?type=pdf&amp;v=v6&amp;scorecard=1&amp;secret_key=BX%25IJ%24%2F65ieZ%29f6", 2701634)</f>
        <v>2701634</v>
      </c>
      <c r="C3200" s="2">
        <f>HYPERLINK("https://platform.v2.vetology.net/report/v/final/"&amp;2701634, 2701634)</f>
        <v>2701634</v>
      </c>
      <c r="D3200" s="2" t="s">
        <v>10167</v>
      </c>
      <c r="E3200" s="2" t="s">
        <v>10168</v>
      </c>
      <c r="F3200" s="2" t="s">
        <v>43</v>
      </c>
      <c r="G3200" s="2" t="s">
        <v>44</v>
      </c>
      <c r="H3200" s="2" t="s">
        <v>10169</v>
      </c>
      <c r="I3200" s="2" t="s">
        <v>129</v>
      </c>
      <c r="J3200" s="2" t="s">
        <v>74</v>
      </c>
      <c r="K3200" s="2" t="s">
        <v>38</v>
      </c>
      <c r="L3200" s="2" t="s">
        <v>38</v>
      </c>
      <c r="M3200" s="2" t="s">
        <v>38</v>
      </c>
      <c r="N3200" s="2" t="s">
        <v>38</v>
      </c>
      <c r="O3200" s="2" t="s">
        <v>39</v>
      </c>
      <c r="P3200" s="2" t="s">
        <v>39</v>
      </c>
      <c r="Q3200" s="2" t="s">
        <v>38</v>
      </c>
      <c r="R3200" s="2" t="s">
        <v>38</v>
      </c>
      <c r="S3200" s="2" t="s">
        <v>38</v>
      </c>
      <c r="T3200" s="2" t="s">
        <v>39</v>
      </c>
      <c r="U3200" s="2" t="s">
        <v>38</v>
      </c>
      <c r="V3200" s="2" t="s">
        <v>38</v>
      </c>
      <c r="W3200" s="2" t="s">
        <v>38</v>
      </c>
      <c r="X3200" s="2" t="s">
        <v>39</v>
      </c>
      <c r="Y3200" s="2" t="s">
        <v>39</v>
      </c>
      <c r="Z3200" s="2" t="s">
        <v>38</v>
      </c>
      <c r="AA3200" s="2" t="s">
        <v>38</v>
      </c>
      <c r="AB3200" s="2" t="s">
        <v>39</v>
      </c>
      <c r="AC3200" s="2" t="s">
        <v>38</v>
      </c>
      <c r="AD3200" s="2" t="s">
        <v>39</v>
      </c>
      <c r="AE3200" s="2" t="s">
        <v>40</v>
      </c>
    </row>
    <row r="3201" spans="1:31" ht="409.5">
      <c r="A3201" s="2">
        <v>2701610</v>
      </c>
      <c r="B3201" s="2">
        <f>HYPERLINK("https://platform.v2.vetology.net/cases/2701610/screening-report/1?type=pdf&amp;v=v6&amp;scorecard=1&amp;secret_key=BX%25IJ%24%2F65ieZ%29f6", 2701610)</f>
        <v>2701610</v>
      </c>
      <c r="C3201" s="2">
        <f>HYPERLINK("https://platform.v2.vetology.net/report/v/final/"&amp;2701610, 2701610)</f>
        <v>2701610</v>
      </c>
      <c r="D3201" s="2" t="s">
        <v>10170</v>
      </c>
      <c r="E3201" s="2" t="s">
        <v>10171</v>
      </c>
      <c r="F3201" s="2" t="s">
        <v>43</v>
      </c>
      <c r="G3201" s="2" t="s">
        <v>44</v>
      </c>
      <c r="H3201" s="2" t="s">
        <v>10172</v>
      </c>
      <c r="I3201" s="2" t="s">
        <v>257</v>
      </c>
      <c r="J3201" s="2" t="s">
        <v>74</v>
      </c>
      <c r="K3201" s="2" t="s">
        <v>38</v>
      </c>
      <c r="L3201" s="2" t="s">
        <v>38</v>
      </c>
      <c r="M3201" s="2" t="s">
        <v>38</v>
      </c>
      <c r="N3201" s="2" t="s">
        <v>38</v>
      </c>
      <c r="O3201" s="2" t="s">
        <v>38</v>
      </c>
      <c r="P3201" s="2" t="s">
        <v>38</v>
      </c>
      <c r="Q3201" s="2" t="s">
        <v>38</v>
      </c>
      <c r="R3201" s="2" t="s">
        <v>38</v>
      </c>
      <c r="S3201" s="2" t="s">
        <v>38</v>
      </c>
      <c r="T3201" s="2" t="s">
        <v>38</v>
      </c>
      <c r="U3201" s="2" t="s">
        <v>38</v>
      </c>
      <c r="V3201" s="2" t="s">
        <v>38</v>
      </c>
      <c r="W3201" s="2" t="s">
        <v>38</v>
      </c>
      <c r="X3201" s="2" t="s">
        <v>38</v>
      </c>
      <c r="Y3201" s="2" t="s">
        <v>38</v>
      </c>
      <c r="Z3201" s="2" t="s">
        <v>38</v>
      </c>
      <c r="AA3201" s="2" t="s">
        <v>38</v>
      </c>
      <c r="AB3201" s="2" t="s">
        <v>38</v>
      </c>
      <c r="AC3201" s="2" t="s">
        <v>38</v>
      </c>
      <c r="AD3201" s="2" t="s">
        <v>38</v>
      </c>
      <c r="AE3201" s="2" t="s">
        <v>40</v>
      </c>
    </row>
    <row r="3202" spans="1:31" ht="409.5">
      <c r="A3202" s="2">
        <v>2701607</v>
      </c>
      <c r="B3202" s="2">
        <f>HYPERLINK("https://platform.v2.vetology.net/cases/2701607/screening-report/1?type=pdf&amp;v=v6&amp;scorecard=1&amp;secret_key=BX%25IJ%24%2F65ieZ%29f6", 2701607)</f>
        <v>2701607</v>
      </c>
      <c r="C3202" s="2">
        <f>HYPERLINK("https://platform.v2.vetology.net/report/v/final/"&amp;2701607, 2701607)</f>
        <v>2701607</v>
      </c>
      <c r="D3202" s="2" t="s">
        <v>10173</v>
      </c>
      <c r="E3202" s="2" t="s">
        <v>10174</v>
      </c>
      <c r="F3202" s="2" t="s">
        <v>10175</v>
      </c>
      <c r="G3202" s="2" t="s">
        <v>170</v>
      </c>
      <c r="H3202" s="2" t="s">
        <v>69</v>
      </c>
      <c r="I3202" s="2" t="s">
        <v>46</v>
      </c>
      <c r="J3202" s="2"/>
      <c r="K3202" s="2" t="s">
        <v>39</v>
      </c>
      <c r="L3202" s="2" t="s">
        <v>39</v>
      </c>
      <c r="M3202" s="2" t="s">
        <v>39</v>
      </c>
      <c r="N3202" s="2" t="s">
        <v>39</v>
      </c>
      <c r="O3202" s="2" t="s">
        <v>39</v>
      </c>
      <c r="P3202" s="2" t="s">
        <v>39</v>
      </c>
      <c r="Q3202" s="2" t="s">
        <v>39</v>
      </c>
      <c r="R3202" s="2" t="s">
        <v>39</v>
      </c>
      <c r="S3202" s="2" t="s">
        <v>39</v>
      </c>
      <c r="T3202" s="2" t="s">
        <v>39</v>
      </c>
      <c r="U3202" s="2" t="s">
        <v>39</v>
      </c>
      <c r="V3202" s="2" t="s">
        <v>39</v>
      </c>
      <c r="W3202" s="2" t="s">
        <v>39</v>
      </c>
      <c r="X3202" s="2" t="s">
        <v>39</v>
      </c>
      <c r="Y3202" s="2" t="s">
        <v>39</v>
      </c>
      <c r="Z3202" s="2" t="s">
        <v>39</v>
      </c>
      <c r="AA3202" s="2" t="s">
        <v>39</v>
      </c>
      <c r="AB3202" s="2" t="s">
        <v>39</v>
      </c>
      <c r="AC3202" s="2" t="s">
        <v>39</v>
      </c>
      <c r="AD3202" s="2" t="s">
        <v>39</v>
      </c>
      <c r="AE3202" s="2" t="s">
        <v>39</v>
      </c>
    </row>
    <row r="3203" spans="1:31" ht="409.5">
      <c r="A3203" s="2">
        <v>2701602</v>
      </c>
      <c r="B3203" s="2">
        <f>HYPERLINK("https://platform.v2.vetology.net/cases/2701602/screening-report/1?type=pdf&amp;v=v6&amp;scorecard=1&amp;secret_key=BX%25IJ%24%2F65ieZ%29f6", 2701602)</f>
        <v>2701602</v>
      </c>
      <c r="C3203" s="2">
        <f>HYPERLINK("https://platform.v2.vetology.net/report/v/final/"&amp;2701602, 2701602)</f>
        <v>2701602</v>
      </c>
      <c r="D3203" s="2" t="s">
        <v>10176</v>
      </c>
      <c r="E3203" s="2" t="s">
        <v>10177</v>
      </c>
      <c r="F3203" s="2" t="s">
        <v>10178</v>
      </c>
      <c r="G3203" s="2" t="s">
        <v>44</v>
      </c>
      <c r="H3203" s="2" t="s">
        <v>5479</v>
      </c>
      <c r="I3203" s="2" t="s">
        <v>36</v>
      </c>
      <c r="J3203" s="2" t="s">
        <v>37</v>
      </c>
      <c r="K3203" s="2" t="s">
        <v>39</v>
      </c>
      <c r="L3203" s="2" t="s">
        <v>38</v>
      </c>
      <c r="M3203" s="2" t="s">
        <v>39</v>
      </c>
      <c r="N3203" s="2" t="s">
        <v>39</v>
      </c>
      <c r="O3203" s="2" t="s">
        <v>38</v>
      </c>
      <c r="P3203" s="2" t="s">
        <v>39</v>
      </c>
      <c r="Q3203" s="2" t="s">
        <v>39</v>
      </c>
      <c r="R3203" s="2" t="s">
        <v>39</v>
      </c>
      <c r="S3203" s="2" t="s">
        <v>38</v>
      </c>
      <c r="T3203" s="2" t="s">
        <v>39</v>
      </c>
      <c r="U3203" s="2" t="s">
        <v>39</v>
      </c>
      <c r="V3203" s="2" t="s">
        <v>39</v>
      </c>
      <c r="W3203" s="2" t="s">
        <v>39</v>
      </c>
      <c r="X3203" s="2" t="s">
        <v>39</v>
      </c>
      <c r="Y3203" s="2" t="s">
        <v>39</v>
      </c>
      <c r="Z3203" s="2" t="s">
        <v>38</v>
      </c>
      <c r="AA3203" s="2" t="s">
        <v>39</v>
      </c>
      <c r="AB3203" s="2" t="s">
        <v>39</v>
      </c>
      <c r="AC3203" s="2" t="s">
        <v>38</v>
      </c>
      <c r="AD3203" s="2" t="s">
        <v>38</v>
      </c>
      <c r="AE3203" s="2" t="s">
        <v>39</v>
      </c>
    </row>
    <row r="3204" spans="1:31" ht="409.5">
      <c r="A3204" s="2">
        <v>2701584</v>
      </c>
      <c r="B3204" s="2">
        <f>HYPERLINK("https://platform.v2.vetology.net/cases/2701584/screening-report/1?type=pdf&amp;v=v6&amp;scorecard=1&amp;secret_key=BX%25IJ%24%2F65ieZ%29f6", 2701584)</f>
        <v>2701584</v>
      </c>
      <c r="C3204" s="2">
        <f>HYPERLINK("https://platform.v2.vetology.net/report/v/final/"&amp;2701584, 2701584)</f>
        <v>2701584</v>
      </c>
      <c r="D3204" s="2" t="s">
        <v>10179</v>
      </c>
      <c r="E3204" s="2" t="s">
        <v>10180</v>
      </c>
      <c r="F3204" s="2" t="s">
        <v>43</v>
      </c>
      <c r="G3204" s="2" t="s">
        <v>44</v>
      </c>
      <c r="H3204" s="2" t="s">
        <v>394</v>
      </c>
      <c r="I3204" s="2" t="s">
        <v>59</v>
      </c>
      <c r="J3204" s="2" t="s">
        <v>37</v>
      </c>
      <c r="K3204" s="2" t="s">
        <v>38</v>
      </c>
      <c r="L3204" s="2" t="s">
        <v>39</v>
      </c>
      <c r="M3204" s="2" t="s">
        <v>39</v>
      </c>
      <c r="N3204" s="2" t="s">
        <v>39</v>
      </c>
      <c r="O3204" s="2" t="s">
        <v>39</v>
      </c>
      <c r="P3204" s="2" t="s">
        <v>39</v>
      </c>
      <c r="Q3204" s="2" t="s">
        <v>39</v>
      </c>
      <c r="R3204" s="2" t="s">
        <v>39</v>
      </c>
      <c r="S3204" s="2" t="s">
        <v>39</v>
      </c>
      <c r="T3204" s="2" t="s">
        <v>39</v>
      </c>
      <c r="U3204" s="2" t="s">
        <v>39</v>
      </c>
      <c r="V3204" s="2" t="s">
        <v>38</v>
      </c>
      <c r="W3204" s="2" t="s">
        <v>39</v>
      </c>
      <c r="X3204" s="2" t="s">
        <v>39</v>
      </c>
      <c r="Y3204" s="2" t="s">
        <v>39</v>
      </c>
      <c r="Z3204" s="2" t="s">
        <v>39</v>
      </c>
      <c r="AA3204" s="2" t="s">
        <v>39</v>
      </c>
      <c r="AB3204" s="2" t="s">
        <v>39</v>
      </c>
      <c r="AC3204" s="2" t="s">
        <v>39</v>
      </c>
      <c r="AD3204" s="2" t="s">
        <v>39</v>
      </c>
      <c r="AE3204" s="2" t="s">
        <v>39</v>
      </c>
    </row>
    <row r="3205" spans="1:31" ht="409.5">
      <c r="A3205" s="2">
        <v>2701569</v>
      </c>
      <c r="B3205" s="2">
        <f>HYPERLINK("https://platform.v2.vetology.net/cases/2701569/screening-report/1?type=pdf&amp;v=v6&amp;scorecard=1&amp;secret_key=BX%25IJ%24%2F65ieZ%29f6", 2701569)</f>
        <v>2701569</v>
      </c>
      <c r="C3205" s="2">
        <f>HYPERLINK("https://platform.v2.vetology.net/report/v/final/"&amp;2701569, 2701569)</f>
        <v>2701569</v>
      </c>
      <c r="D3205" s="2" t="s">
        <v>10181</v>
      </c>
      <c r="E3205" s="2" t="s">
        <v>10182</v>
      </c>
      <c r="F3205" s="2" t="s">
        <v>10183</v>
      </c>
      <c r="G3205" s="2" t="s">
        <v>53</v>
      </c>
      <c r="H3205" s="2" t="s">
        <v>10184</v>
      </c>
      <c r="I3205" s="2" t="s">
        <v>36</v>
      </c>
      <c r="J3205" s="2" t="s">
        <v>37</v>
      </c>
      <c r="K3205" s="2" t="s">
        <v>38</v>
      </c>
      <c r="L3205" s="2" t="s">
        <v>38</v>
      </c>
      <c r="M3205" s="2" t="s">
        <v>39</v>
      </c>
      <c r="N3205" s="2" t="s">
        <v>39</v>
      </c>
      <c r="O3205" s="2" t="s">
        <v>39</v>
      </c>
      <c r="P3205" s="2" t="s">
        <v>39</v>
      </c>
      <c r="Q3205" s="2" t="s">
        <v>39</v>
      </c>
      <c r="R3205" s="2" t="s">
        <v>39</v>
      </c>
      <c r="S3205" s="2" t="s">
        <v>39</v>
      </c>
      <c r="T3205" s="2" t="s">
        <v>39</v>
      </c>
      <c r="U3205" s="2" t="s">
        <v>39</v>
      </c>
      <c r="V3205" s="2" t="s">
        <v>38</v>
      </c>
      <c r="W3205" s="2" t="s">
        <v>39</v>
      </c>
      <c r="X3205" s="2" t="s">
        <v>39</v>
      </c>
      <c r="Y3205" s="2" t="s">
        <v>39</v>
      </c>
      <c r="Z3205" s="2" t="s">
        <v>38</v>
      </c>
      <c r="AA3205" s="2" t="s">
        <v>39</v>
      </c>
      <c r="AB3205" s="2" t="s">
        <v>39</v>
      </c>
      <c r="AC3205" s="2" t="s">
        <v>39</v>
      </c>
      <c r="AD3205" s="2" t="s">
        <v>39</v>
      </c>
      <c r="AE3205" s="2" t="s">
        <v>39</v>
      </c>
    </row>
    <row r="3206" spans="1:31" ht="409.5">
      <c r="A3206" s="2">
        <v>2701536</v>
      </c>
      <c r="B3206" s="2">
        <f>HYPERLINK("https://platform.v2.vetology.net/cases/2701536/screening-report/1?type=pdf&amp;v=v6&amp;scorecard=1&amp;secret_key=BX%25IJ%24%2F65ieZ%29f6", 2701536)</f>
        <v>2701536</v>
      </c>
      <c r="C3206" s="2">
        <f>HYPERLINK("https://platform.v2.vetology.net/report/v/final/"&amp;2701536, 2701536)</f>
        <v>2701536</v>
      </c>
      <c r="D3206" s="2" t="s">
        <v>10185</v>
      </c>
      <c r="E3206" s="2" t="s">
        <v>10186</v>
      </c>
      <c r="F3206" s="2" t="s">
        <v>43</v>
      </c>
      <c r="G3206" s="2" t="s">
        <v>44</v>
      </c>
      <c r="H3206" s="2" t="s">
        <v>378</v>
      </c>
      <c r="I3206" s="2" t="s">
        <v>36</v>
      </c>
      <c r="J3206" s="2" t="s">
        <v>37</v>
      </c>
      <c r="K3206" s="2" t="s">
        <v>39</v>
      </c>
      <c r="L3206" s="2" t="s">
        <v>39</v>
      </c>
      <c r="M3206" s="2" t="s">
        <v>38</v>
      </c>
      <c r="N3206" s="2" t="s">
        <v>39</v>
      </c>
      <c r="O3206" s="2" t="s">
        <v>38</v>
      </c>
      <c r="P3206" s="2" t="s">
        <v>39</v>
      </c>
      <c r="Q3206" s="2" t="s">
        <v>39</v>
      </c>
      <c r="R3206" s="2" t="s">
        <v>39</v>
      </c>
      <c r="S3206" s="2" t="s">
        <v>38</v>
      </c>
      <c r="T3206" s="2" t="s">
        <v>38</v>
      </c>
      <c r="U3206" s="2" t="s">
        <v>39</v>
      </c>
      <c r="V3206" s="2" t="s">
        <v>39</v>
      </c>
      <c r="W3206" s="2" t="s">
        <v>38</v>
      </c>
      <c r="X3206" s="2" t="s">
        <v>39</v>
      </c>
      <c r="Y3206" s="2" t="s">
        <v>39</v>
      </c>
      <c r="Z3206" s="2" t="s">
        <v>38</v>
      </c>
      <c r="AA3206" s="2" t="s">
        <v>39</v>
      </c>
      <c r="AB3206" s="2" t="s">
        <v>38</v>
      </c>
      <c r="AC3206" s="2" t="s">
        <v>38</v>
      </c>
      <c r="AD3206" s="2" t="s">
        <v>38</v>
      </c>
      <c r="AE3206" s="2" t="s">
        <v>40</v>
      </c>
    </row>
    <row r="3207" spans="1:31" ht="409.5">
      <c r="A3207" s="2">
        <v>2701520</v>
      </c>
      <c r="B3207" s="2">
        <f>HYPERLINK("https://platform.v2.vetology.net/cases/2701520/screening-report/1?type=pdf&amp;v=v6&amp;scorecard=1&amp;secret_key=BX%25IJ%24%2F65ieZ%29f6", 2701520)</f>
        <v>2701520</v>
      </c>
      <c r="C3207" s="2">
        <f>HYPERLINK("https://platform.v2.vetology.net/report/v/final/"&amp;2701520, 2701520)</f>
        <v>2701520</v>
      </c>
      <c r="D3207" s="2" t="s">
        <v>10187</v>
      </c>
      <c r="E3207" s="2" t="s">
        <v>10188</v>
      </c>
      <c r="F3207" s="2" t="s">
        <v>10189</v>
      </c>
      <c r="G3207" s="2" t="s">
        <v>53</v>
      </c>
      <c r="H3207" s="2" t="s">
        <v>10190</v>
      </c>
      <c r="I3207" s="2" t="s">
        <v>36</v>
      </c>
      <c r="J3207" s="2" t="s">
        <v>37</v>
      </c>
      <c r="K3207" s="2" t="s">
        <v>38</v>
      </c>
      <c r="L3207" s="2" t="s">
        <v>39</v>
      </c>
      <c r="M3207" s="2" t="s">
        <v>38</v>
      </c>
      <c r="N3207" s="2" t="s">
        <v>38</v>
      </c>
      <c r="O3207" s="2" t="s">
        <v>38</v>
      </c>
      <c r="P3207" s="2" t="s">
        <v>39</v>
      </c>
      <c r="Q3207" s="2" t="s">
        <v>39</v>
      </c>
      <c r="R3207" s="2" t="s">
        <v>38</v>
      </c>
      <c r="S3207" s="2" t="s">
        <v>39</v>
      </c>
      <c r="T3207" s="2" t="s">
        <v>38</v>
      </c>
      <c r="U3207" s="2" t="s">
        <v>39</v>
      </c>
      <c r="V3207" s="2" t="s">
        <v>38</v>
      </c>
      <c r="W3207" s="2" t="s">
        <v>38</v>
      </c>
      <c r="X3207" s="2" t="s">
        <v>39</v>
      </c>
      <c r="Y3207" s="2" t="s">
        <v>39</v>
      </c>
      <c r="Z3207" s="2" t="s">
        <v>38</v>
      </c>
      <c r="AA3207" s="2" t="s">
        <v>38</v>
      </c>
      <c r="AB3207" s="2" t="s">
        <v>39</v>
      </c>
      <c r="AC3207" s="2" t="s">
        <v>38</v>
      </c>
      <c r="AD3207" s="2" t="s">
        <v>38</v>
      </c>
      <c r="AE3207" s="2" t="s">
        <v>40</v>
      </c>
    </row>
    <row r="3208" spans="1:31" ht="409.5">
      <c r="A3208" s="2">
        <v>2701492</v>
      </c>
      <c r="B3208" s="2">
        <f>HYPERLINK("https://platform.v2.vetology.net/cases/2701492/screening-report/1?type=pdf&amp;v=v6&amp;scorecard=1&amp;secret_key=BX%25IJ%24%2F65ieZ%29f6", 2701492)</f>
        <v>2701492</v>
      </c>
      <c r="C3208" s="2">
        <f>HYPERLINK("https://platform.v2.vetology.net/report/v/final/"&amp;2701492, 2701492)</f>
        <v>2701492</v>
      </c>
      <c r="D3208" s="2" t="s">
        <v>10191</v>
      </c>
      <c r="E3208" s="2" t="s">
        <v>10192</v>
      </c>
      <c r="F3208" s="2" t="s">
        <v>10193</v>
      </c>
      <c r="G3208" s="2" t="s">
        <v>111</v>
      </c>
      <c r="H3208" s="2" t="s">
        <v>45</v>
      </c>
      <c r="I3208" s="2" t="s">
        <v>46</v>
      </c>
      <c r="J3208" s="2"/>
      <c r="K3208" s="2" t="s">
        <v>39</v>
      </c>
      <c r="L3208" s="2" t="s">
        <v>39</v>
      </c>
      <c r="M3208" s="2" t="s">
        <v>39</v>
      </c>
      <c r="N3208" s="2" t="s">
        <v>39</v>
      </c>
      <c r="O3208" s="2" t="s">
        <v>39</v>
      </c>
      <c r="P3208" s="2" t="s">
        <v>39</v>
      </c>
      <c r="Q3208" s="2" t="s">
        <v>39</v>
      </c>
      <c r="R3208" s="2" t="s">
        <v>38</v>
      </c>
      <c r="S3208" s="2" t="s">
        <v>39</v>
      </c>
      <c r="T3208" s="2" t="s">
        <v>39</v>
      </c>
      <c r="U3208" s="2" t="s">
        <v>39</v>
      </c>
      <c r="V3208" s="2" t="s">
        <v>39</v>
      </c>
      <c r="W3208" s="2" t="s">
        <v>39</v>
      </c>
      <c r="X3208" s="2" t="s">
        <v>39</v>
      </c>
      <c r="Y3208" s="2" t="s">
        <v>39</v>
      </c>
      <c r="Z3208" s="2" t="s">
        <v>39</v>
      </c>
      <c r="AA3208" s="2" t="s">
        <v>38</v>
      </c>
      <c r="AB3208" s="2" t="s">
        <v>39</v>
      </c>
      <c r="AC3208" s="2" t="s">
        <v>38</v>
      </c>
      <c r="AD3208" s="2" t="s">
        <v>39</v>
      </c>
      <c r="AE3208" s="2" t="s">
        <v>39</v>
      </c>
    </row>
    <row r="3209" spans="1:31" ht="409.5">
      <c r="A3209" s="2">
        <v>2701478</v>
      </c>
      <c r="B3209" s="2">
        <f>HYPERLINK("https://platform.v2.vetology.net/cases/2701478/screening-report/1?type=pdf&amp;v=v6&amp;scorecard=1&amp;secret_key=BX%25IJ%24%2F65ieZ%29f6", 2701478)</f>
        <v>2701478</v>
      </c>
      <c r="C3209" s="2">
        <f>HYPERLINK("https://platform.v2.vetology.net/report/v/final/"&amp;2701478, 2701478)</f>
        <v>2701478</v>
      </c>
      <c r="D3209" s="2" t="s">
        <v>10194</v>
      </c>
      <c r="E3209" s="2" t="s">
        <v>10195</v>
      </c>
      <c r="F3209" s="2" t="s">
        <v>10196</v>
      </c>
      <c r="G3209" s="2" t="s">
        <v>170</v>
      </c>
      <c r="H3209" s="2" t="s">
        <v>2009</v>
      </c>
      <c r="I3209" s="2" t="s">
        <v>129</v>
      </c>
      <c r="J3209" s="2" t="s">
        <v>74</v>
      </c>
      <c r="K3209" s="2" t="s">
        <v>38</v>
      </c>
      <c r="L3209" s="2" t="s">
        <v>38</v>
      </c>
      <c r="M3209" s="2" t="s">
        <v>38</v>
      </c>
      <c r="N3209" s="2" t="s">
        <v>38</v>
      </c>
      <c r="O3209" s="2" t="s">
        <v>38</v>
      </c>
      <c r="P3209" s="2" t="s">
        <v>38</v>
      </c>
      <c r="Q3209" s="2" t="s">
        <v>38</v>
      </c>
      <c r="R3209" s="2" t="s">
        <v>38</v>
      </c>
      <c r="S3209" s="2" t="s">
        <v>38</v>
      </c>
      <c r="T3209" s="2" t="s">
        <v>38</v>
      </c>
      <c r="U3209" s="2" t="s">
        <v>39</v>
      </c>
      <c r="V3209" s="2" t="s">
        <v>39</v>
      </c>
      <c r="W3209" s="2" t="s">
        <v>39</v>
      </c>
      <c r="X3209" s="2" t="s">
        <v>39</v>
      </c>
      <c r="Y3209" s="2" t="s">
        <v>39</v>
      </c>
      <c r="Z3209" s="2" t="s">
        <v>38</v>
      </c>
      <c r="AA3209" s="2" t="s">
        <v>39</v>
      </c>
      <c r="AB3209" s="2" t="s">
        <v>39</v>
      </c>
      <c r="AC3209" s="2" t="s">
        <v>38</v>
      </c>
      <c r="AD3209" s="2" t="s">
        <v>38</v>
      </c>
      <c r="AE3209" s="2"/>
    </row>
    <row r="3210" spans="1:31" ht="409.5">
      <c r="A3210" s="2">
        <v>2701457</v>
      </c>
      <c r="B3210" s="2">
        <f>HYPERLINK("https://platform.v2.vetology.net/cases/2701457/screening-report/1?type=pdf&amp;v=v6&amp;scorecard=1&amp;secret_key=BX%25IJ%24%2F65ieZ%29f6", 2701457)</f>
        <v>2701457</v>
      </c>
      <c r="C3210" s="2">
        <f>HYPERLINK("https://platform.v2.vetology.net/report/v/final/"&amp;2701457, 2701457)</f>
        <v>2701457</v>
      </c>
      <c r="D3210" s="2" t="s">
        <v>10197</v>
      </c>
      <c r="E3210" s="2" t="s">
        <v>10198</v>
      </c>
      <c r="F3210" s="2" t="s">
        <v>10199</v>
      </c>
      <c r="G3210" s="2" t="s">
        <v>170</v>
      </c>
      <c r="H3210" s="2" t="s">
        <v>10200</v>
      </c>
      <c r="I3210" s="2" t="s">
        <v>36</v>
      </c>
      <c r="J3210" s="2" t="s">
        <v>37</v>
      </c>
      <c r="K3210" s="2" t="s">
        <v>38</v>
      </c>
      <c r="L3210" s="2" t="s">
        <v>38</v>
      </c>
      <c r="M3210" s="2" t="s">
        <v>38</v>
      </c>
      <c r="N3210" s="2" t="s">
        <v>39</v>
      </c>
      <c r="O3210" s="2" t="s">
        <v>38</v>
      </c>
      <c r="P3210" s="2" t="s">
        <v>39</v>
      </c>
      <c r="Q3210" s="2" t="s">
        <v>39</v>
      </c>
      <c r="R3210" s="2" t="s">
        <v>38</v>
      </c>
      <c r="S3210" s="2" t="s">
        <v>38</v>
      </c>
      <c r="T3210" s="2" t="s">
        <v>39</v>
      </c>
      <c r="U3210" s="2" t="s">
        <v>38</v>
      </c>
      <c r="V3210" s="2" t="s">
        <v>38</v>
      </c>
      <c r="W3210" s="2" t="s">
        <v>38</v>
      </c>
      <c r="X3210" s="2" t="s">
        <v>38</v>
      </c>
      <c r="Y3210" s="2" t="s">
        <v>38</v>
      </c>
      <c r="Z3210" s="2" t="s">
        <v>38</v>
      </c>
      <c r="AA3210" s="2" t="s">
        <v>39</v>
      </c>
      <c r="AB3210" s="2" t="s">
        <v>38</v>
      </c>
      <c r="AC3210" s="2" t="s">
        <v>38</v>
      </c>
      <c r="AD3210" s="2" t="s">
        <v>38</v>
      </c>
      <c r="AE3210" s="2" t="s">
        <v>39</v>
      </c>
    </row>
    <row r="3211" spans="1:31" ht="409.5">
      <c r="A3211" s="2">
        <v>2701433</v>
      </c>
      <c r="B3211" s="2">
        <f>HYPERLINK("https://platform.v2.vetology.net/cases/2701433/screening-report/1?type=pdf&amp;v=v6&amp;scorecard=1&amp;secret_key=BX%25IJ%24%2F65ieZ%29f6", 2701433)</f>
        <v>2701433</v>
      </c>
      <c r="C3211" s="2">
        <f>HYPERLINK("https://platform.v2.vetology.net/report/v/final/"&amp;2701433, 2701433)</f>
        <v>2701433</v>
      </c>
      <c r="D3211" s="2" t="s">
        <v>10201</v>
      </c>
      <c r="E3211" s="2" t="s">
        <v>10202</v>
      </c>
      <c r="F3211" s="2" t="s">
        <v>10203</v>
      </c>
      <c r="G3211" s="2" t="s">
        <v>111</v>
      </c>
      <c r="H3211" s="2" t="s">
        <v>10204</v>
      </c>
      <c r="I3211" s="2" t="s">
        <v>36</v>
      </c>
      <c r="J3211" s="2" t="s">
        <v>37</v>
      </c>
      <c r="K3211" s="2" t="s">
        <v>39</v>
      </c>
      <c r="L3211" s="2" t="s">
        <v>38</v>
      </c>
      <c r="M3211" s="2" t="s">
        <v>39</v>
      </c>
      <c r="N3211" s="2" t="s">
        <v>38</v>
      </c>
      <c r="O3211" s="2" t="s">
        <v>38</v>
      </c>
      <c r="P3211" s="2" t="s">
        <v>39</v>
      </c>
      <c r="Q3211" s="2" t="s">
        <v>39</v>
      </c>
      <c r="R3211" s="2" t="s">
        <v>39</v>
      </c>
      <c r="S3211" s="2" t="s">
        <v>38</v>
      </c>
      <c r="T3211" s="2" t="s">
        <v>39</v>
      </c>
      <c r="U3211" s="2" t="s">
        <v>39</v>
      </c>
      <c r="V3211" s="2" t="s">
        <v>39</v>
      </c>
      <c r="W3211" s="2" t="s">
        <v>39</v>
      </c>
      <c r="X3211" s="2" t="s">
        <v>39</v>
      </c>
      <c r="Y3211" s="2" t="s">
        <v>39</v>
      </c>
      <c r="Z3211" s="2" t="s">
        <v>39</v>
      </c>
      <c r="AA3211" s="2" t="s">
        <v>39</v>
      </c>
      <c r="AB3211" s="2" t="s">
        <v>39</v>
      </c>
      <c r="AC3211" s="2" t="s">
        <v>38</v>
      </c>
      <c r="AD3211" s="2" t="s">
        <v>38</v>
      </c>
      <c r="AE3211" s="2" t="s">
        <v>39</v>
      </c>
    </row>
    <row r="3212" spans="1:31" ht="409.5">
      <c r="A3212" s="2">
        <v>2701405</v>
      </c>
      <c r="B3212" s="2">
        <f>HYPERLINK("https://platform.v2.vetology.net/cases/2701405/screening-report/1?type=pdf&amp;v=v6&amp;scorecard=1&amp;secret_key=BX%25IJ%24%2F65ieZ%29f6", 2701405)</f>
        <v>2701405</v>
      </c>
      <c r="C3212" s="2">
        <f>HYPERLINK("https://platform.v2.vetology.net/report/v/final/"&amp;2701405, 2701405)</f>
        <v>2701405</v>
      </c>
      <c r="D3212" s="2" t="s">
        <v>10205</v>
      </c>
      <c r="E3212" s="2" t="s">
        <v>10206</v>
      </c>
      <c r="F3212" s="2" t="s">
        <v>43</v>
      </c>
      <c r="G3212" s="2" t="s">
        <v>44</v>
      </c>
      <c r="H3212" s="2" t="s">
        <v>1056</v>
      </c>
      <c r="I3212" s="2" t="s">
        <v>59</v>
      </c>
      <c r="J3212" s="2" t="s">
        <v>37</v>
      </c>
      <c r="K3212" s="2" t="s">
        <v>39</v>
      </c>
      <c r="L3212" s="2" t="s">
        <v>39</v>
      </c>
      <c r="M3212" s="2" t="s">
        <v>39</v>
      </c>
      <c r="N3212" s="2" t="s">
        <v>38</v>
      </c>
      <c r="O3212" s="2" t="s">
        <v>38</v>
      </c>
      <c r="P3212" s="2" t="s">
        <v>39</v>
      </c>
      <c r="Q3212" s="2" t="s">
        <v>39</v>
      </c>
      <c r="R3212" s="2" t="s">
        <v>39</v>
      </c>
      <c r="S3212" s="2" t="s">
        <v>39</v>
      </c>
      <c r="T3212" s="2" t="s">
        <v>39</v>
      </c>
      <c r="U3212" s="2" t="s">
        <v>39</v>
      </c>
      <c r="V3212" s="2" t="s">
        <v>38</v>
      </c>
      <c r="W3212" s="2" t="s">
        <v>38</v>
      </c>
      <c r="X3212" s="2" t="s">
        <v>39</v>
      </c>
      <c r="Y3212" s="2" t="s">
        <v>39</v>
      </c>
      <c r="Z3212" s="2" t="s">
        <v>39</v>
      </c>
      <c r="AA3212" s="2" t="s">
        <v>39</v>
      </c>
      <c r="AB3212" s="2" t="s">
        <v>39</v>
      </c>
      <c r="AC3212" s="2" t="s">
        <v>38</v>
      </c>
      <c r="AD3212" s="2" t="s">
        <v>38</v>
      </c>
      <c r="AE3212" s="2" t="s">
        <v>39</v>
      </c>
    </row>
    <row r="3213" spans="1:31" ht="409.5">
      <c r="A3213" s="2">
        <v>2701381</v>
      </c>
      <c r="B3213" s="2">
        <f>HYPERLINK("https://platform.v2.vetology.net/cases/2701381/screening-report/1?type=pdf&amp;v=v6&amp;scorecard=1&amp;secret_key=BX%25IJ%24%2F65ieZ%29f6", 2701381)</f>
        <v>2701381</v>
      </c>
      <c r="C3213" s="2">
        <f>HYPERLINK("https://platform.v2.vetology.net/report/v/final/"&amp;2701381, 2701381)</f>
        <v>2701381</v>
      </c>
      <c r="D3213" s="2" t="s">
        <v>10207</v>
      </c>
      <c r="E3213" s="2" t="s">
        <v>10208</v>
      </c>
      <c r="F3213" s="2" t="s">
        <v>43</v>
      </c>
      <c r="G3213" s="2" t="s">
        <v>100</v>
      </c>
      <c r="H3213" s="2" t="s">
        <v>797</v>
      </c>
      <c r="I3213" s="2" t="s">
        <v>59</v>
      </c>
      <c r="J3213" s="2" t="s">
        <v>37</v>
      </c>
      <c r="K3213" s="2" t="s">
        <v>38</v>
      </c>
      <c r="L3213" s="2" t="s">
        <v>39</v>
      </c>
      <c r="M3213" s="2" t="s">
        <v>39</v>
      </c>
      <c r="N3213" s="2" t="s">
        <v>39</v>
      </c>
      <c r="O3213" s="2" t="s">
        <v>39</v>
      </c>
      <c r="P3213" s="2" t="s">
        <v>39</v>
      </c>
      <c r="Q3213" s="2" t="s">
        <v>39</v>
      </c>
      <c r="R3213" s="2" t="s">
        <v>38</v>
      </c>
      <c r="S3213" s="2" t="s">
        <v>39</v>
      </c>
      <c r="T3213" s="2" t="s">
        <v>39</v>
      </c>
      <c r="U3213" s="2" t="s">
        <v>38</v>
      </c>
      <c r="V3213" s="2" t="s">
        <v>38</v>
      </c>
      <c r="W3213" s="2" t="s">
        <v>38</v>
      </c>
      <c r="X3213" s="2" t="s">
        <v>39</v>
      </c>
      <c r="Y3213" s="2" t="s">
        <v>39</v>
      </c>
      <c r="Z3213" s="2" t="s">
        <v>38</v>
      </c>
      <c r="AA3213" s="2" t="s">
        <v>39</v>
      </c>
      <c r="AB3213" s="2" t="s">
        <v>39</v>
      </c>
      <c r="AC3213" s="2" t="s">
        <v>38</v>
      </c>
      <c r="AD3213" s="2" t="s">
        <v>39</v>
      </c>
      <c r="AE3213" s="2" t="s">
        <v>40</v>
      </c>
    </row>
    <row r="3214" spans="1:31" ht="409.5">
      <c r="A3214" s="2">
        <v>2701377</v>
      </c>
      <c r="B3214" s="2">
        <f>HYPERLINK("https://platform.v2.vetology.net/cases/2701377/screening-report/1?type=pdf&amp;v=v6&amp;scorecard=1&amp;secret_key=BX%25IJ%24%2F65ieZ%29f6", 2701377)</f>
        <v>2701377</v>
      </c>
      <c r="C3214" s="2">
        <f>HYPERLINK("https://platform.v2.vetology.net/report/v/final/"&amp;2701377, 2701377)</f>
        <v>2701377</v>
      </c>
      <c r="D3214" s="2" t="s">
        <v>10209</v>
      </c>
      <c r="E3214" s="2" t="s">
        <v>10210</v>
      </c>
      <c r="F3214" s="2" t="s">
        <v>43</v>
      </c>
      <c r="G3214" s="2" t="s">
        <v>44</v>
      </c>
      <c r="H3214" s="2" t="s">
        <v>4935</v>
      </c>
      <c r="I3214" s="2" t="s">
        <v>36</v>
      </c>
      <c r="J3214" s="2" t="s">
        <v>37</v>
      </c>
      <c r="K3214" s="2" t="s">
        <v>39</v>
      </c>
      <c r="L3214" s="2" t="s">
        <v>38</v>
      </c>
      <c r="M3214" s="2" t="s">
        <v>38</v>
      </c>
      <c r="N3214" s="2" t="s">
        <v>38</v>
      </c>
      <c r="O3214" s="2" t="s">
        <v>38</v>
      </c>
      <c r="P3214" s="2" t="s">
        <v>39</v>
      </c>
      <c r="Q3214" s="2" t="s">
        <v>38</v>
      </c>
      <c r="R3214" s="2" t="s">
        <v>38</v>
      </c>
      <c r="S3214" s="2" t="s">
        <v>38</v>
      </c>
      <c r="T3214" s="2" t="s">
        <v>38</v>
      </c>
      <c r="U3214" s="2" t="s">
        <v>39</v>
      </c>
      <c r="V3214" s="2" t="s">
        <v>39</v>
      </c>
      <c r="W3214" s="2" t="s">
        <v>38</v>
      </c>
      <c r="X3214" s="2" t="s">
        <v>38</v>
      </c>
      <c r="Y3214" s="2" t="s">
        <v>38</v>
      </c>
      <c r="Z3214" s="2" t="s">
        <v>38</v>
      </c>
      <c r="AA3214" s="2" t="s">
        <v>38</v>
      </c>
      <c r="AB3214" s="2" t="s">
        <v>38</v>
      </c>
      <c r="AC3214" s="2" t="s">
        <v>38</v>
      </c>
      <c r="AD3214" s="2" t="s">
        <v>38</v>
      </c>
      <c r="AE3214" s="2" t="s">
        <v>40</v>
      </c>
    </row>
    <row r="3215" spans="1:31" ht="409.5">
      <c r="A3215" s="2">
        <v>2701375</v>
      </c>
      <c r="B3215" s="2">
        <f>HYPERLINK("https://platform.v2.vetology.net/cases/2701375/screening-report/1?type=pdf&amp;v=v6&amp;scorecard=1&amp;secret_key=BX%25IJ%24%2F65ieZ%29f6", 2701375)</f>
        <v>2701375</v>
      </c>
      <c r="C3215" s="2">
        <f>HYPERLINK("https://platform.v2.vetology.net/report/v/final/"&amp;2701375, 2701375)</f>
        <v>2701375</v>
      </c>
      <c r="D3215" s="2" t="s">
        <v>10211</v>
      </c>
      <c r="E3215" s="2" t="s">
        <v>10212</v>
      </c>
      <c r="F3215" s="2"/>
      <c r="G3215" s="2" t="s">
        <v>100</v>
      </c>
      <c r="H3215" s="2" t="s">
        <v>5589</v>
      </c>
      <c r="I3215" s="2" t="s">
        <v>36</v>
      </c>
      <c r="J3215" s="2" t="s">
        <v>37</v>
      </c>
      <c r="K3215" s="2" t="s">
        <v>38</v>
      </c>
      <c r="L3215" s="2" t="s">
        <v>38</v>
      </c>
      <c r="M3215" s="2" t="s">
        <v>39</v>
      </c>
      <c r="N3215" s="2" t="s">
        <v>38</v>
      </c>
      <c r="O3215" s="2" t="s">
        <v>39</v>
      </c>
      <c r="P3215" s="2" t="s">
        <v>39</v>
      </c>
      <c r="Q3215" s="2" t="s">
        <v>39</v>
      </c>
      <c r="R3215" s="2" t="s">
        <v>39</v>
      </c>
      <c r="S3215" s="2" t="s">
        <v>38</v>
      </c>
      <c r="T3215" s="2" t="s">
        <v>39</v>
      </c>
      <c r="U3215" s="2" t="s">
        <v>38</v>
      </c>
      <c r="V3215" s="2" t="s">
        <v>38</v>
      </c>
      <c r="W3215" s="2" t="s">
        <v>38</v>
      </c>
      <c r="X3215" s="2" t="s">
        <v>39</v>
      </c>
      <c r="Y3215" s="2" t="s">
        <v>39</v>
      </c>
      <c r="Z3215" s="2" t="s">
        <v>38</v>
      </c>
      <c r="AA3215" s="2" t="s">
        <v>39</v>
      </c>
      <c r="AB3215" s="2" t="s">
        <v>39</v>
      </c>
      <c r="AC3215" s="2" t="s">
        <v>38</v>
      </c>
      <c r="AD3215" s="2" t="s">
        <v>39</v>
      </c>
      <c r="AE3215" s="2" t="s">
        <v>40</v>
      </c>
    </row>
    <row r="3216" spans="1:31" ht="409.5">
      <c r="A3216" s="2">
        <v>2701326</v>
      </c>
      <c r="B3216" s="2">
        <f>HYPERLINK("https://platform.v2.vetology.net/cases/2701326/screening-report/1?type=pdf&amp;v=v6&amp;scorecard=1&amp;secret_key=BX%25IJ%24%2F65ieZ%29f6", 2701326)</f>
        <v>2701326</v>
      </c>
      <c r="C3216" s="2">
        <f>HYPERLINK("https://platform.v2.vetology.net/report/v/final/"&amp;2701326, 2701326)</f>
        <v>2701326</v>
      </c>
      <c r="D3216" s="2" t="s">
        <v>10213</v>
      </c>
      <c r="E3216" s="2" t="s">
        <v>99</v>
      </c>
      <c r="F3216" s="2" t="s">
        <v>3048</v>
      </c>
      <c r="G3216" s="2" t="s">
        <v>100</v>
      </c>
      <c r="H3216" s="2" t="s">
        <v>6828</v>
      </c>
      <c r="I3216" s="2" t="s">
        <v>36</v>
      </c>
      <c r="J3216" s="2" t="s">
        <v>37</v>
      </c>
      <c r="K3216" s="2" t="s">
        <v>38</v>
      </c>
      <c r="L3216" s="2" t="s">
        <v>39</v>
      </c>
      <c r="M3216" s="2" t="s">
        <v>38</v>
      </c>
      <c r="N3216" s="2" t="s">
        <v>39</v>
      </c>
      <c r="O3216" s="2" t="s">
        <v>38</v>
      </c>
      <c r="P3216" s="2" t="s">
        <v>39</v>
      </c>
      <c r="Q3216" s="2" t="s">
        <v>39</v>
      </c>
      <c r="R3216" s="2" t="s">
        <v>38</v>
      </c>
      <c r="S3216" s="2" t="s">
        <v>39</v>
      </c>
      <c r="T3216" s="2" t="s">
        <v>39</v>
      </c>
      <c r="U3216" s="2" t="s">
        <v>39</v>
      </c>
      <c r="V3216" s="2" t="s">
        <v>38</v>
      </c>
      <c r="W3216" s="2" t="s">
        <v>38</v>
      </c>
      <c r="X3216" s="2" t="s">
        <v>38</v>
      </c>
      <c r="Y3216" s="2" t="s">
        <v>39</v>
      </c>
      <c r="Z3216" s="2" t="s">
        <v>39</v>
      </c>
      <c r="AA3216" s="2" t="s">
        <v>39</v>
      </c>
      <c r="AB3216" s="2" t="s">
        <v>39</v>
      </c>
      <c r="AC3216" s="2" t="s">
        <v>38</v>
      </c>
      <c r="AD3216" s="2" t="s">
        <v>38</v>
      </c>
      <c r="AE3216" s="2" t="s">
        <v>39</v>
      </c>
    </row>
    <row r="3217" spans="1:31" ht="409.5">
      <c r="A3217" s="2">
        <v>2701297</v>
      </c>
      <c r="B3217" s="2">
        <f>HYPERLINK("https://platform.v2.vetology.net/cases/2701297/screening-report/1?type=pdf&amp;v=v6&amp;scorecard=1&amp;secret_key=BX%25IJ%24%2F65ieZ%29f6", 2701297)</f>
        <v>2701297</v>
      </c>
      <c r="C3217" s="2">
        <f>HYPERLINK("https://platform.v2.vetology.net/report/v/final/"&amp;2701297, 2701297)</f>
        <v>2701297</v>
      </c>
      <c r="D3217" s="2" t="s">
        <v>10214</v>
      </c>
      <c r="E3217" s="2" t="s">
        <v>10215</v>
      </c>
      <c r="F3217" s="2" t="s">
        <v>9672</v>
      </c>
      <c r="G3217" s="2" t="s">
        <v>34</v>
      </c>
      <c r="H3217" s="2" t="s">
        <v>10216</v>
      </c>
      <c r="I3217" s="2" t="s">
        <v>129</v>
      </c>
      <c r="J3217" s="2" t="s">
        <v>74</v>
      </c>
      <c r="K3217" s="2" t="s">
        <v>38</v>
      </c>
      <c r="L3217" s="2" t="s">
        <v>38</v>
      </c>
      <c r="M3217" s="2" t="s">
        <v>38</v>
      </c>
      <c r="N3217" s="2" t="s">
        <v>38</v>
      </c>
      <c r="O3217" s="2" t="s">
        <v>38</v>
      </c>
      <c r="P3217" s="2" t="s">
        <v>39</v>
      </c>
      <c r="Q3217" s="2" t="s">
        <v>38</v>
      </c>
      <c r="R3217" s="2" t="s">
        <v>38</v>
      </c>
      <c r="S3217" s="2" t="s">
        <v>38</v>
      </c>
      <c r="T3217" s="2" t="s">
        <v>38</v>
      </c>
      <c r="U3217" s="2" t="s">
        <v>38</v>
      </c>
      <c r="V3217" s="2" t="s">
        <v>38</v>
      </c>
      <c r="W3217" s="2" t="s">
        <v>38</v>
      </c>
      <c r="X3217" s="2" t="s">
        <v>38</v>
      </c>
      <c r="Y3217" s="2" t="s">
        <v>38</v>
      </c>
      <c r="Z3217" s="2" t="s">
        <v>38</v>
      </c>
      <c r="AA3217" s="2" t="s">
        <v>38</v>
      </c>
      <c r="AB3217" s="2" t="s">
        <v>38</v>
      </c>
      <c r="AC3217" s="2" t="s">
        <v>38</v>
      </c>
      <c r="AD3217" s="2" t="s">
        <v>38</v>
      </c>
      <c r="AE3217" s="2"/>
    </row>
    <row r="3218" spans="1:31" ht="409.5">
      <c r="A3218" s="2">
        <v>2701272</v>
      </c>
      <c r="B3218" s="2">
        <f>HYPERLINK("https://platform.v2.vetology.net/cases/2701272/screening-report/1?type=pdf&amp;v=v6&amp;scorecard=1&amp;secret_key=BX%25IJ%24%2F65ieZ%29f6", 2701272)</f>
        <v>2701272</v>
      </c>
      <c r="C3218" s="2">
        <f>HYPERLINK("https://platform.v2.vetology.net/report/v/final/"&amp;2701272, 2701272)</f>
        <v>2701272</v>
      </c>
      <c r="D3218" s="2" t="s">
        <v>10217</v>
      </c>
      <c r="E3218" s="2" t="s">
        <v>10218</v>
      </c>
      <c r="F3218" s="2" t="s">
        <v>10219</v>
      </c>
      <c r="G3218" s="2" t="s">
        <v>53</v>
      </c>
      <c r="H3218" s="2" t="s">
        <v>987</v>
      </c>
      <c r="I3218" s="2" t="s">
        <v>73</v>
      </c>
      <c r="J3218" s="2" t="s">
        <v>74</v>
      </c>
      <c r="K3218" s="2" t="s">
        <v>38</v>
      </c>
      <c r="L3218" s="2" t="s">
        <v>38</v>
      </c>
      <c r="M3218" s="2" t="s">
        <v>38</v>
      </c>
      <c r="N3218" s="2" t="s">
        <v>38</v>
      </c>
      <c r="O3218" s="2" t="s">
        <v>38</v>
      </c>
      <c r="P3218" s="2" t="s">
        <v>38</v>
      </c>
      <c r="Q3218" s="2" t="s">
        <v>38</v>
      </c>
      <c r="R3218" s="2" t="s">
        <v>38</v>
      </c>
      <c r="S3218" s="2" t="s">
        <v>38</v>
      </c>
      <c r="T3218" s="2" t="s">
        <v>38</v>
      </c>
      <c r="U3218" s="2" t="s">
        <v>38</v>
      </c>
      <c r="V3218" s="2" t="s">
        <v>38</v>
      </c>
      <c r="W3218" s="2" t="s">
        <v>38</v>
      </c>
      <c r="X3218" s="2" t="s">
        <v>38</v>
      </c>
      <c r="Y3218" s="2" t="s">
        <v>38</v>
      </c>
      <c r="Z3218" s="2" t="s">
        <v>38</v>
      </c>
      <c r="AA3218" s="2" t="s">
        <v>38</v>
      </c>
      <c r="AB3218" s="2" t="s">
        <v>38</v>
      </c>
      <c r="AC3218" s="2" t="s">
        <v>38</v>
      </c>
      <c r="AD3218" s="2" t="s">
        <v>38</v>
      </c>
      <c r="AE3218" s="2" t="s">
        <v>40</v>
      </c>
    </row>
    <row r="3219" spans="1:31" ht="409.5">
      <c r="A3219" s="2">
        <v>2701271</v>
      </c>
      <c r="B3219" s="2">
        <f>HYPERLINK("https://platform.v2.vetology.net/cases/2701271/screening-report/1?type=pdf&amp;v=v6&amp;scorecard=1&amp;secret_key=BX%25IJ%24%2F65ieZ%29f6", 2701271)</f>
        <v>2701271</v>
      </c>
      <c r="C3219" s="2">
        <f>HYPERLINK("https://platform.v2.vetology.net/report/v/final/"&amp;2701271, 2701271)</f>
        <v>2701271</v>
      </c>
      <c r="D3219" s="2" t="s">
        <v>10220</v>
      </c>
      <c r="E3219" s="2" t="s">
        <v>10221</v>
      </c>
      <c r="F3219" s="2" t="s">
        <v>10222</v>
      </c>
      <c r="G3219" s="2" t="s">
        <v>415</v>
      </c>
      <c r="H3219" s="2" t="s">
        <v>10223</v>
      </c>
      <c r="I3219" s="2" t="s">
        <v>36</v>
      </c>
      <c r="J3219" s="2" t="s">
        <v>37</v>
      </c>
      <c r="K3219" s="2" t="s">
        <v>38</v>
      </c>
      <c r="L3219" s="2" t="s">
        <v>38</v>
      </c>
      <c r="M3219" s="2" t="s">
        <v>38</v>
      </c>
      <c r="N3219" s="2" t="s">
        <v>38</v>
      </c>
      <c r="O3219" s="2" t="s">
        <v>38</v>
      </c>
      <c r="P3219" s="2" t="s">
        <v>39</v>
      </c>
      <c r="Q3219" s="2" t="s">
        <v>39</v>
      </c>
      <c r="R3219" s="2" t="s">
        <v>38</v>
      </c>
      <c r="S3219" s="2" t="s">
        <v>38</v>
      </c>
      <c r="T3219" s="2" t="s">
        <v>39</v>
      </c>
      <c r="U3219" s="2" t="s">
        <v>38</v>
      </c>
      <c r="V3219" s="2" t="s">
        <v>38</v>
      </c>
      <c r="W3219" s="2" t="s">
        <v>39</v>
      </c>
      <c r="X3219" s="2" t="s">
        <v>39</v>
      </c>
      <c r="Y3219" s="2" t="s">
        <v>39</v>
      </c>
      <c r="Z3219" s="2" t="s">
        <v>39</v>
      </c>
      <c r="AA3219" s="2" t="s">
        <v>38</v>
      </c>
      <c r="AB3219" s="2" t="s">
        <v>39</v>
      </c>
      <c r="AC3219" s="2" t="s">
        <v>38</v>
      </c>
      <c r="AD3219" s="2" t="s">
        <v>38</v>
      </c>
      <c r="AE3219" s="2" t="s">
        <v>39</v>
      </c>
    </row>
    <row r="3220" spans="1:31" ht="409.5">
      <c r="A3220" s="2">
        <v>2701268</v>
      </c>
      <c r="B3220" s="2">
        <f>HYPERLINK("https://platform.v2.vetology.net/cases/2701268/screening-report/1?type=pdf&amp;v=v6&amp;scorecard=1&amp;secret_key=BX%25IJ%24%2F65ieZ%29f6", 2701268)</f>
        <v>2701268</v>
      </c>
      <c r="C3220" s="2">
        <f>HYPERLINK("https://platform.v2.vetology.net/report/v/final/"&amp;2701268, 2701268)</f>
        <v>2701268</v>
      </c>
      <c r="D3220" s="2" t="s">
        <v>10224</v>
      </c>
      <c r="E3220" s="2" t="s">
        <v>10225</v>
      </c>
      <c r="F3220" s="2" t="s">
        <v>10226</v>
      </c>
      <c r="G3220" s="2" t="s">
        <v>53</v>
      </c>
      <c r="H3220" s="2" t="s">
        <v>7572</v>
      </c>
      <c r="I3220" s="2" t="s">
        <v>36</v>
      </c>
      <c r="J3220" s="2" t="s">
        <v>37</v>
      </c>
      <c r="K3220" s="2" t="s">
        <v>38</v>
      </c>
      <c r="L3220" s="2" t="s">
        <v>39</v>
      </c>
      <c r="M3220" s="2" t="s">
        <v>38</v>
      </c>
      <c r="N3220" s="2" t="s">
        <v>39</v>
      </c>
      <c r="O3220" s="2" t="s">
        <v>39</v>
      </c>
      <c r="P3220" s="2" t="s">
        <v>39</v>
      </c>
      <c r="Q3220" s="2" t="s">
        <v>39</v>
      </c>
      <c r="R3220" s="2" t="s">
        <v>38</v>
      </c>
      <c r="S3220" s="2" t="s">
        <v>38</v>
      </c>
      <c r="T3220" s="2" t="s">
        <v>39</v>
      </c>
      <c r="U3220" s="2" t="s">
        <v>39</v>
      </c>
      <c r="V3220" s="2" t="s">
        <v>38</v>
      </c>
      <c r="W3220" s="2" t="s">
        <v>38</v>
      </c>
      <c r="X3220" s="2" t="s">
        <v>39</v>
      </c>
      <c r="Y3220" s="2" t="s">
        <v>39</v>
      </c>
      <c r="Z3220" s="2" t="s">
        <v>39</v>
      </c>
      <c r="AA3220" s="2" t="s">
        <v>39</v>
      </c>
      <c r="AB3220" s="2" t="s">
        <v>39</v>
      </c>
      <c r="AC3220" s="2" t="s">
        <v>38</v>
      </c>
      <c r="AD3220" s="2" t="s">
        <v>38</v>
      </c>
      <c r="AE3220" s="2" t="s">
        <v>39</v>
      </c>
    </row>
    <row r="3221" spans="1:31" ht="409.5">
      <c r="A3221" s="2">
        <v>2701259</v>
      </c>
      <c r="B3221" s="2">
        <f>HYPERLINK("https://platform.v2.vetology.net/cases/2701259/screening-report/1?type=pdf&amp;v=v6&amp;scorecard=1&amp;secret_key=BX%25IJ%24%2F65ieZ%29f6", 2701259)</f>
        <v>2701259</v>
      </c>
      <c r="C3221" s="2">
        <f>HYPERLINK("https://platform.v2.vetology.net/report/v/final/"&amp;2701259, 2701259)</f>
        <v>2701259</v>
      </c>
      <c r="D3221" s="2" t="s">
        <v>10227</v>
      </c>
      <c r="E3221" s="2" t="s">
        <v>2735</v>
      </c>
      <c r="F3221" s="2" t="s">
        <v>10228</v>
      </c>
      <c r="G3221" s="2" t="s">
        <v>100</v>
      </c>
      <c r="H3221" s="2" t="s">
        <v>10229</v>
      </c>
      <c r="I3221" s="2" t="s">
        <v>129</v>
      </c>
      <c r="J3221" s="2" t="s">
        <v>74</v>
      </c>
      <c r="K3221" s="2" t="s">
        <v>39</v>
      </c>
      <c r="L3221" s="2" t="s">
        <v>38</v>
      </c>
      <c r="M3221" s="2" t="s">
        <v>38</v>
      </c>
      <c r="N3221" s="2" t="s">
        <v>38</v>
      </c>
      <c r="O3221" s="2" t="s">
        <v>38</v>
      </c>
      <c r="P3221" s="2" t="s">
        <v>38</v>
      </c>
      <c r="Q3221" s="2" t="s">
        <v>38</v>
      </c>
      <c r="R3221" s="2" t="s">
        <v>38</v>
      </c>
      <c r="S3221" s="2" t="s">
        <v>38</v>
      </c>
      <c r="T3221" s="2" t="s">
        <v>38</v>
      </c>
      <c r="U3221" s="2" t="s">
        <v>39</v>
      </c>
      <c r="V3221" s="2" t="s">
        <v>39</v>
      </c>
      <c r="W3221" s="2" t="s">
        <v>38</v>
      </c>
      <c r="X3221" s="2" t="s">
        <v>38</v>
      </c>
      <c r="Y3221" s="2" t="s">
        <v>39</v>
      </c>
      <c r="Z3221" s="2" t="s">
        <v>38</v>
      </c>
      <c r="AA3221" s="2" t="s">
        <v>38</v>
      </c>
      <c r="AB3221" s="2" t="s">
        <v>39</v>
      </c>
      <c r="AC3221" s="2" t="s">
        <v>38</v>
      </c>
      <c r="AD3221" s="2" t="s">
        <v>38</v>
      </c>
      <c r="AE3221" s="2"/>
    </row>
    <row r="3222" spans="1:31" ht="409.5">
      <c r="A3222" s="2">
        <v>2701258</v>
      </c>
      <c r="B3222" s="2">
        <f>HYPERLINK("https://platform.v2.vetology.net/cases/2701258/screening-report/1?type=pdf&amp;v=v6&amp;scorecard=1&amp;secret_key=BX%25IJ%24%2F65ieZ%29f6", 2701258)</f>
        <v>2701258</v>
      </c>
      <c r="C3222" s="2">
        <f>HYPERLINK("https://platform.v2.vetology.net/report/v/final/"&amp;2701258, 2701258)</f>
        <v>2701258</v>
      </c>
      <c r="D3222" s="2" t="s">
        <v>10230</v>
      </c>
      <c r="E3222" s="2" t="s">
        <v>10231</v>
      </c>
      <c r="F3222" s="2" t="s">
        <v>10232</v>
      </c>
      <c r="G3222" s="2" t="s">
        <v>34</v>
      </c>
      <c r="H3222" s="2" t="s">
        <v>69</v>
      </c>
      <c r="I3222" s="2" t="s">
        <v>46</v>
      </c>
      <c r="J3222" s="2"/>
      <c r="K3222" s="2" t="s">
        <v>39</v>
      </c>
      <c r="L3222" s="2" t="s">
        <v>39</v>
      </c>
      <c r="M3222" s="2" t="s">
        <v>39</v>
      </c>
      <c r="N3222" s="2" t="s">
        <v>39</v>
      </c>
      <c r="O3222" s="2" t="s">
        <v>39</v>
      </c>
      <c r="P3222" s="2" t="s">
        <v>39</v>
      </c>
      <c r="Q3222" s="2" t="s">
        <v>39</v>
      </c>
      <c r="R3222" s="2" t="s">
        <v>39</v>
      </c>
      <c r="S3222" s="2" t="s">
        <v>39</v>
      </c>
      <c r="T3222" s="2" t="s">
        <v>39</v>
      </c>
      <c r="U3222" s="2" t="s">
        <v>39</v>
      </c>
      <c r="V3222" s="2" t="s">
        <v>39</v>
      </c>
      <c r="W3222" s="2" t="s">
        <v>39</v>
      </c>
      <c r="X3222" s="2" t="s">
        <v>39</v>
      </c>
      <c r="Y3222" s="2" t="s">
        <v>39</v>
      </c>
      <c r="Z3222" s="2" t="s">
        <v>39</v>
      </c>
      <c r="AA3222" s="2" t="s">
        <v>39</v>
      </c>
      <c r="AB3222" s="2" t="s">
        <v>39</v>
      </c>
      <c r="AC3222" s="2" t="s">
        <v>39</v>
      </c>
      <c r="AD3222" s="2" t="s">
        <v>38</v>
      </c>
      <c r="AE3222" s="2"/>
    </row>
    <row r="3223" spans="1:31" ht="409.5">
      <c r="A3223" s="2">
        <v>2701240</v>
      </c>
      <c r="B3223" s="2">
        <f>HYPERLINK("https://platform.v2.vetology.net/cases/2701240/screening-report/1?type=pdf&amp;v=v6&amp;scorecard=1&amp;secret_key=BX%25IJ%24%2F65ieZ%29f6", 2701240)</f>
        <v>2701240</v>
      </c>
      <c r="C3223" s="2">
        <f>HYPERLINK("https://platform.v2.vetology.net/report/v/final/"&amp;2701240, 2701240)</f>
        <v>2701240</v>
      </c>
      <c r="D3223" s="2" t="s">
        <v>10233</v>
      </c>
      <c r="E3223" s="2" t="s">
        <v>10234</v>
      </c>
      <c r="F3223" s="2" t="s">
        <v>43</v>
      </c>
      <c r="G3223" s="2" t="s">
        <v>100</v>
      </c>
      <c r="H3223" s="2" t="s">
        <v>10235</v>
      </c>
      <c r="I3223" s="2" t="s">
        <v>73</v>
      </c>
      <c r="J3223" s="2" t="s">
        <v>74</v>
      </c>
      <c r="K3223" s="2" t="s">
        <v>38</v>
      </c>
      <c r="L3223" s="2" t="s">
        <v>39</v>
      </c>
      <c r="M3223" s="2" t="s">
        <v>38</v>
      </c>
      <c r="N3223" s="2" t="s">
        <v>38</v>
      </c>
      <c r="O3223" s="2" t="s">
        <v>38</v>
      </c>
      <c r="P3223" s="2" t="s">
        <v>38</v>
      </c>
      <c r="Q3223" s="2" t="s">
        <v>38</v>
      </c>
      <c r="R3223" s="2" t="s">
        <v>38</v>
      </c>
      <c r="S3223" s="2" t="s">
        <v>38</v>
      </c>
      <c r="T3223" s="2" t="s">
        <v>38</v>
      </c>
      <c r="U3223" s="2" t="s">
        <v>38</v>
      </c>
      <c r="V3223" s="2" t="s">
        <v>38</v>
      </c>
      <c r="W3223" s="2" t="s">
        <v>38</v>
      </c>
      <c r="X3223" s="2" t="s">
        <v>38</v>
      </c>
      <c r="Y3223" s="2" t="s">
        <v>39</v>
      </c>
      <c r="Z3223" s="2" t="s">
        <v>38</v>
      </c>
      <c r="AA3223" s="2" t="s">
        <v>38</v>
      </c>
      <c r="AB3223" s="2" t="s">
        <v>38</v>
      </c>
      <c r="AC3223" s="2" t="s">
        <v>38</v>
      </c>
      <c r="AD3223" s="2" t="s">
        <v>38</v>
      </c>
      <c r="AE3223" s="2" t="s">
        <v>40</v>
      </c>
    </row>
    <row r="3224" spans="1:31" ht="409.5">
      <c r="A3224" s="2">
        <v>2701220</v>
      </c>
      <c r="B3224" s="2">
        <f>HYPERLINK("https://platform.v2.vetology.net/cases/2701220/screening-report/1?type=pdf&amp;v=v6&amp;scorecard=1&amp;secret_key=BX%25IJ%24%2F65ieZ%29f6", 2701220)</f>
        <v>2701220</v>
      </c>
      <c r="C3224" s="2">
        <f>HYPERLINK("https://platform.v2.vetology.net/report/v/final/"&amp;2701220, 2701220)</f>
        <v>2701220</v>
      </c>
      <c r="D3224" s="2" t="s">
        <v>10236</v>
      </c>
      <c r="E3224" s="2" t="s">
        <v>10237</v>
      </c>
      <c r="F3224" s="2" t="s">
        <v>10238</v>
      </c>
      <c r="G3224" s="2" t="s">
        <v>100</v>
      </c>
      <c r="H3224" s="2" t="s">
        <v>10239</v>
      </c>
      <c r="I3224" s="2" t="s">
        <v>36</v>
      </c>
      <c r="J3224" s="2" t="s">
        <v>37</v>
      </c>
      <c r="K3224" s="2" t="s">
        <v>39</v>
      </c>
      <c r="L3224" s="2" t="s">
        <v>38</v>
      </c>
      <c r="M3224" s="2" t="s">
        <v>38</v>
      </c>
      <c r="N3224" s="2" t="s">
        <v>38</v>
      </c>
      <c r="O3224" s="2" t="s">
        <v>38</v>
      </c>
      <c r="P3224" s="2" t="s">
        <v>39</v>
      </c>
      <c r="Q3224" s="2" t="s">
        <v>39</v>
      </c>
      <c r="R3224" s="2" t="s">
        <v>38</v>
      </c>
      <c r="S3224" s="2" t="s">
        <v>38</v>
      </c>
      <c r="T3224" s="2" t="s">
        <v>39</v>
      </c>
      <c r="U3224" s="2" t="s">
        <v>39</v>
      </c>
      <c r="V3224" s="2" t="s">
        <v>39</v>
      </c>
      <c r="W3224" s="2" t="s">
        <v>38</v>
      </c>
      <c r="X3224" s="2" t="s">
        <v>39</v>
      </c>
      <c r="Y3224" s="2" t="s">
        <v>39</v>
      </c>
      <c r="Z3224" s="2" t="s">
        <v>38</v>
      </c>
      <c r="AA3224" s="2" t="s">
        <v>38</v>
      </c>
      <c r="AB3224" s="2" t="s">
        <v>39</v>
      </c>
      <c r="AC3224" s="2" t="s">
        <v>38</v>
      </c>
      <c r="AD3224" s="2" t="s">
        <v>38</v>
      </c>
      <c r="AE3224" s="2" t="s">
        <v>39</v>
      </c>
    </row>
    <row r="3225" spans="1:31" ht="409.5">
      <c r="A3225" s="2">
        <v>2701207</v>
      </c>
      <c r="B3225" s="2">
        <f>HYPERLINK("https://platform.v2.vetology.net/cases/2701207/screening-report/1?type=pdf&amp;v=v6&amp;scorecard=1&amp;secret_key=BX%25IJ%24%2F65ieZ%29f6", 2701207)</f>
        <v>2701207</v>
      </c>
      <c r="C3225" s="2">
        <f>HYPERLINK("https://platform.v2.vetology.net/report/v/final/"&amp;2701207, 2701207)</f>
        <v>2701207</v>
      </c>
      <c r="D3225" s="2" t="s">
        <v>10240</v>
      </c>
      <c r="E3225" s="2" t="s">
        <v>10241</v>
      </c>
      <c r="F3225" s="2" t="s">
        <v>10242</v>
      </c>
      <c r="G3225" s="2" t="s">
        <v>53</v>
      </c>
      <c r="H3225" s="2" t="s">
        <v>10243</v>
      </c>
      <c r="I3225" s="2" t="s">
        <v>36</v>
      </c>
      <c r="J3225" s="2" t="s">
        <v>37</v>
      </c>
      <c r="K3225" s="2" t="s">
        <v>38</v>
      </c>
      <c r="L3225" s="2" t="s">
        <v>38</v>
      </c>
      <c r="M3225" s="2" t="s">
        <v>38</v>
      </c>
      <c r="N3225" s="2" t="s">
        <v>38</v>
      </c>
      <c r="O3225" s="2" t="s">
        <v>38</v>
      </c>
      <c r="P3225" s="2" t="s">
        <v>38</v>
      </c>
      <c r="Q3225" s="2" t="s">
        <v>39</v>
      </c>
      <c r="R3225" s="2" t="s">
        <v>38</v>
      </c>
      <c r="S3225" s="2" t="s">
        <v>38</v>
      </c>
      <c r="T3225" s="2" t="s">
        <v>38</v>
      </c>
      <c r="U3225" s="2" t="s">
        <v>38</v>
      </c>
      <c r="V3225" s="2" t="s">
        <v>38</v>
      </c>
      <c r="W3225" s="2" t="s">
        <v>38</v>
      </c>
      <c r="X3225" s="2" t="s">
        <v>39</v>
      </c>
      <c r="Y3225" s="2" t="s">
        <v>39</v>
      </c>
      <c r="Z3225" s="2" t="s">
        <v>38</v>
      </c>
      <c r="AA3225" s="2" t="s">
        <v>38</v>
      </c>
      <c r="AB3225" s="2" t="s">
        <v>39</v>
      </c>
      <c r="AC3225" s="2" t="s">
        <v>38</v>
      </c>
      <c r="AD3225" s="2" t="s">
        <v>38</v>
      </c>
      <c r="AE3225" s="2" t="s">
        <v>39</v>
      </c>
    </row>
    <row r="3226" spans="1:31" ht="409.5">
      <c r="A3226" s="2">
        <v>2701191</v>
      </c>
      <c r="B3226" s="2">
        <f>HYPERLINK("https://platform.v2.vetology.net/cases/2701191/screening-report/1?type=pdf&amp;v=v6&amp;scorecard=1&amp;secret_key=BX%25IJ%24%2F65ieZ%29f6", 2701191)</f>
        <v>2701191</v>
      </c>
      <c r="C3226" s="2">
        <f>HYPERLINK("https://platform.v2.vetology.net/report/v/final/"&amp;2701191, 2701191)</f>
        <v>2701191</v>
      </c>
      <c r="D3226" s="2" t="s">
        <v>10244</v>
      </c>
      <c r="E3226" s="2" t="s">
        <v>10245</v>
      </c>
      <c r="F3226" s="2" t="s">
        <v>10246</v>
      </c>
      <c r="G3226" s="2" t="s">
        <v>127</v>
      </c>
      <c r="H3226" s="2" t="s">
        <v>561</v>
      </c>
      <c r="I3226" s="2" t="s">
        <v>36</v>
      </c>
      <c r="J3226" s="2" t="s">
        <v>37</v>
      </c>
      <c r="K3226" s="2" t="s">
        <v>39</v>
      </c>
      <c r="L3226" s="2" t="s">
        <v>38</v>
      </c>
      <c r="M3226" s="2" t="s">
        <v>38</v>
      </c>
      <c r="N3226" s="2" t="s">
        <v>38</v>
      </c>
      <c r="O3226" s="2" t="s">
        <v>38</v>
      </c>
      <c r="P3226" s="2" t="s">
        <v>39</v>
      </c>
      <c r="Q3226" s="2" t="s">
        <v>39</v>
      </c>
      <c r="R3226" s="2" t="s">
        <v>38</v>
      </c>
      <c r="S3226" s="2" t="s">
        <v>38</v>
      </c>
      <c r="T3226" s="2" t="s">
        <v>39</v>
      </c>
      <c r="U3226" s="2" t="s">
        <v>39</v>
      </c>
      <c r="V3226" s="2" t="s">
        <v>38</v>
      </c>
      <c r="W3226" s="2" t="s">
        <v>39</v>
      </c>
      <c r="X3226" s="2" t="s">
        <v>39</v>
      </c>
      <c r="Y3226" s="2" t="s">
        <v>39</v>
      </c>
      <c r="Z3226" s="2" t="s">
        <v>38</v>
      </c>
      <c r="AA3226" s="2" t="s">
        <v>39</v>
      </c>
      <c r="AB3226" s="2" t="s">
        <v>39</v>
      </c>
      <c r="AC3226" s="2" t="s">
        <v>38</v>
      </c>
      <c r="AD3226" s="2" t="s">
        <v>39</v>
      </c>
      <c r="AE3226" s="2" t="s">
        <v>39</v>
      </c>
    </row>
    <row r="3227" spans="1:31" ht="409.5">
      <c r="A3227" s="2">
        <v>2701154</v>
      </c>
      <c r="B3227" s="2">
        <f>HYPERLINK("https://platform.v2.vetology.net/cases/2701154/screening-report/1?type=pdf&amp;v=v6&amp;scorecard=1&amp;secret_key=BX%25IJ%24%2F65ieZ%29f6", 2701154)</f>
        <v>2701154</v>
      </c>
      <c r="C3227" s="2">
        <f>HYPERLINK("https://platform.v2.vetology.net/report/v/final/"&amp;2701154, 2701154)</f>
        <v>2701154</v>
      </c>
      <c r="D3227" s="2" t="s">
        <v>2754</v>
      </c>
      <c r="E3227" s="2" t="s">
        <v>2755</v>
      </c>
      <c r="F3227" s="2" t="s">
        <v>2756</v>
      </c>
      <c r="G3227" s="2" t="s">
        <v>111</v>
      </c>
      <c r="H3227" s="2" t="s">
        <v>10247</v>
      </c>
      <c r="I3227" s="2" t="s">
        <v>73</v>
      </c>
      <c r="J3227" s="2" t="s">
        <v>74</v>
      </c>
      <c r="K3227" s="2" t="s">
        <v>38</v>
      </c>
      <c r="L3227" s="2" t="s">
        <v>39</v>
      </c>
      <c r="M3227" s="2" t="s">
        <v>38</v>
      </c>
      <c r="N3227" s="2" t="s">
        <v>38</v>
      </c>
      <c r="O3227" s="2" t="s">
        <v>39</v>
      </c>
      <c r="P3227" s="2" t="s">
        <v>38</v>
      </c>
      <c r="Q3227" s="2" t="s">
        <v>38</v>
      </c>
      <c r="R3227" s="2" t="s">
        <v>39</v>
      </c>
      <c r="S3227" s="2" t="s">
        <v>39</v>
      </c>
      <c r="T3227" s="2" t="s">
        <v>39</v>
      </c>
      <c r="U3227" s="2" t="s">
        <v>38</v>
      </c>
      <c r="V3227" s="2" t="s">
        <v>38</v>
      </c>
      <c r="W3227" s="2" t="s">
        <v>39</v>
      </c>
      <c r="X3227" s="2" t="s">
        <v>38</v>
      </c>
      <c r="Y3227" s="2" t="s">
        <v>39</v>
      </c>
      <c r="Z3227" s="2" t="s">
        <v>39</v>
      </c>
      <c r="AA3227" s="2" t="s">
        <v>38</v>
      </c>
      <c r="AB3227" s="2" t="s">
        <v>38</v>
      </c>
      <c r="AC3227" s="2" t="s">
        <v>38</v>
      </c>
      <c r="AD3227" s="2" t="s">
        <v>39</v>
      </c>
      <c r="AE3227" s="2" t="s">
        <v>40</v>
      </c>
    </row>
    <row r="3228" spans="1:31" ht="409.5">
      <c r="A3228" s="2">
        <v>2701094</v>
      </c>
      <c r="B3228" s="2">
        <f>HYPERLINK("https://platform.v2.vetology.net/cases/2701094/screening-report/1?type=pdf&amp;v=v6&amp;scorecard=1&amp;secret_key=BX%25IJ%24%2F65ieZ%29f6", 2701094)</f>
        <v>2701094</v>
      </c>
      <c r="C3228" s="2">
        <f>HYPERLINK("https://platform.v2.vetology.net/report/v/final/"&amp;2701094, 2701094)</f>
        <v>2701094</v>
      </c>
      <c r="D3228" s="2" t="s">
        <v>10248</v>
      </c>
      <c r="E3228" s="2" t="s">
        <v>10249</v>
      </c>
      <c r="F3228" s="2" t="s">
        <v>10250</v>
      </c>
      <c r="G3228" s="2" t="s">
        <v>127</v>
      </c>
      <c r="H3228" s="2" t="s">
        <v>10251</v>
      </c>
      <c r="I3228" s="2" t="s">
        <v>73</v>
      </c>
      <c r="J3228" s="2" t="s">
        <v>74</v>
      </c>
      <c r="K3228" s="2" t="s">
        <v>38</v>
      </c>
      <c r="L3228" s="2" t="s">
        <v>38</v>
      </c>
      <c r="M3228" s="2" t="s">
        <v>38</v>
      </c>
      <c r="N3228" s="2" t="s">
        <v>38</v>
      </c>
      <c r="O3228" s="2" t="s">
        <v>38</v>
      </c>
      <c r="P3228" s="2" t="s">
        <v>38</v>
      </c>
      <c r="Q3228" s="2" t="s">
        <v>38</v>
      </c>
      <c r="R3228" s="2" t="s">
        <v>38</v>
      </c>
      <c r="S3228" s="2" t="s">
        <v>38</v>
      </c>
      <c r="T3228" s="2" t="s">
        <v>38</v>
      </c>
      <c r="U3228" s="2" t="s">
        <v>38</v>
      </c>
      <c r="V3228" s="2" t="s">
        <v>38</v>
      </c>
      <c r="W3228" s="2" t="s">
        <v>38</v>
      </c>
      <c r="X3228" s="2" t="s">
        <v>38</v>
      </c>
      <c r="Y3228" s="2" t="s">
        <v>38</v>
      </c>
      <c r="Z3228" s="2" t="s">
        <v>38</v>
      </c>
      <c r="AA3228" s="2" t="s">
        <v>38</v>
      </c>
      <c r="AB3228" s="2" t="s">
        <v>38</v>
      </c>
      <c r="AC3228" s="2" t="s">
        <v>38</v>
      </c>
      <c r="AD3228" s="2" t="s">
        <v>38</v>
      </c>
      <c r="AE3228" s="2" t="s">
        <v>40</v>
      </c>
    </row>
    <row r="3229" spans="1:31" ht="409.5">
      <c r="A3229" s="2">
        <v>2701086</v>
      </c>
      <c r="B3229" s="2">
        <f>HYPERLINK("https://platform.v2.vetology.net/cases/2701086/screening-report/1?type=pdf&amp;v=v6&amp;scorecard=1&amp;secret_key=BX%25IJ%24%2F65ieZ%29f6", 2701086)</f>
        <v>2701086</v>
      </c>
      <c r="C3229" s="2">
        <f>HYPERLINK("https://platform.v2.vetology.net/report/v/final/"&amp;2701086, 2701086)</f>
        <v>2701086</v>
      </c>
      <c r="D3229" s="2" t="s">
        <v>10252</v>
      </c>
      <c r="E3229" s="2" t="s">
        <v>10253</v>
      </c>
      <c r="F3229" s="2" t="s">
        <v>10254</v>
      </c>
      <c r="G3229" s="2" t="s">
        <v>170</v>
      </c>
      <c r="H3229" s="2" t="s">
        <v>10255</v>
      </c>
      <c r="I3229" s="2" t="s">
        <v>73</v>
      </c>
      <c r="J3229" s="2" t="s">
        <v>74</v>
      </c>
      <c r="K3229" s="2" t="s">
        <v>38</v>
      </c>
      <c r="L3229" s="2" t="s">
        <v>38</v>
      </c>
      <c r="M3229" s="2" t="s">
        <v>38</v>
      </c>
      <c r="N3229" s="2" t="s">
        <v>38</v>
      </c>
      <c r="O3229" s="2" t="s">
        <v>38</v>
      </c>
      <c r="P3229" s="2" t="s">
        <v>38</v>
      </c>
      <c r="Q3229" s="2" t="s">
        <v>38</v>
      </c>
      <c r="R3229" s="2" t="s">
        <v>39</v>
      </c>
      <c r="S3229" s="2" t="s">
        <v>38</v>
      </c>
      <c r="T3229" s="2" t="s">
        <v>38</v>
      </c>
      <c r="U3229" s="2" t="s">
        <v>39</v>
      </c>
      <c r="V3229" s="2" t="s">
        <v>38</v>
      </c>
      <c r="W3229" s="2" t="s">
        <v>38</v>
      </c>
      <c r="X3229" s="2" t="s">
        <v>38</v>
      </c>
      <c r="Y3229" s="2" t="s">
        <v>39</v>
      </c>
      <c r="Z3229" s="2" t="s">
        <v>38</v>
      </c>
      <c r="AA3229" s="2" t="s">
        <v>39</v>
      </c>
      <c r="AB3229" s="2" t="s">
        <v>38</v>
      </c>
      <c r="AC3229" s="2" t="s">
        <v>38</v>
      </c>
      <c r="AD3229" s="2" t="s">
        <v>38</v>
      </c>
      <c r="AE3229" s="2" t="s">
        <v>40</v>
      </c>
    </row>
    <row r="3230" spans="1:31" ht="409.5">
      <c r="A3230" s="2">
        <v>2701083</v>
      </c>
      <c r="B3230" s="2">
        <f>HYPERLINK("https://platform.v2.vetology.net/cases/2701083/screening-report/1?type=pdf&amp;v=v6&amp;scorecard=1&amp;secret_key=BX%25IJ%24%2F65ieZ%29f6", 2701083)</f>
        <v>2701083</v>
      </c>
      <c r="C3230" s="2">
        <f>HYPERLINK("https://platform.v2.vetology.net/report/v/final/"&amp;2701083, 2701083)</f>
        <v>2701083</v>
      </c>
      <c r="D3230" s="2" t="s">
        <v>10256</v>
      </c>
      <c r="E3230" s="2" t="s">
        <v>10257</v>
      </c>
      <c r="F3230" s="2" t="s">
        <v>10258</v>
      </c>
      <c r="G3230" s="2" t="s">
        <v>34</v>
      </c>
      <c r="H3230" s="2" t="s">
        <v>2842</v>
      </c>
      <c r="I3230" s="2" t="s">
        <v>36</v>
      </c>
      <c r="J3230" s="2" t="s">
        <v>37</v>
      </c>
      <c r="K3230" s="2" t="s">
        <v>39</v>
      </c>
      <c r="L3230" s="2" t="s">
        <v>38</v>
      </c>
      <c r="M3230" s="2" t="s">
        <v>39</v>
      </c>
      <c r="N3230" s="2" t="s">
        <v>38</v>
      </c>
      <c r="O3230" s="2" t="s">
        <v>38</v>
      </c>
      <c r="P3230" s="2" t="s">
        <v>39</v>
      </c>
      <c r="Q3230" s="2" t="s">
        <v>39</v>
      </c>
      <c r="R3230" s="2" t="s">
        <v>38</v>
      </c>
      <c r="S3230" s="2" t="s">
        <v>38</v>
      </c>
      <c r="T3230" s="2" t="s">
        <v>38</v>
      </c>
      <c r="U3230" s="2" t="s">
        <v>39</v>
      </c>
      <c r="V3230" s="2" t="s">
        <v>39</v>
      </c>
      <c r="W3230" s="2" t="s">
        <v>38</v>
      </c>
      <c r="X3230" s="2" t="s">
        <v>39</v>
      </c>
      <c r="Y3230" s="2" t="s">
        <v>39</v>
      </c>
      <c r="Z3230" s="2" t="s">
        <v>38</v>
      </c>
      <c r="AA3230" s="2" t="s">
        <v>38</v>
      </c>
      <c r="AB3230" s="2" t="s">
        <v>39</v>
      </c>
      <c r="AC3230" s="2" t="s">
        <v>38</v>
      </c>
      <c r="AD3230" s="2" t="s">
        <v>38</v>
      </c>
      <c r="AE3230" s="2" t="s">
        <v>39</v>
      </c>
    </row>
    <row r="3231" spans="1:31" ht="409.5">
      <c r="A3231" s="2">
        <v>2701077</v>
      </c>
      <c r="B3231" s="2">
        <f>HYPERLINK("https://platform.v2.vetology.net/cases/2701077/screening-report/1?type=pdf&amp;v=v6&amp;scorecard=1&amp;secret_key=BX%25IJ%24%2F65ieZ%29f6", 2701077)</f>
        <v>2701077</v>
      </c>
      <c r="C3231" s="2">
        <f>HYPERLINK("https://platform.v2.vetology.net/report/v/final/"&amp;2701077, 2701077)</f>
        <v>2701077</v>
      </c>
      <c r="D3231" s="2" t="s">
        <v>10259</v>
      </c>
      <c r="E3231" s="2" t="s">
        <v>10260</v>
      </c>
      <c r="F3231" s="2" t="s">
        <v>10261</v>
      </c>
      <c r="G3231" s="2" t="s">
        <v>170</v>
      </c>
      <c r="H3231" s="2" t="s">
        <v>45</v>
      </c>
      <c r="I3231" s="2" t="s">
        <v>46</v>
      </c>
      <c r="J3231" s="2"/>
      <c r="K3231" s="2" t="s">
        <v>39</v>
      </c>
      <c r="L3231" s="2" t="s">
        <v>39</v>
      </c>
      <c r="M3231" s="2" t="s">
        <v>39</v>
      </c>
      <c r="N3231" s="2" t="s">
        <v>39</v>
      </c>
      <c r="O3231" s="2" t="s">
        <v>39</v>
      </c>
      <c r="P3231" s="2" t="s">
        <v>39</v>
      </c>
      <c r="Q3231" s="2" t="s">
        <v>39</v>
      </c>
      <c r="R3231" s="2" t="s">
        <v>38</v>
      </c>
      <c r="S3231" s="2" t="s">
        <v>39</v>
      </c>
      <c r="T3231" s="2" t="s">
        <v>38</v>
      </c>
      <c r="U3231" s="2" t="s">
        <v>39</v>
      </c>
      <c r="V3231" s="2" t="s">
        <v>39</v>
      </c>
      <c r="W3231" s="2" t="s">
        <v>39</v>
      </c>
      <c r="X3231" s="2" t="s">
        <v>39</v>
      </c>
      <c r="Y3231" s="2" t="s">
        <v>39</v>
      </c>
      <c r="Z3231" s="2" t="s">
        <v>38</v>
      </c>
      <c r="AA3231" s="2" t="s">
        <v>39</v>
      </c>
      <c r="AB3231" s="2" t="s">
        <v>39</v>
      </c>
      <c r="AC3231" s="2" t="s">
        <v>39</v>
      </c>
      <c r="AD3231" s="2" t="s">
        <v>39</v>
      </c>
      <c r="AE3231" s="2" t="s">
        <v>39</v>
      </c>
    </row>
    <row r="3232" spans="1:31" ht="409.5">
      <c r="A3232" s="2">
        <v>2701064</v>
      </c>
      <c r="B3232" s="2">
        <f>HYPERLINK("https://platform.v2.vetology.net/cases/2701064/screening-report/1?type=pdf&amp;v=v6&amp;scorecard=1&amp;secret_key=BX%25IJ%24%2F65ieZ%29f6", 2701064)</f>
        <v>2701064</v>
      </c>
      <c r="C3232" s="2">
        <f>HYPERLINK("https://platform.v2.vetology.net/report/v/final/"&amp;2701064, 2701064)</f>
        <v>2701064</v>
      </c>
      <c r="D3232" s="2" t="s">
        <v>10262</v>
      </c>
      <c r="E3232" s="2" t="s">
        <v>10263</v>
      </c>
      <c r="F3232" s="2" t="s">
        <v>10264</v>
      </c>
      <c r="G3232" s="2" t="s">
        <v>170</v>
      </c>
      <c r="H3232" s="2" t="s">
        <v>537</v>
      </c>
      <c r="I3232" s="2" t="s">
        <v>59</v>
      </c>
      <c r="J3232" s="2" t="s">
        <v>37</v>
      </c>
      <c r="K3232" s="2" t="s">
        <v>38</v>
      </c>
      <c r="L3232" s="2" t="s">
        <v>39</v>
      </c>
      <c r="M3232" s="2" t="s">
        <v>39</v>
      </c>
      <c r="N3232" s="2" t="s">
        <v>39</v>
      </c>
      <c r="O3232" s="2" t="s">
        <v>39</v>
      </c>
      <c r="P3232" s="2" t="s">
        <v>39</v>
      </c>
      <c r="Q3232" s="2" t="s">
        <v>39</v>
      </c>
      <c r="R3232" s="2" t="s">
        <v>39</v>
      </c>
      <c r="S3232" s="2" t="s">
        <v>39</v>
      </c>
      <c r="T3232" s="2" t="s">
        <v>39</v>
      </c>
      <c r="U3232" s="2" t="s">
        <v>38</v>
      </c>
      <c r="V3232" s="2" t="s">
        <v>38</v>
      </c>
      <c r="W3232" s="2" t="s">
        <v>38</v>
      </c>
      <c r="X3232" s="2" t="s">
        <v>39</v>
      </c>
      <c r="Y3232" s="2" t="s">
        <v>39</v>
      </c>
      <c r="Z3232" s="2" t="s">
        <v>38</v>
      </c>
      <c r="AA3232" s="2" t="s">
        <v>38</v>
      </c>
      <c r="AB3232" s="2" t="s">
        <v>39</v>
      </c>
      <c r="AC3232" s="2" t="s">
        <v>38</v>
      </c>
      <c r="AD3232" s="2" t="s">
        <v>39</v>
      </c>
      <c r="AE3232" s="2" t="s">
        <v>40</v>
      </c>
    </row>
    <row r="3233" spans="1:31" ht="409.5">
      <c r="A3233" s="2">
        <v>2701060</v>
      </c>
      <c r="B3233" s="2">
        <f>HYPERLINK("https://platform.v2.vetology.net/cases/2701060/screening-report/1?type=pdf&amp;v=v6&amp;scorecard=1&amp;secret_key=BX%25IJ%24%2F65ieZ%29f6", 2701060)</f>
        <v>2701060</v>
      </c>
      <c r="C3233" s="2">
        <f>HYPERLINK("https://platform.v2.vetology.net/report/v/final/"&amp;2701060, 2701060)</f>
        <v>2701060</v>
      </c>
      <c r="D3233" s="2" t="s">
        <v>10265</v>
      </c>
      <c r="E3233" s="2" t="s">
        <v>10266</v>
      </c>
      <c r="F3233" s="2" t="s">
        <v>10267</v>
      </c>
      <c r="G3233" s="2" t="s">
        <v>556</v>
      </c>
      <c r="H3233" s="2" t="s">
        <v>1322</v>
      </c>
      <c r="I3233" s="2" t="s">
        <v>59</v>
      </c>
      <c r="J3233" s="2" t="s">
        <v>37</v>
      </c>
      <c r="K3233" s="2" t="s">
        <v>39</v>
      </c>
      <c r="L3233" s="2" t="s">
        <v>38</v>
      </c>
      <c r="M3233" s="2" t="s">
        <v>39</v>
      </c>
      <c r="N3233" s="2" t="s">
        <v>38</v>
      </c>
      <c r="O3233" s="2" t="s">
        <v>39</v>
      </c>
      <c r="P3233" s="2" t="s">
        <v>39</v>
      </c>
      <c r="Q3233" s="2" t="s">
        <v>39</v>
      </c>
      <c r="R3233" s="2" t="s">
        <v>39</v>
      </c>
      <c r="S3233" s="2" t="s">
        <v>39</v>
      </c>
      <c r="T3233" s="2" t="s">
        <v>39</v>
      </c>
      <c r="U3233" s="2" t="s">
        <v>39</v>
      </c>
      <c r="V3233" s="2" t="s">
        <v>39</v>
      </c>
      <c r="W3233" s="2" t="s">
        <v>38</v>
      </c>
      <c r="X3233" s="2" t="s">
        <v>39</v>
      </c>
      <c r="Y3233" s="2" t="s">
        <v>39</v>
      </c>
      <c r="Z3233" s="2" t="s">
        <v>38</v>
      </c>
      <c r="AA3233" s="2" t="s">
        <v>39</v>
      </c>
      <c r="AB3233" s="2" t="s">
        <v>39</v>
      </c>
      <c r="AC3233" s="2" t="s">
        <v>38</v>
      </c>
      <c r="AD3233" s="2" t="s">
        <v>38</v>
      </c>
      <c r="AE3233" s="2" t="s">
        <v>40</v>
      </c>
    </row>
    <row r="3234" spans="1:31" ht="409.5">
      <c r="A3234" s="2">
        <v>2701045</v>
      </c>
      <c r="B3234" s="2">
        <f>HYPERLINK("https://platform.v2.vetology.net/cases/2701045/screening-report/1?type=pdf&amp;v=v6&amp;scorecard=1&amp;secret_key=BX%25IJ%24%2F65ieZ%29f6", 2701045)</f>
        <v>2701045</v>
      </c>
      <c r="C3234" s="2">
        <f>HYPERLINK("https://platform.v2.vetology.net/report/v/final/"&amp;2701045, 2701045)</f>
        <v>2701045</v>
      </c>
      <c r="D3234" s="2" t="s">
        <v>10268</v>
      </c>
      <c r="E3234" s="2" t="s">
        <v>10269</v>
      </c>
      <c r="F3234" s="2" t="s">
        <v>10270</v>
      </c>
      <c r="G3234" s="2" t="s">
        <v>170</v>
      </c>
      <c r="H3234" s="2" t="s">
        <v>504</v>
      </c>
      <c r="I3234" s="2" t="s">
        <v>36</v>
      </c>
      <c r="J3234" s="2" t="s">
        <v>37</v>
      </c>
      <c r="K3234" s="2" t="s">
        <v>39</v>
      </c>
      <c r="L3234" s="2" t="s">
        <v>39</v>
      </c>
      <c r="M3234" s="2" t="s">
        <v>38</v>
      </c>
      <c r="N3234" s="2" t="s">
        <v>39</v>
      </c>
      <c r="O3234" s="2" t="s">
        <v>38</v>
      </c>
      <c r="P3234" s="2" t="s">
        <v>38</v>
      </c>
      <c r="Q3234" s="2" t="s">
        <v>38</v>
      </c>
      <c r="R3234" s="2" t="s">
        <v>39</v>
      </c>
      <c r="S3234" s="2" t="s">
        <v>39</v>
      </c>
      <c r="T3234" s="2" t="s">
        <v>39</v>
      </c>
      <c r="U3234" s="2" t="s">
        <v>39</v>
      </c>
      <c r="V3234" s="2" t="s">
        <v>39</v>
      </c>
      <c r="W3234" s="2" t="s">
        <v>39</v>
      </c>
      <c r="X3234" s="2" t="s">
        <v>39</v>
      </c>
      <c r="Y3234" s="2" t="s">
        <v>39</v>
      </c>
      <c r="Z3234" s="2" t="s">
        <v>39</v>
      </c>
      <c r="AA3234" s="2" t="s">
        <v>39</v>
      </c>
      <c r="AB3234" s="2" t="s">
        <v>39</v>
      </c>
      <c r="AC3234" s="2" t="s">
        <v>39</v>
      </c>
      <c r="AD3234" s="2" t="s">
        <v>39</v>
      </c>
      <c r="AE3234" s="2" t="s">
        <v>40</v>
      </c>
    </row>
    <row r="3235" spans="1:31" ht="409.5">
      <c r="A3235" s="2">
        <v>2701012</v>
      </c>
      <c r="B3235" s="2">
        <f>HYPERLINK("https://platform.v2.vetology.net/cases/2701012/screening-report/1?type=pdf&amp;v=v6&amp;scorecard=1&amp;secret_key=BX%25IJ%24%2F65ieZ%29f6", 2701012)</f>
        <v>2701012</v>
      </c>
      <c r="C3235" s="2">
        <f>HYPERLINK("https://platform.v2.vetology.net/report/v/final/"&amp;2701012, 2701012)</f>
        <v>2701012</v>
      </c>
      <c r="D3235" s="2" t="s">
        <v>10271</v>
      </c>
      <c r="E3235" s="2" t="s">
        <v>10272</v>
      </c>
      <c r="F3235" s="2" t="s">
        <v>10273</v>
      </c>
      <c r="G3235" s="2" t="s">
        <v>34</v>
      </c>
      <c r="H3235" s="2" t="s">
        <v>1835</v>
      </c>
      <c r="I3235" s="2" t="s">
        <v>36</v>
      </c>
      <c r="J3235" s="2" t="s">
        <v>37</v>
      </c>
      <c r="K3235" s="2" t="s">
        <v>39</v>
      </c>
      <c r="L3235" s="2" t="s">
        <v>39</v>
      </c>
      <c r="M3235" s="2" t="s">
        <v>38</v>
      </c>
      <c r="N3235" s="2" t="s">
        <v>38</v>
      </c>
      <c r="O3235" s="2" t="s">
        <v>38</v>
      </c>
      <c r="P3235" s="2" t="s">
        <v>38</v>
      </c>
      <c r="Q3235" s="2" t="s">
        <v>39</v>
      </c>
      <c r="R3235" s="2" t="s">
        <v>39</v>
      </c>
      <c r="S3235" s="2" t="s">
        <v>38</v>
      </c>
      <c r="T3235" s="2" t="s">
        <v>38</v>
      </c>
      <c r="U3235" s="2" t="s">
        <v>39</v>
      </c>
      <c r="V3235" s="2" t="s">
        <v>38</v>
      </c>
      <c r="W3235" s="2" t="s">
        <v>38</v>
      </c>
      <c r="X3235" s="2" t="s">
        <v>39</v>
      </c>
      <c r="Y3235" s="2" t="s">
        <v>39</v>
      </c>
      <c r="Z3235" s="2" t="s">
        <v>38</v>
      </c>
      <c r="AA3235" s="2" t="s">
        <v>38</v>
      </c>
      <c r="AB3235" s="2" t="s">
        <v>39</v>
      </c>
      <c r="AC3235" s="2" t="s">
        <v>38</v>
      </c>
      <c r="AD3235" s="2" t="s">
        <v>39</v>
      </c>
      <c r="AE3235" s="2" t="s">
        <v>39</v>
      </c>
    </row>
    <row r="3236" spans="1:31" ht="409.5">
      <c r="A3236" s="2">
        <v>2700976</v>
      </c>
      <c r="B3236" s="2">
        <f>HYPERLINK("https://platform.v2.vetology.net/cases/2700976/screening-report/1?type=pdf&amp;v=v6&amp;scorecard=1&amp;secret_key=BX%25IJ%24%2F65ieZ%29f6", 2700976)</f>
        <v>2700976</v>
      </c>
      <c r="C3236" s="2">
        <f>HYPERLINK("https://platform.v2.vetology.net/report/v/final/"&amp;2700976, 2700976)</f>
        <v>2700976</v>
      </c>
      <c r="D3236" s="2" t="s">
        <v>10274</v>
      </c>
      <c r="E3236" s="2" t="s">
        <v>10275</v>
      </c>
      <c r="F3236" s="2" t="s">
        <v>10276</v>
      </c>
      <c r="G3236" s="2" t="s">
        <v>415</v>
      </c>
      <c r="H3236" s="2" t="s">
        <v>10277</v>
      </c>
      <c r="I3236" s="2" t="s">
        <v>36</v>
      </c>
      <c r="J3236" s="2" t="s">
        <v>37</v>
      </c>
      <c r="K3236" s="2" t="s">
        <v>39</v>
      </c>
      <c r="L3236" s="2" t="s">
        <v>38</v>
      </c>
      <c r="M3236" s="2" t="s">
        <v>39</v>
      </c>
      <c r="N3236" s="2" t="s">
        <v>38</v>
      </c>
      <c r="O3236" s="2" t="s">
        <v>39</v>
      </c>
      <c r="P3236" s="2" t="s">
        <v>39</v>
      </c>
      <c r="Q3236" s="2" t="s">
        <v>39</v>
      </c>
      <c r="R3236" s="2" t="s">
        <v>39</v>
      </c>
      <c r="S3236" s="2" t="s">
        <v>38</v>
      </c>
      <c r="T3236" s="2" t="s">
        <v>38</v>
      </c>
      <c r="U3236" s="2" t="s">
        <v>39</v>
      </c>
      <c r="V3236" s="2" t="s">
        <v>39</v>
      </c>
      <c r="W3236" s="2" t="s">
        <v>39</v>
      </c>
      <c r="X3236" s="2" t="s">
        <v>39</v>
      </c>
      <c r="Y3236" s="2" t="s">
        <v>39</v>
      </c>
      <c r="Z3236" s="2" t="s">
        <v>38</v>
      </c>
      <c r="AA3236" s="2" t="s">
        <v>39</v>
      </c>
      <c r="AB3236" s="2" t="s">
        <v>39</v>
      </c>
      <c r="AC3236" s="2" t="s">
        <v>38</v>
      </c>
      <c r="AD3236" s="2" t="s">
        <v>38</v>
      </c>
      <c r="AE3236" s="2" t="s">
        <v>39</v>
      </c>
    </row>
    <row r="3237" spans="1:31" ht="409.5">
      <c r="A3237" s="2">
        <v>2700973</v>
      </c>
      <c r="B3237" s="2">
        <f>HYPERLINK("https://platform.v2.vetology.net/cases/2700973/screening-report/1?type=pdf&amp;v=v6&amp;scorecard=1&amp;secret_key=BX%25IJ%24%2F65ieZ%29f6", 2700973)</f>
        <v>2700973</v>
      </c>
      <c r="C3237" s="2">
        <f>HYPERLINK("https://platform.v2.vetology.net/report/v/final/"&amp;2700973, 2700973)</f>
        <v>2700973</v>
      </c>
      <c r="D3237" s="2" t="s">
        <v>10278</v>
      </c>
      <c r="E3237" s="2" t="s">
        <v>10279</v>
      </c>
      <c r="F3237" s="2" t="s">
        <v>10280</v>
      </c>
      <c r="G3237" s="2" t="s">
        <v>44</v>
      </c>
      <c r="H3237" s="2" t="s">
        <v>10281</v>
      </c>
      <c r="I3237" s="2" t="s">
        <v>73</v>
      </c>
      <c r="J3237" s="2" t="s">
        <v>74</v>
      </c>
      <c r="K3237" s="2" t="s">
        <v>38</v>
      </c>
      <c r="L3237" s="2" t="s">
        <v>38</v>
      </c>
      <c r="M3237" s="2" t="s">
        <v>38</v>
      </c>
      <c r="N3237" s="2" t="s">
        <v>38</v>
      </c>
      <c r="O3237" s="2" t="s">
        <v>38</v>
      </c>
      <c r="P3237" s="2" t="s">
        <v>38</v>
      </c>
      <c r="Q3237" s="2" t="s">
        <v>38</v>
      </c>
      <c r="R3237" s="2" t="s">
        <v>38</v>
      </c>
      <c r="S3237" s="2" t="s">
        <v>38</v>
      </c>
      <c r="T3237" s="2" t="s">
        <v>38</v>
      </c>
      <c r="U3237" s="2" t="s">
        <v>38</v>
      </c>
      <c r="V3237" s="2" t="s">
        <v>38</v>
      </c>
      <c r="W3237" s="2" t="s">
        <v>38</v>
      </c>
      <c r="X3237" s="2" t="s">
        <v>38</v>
      </c>
      <c r="Y3237" s="2" t="s">
        <v>38</v>
      </c>
      <c r="Z3237" s="2" t="s">
        <v>38</v>
      </c>
      <c r="AA3237" s="2" t="s">
        <v>38</v>
      </c>
      <c r="AB3237" s="2" t="s">
        <v>38</v>
      </c>
      <c r="AC3237" s="2" t="s">
        <v>38</v>
      </c>
      <c r="AD3237" s="2" t="s">
        <v>38</v>
      </c>
      <c r="AE3237" s="2"/>
    </row>
    <row r="3238" spans="1:31" ht="409.5">
      <c r="A3238" s="2">
        <v>2700970</v>
      </c>
      <c r="B3238" s="2">
        <f>HYPERLINK("https://platform.v2.vetology.net/cases/2700970/screening-report/1?type=pdf&amp;v=v6&amp;scorecard=1&amp;secret_key=BX%25IJ%24%2F65ieZ%29f6", 2700970)</f>
        <v>2700970</v>
      </c>
      <c r="C3238" s="2">
        <f>HYPERLINK("https://platform.v2.vetology.net/report/v/final/"&amp;2700970, 2700970)</f>
        <v>2700970</v>
      </c>
      <c r="D3238" s="2" t="s">
        <v>10282</v>
      </c>
      <c r="E3238" s="2" t="s">
        <v>10283</v>
      </c>
      <c r="F3238" s="2" t="s">
        <v>3898</v>
      </c>
      <c r="G3238" s="2" t="s">
        <v>170</v>
      </c>
      <c r="H3238" s="2" t="s">
        <v>5357</v>
      </c>
      <c r="I3238" s="2" t="s">
        <v>36</v>
      </c>
      <c r="J3238" s="2" t="s">
        <v>37</v>
      </c>
      <c r="K3238" s="2" t="s">
        <v>38</v>
      </c>
      <c r="L3238" s="2" t="s">
        <v>39</v>
      </c>
      <c r="M3238" s="2" t="s">
        <v>38</v>
      </c>
      <c r="N3238" s="2" t="s">
        <v>39</v>
      </c>
      <c r="O3238" s="2" t="s">
        <v>38</v>
      </c>
      <c r="P3238" s="2" t="s">
        <v>39</v>
      </c>
      <c r="Q3238" s="2" t="s">
        <v>39</v>
      </c>
      <c r="R3238" s="2" t="s">
        <v>39</v>
      </c>
      <c r="S3238" s="2" t="s">
        <v>39</v>
      </c>
      <c r="T3238" s="2" t="s">
        <v>38</v>
      </c>
      <c r="U3238" s="2" t="s">
        <v>39</v>
      </c>
      <c r="V3238" s="2" t="s">
        <v>38</v>
      </c>
      <c r="W3238" s="2" t="s">
        <v>38</v>
      </c>
      <c r="X3238" s="2" t="s">
        <v>39</v>
      </c>
      <c r="Y3238" s="2" t="s">
        <v>39</v>
      </c>
      <c r="Z3238" s="2" t="s">
        <v>38</v>
      </c>
      <c r="AA3238" s="2" t="s">
        <v>39</v>
      </c>
      <c r="AB3238" s="2" t="s">
        <v>39</v>
      </c>
      <c r="AC3238" s="2" t="s">
        <v>38</v>
      </c>
      <c r="AD3238" s="2" t="s">
        <v>39</v>
      </c>
      <c r="AE3238" s="2" t="s">
        <v>40</v>
      </c>
    </row>
    <row r="3239" spans="1:31" ht="409.5">
      <c r="A3239" s="2">
        <v>2700869</v>
      </c>
      <c r="B3239" s="2">
        <f>HYPERLINK("https://platform.v2.vetology.net/cases/2700869/screening-report/1?type=pdf&amp;v=v6&amp;scorecard=1&amp;secret_key=BX%25IJ%24%2F65ieZ%29f6", 2700869)</f>
        <v>2700869</v>
      </c>
      <c r="C3239" s="2">
        <f>HYPERLINK("https://platform.v2.vetology.net/report/v/final/"&amp;2700869, 2700869)</f>
        <v>2700869</v>
      </c>
      <c r="D3239" s="2" t="s">
        <v>10284</v>
      </c>
      <c r="E3239" s="2" t="s">
        <v>10285</v>
      </c>
      <c r="F3239" s="2" t="s">
        <v>10286</v>
      </c>
      <c r="G3239" s="2" t="s">
        <v>415</v>
      </c>
      <c r="H3239" s="2" t="s">
        <v>10287</v>
      </c>
      <c r="I3239" s="2" t="s">
        <v>36</v>
      </c>
      <c r="J3239" s="2" t="s">
        <v>37</v>
      </c>
      <c r="K3239" s="2" t="s">
        <v>39</v>
      </c>
      <c r="L3239" s="2" t="s">
        <v>38</v>
      </c>
      <c r="M3239" s="2" t="s">
        <v>38</v>
      </c>
      <c r="N3239" s="2" t="s">
        <v>38</v>
      </c>
      <c r="O3239" s="2" t="s">
        <v>38</v>
      </c>
      <c r="P3239" s="2" t="s">
        <v>38</v>
      </c>
      <c r="Q3239" s="2" t="s">
        <v>39</v>
      </c>
      <c r="R3239" s="2" t="s">
        <v>38</v>
      </c>
      <c r="S3239" s="2" t="s">
        <v>38</v>
      </c>
      <c r="T3239" s="2" t="s">
        <v>38</v>
      </c>
      <c r="U3239" s="2" t="s">
        <v>39</v>
      </c>
      <c r="V3239" s="2" t="s">
        <v>39</v>
      </c>
      <c r="W3239" s="2" t="s">
        <v>38</v>
      </c>
      <c r="X3239" s="2" t="s">
        <v>39</v>
      </c>
      <c r="Y3239" s="2" t="s">
        <v>38</v>
      </c>
      <c r="Z3239" s="2" t="s">
        <v>38</v>
      </c>
      <c r="AA3239" s="2" t="s">
        <v>38</v>
      </c>
      <c r="AB3239" s="2" t="s">
        <v>39</v>
      </c>
      <c r="AC3239" s="2" t="s">
        <v>38</v>
      </c>
      <c r="AD3239" s="2" t="s">
        <v>38</v>
      </c>
      <c r="AE3239" s="2" t="s">
        <v>39</v>
      </c>
    </row>
    <row r="3240" spans="1:31" ht="409.5">
      <c r="A3240" s="2">
        <v>2700840</v>
      </c>
      <c r="B3240" s="2">
        <f>HYPERLINK("https://platform.v2.vetology.net/cases/2700840/screening-report/1?type=pdf&amp;v=v6&amp;scorecard=1&amp;secret_key=BX%25IJ%24%2F65ieZ%29f6", 2700840)</f>
        <v>2700840</v>
      </c>
      <c r="C3240" s="2">
        <f>HYPERLINK("https://platform.v2.vetology.net/report/v/final/"&amp;2700840, 2700840)</f>
        <v>2700840</v>
      </c>
      <c r="D3240" s="2" t="s">
        <v>10288</v>
      </c>
      <c r="E3240" s="2" t="s">
        <v>10289</v>
      </c>
      <c r="F3240" s="2"/>
      <c r="G3240" s="2" t="s">
        <v>44</v>
      </c>
      <c r="H3240" s="2" t="s">
        <v>4717</v>
      </c>
      <c r="I3240" s="2" t="s">
        <v>59</v>
      </c>
      <c r="J3240" s="2" t="s">
        <v>37</v>
      </c>
      <c r="K3240" s="2" t="s">
        <v>39</v>
      </c>
      <c r="L3240" s="2" t="s">
        <v>39</v>
      </c>
      <c r="M3240" s="2" t="s">
        <v>39</v>
      </c>
      <c r="N3240" s="2" t="s">
        <v>38</v>
      </c>
      <c r="O3240" s="2" t="s">
        <v>38</v>
      </c>
      <c r="P3240" s="2" t="s">
        <v>39</v>
      </c>
      <c r="Q3240" s="2" t="s">
        <v>39</v>
      </c>
      <c r="R3240" s="2" t="s">
        <v>38</v>
      </c>
      <c r="S3240" s="2" t="s">
        <v>39</v>
      </c>
      <c r="T3240" s="2" t="s">
        <v>38</v>
      </c>
      <c r="U3240" s="2" t="s">
        <v>39</v>
      </c>
      <c r="V3240" s="2" t="s">
        <v>39</v>
      </c>
      <c r="W3240" s="2" t="s">
        <v>38</v>
      </c>
      <c r="X3240" s="2" t="s">
        <v>39</v>
      </c>
      <c r="Y3240" s="2" t="s">
        <v>39</v>
      </c>
      <c r="Z3240" s="2" t="s">
        <v>38</v>
      </c>
      <c r="AA3240" s="2" t="s">
        <v>39</v>
      </c>
      <c r="AB3240" s="2" t="s">
        <v>39</v>
      </c>
      <c r="AC3240" s="2" t="s">
        <v>38</v>
      </c>
      <c r="AD3240" s="2" t="s">
        <v>38</v>
      </c>
      <c r="AE3240" s="2" t="s">
        <v>39</v>
      </c>
    </row>
    <row r="3241" spans="1:31" ht="409.5">
      <c r="A3241" s="2">
        <v>2700836</v>
      </c>
      <c r="B3241" s="2">
        <f>HYPERLINK("https://platform.v2.vetology.net/cases/2700836/screening-report/1?type=pdf&amp;v=v6&amp;scorecard=1&amp;secret_key=BX%25IJ%24%2F65ieZ%29f6", 2700836)</f>
        <v>2700836</v>
      </c>
      <c r="C3241" s="2">
        <f>HYPERLINK("https://platform.v2.vetology.net/report/v/final/"&amp;2700836, 2700836)</f>
        <v>2700836</v>
      </c>
      <c r="D3241" s="2" t="s">
        <v>10290</v>
      </c>
      <c r="E3241" s="2" t="s">
        <v>10291</v>
      </c>
      <c r="F3241" s="2"/>
      <c r="G3241" s="2" t="s">
        <v>81</v>
      </c>
      <c r="H3241" s="2" t="s">
        <v>10292</v>
      </c>
      <c r="I3241" s="2" t="s">
        <v>129</v>
      </c>
      <c r="J3241" s="2" t="s">
        <v>74</v>
      </c>
      <c r="K3241" s="2" t="s">
        <v>39</v>
      </c>
      <c r="L3241" s="2" t="s">
        <v>38</v>
      </c>
      <c r="M3241" s="2" t="s">
        <v>38</v>
      </c>
      <c r="N3241" s="2" t="s">
        <v>38</v>
      </c>
      <c r="O3241" s="2" t="s">
        <v>38</v>
      </c>
      <c r="P3241" s="2" t="s">
        <v>39</v>
      </c>
      <c r="Q3241" s="2" t="s">
        <v>38</v>
      </c>
      <c r="R3241" s="2" t="s">
        <v>39</v>
      </c>
      <c r="S3241" s="2" t="s">
        <v>38</v>
      </c>
      <c r="T3241" s="2" t="s">
        <v>38</v>
      </c>
      <c r="U3241" s="2" t="s">
        <v>39</v>
      </c>
      <c r="V3241" s="2" t="s">
        <v>38</v>
      </c>
      <c r="W3241" s="2" t="s">
        <v>38</v>
      </c>
      <c r="X3241" s="2" t="s">
        <v>38</v>
      </c>
      <c r="Y3241" s="2" t="s">
        <v>38</v>
      </c>
      <c r="Z3241" s="2" t="s">
        <v>38</v>
      </c>
      <c r="AA3241" s="2" t="s">
        <v>38</v>
      </c>
      <c r="AB3241" s="2" t="s">
        <v>38</v>
      </c>
      <c r="AC3241" s="2" t="s">
        <v>38</v>
      </c>
      <c r="AD3241" s="2" t="s">
        <v>39</v>
      </c>
      <c r="AE3241" s="2" t="s">
        <v>39</v>
      </c>
    </row>
    <row r="3242" spans="1:31" ht="409.5">
      <c r="A3242" s="2">
        <v>2700834</v>
      </c>
      <c r="B3242" s="2">
        <f>HYPERLINK("https://platform.v2.vetology.net/cases/2700834/screening-report/1?type=pdf&amp;v=v6&amp;scorecard=1&amp;secret_key=BX%25IJ%24%2F65ieZ%29f6", 2700834)</f>
        <v>2700834</v>
      </c>
      <c r="C3242" s="2">
        <f>HYPERLINK("https://platform.v2.vetology.net/report/v/final/"&amp;2700834, 2700834)</f>
        <v>2700834</v>
      </c>
      <c r="D3242" s="2" t="s">
        <v>10293</v>
      </c>
      <c r="E3242" s="2" t="s">
        <v>10294</v>
      </c>
      <c r="F3242" s="2" t="s">
        <v>10295</v>
      </c>
      <c r="G3242" s="2" t="s">
        <v>111</v>
      </c>
      <c r="H3242" s="2" t="s">
        <v>10296</v>
      </c>
      <c r="I3242" s="2" t="s">
        <v>36</v>
      </c>
      <c r="J3242" s="2" t="s">
        <v>37</v>
      </c>
      <c r="K3242" s="2" t="s">
        <v>38</v>
      </c>
      <c r="L3242" s="2" t="s">
        <v>38</v>
      </c>
      <c r="M3242" s="2" t="s">
        <v>38</v>
      </c>
      <c r="N3242" s="2" t="s">
        <v>38</v>
      </c>
      <c r="O3242" s="2" t="s">
        <v>38</v>
      </c>
      <c r="P3242" s="2" t="s">
        <v>39</v>
      </c>
      <c r="Q3242" s="2" t="s">
        <v>39</v>
      </c>
      <c r="R3242" s="2" t="s">
        <v>38</v>
      </c>
      <c r="S3242" s="2" t="s">
        <v>38</v>
      </c>
      <c r="T3242" s="2" t="s">
        <v>38</v>
      </c>
      <c r="U3242" s="2" t="s">
        <v>38</v>
      </c>
      <c r="V3242" s="2" t="s">
        <v>38</v>
      </c>
      <c r="W3242" s="2" t="s">
        <v>38</v>
      </c>
      <c r="X3242" s="2" t="s">
        <v>39</v>
      </c>
      <c r="Y3242" s="2" t="s">
        <v>38</v>
      </c>
      <c r="Z3242" s="2" t="s">
        <v>38</v>
      </c>
      <c r="AA3242" s="2" t="s">
        <v>39</v>
      </c>
      <c r="AB3242" s="2" t="s">
        <v>38</v>
      </c>
      <c r="AC3242" s="2" t="s">
        <v>38</v>
      </c>
      <c r="AD3242" s="2" t="s">
        <v>38</v>
      </c>
      <c r="AE3242" s="2" t="s">
        <v>40</v>
      </c>
    </row>
    <row r="3243" spans="1:31" ht="409.5">
      <c r="A3243" s="2">
        <v>2700828</v>
      </c>
      <c r="B3243" s="2">
        <f>HYPERLINK("https://platform.v2.vetology.net/cases/2700828/screening-report/1?type=pdf&amp;v=v6&amp;scorecard=1&amp;secret_key=BX%25IJ%24%2F65ieZ%29f6", 2700828)</f>
        <v>2700828</v>
      </c>
      <c r="C3243" s="2">
        <f>HYPERLINK("https://platform.v2.vetology.net/report/v/final/"&amp;2700828, 2700828)</f>
        <v>2700828</v>
      </c>
      <c r="D3243" s="2" t="s">
        <v>10297</v>
      </c>
      <c r="E3243" s="2" t="s">
        <v>10298</v>
      </c>
      <c r="F3243" s="2" t="s">
        <v>10299</v>
      </c>
      <c r="G3243" s="2" t="s">
        <v>53</v>
      </c>
      <c r="H3243" s="2" t="s">
        <v>10300</v>
      </c>
      <c r="I3243" s="2" t="s">
        <v>36</v>
      </c>
      <c r="J3243" s="2" t="s">
        <v>37</v>
      </c>
      <c r="K3243" s="2" t="s">
        <v>39</v>
      </c>
      <c r="L3243" s="2" t="s">
        <v>38</v>
      </c>
      <c r="M3243" s="2" t="s">
        <v>39</v>
      </c>
      <c r="N3243" s="2" t="s">
        <v>38</v>
      </c>
      <c r="O3243" s="2" t="s">
        <v>38</v>
      </c>
      <c r="P3243" s="2" t="s">
        <v>39</v>
      </c>
      <c r="Q3243" s="2" t="s">
        <v>39</v>
      </c>
      <c r="R3243" s="2" t="s">
        <v>39</v>
      </c>
      <c r="S3243" s="2" t="s">
        <v>38</v>
      </c>
      <c r="T3243" s="2" t="s">
        <v>39</v>
      </c>
      <c r="U3243" s="2" t="s">
        <v>39</v>
      </c>
      <c r="V3243" s="2" t="s">
        <v>39</v>
      </c>
      <c r="W3243" s="2" t="s">
        <v>39</v>
      </c>
      <c r="X3243" s="2" t="s">
        <v>39</v>
      </c>
      <c r="Y3243" s="2" t="s">
        <v>39</v>
      </c>
      <c r="Z3243" s="2" t="s">
        <v>39</v>
      </c>
      <c r="AA3243" s="2" t="s">
        <v>39</v>
      </c>
      <c r="AB3243" s="2" t="s">
        <v>39</v>
      </c>
      <c r="AC3243" s="2" t="s">
        <v>38</v>
      </c>
      <c r="AD3243" s="2" t="s">
        <v>38</v>
      </c>
      <c r="AE3243" s="2" t="s">
        <v>39</v>
      </c>
    </row>
    <row r="3244" spans="1:31" ht="409.5">
      <c r="A3244" s="2">
        <v>2700817</v>
      </c>
      <c r="B3244" s="2">
        <f>HYPERLINK("https://platform.v2.vetology.net/cases/2700817/screening-report/1?type=pdf&amp;v=v6&amp;scorecard=1&amp;secret_key=BX%25IJ%24%2F65ieZ%29f6", 2700817)</f>
        <v>2700817</v>
      </c>
      <c r="C3244" s="2">
        <f>HYPERLINK("https://platform.v2.vetology.net/report/v/final/"&amp;2700817, 2700817)</f>
        <v>2700817</v>
      </c>
      <c r="D3244" s="2" t="s">
        <v>10301</v>
      </c>
      <c r="E3244" s="2" t="s">
        <v>5126</v>
      </c>
      <c r="F3244" s="2" t="s">
        <v>10302</v>
      </c>
      <c r="G3244" s="2" t="s">
        <v>44</v>
      </c>
      <c r="H3244" s="2" t="s">
        <v>69</v>
      </c>
      <c r="I3244" s="2" t="s">
        <v>46</v>
      </c>
      <c r="J3244" s="2"/>
      <c r="K3244" s="2" t="s">
        <v>39</v>
      </c>
      <c r="L3244" s="2" t="s">
        <v>39</v>
      </c>
      <c r="M3244" s="2" t="s">
        <v>39</v>
      </c>
      <c r="N3244" s="2" t="s">
        <v>39</v>
      </c>
      <c r="O3244" s="2" t="s">
        <v>39</v>
      </c>
      <c r="P3244" s="2" t="s">
        <v>39</v>
      </c>
      <c r="Q3244" s="2" t="s">
        <v>39</v>
      </c>
      <c r="R3244" s="2" t="s">
        <v>39</v>
      </c>
      <c r="S3244" s="2" t="s">
        <v>39</v>
      </c>
      <c r="T3244" s="2" t="s">
        <v>39</v>
      </c>
      <c r="U3244" s="2" t="s">
        <v>39</v>
      </c>
      <c r="V3244" s="2" t="s">
        <v>39</v>
      </c>
      <c r="W3244" s="2" t="s">
        <v>39</v>
      </c>
      <c r="X3244" s="2" t="s">
        <v>39</v>
      </c>
      <c r="Y3244" s="2" t="s">
        <v>39</v>
      </c>
      <c r="Z3244" s="2" t="s">
        <v>38</v>
      </c>
      <c r="AA3244" s="2" t="s">
        <v>39</v>
      </c>
      <c r="AB3244" s="2" t="s">
        <v>39</v>
      </c>
      <c r="AC3244" s="2" t="s">
        <v>38</v>
      </c>
      <c r="AD3244" s="2" t="s">
        <v>39</v>
      </c>
      <c r="AE3244" s="2" t="s">
        <v>39</v>
      </c>
    </row>
    <row r="3245" spans="1:31" ht="409.5">
      <c r="A3245" s="2">
        <v>2700800</v>
      </c>
      <c r="B3245" s="2">
        <f>HYPERLINK("https://platform.v2.vetology.net/cases/2700800/screening-report/1?type=pdf&amp;v=v6&amp;scorecard=1&amp;secret_key=BX%25IJ%24%2F65ieZ%29f6", 2700800)</f>
        <v>2700800</v>
      </c>
      <c r="C3245" s="2">
        <f>HYPERLINK("https://platform.v2.vetology.net/report/v/final/"&amp;2700800, 2700800)</f>
        <v>2700800</v>
      </c>
      <c r="D3245" s="2" t="s">
        <v>10303</v>
      </c>
      <c r="E3245" s="2" t="s">
        <v>10304</v>
      </c>
      <c r="F3245" s="2" t="s">
        <v>10305</v>
      </c>
      <c r="G3245" s="2" t="s">
        <v>127</v>
      </c>
      <c r="H3245" s="2" t="s">
        <v>3838</v>
      </c>
      <c r="I3245" s="2" t="s">
        <v>129</v>
      </c>
      <c r="J3245" s="2" t="s">
        <v>74</v>
      </c>
      <c r="K3245" s="2" t="s">
        <v>38</v>
      </c>
      <c r="L3245" s="2" t="s">
        <v>38</v>
      </c>
      <c r="M3245" s="2" t="s">
        <v>38</v>
      </c>
      <c r="N3245" s="2" t="s">
        <v>38</v>
      </c>
      <c r="O3245" s="2" t="s">
        <v>38</v>
      </c>
      <c r="P3245" s="2" t="s">
        <v>38</v>
      </c>
      <c r="Q3245" s="2" t="s">
        <v>38</v>
      </c>
      <c r="R3245" s="2" t="s">
        <v>38</v>
      </c>
      <c r="S3245" s="2" t="s">
        <v>38</v>
      </c>
      <c r="T3245" s="2" t="s">
        <v>38</v>
      </c>
      <c r="U3245" s="2" t="s">
        <v>39</v>
      </c>
      <c r="V3245" s="2" t="s">
        <v>39</v>
      </c>
      <c r="W3245" s="2" t="s">
        <v>38</v>
      </c>
      <c r="X3245" s="2" t="s">
        <v>38</v>
      </c>
      <c r="Y3245" s="2" t="s">
        <v>38</v>
      </c>
      <c r="Z3245" s="2" t="s">
        <v>38</v>
      </c>
      <c r="AA3245" s="2" t="s">
        <v>38</v>
      </c>
      <c r="AB3245" s="2" t="s">
        <v>38</v>
      </c>
      <c r="AC3245" s="2" t="s">
        <v>38</v>
      </c>
      <c r="AD3245" s="2" t="s">
        <v>39</v>
      </c>
      <c r="AE3245" s="2" t="s">
        <v>40</v>
      </c>
    </row>
    <row r="3246" spans="1:31" ht="409.5">
      <c r="A3246" s="2">
        <v>2700774</v>
      </c>
      <c r="B3246" s="2">
        <f>HYPERLINK("https://platform.v2.vetology.net/cases/2700774/screening-report/1?type=pdf&amp;v=v6&amp;scorecard=1&amp;secret_key=BX%25IJ%24%2F65ieZ%29f6", 2700774)</f>
        <v>2700774</v>
      </c>
      <c r="C3246" s="2">
        <f>HYPERLINK("https://platform.v2.vetology.net/report/v/final/"&amp;2700774, 2700774)</f>
        <v>2700774</v>
      </c>
      <c r="D3246" s="2" t="s">
        <v>10306</v>
      </c>
      <c r="E3246" s="2" t="s">
        <v>10307</v>
      </c>
      <c r="F3246" s="2"/>
      <c r="G3246" s="2" t="s">
        <v>81</v>
      </c>
      <c r="H3246" s="2" t="s">
        <v>166</v>
      </c>
      <c r="I3246" s="2" t="s">
        <v>36</v>
      </c>
      <c r="J3246" s="2" t="s">
        <v>37</v>
      </c>
      <c r="K3246" s="2" t="s">
        <v>39</v>
      </c>
      <c r="L3246" s="2" t="s">
        <v>39</v>
      </c>
      <c r="M3246" s="2" t="s">
        <v>38</v>
      </c>
      <c r="N3246" s="2" t="s">
        <v>39</v>
      </c>
      <c r="O3246" s="2" t="s">
        <v>38</v>
      </c>
      <c r="P3246" s="2" t="s">
        <v>39</v>
      </c>
      <c r="Q3246" s="2" t="s">
        <v>39</v>
      </c>
      <c r="R3246" s="2" t="s">
        <v>38</v>
      </c>
      <c r="S3246" s="2" t="s">
        <v>38</v>
      </c>
      <c r="T3246" s="2" t="s">
        <v>38</v>
      </c>
      <c r="U3246" s="2" t="s">
        <v>39</v>
      </c>
      <c r="V3246" s="2" t="s">
        <v>38</v>
      </c>
      <c r="W3246" s="2" t="s">
        <v>38</v>
      </c>
      <c r="X3246" s="2" t="s">
        <v>39</v>
      </c>
      <c r="Y3246" s="2" t="s">
        <v>39</v>
      </c>
      <c r="Z3246" s="2" t="s">
        <v>38</v>
      </c>
      <c r="AA3246" s="2" t="s">
        <v>39</v>
      </c>
      <c r="AB3246" s="2" t="s">
        <v>39</v>
      </c>
      <c r="AC3246" s="2" t="s">
        <v>38</v>
      </c>
      <c r="AD3246" s="2" t="s">
        <v>38</v>
      </c>
      <c r="AE3246" s="2" t="s">
        <v>39</v>
      </c>
    </row>
    <row r="3247" spans="1:31" ht="409.5">
      <c r="A3247" s="2">
        <v>2700765</v>
      </c>
      <c r="B3247" s="2">
        <f>HYPERLINK("https://platform.v2.vetology.net/cases/2700765/screening-report/1?type=pdf&amp;v=v6&amp;scorecard=1&amp;secret_key=BX%25IJ%24%2F65ieZ%29f6", 2700765)</f>
        <v>2700765</v>
      </c>
      <c r="C3247" s="2">
        <f>HYPERLINK("https://platform.v2.vetology.net/report/v/final/"&amp;2700765, 2700765)</f>
        <v>2700765</v>
      </c>
      <c r="D3247" s="2" t="s">
        <v>10308</v>
      </c>
      <c r="E3247" s="2" t="s">
        <v>10309</v>
      </c>
      <c r="F3247" s="2" t="s">
        <v>10310</v>
      </c>
      <c r="G3247" s="2" t="s">
        <v>111</v>
      </c>
      <c r="H3247" s="2" t="s">
        <v>10311</v>
      </c>
      <c r="I3247" s="2" t="s">
        <v>73</v>
      </c>
      <c r="J3247" s="2" t="s">
        <v>74</v>
      </c>
      <c r="K3247" s="2" t="s">
        <v>38</v>
      </c>
      <c r="L3247" s="2" t="s">
        <v>39</v>
      </c>
      <c r="M3247" s="2" t="s">
        <v>38</v>
      </c>
      <c r="N3247" s="2" t="s">
        <v>38</v>
      </c>
      <c r="O3247" s="2" t="s">
        <v>38</v>
      </c>
      <c r="P3247" s="2" t="s">
        <v>38</v>
      </c>
      <c r="Q3247" s="2" t="s">
        <v>38</v>
      </c>
      <c r="R3247" s="2" t="s">
        <v>39</v>
      </c>
      <c r="S3247" s="2" t="s">
        <v>39</v>
      </c>
      <c r="T3247" s="2" t="s">
        <v>39</v>
      </c>
      <c r="U3247" s="2" t="s">
        <v>38</v>
      </c>
      <c r="V3247" s="2" t="s">
        <v>38</v>
      </c>
      <c r="W3247" s="2" t="s">
        <v>38</v>
      </c>
      <c r="X3247" s="2" t="s">
        <v>38</v>
      </c>
      <c r="Y3247" s="2" t="s">
        <v>38</v>
      </c>
      <c r="Z3247" s="2" t="s">
        <v>39</v>
      </c>
      <c r="AA3247" s="2" t="s">
        <v>38</v>
      </c>
      <c r="AB3247" s="2" t="s">
        <v>39</v>
      </c>
      <c r="AC3247" s="2" t="s">
        <v>38</v>
      </c>
      <c r="AD3247" s="2" t="s">
        <v>38</v>
      </c>
      <c r="AE3247" s="2" t="s">
        <v>40</v>
      </c>
    </row>
    <row r="3248" spans="1:31" ht="409.5">
      <c r="A3248" s="2">
        <v>2700760</v>
      </c>
      <c r="B3248" s="2">
        <f>HYPERLINK("https://platform.v2.vetology.net/cases/2700760/screening-report/1?type=pdf&amp;v=v6&amp;scorecard=1&amp;secret_key=BX%25IJ%24%2F65ieZ%29f6", 2700760)</f>
        <v>2700760</v>
      </c>
      <c r="C3248" s="2">
        <f>HYPERLINK("https://platform.v2.vetology.net/report/v/final/"&amp;2700760, 2700760)</f>
        <v>2700760</v>
      </c>
      <c r="D3248" s="2" t="s">
        <v>10312</v>
      </c>
      <c r="E3248" s="2" t="s">
        <v>10313</v>
      </c>
      <c r="F3248" s="2" t="s">
        <v>10314</v>
      </c>
      <c r="G3248" s="2" t="s">
        <v>127</v>
      </c>
      <c r="H3248" s="2" t="s">
        <v>10315</v>
      </c>
      <c r="I3248" s="2" t="s">
        <v>36</v>
      </c>
      <c r="J3248" s="2" t="s">
        <v>37</v>
      </c>
      <c r="K3248" s="2" t="s">
        <v>39</v>
      </c>
      <c r="L3248" s="2" t="s">
        <v>39</v>
      </c>
      <c r="M3248" s="2" t="s">
        <v>38</v>
      </c>
      <c r="N3248" s="2" t="s">
        <v>39</v>
      </c>
      <c r="O3248" s="2" t="s">
        <v>39</v>
      </c>
      <c r="P3248" s="2" t="s">
        <v>39</v>
      </c>
      <c r="Q3248" s="2" t="s">
        <v>38</v>
      </c>
      <c r="R3248" s="2" t="s">
        <v>38</v>
      </c>
      <c r="S3248" s="2" t="s">
        <v>39</v>
      </c>
      <c r="T3248" s="2" t="s">
        <v>38</v>
      </c>
      <c r="U3248" s="2" t="s">
        <v>39</v>
      </c>
      <c r="V3248" s="2" t="s">
        <v>39</v>
      </c>
      <c r="W3248" s="2" t="s">
        <v>38</v>
      </c>
      <c r="X3248" s="2" t="s">
        <v>38</v>
      </c>
      <c r="Y3248" s="2" t="s">
        <v>39</v>
      </c>
      <c r="Z3248" s="2" t="s">
        <v>38</v>
      </c>
      <c r="AA3248" s="2" t="s">
        <v>38</v>
      </c>
      <c r="AB3248" s="2" t="s">
        <v>39</v>
      </c>
      <c r="AC3248" s="2" t="s">
        <v>39</v>
      </c>
      <c r="AD3248" s="2" t="s">
        <v>38</v>
      </c>
      <c r="AE3248" s="2" t="s">
        <v>39</v>
      </c>
    </row>
    <row r="3249" spans="1:31" ht="409.5">
      <c r="A3249" s="2">
        <v>2700747</v>
      </c>
      <c r="B3249" s="2">
        <f>HYPERLINK("https://platform.v2.vetology.net/cases/2700747/screening-report/1?type=pdf&amp;v=v6&amp;scorecard=1&amp;secret_key=BX%25IJ%24%2F65ieZ%29f6", 2700747)</f>
        <v>2700747</v>
      </c>
      <c r="C3249" s="2">
        <f>HYPERLINK("https://platform.v2.vetology.net/report/v/final/"&amp;2700747, 2700747)</f>
        <v>2700747</v>
      </c>
      <c r="D3249" s="2" t="s">
        <v>10316</v>
      </c>
      <c r="E3249" s="2" t="s">
        <v>10317</v>
      </c>
      <c r="F3249" s="2" t="s">
        <v>43</v>
      </c>
      <c r="G3249" s="2" t="s">
        <v>44</v>
      </c>
      <c r="H3249" s="2" t="s">
        <v>158</v>
      </c>
      <c r="I3249" s="2" t="s">
        <v>59</v>
      </c>
      <c r="J3249" s="2" t="s">
        <v>37</v>
      </c>
      <c r="K3249" s="2" t="s">
        <v>38</v>
      </c>
      <c r="L3249" s="2" t="s">
        <v>39</v>
      </c>
      <c r="M3249" s="2" t="s">
        <v>39</v>
      </c>
      <c r="N3249" s="2" t="s">
        <v>39</v>
      </c>
      <c r="O3249" s="2" t="s">
        <v>39</v>
      </c>
      <c r="P3249" s="2" t="s">
        <v>39</v>
      </c>
      <c r="Q3249" s="2" t="s">
        <v>39</v>
      </c>
      <c r="R3249" s="2" t="s">
        <v>39</v>
      </c>
      <c r="S3249" s="2" t="s">
        <v>39</v>
      </c>
      <c r="T3249" s="2" t="s">
        <v>39</v>
      </c>
      <c r="U3249" s="2" t="s">
        <v>39</v>
      </c>
      <c r="V3249" s="2" t="s">
        <v>39</v>
      </c>
      <c r="W3249" s="2" t="s">
        <v>39</v>
      </c>
      <c r="X3249" s="2" t="s">
        <v>39</v>
      </c>
      <c r="Y3249" s="2" t="s">
        <v>39</v>
      </c>
      <c r="Z3249" s="2" t="s">
        <v>39</v>
      </c>
      <c r="AA3249" s="2" t="s">
        <v>39</v>
      </c>
      <c r="AB3249" s="2" t="s">
        <v>39</v>
      </c>
      <c r="AC3249" s="2" t="s">
        <v>39</v>
      </c>
      <c r="AD3249" s="2" t="s">
        <v>39</v>
      </c>
      <c r="AE3249" s="2" t="s">
        <v>39</v>
      </c>
    </row>
    <row r="3250" spans="1:31" ht="409.5">
      <c r="A3250" s="2">
        <v>2700727</v>
      </c>
      <c r="B3250" s="2">
        <f>HYPERLINK("https://platform.v2.vetology.net/cases/2700727/screening-report/1?type=pdf&amp;v=v6&amp;scorecard=1&amp;secret_key=BX%25IJ%24%2F65ieZ%29f6", 2700727)</f>
        <v>2700727</v>
      </c>
      <c r="C3250" s="2">
        <f>HYPERLINK("https://platform.v2.vetology.net/report/v/final/"&amp;2700727, 2700727)</f>
        <v>2700727</v>
      </c>
      <c r="D3250" s="2" t="s">
        <v>10318</v>
      </c>
      <c r="E3250" s="2" t="s">
        <v>10319</v>
      </c>
      <c r="F3250" s="2" t="s">
        <v>10320</v>
      </c>
      <c r="G3250" s="2" t="s">
        <v>81</v>
      </c>
      <c r="H3250" s="2" t="s">
        <v>10321</v>
      </c>
      <c r="I3250" s="2" t="s">
        <v>73</v>
      </c>
      <c r="J3250" s="2" t="s">
        <v>74</v>
      </c>
      <c r="K3250" s="2" t="s">
        <v>38</v>
      </c>
      <c r="L3250" s="2" t="s">
        <v>38</v>
      </c>
      <c r="M3250" s="2" t="s">
        <v>38</v>
      </c>
      <c r="N3250" s="2" t="s">
        <v>38</v>
      </c>
      <c r="O3250" s="2" t="s">
        <v>38</v>
      </c>
      <c r="P3250" s="2" t="s">
        <v>38</v>
      </c>
      <c r="Q3250" s="2" t="s">
        <v>38</v>
      </c>
      <c r="R3250" s="2" t="s">
        <v>38</v>
      </c>
      <c r="S3250" s="2" t="s">
        <v>38</v>
      </c>
      <c r="T3250" s="2" t="s">
        <v>38</v>
      </c>
      <c r="U3250" s="2" t="s">
        <v>38</v>
      </c>
      <c r="V3250" s="2" t="s">
        <v>38</v>
      </c>
      <c r="W3250" s="2" t="s">
        <v>38</v>
      </c>
      <c r="X3250" s="2" t="s">
        <v>38</v>
      </c>
      <c r="Y3250" s="2" t="s">
        <v>38</v>
      </c>
      <c r="Z3250" s="2" t="s">
        <v>38</v>
      </c>
      <c r="AA3250" s="2" t="s">
        <v>38</v>
      </c>
      <c r="AB3250" s="2" t="s">
        <v>38</v>
      </c>
      <c r="AC3250" s="2" t="s">
        <v>38</v>
      </c>
      <c r="AD3250" s="2" t="s">
        <v>38</v>
      </c>
      <c r="AE3250" s="2" t="s">
        <v>40</v>
      </c>
    </row>
    <row r="3251" spans="1:31" ht="409.5">
      <c r="A3251" s="2">
        <v>2700698</v>
      </c>
      <c r="B3251" s="2">
        <f>HYPERLINK("https://platform.v2.vetology.net/cases/2700698/screening-report/1?type=pdf&amp;v=v6&amp;scorecard=1&amp;secret_key=BX%25IJ%24%2F65ieZ%29f6", 2700698)</f>
        <v>2700698</v>
      </c>
      <c r="C3251" s="2">
        <f>HYPERLINK("https://platform.v2.vetology.net/report/v/final/"&amp;2700698, 2700698)</f>
        <v>2700698</v>
      </c>
      <c r="D3251" s="2" t="s">
        <v>853</v>
      </c>
      <c r="E3251" s="2" t="s">
        <v>5827</v>
      </c>
      <c r="F3251" s="2" t="s">
        <v>5828</v>
      </c>
      <c r="G3251" s="2" t="s">
        <v>111</v>
      </c>
      <c r="H3251" s="2" t="s">
        <v>69</v>
      </c>
      <c r="I3251" s="2" t="s">
        <v>46</v>
      </c>
      <c r="J3251" s="2"/>
      <c r="K3251" s="2" t="s">
        <v>39</v>
      </c>
      <c r="L3251" s="2" t="s">
        <v>39</v>
      </c>
      <c r="M3251" s="2" t="s">
        <v>39</v>
      </c>
      <c r="N3251" s="2" t="s">
        <v>39</v>
      </c>
      <c r="O3251" s="2" t="s">
        <v>38</v>
      </c>
      <c r="P3251" s="2" t="s">
        <v>39</v>
      </c>
      <c r="Q3251" s="2" t="s">
        <v>39</v>
      </c>
      <c r="R3251" s="2" t="s">
        <v>39</v>
      </c>
      <c r="S3251" s="2" t="s">
        <v>39</v>
      </c>
      <c r="T3251" s="2" t="s">
        <v>39</v>
      </c>
      <c r="U3251" s="2" t="s">
        <v>39</v>
      </c>
      <c r="V3251" s="2" t="s">
        <v>39</v>
      </c>
      <c r="W3251" s="2" t="s">
        <v>38</v>
      </c>
      <c r="X3251" s="2" t="s">
        <v>39</v>
      </c>
      <c r="Y3251" s="2" t="s">
        <v>39</v>
      </c>
      <c r="Z3251" s="2" t="s">
        <v>39</v>
      </c>
      <c r="AA3251" s="2" t="s">
        <v>38</v>
      </c>
      <c r="AB3251" s="2" t="s">
        <v>39</v>
      </c>
      <c r="AC3251" s="2" t="s">
        <v>38</v>
      </c>
      <c r="AD3251" s="2" t="s">
        <v>39</v>
      </c>
      <c r="AE3251" s="2" t="s">
        <v>40</v>
      </c>
    </row>
    <row r="3252" spans="1:31" ht="409.5">
      <c r="A3252" s="2">
        <v>2700654</v>
      </c>
      <c r="B3252" s="2">
        <f>HYPERLINK("https://platform.v2.vetology.net/cases/2700654/screening-report/1?type=pdf&amp;v=v6&amp;scorecard=1&amp;secret_key=BX%25IJ%24%2F65ieZ%29f6", 2700654)</f>
        <v>2700654</v>
      </c>
      <c r="C3252" s="2">
        <f>HYPERLINK("https://platform.v2.vetology.net/report/v/final/"&amp;2700654, 2700654)</f>
        <v>2700654</v>
      </c>
      <c r="D3252" s="2" t="s">
        <v>10322</v>
      </c>
      <c r="E3252" s="2" t="s">
        <v>10323</v>
      </c>
      <c r="F3252" s="2" t="s">
        <v>10324</v>
      </c>
      <c r="G3252" s="2" t="s">
        <v>44</v>
      </c>
      <c r="H3252" s="2" t="s">
        <v>69</v>
      </c>
      <c r="I3252" s="2" t="s">
        <v>46</v>
      </c>
      <c r="J3252" s="2"/>
      <c r="K3252" s="2" t="s">
        <v>39</v>
      </c>
      <c r="L3252" s="2" t="s">
        <v>39</v>
      </c>
      <c r="M3252" s="2" t="s">
        <v>39</v>
      </c>
      <c r="N3252" s="2" t="s">
        <v>39</v>
      </c>
      <c r="O3252" s="2" t="s">
        <v>39</v>
      </c>
      <c r="P3252" s="2" t="s">
        <v>39</v>
      </c>
      <c r="Q3252" s="2" t="s">
        <v>39</v>
      </c>
      <c r="R3252" s="2" t="s">
        <v>39</v>
      </c>
      <c r="S3252" s="2" t="s">
        <v>39</v>
      </c>
      <c r="T3252" s="2" t="s">
        <v>39</v>
      </c>
      <c r="U3252" s="2" t="s">
        <v>39</v>
      </c>
      <c r="V3252" s="2" t="s">
        <v>39</v>
      </c>
      <c r="W3252" s="2" t="s">
        <v>39</v>
      </c>
      <c r="X3252" s="2" t="s">
        <v>39</v>
      </c>
      <c r="Y3252" s="2" t="s">
        <v>39</v>
      </c>
      <c r="Z3252" s="2" t="s">
        <v>39</v>
      </c>
      <c r="AA3252" s="2" t="s">
        <v>39</v>
      </c>
      <c r="AB3252" s="2" t="s">
        <v>39</v>
      </c>
      <c r="AC3252" s="2" t="s">
        <v>39</v>
      </c>
      <c r="AD3252" s="2" t="s">
        <v>39</v>
      </c>
      <c r="AE3252" s="2"/>
    </row>
    <row r="3253" spans="1:31" ht="409.5">
      <c r="A3253" s="2">
        <v>2700624</v>
      </c>
      <c r="B3253" s="2">
        <f>HYPERLINK("https://platform.v2.vetology.net/cases/2700624/screening-report/1?type=pdf&amp;v=v6&amp;scorecard=1&amp;secret_key=BX%25IJ%24%2F65ieZ%29f6", 2700624)</f>
        <v>2700624</v>
      </c>
      <c r="C3253" s="2">
        <f>HYPERLINK("https://platform.v2.vetology.net/report/v/final/"&amp;2700624, 2700624)</f>
        <v>2700624</v>
      </c>
      <c r="D3253" s="2" t="s">
        <v>10325</v>
      </c>
      <c r="E3253" s="2" t="s">
        <v>10326</v>
      </c>
      <c r="F3253" s="2" t="s">
        <v>43</v>
      </c>
      <c r="G3253" s="2" t="s">
        <v>100</v>
      </c>
      <c r="H3253" s="2" t="s">
        <v>5101</v>
      </c>
      <c r="I3253" s="2" t="s">
        <v>36</v>
      </c>
      <c r="J3253" s="2" t="s">
        <v>37</v>
      </c>
      <c r="K3253" s="2" t="s">
        <v>39</v>
      </c>
      <c r="L3253" s="2" t="s">
        <v>38</v>
      </c>
      <c r="M3253" s="2" t="s">
        <v>39</v>
      </c>
      <c r="N3253" s="2" t="s">
        <v>39</v>
      </c>
      <c r="O3253" s="2" t="s">
        <v>39</v>
      </c>
      <c r="P3253" s="2" t="s">
        <v>39</v>
      </c>
      <c r="Q3253" s="2" t="s">
        <v>39</v>
      </c>
      <c r="R3253" s="2" t="s">
        <v>38</v>
      </c>
      <c r="S3253" s="2" t="s">
        <v>38</v>
      </c>
      <c r="T3253" s="2" t="s">
        <v>39</v>
      </c>
      <c r="U3253" s="2" t="s">
        <v>39</v>
      </c>
      <c r="V3253" s="2" t="s">
        <v>39</v>
      </c>
      <c r="W3253" s="2" t="s">
        <v>39</v>
      </c>
      <c r="X3253" s="2" t="s">
        <v>39</v>
      </c>
      <c r="Y3253" s="2" t="s">
        <v>39</v>
      </c>
      <c r="Z3253" s="2" t="s">
        <v>39</v>
      </c>
      <c r="AA3253" s="2" t="s">
        <v>39</v>
      </c>
      <c r="AB3253" s="2" t="s">
        <v>39</v>
      </c>
      <c r="AC3253" s="2" t="s">
        <v>39</v>
      </c>
      <c r="AD3253" s="2" t="s">
        <v>39</v>
      </c>
      <c r="AE3253" s="2" t="s">
        <v>39</v>
      </c>
    </row>
    <row r="3254" spans="1:31" ht="409.5">
      <c r="A3254" s="2">
        <v>2700614</v>
      </c>
      <c r="B3254" s="2">
        <f>HYPERLINK("https://platform.v2.vetology.net/cases/2700614/screening-report/1?type=pdf&amp;v=v6&amp;scorecard=1&amp;secret_key=BX%25IJ%24%2F65ieZ%29f6", 2700614)</f>
        <v>2700614</v>
      </c>
      <c r="C3254" s="2">
        <f>HYPERLINK("https://platform.v2.vetology.net/report/v/final/"&amp;2700614, 2700614)</f>
        <v>2700614</v>
      </c>
      <c r="D3254" s="2" t="s">
        <v>10327</v>
      </c>
      <c r="E3254" s="2" t="s">
        <v>10328</v>
      </c>
      <c r="F3254" s="2" t="s">
        <v>10329</v>
      </c>
      <c r="G3254" s="2" t="s">
        <v>145</v>
      </c>
      <c r="H3254" s="2" t="s">
        <v>10330</v>
      </c>
      <c r="I3254" s="2" t="s">
        <v>129</v>
      </c>
      <c r="J3254" s="2" t="s">
        <v>74</v>
      </c>
      <c r="K3254" s="2" t="s">
        <v>39</v>
      </c>
      <c r="L3254" s="2" t="s">
        <v>38</v>
      </c>
      <c r="M3254" s="2" t="s">
        <v>38</v>
      </c>
      <c r="N3254" s="2" t="s">
        <v>38</v>
      </c>
      <c r="O3254" s="2" t="s">
        <v>38</v>
      </c>
      <c r="P3254" s="2" t="s">
        <v>38</v>
      </c>
      <c r="Q3254" s="2" t="s">
        <v>38</v>
      </c>
      <c r="R3254" s="2" t="s">
        <v>38</v>
      </c>
      <c r="S3254" s="2" t="s">
        <v>38</v>
      </c>
      <c r="T3254" s="2" t="s">
        <v>38</v>
      </c>
      <c r="U3254" s="2" t="s">
        <v>39</v>
      </c>
      <c r="V3254" s="2" t="s">
        <v>39</v>
      </c>
      <c r="W3254" s="2" t="s">
        <v>38</v>
      </c>
      <c r="X3254" s="2" t="s">
        <v>38</v>
      </c>
      <c r="Y3254" s="2" t="s">
        <v>38</v>
      </c>
      <c r="Z3254" s="2" t="s">
        <v>38</v>
      </c>
      <c r="AA3254" s="2" t="s">
        <v>38</v>
      </c>
      <c r="AB3254" s="2" t="s">
        <v>38</v>
      </c>
      <c r="AC3254" s="2" t="s">
        <v>38</v>
      </c>
      <c r="AD3254" s="2" t="s">
        <v>38</v>
      </c>
      <c r="AE3254" s="2"/>
    </row>
    <row r="3255" spans="1:31" ht="409.5">
      <c r="A3255" s="2">
        <v>2700588</v>
      </c>
      <c r="B3255" s="2">
        <f>HYPERLINK("https://platform.v2.vetology.net/cases/2700588/screening-report/1?type=pdf&amp;v=v6&amp;scorecard=1&amp;secret_key=BX%25IJ%24%2F65ieZ%29f6", 2700588)</f>
        <v>2700588</v>
      </c>
      <c r="C3255" s="2">
        <f>HYPERLINK("https://platform.v2.vetology.net/report/v/final/"&amp;2700588, 2700588)</f>
        <v>2700588</v>
      </c>
      <c r="D3255" s="2" t="s">
        <v>10331</v>
      </c>
      <c r="E3255" s="2" t="s">
        <v>10332</v>
      </c>
      <c r="F3255" s="2" t="s">
        <v>43</v>
      </c>
      <c r="G3255" s="2" t="s">
        <v>44</v>
      </c>
      <c r="H3255" s="2" t="s">
        <v>62</v>
      </c>
      <c r="I3255" s="2" t="s">
        <v>46</v>
      </c>
      <c r="J3255" s="2"/>
      <c r="K3255" s="2" t="s">
        <v>39</v>
      </c>
      <c r="L3255" s="2" t="s">
        <v>39</v>
      </c>
      <c r="M3255" s="2" t="s">
        <v>39</v>
      </c>
      <c r="N3255" s="2" t="s">
        <v>39</v>
      </c>
      <c r="O3255" s="2" t="s">
        <v>38</v>
      </c>
      <c r="P3255" s="2" t="s">
        <v>39</v>
      </c>
      <c r="Q3255" s="2" t="s">
        <v>39</v>
      </c>
      <c r="R3255" s="2" t="s">
        <v>38</v>
      </c>
      <c r="S3255" s="2" t="s">
        <v>38</v>
      </c>
      <c r="T3255" s="2" t="s">
        <v>39</v>
      </c>
      <c r="U3255" s="2" t="s">
        <v>39</v>
      </c>
      <c r="V3255" s="2" t="s">
        <v>39</v>
      </c>
      <c r="W3255" s="2" t="s">
        <v>38</v>
      </c>
      <c r="X3255" s="2" t="s">
        <v>39</v>
      </c>
      <c r="Y3255" s="2" t="s">
        <v>39</v>
      </c>
      <c r="Z3255" s="2" t="s">
        <v>38</v>
      </c>
      <c r="AA3255" s="2" t="s">
        <v>39</v>
      </c>
      <c r="AB3255" s="2" t="s">
        <v>39</v>
      </c>
      <c r="AC3255" s="2" t="s">
        <v>38</v>
      </c>
      <c r="AD3255" s="2" t="s">
        <v>39</v>
      </c>
      <c r="AE3255" s="2" t="s">
        <v>39</v>
      </c>
    </row>
    <row r="3256" spans="1:31" ht="409.5">
      <c r="A3256" s="2">
        <v>2700573</v>
      </c>
      <c r="B3256" s="2">
        <f>HYPERLINK("https://platform.v2.vetology.net/cases/2700573/screening-report/1?type=pdf&amp;v=v6&amp;scorecard=1&amp;secret_key=BX%25IJ%24%2F65ieZ%29f6", 2700573)</f>
        <v>2700573</v>
      </c>
      <c r="C3256" s="2">
        <f>HYPERLINK("https://platform.v2.vetology.net/report/v/final/"&amp;2700573, 2700573)</f>
        <v>2700573</v>
      </c>
      <c r="D3256" s="2" t="s">
        <v>10333</v>
      </c>
      <c r="E3256" s="2" t="s">
        <v>10334</v>
      </c>
      <c r="F3256" s="2" t="s">
        <v>10335</v>
      </c>
      <c r="G3256" s="2" t="s">
        <v>34</v>
      </c>
      <c r="H3256" s="2" t="s">
        <v>10336</v>
      </c>
      <c r="I3256" s="2" t="s">
        <v>73</v>
      </c>
      <c r="J3256" s="2" t="s">
        <v>74</v>
      </c>
      <c r="K3256" s="2" t="s">
        <v>38</v>
      </c>
      <c r="L3256" s="2" t="s">
        <v>38</v>
      </c>
      <c r="M3256" s="2" t="s">
        <v>38</v>
      </c>
      <c r="N3256" s="2" t="s">
        <v>38</v>
      </c>
      <c r="O3256" s="2" t="s">
        <v>38</v>
      </c>
      <c r="P3256" s="2" t="s">
        <v>38</v>
      </c>
      <c r="Q3256" s="2" t="s">
        <v>38</v>
      </c>
      <c r="R3256" s="2" t="s">
        <v>38</v>
      </c>
      <c r="S3256" s="2" t="s">
        <v>38</v>
      </c>
      <c r="T3256" s="2" t="s">
        <v>38</v>
      </c>
      <c r="U3256" s="2" t="s">
        <v>39</v>
      </c>
      <c r="V3256" s="2" t="s">
        <v>38</v>
      </c>
      <c r="W3256" s="2" t="s">
        <v>38</v>
      </c>
      <c r="X3256" s="2" t="s">
        <v>38</v>
      </c>
      <c r="Y3256" s="2" t="s">
        <v>38</v>
      </c>
      <c r="Z3256" s="2" t="s">
        <v>38</v>
      </c>
      <c r="AA3256" s="2" t="s">
        <v>38</v>
      </c>
      <c r="AB3256" s="2" t="s">
        <v>38</v>
      </c>
      <c r="AC3256" s="2" t="s">
        <v>38</v>
      </c>
      <c r="AD3256" s="2" t="s">
        <v>38</v>
      </c>
      <c r="AE3256" s="2" t="s">
        <v>40</v>
      </c>
    </row>
    <row r="3257" spans="1:31" ht="409.5">
      <c r="A3257" s="2">
        <v>2700564</v>
      </c>
      <c r="B3257" s="2">
        <f>HYPERLINK("https://platform.v2.vetology.net/cases/2700564/screening-report/1?type=pdf&amp;v=v6&amp;scorecard=1&amp;secret_key=BX%25IJ%24%2F65ieZ%29f6", 2700564)</f>
        <v>2700564</v>
      </c>
      <c r="C3257" s="2">
        <f>HYPERLINK("https://platform.v2.vetology.net/report/v/final/"&amp;2700564, 2700564)</f>
        <v>2700564</v>
      </c>
      <c r="D3257" s="2" t="s">
        <v>10337</v>
      </c>
      <c r="E3257" s="2" t="s">
        <v>10338</v>
      </c>
      <c r="F3257" s="2" t="s">
        <v>10339</v>
      </c>
      <c r="G3257" s="2" t="s">
        <v>170</v>
      </c>
      <c r="H3257" s="2" t="s">
        <v>197</v>
      </c>
      <c r="I3257" s="2" t="s">
        <v>36</v>
      </c>
      <c r="J3257" s="2" t="s">
        <v>37</v>
      </c>
      <c r="K3257" s="2" t="s">
        <v>38</v>
      </c>
      <c r="L3257" s="2" t="s">
        <v>39</v>
      </c>
      <c r="M3257" s="2" t="s">
        <v>38</v>
      </c>
      <c r="N3257" s="2" t="s">
        <v>39</v>
      </c>
      <c r="O3257" s="2" t="s">
        <v>39</v>
      </c>
      <c r="P3257" s="2" t="s">
        <v>39</v>
      </c>
      <c r="Q3257" s="2" t="s">
        <v>39</v>
      </c>
      <c r="R3257" s="2" t="s">
        <v>38</v>
      </c>
      <c r="S3257" s="2" t="s">
        <v>39</v>
      </c>
      <c r="T3257" s="2" t="s">
        <v>39</v>
      </c>
      <c r="U3257" s="2" t="s">
        <v>39</v>
      </c>
      <c r="V3257" s="2" t="s">
        <v>38</v>
      </c>
      <c r="W3257" s="2" t="s">
        <v>38</v>
      </c>
      <c r="X3257" s="2" t="s">
        <v>39</v>
      </c>
      <c r="Y3257" s="2" t="s">
        <v>39</v>
      </c>
      <c r="Z3257" s="2" t="s">
        <v>39</v>
      </c>
      <c r="AA3257" s="2" t="s">
        <v>39</v>
      </c>
      <c r="AB3257" s="2" t="s">
        <v>39</v>
      </c>
      <c r="AC3257" s="2" t="s">
        <v>38</v>
      </c>
      <c r="AD3257" s="2" t="s">
        <v>39</v>
      </c>
      <c r="AE3257" s="2" t="s">
        <v>40</v>
      </c>
    </row>
    <row r="3258" spans="1:31" ht="409.5">
      <c r="A3258" s="2">
        <v>2700561</v>
      </c>
      <c r="B3258" s="2">
        <f>HYPERLINK("https://platform.v2.vetology.net/cases/2700561/screening-report/1?type=pdf&amp;v=v6&amp;scorecard=1&amp;secret_key=BX%25IJ%24%2F65ieZ%29f6", 2700561)</f>
        <v>2700561</v>
      </c>
      <c r="C3258" s="2">
        <f>HYPERLINK("https://platform.v2.vetology.net/report/v/final/"&amp;2700561, 2700561)</f>
        <v>2700561</v>
      </c>
      <c r="D3258" s="2" t="s">
        <v>10340</v>
      </c>
      <c r="E3258" s="2" t="s">
        <v>10341</v>
      </c>
      <c r="F3258" s="2" t="s">
        <v>10342</v>
      </c>
      <c r="G3258" s="2" t="s">
        <v>127</v>
      </c>
      <c r="H3258" s="2" t="s">
        <v>69</v>
      </c>
      <c r="I3258" s="2" t="s">
        <v>46</v>
      </c>
      <c r="J3258" s="2"/>
      <c r="K3258" s="2" t="s">
        <v>39</v>
      </c>
      <c r="L3258" s="2" t="s">
        <v>39</v>
      </c>
      <c r="M3258" s="2" t="s">
        <v>39</v>
      </c>
      <c r="N3258" s="2" t="s">
        <v>39</v>
      </c>
      <c r="O3258" s="2" t="s">
        <v>39</v>
      </c>
      <c r="P3258" s="2" t="s">
        <v>39</v>
      </c>
      <c r="Q3258" s="2" t="s">
        <v>39</v>
      </c>
      <c r="R3258" s="2" t="s">
        <v>39</v>
      </c>
      <c r="S3258" s="2" t="s">
        <v>39</v>
      </c>
      <c r="T3258" s="2" t="s">
        <v>39</v>
      </c>
      <c r="U3258" s="2" t="s">
        <v>39</v>
      </c>
      <c r="V3258" s="2" t="s">
        <v>39</v>
      </c>
      <c r="W3258" s="2" t="s">
        <v>39</v>
      </c>
      <c r="X3258" s="2" t="s">
        <v>39</v>
      </c>
      <c r="Y3258" s="2" t="s">
        <v>39</v>
      </c>
      <c r="Z3258" s="2" t="s">
        <v>39</v>
      </c>
      <c r="AA3258" s="2" t="s">
        <v>39</v>
      </c>
      <c r="AB3258" s="2" t="s">
        <v>39</v>
      </c>
      <c r="AC3258" s="2" t="s">
        <v>39</v>
      </c>
      <c r="AD3258" s="2" t="s">
        <v>39</v>
      </c>
      <c r="AE3258" s="2" t="s">
        <v>39</v>
      </c>
    </row>
    <row r="3259" spans="1:31" ht="409.5">
      <c r="A3259" s="2">
        <v>2700558</v>
      </c>
      <c r="B3259" s="2">
        <f>HYPERLINK("https://platform.v2.vetology.net/cases/2700558/screening-report/1?type=pdf&amp;v=v6&amp;scorecard=1&amp;secret_key=BX%25IJ%24%2F65ieZ%29f6", 2700558)</f>
        <v>2700558</v>
      </c>
      <c r="C3259" s="2">
        <f>HYPERLINK("https://platform.v2.vetology.net/report/v/final/"&amp;2700558, 2700558)</f>
        <v>2700558</v>
      </c>
      <c r="D3259" s="2" t="s">
        <v>10343</v>
      </c>
      <c r="E3259" s="2" t="s">
        <v>10344</v>
      </c>
      <c r="F3259" s="2" t="s">
        <v>10345</v>
      </c>
      <c r="G3259" s="2" t="s">
        <v>170</v>
      </c>
      <c r="H3259" s="2" t="s">
        <v>10346</v>
      </c>
      <c r="I3259" s="2" t="s">
        <v>36</v>
      </c>
      <c r="J3259" s="2" t="s">
        <v>37</v>
      </c>
      <c r="K3259" s="2" t="s">
        <v>39</v>
      </c>
      <c r="L3259" s="2" t="s">
        <v>38</v>
      </c>
      <c r="M3259" s="2" t="s">
        <v>38</v>
      </c>
      <c r="N3259" s="2" t="s">
        <v>38</v>
      </c>
      <c r="O3259" s="2" t="s">
        <v>38</v>
      </c>
      <c r="P3259" s="2" t="s">
        <v>39</v>
      </c>
      <c r="Q3259" s="2" t="s">
        <v>39</v>
      </c>
      <c r="R3259" s="2" t="s">
        <v>38</v>
      </c>
      <c r="S3259" s="2" t="s">
        <v>38</v>
      </c>
      <c r="T3259" s="2" t="s">
        <v>38</v>
      </c>
      <c r="U3259" s="2" t="s">
        <v>39</v>
      </c>
      <c r="V3259" s="2" t="s">
        <v>39</v>
      </c>
      <c r="W3259" s="2" t="s">
        <v>38</v>
      </c>
      <c r="X3259" s="2" t="s">
        <v>39</v>
      </c>
      <c r="Y3259" s="2" t="s">
        <v>39</v>
      </c>
      <c r="Z3259" s="2" t="s">
        <v>38</v>
      </c>
      <c r="AA3259" s="2" t="s">
        <v>38</v>
      </c>
      <c r="AB3259" s="2" t="s">
        <v>39</v>
      </c>
      <c r="AC3259" s="2" t="s">
        <v>38</v>
      </c>
      <c r="AD3259" s="2" t="s">
        <v>38</v>
      </c>
      <c r="AE3259" s="2" t="s">
        <v>40</v>
      </c>
    </row>
    <row r="3260" spans="1:31" ht="409.5">
      <c r="A3260" s="2">
        <v>2700554</v>
      </c>
      <c r="B3260" s="2">
        <f>HYPERLINK("https://platform.v2.vetology.net/cases/2700554/screening-report/1?type=pdf&amp;v=v6&amp;scorecard=1&amp;secret_key=BX%25IJ%24%2F65ieZ%29f6", 2700554)</f>
        <v>2700554</v>
      </c>
      <c r="C3260" s="2">
        <f>HYPERLINK("https://platform.v2.vetology.net/report/v/final/"&amp;2700554, 2700554)</f>
        <v>2700554</v>
      </c>
      <c r="D3260" s="2" t="s">
        <v>10347</v>
      </c>
      <c r="E3260" s="2" t="s">
        <v>10348</v>
      </c>
      <c r="F3260" s="2" t="s">
        <v>10349</v>
      </c>
      <c r="G3260" s="2" t="s">
        <v>111</v>
      </c>
      <c r="H3260" s="2" t="s">
        <v>166</v>
      </c>
      <c r="I3260" s="2" t="s">
        <v>36</v>
      </c>
      <c r="J3260" s="2" t="s">
        <v>37</v>
      </c>
      <c r="K3260" s="2" t="s">
        <v>39</v>
      </c>
      <c r="L3260" s="2" t="s">
        <v>39</v>
      </c>
      <c r="M3260" s="2" t="s">
        <v>38</v>
      </c>
      <c r="N3260" s="2" t="s">
        <v>39</v>
      </c>
      <c r="O3260" s="2" t="s">
        <v>38</v>
      </c>
      <c r="P3260" s="2" t="s">
        <v>39</v>
      </c>
      <c r="Q3260" s="2" t="s">
        <v>39</v>
      </c>
      <c r="R3260" s="2" t="s">
        <v>38</v>
      </c>
      <c r="S3260" s="2" t="s">
        <v>38</v>
      </c>
      <c r="T3260" s="2" t="s">
        <v>39</v>
      </c>
      <c r="U3260" s="2" t="s">
        <v>39</v>
      </c>
      <c r="V3260" s="2" t="s">
        <v>39</v>
      </c>
      <c r="W3260" s="2" t="s">
        <v>38</v>
      </c>
      <c r="X3260" s="2" t="s">
        <v>39</v>
      </c>
      <c r="Y3260" s="2" t="s">
        <v>39</v>
      </c>
      <c r="Z3260" s="2" t="s">
        <v>39</v>
      </c>
      <c r="AA3260" s="2" t="s">
        <v>39</v>
      </c>
      <c r="AB3260" s="2" t="s">
        <v>39</v>
      </c>
      <c r="AC3260" s="2" t="s">
        <v>38</v>
      </c>
      <c r="AD3260" s="2" t="s">
        <v>39</v>
      </c>
      <c r="AE3260" s="2" t="s">
        <v>39</v>
      </c>
    </row>
    <row r="3261" spans="1:31" ht="409.5">
      <c r="A3261" s="2">
        <v>2700534</v>
      </c>
      <c r="B3261" s="2">
        <f>HYPERLINK("https://platform.v2.vetology.net/cases/2700534/screening-report/1?type=pdf&amp;v=v6&amp;scorecard=1&amp;secret_key=BX%25IJ%24%2F65ieZ%29f6", 2700534)</f>
        <v>2700534</v>
      </c>
      <c r="C3261" s="2">
        <f>HYPERLINK("https://platform.v2.vetology.net/report/v/final/"&amp;2700534, 2700534)</f>
        <v>2700534</v>
      </c>
      <c r="D3261" s="2" t="s">
        <v>10350</v>
      </c>
      <c r="E3261" s="2" t="s">
        <v>10351</v>
      </c>
      <c r="F3261" s="2" t="s">
        <v>43</v>
      </c>
      <c r="G3261" s="2" t="s">
        <v>44</v>
      </c>
      <c r="H3261" s="2" t="s">
        <v>10352</v>
      </c>
      <c r="I3261" s="2" t="s">
        <v>36</v>
      </c>
      <c r="J3261" s="2" t="s">
        <v>37</v>
      </c>
      <c r="K3261" s="2" t="s">
        <v>38</v>
      </c>
      <c r="L3261" s="2" t="s">
        <v>38</v>
      </c>
      <c r="M3261" s="2" t="s">
        <v>39</v>
      </c>
      <c r="N3261" s="2" t="s">
        <v>39</v>
      </c>
      <c r="O3261" s="2" t="s">
        <v>39</v>
      </c>
      <c r="P3261" s="2" t="s">
        <v>39</v>
      </c>
      <c r="Q3261" s="2" t="s">
        <v>39</v>
      </c>
      <c r="R3261" s="2" t="s">
        <v>39</v>
      </c>
      <c r="S3261" s="2" t="s">
        <v>39</v>
      </c>
      <c r="T3261" s="2" t="s">
        <v>39</v>
      </c>
      <c r="U3261" s="2" t="s">
        <v>39</v>
      </c>
      <c r="V3261" s="2" t="s">
        <v>38</v>
      </c>
      <c r="W3261" s="2" t="s">
        <v>38</v>
      </c>
      <c r="X3261" s="2" t="s">
        <v>39</v>
      </c>
      <c r="Y3261" s="2" t="s">
        <v>39</v>
      </c>
      <c r="Z3261" s="2" t="s">
        <v>38</v>
      </c>
      <c r="AA3261" s="2" t="s">
        <v>38</v>
      </c>
      <c r="AB3261" s="2" t="s">
        <v>39</v>
      </c>
      <c r="AC3261" s="2" t="s">
        <v>38</v>
      </c>
      <c r="AD3261" s="2" t="s">
        <v>38</v>
      </c>
      <c r="AE3261" s="2" t="s">
        <v>39</v>
      </c>
    </row>
    <row r="3262" spans="1:31" ht="409.5">
      <c r="A3262" s="2">
        <v>2700521</v>
      </c>
      <c r="B3262" s="2">
        <f>HYPERLINK("https://platform.v2.vetology.net/cases/2700521/screening-report/1?type=pdf&amp;v=v6&amp;scorecard=1&amp;secret_key=BX%25IJ%24%2F65ieZ%29f6", 2700521)</f>
        <v>2700521</v>
      </c>
      <c r="C3262" s="2">
        <f>HYPERLINK("https://platform.v2.vetology.net/report/v/final/"&amp;2700521, 2700521)</f>
        <v>2700521</v>
      </c>
      <c r="D3262" s="2" t="s">
        <v>10353</v>
      </c>
      <c r="E3262" s="2" t="s">
        <v>10354</v>
      </c>
      <c r="F3262" s="2" t="s">
        <v>10355</v>
      </c>
      <c r="G3262" s="2" t="s">
        <v>34</v>
      </c>
      <c r="H3262" s="2" t="s">
        <v>10356</v>
      </c>
      <c r="I3262" s="2" t="s">
        <v>73</v>
      </c>
      <c r="J3262" s="2" t="s">
        <v>74</v>
      </c>
      <c r="K3262" s="2" t="s">
        <v>38</v>
      </c>
      <c r="L3262" s="2" t="s">
        <v>38</v>
      </c>
      <c r="M3262" s="2" t="s">
        <v>38</v>
      </c>
      <c r="N3262" s="2" t="s">
        <v>38</v>
      </c>
      <c r="O3262" s="2" t="s">
        <v>38</v>
      </c>
      <c r="P3262" s="2" t="s">
        <v>38</v>
      </c>
      <c r="Q3262" s="2" t="s">
        <v>38</v>
      </c>
      <c r="R3262" s="2" t="s">
        <v>38</v>
      </c>
      <c r="S3262" s="2" t="s">
        <v>38</v>
      </c>
      <c r="T3262" s="2" t="s">
        <v>38</v>
      </c>
      <c r="U3262" s="2" t="s">
        <v>38</v>
      </c>
      <c r="V3262" s="2" t="s">
        <v>38</v>
      </c>
      <c r="W3262" s="2" t="s">
        <v>38</v>
      </c>
      <c r="X3262" s="2" t="s">
        <v>38</v>
      </c>
      <c r="Y3262" s="2" t="s">
        <v>38</v>
      </c>
      <c r="Z3262" s="2" t="s">
        <v>38</v>
      </c>
      <c r="AA3262" s="2" t="s">
        <v>38</v>
      </c>
      <c r="AB3262" s="2" t="s">
        <v>38</v>
      </c>
      <c r="AC3262" s="2" t="s">
        <v>38</v>
      </c>
      <c r="AD3262" s="2" t="s">
        <v>38</v>
      </c>
      <c r="AE3262" s="2" t="s">
        <v>40</v>
      </c>
    </row>
    <row r="3263" spans="1:31" ht="409.5">
      <c r="A3263" s="2">
        <v>2700511</v>
      </c>
      <c r="B3263" s="2">
        <f>HYPERLINK("https://platform.v2.vetology.net/cases/2700511/screening-report/1?type=pdf&amp;v=v6&amp;scorecard=1&amp;secret_key=BX%25IJ%24%2F65ieZ%29f6", 2700511)</f>
        <v>2700511</v>
      </c>
      <c r="C3263" s="2">
        <f>HYPERLINK("https://platform.v2.vetology.net/report/v/final/"&amp;2700511, 2700511)</f>
        <v>2700511</v>
      </c>
      <c r="D3263" s="2" t="s">
        <v>10357</v>
      </c>
      <c r="E3263" s="2" t="s">
        <v>10358</v>
      </c>
      <c r="F3263" s="2" t="s">
        <v>10359</v>
      </c>
      <c r="G3263" s="2" t="s">
        <v>127</v>
      </c>
      <c r="H3263" s="2" t="s">
        <v>93</v>
      </c>
      <c r="I3263" s="2" t="s">
        <v>36</v>
      </c>
      <c r="J3263" s="2" t="s">
        <v>37</v>
      </c>
      <c r="K3263" s="2" t="s">
        <v>38</v>
      </c>
      <c r="L3263" s="2" t="s">
        <v>39</v>
      </c>
      <c r="M3263" s="2" t="s">
        <v>39</v>
      </c>
      <c r="N3263" s="2" t="s">
        <v>38</v>
      </c>
      <c r="O3263" s="2" t="s">
        <v>38</v>
      </c>
      <c r="P3263" s="2" t="s">
        <v>39</v>
      </c>
      <c r="Q3263" s="2" t="s">
        <v>39</v>
      </c>
      <c r="R3263" s="2" t="s">
        <v>39</v>
      </c>
      <c r="S3263" s="2" t="s">
        <v>39</v>
      </c>
      <c r="T3263" s="2" t="s">
        <v>39</v>
      </c>
      <c r="U3263" s="2" t="s">
        <v>39</v>
      </c>
      <c r="V3263" s="2" t="s">
        <v>38</v>
      </c>
      <c r="W3263" s="2" t="s">
        <v>38</v>
      </c>
      <c r="X3263" s="2" t="s">
        <v>38</v>
      </c>
      <c r="Y3263" s="2" t="s">
        <v>39</v>
      </c>
      <c r="Z3263" s="2" t="s">
        <v>39</v>
      </c>
      <c r="AA3263" s="2" t="s">
        <v>39</v>
      </c>
      <c r="AB3263" s="2" t="s">
        <v>38</v>
      </c>
      <c r="AC3263" s="2" t="s">
        <v>38</v>
      </c>
      <c r="AD3263" s="2" t="s">
        <v>38</v>
      </c>
      <c r="AE3263" s="2" t="s">
        <v>40</v>
      </c>
    </row>
    <row r="3264" spans="1:31" ht="409.5">
      <c r="A3264" s="2">
        <v>2700506</v>
      </c>
      <c r="B3264" s="2">
        <f>HYPERLINK("https://platform.v2.vetology.net/cases/2700506/screening-report/1?type=pdf&amp;v=v6&amp;scorecard=1&amp;secret_key=BX%25IJ%24%2F65ieZ%29f6", 2700506)</f>
        <v>2700506</v>
      </c>
      <c r="C3264" s="2">
        <f>HYPERLINK("https://platform.v2.vetology.net/report/v/final/"&amp;2700506, 2700506)</f>
        <v>2700506</v>
      </c>
      <c r="D3264" s="2" t="s">
        <v>10360</v>
      </c>
      <c r="E3264" s="2" t="s">
        <v>10361</v>
      </c>
      <c r="F3264" s="2" t="s">
        <v>43</v>
      </c>
      <c r="G3264" s="2" t="s">
        <v>44</v>
      </c>
      <c r="H3264" s="2" t="s">
        <v>273</v>
      </c>
      <c r="I3264" s="2" t="s">
        <v>46</v>
      </c>
      <c r="J3264" s="2"/>
      <c r="K3264" s="2" t="s">
        <v>39</v>
      </c>
      <c r="L3264" s="2" t="s">
        <v>39</v>
      </c>
      <c r="M3264" s="2" t="s">
        <v>39</v>
      </c>
      <c r="N3264" s="2" t="s">
        <v>39</v>
      </c>
      <c r="O3264" s="2" t="s">
        <v>39</v>
      </c>
      <c r="P3264" s="2" t="s">
        <v>39</v>
      </c>
      <c r="Q3264" s="2" t="s">
        <v>39</v>
      </c>
      <c r="R3264" s="2" t="s">
        <v>39</v>
      </c>
      <c r="S3264" s="2" t="s">
        <v>38</v>
      </c>
      <c r="T3264" s="2" t="s">
        <v>38</v>
      </c>
      <c r="U3264" s="2" t="s">
        <v>39</v>
      </c>
      <c r="V3264" s="2" t="s">
        <v>38</v>
      </c>
      <c r="W3264" s="2" t="s">
        <v>38</v>
      </c>
      <c r="X3264" s="2" t="s">
        <v>39</v>
      </c>
      <c r="Y3264" s="2" t="s">
        <v>39</v>
      </c>
      <c r="Z3264" s="2" t="s">
        <v>39</v>
      </c>
      <c r="AA3264" s="2" t="s">
        <v>39</v>
      </c>
      <c r="AB3264" s="2" t="s">
        <v>39</v>
      </c>
      <c r="AC3264" s="2" t="s">
        <v>39</v>
      </c>
      <c r="AD3264" s="2" t="s">
        <v>39</v>
      </c>
      <c r="AE3264" s="2" t="s">
        <v>39</v>
      </c>
    </row>
    <row r="3265" spans="1:31" ht="409.5">
      <c r="A3265" s="2">
        <v>2700497</v>
      </c>
      <c r="B3265" s="2">
        <f>HYPERLINK("https://platform.v2.vetology.net/cases/2700497/screening-report/1?type=pdf&amp;v=v6&amp;scorecard=1&amp;secret_key=BX%25IJ%24%2F65ieZ%29f6", 2700497)</f>
        <v>2700497</v>
      </c>
      <c r="C3265" s="2">
        <f>HYPERLINK("https://platform.v2.vetology.net/report/v/final/"&amp;2700497, 2700497)</f>
        <v>2700497</v>
      </c>
      <c r="D3265" s="2" t="s">
        <v>10362</v>
      </c>
      <c r="E3265" s="2" t="s">
        <v>10363</v>
      </c>
      <c r="F3265" s="2" t="s">
        <v>1354</v>
      </c>
      <c r="G3265" s="2" t="s">
        <v>111</v>
      </c>
      <c r="H3265" s="2" t="s">
        <v>6083</v>
      </c>
      <c r="I3265" s="2" t="s">
        <v>73</v>
      </c>
      <c r="J3265" s="2" t="s">
        <v>74</v>
      </c>
      <c r="K3265" s="2" t="s">
        <v>38</v>
      </c>
      <c r="L3265" s="2" t="s">
        <v>38</v>
      </c>
      <c r="M3265" s="2" t="s">
        <v>38</v>
      </c>
      <c r="N3265" s="2" t="s">
        <v>38</v>
      </c>
      <c r="O3265" s="2" t="s">
        <v>38</v>
      </c>
      <c r="P3265" s="2" t="s">
        <v>38</v>
      </c>
      <c r="Q3265" s="2" t="s">
        <v>38</v>
      </c>
      <c r="R3265" s="2" t="s">
        <v>38</v>
      </c>
      <c r="S3265" s="2" t="s">
        <v>38</v>
      </c>
      <c r="T3265" s="2" t="s">
        <v>38</v>
      </c>
      <c r="U3265" s="2" t="s">
        <v>38</v>
      </c>
      <c r="V3265" s="2" t="s">
        <v>38</v>
      </c>
      <c r="W3265" s="2" t="s">
        <v>38</v>
      </c>
      <c r="X3265" s="2" t="s">
        <v>38</v>
      </c>
      <c r="Y3265" s="2" t="s">
        <v>38</v>
      </c>
      <c r="Z3265" s="2" t="s">
        <v>38</v>
      </c>
      <c r="AA3265" s="2" t="s">
        <v>38</v>
      </c>
      <c r="AB3265" s="2" t="s">
        <v>38</v>
      </c>
      <c r="AC3265" s="2" t="s">
        <v>38</v>
      </c>
      <c r="AD3265" s="2" t="s">
        <v>38</v>
      </c>
      <c r="AE3265" s="2"/>
    </row>
    <row r="3266" spans="1:31" ht="409.5">
      <c r="A3266" s="2">
        <v>2700435</v>
      </c>
      <c r="B3266" s="2">
        <f>HYPERLINK("https://platform.v2.vetology.net/cases/2700435/screening-report/1?type=pdf&amp;v=v6&amp;scorecard=1&amp;secret_key=BX%25IJ%24%2F65ieZ%29f6", 2700435)</f>
        <v>2700435</v>
      </c>
      <c r="C3266" s="2">
        <f>HYPERLINK("https://platform.v2.vetology.net/report/v/final/"&amp;2700435, 2700435)</f>
        <v>2700435</v>
      </c>
      <c r="D3266" s="2" t="s">
        <v>10364</v>
      </c>
      <c r="E3266" s="2" t="s">
        <v>10365</v>
      </c>
      <c r="F3266" s="2" t="s">
        <v>10366</v>
      </c>
      <c r="G3266" s="2" t="s">
        <v>127</v>
      </c>
      <c r="H3266" s="2" t="s">
        <v>273</v>
      </c>
      <c r="I3266" s="2" t="s">
        <v>46</v>
      </c>
      <c r="J3266" s="2"/>
      <c r="K3266" s="2" t="s">
        <v>39</v>
      </c>
      <c r="L3266" s="2" t="s">
        <v>39</v>
      </c>
      <c r="M3266" s="2" t="s">
        <v>39</v>
      </c>
      <c r="N3266" s="2" t="s">
        <v>39</v>
      </c>
      <c r="O3266" s="2" t="s">
        <v>39</v>
      </c>
      <c r="P3266" s="2" t="s">
        <v>39</v>
      </c>
      <c r="Q3266" s="2" t="s">
        <v>39</v>
      </c>
      <c r="R3266" s="2" t="s">
        <v>39</v>
      </c>
      <c r="S3266" s="2" t="s">
        <v>38</v>
      </c>
      <c r="T3266" s="2" t="s">
        <v>38</v>
      </c>
      <c r="U3266" s="2" t="s">
        <v>39</v>
      </c>
      <c r="V3266" s="2" t="s">
        <v>39</v>
      </c>
      <c r="W3266" s="2" t="s">
        <v>38</v>
      </c>
      <c r="X3266" s="2" t="s">
        <v>39</v>
      </c>
      <c r="Y3266" s="2" t="s">
        <v>39</v>
      </c>
      <c r="Z3266" s="2" t="s">
        <v>38</v>
      </c>
      <c r="AA3266" s="2" t="s">
        <v>39</v>
      </c>
      <c r="AB3266" s="2" t="s">
        <v>39</v>
      </c>
      <c r="AC3266" s="2" t="s">
        <v>38</v>
      </c>
      <c r="AD3266" s="2" t="s">
        <v>38</v>
      </c>
      <c r="AE3266" s="2" t="s">
        <v>39</v>
      </c>
    </row>
    <row r="3267" spans="1:31" ht="409.5">
      <c r="A3267" s="2">
        <v>2700432</v>
      </c>
      <c r="B3267" s="2">
        <f>HYPERLINK("https://platform.v2.vetology.net/cases/2700432/screening-report/1?type=pdf&amp;v=v6&amp;scorecard=1&amp;secret_key=BX%25IJ%24%2F65ieZ%29f6", 2700432)</f>
        <v>2700432</v>
      </c>
      <c r="C3267" s="2">
        <f>HYPERLINK("https://platform.v2.vetology.net/report/v/final/"&amp;2700432, 2700432)</f>
        <v>2700432</v>
      </c>
      <c r="D3267" s="2" t="s">
        <v>10367</v>
      </c>
      <c r="E3267" s="2" t="s">
        <v>10368</v>
      </c>
      <c r="F3267" s="2" t="s">
        <v>761</v>
      </c>
      <c r="G3267" s="2" t="s">
        <v>34</v>
      </c>
      <c r="H3267" s="2" t="s">
        <v>530</v>
      </c>
      <c r="I3267" s="2" t="s">
        <v>59</v>
      </c>
      <c r="J3267" s="2" t="s">
        <v>37</v>
      </c>
      <c r="K3267" s="2" t="s">
        <v>38</v>
      </c>
      <c r="L3267" s="2" t="s">
        <v>39</v>
      </c>
      <c r="M3267" s="2" t="s">
        <v>39</v>
      </c>
      <c r="N3267" s="2" t="s">
        <v>39</v>
      </c>
      <c r="O3267" s="2" t="s">
        <v>39</v>
      </c>
      <c r="P3267" s="2" t="s">
        <v>39</v>
      </c>
      <c r="Q3267" s="2" t="s">
        <v>39</v>
      </c>
      <c r="R3267" s="2" t="s">
        <v>39</v>
      </c>
      <c r="S3267" s="2" t="s">
        <v>39</v>
      </c>
      <c r="T3267" s="2" t="s">
        <v>39</v>
      </c>
      <c r="U3267" s="2" t="s">
        <v>38</v>
      </c>
      <c r="V3267" s="2" t="s">
        <v>38</v>
      </c>
      <c r="W3267" s="2" t="s">
        <v>39</v>
      </c>
      <c r="X3267" s="2" t="s">
        <v>39</v>
      </c>
      <c r="Y3267" s="2" t="s">
        <v>39</v>
      </c>
      <c r="Z3267" s="2" t="s">
        <v>39</v>
      </c>
      <c r="AA3267" s="2" t="s">
        <v>39</v>
      </c>
      <c r="AB3267" s="2" t="s">
        <v>39</v>
      </c>
      <c r="AC3267" s="2" t="s">
        <v>39</v>
      </c>
      <c r="AD3267" s="2" t="s">
        <v>39</v>
      </c>
      <c r="AE3267" s="2" t="s">
        <v>39</v>
      </c>
    </row>
    <row r="3268" spans="1:31" ht="409.5">
      <c r="A3268" s="2">
        <v>2700422</v>
      </c>
      <c r="B3268" s="2">
        <f>HYPERLINK("https://platform.v2.vetology.net/cases/2700422/screening-report/1?type=pdf&amp;v=v6&amp;scorecard=1&amp;secret_key=BX%25IJ%24%2F65ieZ%29f6", 2700422)</f>
        <v>2700422</v>
      </c>
      <c r="C3268" s="2">
        <f>HYPERLINK("https://platform.v2.vetology.net/report/v/final/"&amp;2700422, 2700422)</f>
        <v>2700422</v>
      </c>
      <c r="D3268" s="2" t="s">
        <v>10369</v>
      </c>
      <c r="E3268" s="2" t="s">
        <v>10370</v>
      </c>
      <c r="F3268" s="2" t="s">
        <v>10371</v>
      </c>
      <c r="G3268" s="2" t="s">
        <v>127</v>
      </c>
      <c r="H3268" s="2" t="s">
        <v>10372</v>
      </c>
      <c r="I3268" s="2" t="s">
        <v>129</v>
      </c>
      <c r="J3268" s="2" t="s">
        <v>74</v>
      </c>
      <c r="K3268" s="2" t="s">
        <v>39</v>
      </c>
      <c r="L3268" s="2" t="s">
        <v>39</v>
      </c>
      <c r="M3268" s="2" t="s">
        <v>38</v>
      </c>
      <c r="N3268" s="2" t="s">
        <v>38</v>
      </c>
      <c r="O3268" s="2" t="s">
        <v>38</v>
      </c>
      <c r="P3268" s="2" t="s">
        <v>39</v>
      </c>
      <c r="Q3268" s="2" t="s">
        <v>38</v>
      </c>
      <c r="R3268" s="2" t="s">
        <v>39</v>
      </c>
      <c r="S3268" s="2" t="s">
        <v>39</v>
      </c>
      <c r="T3268" s="2" t="s">
        <v>38</v>
      </c>
      <c r="U3268" s="2" t="s">
        <v>39</v>
      </c>
      <c r="V3268" s="2" t="s">
        <v>39</v>
      </c>
      <c r="W3268" s="2" t="s">
        <v>38</v>
      </c>
      <c r="X3268" s="2" t="s">
        <v>38</v>
      </c>
      <c r="Y3268" s="2" t="s">
        <v>38</v>
      </c>
      <c r="Z3268" s="2" t="s">
        <v>38</v>
      </c>
      <c r="AA3268" s="2" t="s">
        <v>38</v>
      </c>
      <c r="AB3268" s="2" t="s">
        <v>38</v>
      </c>
      <c r="AC3268" s="2" t="s">
        <v>38</v>
      </c>
      <c r="AD3268" s="2" t="s">
        <v>39</v>
      </c>
      <c r="AE3268" s="2" t="s">
        <v>40</v>
      </c>
    </row>
    <row r="3269" spans="1:31" ht="409.5">
      <c r="A3269" s="2">
        <v>2700421</v>
      </c>
      <c r="B3269" s="2">
        <f>HYPERLINK("https://platform.v2.vetology.net/cases/2700421/screening-report/1?type=pdf&amp;v=v6&amp;scorecard=1&amp;secret_key=BX%25IJ%24%2F65ieZ%29f6", 2700421)</f>
        <v>2700421</v>
      </c>
      <c r="C3269" s="2">
        <f>HYPERLINK("https://platform.v2.vetology.net/report/v/final/"&amp;2700421, 2700421)</f>
        <v>2700421</v>
      </c>
      <c r="D3269" s="2" t="s">
        <v>10373</v>
      </c>
      <c r="E3269" s="2" t="s">
        <v>10374</v>
      </c>
      <c r="F3269" s="2" t="s">
        <v>10375</v>
      </c>
      <c r="G3269" s="2" t="s">
        <v>111</v>
      </c>
      <c r="H3269" s="2" t="s">
        <v>10376</v>
      </c>
      <c r="I3269" s="2" t="s">
        <v>684</v>
      </c>
      <c r="J3269" s="2" t="s">
        <v>74</v>
      </c>
      <c r="K3269" s="2" t="s">
        <v>39</v>
      </c>
      <c r="L3269" s="2" t="s">
        <v>39</v>
      </c>
      <c r="M3269" s="2" t="s">
        <v>39</v>
      </c>
      <c r="N3269" s="2" t="s">
        <v>39</v>
      </c>
      <c r="O3269" s="2" t="s">
        <v>39</v>
      </c>
      <c r="P3269" s="2" t="s">
        <v>39</v>
      </c>
      <c r="Q3269" s="2" t="s">
        <v>38</v>
      </c>
      <c r="R3269" s="2" t="s">
        <v>38</v>
      </c>
      <c r="S3269" s="2" t="s">
        <v>39</v>
      </c>
      <c r="T3269" s="2" t="s">
        <v>39</v>
      </c>
      <c r="U3269" s="2" t="s">
        <v>39</v>
      </c>
      <c r="V3269" s="2" t="s">
        <v>39</v>
      </c>
      <c r="W3269" s="2" t="s">
        <v>38</v>
      </c>
      <c r="X3269" s="2" t="s">
        <v>38</v>
      </c>
      <c r="Y3269" s="2" t="s">
        <v>39</v>
      </c>
      <c r="Z3269" s="2" t="s">
        <v>39</v>
      </c>
      <c r="AA3269" s="2" t="s">
        <v>39</v>
      </c>
      <c r="AB3269" s="2" t="s">
        <v>39</v>
      </c>
      <c r="AC3269" s="2" t="s">
        <v>39</v>
      </c>
      <c r="AD3269" s="2" t="s">
        <v>39</v>
      </c>
      <c r="AE3269" s="2" t="s">
        <v>39</v>
      </c>
    </row>
    <row r="3270" spans="1:31" ht="409.5">
      <c r="A3270" s="2">
        <v>2700398</v>
      </c>
      <c r="B3270" s="2">
        <f>HYPERLINK("https://platform.v2.vetology.net/cases/2700398/screening-report/1?type=pdf&amp;v=v6&amp;scorecard=1&amp;secret_key=BX%25IJ%24%2F65ieZ%29f6", 2700398)</f>
        <v>2700398</v>
      </c>
      <c r="C3270" s="2">
        <f>HYPERLINK("https://platform.v2.vetology.net/report/v/final/"&amp;2700398, 2700398)</f>
        <v>2700398</v>
      </c>
      <c r="D3270" s="2" t="s">
        <v>10377</v>
      </c>
      <c r="E3270" s="2" t="s">
        <v>10378</v>
      </c>
      <c r="F3270" s="2" t="s">
        <v>10379</v>
      </c>
      <c r="G3270" s="2" t="s">
        <v>53</v>
      </c>
      <c r="H3270" s="2" t="s">
        <v>2689</v>
      </c>
      <c r="I3270" s="2" t="s">
        <v>36</v>
      </c>
      <c r="J3270" s="2" t="s">
        <v>37</v>
      </c>
      <c r="K3270" s="2" t="s">
        <v>38</v>
      </c>
      <c r="L3270" s="2" t="s">
        <v>38</v>
      </c>
      <c r="M3270" s="2" t="s">
        <v>38</v>
      </c>
      <c r="N3270" s="2" t="s">
        <v>38</v>
      </c>
      <c r="O3270" s="2" t="s">
        <v>38</v>
      </c>
      <c r="P3270" s="2" t="s">
        <v>38</v>
      </c>
      <c r="Q3270" s="2" t="s">
        <v>39</v>
      </c>
      <c r="R3270" s="2" t="s">
        <v>39</v>
      </c>
      <c r="S3270" s="2" t="s">
        <v>38</v>
      </c>
      <c r="T3270" s="2" t="s">
        <v>38</v>
      </c>
      <c r="U3270" s="2" t="s">
        <v>39</v>
      </c>
      <c r="V3270" s="2" t="s">
        <v>38</v>
      </c>
      <c r="W3270" s="2" t="s">
        <v>38</v>
      </c>
      <c r="X3270" s="2" t="s">
        <v>39</v>
      </c>
      <c r="Y3270" s="2" t="s">
        <v>38</v>
      </c>
      <c r="Z3270" s="2" t="s">
        <v>38</v>
      </c>
      <c r="AA3270" s="2" t="s">
        <v>38</v>
      </c>
      <c r="AB3270" s="2" t="s">
        <v>38</v>
      </c>
      <c r="AC3270" s="2" t="s">
        <v>38</v>
      </c>
      <c r="AD3270" s="2" t="s">
        <v>39</v>
      </c>
      <c r="AE3270" s="2" t="s">
        <v>39</v>
      </c>
    </row>
    <row r="3271" spans="1:31" ht="409.5">
      <c r="A3271" s="2">
        <v>2700361</v>
      </c>
      <c r="B3271" s="2">
        <f>HYPERLINK("https://platform.v2.vetology.net/cases/2700361/screening-report/1?type=pdf&amp;v=v6&amp;scorecard=1&amp;secret_key=BX%25IJ%24%2F65ieZ%29f6", 2700361)</f>
        <v>2700361</v>
      </c>
      <c r="C3271" s="2">
        <f>HYPERLINK("https://platform.v2.vetology.net/report/v/final/"&amp;2700361, 2700361)</f>
        <v>2700361</v>
      </c>
      <c r="D3271" s="2" t="s">
        <v>10380</v>
      </c>
      <c r="E3271" s="2" t="s">
        <v>10381</v>
      </c>
      <c r="F3271" s="2" t="s">
        <v>10382</v>
      </c>
      <c r="G3271" s="2" t="s">
        <v>170</v>
      </c>
      <c r="H3271" s="2" t="s">
        <v>10383</v>
      </c>
      <c r="I3271" s="2" t="s">
        <v>73</v>
      </c>
      <c r="J3271" s="2" t="s">
        <v>74</v>
      </c>
      <c r="K3271" s="2" t="s">
        <v>38</v>
      </c>
      <c r="L3271" s="2" t="s">
        <v>38</v>
      </c>
      <c r="M3271" s="2" t="s">
        <v>38</v>
      </c>
      <c r="N3271" s="2" t="s">
        <v>38</v>
      </c>
      <c r="O3271" s="2" t="s">
        <v>38</v>
      </c>
      <c r="P3271" s="2" t="s">
        <v>38</v>
      </c>
      <c r="Q3271" s="2" t="s">
        <v>38</v>
      </c>
      <c r="R3271" s="2" t="s">
        <v>38</v>
      </c>
      <c r="S3271" s="2" t="s">
        <v>38</v>
      </c>
      <c r="T3271" s="2" t="s">
        <v>38</v>
      </c>
      <c r="U3271" s="2" t="s">
        <v>38</v>
      </c>
      <c r="V3271" s="2" t="s">
        <v>38</v>
      </c>
      <c r="W3271" s="2" t="s">
        <v>38</v>
      </c>
      <c r="X3271" s="2" t="s">
        <v>38</v>
      </c>
      <c r="Y3271" s="2" t="s">
        <v>39</v>
      </c>
      <c r="Z3271" s="2" t="s">
        <v>38</v>
      </c>
      <c r="AA3271" s="2" t="s">
        <v>38</v>
      </c>
      <c r="AB3271" s="2" t="s">
        <v>38</v>
      </c>
      <c r="AC3271" s="2" t="s">
        <v>38</v>
      </c>
      <c r="AD3271" s="2" t="s">
        <v>38</v>
      </c>
      <c r="AE3271" s="2" t="s">
        <v>39</v>
      </c>
    </row>
    <row r="3272" spans="1:31" ht="409.5">
      <c r="A3272" s="2">
        <v>2700297</v>
      </c>
      <c r="B3272" s="2">
        <f>HYPERLINK("https://platform.v2.vetology.net/cases/2700297/screening-report/1?type=pdf&amp;v=v6&amp;scorecard=1&amp;secret_key=BX%25IJ%24%2F65ieZ%29f6", 2700297)</f>
        <v>2700297</v>
      </c>
      <c r="C3272" s="2">
        <f>HYPERLINK("https://platform.v2.vetology.net/report/v/final/"&amp;2700297, 2700297)</f>
        <v>2700297</v>
      </c>
      <c r="D3272" s="2" t="s">
        <v>10384</v>
      </c>
      <c r="E3272" s="2" t="s">
        <v>10385</v>
      </c>
      <c r="F3272" s="2" t="s">
        <v>10386</v>
      </c>
      <c r="G3272" s="2" t="s">
        <v>127</v>
      </c>
      <c r="H3272" s="2" t="s">
        <v>10387</v>
      </c>
      <c r="I3272" s="2" t="s">
        <v>36</v>
      </c>
      <c r="J3272" s="2" t="s">
        <v>37</v>
      </c>
      <c r="K3272" s="2" t="s">
        <v>38</v>
      </c>
      <c r="L3272" s="2" t="s">
        <v>38</v>
      </c>
      <c r="M3272" s="2" t="s">
        <v>38</v>
      </c>
      <c r="N3272" s="2" t="s">
        <v>38</v>
      </c>
      <c r="O3272" s="2" t="s">
        <v>38</v>
      </c>
      <c r="P3272" s="2" t="s">
        <v>39</v>
      </c>
      <c r="Q3272" s="2" t="s">
        <v>39</v>
      </c>
      <c r="R3272" s="2" t="s">
        <v>38</v>
      </c>
      <c r="S3272" s="2" t="s">
        <v>38</v>
      </c>
      <c r="T3272" s="2" t="s">
        <v>39</v>
      </c>
      <c r="U3272" s="2" t="s">
        <v>38</v>
      </c>
      <c r="V3272" s="2" t="s">
        <v>38</v>
      </c>
      <c r="W3272" s="2" t="s">
        <v>38</v>
      </c>
      <c r="X3272" s="2" t="s">
        <v>38</v>
      </c>
      <c r="Y3272" s="2" t="s">
        <v>39</v>
      </c>
      <c r="Z3272" s="2" t="s">
        <v>38</v>
      </c>
      <c r="AA3272" s="2" t="s">
        <v>38</v>
      </c>
      <c r="AB3272" s="2" t="s">
        <v>39</v>
      </c>
      <c r="AC3272" s="2" t="s">
        <v>38</v>
      </c>
      <c r="AD3272" s="2" t="s">
        <v>38</v>
      </c>
      <c r="AE3272" s="2" t="s">
        <v>40</v>
      </c>
    </row>
    <row r="3273" spans="1:31" ht="409.5">
      <c r="A3273" s="2">
        <v>2700294</v>
      </c>
      <c r="B3273" s="2">
        <f>HYPERLINK("https://platform.v2.vetology.net/cases/2700294/screening-report/1?type=pdf&amp;v=v6&amp;scorecard=1&amp;secret_key=BX%25IJ%24%2F65ieZ%29f6", 2700294)</f>
        <v>2700294</v>
      </c>
      <c r="C3273" s="2">
        <f>HYPERLINK("https://platform.v2.vetology.net/report/v/final/"&amp;2700294, 2700294)</f>
        <v>2700294</v>
      </c>
      <c r="D3273" s="2" t="s">
        <v>10388</v>
      </c>
      <c r="E3273" s="2" t="s">
        <v>10389</v>
      </c>
      <c r="F3273" s="2" t="s">
        <v>7109</v>
      </c>
      <c r="G3273" s="2" t="s">
        <v>34</v>
      </c>
      <c r="H3273" s="2" t="s">
        <v>4796</v>
      </c>
      <c r="I3273" s="2" t="s">
        <v>36</v>
      </c>
      <c r="J3273" s="2" t="s">
        <v>37</v>
      </c>
      <c r="K3273" s="2" t="s">
        <v>38</v>
      </c>
      <c r="L3273" s="2" t="s">
        <v>39</v>
      </c>
      <c r="M3273" s="2" t="s">
        <v>38</v>
      </c>
      <c r="N3273" s="2" t="s">
        <v>38</v>
      </c>
      <c r="O3273" s="2" t="s">
        <v>38</v>
      </c>
      <c r="P3273" s="2" t="s">
        <v>39</v>
      </c>
      <c r="Q3273" s="2" t="s">
        <v>39</v>
      </c>
      <c r="R3273" s="2" t="s">
        <v>39</v>
      </c>
      <c r="S3273" s="2" t="s">
        <v>39</v>
      </c>
      <c r="T3273" s="2" t="s">
        <v>39</v>
      </c>
      <c r="U3273" s="2" t="s">
        <v>38</v>
      </c>
      <c r="V3273" s="2" t="s">
        <v>38</v>
      </c>
      <c r="W3273" s="2" t="s">
        <v>39</v>
      </c>
      <c r="X3273" s="2" t="s">
        <v>39</v>
      </c>
      <c r="Y3273" s="2" t="s">
        <v>39</v>
      </c>
      <c r="Z3273" s="2" t="s">
        <v>39</v>
      </c>
      <c r="AA3273" s="2" t="s">
        <v>39</v>
      </c>
      <c r="AB3273" s="2" t="s">
        <v>39</v>
      </c>
      <c r="AC3273" s="2" t="s">
        <v>39</v>
      </c>
      <c r="AD3273" s="2" t="s">
        <v>39</v>
      </c>
      <c r="AE3273" s="2" t="s">
        <v>40</v>
      </c>
    </row>
    <row r="3274" spans="1:31" ht="409.5">
      <c r="A3274" s="2">
        <v>2700292</v>
      </c>
      <c r="B3274" s="2">
        <f>HYPERLINK("https://platform.v2.vetology.net/cases/2700292/screening-report/1?type=pdf&amp;v=v6&amp;scorecard=1&amp;secret_key=BX%25IJ%24%2F65ieZ%29f6", 2700292)</f>
        <v>2700292</v>
      </c>
      <c r="C3274" s="2">
        <f>HYPERLINK("https://platform.v2.vetology.net/report/v/final/"&amp;2700292, 2700292)</f>
        <v>2700292</v>
      </c>
      <c r="D3274" s="2" t="s">
        <v>10390</v>
      </c>
      <c r="E3274" s="2" t="s">
        <v>10391</v>
      </c>
      <c r="F3274" s="2" t="s">
        <v>10392</v>
      </c>
      <c r="G3274" s="2" t="s">
        <v>81</v>
      </c>
      <c r="H3274" s="2" t="s">
        <v>10393</v>
      </c>
      <c r="I3274" s="2" t="s">
        <v>36</v>
      </c>
      <c r="J3274" s="2" t="s">
        <v>37</v>
      </c>
      <c r="K3274" s="2" t="s">
        <v>38</v>
      </c>
      <c r="L3274" s="2" t="s">
        <v>38</v>
      </c>
      <c r="M3274" s="2" t="s">
        <v>38</v>
      </c>
      <c r="N3274" s="2" t="s">
        <v>38</v>
      </c>
      <c r="O3274" s="2" t="s">
        <v>38</v>
      </c>
      <c r="P3274" s="2" t="s">
        <v>38</v>
      </c>
      <c r="Q3274" s="2" t="s">
        <v>39</v>
      </c>
      <c r="R3274" s="2" t="s">
        <v>38</v>
      </c>
      <c r="S3274" s="2" t="s">
        <v>38</v>
      </c>
      <c r="T3274" s="2" t="s">
        <v>38</v>
      </c>
      <c r="U3274" s="2" t="s">
        <v>38</v>
      </c>
      <c r="V3274" s="2" t="s">
        <v>38</v>
      </c>
      <c r="W3274" s="2" t="s">
        <v>38</v>
      </c>
      <c r="X3274" s="2" t="s">
        <v>39</v>
      </c>
      <c r="Y3274" s="2" t="s">
        <v>38</v>
      </c>
      <c r="Z3274" s="2" t="s">
        <v>38</v>
      </c>
      <c r="AA3274" s="2" t="s">
        <v>38</v>
      </c>
      <c r="AB3274" s="2" t="s">
        <v>39</v>
      </c>
      <c r="AC3274" s="2" t="s">
        <v>38</v>
      </c>
      <c r="AD3274" s="2" t="s">
        <v>38</v>
      </c>
      <c r="AE3274" s="2" t="s">
        <v>39</v>
      </c>
    </row>
    <row r="3275" spans="1:31" ht="409.5">
      <c r="A3275" s="2">
        <v>2700209</v>
      </c>
      <c r="B3275" s="2">
        <f>HYPERLINK("https://platform.v2.vetology.net/cases/2700209/screening-report/1?type=pdf&amp;v=v6&amp;scorecard=1&amp;secret_key=BX%25IJ%24%2F65ieZ%29f6", 2700209)</f>
        <v>2700209</v>
      </c>
      <c r="C3275" s="2">
        <f>HYPERLINK("https://platform.v2.vetology.net/report/v/final/"&amp;2700209, 2700209)</f>
        <v>2700209</v>
      </c>
      <c r="D3275" s="2" t="s">
        <v>10394</v>
      </c>
      <c r="E3275" s="2" t="s">
        <v>10395</v>
      </c>
      <c r="F3275" s="2" t="s">
        <v>10396</v>
      </c>
      <c r="G3275" s="2" t="s">
        <v>170</v>
      </c>
      <c r="H3275" s="2" t="s">
        <v>10397</v>
      </c>
      <c r="I3275" s="2" t="s">
        <v>73</v>
      </c>
      <c r="J3275" s="2" t="s">
        <v>74</v>
      </c>
      <c r="K3275" s="2" t="s">
        <v>38</v>
      </c>
      <c r="L3275" s="2" t="s">
        <v>38</v>
      </c>
      <c r="M3275" s="2" t="s">
        <v>38</v>
      </c>
      <c r="N3275" s="2" t="s">
        <v>38</v>
      </c>
      <c r="O3275" s="2" t="s">
        <v>38</v>
      </c>
      <c r="P3275" s="2" t="s">
        <v>38</v>
      </c>
      <c r="Q3275" s="2" t="s">
        <v>38</v>
      </c>
      <c r="R3275" s="2" t="s">
        <v>38</v>
      </c>
      <c r="S3275" s="2" t="s">
        <v>38</v>
      </c>
      <c r="T3275" s="2" t="s">
        <v>38</v>
      </c>
      <c r="U3275" s="2" t="s">
        <v>38</v>
      </c>
      <c r="V3275" s="2" t="s">
        <v>38</v>
      </c>
      <c r="W3275" s="2" t="s">
        <v>38</v>
      </c>
      <c r="X3275" s="2" t="s">
        <v>38</v>
      </c>
      <c r="Y3275" s="2" t="s">
        <v>39</v>
      </c>
      <c r="Z3275" s="2" t="s">
        <v>38</v>
      </c>
      <c r="AA3275" s="2" t="s">
        <v>38</v>
      </c>
      <c r="AB3275" s="2" t="s">
        <v>38</v>
      </c>
      <c r="AC3275" s="2" t="s">
        <v>38</v>
      </c>
      <c r="AD3275" s="2" t="s">
        <v>38</v>
      </c>
      <c r="AE3275" s="2" t="s">
        <v>39</v>
      </c>
    </row>
    <row r="3276" spans="1:31" ht="409.5">
      <c r="A3276" s="2">
        <v>2700184</v>
      </c>
      <c r="B3276" s="2">
        <f>HYPERLINK("https://platform.v2.vetology.net/cases/2700184/screening-report/1?type=pdf&amp;v=v6&amp;scorecard=1&amp;secret_key=BX%25IJ%24%2F65ieZ%29f6", 2700184)</f>
        <v>2700184</v>
      </c>
      <c r="C3276" s="2">
        <f>HYPERLINK("https://platform.v2.vetology.net/report/v/final/"&amp;2700184, 2700184)</f>
        <v>2700184</v>
      </c>
      <c r="D3276" s="2" t="s">
        <v>10398</v>
      </c>
      <c r="E3276" s="2" t="s">
        <v>10399</v>
      </c>
      <c r="F3276" s="2" t="s">
        <v>10400</v>
      </c>
      <c r="G3276" s="2" t="s">
        <v>127</v>
      </c>
      <c r="H3276" s="2" t="s">
        <v>394</v>
      </c>
      <c r="I3276" s="2" t="s">
        <v>59</v>
      </c>
      <c r="J3276" s="2" t="s">
        <v>37</v>
      </c>
      <c r="K3276" s="2" t="s">
        <v>38</v>
      </c>
      <c r="L3276" s="2" t="s">
        <v>39</v>
      </c>
      <c r="M3276" s="2" t="s">
        <v>39</v>
      </c>
      <c r="N3276" s="2" t="s">
        <v>39</v>
      </c>
      <c r="O3276" s="2" t="s">
        <v>38</v>
      </c>
      <c r="P3276" s="2" t="s">
        <v>39</v>
      </c>
      <c r="Q3276" s="2" t="s">
        <v>39</v>
      </c>
      <c r="R3276" s="2" t="s">
        <v>39</v>
      </c>
      <c r="S3276" s="2" t="s">
        <v>39</v>
      </c>
      <c r="T3276" s="2" t="s">
        <v>39</v>
      </c>
      <c r="U3276" s="2" t="s">
        <v>39</v>
      </c>
      <c r="V3276" s="2" t="s">
        <v>38</v>
      </c>
      <c r="W3276" s="2" t="s">
        <v>39</v>
      </c>
      <c r="X3276" s="2" t="s">
        <v>39</v>
      </c>
      <c r="Y3276" s="2" t="s">
        <v>39</v>
      </c>
      <c r="Z3276" s="2" t="s">
        <v>39</v>
      </c>
      <c r="AA3276" s="2" t="s">
        <v>39</v>
      </c>
      <c r="AB3276" s="2" t="s">
        <v>39</v>
      </c>
      <c r="AC3276" s="2" t="s">
        <v>38</v>
      </c>
      <c r="AD3276" s="2" t="s">
        <v>38</v>
      </c>
      <c r="AE3276" s="2" t="s">
        <v>39</v>
      </c>
    </row>
    <row r="3277" spans="1:31" ht="409.5">
      <c r="A3277" s="2">
        <v>2700160</v>
      </c>
      <c r="B3277" s="2">
        <f>HYPERLINK("https://platform.v2.vetology.net/cases/2700160/screening-report/1?type=pdf&amp;v=v6&amp;scorecard=1&amp;secret_key=BX%25IJ%24%2F65ieZ%29f6", 2700160)</f>
        <v>2700160</v>
      </c>
      <c r="C3277" s="2">
        <f>HYPERLINK("https://platform.v2.vetology.net/report/v/final/"&amp;2700160, 2700160)</f>
        <v>2700160</v>
      </c>
      <c r="D3277" s="2" t="s">
        <v>10401</v>
      </c>
      <c r="E3277" s="2" t="s">
        <v>10402</v>
      </c>
      <c r="F3277" s="2" t="s">
        <v>7005</v>
      </c>
      <c r="G3277" s="2" t="s">
        <v>100</v>
      </c>
      <c r="H3277" s="2" t="s">
        <v>10403</v>
      </c>
      <c r="I3277" s="2" t="s">
        <v>36</v>
      </c>
      <c r="J3277" s="2" t="s">
        <v>37</v>
      </c>
      <c r="K3277" s="2" t="s">
        <v>39</v>
      </c>
      <c r="L3277" s="2" t="s">
        <v>38</v>
      </c>
      <c r="M3277" s="2" t="s">
        <v>38</v>
      </c>
      <c r="N3277" s="2" t="s">
        <v>38</v>
      </c>
      <c r="O3277" s="2" t="s">
        <v>38</v>
      </c>
      <c r="P3277" s="2" t="s">
        <v>39</v>
      </c>
      <c r="Q3277" s="2" t="s">
        <v>39</v>
      </c>
      <c r="R3277" s="2" t="s">
        <v>39</v>
      </c>
      <c r="S3277" s="2" t="s">
        <v>38</v>
      </c>
      <c r="T3277" s="2" t="s">
        <v>39</v>
      </c>
      <c r="U3277" s="2" t="s">
        <v>39</v>
      </c>
      <c r="V3277" s="2" t="s">
        <v>39</v>
      </c>
      <c r="W3277" s="2" t="s">
        <v>38</v>
      </c>
      <c r="X3277" s="2" t="s">
        <v>39</v>
      </c>
      <c r="Y3277" s="2" t="s">
        <v>39</v>
      </c>
      <c r="Z3277" s="2" t="s">
        <v>38</v>
      </c>
      <c r="AA3277" s="2" t="s">
        <v>38</v>
      </c>
      <c r="AB3277" s="2" t="s">
        <v>39</v>
      </c>
      <c r="AC3277" s="2" t="s">
        <v>38</v>
      </c>
      <c r="AD3277" s="2" t="s">
        <v>38</v>
      </c>
      <c r="AE3277" s="2"/>
    </row>
    <row r="3278" spans="1:31" ht="409.5">
      <c r="A3278" s="2">
        <v>2700147</v>
      </c>
      <c r="B3278" s="2">
        <f>HYPERLINK("https://platform.v2.vetology.net/cases/2700147/screening-report/1?type=pdf&amp;v=v6&amp;scorecard=1&amp;secret_key=BX%25IJ%24%2F65ieZ%29f6", 2700147)</f>
        <v>2700147</v>
      </c>
      <c r="C3278" s="2">
        <f>HYPERLINK("https://platform.v2.vetology.net/report/v/final/"&amp;2700147, 2700147)</f>
        <v>2700147</v>
      </c>
      <c r="D3278" s="2" t="s">
        <v>10404</v>
      </c>
      <c r="E3278" s="2" t="s">
        <v>10405</v>
      </c>
      <c r="F3278" s="2" t="s">
        <v>43</v>
      </c>
      <c r="G3278" s="2" t="s">
        <v>44</v>
      </c>
      <c r="H3278" s="2" t="s">
        <v>10406</v>
      </c>
      <c r="I3278" s="2" t="s">
        <v>73</v>
      </c>
      <c r="J3278" s="2" t="s">
        <v>74</v>
      </c>
      <c r="K3278" s="2" t="s">
        <v>38</v>
      </c>
      <c r="L3278" s="2" t="s">
        <v>38</v>
      </c>
      <c r="M3278" s="2" t="s">
        <v>38</v>
      </c>
      <c r="N3278" s="2" t="s">
        <v>38</v>
      </c>
      <c r="O3278" s="2" t="s">
        <v>38</v>
      </c>
      <c r="P3278" s="2" t="s">
        <v>38</v>
      </c>
      <c r="Q3278" s="2" t="s">
        <v>38</v>
      </c>
      <c r="R3278" s="2" t="s">
        <v>39</v>
      </c>
      <c r="S3278" s="2" t="s">
        <v>39</v>
      </c>
      <c r="T3278" s="2" t="s">
        <v>38</v>
      </c>
      <c r="U3278" s="2" t="s">
        <v>38</v>
      </c>
      <c r="V3278" s="2" t="s">
        <v>38</v>
      </c>
      <c r="W3278" s="2" t="s">
        <v>39</v>
      </c>
      <c r="X3278" s="2" t="s">
        <v>38</v>
      </c>
      <c r="Y3278" s="2" t="s">
        <v>39</v>
      </c>
      <c r="Z3278" s="2" t="s">
        <v>38</v>
      </c>
      <c r="AA3278" s="2" t="s">
        <v>38</v>
      </c>
      <c r="AB3278" s="2" t="s">
        <v>38</v>
      </c>
      <c r="AC3278" s="2" t="s">
        <v>39</v>
      </c>
      <c r="AD3278" s="2" t="s">
        <v>38</v>
      </c>
      <c r="AE3278" s="2" t="s">
        <v>39</v>
      </c>
    </row>
    <row r="3279" spans="1:31" ht="409.5">
      <c r="A3279" s="2">
        <v>2700142</v>
      </c>
      <c r="B3279" s="2">
        <f>HYPERLINK("https://platform.v2.vetology.net/cases/2700142/screening-report/1?type=pdf&amp;v=v6&amp;scorecard=1&amp;secret_key=BX%25IJ%24%2F65ieZ%29f6", 2700142)</f>
        <v>2700142</v>
      </c>
      <c r="C3279" s="2">
        <f>HYPERLINK("https://platform.v2.vetology.net/report/v/final/"&amp;2700142, 2700142)</f>
        <v>2700142</v>
      </c>
      <c r="D3279" s="2" t="s">
        <v>10407</v>
      </c>
      <c r="E3279" s="2" t="s">
        <v>10408</v>
      </c>
      <c r="F3279" s="2" t="s">
        <v>43</v>
      </c>
      <c r="G3279" s="2" t="s">
        <v>100</v>
      </c>
      <c r="H3279" s="2" t="s">
        <v>10409</v>
      </c>
      <c r="I3279" s="2" t="s">
        <v>129</v>
      </c>
      <c r="J3279" s="2" t="s">
        <v>74</v>
      </c>
      <c r="K3279" s="2" t="s">
        <v>38</v>
      </c>
      <c r="L3279" s="2" t="s">
        <v>38</v>
      </c>
      <c r="M3279" s="2" t="s">
        <v>38</v>
      </c>
      <c r="N3279" s="2" t="s">
        <v>38</v>
      </c>
      <c r="O3279" s="2" t="s">
        <v>38</v>
      </c>
      <c r="P3279" s="2" t="s">
        <v>39</v>
      </c>
      <c r="Q3279" s="2" t="s">
        <v>38</v>
      </c>
      <c r="R3279" s="2" t="s">
        <v>38</v>
      </c>
      <c r="S3279" s="2" t="s">
        <v>38</v>
      </c>
      <c r="T3279" s="2" t="s">
        <v>38</v>
      </c>
      <c r="U3279" s="2" t="s">
        <v>38</v>
      </c>
      <c r="V3279" s="2" t="s">
        <v>38</v>
      </c>
      <c r="W3279" s="2" t="s">
        <v>39</v>
      </c>
      <c r="X3279" s="2" t="s">
        <v>38</v>
      </c>
      <c r="Y3279" s="2" t="s">
        <v>38</v>
      </c>
      <c r="Z3279" s="2" t="s">
        <v>38</v>
      </c>
      <c r="AA3279" s="2" t="s">
        <v>38</v>
      </c>
      <c r="AB3279" s="2" t="s">
        <v>38</v>
      </c>
      <c r="AC3279" s="2" t="s">
        <v>38</v>
      </c>
      <c r="AD3279" s="2" t="s">
        <v>38</v>
      </c>
      <c r="AE3279" s="2" t="s">
        <v>39</v>
      </c>
    </row>
    <row r="3280" spans="1:31" ht="409.5">
      <c r="A3280" s="2">
        <v>2700126</v>
      </c>
      <c r="B3280" s="2">
        <f>HYPERLINK("https://platform.v2.vetology.net/cases/2700126/screening-report/1?type=pdf&amp;v=v6&amp;scorecard=1&amp;secret_key=BX%25IJ%24%2F65ieZ%29f6", 2700126)</f>
        <v>2700126</v>
      </c>
      <c r="C3280" s="2">
        <f>HYPERLINK("https://platform.v2.vetology.net/report/v/final/"&amp;2700126, 2700126)</f>
        <v>2700126</v>
      </c>
      <c r="D3280" s="2" t="s">
        <v>5239</v>
      </c>
      <c r="E3280" s="2" t="s">
        <v>10410</v>
      </c>
      <c r="F3280" s="2" t="s">
        <v>787</v>
      </c>
      <c r="G3280" s="2" t="s">
        <v>100</v>
      </c>
      <c r="H3280" s="2" t="s">
        <v>69</v>
      </c>
      <c r="I3280" s="2" t="s">
        <v>46</v>
      </c>
      <c r="J3280" s="2"/>
      <c r="K3280" s="2" t="s">
        <v>39</v>
      </c>
      <c r="L3280" s="2" t="s">
        <v>39</v>
      </c>
      <c r="M3280" s="2" t="s">
        <v>39</v>
      </c>
      <c r="N3280" s="2" t="s">
        <v>39</v>
      </c>
      <c r="O3280" s="2" t="s">
        <v>39</v>
      </c>
      <c r="P3280" s="2" t="s">
        <v>39</v>
      </c>
      <c r="Q3280" s="2" t="s">
        <v>39</v>
      </c>
      <c r="R3280" s="2" t="s">
        <v>39</v>
      </c>
      <c r="S3280" s="2" t="s">
        <v>39</v>
      </c>
      <c r="T3280" s="2" t="s">
        <v>38</v>
      </c>
      <c r="U3280" s="2" t="s">
        <v>39</v>
      </c>
      <c r="V3280" s="2" t="s">
        <v>39</v>
      </c>
      <c r="W3280" s="2" t="s">
        <v>39</v>
      </c>
      <c r="X3280" s="2" t="s">
        <v>39</v>
      </c>
      <c r="Y3280" s="2" t="s">
        <v>39</v>
      </c>
      <c r="Z3280" s="2" t="s">
        <v>38</v>
      </c>
      <c r="AA3280" s="2" t="s">
        <v>39</v>
      </c>
      <c r="AB3280" s="2" t="s">
        <v>39</v>
      </c>
      <c r="AC3280" s="2" t="s">
        <v>38</v>
      </c>
      <c r="AD3280" s="2" t="s">
        <v>38</v>
      </c>
      <c r="AE3280" s="2" t="s">
        <v>40</v>
      </c>
    </row>
    <row r="3281" spans="1:31" ht="409.5">
      <c r="A3281" s="2">
        <v>2700092</v>
      </c>
      <c r="B3281" s="2">
        <f>HYPERLINK("https://platform.v2.vetology.net/cases/2700092/screening-report/1?type=pdf&amp;v=v6&amp;scorecard=1&amp;secret_key=BX%25IJ%24%2F65ieZ%29f6", 2700092)</f>
        <v>2700092</v>
      </c>
      <c r="C3281" s="2">
        <f>HYPERLINK("https://platform.v2.vetology.net/report/v/final/"&amp;2700092, 2700092)</f>
        <v>2700092</v>
      </c>
      <c r="D3281" s="2" t="s">
        <v>10411</v>
      </c>
      <c r="E3281" s="2" t="s">
        <v>10412</v>
      </c>
      <c r="F3281" s="2" t="s">
        <v>3786</v>
      </c>
      <c r="G3281" s="2" t="s">
        <v>44</v>
      </c>
      <c r="H3281" s="2" t="s">
        <v>10413</v>
      </c>
      <c r="I3281" s="2" t="s">
        <v>129</v>
      </c>
      <c r="J3281" s="2" t="s">
        <v>74</v>
      </c>
      <c r="K3281" s="2" t="s">
        <v>38</v>
      </c>
      <c r="L3281" s="2" t="s">
        <v>38</v>
      </c>
      <c r="M3281" s="2" t="s">
        <v>38</v>
      </c>
      <c r="N3281" s="2" t="s">
        <v>38</v>
      </c>
      <c r="O3281" s="2" t="s">
        <v>38</v>
      </c>
      <c r="P3281" s="2" t="s">
        <v>38</v>
      </c>
      <c r="Q3281" s="2" t="s">
        <v>38</v>
      </c>
      <c r="R3281" s="2" t="s">
        <v>39</v>
      </c>
      <c r="S3281" s="2" t="s">
        <v>38</v>
      </c>
      <c r="T3281" s="2" t="s">
        <v>38</v>
      </c>
      <c r="U3281" s="2" t="s">
        <v>39</v>
      </c>
      <c r="V3281" s="2" t="s">
        <v>38</v>
      </c>
      <c r="W3281" s="2" t="s">
        <v>38</v>
      </c>
      <c r="X3281" s="2" t="s">
        <v>38</v>
      </c>
      <c r="Y3281" s="2" t="s">
        <v>38</v>
      </c>
      <c r="Z3281" s="2" t="s">
        <v>38</v>
      </c>
      <c r="AA3281" s="2" t="s">
        <v>38</v>
      </c>
      <c r="AB3281" s="2" t="s">
        <v>38</v>
      </c>
      <c r="AC3281" s="2" t="s">
        <v>38</v>
      </c>
      <c r="AD3281" s="2" t="s">
        <v>39</v>
      </c>
      <c r="AE3281" s="2" t="s">
        <v>39</v>
      </c>
    </row>
    <row r="3282" spans="1:31" ht="409.5">
      <c r="A3282" s="2">
        <v>2700083</v>
      </c>
      <c r="B3282" s="2">
        <f>HYPERLINK("https://platform.v2.vetology.net/cases/2700083/screening-report/1?type=pdf&amp;v=v6&amp;scorecard=1&amp;secret_key=BX%25IJ%24%2F65ieZ%29f6", 2700083)</f>
        <v>2700083</v>
      </c>
      <c r="C3282" s="2">
        <f>HYPERLINK("https://platform.v2.vetology.net/report/v/final/"&amp;2700083, 2700083)</f>
        <v>2700083</v>
      </c>
      <c r="D3282" s="2" t="s">
        <v>10414</v>
      </c>
      <c r="E3282" s="2" t="s">
        <v>10415</v>
      </c>
      <c r="F3282" s="2" t="s">
        <v>10416</v>
      </c>
      <c r="G3282" s="2" t="s">
        <v>111</v>
      </c>
      <c r="H3282" s="2" t="s">
        <v>10417</v>
      </c>
      <c r="I3282" s="2" t="s">
        <v>129</v>
      </c>
      <c r="J3282" s="2" t="s">
        <v>74</v>
      </c>
      <c r="K3282" s="2" t="s">
        <v>38</v>
      </c>
      <c r="L3282" s="2" t="s">
        <v>38</v>
      </c>
      <c r="M3282" s="2" t="s">
        <v>38</v>
      </c>
      <c r="N3282" s="2" t="s">
        <v>38</v>
      </c>
      <c r="O3282" s="2" t="s">
        <v>38</v>
      </c>
      <c r="P3282" s="2" t="s">
        <v>39</v>
      </c>
      <c r="Q3282" s="2" t="s">
        <v>38</v>
      </c>
      <c r="R3282" s="2" t="s">
        <v>38</v>
      </c>
      <c r="S3282" s="2" t="s">
        <v>38</v>
      </c>
      <c r="T3282" s="2" t="s">
        <v>39</v>
      </c>
      <c r="U3282" s="2" t="s">
        <v>38</v>
      </c>
      <c r="V3282" s="2" t="s">
        <v>38</v>
      </c>
      <c r="W3282" s="2" t="s">
        <v>38</v>
      </c>
      <c r="X3282" s="2" t="s">
        <v>38</v>
      </c>
      <c r="Y3282" s="2" t="s">
        <v>38</v>
      </c>
      <c r="Z3282" s="2" t="s">
        <v>38</v>
      </c>
      <c r="AA3282" s="2" t="s">
        <v>38</v>
      </c>
      <c r="AB3282" s="2" t="s">
        <v>38</v>
      </c>
      <c r="AC3282" s="2" t="s">
        <v>38</v>
      </c>
      <c r="AD3282" s="2" t="s">
        <v>38</v>
      </c>
      <c r="AE3282" s="2" t="s">
        <v>39</v>
      </c>
    </row>
    <row r="3283" spans="1:31" ht="409.5">
      <c r="A3283" s="2">
        <v>2700075</v>
      </c>
      <c r="B3283" s="2">
        <f>HYPERLINK("https://platform.v2.vetology.net/cases/2700075/screening-report/1?type=pdf&amp;v=v6&amp;scorecard=1&amp;secret_key=BX%25IJ%24%2F65ieZ%29f6", 2700075)</f>
        <v>2700075</v>
      </c>
      <c r="C3283" s="2">
        <f>HYPERLINK("https://platform.v2.vetology.net/report/v/final/"&amp;2700075, 2700075)</f>
        <v>2700075</v>
      </c>
      <c r="D3283" s="2" t="s">
        <v>10418</v>
      </c>
      <c r="E3283" s="2" t="s">
        <v>10419</v>
      </c>
      <c r="F3283" s="2" t="s">
        <v>174</v>
      </c>
      <c r="G3283" s="2" t="s">
        <v>170</v>
      </c>
      <c r="H3283" s="2" t="s">
        <v>10420</v>
      </c>
      <c r="I3283" s="2" t="s">
        <v>36</v>
      </c>
      <c r="J3283" s="2" t="s">
        <v>37</v>
      </c>
      <c r="K3283" s="2" t="s">
        <v>39</v>
      </c>
      <c r="L3283" s="2" t="s">
        <v>38</v>
      </c>
      <c r="M3283" s="2" t="s">
        <v>38</v>
      </c>
      <c r="N3283" s="2" t="s">
        <v>38</v>
      </c>
      <c r="O3283" s="2" t="s">
        <v>38</v>
      </c>
      <c r="P3283" s="2" t="s">
        <v>39</v>
      </c>
      <c r="Q3283" s="2" t="s">
        <v>39</v>
      </c>
      <c r="R3283" s="2" t="s">
        <v>39</v>
      </c>
      <c r="S3283" s="2" t="s">
        <v>38</v>
      </c>
      <c r="T3283" s="2" t="s">
        <v>39</v>
      </c>
      <c r="U3283" s="2" t="s">
        <v>39</v>
      </c>
      <c r="V3283" s="2" t="s">
        <v>39</v>
      </c>
      <c r="W3283" s="2" t="s">
        <v>39</v>
      </c>
      <c r="X3283" s="2" t="s">
        <v>39</v>
      </c>
      <c r="Y3283" s="2" t="s">
        <v>39</v>
      </c>
      <c r="Z3283" s="2" t="s">
        <v>38</v>
      </c>
      <c r="AA3283" s="2" t="s">
        <v>39</v>
      </c>
      <c r="AB3283" s="2" t="s">
        <v>39</v>
      </c>
      <c r="AC3283" s="2" t="s">
        <v>38</v>
      </c>
      <c r="AD3283" s="2" t="s">
        <v>38</v>
      </c>
      <c r="AE3283" s="2" t="s">
        <v>40</v>
      </c>
    </row>
    <row r="3284" spans="1:31" ht="409.5">
      <c r="A3284" s="2">
        <v>2700030</v>
      </c>
      <c r="B3284" s="2">
        <f>HYPERLINK("https://platform.v2.vetology.net/cases/2700030/screening-report/1?type=pdf&amp;v=v6&amp;scorecard=1&amp;secret_key=BX%25IJ%24%2F65ieZ%29f6", 2700030)</f>
        <v>2700030</v>
      </c>
      <c r="C3284" s="2">
        <f>HYPERLINK("https://platform.v2.vetology.net/report/v/final/"&amp;2700030, 2700030)</f>
        <v>2700030</v>
      </c>
      <c r="D3284" s="2" t="s">
        <v>10421</v>
      </c>
      <c r="E3284" s="2" t="s">
        <v>10422</v>
      </c>
      <c r="F3284" s="2" t="s">
        <v>43</v>
      </c>
      <c r="G3284" s="2" t="s">
        <v>44</v>
      </c>
      <c r="H3284" s="2" t="s">
        <v>69</v>
      </c>
      <c r="I3284" s="2" t="s">
        <v>46</v>
      </c>
      <c r="J3284" s="2"/>
      <c r="K3284" s="2" t="s">
        <v>39</v>
      </c>
      <c r="L3284" s="2" t="s">
        <v>39</v>
      </c>
      <c r="M3284" s="2" t="s">
        <v>39</v>
      </c>
      <c r="N3284" s="2" t="s">
        <v>39</v>
      </c>
      <c r="O3284" s="2" t="s">
        <v>39</v>
      </c>
      <c r="P3284" s="2" t="s">
        <v>39</v>
      </c>
      <c r="Q3284" s="2" t="s">
        <v>39</v>
      </c>
      <c r="R3284" s="2" t="s">
        <v>39</v>
      </c>
      <c r="S3284" s="2" t="s">
        <v>39</v>
      </c>
      <c r="T3284" s="2" t="s">
        <v>39</v>
      </c>
      <c r="U3284" s="2" t="s">
        <v>39</v>
      </c>
      <c r="V3284" s="2" t="s">
        <v>39</v>
      </c>
      <c r="W3284" s="2" t="s">
        <v>39</v>
      </c>
      <c r="X3284" s="2" t="s">
        <v>39</v>
      </c>
      <c r="Y3284" s="2" t="s">
        <v>39</v>
      </c>
      <c r="Z3284" s="2" t="s">
        <v>39</v>
      </c>
      <c r="AA3284" s="2" t="s">
        <v>39</v>
      </c>
      <c r="AB3284" s="2" t="s">
        <v>39</v>
      </c>
      <c r="AC3284" s="2" t="s">
        <v>39</v>
      </c>
      <c r="AD3284" s="2" t="s">
        <v>38</v>
      </c>
      <c r="AE3284" s="2" t="s">
        <v>39</v>
      </c>
    </row>
    <row r="3285" spans="1:31" ht="409.5">
      <c r="A3285" s="2">
        <v>2700019</v>
      </c>
      <c r="B3285" s="2">
        <f>HYPERLINK("https://platform.v2.vetology.net/cases/2700019/screening-report/1?type=pdf&amp;v=v6&amp;scorecard=1&amp;secret_key=BX%25IJ%24%2F65ieZ%29f6", 2700019)</f>
        <v>2700019</v>
      </c>
      <c r="C3285" s="2">
        <f>HYPERLINK("https://platform.v2.vetology.net/report/v/final/"&amp;2700019, 2700019)</f>
        <v>2700019</v>
      </c>
      <c r="D3285" s="2" t="s">
        <v>10423</v>
      </c>
      <c r="E3285" s="2" t="s">
        <v>10424</v>
      </c>
      <c r="F3285" s="2" t="s">
        <v>10425</v>
      </c>
      <c r="G3285" s="2" t="s">
        <v>44</v>
      </c>
      <c r="H3285" s="2" t="s">
        <v>10426</v>
      </c>
      <c r="I3285" s="2" t="s">
        <v>257</v>
      </c>
      <c r="J3285" s="2" t="s">
        <v>74</v>
      </c>
      <c r="K3285" s="2" t="s">
        <v>38</v>
      </c>
      <c r="L3285" s="2" t="s">
        <v>38</v>
      </c>
      <c r="M3285" s="2" t="s">
        <v>38</v>
      </c>
      <c r="N3285" s="2" t="s">
        <v>38</v>
      </c>
      <c r="O3285" s="2" t="s">
        <v>38</v>
      </c>
      <c r="P3285" s="2" t="s">
        <v>38</v>
      </c>
      <c r="Q3285" s="2" t="s">
        <v>38</v>
      </c>
      <c r="R3285" s="2" t="s">
        <v>38</v>
      </c>
      <c r="S3285" s="2" t="s">
        <v>38</v>
      </c>
      <c r="T3285" s="2" t="s">
        <v>38</v>
      </c>
      <c r="U3285" s="2" t="s">
        <v>38</v>
      </c>
      <c r="V3285" s="2" t="s">
        <v>38</v>
      </c>
      <c r="W3285" s="2" t="s">
        <v>38</v>
      </c>
      <c r="X3285" s="2" t="s">
        <v>38</v>
      </c>
      <c r="Y3285" s="2" t="s">
        <v>38</v>
      </c>
      <c r="Z3285" s="2" t="s">
        <v>38</v>
      </c>
      <c r="AA3285" s="2" t="s">
        <v>38</v>
      </c>
      <c r="AB3285" s="2" t="s">
        <v>38</v>
      </c>
      <c r="AC3285" s="2" t="s">
        <v>38</v>
      </c>
      <c r="AD3285" s="2" t="s">
        <v>38</v>
      </c>
      <c r="AE3285" s="2" t="s">
        <v>40</v>
      </c>
    </row>
    <row r="3286" spans="1:31" ht="409.5">
      <c r="A3286" s="2">
        <v>2700011</v>
      </c>
      <c r="B3286" s="2">
        <f>HYPERLINK("https://platform.v2.vetology.net/cases/2700011/screening-report/1?type=pdf&amp;v=v6&amp;scorecard=1&amp;secret_key=BX%25IJ%24%2F65ieZ%29f6", 2700011)</f>
        <v>2700011</v>
      </c>
      <c r="C3286" s="2">
        <f>HYPERLINK("https://platform.v2.vetology.net/report/v/final/"&amp;2700011, 2700011)</f>
        <v>2700011</v>
      </c>
      <c r="D3286" s="2" t="s">
        <v>10427</v>
      </c>
      <c r="E3286" s="2" t="s">
        <v>10428</v>
      </c>
      <c r="F3286" s="2" t="s">
        <v>10429</v>
      </c>
      <c r="G3286" s="2" t="s">
        <v>170</v>
      </c>
      <c r="H3286" s="2" t="s">
        <v>10430</v>
      </c>
      <c r="I3286" s="2" t="s">
        <v>129</v>
      </c>
      <c r="J3286" s="2" t="s">
        <v>74</v>
      </c>
      <c r="K3286" s="2" t="s">
        <v>38</v>
      </c>
      <c r="L3286" s="2" t="s">
        <v>38</v>
      </c>
      <c r="M3286" s="2" t="s">
        <v>38</v>
      </c>
      <c r="N3286" s="2" t="s">
        <v>38</v>
      </c>
      <c r="O3286" s="2" t="s">
        <v>38</v>
      </c>
      <c r="P3286" s="2" t="s">
        <v>38</v>
      </c>
      <c r="Q3286" s="2" t="s">
        <v>38</v>
      </c>
      <c r="R3286" s="2" t="s">
        <v>39</v>
      </c>
      <c r="S3286" s="2" t="s">
        <v>38</v>
      </c>
      <c r="T3286" s="2" t="s">
        <v>38</v>
      </c>
      <c r="U3286" s="2" t="s">
        <v>38</v>
      </c>
      <c r="V3286" s="2" t="s">
        <v>38</v>
      </c>
      <c r="W3286" s="2" t="s">
        <v>38</v>
      </c>
      <c r="X3286" s="2" t="s">
        <v>38</v>
      </c>
      <c r="Y3286" s="2" t="s">
        <v>39</v>
      </c>
      <c r="Z3286" s="2" t="s">
        <v>38</v>
      </c>
      <c r="AA3286" s="2" t="s">
        <v>38</v>
      </c>
      <c r="AB3286" s="2" t="s">
        <v>38</v>
      </c>
      <c r="AC3286" s="2" t="s">
        <v>38</v>
      </c>
      <c r="AD3286" s="2" t="s">
        <v>38</v>
      </c>
      <c r="AE3286" s="2" t="s">
        <v>39</v>
      </c>
    </row>
    <row r="3287" spans="1:31" ht="409.5">
      <c r="A3287" s="2">
        <v>2699974</v>
      </c>
      <c r="B3287" s="2">
        <f>HYPERLINK("https://platform.v2.vetology.net/cases/2699974/screening-report/1?type=pdf&amp;v=v6&amp;scorecard=1&amp;secret_key=BX%25IJ%24%2F65ieZ%29f6", 2699974)</f>
        <v>2699974</v>
      </c>
      <c r="C3287" s="2">
        <f>HYPERLINK("https://platform.v2.vetology.net/report/v/final/"&amp;2699974, 2699974)</f>
        <v>2699974</v>
      </c>
      <c r="D3287" s="2" t="s">
        <v>10431</v>
      </c>
      <c r="E3287" s="2" t="s">
        <v>10432</v>
      </c>
      <c r="F3287" s="2" t="s">
        <v>10433</v>
      </c>
      <c r="G3287" s="2" t="s">
        <v>100</v>
      </c>
      <c r="H3287" s="2" t="s">
        <v>6097</v>
      </c>
      <c r="I3287" s="2" t="s">
        <v>36</v>
      </c>
      <c r="J3287" s="2" t="s">
        <v>37</v>
      </c>
      <c r="K3287" s="2" t="s">
        <v>38</v>
      </c>
      <c r="L3287" s="2" t="s">
        <v>38</v>
      </c>
      <c r="M3287" s="2" t="s">
        <v>38</v>
      </c>
      <c r="N3287" s="2" t="s">
        <v>38</v>
      </c>
      <c r="O3287" s="2" t="s">
        <v>38</v>
      </c>
      <c r="P3287" s="2" t="s">
        <v>39</v>
      </c>
      <c r="Q3287" s="2" t="s">
        <v>39</v>
      </c>
      <c r="R3287" s="2" t="s">
        <v>38</v>
      </c>
      <c r="S3287" s="2" t="s">
        <v>38</v>
      </c>
      <c r="T3287" s="2" t="s">
        <v>38</v>
      </c>
      <c r="U3287" s="2" t="s">
        <v>38</v>
      </c>
      <c r="V3287" s="2" t="s">
        <v>38</v>
      </c>
      <c r="W3287" s="2" t="s">
        <v>38</v>
      </c>
      <c r="X3287" s="2" t="s">
        <v>39</v>
      </c>
      <c r="Y3287" s="2" t="s">
        <v>39</v>
      </c>
      <c r="Z3287" s="2" t="s">
        <v>38</v>
      </c>
      <c r="AA3287" s="2" t="s">
        <v>38</v>
      </c>
      <c r="AB3287" s="2" t="s">
        <v>39</v>
      </c>
      <c r="AC3287" s="2" t="s">
        <v>38</v>
      </c>
      <c r="AD3287" s="2" t="s">
        <v>38</v>
      </c>
      <c r="AE3287" s="2" t="s">
        <v>39</v>
      </c>
    </row>
    <row r="3288" spans="1:31" ht="409.5">
      <c r="A3288" s="2">
        <v>2699962</v>
      </c>
      <c r="B3288" s="2">
        <f>HYPERLINK("https://platform.v2.vetology.net/cases/2699962/screening-report/1?type=pdf&amp;v=v6&amp;scorecard=1&amp;secret_key=BX%25IJ%24%2F65ieZ%29f6", 2699962)</f>
        <v>2699962</v>
      </c>
      <c r="C3288" s="2">
        <f>HYPERLINK("https://platform.v2.vetology.net/report/v/final/"&amp;2699962, 2699962)</f>
        <v>2699962</v>
      </c>
      <c r="D3288" s="2" t="s">
        <v>10434</v>
      </c>
      <c r="E3288" s="2" t="s">
        <v>10435</v>
      </c>
      <c r="F3288" s="2" t="s">
        <v>2082</v>
      </c>
      <c r="G3288" s="2" t="s">
        <v>170</v>
      </c>
      <c r="H3288" s="2" t="s">
        <v>10436</v>
      </c>
      <c r="I3288" s="2" t="s">
        <v>36</v>
      </c>
      <c r="J3288" s="2" t="s">
        <v>37</v>
      </c>
      <c r="K3288" s="2" t="s">
        <v>38</v>
      </c>
      <c r="L3288" s="2" t="s">
        <v>38</v>
      </c>
      <c r="M3288" s="2" t="s">
        <v>38</v>
      </c>
      <c r="N3288" s="2" t="s">
        <v>38</v>
      </c>
      <c r="O3288" s="2" t="s">
        <v>38</v>
      </c>
      <c r="P3288" s="2" t="s">
        <v>39</v>
      </c>
      <c r="Q3288" s="2" t="s">
        <v>39</v>
      </c>
      <c r="R3288" s="2" t="s">
        <v>38</v>
      </c>
      <c r="S3288" s="2" t="s">
        <v>38</v>
      </c>
      <c r="T3288" s="2" t="s">
        <v>38</v>
      </c>
      <c r="U3288" s="2" t="s">
        <v>39</v>
      </c>
      <c r="V3288" s="2" t="s">
        <v>38</v>
      </c>
      <c r="W3288" s="2" t="s">
        <v>39</v>
      </c>
      <c r="X3288" s="2" t="s">
        <v>39</v>
      </c>
      <c r="Y3288" s="2" t="s">
        <v>39</v>
      </c>
      <c r="Z3288" s="2" t="s">
        <v>38</v>
      </c>
      <c r="AA3288" s="2" t="s">
        <v>39</v>
      </c>
      <c r="AB3288" s="2" t="s">
        <v>39</v>
      </c>
      <c r="AC3288" s="2" t="s">
        <v>38</v>
      </c>
      <c r="AD3288" s="2" t="s">
        <v>38</v>
      </c>
      <c r="AE3288" s="2" t="s">
        <v>39</v>
      </c>
    </row>
    <row r="3289" spans="1:31" ht="409.5">
      <c r="A3289" s="2">
        <v>2699937</v>
      </c>
      <c r="B3289" s="2">
        <f>HYPERLINK("https://platform.v2.vetology.net/cases/2699937/screening-report/1?type=pdf&amp;v=v6&amp;scorecard=1&amp;secret_key=BX%25IJ%24%2F65ieZ%29f6", 2699937)</f>
        <v>2699937</v>
      </c>
      <c r="C3289" s="2">
        <f>HYPERLINK("https://platform.v2.vetology.net/report/v/final/"&amp;2699937, 2699937)</f>
        <v>2699937</v>
      </c>
      <c r="D3289" s="2" t="s">
        <v>10437</v>
      </c>
      <c r="E3289" s="2" t="s">
        <v>10438</v>
      </c>
      <c r="F3289" s="2" t="s">
        <v>10439</v>
      </c>
      <c r="G3289" s="2" t="s">
        <v>34</v>
      </c>
      <c r="H3289" s="2" t="s">
        <v>1004</v>
      </c>
      <c r="I3289" s="2" t="s">
        <v>36</v>
      </c>
      <c r="J3289" s="2" t="s">
        <v>37</v>
      </c>
      <c r="K3289" s="2" t="s">
        <v>38</v>
      </c>
      <c r="L3289" s="2" t="s">
        <v>38</v>
      </c>
      <c r="M3289" s="2" t="s">
        <v>39</v>
      </c>
      <c r="N3289" s="2" t="s">
        <v>39</v>
      </c>
      <c r="O3289" s="2" t="s">
        <v>38</v>
      </c>
      <c r="P3289" s="2" t="s">
        <v>39</v>
      </c>
      <c r="Q3289" s="2" t="s">
        <v>39</v>
      </c>
      <c r="R3289" s="2" t="s">
        <v>38</v>
      </c>
      <c r="S3289" s="2" t="s">
        <v>38</v>
      </c>
      <c r="T3289" s="2" t="s">
        <v>39</v>
      </c>
      <c r="U3289" s="2" t="s">
        <v>38</v>
      </c>
      <c r="V3289" s="2" t="s">
        <v>39</v>
      </c>
      <c r="W3289" s="2" t="s">
        <v>39</v>
      </c>
      <c r="X3289" s="2" t="s">
        <v>39</v>
      </c>
      <c r="Y3289" s="2" t="s">
        <v>39</v>
      </c>
      <c r="Z3289" s="2" t="s">
        <v>38</v>
      </c>
      <c r="AA3289" s="2" t="s">
        <v>38</v>
      </c>
      <c r="AB3289" s="2" t="s">
        <v>39</v>
      </c>
      <c r="AC3289" s="2" t="s">
        <v>38</v>
      </c>
      <c r="AD3289" s="2" t="s">
        <v>38</v>
      </c>
      <c r="AE3289" s="2" t="s">
        <v>39</v>
      </c>
    </row>
    <row r="3290" spans="1:31" ht="409.5">
      <c r="A3290" s="2">
        <v>2699887</v>
      </c>
      <c r="B3290" s="2">
        <f>HYPERLINK("https://platform.v2.vetology.net/cases/2699887/screening-report/1?type=pdf&amp;v=v6&amp;scorecard=1&amp;secret_key=BX%25IJ%24%2F65ieZ%29f6", 2699887)</f>
        <v>2699887</v>
      </c>
      <c r="C3290" s="2">
        <f>HYPERLINK("https://platform.v2.vetology.net/report/v/final/"&amp;2699887, 2699887)</f>
        <v>2699887</v>
      </c>
      <c r="D3290" s="2" t="s">
        <v>10440</v>
      </c>
      <c r="E3290" s="2" t="s">
        <v>10441</v>
      </c>
      <c r="F3290" s="2" t="s">
        <v>43</v>
      </c>
      <c r="G3290" s="2" t="s">
        <v>44</v>
      </c>
      <c r="H3290" s="2" t="s">
        <v>10442</v>
      </c>
      <c r="I3290" s="2" t="s">
        <v>73</v>
      </c>
      <c r="J3290" s="2" t="s">
        <v>74</v>
      </c>
      <c r="K3290" s="2" t="s">
        <v>38</v>
      </c>
      <c r="L3290" s="2" t="s">
        <v>38</v>
      </c>
      <c r="M3290" s="2" t="s">
        <v>38</v>
      </c>
      <c r="N3290" s="2" t="s">
        <v>38</v>
      </c>
      <c r="O3290" s="2" t="s">
        <v>38</v>
      </c>
      <c r="P3290" s="2" t="s">
        <v>38</v>
      </c>
      <c r="Q3290" s="2" t="s">
        <v>38</v>
      </c>
      <c r="R3290" s="2" t="s">
        <v>38</v>
      </c>
      <c r="S3290" s="2" t="s">
        <v>38</v>
      </c>
      <c r="T3290" s="2" t="s">
        <v>38</v>
      </c>
      <c r="U3290" s="2" t="s">
        <v>39</v>
      </c>
      <c r="V3290" s="2" t="s">
        <v>38</v>
      </c>
      <c r="W3290" s="2" t="s">
        <v>38</v>
      </c>
      <c r="X3290" s="2" t="s">
        <v>38</v>
      </c>
      <c r="Y3290" s="2" t="s">
        <v>38</v>
      </c>
      <c r="Z3290" s="2" t="s">
        <v>38</v>
      </c>
      <c r="AA3290" s="2" t="s">
        <v>38</v>
      </c>
      <c r="AB3290" s="2" t="s">
        <v>38</v>
      </c>
      <c r="AC3290" s="2" t="s">
        <v>38</v>
      </c>
      <c r="AD3290" s="2" t="s">
        <v>39</v>
      </c>
      <c r="AE3290" s="2" t="s">
        <v>39</v>
      </c>
    </row>
    <row r="3291" spans="1:31" ht="409.5">
      <c r="A3291" s="2">
        <v>2699860</v>
      </c>
      <c r="B3291" s="2">
        <f>HYPERLINK("https://platform.v2.vetology.net/cases/2699860/screening-report/1?type=pdf&amp;v=v6&amp;scorecard=1&amp;secret_key=BX%25IJ%24%2F65ieZ%29f6", 2699860)</f>
        <v>2699860</v>
      </c>
      <c r="C3291" s="2">
        <f>HYPERLINK("https://platform.v2.vetology.net/report/v/final/"&amp;2699860, 2699860)</f>
        <v>2699860</v>
      </c>
      <c r="D3291" s="2" t="s">
        <v>10443</v>
      </c>
      <c r="E3291" s="2" t="s">
        <v>10444</v>
      </c>
      <c r="F3291" s="2" t="s">
        <v>980</v>
      </c>
      <c r="G3291" s="2" t="s">
        <v>170</v>
      </c>
      <c r="H3291" s="2" t="s">
        <v>537</v>
      </c>
      <c r="I3291" s="2" t="s">
        <v>59</v>
      </c>
      <c r="J3291" s="2" t="s">
        <v>37</v>
      </c>
      <c r="K3291" s="2" t="s">
        <v>38</v>
      </c>
      <c r="L3291" s="2" t="s">
        <v>39</v>
      </c>
      <c r="M3291" s="2" t="s">
        <v>39</v>
      </c>
      <c r="N3291" s="2" t="s">
        <v>39</v>
      </c>
      <c r="O3291" s="2" t="s">
        <v>39</v>
      </c>
      <c r="P3291" s="2" t="s">
        <v>39</v>
      </c>
      <c r="Q3291" s="2" t="s">
        <v>39</v>
      </c>
      <c r="R3291" s="2" t="s">
        <v>39</v>
      </c>
      <c r="S3291" s="2" t="s">
        <v>39</v>
      </c>
      <c r="T3291" s="2" t="s">
        <v>38</v>
      </c>
      <c r="U3291" s="2" t="s">
        <v>39</v>
      </c>
      <c r="V3291" s="2" t="s">
        <v>39</v>
      </c>
      <c r="W3291" s="2" t="s">
        <v>39</v>
      </c>
      <c r="X3291" s="2" t="s">
        <v>39</v>
      </c>
      <c r="Y3291" s="2" t="s">
        <v>39</v>
      </c>
      <c r="Z3291" s="2" t="s">
        <v>38</v>
      </c>
      <c r="AA3291" s="2" t="s">
        <v>39</v>
      </c>
      <c r="AB3291" s="2" t="s">
        <v>39</v>
      </c>
      <c r="AC3291" s="2" t="s">
        <v>38</v>
      </c>
      <c r="AD3291" s="2" t="s">
        <v>38</v>
      </c>
      <c r="AE3291" s="2" t="s">
        <v>40</v>
      </c>
    </row>
    <row r="3292" spans="1:31" ht="409.5">
      <c r="A3292" s="2">
        <v>2699721</v>
      </c>
      <c r="B3292" s="2">
        <f>HYPERLINK("https://platform.v2.vetology.net/cases/2699721/screening-report/1?type=pdf&amp;v=v6&amp;scorecard=1&amp;secret_key=BX%25IJ%24%2F65ieZ%29f6", 2699721)</f>
        <v>2699721</v>
      </c>
      <c r="C3292" s="2">
        <f>HYPERLINK("https://platform.v2.vetology.net/report/v/final/"&amp;2699721, 2699721)</f>
        <v>2699721</v>
      </c>
      <c r="D3292" s="2" t="s">
        <v>10445</v>
      </c>
      <c r="E3292" s="2" t="s">
        <v>10446</v>
      </c>
      <c r="F3292" s="2" t="s">
        <v>787</v>
      </c>
      <c r="G3292" s="2" t="s">
        <v>100</v>
      </c>
      <c r="H3292" s="2" t="s">
        <v>508</v>
      </c>
      <c r="I3292" s="2" t="s">
        <v>36</v>
      </c>
      <c r="J3292" s="2" t="s">
        <v>37</v>
      </c>
      <c r="K3292" s="2" t="s">
        <v>38</v>
      </c>
      <c r="L3292" s="2" t="s">
        <v>38</v>
      </c>
      <c r="M3292" s="2" t="s">
        <v>38</v>
      </c>
      <c r="N3292" s="2" t="s">
        <v>38</v>
      </c>
      <c r="O3292" s="2" t="s">
        <v>38</v>
      </c>
      <c r="P3292" s="2" t="s">
        <v>39</v>
      </c>
      <c r="Q3292" s="2" t="s">
        <v>39</v>
      </c>
      <c r="R3292" s="2" t="s">
        <v>38</v>
      </c>
      <c r="S3292" s="2" t="s">
        <v>38</v>
      </c>
      <c r="T3292" s="2" t="s">
        <v>38</v>
      </c>
      <c r="U3292" s="2" t="s">
        <v>38</v>
      </c>
      <c r="V3292" s="2" t="s">
        <v>38</v>
      </c>
      <c r="W3292" s="2" t="s">
        <v>38</v>
      </c>
      <c r="X3292" s="2" t="s">
        <v>39</v>
      </c>
      <c r="Y3292" s="2" t="s">
        <v>39</v>
      </c>
      <c r="Z3292" s="2" t="s">
        <v>38</v>
      </c>
      <c r="AA3292" s="2" t="s">
        <v>38</v>
      </c>
      <c r="AB3292" s="2" t="s">
        <v>39</v>
      </c>
      <c r="AC3292" s="2" t="s">
        <v>38</v>
      </c>
      <c r="AD3292" s="2" t="s">
        <v>38</v>
      </c>
      <c r="AE3292" s="2" t="s">
        <v>39</v>
      </c>
    </row>
    <row r="3293" spans="1:31" ht="409.5">
      <c r="A3293" s="2">
        <v>2699711</v>
      </c>
      <c r="B3293" s="2">
        <f>HYPERLINK("https://platform.v2.vetology.net/cases/2699711/screening-report/1?type=pdf&amp;v=v6&amp;scorecard=1&amp;secret_key=BX%25IJ%24%2F65ieZ%29f6", 2699711)</f>
        <v>2699711</v>
      </c>
      <c r="C3293" s="2">
        <f>HYPERLINK("https://platform.v2.vetology.net/report/v/final/"&amp;2699711, 2699711)</f>
        <v>2699711</v>
      </c>
      <c r="D3293" s="2" t="s">
        <v>10447</v>
      </c>
      <c r="E3293" s="2" t="s">
        <v>10448</v>
      </c>
      <c r="F3293" s="2" t="s">
        <v>43</v>
      </c>
      <c r="G3293" s="2" t="s">
        <v>507</v>
      </c>
      <c r="H3293" s="2" t="s">
        <v>273</v>
      </c>
      <c r="I3293" s="2" t="s">
        <v>46</v>
      </c>
      <c r="J3293" s="2"/>
      <c r="K3293" s="2" t="s">
        <v>39</v>
      </c>
      <c r="L3293" s="2" t="s">
        <v>39</v>
      </c>
      <c r="M3293" s="2" t="s">
        <v>39</v>
      </c>
      <c r="N3293" s="2" t="s">
        <v>39</v>
      </c>
      <c r="O3293" s="2" t="s">
        <v>39</v>
      </c>
      <c r="P3293" s="2" t="s">
        <v>39</v>
      </c>
      <c r="Q3293" s="2" t="s">
        <v>39</v>
      </c>
      <c r="R3293" s="2" t="s">
        <v>39</v>
      </c>
      <c r="S3293" s="2" t="s">
        <v>38</v>
      </c>
      <c r="T3293" s="2" t="s">
        <v>39</v>
      </c>
      <c r="U3293" s="2" t="s">
        <v>39</v>
      </c>
      <c r="V3293" s="2" t="s">
        <v>39</v>
      </c>
      <c r="W3293" s="2" t="s">
        <v>38</v>
      </c>
      <c r="X3293" s="2" t="s">
        <v>39</v>
      </c>
      <c r="Y3293" s="2" t="s">
        <v>39</v>
      </c>
      <c r="Z3293" s="2" t="s">
        <v>39</v>
      </c>
      <c r="AA3293" s="2" t="s">
        <v>38</v>
      </c>
      <c r="AB3293" s="2" t="s">
        <v>38</v>
      </c>
      <c r="AC3293" s="2" t="s">
        <v>38</v>
      </c>
      <c r="AD3293" s="2" t="s">
        <v>39</v>
      </c>
      <c r="AE3293" s="2" t="s">
        <v>39</v>
      </c>
    </row>
    <row r="3294" spans="1:31" ht="409.5">
      <c r="A3294" s="2">
        <v>2699689</v>
      </c>
      <c r="B3294" s="2">
        <f>HYPERLINK("https://platform.v2.vetology.net/cases/2699689/screening-report/1?type=pdf&amp;v=v6&amp;scorecard=1&amp;secret_key=BX%25IJ%24%2F65ieZ%29f6", 2699689)</f>
        <v>2699689</v>
      </c>
      <c r="C3294" s="2">
        <f>HYPERLINK("https://platform.v2.vetology.net/report/v/final/"&amp;2699689, 2699689)</f>
        <v>2699689</v>
      </c>
      <c r="D3294" s="2" t="s">
        <v>10449</v>
      </c>
      <c r="E3294" s="2" t="s">
        <v>10450</v>
      </c>
      <c r="F3294" s="2" t="s">
        <v>10451</v>
      </c>
      <c r="G3294" s="2" t="s">
        <v>111</v>
      </c>
      <c r="H3294" s="2" t="s">
        <v>10452</v>
      </c>
      <c r="I3294" s="2" t="s">
        <v>36</v>
      </c>
      <c r="J3294" s="2" t="s">
        <v>37</v>
      </c>
      <c r="K3294" s="2" t="s">
        <v>38</v>
      </c>
      <c r="L3294" s="2" t="s">
        <v>38</v>
      </c>
      <c r="M3294" s="2" t="s">
        <v>38</v>
      </c>
      <c r="N3294" s="2" t="s">
        <v>38</v>
      </c>
      <c r="O3294" s="2" t="s">
        <v>38</v>
      </c>
      <c r="P3294" s="2" t="s">
        <v>39</v>
      </c>
      <c r="Q3294" s="2" t="s">
        <v>39</v>
      </c>
      <c r="R3294" s="2" t="s">
        <v>38</v>
      </c>
      <c r="S3294" s="2" t="s">
        <v>39</v>
      </c>
      <c r="T3294" s="2" t="s">
        <v>39</v>
      </c>
      <c r="U3294" s="2" t="s">
        <v>39</v>
      </c>
      <c r="V3294" s="2" t="s">
        <v>38</v>
      </c>
      <c r="W3294" s="2" t="s">
        <v>38</v>
      </c>
      <c r="X3294" s="2" t="s">
        <v>39</v>
      </c>
      <c r="Y3294" s="2" t="s">
        <v>39</v>
      </c>
      <c r="Z3294" s="2" t="s">
        <v>38</v>
      </c>
      <c r="AA3294" s="2" t="s">
        <v>39</v>
      </c>
      <c r="AB3294" s="2" t="s">
        <v>39</v>
      </c>
      <c r="AC3294" s="2" t="s">
        <v>38</v>
      </c>
      <c r="AD3294" s="2" t="s">
        <v>38</v>
      </c>
      <c r="AE3294" s="2" t="s">
        <v>40</v>
      </c>
    </row>
    <row r="3295" spans="1:31" ht="409.5">
      <c r="A3295" s="2">
        <v>2699664</v>
      </c>
      <c r="B3295" s="2">
        <f>HYPERLINK("https://platform.v2.vetology.net/cases/2699664/screening-report/1?type=pdf&amp;v=v6&amp;scorecard=1&amp;secret_key=BX%25IJ%24%2F65ieZ%29f6", 2699664)</f>
        <v>2699664</v>
      </c>
      <c r="C3295" s="2">
        <f>HYPERLINK("https://platform.v2.vetology.net/report/v/final/"&amp;2699664, 2699664)</f>
        <v>2699664</v>
      </c>
      <c r="D3295" s="2" t="s">
        <v>10453</v>
      </c>
      <c r="E3295" s="2" t="s">
        <v>10454</v>
      </c>
      <c r="F3295" s="2" t="s">
        <v>43</v>
      </c>
      <c r="G3295" s="2" t="s">
        <v>100</v>
      </c>
      <c r="H3295" s="2" t="s">
        <v>10455</v>
      </c>
      <c r="I3295" s="2" t="s">
        <v>73</v>
      </c>
      <c r="J3295" s="2" t="s">
        <v>74</v>
      </c>
      <c r="K3295" s="2" t="s">
        <v>38</v>
      </c>
      <c r="L3295" s="2" t="s">
        <v>38</v>
      </c>
      <c r="M3295" s="2" t="s">
        <v>39</v>
      </c>
      <c r="N3295" s="2" t="s">
        <v>38</v>
      </c>
      <c r="O3295" s="2" t="s">
        <v>38</v>
      </c>
      <c r="P3295" s="2" t="s">
        <v>39</v>
      </c>
      <c r="Q3295" s="2" t="s">
        <v>38</v>
      </c>
      <c r="R3295" s="2" t="s">
        <v>38</v>
      </c>
      <c r="S3295" s="2" t="s">
        <v>38</v>
      </c>
      <c r="T3295" s="2" t="s">
        <v>39</v>
      </c>
      <c r="U3295" s="2" t="s">
        <v>38</v>
      </c>
      <c r="V3295" s="2" t="s">
        <v>38</v>
      </c>
      <c r="W3295" s="2" t="s">
        <v>39</v>
      </c>
      <c r="X3295" s="2" t="s">
        <v>39</v>
      </c>
      <c r="Y3295" s="2" t="s">
        <v>39</v>
      </c>
      <c r="Z3295" s="2" t="s">
        <v>39</v>
      </c>
      <c r="AA3295" s="2" t="s">
        <v>39</v>
      </c>
      <c r="AB3295" s="2" t="s">
        <v>39</v>
      </c>
      <c r="AC3295" s="2" t="s">
        <v>38</v>
      </c>
      <c r="AD3295" s="2" t="s">
        <v>38</v>
      </c>
      <c r="AE3295" s="2"/>
    </row>
    <row r="3296" spans="1:31" ht="409.5">
      <c r="A3296" s="2">
        <v>2699661</v>
      </c>
      <c r="B3296" s="2">
        <f>HYPERLINK("https://platform.v2.vetology.net/cases/2699661/screening-report/1?type=pdf&amp;v=v6&amp;scorecard=1&amp;secret_key=BX%25IJ%24%2F65ieZ%29f6", 2699661)</f>
        <v>2699661</v>
      </c>
      <c r="C3296" s="2">
        <f>HYPERLINK("https://platform.v2.vetology.net/report/v/final/"&amp;2699661, 2699661)</f>
        <v>2699661</v>
      </c>
      <c r="D3296" s="2" t="s">
        <v>10456</v>
      </c>
      <c r="E3296" s="2" t="s">
        <v>10457</v>
      </c>
      <c r="F3296" s="2" t="s">
        <v>787</v>
      </c>
      <c r="G3296" s="2" t="s">
        <v>100</v>
      </c>
      <c r="H3296" s="2" t="s">
        <v>10458</v>
      </c>
      <c r="I3296" s="2" t="s">
        <v>36</v>
      </c>
      <c r="J3296" s="2" t="s">
        <v>37</v>
      </c>
      <c r="K3296" s="2" t="s">
        <v>39</v>
      </c>
      <c r="L3296" s="2" t="s">
        <v>39</v>
      </c>
      <c r="M3296" s="2" t="s">
        <v>38</v>
      </c>
      <c r="N3296" s="2" t="s">
        <v>39</v>
      </c>
      <c r="O3296" s="2" t="s">
        <v>38</v>
      </c>
      <c r="P3296" s="2" t="s">
        <v>39</v>
      </c>
      <c r="Q3296" s="2" t="s">
        <v>39</v>
      </c>
      <c r="R3296" s="2" t="s">
        <v>38</v>
      </c>
      <c r="S3296" s="2" t="s">
        <v>38</v>
      </c>
      <c r="T3296" s="2" t="s">
        <v>38</v>
      </c>
      <c r="U3296" s="2" t="s">
        <v>39</v>
      </c>
      <c r="V3296" s="2" t="s">
        <v>39</v>
      </c>
      <c r="W3296" s="2" t="s">
        <v>38</v>
      </c>
      <c r="X3296" s="2" t="s">
        <v>39</v>
      </c>
      <c r="Y3296" s="2" t="s">
        <v>39</v>
      </c>
      <c r="Z3296" s="2" t="s">
        <v>38</v>
      </c>
      <c r="AA3296" s="2" t="s">
        <v>39</v>
      </c>
      <c r="AB3296" s="2" t="s">
        <v>39</v>
      </c>
      <c r="AC3296" s="2" t="s">
        <v>38</v>
      </c>
      <c r="AD3296" s="2" t="s">
        <v>39</v>
      </c>
      <c r="AE3296" s="2" t="s">
        <v>39</v>
      </c>
    </row>
    <row r="3297" spans="1:31" ht="409.5">
      <c r="A3297" s="2">
        <v>2699618</v>
      </c>
      <c r="B3297" s="2">
        <f>HYPERLINK("https://platform.v2.vetology.net/cases/2699618/screening-report/1?type=pdf&amp;v=v6&amp;scorecard=1&amp;secret_key=BX%25IJ%24%2F65ieZ%29f6", 2699618)</f>
        <v>2699618</v>
      </c>
      <c r="C3297" s="2">
        <f>HYPERLINK("https://platform.v2.vetology.net/report/v/final/"&amp;2699618, 2699618)</f>
        <v>2699618</v>
      </c>
      <c r="D3297" s="2" t="s">
        <v>10459</v>
      </c>
      <c r="E3297" s="2" t="s">
        <v>10460</v>
      </c>
      <c r="F3297" s="2" t="s">
        <v>10461</v>
      </c>
      <c r="G3297" s="2" t="s">
        <v>44</v>
      </c>
      <c r="H3297" s="2" t="s">
        <v>10462</v>
      </c>
      <c r="I3297" s="2" t="s">
        <v>73</v>
      </c>
      <c r="J3297" s="2" t="s">
        <v>74</v>
      </c>
      <c r="K3297" s="2" t="s">
        <v>38</v>
      </c>
      <c r="L3297" s="2" t="s">
        <v>38</v>
      </c>
      <c r="M3297" s="2" t="s">
        <v>38</v>
      </c>
      <c r="N3297" s="2" t="s">
        <v>38</v>
      </c>
      <c r="O3297" s="2" t="s">
        <v>38</v>
      </c>
      <c r="P3297" s="2" t="s">
        <v>38</v>
      </c>
      <c r="Q3297" s="2" t="s">
        <v>38</v>
      </c>
      <c r="R3297" s="2" t="s">
        <v>38</v>
      </c>
      <c r="S3297" s="2" t="s">
        <v>38</v>
      </c>
      <c r="T3297" s="2" t="s">
        <v>39</v>
      </c>
      <c r="U3297" s="2" t="s">
        <v>38</v>
      </c>
      <c r="V3297" s="2" t="s">
        <v>38</v>
      </c>
      <c r="W3297" s="2" t="s">
        <v>38</v>
      </c>
      <c r="X3297" s="2" t="s">
        <v>38</v>
      </c>
      <c r="Y3297" s="2" t="s">
        <v>38</v>
      </c>
      <c r="Z3297" s="2" t="s">
        <v>38</v>
      </c>
      <c r="AA3297" s="2" t="s">
        <v>39</v>
      </c>
      <c r="AB3297" s="2" t="s">
        <v>38</v>
      </c>
      <c r="AC3297" s="2" t="s">
        <v>38</v>
      </c>
      <c r="AD3297" s="2" t="s">
        <v>38</v>
      </c>
      <c r="AE3297" s="2" t="s">
        <v>40</v>
      </c>
    </row>
    <row r="3298" spans="1:31" ht="409.5">
      <c r="A3298" s="2">
        <v>2699561</v>
      </c>
      <c r="B3298" s="2">
        <f>HYPERLINK("https://platform.v2.vetology.net/cases/2699561/screening-report/1?type=pdf&amp;v=v6&amp;scorecard=1&amp;secret_key=BX%25IJ%24%2F65ieZ%29f6", 2699561)</f>
        <v>2699561</v>
      </c>
      <c r="C3298" s="2">
        <f>HYPERLINK("https://platform.v2.vetology.net/report/v/final/"&amp;2699561, 2699561)</f>
        <v>2699561</v>
      </c>
      <c r="D3298" s="2" t="s">
        <v>8353</v>
      </c>
      <c r="E3298" s="2" t="s">
        <v>2600</v>
      </c>
      <c r="F3298" s="2" t="s">
        <v>43</v>
      </c>
      <c r="G3298" s="2" t="s">
        <v>100</v>
      </c>
      <c r="H3298" s="2" t="s">
        <v>10463</v>
      </c>
      <c r="I3298" s="2" t="s">
        <v>73</v>
      </c>
      <c r="J3298" s="2" t="s">
        <v>74</v>
      </c>
      <c r="K3298" s="2" t="s">
        <v>38</v>
      </c>
      <c r="L3298" s="2" t="s">
        <v>38</v>
      </c>
      <c r="M3298" s="2" t="s">
        <v>38</v>
      </c>
      <c r="N3298" s="2" t="s">
        <v>38</v>
      </c>
      <c r="O3298" s="2" t="s">
        <v>38</v>
      </c>
      <c r="P3298" s="2" t="s">
        <v>38</v>
      </c>
      <c r="Q3298" s="2" t="s">
        <v>38</v>
      </c>
      <c r="R3298" s="2" t="s">
        <v>38</v>
      </c>
      <c r="S3298" s="2" t="s">
        <v>38</v>
      </c>
      <c r="T3298" s="2" t="s">
        <v>38</v>
      </c>
      <c r="U3298" s="2" t="s">
        <v>38</v>
      </c>
      <c r="V3298" s="2" t="s">
        <v>38</v>
      </c>
      <c r="W3298" s="2" t="s">
        <v>38</v>
      </c>
      <c r="X3298" s="2" t="s">
        <v>38</v>
      </c>
      <c r="Y3298" s="2" t="s">
        <v>38</v>
      </c>
      <c r="Z3298" s="2" t="s">
        <v>38</v>
      </c>
      <c r="AA3298" s="2" t="s">
        <v>38</v>
      </c>
      <c r="AB3298" s="2" t="s">
        <v>38</v>
      </c>
      <c r="AC3298" s="2" t="s">
        <v>38</v>
      </c>
      <c r="AD3298" s="2" t="s">
        <v>38</v>
      </c>
      <c r="AE3298" s="2" t="s">
        <v>40</v>
      </c>
    </row>
    <row r="3299" spans="1:31" ht="409.5">
      <c r="A3299" s="2">
        <v>2699540</v>
      </c>
      <c r="B3299" s="2">
        <f>HYPERLINK("https://platform.v2.vetology.net/cases/2699540/screening-report/1?type=pdf&amp;v=v6&amp;scorecard=1&amp;secret_key=BX%25IJ%24%2F65ieZ%29f6", 2699540)</f>
        <v>2699540</v>
      </c>
      <c r="C3299" s="2">
        <f>HYPERLINK("https://platform.v2.vetology.net/report/v/final/"&amp;2699540, 2699540)</f>
        <v>2699540</v>
      </c>
      <c r="D3299" s="2" t="s">
        <v>10464</v>
      </c>
      <c r="E3299" s="2" t="s">
        <v>10465</v>
      </c>
      <c r="F3299" s="2" t="s">
        <v>10466</v>
      </c>
      <c r="G3299" s="2" t="s">
        <v>100</v>
      </c>
      <c r="H3299" s="2" t="s">
        <v>69</v>
      </c>
      <c r="I3299" s="2" t="s">
        <v>46</v>
      </c>
      <c r="J3299" s="2"/>
      <c r="K3299" s="2" t="s">
        <v>39</v>
      </c>
      <c r="L3299" s="2" t="s">
        <v>39</v>
      </c>
      <c r="M3299" s="2" t="s">
        <v>39</v>
      </c>
      <c r="N3299" s="2" t="s">
        <v>39</v>
      </c>
      <c r="O3299" s="2" t="s">
        <v>38</v>
      </c>
      <c r="P3299" s="2" t="s">
        <v>39</v>
      </c>
      <c r="Q3299" s="2" t="s">
        <v>39</v>
      </c>
      <c r="R3299" s="2" t="s">
        <v>39</v>
      </c>
      <c r="S3299" s="2" t="s">
        <v>39</v>
      </c>
      <c r="T3299" s="2" t="s">
        <v>39</v>
      </c>
      <c r="U3299" s="2" t="s">
        <v>39</v>
      </c>
      <c r="V3299" s="2" t="s">
        <v>39</v>
      </c>
      <c r="W3299" s="2" t="s">
        <v>38</v>
      </c>
      <c r="X3299" s="2" t="s">
        <v>39</v>
      </c>
      <c r="Y3299" s="2" t="s">
        <v>39</v>
      </c>
      <c r="Z3299" s="2" t="s">
        <v>38</v>
      </c>
      <c r="AA3299" s="2" t="s">
        <v>39</v>
      </c>
      <c r="AB3299" s="2" t="s">
        <v>39</v>
      </c>
      <c r="AC3299" s="2" t="s">
        <v>38</v>
      </c>
      <c r="AD3299" s="2" t="s">
        <v>38</v>
      </c>
      <c r="AE3299" s="2" t="s">
        <v>40</v>
      </c>
    </row>
    <row r="3300" spans="1:31" ht="409.5">
      <c r="A3300" s="2">
        <v>2699501</v>
      </c>
      <c r="B3300" s="2">
        <f>HYPERLINK("https://platform.v2.vetology.net/cases/2699501/screening-report/1?type=pdf&amp;v=v6&amp;scorecard=1&amp;secret_key=BX%25IJ%24%2F65ieZ%29f6", 2699501)</f>
        <v>2699501</v>
      </c>
      <c r="C3300" s="2">
        <f>HYPERLINK("https://platform.v2.vetology.net/report/v/final/"&amp;2699501, 2699501)</f>
        <v>2699501</v>
      </c>
      <c r="D3300" s="2" t="s">
        <v>10467</v>
      </c>
      <c r="E3300" s="2" t="s">
        <v>10468</v>
      </c>
      <c r="F3300" s="2" t="s">
        <v>43</v>
      </c>
      <c r="G3300" s="2" t="s">
        <v>44</v>
      </c>
      <c r="H3300" s="2" t="s">
        <v>10469</v>
      </c>
      <c r="I3300" s="2" t="s">
        <v>73</v>
      </c>
      <c r="J3300" s="2" t="s">
        <v>74</v>
      </c>
      <c r="K3300" s="2" t="s">
        <v>38</v>
      </c>
      <c r="L3300" s="2" t="s">
        <v>38</v>
      </c>
      <c r="M3300" s="2" t="s">
        <v>38</v>
      </c>
      <c r="N3300" s="2" t="s">
        <v>38</v>
      </c>
      <c r="O3300" s="2" t="s">
        <v>38</v>
      </c>
      <c r="P3300" s="2" t="s">
        <v>38</v>
      </c>
      <c r="Q3300" s="2" t="s">
        <v>38</v>
      </c>
      <c r="R3300" s="2" t="s">
        <v>38</v>
      </c>
      <c r="S3300" s="2" t="s">
        <v>38</v>
      </c>
      <c r="T3300" s="2" t="s">
        <v>38</v>
      </c>
      <c r="U3300" s="2" t="s">
        <v>38</v>
      </c>
      <c r="V3300" s="2" t="s">
        <v>38</v>
      </c>
      <c r="W3300" s="2" t="s">
        <v>38</v>
      </c>
      <c r="X3300" s="2" t="s">
        <v>38</v>
      </c>
      <c r="Y3300" s="2" t="s">
        <v>39</v>
      </c>
      <c r="Z3300" s="2" t="s">
        <v>38</v>
      </c>
      <c r="AA3300" s="2" t="s">
        <v>38</v>
      </c>
      <c r="AB3300" s="2" t="s">
        <v>38</v>
      </c>
      <c r="AC3300" s="2" t="s">
        <v>38</v>
      </c>
      <c r="AD3300" s="2" t="s">
        <v>38</v>
      </c>
      <c r="AE3300" s="2" t="s">
        <v>39</v>
      </c>
    </row>
    <row r="3301" spans="1:31" ht="409.5">
      <c r="A3301" s="2">
        <v>2699495</v>
      </c>
      <c r="B3301" s="2">
        <f>HYPERLINK("https://platform.v2.vetology.net/cases/2699495/screening-report/1?type=pdf&amp;v=v6&amp;scorecard=1&amp;secret_key=BX%25IJ%24%2F65ieZ%29f6", 2699495)</f>
        <v>2699495</v>
      </c>
      <c r="C3301" s="2">
        <f>HYPERLINK("https://platform.v2.vetology.net/report/v/final/"&amp;2699495, 2699495)</f>
        <v>2699495</v>
      </c>
      <c r="D3301" s="2" t="s">
        <v>10470</v>
      </c>
      <c r="E3301" s="2" t="s">
        <v>10471</v>
      </c>
      <c r="F3301" s="2" t="s">
        <v>10472</v>
      </c>
      <c r="G3301" s="2" t="s">
        <v>34</v>
      </c>
      <c r="H3301" s="2" t="s">
        <v>69</v>
      </c>
      <c r="I3301" s="2" t="s">
        <v>46</v>
      </c>
      <c r="J3301" s="2"/>
      <c r="K3301" s="2" t="s">
        <v>39</v>
      </c>
      <c r="L3301" s="2" t="s">
        <v>39</v>
      </c>
      <c r="M3301" s="2" t="s">
        <v>39</v>
      </c>
      <c r="N3301" s="2" t="s">
        <v>39</v>
      </c>
      <c r="O3301" s="2" t="s">
        <v>39</v>
      </c>
      <c r="P3301" s="2" t="s">
        <v>39</v>
      </c>
      <c r="Q3301" s="2" t="s">
        <v>39</v>
      </c>
      <c r="R3301" s="2" t="s">
        <v>39</v>
      </c>
      <c r="S3301" s="2" t="s">
        <v>39</v>
      </c>
      <c r="T3301" s="2" t="s">
        <v>39</v>
      </c>
      <c r="U3301" s="2" t="s">
        <v>39</v>
      </c>
      <c r="V3301" s="2" t="s">
        <v>39</v>
      </c>
      <c r="W3301" s="2" t="s">
        <v>39</v>
      </c>
      <c r="X3301" s="2" t="s">
        <v>39</v>
      </c>
      <c r="Y3301" s="2" t="s">
        <v>39</v>
      </c>
      <c r="Z3301" s="2" t="s">
        <v>39</v>
      </c>
      <c r="AA3301" s="2" t="s">
        <v>39</v>
      </c>
      <c r="AB3301" s="2" t="s">
        <v>39</v>
      </c>
      <c r="AC3301" s="2" t="s">
        <v>39</v>
      </c>
      <c r="AD3301" s="2" t="s">
        <v>38</v>
      </c>
      <c r="AE3301" s="2" t="s">
        <v>39</v>
      </c>
    </row>
    <row r="3302" spans="1:31" ht="409.5">
      <c r="A3302" s="2">
        <v>2699493</v>
      </c>
      <c r="B3302" s="2">
        <f>HYPERLINK("https://platform.v2.vetology.net/cases/2699493/screening-report/1?type=pdf&amp;v=v6&amp;scorecard=1&amp;secret_key=BX%25IJ%24%2F65ieZ%29f6", 2699493)</f>
        <v>2699493</v>
      </c>
      <c r="C3302" s="2">
        <f>HYPERLINK("https://platform.v2.vetology.net/report/v/final/"&amp;2699493, 2699493)</f>
        <v>2699493</v>
      </c>
      <c r="D3302" s="2" t="s">
        <v>10473</v>
      </c>
      <c r="E3302" s="2" t="s">
        <v>10474</v>
      </c>
      <c r="F3302" s="2" t="s">
        <v>43</v>
      </c>
      <c r="G3302" s="2" t="s">
        <v>44</v>
      </c>
      <c r="H3302" s="2" t="s">
        <v>10475</v>
      </c>
      <c r="I3302" s="2" t="s">
        <v>73</v>
      </c>
      <c r="J3302" s="2" t="s">
        <v>74</v>
      </c>
      <c r="K3302" s="2" t="s">
        <v>38</v>
      </c>
      <c r="L3302" s="2" t="s">
        <v>38</v>
      </c>
      <c r="M3302" s="2" t="s">
        <v>38</v>
      </c>
      <c r="N3302" s="2" t="s">
        <v>38</v>
      </c>
      <c r="O3302" s="2" t="s">
        <v>38</v>
      </c>
      <c r="P3302" s="2" t="s">
        <v>38</v>
      </c>
      <c r="Q3302" s="2" t="s">
        <v>38</v>
      </c>
      <c r="R3302" s="2" t="s">
        <v>38</v>
      </c>
      <c r="S3302" s="2" t="s">
        <v>38</v>
      </c>
      <c r="T3302" s="2" t="s">
        <v>38</v>
      </c>
      <c r="U3302" s="2" t="s">
        <v>38</v>
      </c>
      <c r="V3302" s="2" t="s">
        <v>38</v>
      </c>
      <c r="W3302" s="2" t="s">
        <v>38</v>
      </c>
      <c r="X3302" s="2" t="s">
        <v>38</v>
      </c>
      <c r="Y3302" s="2" t="s">
        <v>38</v>
      </c>
      <c r="Z3302" s="2" t="s">
        <v>38</v>
      </c>
      <c r="AA3302" s="2" t="s">
        <v>38</v>
      </c>
      <c r="AB3302" s="2" t="s">
        <v>38</v>
      </c>
      <c r="AC3302" s="2" t="s">
        <v>38</v>
      </c>
      <c r="AD3302" s="2" t="s">
        <v>38</v>
      </c>
      <c r="AE3302" s="2" t="s">
        <v>40</v>
      </c>
    </row>
    <row r="3303" spans="1:31" ht="409.5">
      <c r="A3303" s="2">
        <v>2699449</v>
      </c>
      <c r="B3303" s="2">
        <f>HYPERLINK("https://platform.v2.vetology.net/cases/2699449/screening-report/1?type=pdf&amp;v=v6&amp;scorecard=1&amp;secret_key=BX%25IJ%24%2F65ieZ%29f6", 2699449)</f>
        <v>2699449</v>
      </c>
      <c r="C3303" s="2">
        <f>HYPERLINK("https://platform.v2.vetology.net/report/v/final/"&amp;2699449, 2699449)</f>
        <v>2699449</v>
      </c>
      <c r="D3303" s="2" t="s">
        <v>10476</v>
      </c>
      <c r="E3303" s="2" t="s">
        <v>10477</v>
      </c>
      <c r="F3303" s="2" t="s">
        <v>10478</v>
      </c>
      <c r="G3303" s="2" t="s">
        <v>170</v>
      </c>
      <c r="H3303" s="2" t="s">
        <v>10479</v>
      </c>
      <c r="I3303" s="2" t="s">
        <v>129</v>
      </c>
      <c r="J3303" s="2" t="s">
        <v>74</v>
      </c>
      <c r="K3303" s="2" t="s">
        <v>38</v>
      </c>
      <c r="L3303" s="2" t="s">
        <v>38</v>
      </c>
      <c r="M3303" s="2" t="s">
        <v>38</v>
      </c>
      <c r="N3303" s="2" t="s">
        <v>38</v>
      </c>
      <c r="O3303" s="2" t="s">
        <v>38</v>
      </c>
      <c r="P3303" s="2" t="s">
        <v>38</v>
      </c>
      <c r="Q3303" s="2" t="s">
        <v>38</v>
      </c>
      <c r="R3303" s="2" t="s">
        <v>39</v>
      </c>
      <c r="S3303" s="2" t="s">
        <v>38</v>
      </c>
      <c r="T3303" s="2" t="s">
        <v>39</v>
      </c>
      <c r="U3303" s="2" t="s">
        <v>39</v>
      </c>
      <c r="V3303" s="2" t="s">
        <v>38</v>
      </c>
      <c r="W3303" s="2" t="s">
        <v>38</v>
      </c>
      <c r="X3303" s="2" t="s">
        <v>38</v>
      </c>
      <c r="Y3303" s="2" t="s">
        <v>39</v>
      </c>
      <c r="Z3303" s="2" t="s">
        <v>38</v>
      </c>
      <c r="AA3303" s="2" t="s">
        <v>38</v>
      </c>
      <c r="AB3303" s="2" t="s">
        <v>38</v>
      </c>
      <c r="AC3303" s="2" t="s">
        <v>38</v>
      </c>
      <c r="AD3303" s="2" t="s">
        <v>38</v>
      </c>
      <c r="AE3303" s="2"/>
    </row>
    <row r="3304" spans="1:31" ht="409.5">
      <c r="A3304" s="2">
        <v>2699441</v>
      </c>
      <c r="B3304" s="2">
        <f>HYPERLINK("https://platform.v2.vetology.net/cases/2699441/screening-report/1?type=pdf&amp;v=v6&amp;scorecard=1&amp;secret_key=BX%25IJ%24%2F65ieZ%29f6", 2699441)</f>
        <v>2699441</v>
      </c>
      <c r="C3304" s="2">
        <f>HYPERLINK("https://platform.v2.vetology.net/report/v/final/"&amp;2699441, 2699441)</f>
        <v>2699441</v>
      </c>
      <c r="D3304" s="2" t="s">
        <v>10480</v>
      </c>
      <c r="E3304" s="2" t="s">
        <v>10481</v>
      </c>
      <c r="F3304" s="2" t="s">
        <v>10482</v>
      </c>
      <c r="G3304" s="2" t="s">
        <v>127</v>
      </c>
      <c r="H3304" s="2" t="s">
        <v>69</v>
      </c>
      <c r="I3304" s="2" t="s">
        <v>46</v>
      </c>
      <c r="J3304" s="2"/>
      <c r="K3304" s="2" t="s">
        <v>39</v>
      </c>
      <c r="L3304" s="2" t="s">
        <v>39</v>
      </c>
      <c r="M3304" s="2" t="s">
        <v>39</v>
      </c>
      <c r="N3304" s="2" t="s">
        <v>39</v>
      </c>
      <c r="O3304" s="2" t="s">
        <v>39</v>
      </c>
      <c r="P3304" s="2" t="s">
        <v>39</v>
      </c>
      <c r="Q3304" s="2" t="s">
        <v>39</v>
      </c>
      <c r="R3304" s="2" t="s">
        <v>39</v>
      </c>
      <c r="S3304" s="2" t="s">
        <v>39</v>
      </c>
      <c r="T3304" s="2" t="s">
        <v>39</v>
      </c>
      <c r="U3304" s="2" t="s">
        <v>39</v>
      </c>
      <c r="V3304" s="2" t="s">
        <v>38</v>
      </c>
      <c r="W3304" s="2" t="s">
        <v>39</v>
      </c>
      <c r="X3304" s="2" t="s">
        <v>39</v>
      </c>
      <c r="Y3304" s="2" t="s">
        <v>39</v>
      </c>
      <c r="Z3304" s="2" t="s">
        <v>39</v>
      </c>
      <c r="AA3304" s="2" t="s">
        <v>39</v>
      </c>
      <c r="AB3304" s="2" t="s">
        <v>39</v>
      </c>
      <c r="AC3304" s="2" t="s">
        <v>38</v>
      </c>
      <c r="AD3304" s="2" t="s">
        <v>39</v>
      </c>
      <c r="AE3304" s="2" t="s">
        <v>39</v>
      </c>
    </row>
    <row r="3305" spans="1:31" ht="409.5">
      <c r="A3305" s="2">
        <v>2699416</v>
      </c>
      <c r="B3305" s="2">
        <f>HYPERLINK("https://platform.v2.vetology.net/cases/2699416/screening-report/1?type=pdf&amp;v=v6&amp;scorecard=1&amp;secret_key=BX%25IJ%24%2F65ieZ%29f6", 2699416)</f>
        <v>2699416</v>
      </c>
      <c r="C3305" s="2">
        <f>HYPERLINK("https://platform.v2.vetology.net/report/v/final/"&amp;2699416, 2699416)</f>
        <v>2699416</v>
      </c>
      <c r="D3305" s="2" t="s">
        <v>10483</v>
      </c>
      <c r="E3305" s="2" t="s">
        <v>10484</v>
      </c>
      <c r="F3305" s="2" t="s">
        <v>43</v>
      </c>
      <c r="G3305" s="2" t="s">
        <v>100</v>
      </c>
      <c r="H3305" s="2" t="s">
        <v>515</v>
      </c>
      <c r="I3305" s="2" t="s">
        <v>36</v>
      </c>
      <c r="J3305" s="2" t="s">
        <v>37</v>
      </c>
      <c r="K3305" s="2" t="s">
        <v>39</v>
      </c>
      <c r="L3305" s="2" t="s">
        <v>39</v>
      </c>
      <c r="M3305" s="2" t="s">
        <v>38</v>
      </c>
      <c r="N3305" s="2" t="s">
        <v>39</v>
      </c>
      <c r="O3305" s="2" t="s">
        <v>38</v>
      </c>
      <c r="P3305" s="2" t="s">
        <v>39</v>
      </c>
      <c r="Q3305" s="2" t="s">
        <v>39</v>
      </c>
      <c r="R3305" s="2" t="s">
        <v>39</v>
      </c>
      <c r="S3305" s="2" t="s">
        <v>39</v>
      </c>
      <c r="T3305" s="2" t="s">
        <v>38</v>
      </c>
      <c r="U3305" s="2" t="s">
        <v>39</v>
      </c>
      <c r="V3305" s="2" t="s">
        <v>39</v>
      </c>
      <c r="W3305" s="2" t="s">
        <v>38</v>
      </c>
      <c r="X3305" s="2" t="s">
        <v>39</v>
      </c>
      <c r="Y3305" s="2" t="s">
        <v>39</v>
      </c>
      <c r="Z3305" s="2" t="s">
        <v>38</v>
      </c>
      <c r="AA3305" s="2" t="s">
        <v>39</v>
      </c>
      <c r="AB3305" s="2" t="s">
        <v>39</v>
      </c>
      <c r="AC3305" s="2" t="s">
        <v>39</v>
      </c>
      <c r="AD3305" s="2" t="s">
        <v>39</v>
      </c>
      <c r="AE3305" s="2" t="s">
        <v>39</v>
      </c>
    </row>
    <row r="3306" spans="1:31" ht="409.5">
      <c r="A3306" s="2">
        <v>2699373</v>
      </c>
      <c r="B3306" s="2">
        <f>HYPERLINK("https://platform.v2.vetology.net/cases/2699373/screening-report/1?type=pdf&amp;v=v6&amp;scorecard=1&amp;secret_key=BX%25IJ%24%2F65ieZ%29f6", 2699373)</f>
        <v>2699373</v>
      </c>
      <c r="C3306" s="2">
        <f>HYPERLINK("https://platform.v2.vetology.net/report/v/final/"&amp;2699373, 2699373)</f>
        <v>2699373</v>
      </c>
      <c r="D3306" s="2" t="s">
        <v>10485</v>
      </c>
      <c r="E3306" s="2" t="s">
        <v>10486</v>
      </c>
      <c r="F3306" s="2" t="s">
        <v>43</v>
      </c>
      <c r="G3306" s="2" t="s">
        <v>44</v>
      </c>
      <c r="H3306" s="2" t="s">
        <v>10487</v>
      </c>
      <c r="I3306" s="2" t="s">
        <v>73</v>
      </c>
      <c r="J3306" s="2" t="s">
        <v>74</v>
      </c>
      <c r="K3306" s="2" t="s">
        <v>38</v>
      </c>
      <c r="L3306" s="2" t="s">
        <v>38</v>
      </c>
      <c r="M3306" s="2" t="s">
        <v>38</v>
      </c>
      <c r="N3306" s="2" t="s">
        <v>38</v>
      </c>
      <c r="O3306" s="2" t="s">
        <v>38</v>
      </c>
      <c r="P3306" s="2" t="s">
        <v>38</v>
      </c>
      <c r="Q3306" s="2" t="s">
        <v>38</v>
      </c>
      <c r="R3306" s="2" t="s">
        <v>39</v>
      </c>
      <c r="S3306" s="2" t="s">
        <v>39</v>
      </c>
      <c r="T3306" s="2" t="s">
        <v>38</v>
      </c>
      <c r="U3306" s="2" t="s">
        <v>38</v>
      </c>
      <c r="V3306" s="2" t="s">
        <v>38</v>
      </c>
      <c r="W3306" s="2" t="s">
        <v>38</v>
      </c>
      <c r="X3306" s="2" t="s">
        <v>38</v>
      </c>
      <c r="Y3306" s="2" t="s">
        <v>38</v>
      </c>
      <c r="Z3306" s="2" t="s">
        <v>38</v>
      </c>
      <c r="AA3306" s="2" t="s">
        <v>38</v>
      </c>
      <c r="AB3306" s="2" t="s">
        <v>38</v>
      </c>
      <c r="AC3306" s="2" t="s">
        <v>38</v>
      </c>
      <c r="AD3306" s="2" t="s">
        <v>38</v>
      </c>
      <c r="AE3306" s="2" t="s">
        <v>40</v>
      </c>
    </row>
    <row r="3307" spans="1:31" ht="409.5">
      <c r="A3307" s="2">
        <v>2699344</v>
      </c>
      <c r="B3307" s="2">
        <f>HYPERLINK("https://platform.v2.vetology.net/cases/2699344/screening-report/1?type=pdf&amp;v=v6&amp;scorecard=1&amp;secret_key=BX%25IJ%24%2F65ieZ%29f6", 2699344)</f>
        <v>2699344</v>
      </c>
      <c r="C3307" s="2">
        <f>HYPERLINK("https://platform.v2.vetology.net/report/v/final/"&amp;2699344, 2699344)</f>
        <v>2699344</v>
      </c>
      <c r="D3307" s="2" t="s">
        <v>10488</v>
      </c>
      <c r="E3307" s="2" t="s">
        <v>10489</v>
      </c>
      <c r="F3307" s="2" t="s">
        <v>10490</v>
      </c>
      <c r="G3307" s="2" t="s">
        <v>34</v>
      </c>
      <c r="H3307" s="2" t="s">
        <v>10491</v>
      </c>
      <c r="I3307" s="2" t="s">
        <v>36</v>
      </c>
      <c r="J3307" s="2" t="s">
        <v>37</v>
      </c>
      <c r="K3307" s="2" t="s">
        <v>38</v>
      </c>
      <c r="L3307" s="2" t="s">
        <v>39</v>
      </c>
      <c r="M3307" s="2" t="s">
        <v>39</v>
      </c>
      <c r="N3307" s="2" t="s">
        <v>38</v>
      </c>
      <c r="O3307" s="2" t="s">
        <v>38</v>
      </c>
      <c r="P3307" s="2" t="s">
        <v>39</v>
      </c>
      <c r="Q3307" s="2" t="s">
        <v>39</v>
      </c>
      <c r="R3307" s="2" t="s">
        <v>38</v>
      </c>
      <c r="S3307" s="2" t="s">
        <v>38</v>
      </c>
      <c r="T3307" s="2" t="s">
        <v>39</v>
      </c>
      <c r="U3307" s="2" t="s">
        <v>38</v>
      </c>
      <c r="V3307" s="2" t="s">
        <v>38</v>
      </c>
      <c r="W3307" s="2" t="s">
        <v>38</v>
      </c>
      <c r="X3307" s="2" t="s">
        <v>39</v>
      </c>
      <c r="Y3307" s="2" t="s">
        <v>39</v>
      </c>
      <c r="Z3307" s="2" t="s">
        <v>38</v>
      </c>
      <c r="AA3307" s="2" t="s">
        <v>38</v>
      </c>
      <c r="AB3307" s="2" t="s">
        <v>39</v>
      </c>
      <c r="AC3307" s="2" t="s">
        <v>38</v>
      </c>
      <c r="AD3307" s="2" t="s">
        <v>38</v>
      </c>
      <c r="AE3307" s="2" t="s">
        <v>39</v>
      </c>
    </row>
    <row r="3308" spans="1:31" ht="409.5">
      <c r="A3308" s="2">
        <v>2699338</v>
      </c>
      <c r="B3308" s="2">
        <f>HYPERLINK("https://platform.v2.vetology.net/cases/2699338/screening-report/1?type=pdf&amp;v=v6&amp;scorecard=1&amp;secret_key=BX%25IJ%24%2F65ieZ%29f6", 2699338)</f>
        <v>2699338</v>
      </c>
      <c r="C3308" s="2">
        <f>HYPERLINK("https://platform.v2.vetology.net/report/v/final/"&amp;2699338, 2699338)</f>
        <v>2699338</v>
      </c>
      <c r="D3308" s="2" t="s">
        <v>10492</v>
      </c>
      <c r="E3308" s="2" t="s">
        <v>10493</v>
      </c>
      <c r="F3308" s="2" t="s">
        <v>43</v>
      </c>
      <c r="G3308" s="2" t="s">
        <v>100</v>
      </c>
      <c r="H3308" s="2" t="s">
        <v>10494</v>
      </c>
      <c r="I3308" s="2" t="s">
        <v>129</v>
      </c>
      <c r="J3308" s="2" t="s">
        <v>74</v>
      </c>
      <c r="K3308" s="2" t="s">
        <v>39</v>
      </c>
      <c r="L3308" s="2" t="s">
        <v>39</v>
      </c>
      <c r="M3308" s="2" t="s">
        <v>38</v>
      </c>
      <c r="N3308" s="2" t="s">
        <v>39</v>
      </c>
      <c r="O3308" s="2" t="s">
        <v>39</v>
      </c>
      <c r="P3308" s="2" t="s">
        <v>38</v>
      </c>
      <c r="Q3308" s="2" t="s">
        <v>38</v>
      </c>
      <c r="R3308" s="2" t="s">
        <v>39</v>
      </c>
      <c r="S3308" s="2" t="s">
        <v>39</v>
      </c>
      <c r="T3308" s="2" t="s">
        <v>38</v>
      </c>
      <c r="U3308" s="2" t="s">
        <v>39</v>
      </c>
      <c r="V3308" s="2" t="s">
        <v>38</v>
      </c>
      <c r="W3308" s="2" t="s">
        <v>39</v>
      </c>
      <c r="X3308" s="2" t="s">
        <v>38</v>
      </c>
      <c r="Y3308" s="2" t="s">
        <v>39</v>
      </c>
      <c r="Z3308" s="2" t="s">
        <v>38</v>
      </c>
      <c r="AA3308" s="2" t="s">
        <v>39</v>
      </c>
      <c r="AB3308" s="2" t="s">
        <v>38</v>
      </c>
      <c r="AC3308" s="2" t="s">
        <v>39</v>
      </c>
      <c r="AD3308" s="2" t="s">
        <v>38</v>
      </c>
      <c r="AE3308" s="2"/>
    </row>
    <row r="3309" spans="1:31" ht="409.5">
      <c r="A3309" s="2">
        <v>2699265</v>
      </c>
      <c r="B3309" s="2">
        <f>HYPERLINK("https://platform.v2.vetology.net/cases/2699265/screening-report/1?type=pdf&amp;v=v6&amp;scorecard=1&amp;secret_key=BX%25IJ%24%2F65ieZ%29f6", 2699265)</f>
        <v>2699265</v>
      </c>
      <c r="C3309" s="2">
        <f>HYPERLINK("https://platform.v2.vetology.net/report/v/final/"&amp;2699265, 2699265)</f>
        <v>2699265</v>
      </c>
      <c r="D3309" s="2" t="s">
        <v>10495</v>
      </c>
      <c r="E3309" s="2" t="s">
        <v>10496</v>
      </c>
      <c r="F3309" s="2" t="s">
        <v>10497</v>
      </c>
      <c r="G3309" s="2" t="s">
        <v>170</v>
      </c>
      <c r="H3309" s="2" t="s">
        <v>1886</v>
      </c>
      <c r="I3309" s="2" t="s">
        <v>36</v>
      </c>
      <c r="J3309" s="2" t="s">
        <v>37</v>
      </c>
      <c r="K3309" s="2" t="s">
        <v>38</v>
      </c>
      <c r="L3309" s="2" t="s">
        <v>38</v>
      </c>
      <c r="M3309" s="2" t="s">
        <v>39</v>
      </c>
      <c r="N3309" s="2" t="s">
        <v>39</v>
      </c>
      <c r="O3309" s="2" t="s">
        <v>39</v>
      </c>
      <c r="P3309" s="2" t="s">
        <v>39</v>
      </c>
      <c r="Q3309" s="2" t="s">
        <v>39</v>
      </c>
      <c r="R3309" s="2" t="s">
        <v>38</v>
      </c>
      <c r="S3309" s="2" t="s">
        <v>38</v>
      </c>
      <c r="T3309" s="2" t="s">
        <v>38</v>
      </c>
      <c r="U3309" s="2" t="s">
        <v>38</v>
      </c>
      <c r="V3309" s="2" t="s">
        <v>38</v>
      </c>
      <c r="W3309" s="2" t="s">
        <v>38</v>
      </c>
      <c r="X3309" s="2" t="s">
        <v>39</v>
      </c>
      <c r="Y3309" s="2" t="s">
        <v>39</v>
      </c>
      <c r="Z3309" s="2" t="s">
        <v>39</v>
      </c>
      <c r="AA3309" s="2" t="s">
        <v>39</v>
      </c>
      <c r="AB3309" s="2" t="s">
        <v>39</v>
      </c>
      <c r="AC3309" s="2" t="s">
        <v>38</v>
      </c>
      <c r="AD3309" s="2" t="s">
        <v>38</v>
      </c>
      <c r="AE3309" s="2" t="s">
        <v>39</v>
      </c>
    </row>
    <row r="3310" spans="1:31" ht="409.5">
      <c r="A3310" s="2">
        <v>2699263</v>
      </c>
      <c r="B3310" s="2">
        <f>HYPERLINK("https://platform.v2.vetology.net/cases/2699263/screening-report/1?type=pdf&amp;v=v6&amp;scorecard=1&amp;secret_key=BX%25IJ%24%2F65ieZ%29f6", 2699263)</f>
        <v>2699263</v>
      </c>
      <c r="C3310" s="2">
        <f>HYPERLINK("https://platform.v2.vetology.net/report/v/final/"&amp;2699263, 2699263)</f>
        <v>2699263</v>
      </c>
      <c r="D3310" s="2" t="s">
        <v>10498</v>
      </c>
      <c r="E3310" s="2" t="s">
        <v>10499</v>
      </c>
      <c r="F3310" s="2" t="s">
        <v>10500</v>
      </c>
      <c r="G3310" s="2" t="s">
        <v>34</v>
      </c>
      <c r="H3310" s="2" t="s">
        <v>69</v>
      </c>
      <c r="I3310" s="2" t="s">
        <v>46</v>
      </c>
      <c r="J3310" s="2"/>
      <c r="K3310" s="2" t="s">
        <v>39</v>
      </c>
      <c r="L3310" s="2" t="s">
        <v>39</v>
      </c>
      <c r="M3310" s="2" t="s">
        <v>39</v>
      </c>
      <c r="N3310" s="2" t="s">
        <v>39</v>
      </c>
      <c r="O3310" s="2" t="s">
        <v>39</v>
      </c>
      <c r="P3310" s="2" t="s">
        <v>39</v>
      </c>
      <c r="Q3310" s="2" t="s">
        <v>39</v>
      </c>
      <c r="R3310" s="2" t="s">
        <v>39</v>
      </c>
      <c r="S3310" s="2" t="s">
        <v>39</v>
      </c>
      <c r="T3310" s="2" t="s">
        <v>39</v>
      </c>
      <c r="U3310" s="2" t="s">
        <v>39</v>
      </c>
      <c r="V3310" s="2" t="s">
        <v>39</v>
      </c>
      <c r="W3310" s="2" t="s">
        <v>39</v>
      </c>
      <c r="X3310" s="2" t="s">
        <v>39</v>
      </c>
      <c r="Y3310" s="2" t="s">
        <v>39</v>
      </c>
      <c r="Z3310" s="2" t="s">
        <v>39</v>
      </c>
      <c r="AA3310" s="2" t="s">
        <v>39</v>
      </c>
      <c r="AB3310" s="2" t="s">
        <v>39</v>
      </c>
      <c r="AC3310" s="2" t="s">
        <v>38</v>
      </c>
      <c r="AD3310" s="2" t="s">
        <v>38</v>
      </c>
      <c r="AE3310" s="2" t="s">
        <v>39</v>
      </c>
    </row>
    <row r="3311" spans="1:31" ht="409.5">
      <c r="A3311" s="2">
        <v>2699243</v>
      </c>
      <c r="B3311" s="2">
        <f>HYPERLINK("https://platform.v2.vetology.net/cases/2699243/screening-report/1?type=pdf&amp;v=v6&amp;scorecard=1&amp;secret_key=BX%25IJ%24%2F65ieZ%29f6", 2699243)</f>
        <v>2699243</v>
      </c>
      <c r="C3311" s="2">
        <f>HYPERLINK("https://platform.v2.vetology.net/report/v/final/"&amp;2699243, 2699243)</f>
        <v>2699243</v>
      </c>
      <c r="D3311" s="2" t="s">
        <v>10501</v>
      </c>
      <c r="E3311" s="2" t="s">
        <v>10502</v>
      </c>
      <c r="F3311" s="2" t="s">
        <v>43</v>
      </c>
      <c r="G3311" s="2" t="s">
        <v>44</v>
      </c>
      <c r="H3311" s="2" t="s">
        <v>62</v>
      </c>
      <c r="I3311" s="2" t="s">
        <v>46</v>
      </c>
      <c r="J3311" s="2"/>
      <c r="K3311" s="2" t="s">
        <v>39</v>
      </c>
      <c r="L3311" s="2" t="s">
        <v>39</v>
      </c>
      <c r="M3311" s="2" t="s">
        <v>39</v>
      </c>
      <c r="N3311" s="2" t="s">
        <v>39</v>
      </c>
      <c r="O3311" s="2" t="s">
        <v>39</v>
      </c>
      <c r="P3311" s="2" t="s">
        <v>39</v>
      </c>
      <c r="Q3311" s="2" t="s">
        <v>39</v>
      </c>
      <c r="R3311" s="2" t="s">
        <v>38</v>
      </c>
      <c r="S3311" s="2" t="s">
        <v>38</v>
      </c>
      <c r="T3311" s="2" t="s">
        <v>39</v>
      </c>
      <c r="U3311" s="2" t="s">
        <v>39</v>
      </c>
      <c r="V3311" s="2" t="s">
        <v>39</v>
      </c>
      <c r="W3311" s="2" t="s">
        <v>38</v>
      </c>
      <c r="X3311" s="2" t="s">
        <v>39</v>
      </c>
      <c r="Y3311" s="2" t="s">
        <v>39</v>
      </c>
      <c r="Z3311" s="2" t="s">
        <v>38</v>
      </c>
      <c r="AA3311" s="2" t="s">
        <v>39</v>
      </c>
      <c r="AB3311" s="2" t="s">
        <v>39</v>
      </c>
      <c r="AC3311" s="2" t="s">
        <v>38</v>
      </c>
      <c r="AD3311" s="2" t="s">
        <v>38</v>
      </c>
      <c r="AE3311" s="2" t="s">
        <v>40</v>
      </c>
    </row>
    <row r="3312" spans="1:31" ht="409.5">
      <c r="A3312" s="2">
        <v>2699228</v>
      </c>
      <c r="B3312" s="2">
        <f>HYPERLINK("https://platform.v2.vetology.net/cases/2699228/screening-report/1?type=pdf&amp;v=v6&amp;scorecard=1&amp;secret_key=BX%25IJ%24%2F65ieZ%29f6", 2699228)</f>
        <v>2699228</v>
      </c>
      <c r="C3312" s="2">
        <f>HYPERLINK("https://platform.v2.vetology.net/report/v/final/"&amp;2699228, 2699228)</f>
        <v>2699228</v>
      </c>
      <c r="D3312" s="2" t="s">
        <v>10503</v>
      </c>
      <c r="E3312" s="2" t="s">
        <v>10504</v>
      </c>
      <c r="F3312" s="2" t="s">
        <v>43</v>
      </c>
      <c r="G3312" s="2" t="s">
        <v>44</v>
      </c>
      <c r="H3312" s="2" t="s">
        <v>10505</v>
      </c>
      <c r="I3312" s="2" t="s">
        <v>73</v>
      </c>
      <c r="J3312" s="2" t="s">
        <v>74</v>
      </c>
      <c r="K3312" s="2" t="s">
        <v>38</v>
      </c>
      <c r="L3312" s="2" t="s">
        <v>38</v>
      </c>
      <c r="M3312" s="2" t="s">
        <v>38</v>
      </c>
      <c r="N3312" s="2" t="s">
        <v>38</v>
      </c>
      <c r="O3312" s="2" t="s">
        <v>38</v>
      </c>
      <c r="P3312" s="2" t="s">
        <v>38</v>
      </c>
      <c r="Q3312" s="2" t="s">
        <v>38</v>
      </c>
      <c r="R3312" s="2" t="s">
        <v>38</v>
      </c>
      <c r="S3312" s="2" t="s">
        <v>38</v>
      </c>
      <c r="T3312" s="2" t="s">
        <v>38</v>
      </c>
      <c r="U3312" s="2" t="s">
        <v>39</v>
      </c>
      <c r="V3312" s="2" t="s">
        <v>38</v>
      </c>
      <c r="W3312" s="2" t="s">
        <v>38</v>
      </c>
      <c r="X3312" s="2" t="s">
        <v>38</v>
      </c>
      <c r="Y3312" s="2" t="s">
        <v>39</v>
      </c>
      <c r="Z3312" s="2" t="s">
        <v>38</v>
      </c>
      <c r="AA3312" s="2" t="s">
        <v>38</v>
      </c>
      <c r="AB3312" s="2" t="s">
        <v>38</v>
      </c>
      <c r="AC3312" s="2" t="s">
        <v>38</v>
      </c>
      <c r="AD3312" s="2" t="s">
        <v>38</v>
      </c>
      <c r="AE3312" s="2" t="s">
        <v>39</v>
      </c>
    </row>
    <row r="3313" spans="1:31" ht="409.5">
      <c r="A3313" s="2">
        <v>2699224</v>
      </c>
      <c r="B3313" s="2">
        <f>HYPERLINK("https://platform.v2.vetology.net/cases/2699224/screening-report/1?type=pdf&amp;v=v6&amp;scorecard=1&amp;secret_key=BX%25IJ%24%2F65ieZ%29f6", 2699224)</f>
        <v>2699224</v>
      </c>
      <c r="C3313" s="2">
        <f>HYPERLINK("https://platform.v2.vetology.net/report/v/final/"&amp;2699224, 2699224)</f>
        <v>2699224</v>
      </c>
      <c r="D3313" s="2" t="s">
        <v>10506</v>
      </c>
      <c r="E3313" s="2" t="s">
        <v>10507</v>
      </c>
      <c r="F3313" s="2" t="s">
        <v>10508</v>
      </c>
      <c r="G3313" s="2" t="s">
        <v>170</v>
      </c>
      <c r="H3313" s="2" t="s">
        <v>10509</v>
      </c>
      <c r="I3313" s="2" t="s">
        <v>129</v>
      </c>
      <c r="J3313" s="2" t="s">
        <v>74</v>
      </c>
      <c r="K3313" s="2" t="s">
        <v>38</v>
      </c>
      <c r="L3313" s="2" t="s">
        <v>38</v>
      </c>
      <c r="M3313" s="2" t="s">
        <v>39</v>
      </c>
      <c r="N3313" s="2" t="s">
        <v>39</v>
      </c>
      <c r="O3313" s="2" t="s">
        <v>39</v>
      </c>
      <c r="P3313" s="2" t="s">
        <v>38</v>
      </c>
      <c r="Q3313" s="2" t="s">
        <v>38</v>
      </c>
      <c r="R3313" s="2" t="s">
        <v>38</v>
      </c>
      <c r="S3313" s="2" t="s">
        <v>38</v>
      </c>
      <c r="T3313" s="2" t="s">
        <v>38</v>
      </c>
      <c r="U3313" s="2" t="s">
        <v>38</v>
      </c>
      <c r="V3313" s="2" t="s">
        <v>38</v>
      </c>
      <c r="W3313" s="2" t="s">
        <v>38</v>
      </c>
      <c r="X3313" s="2" t="s">
        <v>39</v>
      </c>
      <c r="Y3313" s="2" t="s">
        <v>39</v>
      </c>
      <c r="Z3313" s="2" t="s">
        <v>39</v>
      </c>
      <c r="AA3313" s="2" t="s">
        <v>39</v>
      </c>
      <c r="AB3313" s="2" t="s">
        <v>39</v>
      </c>
      <c r="AC3313" s="2" t="s">
        <v>39</v>
      </c>
      <c r="AD3313" s="2" t="s">
        <v>38</v>
      </c>
      <c r="AE3313" s="2" t="s">
        <v>39</v>
      </c>
    </row>
    <row r="3314" spans="1:31" ht="409.5">
      <c r="A3314" s="2">
        <v>2699164</v>
      </c>
      <c r="B3314" s="2">
        <f>HYPERLINK("https://platform.v2.vetology.net/cases/2699164/screening-report/1?type=pdf&amp;v=v6&amp;scorecard=1&amp;secret_key=BX%25IJ%24%2F65ieZ%29f6", 2699164)</f>
        <v>2699164</v>
      </c>
      <c r="C3314" s="2">
        <f>HYPERLINK("https://platform.v2.vetology.net/report/v/final/"&amp;2699164, 2699164)</f>
        <v>2699164</v>
      </c>
      <c r="D3314" s="2" t="s">
        <v>10510</v>
      </c>
      <c r="E3314" s="2" t="s">
        <v>10511</v>
      </c>
      <c r="F3314" s="2" t="s">
        <v>10512</v>
      </c>
      <c r="G3314" s="2" t="s">
        <v>170</v>
      </c>
      <c r="H3314" s="2" t="s">
        <v>10513</v>
      </c>
      <c r="I3314" s="2" t="s">
        <v>73</v>
      </c>
      <c r="J3314" s="2" t="s">
        <v>74</v>
      </c>
      <c r="K3314" s="2" t="s">
        <v>38</v>
      </c>
      <c r="L3314" s="2" t="s">
        <v>38</v>
      </c>
      <c r="M3314" s="2" t="s">
        <v>38</v>
      </c>
      <c r="N3314" s="2" t="s">
        <v>38</v>
      </c>
      <c r="O3314" s="2" t="s">
        <v>38</v>
      </c>
      <c r="P3314" s="2" t="s">
        <v>38</v>
      </c>
      <c r="Q3314" s="2" t="s">
        <v>38</v>
      </c>
      <c r="R3314" s="2" t="s">
        <v>39</v>
      </c>
      <c r="S3314" s="2" t="s">
        <v>38</v>
      </c>
      <c r="T3314" s="2" t="s">
        <v>38</v>
      </c>
      <c r="U3314" s="2" t="s">
        <v>39</v>
      </c>
      <c r="V3314" s="2" t="s">
        <v>38</v>
      </c>
      <c r="W3314" s="2" t="s">
        <v>38</v>
      </c>
      <c r="X3314" s="2" t="s">
        <v>38</v>
      </c>
      <c r="Y3314" s="2" t="s">
        <v>39</v>
      </c>
      <c r="Z3314" s="2" t="s">
        <v>38</v>
      </c>
      <c r="AA3314" s="2" t="s">
        <v>38</v>
      </c>
      <c r="AB3314" s="2" t="s">
        <v>38</v>
      </c>
      <c r="AC3314" s="2" t="s">
        <v>38</v>
      </c>
      <c r="AD3314" s="2" t="s">
        <v>39</v>
      </c>
      <c r="AE3314" s="2" t="s">
        <v>39</v>
      </c>
    </row>
    <row r="3315" spans="1:31" ht="409.5">
      <c r="A3315" s="2">
        <v>2699147</v>
      </c>
      <c r="B3315" s="2">
        <f>HYPERLINK("https://platform.v2.vetology.net/cases/2699147/screening-report/1?type=pdf&amp;v=v6&amp;scorecard=1&amp;secret_key=BX%25IJ%24%2F65ieZ%29f6", 2699147)</f>
        <v>2699147</v>
      </c>
      <c r="C3315" s="2">
        <f>HYPERLINK("https://platform.v2.vetology.net/report/v/final/"&amp;2699147, 2699147)</f>
        <v>2699147</v>
      </c>
      <c r="D3315" s="2" t="s">
        <v>10514</v>
      </c>
      <c r="E3315" s="2" t="s">
        <v>10515</v>
      </c>
      <c r="F3315" s="2" t="s">
        <v>10516</v>
      </c>
      <c r="G3315" s="2" t="s">
        <v>100</v>
      </c>
      <c r="H3315" s="2" t="s">
        <v>10517</v>
      </c>
      <c r="I3315" s="2" t="s">
        <v>36</v>
      </c>
      <c r="J3315" s="2" t="s">
        <v>37</v>
      </c>
      <c r="K3315" s="2" t="s">
        <v>39</v>
      </c>
      <c r="L3315" s="2" t="s">
        <v>39</v>
      </c>
      <c r="M3315" s="2" t="s">
        <v>38</v>
      </c>
      <c r="N3315" s="2" t="s">
        <v>39</v>
      </c>
      <c r="O3315" s="2" t="s">
        <v>38</v>
      </c>
      <c r="P3315" s="2" t="s">
        <v>39</v>
      </c>
      <c r="Q3315" s="2" t="s">
        <v>39</v>
      </c>
      <c r="R3315" s="2" t="s">
        <v>38</v>
      </c>
      <c r="S3315" s="2" t="s">
        <v>38</v>
      </c>
      <c r="T3315" s="2" t="s">
        <v>39</v>
      </c>
      <c r="U3315" s="2" t="s">
        <v>39</v>
      </c>
      <c r="V3315" s="2" t="s">
        <v>38</v>
      </c>
      <c r="W3315" s="2" t="s">
        <v>38</v>
      </c>
      <c r="X3315" s="2" t="s">
        <v>39</v>
      </c>
      <c r="Y3315" s="2" t="s">
        <v>39</v>
      </c>
      <c r="Z3315" s="2" t="s">
        <v>38</v>
      </c>
      <c r="AA3315" s="2" t="s">
        <v>39</v>
      </c>
      <c r="AB3315" s="2" t="s">
        <v>39</v>
      </c>
      <c r="AC3315" s="2" t="s">
        <v>38</v>
      </c>
      <c r="AD3315" s="2" t="s">
        <v>38</v>
      </c>
      <c r="AE3315" s="2" t="s">
        <v>39</v>
      </c>
    </row>
    <row r="3316" spans="1:31" ht="409.5">
      <c r="A3316" s="2">
        <v>2699091</v>
      </c>
      <c r="B3316" s="2">
        <f>HYPERLINK("https://platform.v2.vetology.net/cases/2699091/screening-report/1?type=pdf&amp;v=v6&amp;scorecard=1&amp;secret_key=BX%25IJ%24%2F65ieZ%29f6", 2699091)</f>
        <v>2699091</v>
      </c>
      <c r="C3316" s="2">
        <f>HYPERLINK("https://platform.v2.vetology.net/report/v/final/"&amp;2699091, 2699091)</f>
        <v>2699091</v>
      </c>
      <c r="D3316" s="2" t="s">
        <v>10518</v>
      </c>
      <c r="E3316" s="2" t="s">
        <v>10519</v>
      </c>
      <c r="F3316" s="2"/>
      <c r="G3316" s="2" t="s">
        <v>81</v>
      </c>
      <c r="H3316" s="2" t="s">
        <v>10520</v>
      </c>
      <c r="I3316" s="2" t="s">
        <v>73</v>
      </c>
      <c r="J3316" s="2" t="s">
        <v>74</v>
      </c>
      <c r="K3316" s="2" t="s">
        <v>38</v>
      </c>
      <c r="L3316" s="2" t="s">
        <v>38</v>
      </c>
      <c r="M3316" s="2" t="s">
        <v>38</v>
      </c>
      <c r="N3316" s="2" t="s">
        <v>38</v>
      </c>
      <c r="O3316" s="2" t="s">
        <v>38</v>
      </c>
      <c r="P3316" s="2" t="s">
        <v>38</v>
      </c>
      <c r="Q3316" s="2" t="s">
        <v>38</v>
      </c>
      <c r="R3316" s="2" t="s">
        <v>38</v>
      </c>
      <c r="S3316" s="2" t="s">
        <v>38</v>
      </c>
      <c r="T3316" s="2" t="s">
        <v>38</v>
      </c>
      <c r="U3316" s="2" t="s">
        <v>38</v>
      </c>
      <c r="V3316" s="2" t="s">
        <v>38</v>
      </c>
      <c r="W3316" s="2" t="s">
        <v>38</v>
      </c>
      <c r="X3316" s="2" t="s">
        <v>38</v>
      </c>
      <c r="Y3316" s="2" t="s">
        <v>38</v>
      </c>
      <c r="Z3316" s="2" t="s">
        <v>38</v>
      </c>
      <c r="AA3316" s="2" t="s">
        <v>38</v>
      </c>
      <c r="AB3316" s="2" t="s">
        <v>38</v>
      </c>
      <c r="AC3316" s="2" t="s">
        <v>38</v>
      </c>
      <c r="AD3316" s="2" t="s">
        <v>38</v>
      </c>
      <c r="AE3316" s="2" t="s">
        <v>40</v>
      </c>
    </row>
    <row r="3317" spans="1:31" ht="409.5">
      <c r="A3317" s="2">
        <v>2699073</v>
      </c>
      <c r="B3317" s="2">
        <f>HYPERLINK("https://platform.v2.vetology.net/cases/2699073/screening-report/1?type=pdf&amp;v=v6&amp;scorecard=1&amp;secret_key=BX%25IJ%24%2F65ieZ%29f6", 2699073)</f>
        <v>2699073</v>
      </c>
      <c r="C3317" s="2">
        <f>HYPERLINK("https://platform.v2.vetology.net/report/v/final/"&amp;2699073, 2699073)</f>
        <v>2699073</v>
      </c>
      <c r="D3317" s="2" t="s">
        <v>10521</v>
      </c>
      <c r="E3317" s="2" t="s">
        <v>99</v>
      </c>
      <c r="F3317" s="2" t="s">
        <v>3048</v>
      </c>
      <c r="G3317" s="2" t="s">
        <v>100</v>
      </c>
      <c r="H3317" s="2" t="s">
        <v>394</v>
      </c>
      <c r="I3317" s="2" t="s">
        <v>59</v>
      </c>
      <c r="J3317" s="2" t="s">
        <v>37</v>
      </c>
      <c r="K3317" s="2" t="s">
        <v>38</v>
      </c>
      <c r="L3317" s="2" t="s">
        <v>39</v>
      </c>
      <c r="M3317" s="2" t="s">
        <v>39</v>
      </c>
      <c r="N3317" s="2" t="s">
        <v>39</v>
      </c>
      <c r="O3317" s="2" t="s">
        <v>39</v>
      </c>
      <c r="P3317" s="2" t="s">
        <v>39</v>
      </c>
      <c r="Q3317" s="2" t="s">
        <v>39</v>
      </c>
      <c r="R3317" s="2" t="s">
        <v>39</v>
      </c>
      <c r="S3317" s="2" t="s">
        <v>39</v>
      </c>
      <c r="T3317" s="2" t="s">
        <v>39</v>
      </c>
      <c r="U3317" s="2" t="s">
        <v>38</v>
      </c>
      <c r="V3317" s="2" t="s">
        <v>38</v>
      </c>
      <c r="W3317" s="2" t="s">
        <v>38</v>
      </c>
      <c r="X3317" s="2" t="s">
        <v>39</v>
      </c>
      <c r="Y3317" s="2" t="s">
        <v>39</v>
      </c>
      <c r="Z3317" s="2" t="s">
        <v>39</v>
      </c>
      <c r="AA3317" s="2" t="s">
        <v>38</v>
      </c>
      <c r="AB3317" s="2" t="s">
        <v>39</v>
      </c>
      <c r="AC3317" s="2" t="s">
        <v>39</v>
      </c>
      <c r="AD3317" s="2" t="s">
        <v>39</v>
      </c>
      <c r="AE3317" s="2" t="s">
        <v>40</v>
      </c>
    </row>
    <row r="3318" spans="1:31" ht="409.5">
      <c r="A3318" s="2">
        <v>2699071</v>
      </c>
      <c r="B3318" s="2">
        <f>HYPERLINK("https://platform.v2.vetology.net/cases/2699071/screening-report/1?type=pdf&amp;v=v6&amp;scorecard=1&amp;secret_key=BX%25IJ%24%2F65ieZ%29f6", 2699071)</f>
        <v>2699071</v>
      </c>
      <c r="C3318" s="2">
        <f>HYPERLINK("https://platform.v2.vetology.net/report/v/final/"&amp;2699071, 2699071)</f>
        <v>2699071</v>
      </c>
      <c r="D3318" s="2" t="s">
        <v>10522</v>
      </c>
      <c r="E3318" s="2" t="s">
        <v>10523</v>
      </c>
      <c r="F3318" s="2" t="s">
        <v>10524</v>
      </c>
      <c r="G3318" s="2" t="s">
        <v>34</v>
      </c>
      <c r="H3318" s="2" t="s">
        <v>10525</v>
      </c>
      <c r="I3318" s="2" t="s">
        <v>36</v>
      </c>
      <c r="J3318" s="2" t="s">
        <v>37</v>
      </c>
      <c r="K3318" s="2" t="s">
        <v>38</v>
      </c>
      <c r="L3318" s="2" t="s">
        <v>38</v>
      </c>
      <c r="M3318" s="2" t="s">
        <v>38</v>
      </c>
      <c r="N3318" s="2" t="s">
        <v>38</v>
      </c>
      <c r="O3318" s="2" t="s">
        <v>38</v>
      </c>
      <c r="P3318" s="2" t="s">
        <v>38</v>
      </c>
      <c r="Q3318" s="2" t="s">
        <v>39</v>
      </c>
      <c r="R3318" s="2" t="s">
        <v>39</v>
      </c>
      <c r="S3318" s="2" t="s">
        <v>39</v>
      </c>
      <c r="T3318" s="2" t="s">
        <v>38</v>
      </c>
      <c r="U3318" s="2" t="s">
        <v>39</v>
      </c>
      <c r="V3318" s="2" t="s">
        <v>38</v>
      </c>
      <c r="W3318" s="2" t="s">
        <v>38</v>
      </c>
      <c r="X3318" s="2" t="s">
        <v>38</v>
      </c>
      <c r="Y3318" s="2" t="s">
        <v>38</v>
      </c>
      <c r="Z3318" s="2" t="s">
        <v>38</v>
      </c>
      <c r="AA3318" s="2" t="s">
        <v>39</v>
      </c>
      <c r="AB3318" s="2" t="s">
        <v>38</v>
      </c>
      <c r="AC3318" s="2" t="s">
        <v>38</v>
      </c>
      <c r="AD3318" s="2" t="s">
        <v>38</v>
      </c>
      <c r="AE3318" s="2" t="s">
        <v>39</v>
      </c>
    </row>
    <row r="3319" spans="1:31" ht="409.5">
      <c r="A3319" s="2">
        <v>2699069</v>
      </c>
      <c r="B3319" s="2">
        <f>HYPERLINK("https://platform.v2.vetology.net/cases/2699069/screening-report/1?type=pdf&amp;v=v6&amp;scorecard=1&amp;secret_key=BX%25IJ%24%2F65ieZ%29f6", 2699069)</f>
        <v>2699069</v>
      </c>
      <c r="C3319" s="2">
        <f>HYPERLINK("https://platform.v2.vetology.net/report/v/final/"&amp;2699069, 2699069)</f>
        <v>2699069</v>
      </c>
      <c r="D3319" s="2" t="s">
        <v>8592</v>
      </c>
      <c r="E3319" s="2" t="s">
        <v>10526</v>
      </c>
      <c r="F3319" s="2" t="s">
        <v>2764</v>
      </c>
      <c r="G3319" s="2" t="s">
        <v>111</v>
      </c>
      <c r="H3319" s="2" t="s">
        <v>10527</v>
      </c>
      <c r="I3319" s="2" t="s">
        <v>129</v>
      </c>
      <c r="J3319" s="2" t="s">
        <v>74</v>
      </c>
      <c r="K3319" s="2" t="s">
        <v>39</v>
      </c>
      <c r="L3319" s="2" t="s">
        <v>39</v>
      </c>
      <c r="M3319" s="2" t="s">
        <v>38</v>
      </c>
      <c r="N3319" s="2" t="s">
        <v>39</v>
      </c>
      <c r="O3319" s="2" t="s">
        <v>39</v>
      </c>
      <c r="P3319" s="2" t="s">
        <v>38</v>
      </c>
      <c r="Q3319" s="2" t="s">
        <v>38</v>
      </c>
      <c r="R3319" s="2" t="s">
        <v>39</v>
      </c>
      <c r="S3319" s="2" t="s">
        <v>39</v>
      </c>
      <c r="T3319" s="2" t="s">
        <v>38</v>
      </c>
      <c r="U3319" s="2" t="s">
        <v>39</v>
      </c>
      <c r="V3319" s="2" t="s">
        <v>38</v>
      </c>
      <c r="W3319" s="2" t="s">
        <v>39</v>
      </c>
      <c r="X3319" s="2" t="s">
        <v>38</v>
      </c>
      <c r="Y3319" s="2" t="s">
        <v>39</v>
      </c>
      <c r="Z3319" s="2" t="s">
        <v>39</v>
      </c>
      <c r="AA3319" s="2" t="s">
        <v>39</v>
      </c>
      <c r="AB3319" s="2" t="s">
        <v>38</v>
      </c>
      <c r="AC3319" s="2" t="s">
        <v>39</v>
      </c>
      <c r="AD3319" s="2" t="s">
        <v>38</v>
      </c>
      <c r="AE3319" s="2" t="s">
        <v>40</v>
      </c>
    </row>
    <row r="3320" spans="1:31" ht="409.5">
      <c r="A3320" s="2">
        <v>2699068</v>
      </c>
      <c r="B3320" s="2">
        <f>HYPERLINK("https://platform.v2.vetology.net/cases/2699068/screening-report/1?type=pdf&amp;v=v6&amp;scorecard=1&amp;secret_key=BX%25IJ%24%2F65ieZ%29f6", 2699068)</f>
        <v>2699068</v>
      </c>
      <c r="C3320" s="2">
        <f>HYPERLINK("https://platform.v2.vetology.net/report/v/final/"&amp;2699068, 2699068)</f>
        <v>2699068</v>
      </c>
      <c r="D3320" s="2" t="s">
        <v>10528</v>
      </c>
      <c r="E3320" s="2" t="s">
        <v>10529</v>
      </c>
      <c r="F3320" s="2"/>
      <c r="G3320" s="2" t="s">
        <v>100</v>
      </c>
      <c r="H3320" s="2" t="s">
        <v>158</v>
      </c>
      <c r="I3320" s="2" t="s">
        <v>59</v>
      </c>
      <c r="J3320" s="2" t="s">
        <v>37</v>
      </c>
      <c r="K3320" s="2" t="s">
        <v>38</v>
      </c>
      <c r="L3320" s="2" t="s">
        <v>39</v>
      </c>
      <c r="M3320" s="2" t="s">
        <v>39</v>
      </c>
      <c r="N3320" s="2" t="s">
        <v>39</v>
      </c>
      <c r="O3320" s="2" t="s">
        <v>39</v>
      </c>
      <c r="P3320" s="2" t="s">
        <v>39</v>
      </c>
      <c r="Q3320" s="2" t="s">
        <v>39</v>
      </c>
      <c r="R3320" s="2" t="s">
        <v>39</v>
      </c>
      <c r="S3320" s="2" t="s">
        <v>39</v>
      </c>
      <c r="T3320" s="2" t="s">
        <v>38</v>
      </c>
      <c r="U3320" s="2" t="s">
        <v>39</v>
      </c>
      <c r="V3320" s="2" t="s">
        <v>38</v>
      </c>
      <c r="W3320" s="2" t="s">
        <v>39</v>
      </c>
      <c r="X3320" s="2" t="s">
        <v>39</v>
      </c>
      <c r="Y3320" s="2" t="s">
        <v>39</v>
      </c>
      <c r="Z3320" s="2" t="s">
        <v>39</v>
      </c>
      <c r="AA3320" s="2" t="s">
        <v>39</v>
      </c>
      <c r="AB3320" s="2" t="s">
        <v>39</v>
      </c>
      <c r="AC3320" s="2" t="s">
        <v>39</v>
      </c>
      <c r="AD3320" s="2" t="s">
        <v>39</v>
      </c>
      <c r="AE3320" s="2" t="s">
        <v>39</v>
      </c>
    </row>
    <row r="3321" spans="1:31" ht="409.5">
      <c r="A3321" s="2">
        <v>2699064</v>
      </c>
      <c r="B3321" s="2">
        <f>HYPERLINK("https://platform.v2.vetology.net/cases/2699064/screening-report/1?type=pdf&amp;v=v6&amp;scorecard=1&amp;secret_key=BX%25IJ%24%2F65ieZ%29f6", 2699064)</f>
        <v>2699064</v>
      </c>
      <c r="C3321" s="2">
        <f>HYPERLINK("https://platform.v2.vetology.net/report/v/final/"&amp;2699064, 2699064)</f>
        <v>2699064</v>
      </c>
      <c r="D3321" s="2" t="s">
        <v>302</v>
      </c>
      <c r="E3321" s="2" t="s">
        <v>99</v>
      </c>
      <c r="F3321" s="2"/>
      <c r="G3321" s="2" t="s">
        <v>100</v>
      </c>
      <c r="H3321" s="2" t="s">
        <v>10530</v>
      </c>
      <c r="I3321" s="2" t="s">
        <v>129</v>
      </c>
      <c r="J3321" s="2" t="s">
        <v>74</v>
      </c>
      <c r="K3321" s="2" t="s">
        <v>38</v>
      </c>
      <c r="L3321" s="2" t="s">
        <v>39</v>
      </c>
      <c r="M3321" s="2" t="s">
        <v>38</v>
      </c>
      <c r="N3321" s="2" t="s">
        <v>39</v>
      </c>
      <c r="O3321" s="2" t="s">
        <v>38</v>
      </c>
      <c r="P3321" s="2" t="s">
        <v>38</v>
      </c>
      <c r="Q3321" s="2" t="s">
        <v>38</v>
      </c>
      <c r="R3321" s="2" t="s">
        <v>39</v>
      </c>
      <c r="S3321" s="2" t="s">
        <v>39</v>
      </c>
      <c r="T3321" s="2" t="s">
        <v>38</v>
      </c>
      <c r="U3321" s="2" t="s">
        <v>39</v>
      </c>
      <c r="V3321" s="2" t="s">
        <v>38</v>
      </c>
      <c r="W3321" s="2" t="s">
        <v>38</v>
      </c>
      <c r="X3321" s="2" t="s">
        <v>38</v>
      </c>
      <c r="Y3321" s="2" t="s">
        <v>39</v>
      </c>
      <c r="Z3321" s="2" t="s">
        <v>38</v>
      </c>
      <c r="AA3321" s="2" t="s">
        <v>38</v>
      </c>
      <c r="AB3321" s="2" t="s">
        <v>38</v>
      </c>
      <c r="AC3321" s="2" t="s">
        <v>38</v>
      </c>
      <c r="AD3321" s="2" t="s">
        <v>38</v>
      </c>
      <c r="AE3321" s="2" t="s">
        <v>40</v>
      </c>
    </row>
    <row r="3322" spans="1:31" ht="409.5">
      <c r="A3322" s="2">
        <v>2699053</v>
      </c>
      <c r="B3322" s="2">
        <f>HYPERLINK("https://platform.v2.vetology.net/cases/2699053/screening-report/1?type=pdf&amp;v=v6&amp;scorecard=1&amp;secret_key=BX%25IJ%24%2F65ieZ%29f6", 2699053)</f>
        <v>2699053</v>
      </c>
      <c r="C3322" s="2">
        <f>HYPERLINK("https://platform.v2.vetology.net/report/v/final/"&amp;2699053, 2699053)</f>
        <v>2699053</v>
      </c>
      <c r="D3322" s="2" t="s">
        <v>10531</v>
      </c>
      <c r="E3322" s="2" t="s">
        <v>10532</v>
      </c>
      <c r="F3322" s="2"/>
      <c r="G3322" s="2" t="s">
        <v>81</v>
      </c>
      <c r="H3322" s="2" t="s">
        <v>10533</v>
      </c>
      <c r="I3322" s="2" t="s">
        <v>36</v>
      </c>
      <c r="J3322" s="2" t="s">
        <v>37</v>
      </c>
      <c r="K3322" s="2" t="s">
        <v>39</v>
      </c>
      <c r="L3322" s="2" t="s">
        <v>39</v>
      </c>
      <c r="M3322" s="2" t="s">
        <v>38</v>
      </c>
      <c r="N3322" s="2" t="s">
        <v>38</v>
      </c>
      <c r="O3322" s="2" t="s">
        <v>38</v>
      </c>
      <c r="P3322" s="2" t="s">
        <v>39</v>
      </c>
      <c r="Q3322" s="2" t="s">
        <v>39</v>
      </c>
      <c r="R3322" s="2" t="s">
        <v>39</v>
      </c>
      <c r="S3322" s="2" t="s">
        <v>39</v>
      </c>
      <c r="T3322" s="2" t="s">
        <v>38</v>
      </c>
      <c r="U3322" s="2" t="s">
        <v>39</v>
      </c>
      <c r="V3322" s="2" t="s">
        <v>39</v>
      </c>
      <c r="W3322" s="2" t="s">
        <v>38</v>
      </c>
      <c r="X3322" s="2" t="s">
        <v>39</v>
      </c>
      <c r="Y3322" s="2" t="s">
        <v>39</v>
      </c>
      <c r="Z3322" s="2" t="s">
        <v>39</v>
      </c>
      <c r="AA3322" s="2" t="s">
        <v>39</v>
      </c>
      <c r="AB3322" s="2" t="s">
        <v>39</v>
      </c>
      <c r="AC3322" s="2" t="s">
        <v>38</v>
      </c>
      <c r="AD3322" s="2" t="s">
        <v>39</v>
      </c>
      <c r="AE3322" s="2" t="s">
        <v>39</v>
      </c>
    </row>
    <row r="3323" spans="1:31" ht="409.5">
      <c r="A3323" s="2">
        <v>2699043</v>
      </c>
      <c r="B3323" s="2">
        <f>HYPERLINK("https://platform.v2.vetology.net/cases/2699043/screening-report/1?type=pdf&amp;v=v6&amp;scorecard=1&amp;secret_key=BX%25IJ%24%2F65ieZ%29f6", 2699043)</f>
        <v>2699043</v>
      </c>
      <c r="C3323" s="2">
        <f>HYPERLINK("https://platform.v2.vetology.net/report/v/final/"&amp;2699043, 2699043)</f>
        <v>2699043</v>
      </c>
      <c r="D3323" s="2" t="s">
        <v>10534</v>
      </c>
      <c r="E3323" s="2" t="s">
        <v>1091</v>
      </c>
      <c r="F3323" s="2" t="s">
        <v>787</v>
      </c>
      <c r="G3323" s="2" t="s">
        <v>100</v>
      </c>
      <c r="H3323" s="2" t="s">
        <v>449</v>
      </c>
      <c r="I3323" s="2" t="s">
        <v>36</v>
      </c>
      <c r="J3323" s="2" t="s">
        <v>37</v>
      </c>
      <c r="K3323" s="2" t="s">
        <v>39</v>
      </c>
      <c r="L3323" s="2" t="s">
        <v>38</v>
      </c>
      <c r="M3323" s="2" t="s">
        <v>39</v>
      </c>
      <c r="N3323" s="2" t="s">
        <v>38</v>
      </c>
      <c r="O3323" s="2" t="s">
        <v>38</v>
      </c>
      <c r="P3323" s="2" t="s">
        <v>39</v>
      </c>
      <c r="Q3323" s="2" t="s">
        <v>39</v>
      </c>
      <c r="R3323" s="2" t="s">
        <v>38</v>
      </c>
      <c r="S3323" s="2" t="s">
        <v>38</v>
      </c>
      <c r="T3323" s="2" t="s">
        <v>39</v>
      </c>
      <c r="U3323" s="2" t="s">
        <v>38</v>
      </c>
      <c r="V3323" s="2" t="s">
        <v>39</v>
      </c>
      <c r="W3323" s="2" t="s">
        <v>38</v>
      </c>
      <c r="X3323" s="2" t="s">
        <v>39</v>
      </c>
      <c r="Y3323" s="2" t="s">
        <v>39</v>
      </c>
      <c r="Z3323" s="2" t="s">
        <v>39</v>
      </c>
      <c r="AA3323" s="2" t="s">
        <v>38</v>
      </c>
      <c r="AB3323" s="2" t="s">
        <v>39</v>
      </c>
      <c r="AC3323" s="2" t="s">
        <v>38</v>
      </c>
      <c r="AD3323" s="2" t="s">
        <v>38</v>
      </c>
      <c r="AE3323" s="2" t="s">
        <v>39</v>
      </c>
    </row>
    <row r="3324" spans="1:31" ht="409.5">
      <c r="A3324" s="2">
        <v>2699031</v>
      </c>
      <c r="B3324" s="2">
        <f>HYPERLINK("https://platform.v2.vetology.net/cases/2699031/screening-report/1?type=pdf&amp;v=v6&amp;scorecard=1&amp;secret_key=BX%25IJ%24%2F65ieZ%29f6", 2699031)</f>
        <v>2699031</v>
      </c>
      <c r="C3324" s="2">
        <f>HYPERLINK("https://platform.v2.vetology.net/report/v/final/"&amp;2699031, 2699031)</f>
        <v>2699031</v>
      </c>
      <c r="D3324" s="2" t="s">
        <v>10535</v>
      </c>
      <c r="E3324" s="2" t="s">
        <v>10536</v>
      </c>
      <c r="F3324" s="2"/>
      <c r="G3324" s="2" t="s">
        <v>81</v>
      </c>
      <c r="H3324" s="2" t="s">
        <v>10537</v>
      </c>
      <c r="I3324" s="2" t="s">
        <v>73</v>
      </c>
      <c r="J3324" s="2" t="s">
        <v>74</v>
      </c>
      <c r="K3324" s="2" t="s">
        <v>38</v>
      </c>
      <c r="L3324" s="2" t="s">
        <v>38</v>
      </c>
      <c r="M3324" s="2" t="s">
        <v>38</v>
      </c>
      <c r="N3324" s="2" t="s">
        <v>38</v>
      </c>
      <c r="O3324" s="2" t="s">
        <v>38</v>
      </c>
      <c r="P3324" s="2" t="s">
        <v>38</v>
      </c>
      <c r="Q3324" s="2" t="s">
        <v>38</v>
      </c>
      <c r="R3324" s="2" t="s">
        <v>39</v>
      </c>
      <c r="S3324" s="2" t="s">
        <v>38</v>
      </c>
      <c r="T3324" s="2" t="s">
        <v>38</v>
      </c>
      <c r="U3324" s="2" t="s">
        <v>38</v>
      </c>
      <c r="V3324" s="2" t="s">
        <v>38</v>
      </c>
      <c r="W3324" s="2" t="s">
        <v>38</v>
      </c>
      <c r="X3324" s="2" t="s">
        <v>38</v>
      </c>
      <c r="Y3324" s="2" t="s">
        <v>39</v>
      </c>
      <c r="Z3324" s="2" t="s">
        <v>38</v>
      </c>
      <c r="AA3324" s="2" t="s">
        <v>38</v>
      </c>
      <c r="AB3324" s="2" t="s">
        <v>38</v>
      </c>
      <c r="AC3324" s="2" t="s">
        <v>38</v>
      </c>
      <c r="AD3324" s="2" t="s">
        <v>39</v>
      </c>
      <c r="AE3324" s="2" t="s">
        <v>40</v>
      </c>
    </row>
    <row r="3325" spans="1:31" ht="409.5">
      <c r="A3325" s="2">
        <v>2699023</v>
      </c>
      <c r="B3325" s="2">
        <f>HYPERLINK("https://platform.v2.vetology.net/cases/2699023/screening-report/1?type=pdf&amp;v=v6&amp;scorecard=1&amp;secret_key=BX%25IJ%24%2F65ieZ%29f6", 2699023)</f>
        <v>2699023</v>
      </c>
      <c r="C3325" s="2">
        <f>HYPERLINK("https://platform.v2.vetology.net/report/v/final/"&amp;2699023, 2699023)</f>
        <v>2699023</v>
      </c>
      <c r="D3325" s="2" t="s">
        <v>10538</v>
      </c>
      <c r="E3325" s="2" t="s">
        <v>10539</v>
      </c>
      <c r="F3325" s="2" t="s">
        <v>10540</v>
      </c>
      <c r="G3325" s="2" t="s">
        <v>53</v>
      </c>
      <c r="H3325" s="2" t="s">
        <v>394</v>
      </c>
      <c r="I3325" s="2" t="s">
        <v>59</v>
      </c>
      <c r="J3325" s="2" t="s">
        <v>37</v>
      </c>
      <c r="K3325" s="2" t="s">
        <v>38</v>
      </c>
      <c r="L3325" s="2" t="s">
        <v>39</v>
      </c>
      <c r="M3325" s="2" t="s">
        <v>39</v>
      </c>
      <c r="N3325" s="2" t="s">
        <v>39</v>
      </c>
      <c r="O3325" s="2" t="s">
        <v>39</v>
      </c>
      <c r="P3325" s="2" t="s">
        <v>39</v>
      </c>
      <c r="Q3325" s="2" t="s">
        <v>39</v>
      </c>
      <c r="R3325" s="2" t="s">
        <v>39</v>
      </c>
      <c r="S3325" s="2" t="s">
        <v>39</v>
      </c>
      <c r="T3325" s="2" t="s">
        <v>39</v>
      </c>
      <c r="U3325" s="2" t="s">
        <v>39</v>
      </c>
      <c r="V3325" s="2" t="s">
        <v>38</v>
      </c>
      <c r="W3325" s="2" t="s">
        <v>38</v>
      </c>
      <c r="X3325" s="2" t="s">
        <v>39</v>
      </c>
      <c r="Y3325" s="2" t="s">
        <v>38</v>
      </c>
      <c r="Z3325" s="2" t="s">
        <v>38</v>
      </c>
      <c r="AA3325" s="2" t="s">
        <v>39</v>
      </c>
      <c r="AB3325" s="2" t="s">
        <v>39</v>
      </c>
      <c r="AC3325" s="2" t="s">
        <v>38</v>
      </c>
      <c r="AD3325" s="2" t="s">
        <v>38</v>
      </c>
      <c r="AE3325" s="2" t="s">
        <v>39</v>
      </c>
    </row>
    <row r="3326" spans="1:31" ht="409.5">
      <c r="A3326" s="2">
        <v>2699011</v>
      </c>
      <c r="B3326" s="2">
        <f>HYPERLINK("https://platform.v2.vetology.net/cases/2699011/screening-report/1?type=pdf&amp;v=v6&amp;scorecard=1&amp;secret_key=BX%25IJ%24%2F65ieZ%29f6", 2699011)</f>
        <v>2699011</v>
      </c>
      <c r="C3326" s="2">
        <f>HYPERLINK("https://platform.v2.vetology.net/report/v/final/"&amp;2699011, 2699011)</f>
        <v>2699011</v>
      </c>
      <c r="D3326" s="2" t="s">
        <v>10541</v>
      </c>
      <c r="E3326" s="2" t="s">
        <v>10542</v>
      </c>
      <c r="F3326" s="2" t="s">
        <v>43</v>
      </c>
      <c r="G3326" s="2" t="s">
        <v>507</v>
      </c>
      <c r="H3326" s="2" t="s">
        <v>10543</v>
      </c>
      <c r="I3326" s="2" t="s">
        <v>73</v>
      </c>
      <c r="J3326" s="2" t="s">
        <v>74</v>
      </c>
      <c r="K3326" s="2" t="s">
        <v>38</v>
      </c>
      <c r="L3326" s="2" t="s">
        <v>38</v>
      </c>
      <c r="M3326" s="2" t="s">
        <v>38</v>
      </c>
      <c r="N3326" s="2" t="s">
        <v>38</v>
      </c>
      <c r="O3326" s="2" t="s">
        <v>38</v>
      </c>
      <c r="P3326" s="2" t="s">
        <v>38</v>
      </c>
      <c r="Q3326" s="2" t="s">
        <v>38</v>
      </c>
      <c r="R3326" s="2" t="s">
        <v>38</v>
      </c>
      <c r="S3326" s="2" t="s">
        <v>38</v>
      </c>
      <c r="T3326" s="2" t="s">
        <v>38</v>
      </c>
      <c r="U3326" s="2" t="s">
        <v>38</v>
      </c>
      <c r="V3326" s="2" t="s">
        <v>38</v>
      </c>
      <c r="W3326" s="2" t="s">
        <v>38</v>
      </c>
      <c r="X3326" s="2" t="s">
        <v>38</v>
      </c>
      <c r="Y3326" s="2" t="s">
        <v>38</v>
      </c>
      <c r="Z3326" s="2" t="s">
        <v>38</v>
      </c>
      <c r="AA3326" s="2" t="s">
        <v>38</v>
      </c>
      <c r="AB3326" s="2" t="s">
        <v>38</v>
      </c>
      <c r="AC3326" s="2" t="s">
        <v>38</v>
      </c>
      <c r="AD3326" s="2" t="s">
        <v>39</v>
      </c>
      <c r="AE3326" s="2" t="s">
        <v>40</v>
      </c>
    </row>
    <row r="3327" spans="1:31" ht="409.5">
      <c r="A3327" s="2">
        <v>2698996</v>
      </c>
      <c r="B3327" s="2">
        <f>HYPERLINK("https://platform.v2.vetology.net/cases/2698996/screening-report/1?type=pdf&amp;v=v6&amp;scorecard=1&amp;secret_key=BX%25IJ%24%2F65ieZ%29f6", 2698996)</f>
        <v>2698996</v>
      </c>
      <c r="C3327" s="2">
        <f>HYPERLINK("https://platform.v2.vetology.net/report/v/final/"&amp;2698996, 2698996)</f>
        <v>2698996</v>
      </c>
      <c r="D3327" s="2" t="s">
        <v>10544</v>
      </c>
      <c r="E3327" s="2" t="s">
        <v>10545</v>
      </c>
      <c r="F3327" s="2" t="s">
        <v>10546</v>
      </c>
      <c r="G3327" s="2" t="s">
        <v>145</v>
      </c>
      <c r="H3327" s="2" t="s">
        <v>10547</v>
      </c>
      <c r="I3327" s="2" t="s">
        <v>257</v>
      </c>
      <c r="J3327" s="2" t="s">
        <v>74</v>
      </c>
      <c r="K3327" s="2" t="s">
        <v>38</v>
      </c>
      <c r="L3327" s="2" t="s">
        <v>38</v>
      </c>
      <c r="M3327" s="2" t="s">
        <v>38</v>
      </c>
      <c r="N3327" s="2" t="s">
        <v>38</v>
      </c>
      <c r="O3327" s="2" t="s">
        <v>38</v>
      </c>
      <c r="P3327" s="2" t="s">
        <v>38</v>
      </c>
      <c r="Q3327" s="2" t="s">
        <v>38</v>
      </c>
      <c r="R3327" s="2" t="s">
        <v>38</v>
      </c>
      <c r="S3327" s="2" t="s">
        <v>38</v>
      </c>
      <c r="T3327" s="2" t="s">
        <v>38</v>
      </c>
      <c r="U3327" s="2" t="s">
        <v>38</v>
      </c>
      <c r="V3327" s="2" t="s">
        <v>38</v>
      </c>
      <c r="W3327" s="2" t="s">
        <v>38</v>
      </c>
      <c r="X3327" s="2" t="s">
        <v>38</v>
      </c>
      <c r="Y3327" s="2" t="s">
        <v>38</v>
      </c>
      <c r="Z3327" s="2" t="s">
        <v>38</v>
      </c>
      <c r="AA3327" s="2" t="s">
        <v>38</v>
      </c>
      <c r="AB3327" s="2" t="s">
        <v>38</v>
      </c>
      <c r="AC3327" s="2" t="s">
        <v>38</v>
      </c>
      <c r="AD3327" s="2" t="s">
        <v>38</v>
      </c>
      <c r="AE3327" s="2" t="s">
        <v>40</v>
      </c>
    </row>
    <row r="3328" spans="1:31" ht="409.5">
      <c r="A3328" s="2">
        <v>2698981</v>
      </c>
      <c r="B3328" s="2">
        <f>HYPERLINK("https://platform.v2.vetology.net/cases/2698981/screening-report/1?type=pdf&amp;v=v6&amp;scorecard=1&amp;secret_key=BX%25IJ%24%2F65ieZ%29f6", 2698981)</f>
        <v>2698981</v>
      </c>
      <c r="C3328" s="2">
        <f>HYPERLINK("https://platform.v2.vetology.net/report/v/final/"&amp;2698981, 2698981)</f>
        <v>2698981</v>
      </c>
      <c r="D3328" s="2" t="s">
        <v>10548</v>
      </c>
      <c r="E3328" s="2" t="s">
        <v>10549</v>
      </c>
      <c r="F3328" s="2" t="s">
        <v>3177</v>
      </c>
      <c r="G3328" s="2" t="s">
        <v>111</v>
      </c>
      <c r="H3328" s="2" t="s">
        <v>10550</v>
      </c>
      <c r="I3328" s="2" t="s">
        <v>73</v>
      </c>
      <c r="J3328" s="2" t="s">
        <v>74</v>
      </c>
      <c r="K3328" s="2" t="s">
        <v>38</v>
      </c>
      <c r="L3328" s="2" t="s">
        <v>38</v>
      </c>
      <c r="M3328" s="2" t="s">
        <v>38</v>
      </c>
      <c r="N3328" s="2" t="s">
        <v>38</v>
      </c>
      <c r="O3328" s="2" t="s">
        <v>38</v>
      </c>
      <c r="P3328" s="2" t="s">
        <v>38</v>
      </c>
      <c r="Q3328" s="2" t="s">
        <v>38</v>
      </c>
      <c r="R3328" s="2" t="s">
        <v>38</v>
      </c>
      <c r="S3328" s="2" t="s">
        <v>38</v>
      </c>
      <c r="T3328" s="2" t="s">
        <v>38</v>
      </c>
      <c r="U3328" s="2" t="s">
        <v>38</v>
      </c>
      <c r="V3328" s="2" t="s">
        <v>38</v>
      </c>
      <c r="W3328" s="2" t="s">
        <v>38</v>
      </c>
      <c r="X3328" s="2" t="s">
        <v>38</v>
      </c>
      <c r="Y3328" s="2" t="s">
        <v>38</v>
      </c>
      <c r="Z3328" s="2" t="s">
        <v>38</v>
      </c>
      <c r="AA3328" s="2" t="s">
        <v>38</v>
      </c>
      <c r="AB3328" s="2" t="s">
        <v>38</v>
      </c>
      <c r="AC3328" s="2" t="s">
        <v>38</v>
      </c>
      <c r="AD3328" s="2" t="s">
        <v>38</v>
      </c>
      <c r="AE3328" s="2" t="s">
        <v>40</v>
      </c>
    </row>
    <row r="3329" spans="1:31" ht="409.5">
      <c r="A3329" s="2">
        <v>2698951</v>
      </c>
      <c r="B3329" s="2">
        <f>HYPERLINK("https://platform.v2.vetology.net/cases/2698951/screening-report/1?type=pdf&amp;v=v6&amp;scorecard=1&amp;secret_key=BX%25IJ%24%2F65ieZ%29f6", 2698951)</f>
        <v>2698951</v>
      </c>
      <c r="C3329" s="2">
        <f>HYPERLINK("https://platform.v2.vetology.net/report/v/final/"&amp;2698951, 2698951)</f>
        <v>2698951</v>
      </c>
      <c r="D3329" s="2" t="s">
        <v>10551</v>
      </c>
      <c r="E3329" s="2" t="s">
        <v>2188</v>
      </c>
      <c r="F3329" s="2" t="s">
        <v>2725</v>
      </c>
      <c r="G3329" s="2" t="s">
        <v>170</v>
      </c>
      <c r="H3329" s="2" t="s">
        <v>62</v>
      </c>
      <c r="I3329" s="2" t="s">
        <v>46</v>
      </c>
      <c r="J3329" s="2"/>
      <c r="K3329" s="2" t="s">
        <v>39</v>
      </c>
      <c r="L3329" s="2" t="s">
        <v>39</v>
      </c>
      <c r="M3329" s="2" t="s">
        <v>39</v>
      </c>
      <c r="N3329" s="2" t="s">
        <v>39</v>
      </c>
      <c r="O3329" s="2" t="s">
        <v>39</v>
      </c>
      <c r="P3329" s="2" t="s">
        <v>39</v>
      </c>
      <c r="Q3329" s="2" t="s">
        <v>39</v>
      </c>
      <c r="R3329" s="2" t="s">
        <v>38</v>
      </c>
      <c r="S3329" s="2" t="s">
        <v>38</v>
      </c>
      <c r="T3329" s="2" t="s">
        <v>39</v>
      </c>
      <c r="U3329" s="2" t="s">
        <v>39</v>
      </c>
      <c r="V3329" s="2" t="s">
        <v>39</v>
      </c>
      <c r="W3329" s="2" t="s">
        <v>39</v>
      </c>
      <c r="X3329" s="2" t="s">
        <v>39</v>
      </c>
      <c r="Y3329" s="2" t="s">
        <v>39</v>
      </c>
      <c r="Z3329" s="2" t="s">
        <v>39</v>
      </c>
      <c r="AA3329" s="2" t="s">
        <v>39</v>
      </c>
      <c r="AB3329" s="2" t="s">
        <v>39</v>
      </c>
      <c r="AC3329" s="2" t="s">
        <v>38</v>
      </c>
      <c r="AD3329" s="2" t="s">
        <v>38</v>
      </c>
      <c r="AE3329" s="2" t="s">
        <v>39</v>
      </c>
    </row>
    <row r="3330" spans="1:31" ht="409.5">
      <c r="A3330" s="2">
        <v>2698938</v>
      </c>
      <c r="B3330" s="2">
        <f>HYPERLINK("https://platform.v2.vetology.net/cases/2698938/screening-report/1?type=pdf&amp;v=v6&amp;scorecard=1&amp;secret_key=BX%25IJ%24%2F65ieZ%29f6", 2698938)</f>
        <v>2698938</v>
      </c>
      <c r="C3330" s="2">
        <f>HYPERLINK("https://platform.v2.vetology.net/report/v/final/"&amp;2698938, 2698938)</f>
        <v>2698938</v>
      </c>
      <c r="D3330" s="2" t="s">
        <v>10552</v>
      </c>
      <c r="E3330" s="2" t="s">
        <v>10553</v>
      </c>
      <c r="F3330" s="2" t="s">
        <v>10554</v>
      </c>
      <c r="G3330" s="2" t="s">
        <v>111</v>
      </c>
      <c r="H3330" s="2" t="s">
        <v>10555</v>
      </c>
      <c r="I3330" s="2" t="s">
        <v>73</v>
      </c>
      <c r="J3330" s="2" t="s">
        <v>74</v>
      </c>
      <c r="K3330" s="2" t="s">
        <v>38</v>
      </c>
      <c r="L3330" s="2" t="s">
        <v>38</v>
      </c>
      <c r="M3330" s="2" t="s">
        <v>38</v>
      </c>
      <c r="N3330" s="2" t="s">
        <v>38</v>
      </c>
      <c r="O3330" s="2" t="s">
        <v>38</v>
      </c>
      <c r="P3330" s="2" t="s">
        <v>38</v>
      </c>
      <c r="Q3330" s="2" t="s">
        <v>38</v>
      </c>
      <c r="R3330" s="2" t="s">
        <v>39</v>
      </c>
      <c r="S3330" s="2" t="s">
        <v>38</v>
      </c>
      <c r="T3330" s="2" t="s">
        <v>38</v>
      </c>
      <c r="U3330" s="2" t="s">
        <v>38</v>
      </c>
      <c r="V3330" s="2" t="s">
        <v>38</v>
      </c>
      <c r="W3330" s="2" t="s">
        <v>38</v>
      </c>
      <c r="X3330" s="2" t="s">
        <v>38</v>
      </c>
      <c r="Y3330" s="2" t="s">
        <v>39</v>
      </c>
      <c r="Z3330" s="2" t="s">
        <v>38</v>
      </c>
      <c r="AA3330" s="2" t="s">
        <v>38</v>
      </c>
      <c r="AB3330" s="2" t="s">
        <v>38</v>
      </c>
      <c r="AC3330" s="2" t="s">
        <v>38</v>
      </c>
      <c r="AD3330" s="2" t="s">
        <v>39</v>
      </c>
      <c r="AE3330" s="2" t="s">
        <v>40</v>
      </c>
    </row>
    <row r="3331" spans="1:31" ht="409.5">
      <c r="A3331" s="2">
        <v>2698932</v>
      </c>
      <c r="B3331" s="2">
        <f>HYPERLINK("https://platform.v2.vetology.net/cases/2698932/screening-report/1?type=pdf&amp;v=v6&amp;scorecard=1&amp;secret_key=BX%25IJ%24%2F65ieZ%29f6", 2698932)</f>
        <v>2698932</v>
      </c>
      <c r="C3331" s="2">
        <f>HYPERLINK("https://platform.v2.vetology.net/report/v/final/"&amp;2698932, 2698932)</f>
        <v>2698932</v>
      </c>
      <c r="D3331" s="2" t="s">
        <v>10556</v>
      </c>
      <c r="E3331" s="2" t="s">
        <v>10557</v>
      </c>
      <c r="F3331" s="2" t="s">
        <v>10558</v>
      </c>
      <c r="G3331" s="2" t="s">
        <v>111</v>
      </c>
      <c r="H3331" s="2" t="s">
        <v>6654</v>
      </c>
      <c r="I3331" s="2" t="s">
        <v>36</v>
      </c>
      <c r="J3331" s="2" t="s">
        <v>37</v>
      </c>
      <c r="K3331" s="2" t="s">
        <v>38</v>
      </c>
      <c r="L3331" s="2" t="s">
        <v>39</v>
      </c>
      <c r="M3331" s="2" t="s">
        <v>38</v>
      </c>
      <c r="N3331" s="2" t="s">
        <v>39</v>
      </c>
      <c r="O3331" s="2" t="s">
        <v>38</v>
      </c>
      <c r="P3331" s="2" t="s">
        <v>39</v>
      </c>
      <c r="Q3331" s="2" t="s">
        <v>39</v>
      </c>
      <c r="R3331" s="2" t="s">
        <v>38</v>
      </c>
      <c r="S3331" s="2" t="s">
        <v>38</v>
      </c>
      <c r="T3331" s="2" t="s">
        <v>38</v>
      </c>
      <c r="U3331" s="2" t="s">
        <v>39</v>
      </c>
      <c r="V3331" s="2" t="s">
        <v>38</v>
      </c>
      <c r="W3331" s="2" t="s">
        <v>38</v>
      </c>
      <c r="X3331" s="2" t="s">
        <v>39</v>
      </c>
      <c r="Y3331" s="2" t="s">
        <v>39</v>
      </c>
      <c r="Z3331" s="2" t="s">
        <v>38</v>
      </c>
      <c r="AA3331" s="2" t="s">
        <v>39</v>
      </c>
      <c r="AB3331" s="2" t="s">
        <v>39</v>
      </c>
      <c r="AC3331" s="2" t="s">
        <v>38</v>
      </c>
      <c r="AD3331" s="2" t="s">
        <v>38</v>
      </c>
      <c r="AE3331" s="2" t="s">
        <v>40</v>
      </c>
    </row>
    <row r="3332" spans="1:31" ht="409.5">
      <c r="A3332" s="2">
        <v>2698920</v>
      </c>
      <c r="B3332" s="2">
        <f>HYPERLINK("https://platform.v2.vetology.net/cases/2698920/screening-report/1?type=pdf&amp;v=v6&amp;scorecard=1&amp;secret_key=BX%25IJ%24%2F65ieZ%29f6", 2698920)</f>
        <v>2698920</v>
      </c>
      <c r="C3332" s="2">
        <f>HYPERLINK("https://platform.v2.vetology.net/report/v/final/"&amp;2698920, 2698920)</f>
        <v>2698920</v>
      </c>
      <c r="D3332" s="2" t="s">
        <v>10559</v>
      </c>
      <c r="E3332" s="2" t="s">
        <v>10560</v>
      </c>
      <c r="F3332" s="2" t="s">
        <v>10561</v>
      </c>
      <c r="G3332" s="2" t="s">
        <v>556</v>
      </c>
      <c r="H3332" s="2" t="s">
        <v>273</v>
      </c>
      <c r="I3332" s="2" t="s">
        <v>46</v>
      </c>
      <c r="J3332" s="2"/>
      <c r="K3332" s="2" t="s">
        <v>39</v>
      </c>
      <c r="L3332" s="2" t="s">
        <v>39</v>
      </c>
      <c r="M3332" s="2" t="s">
        <v>39</v>
      </c>
      <c r="N3332" s="2" t="s">
        <v>39</v>
      </c>
      <c r="O3332" s="2" t="s">
        <v>39</v>
      </c>
      <c r="P3332" s="2" t="s">
        <v>39</v>
      </c>
      <c r="Q3332" s="2" t="s">
        <v>39</v>
      </c>
      <c r="R3332" s="2" t="s">
        <v>39</v>
      </c>
      <c r="S3332" s="2" t="s">
        <v>38</v>
      </c>
      <c r="T3332" s="2" t="s">
        <v>39</v>
      </c>
      <c r="U3332" s="2" t="s">
        <v>39</v>
      </c>
      <c r="V3332" s="2" t="s">
        <v>39</v>
      </c>
      <c r="W3332" s="2" t="s">
        <v>38</v>
      </c>
      <c r="X3332" s="2" t="s">
        <v>39</v>
      </c>
      <c r="Y3332" s="2" t="s">
        <v>39</v>
      </c>
      <c r="Z3332" s="2" t="s">
        <v>39</v>
      </c>
      <c r="AA3332" s="2" t="s">
        <v>38</v>
      </c>
      <c r="AB3332" s="2" t="s">
        <v>39</v>
      </c>
      <c r="AC3332" s="2" t="s">
        <v>38</v>
      </c>
      <c r="AD3332" s="2" t="s">
        <v>39</v>
      </c>
      <c r="AE3332" s="2" t="s">
        <v>39</v>
      </c>
    </row>
    <row r="3333" spans="1:31" ht="409.5">
      <c r="A3333" s="2">
        <v>2698912</v>
      </c>
      <c r="B3333" s="2">
        <f>HYPERLINK("https://platform.v2.vetology.net/cases/2698912/screening-report/1?type=pdf&amp;v=v6&amp;scorecard=1&amp;secret_key=BX%25IJ%24%2F65ieZ%29f6", 2698912)</f>
        <v>2698912</v>
      </c>
      <c r="C3333" s="2">
        <f>HYPERLINK("https://platform.v2.vetology.net/report/v/final/"&amp;2698912, 2698912)</f>
        <v>2698912</v>
      </c>
      <c r="D3333" s="2" t="s">
        <v>10562</v>
      </c>
      <c r="E3333" s="2" t="s">
        <v>10563</v>
      </c>
      <c r="F3333" s="2" t="s">
        <v>2434</v>
      </c>
      <c r="G3333" s="2" t="s">
        <v>111</v>
      </c>
      <c r="H3333" s="2" t="s">
        <v>10564</v>
      </c>
      <c r="I3333" s="2" t="s">
        <v>36</v>
      </c>
      <c r="J3333" s="2" t="s">
        <v>37</v>
      </c>
      <c r="K3333" s="2" t="s">
        <v>39</v>
      </c>
      <c r="L3333" s="2" t="s">
        <v>38</v>
      </c>
      <c r="M3333" s="2" t="s">
        <v>39</v>
      </c>
      <c r="N3333" s="2" t="s">
        <v>38</v>
      </c>
      <c r="O3333" s="2" t="s">
        <v>38</v>
      </c>
      <c r="P3333" s="2" t="s">
        <v>39</v>
      </c>
      <c r="Q3333" s="2" t="s">
        <v>39</v>
      </c>
      <c r="R3333" s="2" t="s">
        <v>39</v>
      </c>
      <c r="S3333" s="2" t="s">
        <v>38</v>
      </c>
      <c r="T3333" s="2" t="s">
        <v>38</v>
      </c>
      <c r="U3333" s="2" t="s">
        <v>38</v>
      </c>
      <c r="V3333" s="2" t="s">
        <v>38</v>
      </c>
      <c r="W3333" s="2" t="s">
        <v>38</v>
      </c>
      <c r="X3333" s="2" t="s">
        <v>39</v>
      </c>
      <c r="Y3333" s="2" t="s">
        <v>39</v>
      </c>
      <c r="Z3333" s="2" t="s">
        <v>38</v>
      </c>
      <c r="AA3333" s="2" t="s">
        <v>38</v>
      </c>
      <c r="AB3333" s="2" t="s">
        <v>39</v>
      </c>
      <c r="AC3333" s="2" t="s">
        <v>38</v>
      </c>
      <c r="AD3333" s="2" t="s">
        <v>38</v>
      </c>
      <c r="AE3333" s="2" t="s">
        <v>39</v>
      </c>
    </row>
    <row r="3334" spans="1:31" ht="409.5">
      <c r="A3334" s="2">
        <v>2698883</v>
      </c>
      <c r="B3334" s="2">
        <f>HYPERLINK("https://platform.v2.vetology.net/cases/2698883/screening-report/1?type=pdf&amp;v=v6&amp;scorecard=1&amp;secret_key=BX%25IJ%24%2F65ieZ%29f6", 2698883)</f>
        <v>2698883</v>
      </c>
      <c r="C3334" s="2">
        <f>HYPERLINK("https://platform.v2.vetology.net/report/v/final/"&amp;2698883, 2698883)</f>
        <v>2698883</v>
      </c>
      <c r="D3334" s="2" t="s">
        <v>10565</v>
      </c>
      <c r="E3334" s="2" t="s">
        <v>10566</v>
      </c>
      <c r="F3334" s="2" t="s">
        <v>10567</v>
      </c>
      <c r="G3334" s="2" t="s">
        <v>53</v>
      </c>
      <c r="H3334" s="2" t="s">
        <v>45</v>
      </c>
      <c r="I3334" s="2" t="s">
        <v>46</v>
      </c>
      <c r="J3334" s="2"/>
      <c r="K3334" s="2" t="s">
        <v>39</v>
      </c>
      <c r="L3334" s="2" t="s">
        <v>39</v>
      </c>
      <c r="M3334" s="2" t="s">
        <v>39</v>
      </c>
      <c r="N3334" s="2" t="s">
        <v>39</v>
      </c>
      <c r="O3334" s="2" t="s">
        <v>39</v>
      </c>
      <c r="P3334" s="2" t="s">
        <v>39</v>
      </c>
      <c r="Q3334" s="2" t="s">
        <v>39</v>
      </c>
      <c r="R3334" s="2" t="s">
        <v>38</v>
      </c>
      <c r="S3334" s="2" t="s">
        <v>39</v>
      </c>
      <c r="T3334" s="2" t="s">
        <v>39</v>
      </c>
      <c r="U3334" s="2" t="s">
        <v>39</v>
      </c>
      <c r="V3334" s="2" t="s">
        <v>39</v>
      </c>
      <c r="W3334" s="2" t="s">
        <v>39</v>
      </c>
      <c r="X3334" s="2" t="s">
        <v>39</v>
      </c>
      <c r="Y3334" s="2" t="s">
        <v>39</v>
      </c>
      <c r="Z3334" s="2" t="s">
        <v>39</v>
      </c>
      <c r="AA3334" s="2" t="s">
        <v>39</v>
      </c>
      <c r="AB3334" s="2" t="s">
        <v>39</v>
      </c>
      <c r="AC3334" s="2" t="s">
        <v>39</v>
      </c>
      <c r="AD3334" s="2" t="s">
        <v>39</v>
      </c>
      <c r="AE3334" s="2" t="s">
        <v>39</v>
      </c>
    </row>
    <row r="3335" spans="1:31" ht="409.5">
      <c r="A3335" s="2">
        <v>2698868</v>
      </c>
      <c r="B3335" s="2">
        <f>HYPERLINK("https://platform.v2.vetology.net/cases/2698868/screening-report/1?type=pdf&amp;v=v6&amp;scorecard=1&amp;secret_key=BX%25IJ%24%2F65ieZ%29f6", 2698868)</f>
        <v>2698868</v>
      </c>
      <c r="C3335" s="2">
        <f>HYPERLINK("https://platform.v2.vetology.net/report/v/final/"&amp;2698868, 2698868)</f>
        <v>2698868</v>
      </c>
      <c r="D3335" s="2" t="s">
        <v>10568</v>
      </c>
      <c r="E3335" s="2" t="s">
        <v>10569</v>
      </c>
      <c r="F3335" s="2" t="s">
        <v>10570</v>
      </c>
      <c r="G3335" s="2" t="s">
        <v>100</v>
      </c>
      <c r="H3335" s="2" t="s">
        <v>10571</v>
      </c>
      <c r="I3335" s="2" t="s">
        <v>73</v>
      </c>
      <c r="J3335" s="2" t="s">
        <v>74</v>
      </c>
      <c r="K3335" s="2" t="s">
        <v>38</v>
      </c>
      <c r="L3335" s="2" t="s">
        <v>38</v>
      </c>
      <c r="M3335" s="2" t="s">
        <v>38</v>
      </c>
      <c r="N3335" s="2" t="s">
        <v>38</v>
      </c>
      <c r="O3335" s="2" t="s">
        <v>38</v>
      </c>
      <c r="P3335" s="2" t="s">
        <v>38</v>
      </c>
      <c r="Q3335" s="2" t="s">
        <v>38</v>
      </c>
      <c r="R3335" s="2" t="s">
        <v>38</v>
      </c>
      <c r="S3335" s="2" t="s">
        <v>38</v>
      </c>
      <c r="T3335" s="2" t="s">
        <v>38</v>
      </c>
      <c r="U3335" s="2" t="s">
        <v>38</v>
      </c>
      <c r="V3335" s="2" t="s">
        <v>38</v>
      </c>
      <c r="W3335" s="2" t="s">
        <v>38</v>
      </c>
      <c r="X3335" s="2" t="s">
        <v>38</v>
      </c>
      <c r="Y3335" s="2" t="s">
        <v>39</v>
      </c>
      <c r="Z3335" s="2" t="s">
        <v>38</v>
      </c>
      <c r="AA3335" s="2" t="s">
        <v>38</v>
      </c>
      <c r="AB3335" s="2" t="s">
        <v>38</v>
      </c>
      <c r="AC3335" s="2" t="s">
        <v>38</v>
      </c>
      <c r="AD3335" s="2" t="s">
        <v>38</v>
      </c>
      <c r="AE3335" s="2" t="s">
        <v>39</v>
      </c>
    </row>
    <row r="3336" spans="1:31" ht="409.5">
      <c r="A3336" s="2">
        <v>2698858</v>
      </c>
      <c r="B3336" s="2">
        <f>HYPERLINK("https://platform.v2.vetology.net/cases/2698858/screening-report/1?type=pdf&amp;v=v6&amp;scorecard=1&amp;secret_key=BX%25IJ%24%2F65ieZ%29f6", 2698858)</f>
        <v>2698858</v>
      </c>
      <c r="C3336" s="2">
        <f>HYPERLINK("https://platform.v2.vetology.net/report/v/final/"&amp;2698858, 2698858)</f>
        <v>2698858</v>
      </c>
      <c r="D3336" s="2" t="s">
        <v>10572</v>
      </c>
      <c r="E3336" s="2" t="s">
        <v>10573</v>
      </c>
      <c r="F3336" s="2" t="s">
        <v>10574</v>
      </c>
      <c r="G3336" s="2" t="s">
        <v>251</v>
      </c>
      <c r="H3336" s="2" t="s">
        <v>10575</v>
      </c>
      <c r="I3336" s="2" t="s">
        <v>36</v>
      </c>
      <c r="J3336" s="2" t="s">
        <v>37</v>
      </c>
      <c r="K3336" s="2" t="s">
        <v>39</v>
      </c>
      <c r="L3336" s="2" t="s">
        <v>38</v>
      </c>
      <c r="M3336" s="2" t="s">
        <v>39</v>
      </c>
      <c r="N3336" s="2" t="s">
        <v>39</v>
      </c>
      <c r="O3336" s="2" t="s">
        <v>38</v>
      </c>
      <c r="P3336" s="2" t="s">
        <v>39</v>
      </c>
      <c r="Q3336" s="2" t="s">
        <v>39</v>
      </c>
      <c r="R3336" s="2" t="s">
        <v>39</v>
      </c>
      <c r="S3336" s="2" t="s">
        <v>38</v>
      </c>
      <c r="T3336" s="2" t="s">
        <v>39</v>
      </c>
      <c r="U3336" s="2" t="s">
        <v>39</v>
      </c>
      <c r="V3336" s="2" t="s">
        <v>39</v>
      </c>
      <c r="W3336" s="2" t="s">
        <v>39</v>
      </c>
      <c r="X3336" s="2" t="s">
        <v>39</v>
      </c>
      <c r="Y3336" s="2" t="s">
        <v>39</v>
      </c>
      <c r="Z3336" s="2" t="s">
        <v>39</v>
      </c>
      <c r="AA3336" s="2" t="s">
        <v>39</v>
      </c>
      <c r="AB3336" s="2" t="s">
        <v>39</v>
      </c>
      <c r="AC3336" s="2" t="s">
        <v>39</v>
      </c>
      <c r="AD3336" s="2" t="s">
        <v>38</v>
      </c>
      <c r="AE3336" s="2" t="s">
        <v>39</v>
      </c>
    </row>
    <row r="3337" spans="1:31" ht="409.5">
      <c r="A3337" s="2">
        <v>2698809</v>
      </c>
      <c r="B3337" s="2">
        <f>HYPERLINK("https://platform.v2.vetology.net/cases/2698809/screening-report/1?type=pdf&amp;v=v6&amp;scorecard=1&amp;secret_key=BX%25IJ%24%2F65ieZ%29f6", 2698809)</f>
        <v>2698809</v>
      </c>
      <c r="C3337" s="2">
        <f>HYPERLINK("https://platform.v2.vetology.net/report/v/final/"&amp;2698809, 2698809)</f>
        <v>2698809</v>
      </c>
      <c r="D3337" s="2" t="s">
        <v>10576</v>
      </c>
      <c r="E3337" s="2" t="s">
        <v>10577</v>
      </c>
      <c r="F3337" s="2" t="s">
        <v>43</v>
      </c>
      <c r="G3337" s="2" t="s">
        <v>507</v>
      </c>
      <c r="H3337" s="2" t="s">
        <v>10578</v>
      </c>
      <c r="I3337" s="2" t="s">
        <v>129</v>
      </c>
      <c r="J3337" s="2" t="s">
        <v>74</v>
      </c>
      <c r="K3337" s="2" t="s">
        <v>38</v>
      </c>
      <c r="L3337" s="2" t="s">
        <v>39</v>
      </c>
      <c r="M3337" s="2" t="s">
        <v>38</v>
      </c>
      <c r="N3337" s="2" t="s">
        <v>38</v>
      </c>
      <c r="O3337" s="2" t="s">
        <v>39</v>
      </c>
      <c r="P3337" s="2" t="s">
        <v>39</v>
      </c>
      <c r="Q3337" s="2" t="s">
        <v>38</v>
      </c>
      <c r="R3337" s="2" t="s">
        <v>39</v>
      </c>
      <c r="S3337" s="2" t="s">
        <v>39</v>
      </c>
      <c r="T3337" s="2" t="s">
        <v>38</v>
      </c>
      <c r="U3337" s="2" t="s">
        <v>38</v>
      </c>
      <c r="V3337" s="2" t="s">
        <v>38</v>
      </c>
      <c r="W3337" s="2" t="s">
        <v>38</v>
      </c>
      <c r="X3337" s="2" t="s">
        <v>39</v>
      </c>
      <c r="Y3337" s="2" t="s">
        <v>39</v>
      </c>
      <c r="Z3337" s="2" t="s">
        <v>38</v>
      </c>
      <c r="AA3337" s="2" t="s">
        <v>38</v>
      </c>
      <c r="AB3337" s="2" t="s">
        <v>39</v>
      </c>
      <c r="AC3337" s="2" t="s">
        <v>39</v>
      </c>
      <c r="AD3337" s="2" t="s">
        <v>39</v>
      </c>
      <c r="AE3337" s="2" t="s">
        <v>40</v>
      </c>
    </row>
    <row r="3338" spans="1:31" ht="409.5">
      <c r="A3338" s="2">
        <v>2698803</v>
      </c>
      <c r="B3338" s="2">
        <f>HYPERLINK("https://platform.v2.vetology.net/cases/2698803/screening-report/1?type=pdf&amp;v=v6&amp;scorecard=1&amp;secret_key=BX%25IJ%24%2F65ieZ%29f6", 2698803)</f>
        <v>2698803</v>
      </c>
      <c r="C3338" s="2">
        <f>HYPERLINK("https://platform.v2.vetology.net/report/v/final/"&amp;2698803, 2698803)</f>
        <v>2698803</v>
      </c>
      <c r="D3338" s="2" t="s">
        <v>10579</v>
      </c>
      <c r="E3338" s="2" t="s">
        <v>10580</v>
      </c>
      <c r="F3338" s="2" t="s">
        <v>10581</v>
      </c>
      <c r="G3338" s="2" t="s">
        <v>100</v>
      </c>
      <c r="H3338" s="2" t="s">
        <v>10582</v>
      </c>
      <c r="I3338" s="2" t="s">
        <v>73</v>
      </c>
      <c r="J3338" s="2" t="s">
        <v>74</v>
      </c>
      <c r="K3338" s="2" t="s">
        <v>38</v>
      </c>
      <c r="L3338" s="2" t="s">
        <v>39</v>
      </c>
      <c r="M3338" s="2" t="s">
        <v>38</v>
      </c>
      <c r="N3338" s="2" t="s">
        <v>38</v>
      </c>
      <c r="O3338" s="2" t="s">
        <v>38</v>
      </c>
      <c r="P3338" s="2" t="s">
        <v>39</v>
      </c>
      <c r="Q3338" s="2" t="s">
        <v>38</v>
      </c>
      <c r="R3338" s="2" t="s">
        <v>39</v>
      </c>
      <c r="S3338" s="2" t="s">
        <v>39</v>
      </c>
      <c r="T3338" s="2" t="s">
        <v>39</v>
      </c>
      <c r="U3338" s="2" t="s">
        <v>38</v>
      </c>
      <c r="V3338" s="2" t="s">
        <v>38</v>
      </c>
      <c r="W3338" s="2" t="s">
        <v>39</v>
      </c>
      <c r="X3338" s="2" t="s">
        <v>38</v>
      </c>
      <c r="Y3338" s="2" t="s">
        <v>39</v>
      </c>
      <c r="Z3338" s="2" t="s">
        <v>39</v>
      </c>
      <c r="AA3338" s="2" t="s">
        <v>38</v>
      </c>
      <c r="AB3338" s="2" t="s">
        <v>38</v>
      </c>
      <c r="AC3338" s="2" t="s">
        <v>38</v>
      </c>
      <c r="AD3338" s="2" t="s">
        <v>39</v>
      </c>
      <c r="AE3338" s="2" t="s">
        <v>40</v>
      </c>
    </row>
    <row r="3339" spans="1:31" ht="409.5">
      <c r="A3339" s="2">
        <v>2698790</v>
      </c>
      <c r="B3339" s="2">
        <f>HYPERLINK("https://platform.v2.vetology.net/cases/2698790/screening-report/1?type=pdf&amp;v=v6&amp;scorecard=1&amp;secret_key=BX%25IJ%24%2F65ieZ%29f6", 2698790)</f>
        <v>2698790</v>
      </c>
      <c r="C3339" s="2">
        <f>HYPERLINK("https://platform.v2.vetology.net/report/v/final/"&amp;2698790, 2698790)</f>
        <v>2698790</v>
      </c>
      <c r="D3339" s="2" t="s">
        <v>10583</v>
      </c>
      <c r="E3339" s="2" t="s">
        <v>10584</v>
      </c>
      <c r="F3339" s="2" t="s">
        <v>10585</v>
      </c>
      <c r="G3339" s="2" t="s">
        <v>53</v>
      </c>
      <c r="H3339" s="2" t="s">
        <v>69</v>
      </c>
      <c r="I3339" s="2" t="s">
        <v>46</v>
      </c>
      <c r="J3339" s="2"/>
      <c r="K3339" s="2" t="s">
        <v>39</v>
      </c>
      <c r="L3339" s="2" t="s">
        <v>39</v>
      </c>
      <c r="M3339" s="2" t="s">
        <v>39</v>
      </c>
      <c r="N3339" s="2" t="s">
        <v>39</v>
      </c>
      <c r="O3339" s="2" t="s">
        <v>39</v>
      </c>
      <c r="P3339" s="2" t="s">
        <v>39</v>
      </c>
      <c r="Q3339" s="2" t="s">
        <v>39</v>
      </c>
      <c r="R3339" s="2" t="s">
        <v>39</v>
      </c>
      <c r="S3339" s="2" t="s">
        <v>39</v>
      </c>
      <c r="T3339" s="2" t="s">
        <v>39</v>
      </c>
      <c r="U3339" s="2" t="s">
        <v>39</v>
      </c>
      <c r="V3339" s="2" t="s">
        <v>39</v>
      </c>
      <c r="W3339" s="2" t="s">
        <v>39</v>
      </c>
      <c r="X3339" s="2" t="s">
        <v>39</v>
      </c>
      <c r="Y3339" s="2" t="s">
        <v>39</v>
      </c>
      <c r="Z3339" s="2" t="s">
        <v>39</v>
      </c>
      <c r="AA3339" s="2" t="s">
        <v>39</v>
      </c>
      <c r="AB3339" s="2" t="s">
        <v>39</v>
      </c>
      <c r="AC3339" s="2" t="s">
        <v>39</v>
      </c>
      <c r="AD3339" s="2" t="s">
        <v>39</v>
      </c>
      <c r="AE3339" s="2" t="s">
        <v>39</v>
      </c>
    </row>
    <row r="3340" spans="1:31" ht="409.5">
      <c r="A3340" s="2">
        <v>2698760</v>
      </c>
      <c r="B3340" s="2">
        <f>HYPERLINK("https://platform.v2.vetology.net/cases/2698760/screening-report/1?type=pdf&amp;v=v6&amp;scorecard=1&amp;secret_key=BX%25IJ%24%2F65ieZ%29f6", 2698760)</f>
        <v>2698760</v>
      </c>
      <c r="C3340" s="2">
        <f>HYPERLINK("https://platform.v2.vetology.net/report/v/final/"&amp;2698760, 2698760)</f>
        <v>2698760</v>
      </c>
      <c r="D3340" s="2" t="s">
        <v>10586</v>
      </c>
      <c r="E3340" s="2" t="s">
        <v>10587</v>
      </c>
      <c r="F3340" s="2" t="s">
        <v>10588</v>
      </c>
      <c r="G3340" s="2" t="s">
        <v>170</v>
      </c>
      <c r="H3340" s="2" t="s">
        <v>1846</v>
      </c>
      <c r="I3340" s="2" t="s">
        <v>36</v>
      </c>
      <c r="J3340" s="2" t="s">
        <v>37</v>
      </c>
      <c r="K3340" s="2" t="s">
        <v>39</v>
      </c>
      <c r="L3340" s="2" t="s">
        <v>38</v>
      </c>
      <c r="M3340" s="2" t="s">
        <v>38</v>
      </c>
      <c r="N3340" s="2" t="s">
        <v>39</v>
      </c>
      <c r="O3340" s="2" t="s">
        <v>38</v>
      </c>
      <c r="P3340" s="2" t="s">
        <v>39</v>
      </c>
      <c r="Q3340" s="2" t="s">
        <v>39</v>
      </c>
      <c r="R3340" s="2" t="s">
        <v>38</v>
      </c>
      <c r="S3340" s="2" t="s">
        <v>38</v>
      </c>
      <c r="T3340" s="2" t="s">
        <v>39</v>
      </c>
      <c r="U3340" s="2" t="s">
        <v>39</v>
      </c>
      <c r="V3340" s="2" t="s">
        <v>39</v>
      </c>
      <c r="W3340" s="2" t="s">
        <v>38</v>
      </c>
      <c r="X3340" s="2" t="s">
        <v>39</v>
      </c>
      <c r="Y3340" s="2" t="s">
        <v>39</v>
      </c>
      <c r="Z3340" s="2" t="s">
        <v>38</v>
      </c>
      <c r="AA3340" s="2" t="s">
        <v>39</v>
      </c>
      <c r="AB3340" s="2" t="s">
        <v>39</v>
      </c>
      <c r="AC3340" s="2" t="s">
        <v>38</v>
      </c>
      <c r="AD3340" s="2" t="s">
        <v>39</v>
      </c>
      <c r="AE3340" s="2" t="s">
        <v>39</v>
      </c>
    </row>
    <row r="3341" spans="1:31" ht="409.5">
      <c r="A3341" s="2">
        <v>2698753</v>
      </c>
      <c r="B3341" s="2">
        <f>HYPERLINK("https://platform.v2.vetology.net/cases/2698753/screening-report/1?type=pdf&amp;v=v6&amp;scorecard=1&amp;secret_key=BX%25IJ%24%2F65ieZ%29f6", 2698753)</f>
        <v>2698753</v>
      </c>
      <c r="C3341" s="2">
        <f>HYPERLINK("https://platform.v2.vetology.net/report/v/final/"&amp;2698753, 2698753)</f>
        <v>2698753</v>
      </c>
      <c r="D3341" s="2" t="s">
        <v>10589</v>
      </c>
      <c r="E3341" s="2" t="s">
        <v>10590</v>
      </c>
      <c r="F3341" s="2" t="s">
        <v>10581</v>
      </c>
      <c r="G3341" s="2" t="s">
        <v>100</v>
      </c>
      <c r="H3341" s="2" t="s">
        <v>10591</v>
      </c>
      <c r="I3341" s="2" t="s">
        <v>129</v>
      </c>
      <c r="J3341" s="2" t="s">
        <v>74</v>
      </c>
      <c r="K3341" s="2" t="s">
        <v>39</v>
      </c>
      <c r="L3341" s="2" t="s">
        <v>38</v>
      </c>
      <c r="M3341" s="2" t="s">
        <v>39</v>
      </c>
      <c r="N3341" s="2" t="s">
        <v>38</v>
      </c>
      <c r="O3341" s="2" t="s">
        <v>39</v>
      </c>
      <c r="P3341" s="2" t="s">
        <v>39</v>
      </c>
      <c r="Q3341" s="2" t="s">
        <v>38</v>
      </c>
      <c r="R3341" s="2" t="s">
        <v>39</v>
      </c>
      <c r="S3341" s="2" t="s">
        <v>38</v>
      </c>
      <c r="T3341" s="2" t="s">
        <v>39</v>
      </c>
      <c r="U3341" s="2" t="s">
        <v>39</v>
      </c>
      <c r="V3341" s="2" t="s">
        <v>39</v>
      </c>
      <c r="W3341" s="2" t="s">
        <v>38</v>
      </c>
      <c r="X3341" s="2" t="s">
        <v>38</v>
      </c>
      <c r="Y3341" s="2" t="s">
        <v>39</v>
      </c>
      <c r="Z3341" s="2" t="s">
        <v>38</v>
      </c>
      <c r="AA3341" s="2" t="s">
        <v>38</v>
      </c>
      <c r="AB3341" s="2" t="s">
        <v>39</v>
      </c>
      <c r="AC3341" s="2" t="s">
        <v>38</v>
      </c>
      <c r="AD3341" s="2" t="s">
        <v>38</v>
      </c>
      <c r="AE3341" s="2" t="s">
        <v>39</v>
      </c>
    </row>
    <row r="3342" spans="1:31" ht="409.5">
      <c r="A3342" s="2">
        <v>2698710</v>
      </c>
      <c r="B3342" s="2">
        <f>HYPERLINK("https://platform.v2.vetology.net/cases/2698710/screening-report/1?type=pdf&amp;v=v6&amp;scorecard=1&amp;secret_key=BX%25IJ%24%2F65ieZ%29f6", 2698710)</f>
        <v>2698710</v>
      </c>
      <c r="C3342" s="2">
        <f>HYPERLINK("https://platform.v2.vetology.net/report/v/final/"&amp;2698710, 2698710)</f>
        <v>2698710</v>
      </c>
      <c r="D3342" s="2" t="s">
        <v>10592</v>
      </c>
      <c r="E3342" s="2" t="s">
        <v>10593</v>
      </c>
      <c r="F3342" s="2" t="s">
        <v>2756</v>
      </c>
      <c r="G3342" s="2" t="s">
        <v>111</v>
      </c>
      <c r="H3342" s="2" t="s">
        <v>66</v>
      </c>
      <c r="I3342" s="2" t="s">
        <v>36</v>
      </c>
      <c r="J3342" s="2" t="s">
        <v>37</v>
      </c>
      <c r="K3342" s="2" t="s">
        <v>39</v>
      </c>
      <c r="L3342" s="2" t="s">
        <v>39</v>
      </c>
      <c r="M3342" s="2" t="s">
        <v>38</v>
      </c>
      <c r="N3342" s="2" t="s">
        <v>39</v>
      </c>
      <c r="O3342" s="2" t="s">
        <v>38</v>
      </c>
      <c r="P3342" s="2" t="s">
        <v>39</v>
      </c>
      <c r="Q3342" s="2" t="s">
        <v>39</v>
      </c>
      <c r="R3342" s="2" t="s">
        <v>39</v>
      </c>
      <c r="S3342" s="2" t="s">
        <v>39</v>
      </c>
      <c r="T3342" s="2" t="s">
        <v>38</v>
      </c>
      <c r="U3342" s="2" t="s">
        <v>39</v>
      </c>
      <c r="V3342" s="2" t="s">
        <v>39</v>
      </c>
      <c r="W3342" s="2" t="s">
        <v>39</v>
      </c>
      <c r="X3342" s="2" t="s">
        <v>39</v>
      </c>
      <c r="Y3342" s="2" t="s">
        <v>39</v>
      </c>
      <c r="Z3342" s="2" t="s">
        <v>39</v>
      </c>
      <c r="AA3342" s="2" t="s">
        <v>39</v>
      </c>
      <c r="AB3342" s="2" t="s">
        <v>39</v>
      </c>
      <c r="AC3342" s="2" t="s">
        <v>39</v>
      </c>
      <c r="AD3342" s="2" t="s">
        <v>39</v>
      </c>
      <c r="AE3342" s="2" t="s">
        <v>39</v>
      </c>
    </row>
    <row r="3343" spans="1:31" ht="409.5">
      <c r="A3343" s="2">
        <v>2698701</v>
      </c>
      <c r="B3343" s="2">
        <f>HYPERLINK("https://platform.v2.vetology.net/cases/2698701/screening-report/1?type=pdf&amp;v=v6&amp;scorecard=1&amp;secret_key=BX%25IJ%24%2F65ieZ%29f6", 2698701)</f>
        <v>2698701</v>
      </c>
      <c r="C3343" s="2">
        <f>HYPERLINK("https://platform.v2.vetology.net/report/v/final/"&amp;2698701, 2698701)</f>
        <v>2698701</v>
      </c>
      <c r="D3343" s="2" t="s">
        <v>10594</v>
      </c>
      <c r="E3343" s="2" t="s">
        <v>10595</v>
      </c>
      <c r="F3343" s="2" t="s">
        <v>10596</v>
      </c>
      <c r="G3343" s="2" t="s">
        <v>127</v>
      </c>
      <c r="H3343" s="2" t="s">
        <v>10597</v>
      </c>
      <c r="I3343" s="2" t="s">
        <v>73</v>
      </c>
      <c r="J3343" s="2" t="s">
        <v>74</v>
      </c>
      <c r="K3343" s="2" t="s">
        <v>38</v>
      </c>
      <c r="L3343" s="2" t="s">
        <v>38</v>
      </c>
      <c r="M3343" s="2" t="s">
        <v>38</v>
      </c>
      <c r="N3343" s="2" t="s">
        <v>38</v>
      </c>
      <c r="O3343" s="2" t="s">
        <v>38</v>
      </c>
      <c r="P3343" s="2" t="s">
        <v>38</v>
      </c>
      <c r="Q3343" s="2" t="s">
        <v>38</v>
      </c>
      <c r="R3343" s="2" t="s">
        <v>38</v>
      </c>
      <c r="S3343" s="2" t="s">
        <v>38</v>
      </c>
      <c r="T3343" s="2" t="s">
        <v>38</v>
      </c>
      <c r="U3343" s="2" t="s">
        <v>38</v>
      </c>
      <c r="V3343" s="2" t="s">
        <v>38</v>
      </c>
      <c r="W3343" s="2" t="s">
        <v>38</v>
      </c>
      <c r="X3343" s="2" t="s">
        <v>38</v>
      </c>
      <c r="Y3343" s="2" t="s">
        <v>38</v>
      </c>
      <c r="Z3343" s="2" t="s">
        <v>38</v>
      </c>
      <c r="AA3343" s="2" t="s">
        <v>38</v>
      </c>
      <c r="AB3343" s="2" t="s">
        <v>38</v>
      </c>
      <c r="AC3343" s="2" t="s">
        <v>38</v>
      </c>
      <c r="AD3343" s="2" t="s">
        <v>38</v>
      </c>
      <c r="AE3343" s="2" t="s">
        <v>40</v>
      </c>
    </row>
    <row r="3344" spans="1:31" ht="409.5">
      <c r="A3344" s="2">
        <v>2698645</v>
      </c>
      <c r="B3344" s="2">
        <f>HYPERLINK("https://platform.v2.vetology.net/cases/2698645/screening-report/1?type=pdf&amp;v=v6&amp;scorecard=1&amp;secret_key=BX%25IJ%24%2F65ieZ%29f6", 2698645)</f>
        <v>2698645</v>
      </c>
      <c r="C3344" s="2">
        <f>HYPERLINK("https://platform.v2.vetology.net/report/v/final/"&amp;2698645, 2698645)</f>
        <v>2698645</v>
      </c>
      <c r="D3344" s="2" t="s">
        <v>10598</v>
      </c>
      <c r="E3344" s="2" t="s">
        <v>10599</v>
      </c>
      <c r="F3344" s="2" t="s">
        <v>43</v>
      </c>
      <c r="G3344" s="2" t="s">
        <v>100</v>
      </c>
      <c r="H3344" s="2" t="s">
        <v>10600</v>
      </c>
      <c r="I3344" s="2" t="s">
        <v>129</v>
      </c>
      <c r="J3344" s="2" t="s">
        <v>74</v>
      </c>
      <c r="K3344" s="2" t="s">
        <v>39</v>
      </c>
      <c r="L3344" s="2" t="s">
        <v>38</v>
      </c>
      <c r="M3344" s="2" t="s">
        <v>38</v>
      </c>
      <c r="N3344" s="2" t="s">
        <v>38</v>
      </c>
      <c r="O3344" s="2" t="s">
        <v>38</v>
      </c>
      <c r="P3344" s="2" t="s">
        <v>38</v>
      </c>
      <c r="Q3344" s="2" t="s">
        <v>38</v>
      </c>
      <c r="R3344" s="2" t="s">
        <v>38</v>
      </c>
      <c r="S3344" s="2" t="s">
        <v>38</v>
      </c>
      <c r="T3344" s="2" t="s">
        <v>38</v>
      </c>
      <c r="U3344" s="2" t="s">
        <v>39</v>
      </c>
      <c r="V3344" s="2" t="s">
        <v>39</v>
      </c>
      <c r="W3344" s="2" t="s">
        <v>38</v>
      </c>
      <c r="X3344" s="2" t="s">
        <v>38</v>
      </c>
      <c r="Y3344" s="2" t="s">
        <v>39</v>
      </c>
      <c r="Z3344" s="2" t="s">
        <v>38</v>
      </c>
      <c r="AA3344" s="2" t="s">
        <v>38</v>
      </c>
      <c r="AB3344" s="2" t="s">
        <v>38</v>
      </c>
      <c r="AC3344" s="2" t="s">
        <v>38</v>
      </c>
      <c r="AD3344" s="2" t="s">
        <v>38</v>
      </c>
      <c r="AE3344" s="2"/>
    </row>
    <row r="3345" spans="1:31" ht="409.5">
      <c r="A3345" s="2">
        <v>2698640</v>
      </c>
      <c r="B3345" s="2">
        <f>HYPERLINK("https://platform.v2.vetology.net/cases/2698640/screening-report/1?type=pdf&amp;v=v6&amp;scorecard=1&amp;secret_key=BX%25IJ%24%2F65ieZ%29f6", 2698640)</f>
        <v>2698640</v>
      </c>
      <c r="C3345" s="2">
        <f>HYPERLINK("https://platform.v2.vetology.net/report/v/final/"&amp;2698640, 2698640)</f>
        <v>2698640</v>
      </c>
      <c r="D3345" s="2" t="s">
        <v>10601</v>
      </c>
      <c r="E3345" s="2" t="s">
        <v>10602</v>
      </c>
      <c r="F3345" s="2" t="s">
        <v>10603</v>
      </c>
      <c r="G3345" s="2" t="s">
        <v>53</v>
      </c>
      <c r="H3345" s="2" t="s">
        <v>69</v>
      </c>
      <c r="I3345" s="2" t="s">
        <v>46</v>
      </c>
      <c r="J3345" s="2"/>
      <c r="K3345" s="2" t="s">
        <v>39</v>
      </c>
      <c r="L3345" s="2" t="s">
        <v>39</v>
      </c>
      <c r="M3345" s="2" t="s">
        <v>39</v>
      </c>
      <c r="N3345" s="2" t="s">
        <v>39</v>
      </c>
      <c r="O3345" s="2" t="s">
        <v>39</v>
      </c>
      <c r="P3345" s="2" t="s">
        <v>39</v>
      </c>
      <c r="Q3345" s="2" t="s">
        <v>39</v>
      </c>
      <c r="R3345" s="2" t="s">
        <v>39</v>
      </c>
      <c r="S3345" s="2" t="s">
        <v>39</v>
      </c>
      <c r="T3345" s="2" t="s">
        <v>39</v>
      </c>
      <c r="U3345" s="2" t="s">
        <v>39</v>
      </c>
      <c r="V3345" s="2" t="s">
        <v>39</v>
      </c>
      <c r="W3345" s="2" t="s">
        <v>39</v>
      </c>
      <c r="X3345" s="2" t="s">
        <v>39</v>
      </c>
      <c r="Y3345" s="2" t="s">
        <v>39</v>
      </c>
      <c r="Z3345" s="2" t="s">
        <v>39</v>
      </c>
      <c r="AA3345" s="2" t="s">
        <v>39</v>
      </c>
      <c r="AB3345" s="2" t="s">
        <v>39</v>
      </c>
      <c r="AC3345" s="2" t="s">
        <v>39</v>
      </c>
      <c r="AD3345" s="2" t="s">
        <v>39</v>
      </c>
      <c r="AE3345" s="2" t="s">
        <v>39</v>
      </c>
    </row>
    <row r="3346" spans="1:31" ht="409.5">
      <c r="A3346" s="2">
        <v>2698635</v>
      </c>
      <c r="B3346" s="2">
        <f>HYPERLINK("https://platform.v2.vetology.net/cases/2698635/screening-report/1?type=pdf&amp;v=v6&amp;scorecard=1&amp;secret_key=BX%25IJ%24%2F65ieZ%29f6", 2698635)</f>
        <v>2698635</v>
      </c>
      <c r="C3346" s="2">
        <f>HYPERLINK("https://platform.v2.vetology.net/report/v/final/"&amp;2698635, 2698635)</f>
        <v>2698635</v>
      </c>
      <c r="D3346" s="2" t="s">
        <v>10604</v>
      </c>
      <c r="E3346" s="2" t="s">
        <v>10605</v>
      </c>
      <c r="F3346" s="2" t="s">
        <v>10606</v>
      </c>
      <c r="G3346" s="2" t="s">
        <v>127</v>
      </c>
      <c r="H3346" s="2" t="s">
        <v>69</v>
      </c>
      <c r="I3346" s="2" t="s">
        <v>46</v>
      </c>
      <c r="J3346" s="2"/>
      <c r="K3346" s="2" t="s">
        <v>39</v>
      </c>
      <c r="L3346" s="2" t="s">
        <v>39</v>
      </c>
      <c r="M3346" s="2" t="s">
        <v>39</v>
      </c>
      <c r="N3346" s="2" t="s">
        <v>39</v>
      </c>
      <c r="O3346" s="2" t="s">
        <v>39</v>
      </c>
      <c r="P3346" s="2" t="s">
        <v>39</v>
      </c>
      <c r="Q3346" s="2" t="s">
        <v>39</v>
      </c>
      <c r="R3346" s="2" t="s">
        <v>39</v>
      </c>
      <c r="S3346" s="2" t="s">
        <v>39</v>
      </c>
      <c r="T3346" s="2" t="s">
        <v>39</v>
      </c>
      <c r="U3346" s="2" t="s">
        <v>39</v>
      </c>
      <c r="V3346" s="2" t="s">
        <v>39</v>
      </c>
      <c r="W3346" s="2" t="s">
        <v>39</v>
      </c>
      <c r="X3346" s="2" t="s">
        <v>39</v>
      </c>
      <c r="Y3346" s="2" t="s">
        <v>39</v>
      </c>
      <c r="Z3346" s="2" t="s">
        <v>39</v>
      </c>
      <c r="AA3346" s="2" t="s">
        <v>39</v>
      </c>
      <c r="AB3346" s="2" t="s">
        <v>39</v>
      </c>
      <c r="AC3346" s="2" t="s">
        <v>39</v>
      </c>
      <c r="AD3346" s="2" t="s">
        <v>39</v>
      </c>
      <c r="AE3346" s="2" t="s">
        <v>39</v>
      </c>
    </row>
    <row r="3347" spans="1:31" ht="409.5">
      <c r="A3347" s="2">
        <v>2698634</v>
      </c>
      <c r="B3347" s="2">
        <f>HYPERLINK("https://platform.v2.vetology.net/cases/2698634/screening-report/1?type=pdf&amp;v=v6&amp;scorecard=1&amp;secret_key=BX%25IJ%24%2F65ieZ%29f6", 2698634)</f>
        <v>2698634</v>
      </c>
      <c r="C3347" s="2">
        <f>HYPERLINK("https://platform.v2.vetology.net/report/v/final/"&amp;2698634, 2698634)</f>
        <v>2698634</v>
      </c>
      <c r="D3347" s="2" t="s">
        <v>10607</v>
      </c>
      <c r="E3347" s="2" t="s">
        <v>10608</v>
      </c>
      <c r="F3347" s="2" t="s">
        <v>10609</v>
      </c>
      <c r="G3347" s="2" t="s">
        <v>53</v>
      </c>
      <c r="H3347" s="2" t="s">
        <v>419</v>
      </c>
      <c r="I3347" s="2" t="s">
        <v>36</v>
      </c>
      <c r="J3347" s="2" t="s">
        <v>37</v>
      </c>
      <c r="K3347" s="2" t="s">
        <v>39</v>
      </c>
      <c r="L3347" s="2" t="s">
        <v>39</v>
      </c>
      <c r="M3347" s="2" t="s">
        <v>38</v>
      </c>
      <c r="N3347" s="2" t="s">
        <v>39</v>
      </c>
      <c r="O3347" s="2" t="s">
        <v>38</v>
      </c>
      <c r="P3347" s="2" t="s">
        <v>39</v>
      </c>
      <c r="Q3347" s="2" t="s">
        <v>39</v>
      </c>
      <c r="R3347" s="2" t="s">
        <v>38</v>
      </c>
      <c r="S3347" s="2" t="s">
        <v>39</v>
      </c>
      <c r="T3347" s="2" t="s">
        <v>39</v>
      </c>
      <c r="U3347" s="2" t="s">
        <v>39</v>
      </c>
      <c r="V3347" s="2" t="s">
        <v>39</v>
      </c>
      <c r="W3347" s="2" t="s">
        <v>38</v>
      </c>
      <c r="X3347" s="2" t="s">
        <v>39</v>
      </c>
      <c r="Y3347" s="2" t="s">
        <v>39</v>
      </c>
      <c r="Z3347" s="2" t="s">
        <v>39</v>
      </c>
      <c r="AA3347" s="2" t="s">
        <v>39</v>
      </c>
      <c r="AB3347" s="2" t="s">
        <v>39</v>
      </c>
      <c r="AC3347" s="2" t="s">
        <v>38</v>
      </c>
      <c r="AD3347" s="2" t="s">
        <v>38</v>
      </c>
      <c r="AE3347" s="2" t="s">
        <v>39</v>
      </c>
    </row>
    <row r="3348" spans="1:31" ht="409.5">
      <c r="A3348" s="2">
        <v>2698594</v>
      </c>
      <c r="B3348" s="2">
        <f>HYPERLINK("https://platform.v2.vetology.net/cases/2698594/screening-report/1?type=pdf&amp;v=v6&amp;scorecard=1&amp;secret_key=BX%25IJ%24%2F65ieZ%29f6", 2698594)</f>
        <v>2698594</v>
      </c>
      <c r="C3348" s="2">
        <f>HYPERLINK("https://platform.v2.vetology.net/report/v/final/"&amp;2698594, 2698594)</f>
        <v>2698594</v>
      </c>
      <c r="D3348" s="2" t="s">
        <v>10610</v>
      </c>
      <c r="E3348" s="2" t="s">
        <v>10611</v>
      </c>
      <c r="F3348" s="2" t="s">
        <v>10612</v>
      </c>
      <c r="G3348" s="2" t="s">
        <v>170</v>
      </c>
      <c r="H3348" s="2" t="s">
        <v>7466</v>
      </c>
      <c r="I3348" s="2" t="s">
        <v>129</v>
      </c>
      <c r="J3348" s="2" t="s">
        <v>74</v>
      </c>
      <c r="K3348" s="2" t="s">
        <v>39</v>
      </c>
      <c r="L3348" s="2" t="s">
        <v>39</v>
      </c>
      <c r="M3348" s="2" t="s">
        <v>38</v>
      </c>
      <c r="N3348" s="2" t="s">
        <v>39</v>
      </c>
      <c r="O3348" s="2" t="s">
        <v>39</v>
      </c>
      <c r="P3348" s="2" t="s">
        <v>39</v>
      </c>
      <c r="Q3348" s="2" t="s">
        <v>38</v>
      </c>
      <c r="R3348" s="2" t="s">
        <v>39</v>
      </c>
      <c r="S3348" s="2" t="s">
        <v>39</v>
      </c>
      <c r="T3348" s="2" t="s">
        <v>38</v>
      </c>
      <c r="U3348" s="2" t="s">
        <v>39</v>
      </c>
      <c r="V3348" s="2" t="s">
        <v>38</v>
      </c>
      <c r="W3348" s="2" t="s">
        <v>39</v>
      </c>
      <c r="X3348" s="2" t="s">
        <v>38</v>
      </c>
      <c r="Y3348" s="2" t="s">
        <v>39</v>
      </c>
      <c r="Z3348" s="2" t="s">
        <v>39</v>
      </c>
      <c r="AA3348" s="2" t="s">
        <v>39</v>
      </c>
      <c r="AB3348" s="2" t="s">
        <v>39</v>
      </c>
      <c r="AC3348" s="2" t="s">
        <v>39</v>
      </c>
      <c r="AD3348" s="2" t="s">
        <v>39</v>
      </c>
      <c r="AE3348" s="2" t="s">
        <v>39</v>
      </c>
    </row>
    <row r="3349" spans="1:31" ht="409.5">
      <c r="A3349" s="2">
        <v>2698593</v>
      </c>
      <c r="B3349" s="2">
        <f>HYPERLINK("https://platform.v2.vetology.net/cases/2698593/screening-report/1?type=pdf&amp;v=v6&amp;scorecard=1&amp;secret_key=BX%25IJ%24%2F65ieZ%29f6", 2698593)</f>
        <v>2698593</v>
      </c>
      <c r="C3349" s="2">
        <f>HYPERLINK("https://platform.v2.vetology.net/report/v/final/"&amp;2698593, 2698593)</f>
        <v>2698593</v>
      </c>
      <c r="D3349" s="2" t="s">
        <v>10613</v>
      </c>
      <c r="E3349" s="2" t="s">
        <v>99</v>
      </c>
      <c r="F3349" s="2" t="s">
        <v>10614</v>
      </c>
      <c r="G3349" s="2" t="s">
        <v>100</v>
      </c>
      <c r="H3349" s="2" t="s">
        <v>675</v>
      </c>
      <c r="I3349" s="2" t="s">
        <v>36</v>
      </c>
      <c r="J3349" s="2" t="s">
        <v>37</v>
      </c>
      <c r="K3349" s="2" t="s">
        <v>38</v>
      </c>
      <c r="L3349" s="2" t="s">
        <v>38</v>
      </c>
      <c r="M3349" s="2" t="s">
        <v>38</v>
      </c>
      <c r="N3349" s="2" t="s">
        <v>38</v>
      </c>
      <c r="O3349" s="2" t="s">
        <v>38</v>
      </c>
      <c r="P3349" s="2" t="s">
        <v>39</v>
      </c>
      <c r="Q3349" s="2" t="s">
        <v>39</v>
      </c>
      <c r="R3349" s="2" t="s">
        <v>38</v>
      </c>
      <c r="S3349" s="2" t="s">
        <v>38</v>
      </c>
      <c r="T3349" s="2" t="s">
        <v>39</v>
      </c>
      <c r="U3349" s="2" t="s">
        <v>39</v>
      </c>
      <c r="V3349" s="2" t="s">
        <v>39</v>
      </c>
      <c r="W3349" s="2" t="s">
        <v>38</v>
      </c>
      <c r="X3349" s="2" t="s">
        <v>39</v>
      </c>
      <c r="Y3349" s="2" t="s">
        <v>39</v>
      </c>
      <c r="Z3349" s="2" t="s">
        <v>38</v>
      </c>
      <c r="AA3349" s="2" t="s">
        <v>38</v>
      </c>
      <c r="AB3349" s="2" t="s">
        <v>39</v>
      </c>
      <c r="AC3349" s="2" t="s">
        <v>38</v>
      </c>
      <c r="AD3349" s="2" t="s">
        <v>39</v>
      </c>
      <c r="AE3349" s="2" t="s">
        <v>39</v>
      </c>
    </row>
    <row r="3350" spans="1:31" ht="409.5">
      <c r="A3350" s="2">
        <v>2698519</v>
      </c>
      <c r="B3350" s="2">
        <f>HYPERLINK("https://platform.v2.vetology.net/cases/2698519/screening-report/1?type=pdf&amp;v=v6&amp;scorecard=1&amp;secret_key=BX%25IJ%24%2F65ieZ%29f6", 2698519)</f>
        <v>2698519</v>
      </c>
      <c r="C3350" s="2">
        <f>HYPERLINK("https://platform.v2.vetology.net/report/v/final/"&amp;2698519, 2698519)</f>
        <v>2698519</v>
      </c>
      <c r="D3350" s="2" t="s">
        <v>10615</v>
      </c>
      <c r="E3350" s="2" t="s">
        <v>10616</v>
      </c>
      <c r="F3350" s="2" t="s">
        <v>10617</v>
      </c>
      <c r="G3350" s="2" t="s">
        <v>170</v>
      </c>
      <c r="H3350" s="2" t="s">
        <v>561</v>
      </c>
      <c r="I3350" s="2" t="s">
        <v>36</v>
      </c>
      <c r="J3350" s="2" t="s">
        <v>37</v>
      </c>
      <c r="K3350" s="2" t="s">
        <v>39</v>
      </c>
      <c r="L3350" s="2" t="s">
        <v>38</v>
      </c>
      <c r="M3350" s="2" t="s">
        <v>38</v>
      </c>
      <c r="N3350" s="2" t="s">
        <v>38</v>
      </c>
      <c r="O3350" s="2" t="s">
        <v>38</v>
      </c>
      <c r="P3350" s="2" t="s">
        <v>39</v>
      </c>
      <c r="Q3350" s="2" t="s">
        <v>39</v>
      </c>
      <c r="R3350" s="2" t="s">
        <v>38</v>
      </c>
      <c r="S3350" s="2" t="s">
        <v>38</v>
      </c>
      <c r="T3350" s="2" t="s">
        <v>39</v>
      </c>
      <c r="U3350" s="2" t="s">
        <v>39</v>
      </c>
      <c r="V3350" s="2" t="s">
        <v>39</v>
      </c>
      <c r="W3350" s="2" t="s">
        <v>38</v>
      </c>
      <c r="X3350" s="2" t="s">
        <v>39</v>
      </c>
      <c r="Y3350" s="2" t="s">
        <v>39</v>
      </c>
      <c r="Z3350" s="2" t="s">
        <v>39</v>
      </c>
      <c r="AA3350" s="2" t="s">
        <v>38</v>
      </c>
      <c r="AB3350" s="2" t="s">
        <v>39</v>
      </c>
      <c r="AC3350" s="2" t="s">
        <v>38</v>
      </c>
      <c r="AD3350" s="2" t="s">
        <v>38</v>
      </c>
      <c r="AE3350" s="2" t="s">
        <v>39</v>
      </c>
    </row>
    <row r="3351" spans="1:31" ht="409.5">
      <c r="A3351" s="2">
        <v>2698509</v>
      </c>
      <c r="B3351" s="2">
        <f>HYPERLINK("https://platform.v2.vetology.net/cases/2698509/screening-report/1?type=pdf&amp;v=v6&amp;scorecard=1&amp;secret_key=BX%25IJ%24%2F65ieZ%29f6", 2698509)</f>
        <v>2698509</v>
      </c>
      <c r="C3351" s="2">
        <f>HYPERLINK("https://platform.v2.vetology.net/report/v/final/"&amp;2698509, 2698509)</f>
        <v>2698509</v>
      </c>
      <c r="D3351" s="2" t="s">
        <v>10618</v>
      </c>
      <c r="E3351" s="2" t="s">
        <v>10619</v>
      </c>
      <c r="F3351" s="2" t="s">
        <v>10620</v>
      </c>
      <c r="G3351" s="2" t="s">
        <v>111</v>
      </c>
      <c r="H3351" s="2" t="s">
        <v>10621</v>
      </c>
      <c r="I3351" s="2" t="s">
        <v>36</v>
      </c>
      <c r="J3351" s="2" t="s">
        <v>37</v>
      </c>
      <c r="K3351" s="2" t="s">
        <v>38</v>
      </c>
      <c r="L3351" s="2" t="s">
        <v>39</v>
      </c>
      <c r="M3351" s="2" t="s">
        <v>38</v>
      </c>
      <c r="N3351" s="2" t="s">
        <v>38</v>
      </c>
      <c r="O3351" s="2" t="s">
        <v>39</v>
      </c>
      <c r="P3351" s="2" t="s">
        <v>39</v>
      </c>
      <c r="Q3351" s="2" t="s">
        <v>39</v>
      </c>
      <c r="R3351" s="2" t="s">
        <v>38</v>
      </c>
      <c r="S3351" s="2" t="s">
        <v>38</v>
      </c>
      <c r="T3351" s="2" t="s">
        <v>39</v>
      </c>
      <c r="U3351" s="2" t="s">
        <v>38</v>
      </c>
      <c r="V3351" s="2" t="s">
        <v>38</v>
      </c>
      <c r="W3351" s="2" t="s">
        <v>38</v>
      </c>
      <c r="X3351" s="2" t="s">
        <v>39</v>
      </c>
      <c r="Y3351" s="2" t="s">
        <v>39</v>
      </c>
      <c r="Z3351" s="2" t="s">
        <v>38</v>
      </c>
      <c r="AA3351" s="2" t="s">
        <v>39</v>
      </c>
      <c r="AB3351" s="2" t="s">
        <v>39</v>
      </c>
      <c r="AC3351" s="2" t="s">
        <v>38</v>
      </c>
      <c r="AD3351" s="2" t="s">
        <v>39</v>
      </c>
      <c r="AE3351" s="2" t="s">
        <v>40</v>
      </c>
    </row>
    <row r="3352" spans="1:31" ht="409.5">
      <c r="A3352" s="2">
        <v>2698503</v>
      </c>
      <c r="B3352" s="2">
        <f>HYPERLINK("https://platform.v2.vetology.net/cases/2698503/screening-report/1?type=pdf&amp;v=v6&amp;scorecard=1&amp;secret_key=BX%25IJ%24%2F65ieZ%29f6", 2698503)</f>
        <v>2698503</v>
      </c>
      <c r="C3352" s="2">
        <f>HYPERLINK("https://platform.v2.vetology.net/report/v/final/"&amp;2698503, 2698503)</f>
        <v>2698503</v>
      </c>
      <c r="D3352" s="2" t="s">
        <v>10622</v>
      </c>
      <c r="E3352" s="2" t="s">
        <v>10623</v>
      </c>
      <c r="F3352" s="2" t="s">
        <v>3605</v>
      </c>
      <c r="G3352" s="2" t="s">
        <v>170</v>
      </c>
      <c r="H3352" s="2" t="s">
        <v>2518</v>
      </c>
      <c r="I3352" s="2" t="s">
        <v>59</v>
      </c>
      <c r="J3352" s="2" t="s">
        <v>37</v>
      </c>
      <c r="K3352" s="2" t="s">
        <v>38</v>
      </c>
      <c r="L3352" s="2" t="s">
        <v>39</v>
      </c>
      <c r="M3352" s="2" t="s">
        <v>39</v>
      </c>
      <c r="N3352" s="2" t="s">
        <v>38</v>
      </c>
      <c r="O3352" s="2" t="s">
        <v>39</v>
      </c>
      <c r="P3352" s="2" t="s">
        <v>39</v>
      </c>
      <c r="Q3352" s="2" t="s">
        <v>39</v>
      </c>
      <c r="R3352" s="2" t="s">
        <v>39</v>
      </c>
      <c r="S3352" s="2" t="s">
        <v>39</v>
      </c>
      <c r="T3352" s="2" t="s">
        <v>38</v>
      </c>
      <c r="U3352" s="2" t="s">
        <v>39</v>
      </c>
      <c r="V3352" s="2" t="s">
        <v>38</v>
      </c>
      <c r="W3352" s="2" t="s">
        <v>38</v>
      </c>
      <c r="X3352" s="2" t="s">
        <v>38</v>
      </c>
      <c r="Y3352" s="2" t="s">
        <v>39</v>
      </c>
      <c r="Z3352" s="2" t="s">
        <v>39</v>
      </c>
      <c r="AA3352" s="2" t="s">
        <v>39</v>
      </c>
      <c r="AB3352" s="2" t="s">
        <v>38</v>
      </c>
      <c r="AC3352" s="2" t="s">
        <v>38</v>
      </c>
      <c r="AD3352" s="2" t="s">
        <v>39</v>
      </c>
      <c r="AE3352" s="2"/>
    </row>
    <row r="3353" spans="1:31" ht="409.5">
      <c r="A3353" s="2">
        <v>2698473</v>
      </c>
      <c r="B3353" s="2">
        <f>HYPERLINK("https://platform.v2.vetology.net/cases/2698473/screening-report/1?type=pdf&amp;v=v6&amp;scorecard=1&amp;secret_key=BX%25IJ%24%2F65ieZ%29f6", 2698473)</f>
        <v>2698473</v>
      </c>
      <c r="C3353" s="2">
        <f>HYPERLINK("https://platform.v2.vetology.net/report/v/final/"&amp;2698473, 2698473)</f>
        <v>2698473</v>
      </c>
      <c r="D3353" s="2" t="s">
        <v>10624</v>
      </c>
      <c r="E3353" s="2" t="s">
        <v>10625</v>
      </c>
      <c r="F3353" s="2" t="s">
        <v>10626</v>
      </c>
      <c r="G3353" s="2" t="s">
        <v>53</v>
      </c>
      <c r="H3353" s="2" t="s">
        <v>1275</v>
      </c>
      <c r="I3353" s="2" t="s">
        <v>59</v>
      </c>
      <c r="J3353" s="2" t="s">
        <v>37</v>
      </c>
      <c r="K3353" s="2" t="s">
        <v>39</v>
      </c>
      <c r="L3353" s="2" t="s">
        <v>39</v>
      </c>
      <c r="M3353" s="2" t="s">
        <v>39</v>
      </c>
      <c r="N3353" s="2" t="s">
        <v>38</v>
      </c>
      <c r="O3353" s="2" t="s">
        <v>39</v>
      </c>
      <c r="P3353" s="2" t="s">
        <v>39</v>
      </c>
      <c r="Q3353" s="2" t="s">
        <v>39</v>
      </c>
      <c r="R3353" s="2" t="s">
        <v>39</v>
      </c>
      <c r="S3353" s="2" t="s">
        <v>39</v>
      </c>
      <c r="T3353" s="2" t="s">
        <v>39</v>
      </c>
      <c r="U3353" s="2" t="s">
        <v>39</v>
      </c>
      <c r="V3353" s="2" t="s">
        <v>39</v>
      </c>
      <c r="W3353" s="2" t="s">
        <v>39</v>
      </c>
      <c r="X3353" s="2" t="s">
        <v>39</v>
      </c>
      <c r="Y3353" s="2" t="s">
        <v>39</v>
      </c>
      <c r="Z3353" s="2" t="s">
        <v>39</v>
      </c>
      <c r="AA3353" s="2" t="s">
        <v>39</v>
      </c>
      <c r="AB3353" s="2" t="s">
        <v>39</v>
      </c>
      <c r="AC3353" s="2" t="s">
        <v>39</v>
      </c>
      <c r="AD3353" s="2" t="s">
        <v>39</v>
      </c>
      <c r="AE3353" s="2" t="s">
        <v>39</v>
      </c>
    </row>
    <row r="3354" spans="1:31" ht="409.5">
      <c r="A3354" s="2">
        <v>2698460</v>
      </c>
      <c r="B3354" s="2">
        <f>HYPERLINK("https://platform.v2.vetology.net/cases/2698460/screening-report/1?type=pdf&amp;v=v6&amp;scorecard=1&amp;secret_key=BX%25IJ%24%2F65ieZ%29f6", 2698460)</f>
        <v>2698460</v>
      </c>
      <c r="C3354" s="2">
        <f>HYPERLINK("https://platform.v2.vetology.net/report/v/final/"&amp;2698460, 2698460)</f>
        <v>2698460</v>
      </c>
      <c r="D3354" s="2" t="s">
        <v>10627</v>
      </c>
      <c r="E3354" s="2" t="s">
        <v>10628</v>
      </c>
      <c r="F3354" s="2"/>
      <c r="G3354" s="2" t="s">
        <v>507</v>
      </c>
      <c r="H3354" s="2" t="s">
        <v>10629</v>
      </c>
      <c r="I3354" s="2" t="s">
        <v>36</v>
      </c>
      <c r="J3354" s="2" t="s">
        <v>37</v>
      </c>
      <c r="K3354" s="2" t="s">
        <v>38</v>
      </c>
      <c r="L3354" s="2" t="s">
        <v>38</v>
      </c>
      <c r="M3354" s="2" t="s">
        <v>38</v>
      </c>
      <c r="N3354" s="2" t="s">
        <v>39</v>
      </c>
      <c r="O3354" s="2" t="s">
        <v>38</v>
      </c>
      <c r="P3354" s="2" t="s">
        <v>39</v>
      </c>
      <c r="Q3354" s="2" t="s">
        <v>39</v>
      </c>
      <c r="R3354" s="2" t="s">
        <v>38</v>
      </c>
      <c r="S3354" s="2" t="s">
        <v>38</v>
      </c>
      <c r="T3354" s="2" t="s">
        <v>39</v>
      </c>
      <c r="U3354" s="2" t="s">
        <v>39</v>
      </c>
      <c r="V3354" s="2" t="s">
        <v>38</v>
      </c>
      <c r="W3354" s="2" t="s">
        <v>38</v>
      </c>
      <c r="X3354" s="2" t="s">
        <v>39</v>
      </c>
      <c r="Y3354" s="2" t="s">
        <v>39</v>
      </c>
      <c r="Z3354" s="2" t="s">
        <v>38</v>
      </c>
      <c r="AA3354" s="2" t="s">
        <v>39</v>
      </c>
      <c r="AB3354" s="2" t="s">
        <v>39</v>
      </c>
      <c r="AC3354" s="2" t="s">
        <v>38</v>
      </c>
      <c r="AD3354" s="2" t="s">
        <v>38</v>
      </c>
      <c r="AE3354" s="2" t="s">
        <v>40</v>
      </c>
    </row>
    <row r="3355" spans="1:31" ht="409.5">
      <c r="A3355" s="2">
        <v>2698399</v>
      </c>
      <c r="B3355" s="2">
        <f>HYPERLINK("https://platform.v2.vetology.net/cases/2698399/screening-report/1?type=pdf&amp;v=v6&amp;scorecard=1&amp;secret_key=BX%25IJ%24%2F65ieZ%29f6", 2698399)</f>
        <v>2698399</v>
      </c>
      <c r="C3355" s="2">
        <f>HYPERLINK("https://platform.v2.vetology.net/report/v/final/"&amp;2698399, 2698399)</f>
        <v>2698399</v>
      </c>
      <c r="D3355" s="2" t="s">
        <v>10630</v>
      </c>
      <c r="E3355" s="2" t="s">
        <v>10631</v>
      </c>
      <c r="F3355" s="2" t="s">
        <v>7849</v>
      </c>
      <c r="G3355" s="2" t="s">
        <v>170</v>
      </c>
      <c r="H3355" s="2" t="s">
        <v>2003</v>
      </c>
      <c r="I3355" s="2" t="s">
        <v>46</v>
      </c>
      <c r="J3355" s="2"/>
      <c r="K3355" s="2" t="s">
        <v>39</v>
      </c>
      <c r="L3355" s="2" t="s">
        <v>38</v>
      </c>
      <c r="M3355" s="2" t="s">
        <v>39</v>
      </c>
      <c r="N3355" s="2" t="s">
        <v>39</v>
      </c>
      <c r="O3355" s="2" t="s">
        <v>38</v>
      </c>
      <c r="P3355" s="2" t="s">
        <v>39</v>
      </c>
      <c r="Q3355" s="2" t="s">
        <v>39</v>
      </c>
      <c r="R3355" s="2" t="s">
        <v>38</v>
      </c>
      <c r="S3355" s="2" t="s">
        <v>39</v>
      </c>
      <c r="T3355" s="2" t="s">
        <v>39</v>
      </c>
      <c r="U3355" s="2" t="s">
        <v>39</v>
      </c>
      <c r="V3355" s="2" t="s">
        <v>39</v>
      </c>
      <c r="W3355" s="2" t="s">
        <v>39</v>
      </c>
      <c r="X3355" s="2" t="s">
        <v>39</v>
      </c>
      <c r="Y3355" s="2" t="s">
        <v>39</v>
      </c>
      <c r="Z3355" s="2" t="s">
        <v>38</v>
      </c>
      <c r="AA3355" s="2" t="s">
        <v>39</v>
      </c>
      <c r="AB3355" s="2" t="s">
        <v>39</v>
      </c>
      <c r="AC3355" s="2" t="s">
        <v>39</v>
      </c>
      <c r="AD3355" s="2" t="s">
        <v>39</v>
      </c>
      <c r="AE3355" s="2" t="s">
        <v>39</v>
      </c>
    </row>
    <row r="3356" spans="1:31" ht="409.5">
      <c r="A3356" s="2">
        <v>2698367</v>
      </c>
      <c r="B3356" s="2">
        <f>HYPERLINK("https://platform.v2.vetology.net/cases/2698367/screening-report/1?type=pdf&amp;v=v6&amp;scorecard=1&amp;secret_key=BX%25IJ%24%2F65ieZ%29f6", 2698367)</f>
        <v>2698367</v>
      </c>
      <c r="C3356" s="2">
        <f>HYPERLINK("https://platform.v2.vetology.net/report/v/final/"&amp;2698367, 2698367)</f>
        <v>2698367</v>
      </c>
      <c r="D3356" s="2" t="s">
        <v>10632</v>
      </c>
      <c r="E3356" s="2" t="s">
        <v>10633</v>
      </c>
      <c r="F3356" s="2" t="s">
        <v>787</v>
      </c>
      <c r="G3356" s="2" t="s">
        <v>100</v>
      </c>
      <c r="H3356" s="2" t="s">
        <v>10634</v>
      </c>
      <c r="I3356" s="2" t="s">
        <v>36</v>
      </c>
      <c r="J3356" s="2" t="s">
        <v>37</v>
      </c>
      <c r="K3356" s="2" t="s">
        <v>39</v>
      </c>
      <c r="L3356" s="2" t="s">
        <v>38</v>
      </c>
      <c r="M3356" s="2" t="s">
        <v>38</v>
      </c>
      <c r="N3356" s="2" t="s">
        <v>38</v>
      </c>
      <c r="O3356" s="2" t="s">
        <v>38</v>
      </c>
      <c r="P3356" s="2" t="s">
        <v>39</v>
      </c>
      <c r="Q3356" s="2" t="s">
        <v>39</v>
      </c>
      <c r="R3356" s="2" t="s">
        <v>39</v>
      </c>
      <c r="S3356" s="2" t="s">
        <v>38</v>
      </c>
      <c r="T3356" s="2" t="s">
        <v>39</v>
      </c>
      <c r="U3356" s="2" t="s">
        <v>38</v>
      </c>
      <c r="V3356" s="2" t="s">
        <v>38</v>
      </c>
      <c r="W3356" s="2" t="s">
        <v>38</v>
      </c>
      <c r="X3356" s="2" t="s">
        <v>39</v>
      </c>
      <c r="Y3356" s="2" t="s">
        <v>39</v>
      </c>
      <c r="Z3356" s="2" t="s">
        <v>38</v>
      </c>
      <c r="AA3356" s="2" t="s">
        <v>38</v>
      </c>
      <c r="AB3356" s="2" t="s">
        <v>39</v>
      </c>
      <c r="AC3356" s="2" t="s">
        <v>38</v>
      </c>
      <c r="AD3356" s="2" t="s">
        <v>38</v>
      </c>
      <c r="AE3356" s="2" t="s">
        <v>40</v>
      </c>
    </row>
    <row r="3357" spans="1:31" ht="409.5">
      <c r="A3357" s="2">
        <v>2698345</v>
      </c>
      <c r="B3357" s="2">
        <f>HYPERLINK("https://platform.v2.vetology.net/cases/2698345/screening-report/1?type=pdf&amp;v=v6&amp;scorecard=1&amp;secret_key=BX%25IJ%24%2F65ieZ%29f6", 2698345)</f>
        <v>2698345</v>
      </c>
      <c r="C3357" s="2">
        <f>HYPERLINK("https://platform.v2.vetology.net/report/v/final/"&amp;2698345, 2698345)</f>
        <v>2698345</v>
      </c>
      <c r="D3357" s="2" t="s">
        <v>10635</v>
      </c>
      <c r="E3357" s="2" t="s">
        <v>10636</v>
      </c>
      <c r="F3357" s="2" t="s">
        <v>10637</v>
      </c>
      <c r="G3357" s="2" t="s">
        <v>53</v>
      </c>
      <c r="H3357" s="2" t="s">
        <v>10638</v>
      </c>
      <c r="I3357" s="2" t="s">
        <v>73</v>
      </c>
      <c r="J3357" s="2" t="s">
        <v>74</v>
      </c>
      <c r="K3357" s="2" t="s">
        <v>38</v>
      </c>
      <c r="L3357" s="2" t="s">
        <v>38</v>
      </c>
      <c r="M3357" s="2" t="s">
        <v>38</v>
      </c>
      <c r="N3357" s="2" t="s">
        <v>38</v>
      </c>
      <c r="O3357" s="2" t="s">
        <v>38</v>
      </c>
      <c r="P3357" s="2" t="s">
        <v>38</v>
      </c>
      <c r="Q3357" s="2" t="s">
        <v>38</v>
      </c>
      <c r="R3357" s="2" t="s">
        <v>38</v>
      </c>
      <c r="S3357" s="2" t="s">
        <v>38</v>
      </c>
      <c r="T3357" s="2" t="s">
        <v>38</v>
      </c>
      <c r="U3357" s="2" t="s">
        <v>38</v>
      </c>
      <c r="V3357" s="2" t="s">
        <v>38</v>
      </c>
      <c r="W3357" s="2" t="s">
        <v>38</v>
      </c>
      <c r="X3357" s="2" t="s">
        <v>38</v>
      </c>
      <c r="Y3357" s="2" t="s">
        <v>38</v>
      </c>
      <c r="Z3357" s="2" t="s">
        <v>38</v>
      </c>
      <c r="AA3357" s="2" t="s">
        <v>38</v>
      </c>
      <c r="AB3357" s="2" t="s">
        <v>38</v>
      </c>
      <c r="AC3357" s="2" t="s">
        <v>38</v>
      </c>
      <c r="AD3357" s="2" t="s">
        <v>38</v>
      </c>
      <c r="AE3357" s="2" t="s">
        <v>39</v>
      </c>
    </row>
    <row r="3358" spans="1:31" ht="409.5">
      <c r="A3358" s="2">
        <v>2698269</v>
      </c>
      <c r="B3358" s="2">
        <f>HYPERLINK("https://platform.v2.vetology.net/cases/2698269/screening-report/1?type=pdf&amp;v=v6&amp;scorecard=1&amp;secret_key=BX%25IJ%24%2F65ieZ%29f6", 2698269)</f>
        <v>2698269</v>
      </c>
      <c r="C3358" s="2">
        <f>HYPERLINK("https://platform.v2.vetology.net/report/v/final/"&amp;2698269, 2698269)</f>
        <v>2698269</v>
      </c>
      <c r="D3358" s="2" t="s">
        <v>10639</v>
      </c>
      <c r="E3358" s="2" t="s">
        <v>10640</v>
      </c>
      <c r="F3358" s="2" t="s">
        <v>10641</v>
      </c>
      <c r="G3358" s="2" t="s">
        <v>170</v>
      </c>
      <c r="H3358" s="2" t="s">
        <v>10642</v>
      </c>
      <c r="I3358" s="2" t="s">
        <v>73</v>
      </c>
      <c r="J3358" s="2" t="s">
        <v>74</v>
      </c>
      <c r="K3358" s="2" t="s">
        <v>38</v>
      </c>
      <c r="L3358" s="2" t="s">
        <v>38</v>
      </c>
      <c r="M3358" s="2" t="s">
        <v>38</v>
      </c>
      <c r="N3358" s="2" t="s">
        <v>38</v>
      </c>
      <c r="O3358" s="2" t="s">
        <v>38</v>
      </c>
      <c r="P3358" s="2" t="s">
        <v>38</v>
      </c>
      <c r="Q3358" s="2" t="s">
        <v>38</v>
      </c>
      <c r="R3358" s="2" t="s">
        <v>38</v>
      </c>
      <c r="S3358" s="2" t="s">
        <v>38</v>
      </c>
      <c r="T3358" s="2" t="s">
        <v>38</v>
      </c>
      <c r="U3358" s="2" t="s">
        <v>38</v>
      </c>
      <c r="V3358" s="2" t="s">
        <v>38</v>
      </c>
      <c r="W3358" s="2" t="s">
        <v>38</v>
      </c>
      <c r="X3358" s="2" t="s">
        <v>38</v>
      </c>
      <c r="Y3358" s="2" t="s">
        <v>38</v>
      </c>
      <c r="Z3358" s="2" t="s">
        <v>38</v>
      </c>
      <c r="AA3358" s="2" t="s">
        <v>38</v>
      </c>
      <c r="AB3358" s="2" t="s">
        <v>38</v>
      </c>
      <c r="AC3358" s="2" t="s">
        <v>38</v>
      </c>
      <c r="AD3358" s="2" t="s">
        <v>38</v>
      </c>
      <c r="AE3358" s="2" t="s">
        <v>40</v>
      </c>
    </row>
    <row r="3359" spans="1:31" ht="409.5">
      <c r="A3359" s="2">
        <v>2698267</v>
      </c>
      <c r="B3359" s="2">
        <f>HYPERLINK("https://platform.v2.vetology.net/cases/2698267/screening-report/1?type=pdf&amp;v=v6&amp;scorecard=1&amp;secret_key=BX%25IJ%24%2F65ieZ%29f6", 2698267)</f>
        <v>2698267</v>
      </c>
      <c r="C3359" s="2">
        <f>HYPERLINK("https://platform.v2.vetology.net/report/v/final/"&amp;2698267, 2698267)</f>
        <v>2698267</v>
      </c>
      <c r="D3359" s="2" t="s">
        <v>10643</v>
      </c>
      <c r="E3359" s="2" t="s">
        <v>10644</v>
      </c>
      <c r="F3359" s="2"/>
      <c r="G3359" s="2" t="s">
        <v>507</v>
      </c>
      <c r="H3359" s="2" t="s">
        <v>166</v>
      </c>
      <c r="I3359" s="2" t="s">
        <v>36</v>
      </c>
      <c r="J3359" s="2" t="s">
        <v>37</v>
      </c>
      <c r="K3359" s="2" t="s">
        <v>39</v>
      </c>
      <c r="L3359" s="2" t="s">
        <v>39</v>
      </c>
      <c r="M3359" s="2" t="s">
        <v>38</v>
      </c>
      <c r="N3359" s="2" t="s">
        <v>39</v>
      </c>
      <c r="O3359" s="2" t="s">
        <v>38</v>
      </c>
      <c r="P3359" s="2" t="s">
        <v>39</v>
      </c>
      <c r="Q3359" s="2" t="s">
        <v>39</v>
      </c>
      <c r="R3359" s="2" t="s">
        <v>38</v>
      </c>
      <c r="S3359" s="2" t="s">
        <v>38</v>
      </c>
      <c r="T3359" s="2" t="s">
        <v>38</v>
      </c>
      <c r="U3359" s="2" t="s">
        <v>39</v>
      </c>
      <c r="V3359" s="2" t="s">
        <v>38</v>
      </c>
      <c r="W3359" s="2" t="s">
        <v>38</v>
      </c>
      <c r="X3359" s="2" t="s">
        <v>39</v>
      </c>
      <c r="Y3359" s="2" t="s">
        <v>39</v>
      </c>
      <c r="Z3359" s="2" t="s">
        <v>38</v>
      </c>
      <c r="AA3359" s="2" t="s">
        <v>39</v>
      </c>
      <c r="AB3359" s="2" t="s">
        <v>39</v>
      </c>
      <c r="AC3359" s="2" t="s">
        <v>38</v>
      </c>
      <c r="AD3359" s="2" t="s">
        <v>39</v>
      </c>
      <c r="AE3359" s="2" t="s">
        <v>39</v>
      </c>
    </row>
    <row r="3360" spans="1:31" ht="409.5">
      <c r="A3360" s="2">
        <v>2698224</v>
      </c>
      <c r="B3360" s="2">
        <f>HYPERLINK("https://platform.v2.vetology.net/cases/2698224/screening-report/1?type=pdf&amp;v=v6&amp;scorecard=1&amp;secret_key=BX%25IJ%24%2F65ieZ%29f6", 2698224)</f>
        <v>2698224</v>
      </c>
      <c r="C3360" s="2">
        <f>HYPERLINK("https://platform.v2.vetology.net/report/v/final/"&amp;2698224, 2698224)</f>
        <v>2698224</v>
      </c>
      <c r="D3360" s="2" t="s">
        <v>10645</v>
      </c>
      <c r="E3360" s="2" t="s">
        <v>10646</v>
      </c>
      <c r="F3360" s="2" t="s">
        <v>10647</v>
      </c>
      <c r="G3360" s="2" t="s">
        <v>170</v>
      </c>
      <c r="H3360" s="2" t="s">
        <v>10648</v>
      </c>
      <c r="I3360" s="2" t="s">
        <v>36</v>
      </c>
      <c r="J3360" s="2" t="s">
        <v>37</v>
      </c>
      <c r="K3360" s="2" t="s">
        <v>38</v>
      </c>
      <c r="L3360" s="2" t="s">
        <v>39</v>
      </c>
      <c r="M3360" s="2" t="s">
        <v>39</v>
      </c>
      <c r="N3360" s="2" t="s">
        <v>38</v>
      </c>
      <c r="O3360" s="2" t="s">
        <v>39</v>
      </c>
      <c r="P3360" s="2" t="s">
        <v>39</v>
      </c>
      <c r="Q3360" s="2" t="s">
        <v>39</v>
      </c>
      <c r="R3360" s="2" t="s">
        <v>38</v>
      </c>
      <c r="S3360" s="2" t="s">
        <v>38</v>
      </c>
      <c r="T3360" s="2" t="s">
        <v>39</v>
      </c>
      <c r="U3360" s="2" t="s">
        <v>38</v>
      </c>
      <c r="V3360" s="2" t="s">
        <v>38</v>
      </c>
      <c r="W3360" s="2" t="s">
        <v>39</v>
      </c>
      <c r="X3360" s="2" t="s">
        <v>39</v>
      </c>
      <c r="Y3360" s="2" t="s">
        <v>39</v>
      </c>
      <c r="Z3360" s="2" t="s">
        <v>39</v>
      </c>
      <c r="AA3360" s="2" t="s">
        <v>38</v>
      </c>
      <c r="AB3360" s="2" t="s">
        <v>39</v>
      </c>
      <c r="AC3360" s="2" t="s">
        <v>38</v>
      </c>
      <c r="AD3360" s="2" t="s">
        <v>38</v>
      </c>
      <c r="AE3360" s="2" t="s">
        <v>39</v>
      </c>
    </row>
    <row r="3361" spans="1:31" ht="409.5">
      <c r="A3361" s="2">
        <v>2698219</v>
      </c>
      <c r="B3361" s="2">
        <f>HYPERLINK("https://platform.v2.vetology.net/cases/2698219/screening-report/1?type=pdf&amp;v=v6&amp;scorecard=1&amp;secret_key=BX%25IJ%24%2F65ieZ%29f6", 2698219)</f>
        <v>2698219</v>
      </c>
      <c r="C3361" s="2">
        <f>HYPERLINK("https://platform.v2.vetology.net/report/v/final/"&amp;2698219, 2698219)</f>
        <v>2698219</v>
      </c>
      <c r="D3361" s="2" t="s">
        <v>10649</v>
      </c>
      <c r="E3361" s="2" t="s">
        <v>10650</v>
      </c>
      <c r="F3361" s="2" t="s">
        <v>10651</v>
      </c>
      <c r="G3361" s="2" t="s">
        <v>100</v>
      </c>
      <c r="H3361" s="2" t="s">
        <v>1742</v>
      </c>
      <c r="I3361" s="2" t="s">
        <v>36</v>
      </c>
      <c r="J3361" s="2" t="s">
        <v>37</v>
      </c>
      <c r="K3361" s="2" t="s">
        <v>39</v>
      </c>
      <c r="L3361" s="2" t="s">
        <v>38</v>
      </c>
      <c r="M3361" s="2" t="s">
        <v>38</v>
      </c>
      <c r="N3361" s="2" t="s">
        <v>39</v>
      </c>
      <c r="O3361" s="2" t="s">
        <v>38</v>
      </c>
      <c r="P3361" s="2" t="s">
        <v>39</v>
      </c>
      <c r="Q3361" s="2" t="s">
        <v>39</v>
      </c>
      <c r="R3361" s="2" t="s">
        <v>38</v>
      </c>
      <c r="S3361" s="2" t="s">
        <v>39</v>
      </c>
      <c r="T3361" s="2" t="s">
        <v>39</v>
      </c>
      <c r="U3361" s="2" t="s">
        <v>39</v>
      </c>
      <c r="V3361" s="2" t="s">
        <v>39</v>
      </c>
      <c r="W3361" s="2" t="s">
        <v>39</v>
      </c>
      <c r="X3361" s="2" t="s">
        <v>39</v>
      </c>
      <c r="Y3361" s="2" t="s">
        <v>39</v>
      </c>
      <c r="Z3361" s="2" t="s">
        <v>38</v>
      </c>
      <c r="AA3361" s="2" t="s">
        <v>39</v>
      </c>
      <c r="AB3361" s="2" t="s">
        <v>39</v>
      </c>
      <c r="AC3361" s="2" t="s">
        <v>38</v>
      </c>
      <c r="AD3361" s="2" t="s">
        <v>39</v>
      </c>
      <c r="AE3361" s="2" t="s">
        <v>40</v>
      </c>
    </row>
    <row r="3362" spans="1:31" ht="409.5">
      <c r="A3362" s="2">
        <v>2698218</v>
      </c>
      <c r="B3362" s="2">
        <f>HYPERLINK("https://platform.v2.vetology.net/cases/2698218/screening-report/1?type=pdf&amp;v=v6&amp;scorecard=1&amp;secret_key=BX%25IJ%24%2F65ieZ%29f6", 2698218)</f>
        <v>2698218</v>
      </c>
      <c r="C3362" s="2">
        <f>HYPERLINK("https://platform.v2.vetology.net/report/v/final/"&amp;2698218, 2698218)</f>
        <v>2698218</v>
      </c>
      <c r="D3362" s="2" t="s">
        <v>10652</v>
      </c>
      <c r="E3362" s="2" t="s">
        <v>10653</v>
      </c>
      <c r="F3362" s="2" t="s">
        <v>10654</v>
      </c>
      <c r="G3362" s="2" t="s">
        <v>170</v>
      </c>
      <c r="H3362" s="2" t="s">
        <v>10655</v>
      </c>
      <c r="I3362" s="2" t="s">
        <v>36</v>
      </c>
      <c r="J3362" s="2" t="s">
        <v>37</v>
      </c>
      <c r="K3362" s="2" t="s">
        <v>38</v>
      </c>
      <c r="L3362" s="2" t="s">
        <v>38</v>
      </c>
      <c r="M3362" s="2" t="s">
        <v>38</v>
      </c>
      <c r="N3362" s="2" t="s">
        <v>38</v>
      </c>
      <c r="O3362" s="2" t="s">
        <v>38</v>
      </c>
      <c r="P3362" s="2" t="s">
        <v>39</v>
      </c>
      <c r="Q3362" s="2" t="s">
        <v>39</v>
      </c>
      <c r="R3362" s="2" t="s">
        <v>38</v>
      </c>
      <c r="S3362" s="2" t="s">
        <v>38</v>
      </c>
      <c r="T3362" s="2" t="s">
        <v>39</v>
      </c>
      <c r="U3362" s="2" t="s">
        <v>38</v>
      </c>
      <c r="V3362" s="2" t="s">
        <v>38</v>
      </c>
      <c r="W3362" s="2" t="s">
        <v>39</v>
      </c>
      <c r="X3362" s="2" t="s">
        <v>39</v>
      </c>
      <c r="Y3362" s="2" t="s">
        <v>39</v>
      </c>
      <c r="Z3362" s="2" t="s">
        <v>38</v>
      </c>
      <c r="AA3362" s="2" t="s">
        <v>38</v>
      </c>
      <c r="AB3362" s="2" t="s">
        <v>39</v>
      </c>
      <c r="AC3362" s="2" t="s">
        <v>38</v>
      </c>
      <c r="AD3362" s="2" t="s">
        <v>38</v>
      </c>
      <c r="AE3362" s="2" t="s">
        <v>40</v>
      </c>
    </row>
    <row r="3363" spans="1:31" ht="409.5">
      <c r="A3363" s="2">
        <v>2698189</v>
      </c>
      <c r="B3363" s="2">
        <f>HYPERLINK("https://platform.v2.vetology.net/cases/2698189/screening-report/1?type=pdf&amp;v=v6&amp;scorecard=1&amp;secret_key=BX%25IJ%24%2F65ieZ%29f6", 2698189)</f>
        <v>2698189</v>
      </c>
      <c r="C3363" s="2">
        <f>HYPERLINK("https://platform.v2.vetology.net/report/v/final/"&amp;2698189, 2698189)</f>
        <v>2698189</v>
      </c>
      <c r="D3363" s="2" t="s">
        <v>10656</v>
      </c>
      <c r="E3363" s="2" t="s">
        <v>10657</v>
      </c>
      <c r="F3363" s="2" t="s">
        <v>10658</v>
      </c>
      <c r="G3363" s="2" t="s">
        <v>170</v>
      </c>
      <c r="H3363" s="2" t="s">
        <v>45</v>
      </c>
      <c r="I3363" s="2" t="s">
        <v>46</v>
      </c>
      <c r="J3363" s="2"/>
      <c r="K3363" s="2" t="s">
        <v>39</v>
      </c>
      <c r="L3363" s="2" t="s">
        <v>39</v>
      </c>
      <c r="M3363" s="2" t="s">
        <v>39</v>
      </c>
      <c r="N3363" s="2" t="s">
        <v>39</v>
      </c>
      <c r="O3363" s="2" t="s">
        <v>38</v>
      </c>
      <c r="P3363" s="2" t="s">
        <v>39</v>
      </c>
      <c r="Q3363" s="2" t="s">
        <v>39</v>
      </c>
      <c r="R3363" s="2" t="s">
        <v>38</v>
      </c>
      <c r="S3363" s="2" t="s">
        <v>39</v>
      </c>
      <c r="T3363" s="2" t="s">
        <v>39</v>
      </c>
      <c r="U3363" s="2" t="s">
        <v>39</v>
      </c>
      <c r="V3363" s="2" t="s">
        <v>39</v>
      </c>
      <c r="W3363" s="2" t="s">
        <v>38</v>
      </c>
      <c r="X3363" s="2" t="s">
        <v>39</v>
      </c>
      <c r="Y3363" s="2" t="s">
        <v>39</v>
      </c>
      <c r="Z3363" s="2" t="s">
        <v>39</v>
      </c>
      <c r="AA3363" s="2" t="s">
        <v>38</v>
      </c>
      <c r="AB3363" s="2" t="s">
        <v>39</v>
      </c>
      <c r="AC3363" s="2" t="s">
        <v>38</v>
      </c>
      <c r="AD3363" s="2" t="s">
        <v>38</v>
      </c>
      <c r="AE3363" s="2" t="s">
        <v>40</v>
      </c>
    </row>
    <row r="3364" spans="1:31" ht="409.5">
      <c r="A3364" s="2">
        <v>2698185</v>
      </c>
      <c r="B3364" s="2">
        <f>HYPERLINK("https://platform.v2.vetology.net/cases/2698185/screening-report/1?type=pdf&amp;v=v6&amp;scorecard=1&amp;secret_key=BX%25IJ%24%2F65ieZ%29f6", 2698185)</f>
        <v>2698185</v>
      </c>
      <c r="C3364" s="2">
        <f>HYPERLINK("https://platform.v2.vetology.net/report/v/final/"&amp;2698185, 2698185)</f>
        <v>2698185</v>
      </c>
      <c r="D3364" s="2" t="s">
        <v>10659</v>
      </c>
      <c r="E3364" s="2" t="s">
        <v>10660</v>
      </c>
      <c r="F3364" s="2" t="s">
        <v>43</v>
      </c>
      <c r="G3364" s="2" t="s">
        <v>100</v>
      </c>
      <c r="H3364" s="2" t="s">
        <v>10661</v>
      </c>
      <c r="I3364" s="2" t="s">
        <v>36</v>
      </c>
      <c r="J3364" s="2" t="s">
        <v>37</v>
      </c>
      <c r="K3364" s="2" t="s">
        <v>38</v>
      </c>
      <c r="L3364" s="2" t="s">
        <v>38</v>
      </c>
      <c r="M3364" s="2" t="s">
        <v>39</v>
      </c>
      <c r="N3364" s="2" t="s">
        <v>38</v>
      </c>
      <c r="O3364" s="2" t="s">
        <v>38</v>
      </c>
      <c r="P3364" s="2" t="s">
        <v>38</v>
      </c>
      <c r="Q3364" s="2" t="s">
        <v>39</v>
      </c>
      <c r="R3364" s="2" t="s">
        <v>38</v>
      </c>
      <c r="S3364" s="2" t="s">
        <v>38</v>
      </c>
      <c r="T3364" s="2" t="s">
        <v>39</v>
      </c>
      <c r="U3364" s="2" t="s">
        <v>38</v>
      </c>
      <c r="V3364" s="2" t="s">
        <v>38</v>
      </c>
      <c r="W3364" s="2" t="s">
        <v>38</v>
      </c>
      <c r="X3364" s="2" t="s">
        <v>39</v>
      </c>
      <c r="Y3364" s="2" t="s">
        <v>39</v>
      </c>
      <c r="Z3364" s="2" t="s">
        <v>38</v>
      </c>
      <c r="AA3364" s="2" t="s">
        <v>38</v>
      </c>
      <c r="AB3364" s="2" t="s">
        <v>39</v>
      </c>
      <c r="AC3364" s="2" t="s">
        <v>38</v>
      </c>
      <c r="AD3364" s="2" t="s">
        <v>38</v>
      </c>
      <c r="AE3364" s="2" t="s">
        <v>39</v>
      </c>
    </row>
    <row r="3365" spans="1:31" ht="409.5">
      <c r="A3365" s="2">
        <v>2698161</v>
      </c>
      <c r="B3365" s="2">
        <f>HYPERLINK("https://platform.v2.vetology.net/cases/2698161/screening-report/1?type=pdf&amp;v=v6&amp;scorecard=1&amp;secret_key=BX%25IJ%24%2F65ieZ%29f6", 2698161)</f>
        <v>2698161</v>
      </c>
      <c r="C3365" s="2">
        <f>HYPERLINK("https://platform.v2.vetology.net/report/v/final/"&amp;2698161, 2698161)</f>
        <v>2698161</v>
      </c>
      <c r="D3365" s="2" t="s">
        <v>10662</v>
      </c>
      <c r="E3365" s="2" t="s">
        <v>10663</v>
      </c>
      <c r="F3365" s="2" t="s">
        <v>10664</v>
      </c>
      <c r="G3365" s="2" t="s">
        <v>53</v>
      </c>
      <c r="H3365" s="2" t="s">
        <v>10665</v>
      </c>
      <c r="I3365" s="2" t="s">
        <v>73</v>
      </c>
      <c r="J3365" s="2" t="s">
        <v>74</v>
      </c>
      <c r="K3365" s="2" t="s">
        <v>38</v>
      </c>
      <c r="L3365" s="2" t="s">
        <v>38</v>
      </c>
      <c r="M3365" s="2" t="s">
        <v>38</v>
      </c>
      <c r="N3365" s="2" t="s">
        <v>38</v>
      </c>
      <c r="O3365" s="2" t="s">
        <v>38</v>
      </c>
      <c r="P3365" s="2" t="s">
        <v>38</v>
      </c>
      <c r="Q3365" s="2" t="s">
        <v>38</v>
      </c>
      <c r="R3365" s="2" t="s">
        <v>39</v>
      </c>
      <c r="S3365" s="2" t="s">
        <v>38</v>
      </c>
      <c r="T3365" s="2" t="s">
        <v>38</v>
      </c>
      <c r="U3365" s="2" t="s">
        <v>38</v>
      </c>
      <c r="V3365" s="2" t="s">
        <v>38</v>
      </c>
      <c r="W3365" s="2" t="s">
        <v>38</v>
      </c>
      <c r="X3365" s="2" t="s">
        <v>38</v>
      </c>
      <c r="Y3365" s="2" t="s">
        <v>38</v>
      </c>
      <c r="Z3365" s="2" t="s">
        <v>38</v>
      </c>
      <c r="AA3365" s="2" t="s">
        <v>38</v>
      </c>
      <c r="AB3365" s="2" t="s">
        <v>38</v>
      </c>
      <c r="AC3365" s="2" t="s">
        <v>38</v>
      </c>
      <c r="AD3365" s="2" t="s">
        <v>39</v>
      </c>
      <c r="AE3365" s="2" t="s">
        <v>39</v>
      </c>
    </row>
    <row r="3366" spans="1:31" ht="409.5">
      <c r="A3366" s="2">
        <v>2698141</v>
      </c>
      <c r="B3366" s="2">
        <f>HYPERLINK("https://platform.v2.vetology.net/cases/2698141/screening-report/1?type=pdf&amp;v=v6&amp;scorecard=1&amp;secret_key=BX%25IJ%24%2F65ieZ%29f6", 2698141)</f>
        <v>2698141</v>
      </c>
      <c r="C3366" s="2">
        <f>HYPERLINK("https://platform.v2.vetology.net/report/v/final/"&amp;2698141, 2698141)</f>
        <v>2698141</v>
      </c>
      <c r="D3366" s="2" t="s">
        <v>10666</v>
      </c>
      <c r="E3366" s="2" t="s">
        <v>10667</v>
      </c>
      <c r="F3366" s="2" t="s">
        <v>10668</v>
      </c>
      <c r="G3366" s="2" t="s">
        <v>170</v>
      </c>
      <c r="H3366" s="2" t="s">
        <v>10669</v>
      </c>
      <c r="I3366" s="2" t="s">
        <v>129</v>
      </c>
      <c r="J3366" s="2" t="s">
        <v>74</v>
      </c>
      <c r="K3366" s="2" t="s">
        <v>38</v>
      </c>
      <c r="L3366" s="2" t="s">
        <v>38</v>
      </c>
      <c r="M3366" s="2" t="s">
        <v>38</v>
      </c>
      <c r="N3366" s="2" t="s">
        <v>38</v>
      </c>
      <c r="O3366" s="2" t="s">
        <v>38</v>
      </c>
      <c r="P3366" s="2" t="s">
        <v>38</v>
      </c>
      <c r="Q3366" s="2" t="s">
        <v>38</v>
      </c>
      <c r="R3366" s="2" t="s">
        <v>38</v>
      </c>
      <c r="S3366" s="2" t="s">
        <v>38</v>
      </c>
      <c r="T3366" s="2" t="s">
        <v>38</v>
      </c>
      <c r="U3366" s="2" t="s">
        <v>38</v>
      </c>
      <c r="V3366" s="2" t="s">
        <v>38</v>
      </c>
      <c r="W3366" s="2" t="s">
        <v>38</v>
      </c>
      <c r="X3366" s="2" t="s">
        <v>38</v>
      </c>
      <c r="Y3366" s="2" t="s">
        <v>38</v>
      </c>
      <c r="Z3366" s="2" t="s">
        <v>38</v>
      </c>
      <c r="AA3366" s="2" t="s">
        <v>38</v>
      </c>
      <c r="AB3366" s="2" t="s">
        <v>38</v>
      </c>
      <c r="AC3366" s="2" t="s">
        <v>38</v>
      </c>
      <c r="AD3366" s="2" t="s">
        <v>38</v>
      </c>
      <c r="AE3366" s="2"/>
    </row>
    <row r="3367" spans="1:31" ht="409.5">
      <c r="A3367" s="2">
        <v>2698040</v>
      </c>
      <c r="B3367" s="2">
        <f>HYPERLINK("https://platform.v2.vetology.net/cases/2698040/screening-report/1?type=pdf&amp;v=v6&amp;scorecard=1&amp;secret_key=BX%25IJ%24%2F65ieZ%29f6", 2698040)</f>
        <v>2698040</v>
      </c>
      <c r="C3367" s="2">
        <f>HYPERLINK("https://platform.v2.vetology.net/report/v/final/"&amp;2698040, 2698040)</f>
        <v>2698040</v>
      </c>
      <c r="D3367" s="2" t="s">
        <v>10670</v>
      </c>
      <c r="E3367" s="2" t="s">
        <v>10671</v>
      </c>
      <c r="F3367" s="2"/>
      <c r="G3367" s="2" t="s">
        <v>81</v>
      </c>
      <c r="H3367" s="2" t="s">
        <v>10672</v>
      </c>
      <c r="I3367" s="2" t="s">
        <v>129</v>
      </c>
      <c r="J3367" s="2" t="s">
        <v>74</v>
      </c>
      <c r="K3367" s="2" t="s">
        <v>38</v>
      </c>
      <c r="L3367" s="2" t="s">
        <v>39</v>
      </c>
      <c r="M3367" s="2" t="s">
        <v>38</v>
      </c>
      <c r="N3367" s="2" t="s">
        <v>38</v>
      </c>
      <c r="O3367" s="2" t="s">
        <v>38</v>
      </c>
      <c r="P3367" s="2" t="s">
        <v>38</v>
      </c>
      <c r="Q3367" s="2" t="s">
        <v>38</v>
      </c>
      <c r="R3367" s="2" t="s">
        <v>38</v>
      </c>
      <c r="S3367" s="2" t="s">
        <v>39</v>
      </c>
      <c r="T3367" s="2" t="s">
        <v>38</v>
      </c>
      <c r="U3367" s="2" t="s">
        <v>39</v>
      </c>
      <c r="V3367" s="2" t="s">
        <v>39</v>
      </c>
      <c r="W3367" s="2" t="s">
        <v>39</v>
      </c>
      <c r="X3367" s="2" t="s">
        <v>38</v>
      </c>
      <c r="Y3367" s="2" t="s">
        <v>39</v>
      </c>
      <c r="Z3367" s="2" t="s">
        <v>38</v>
      </c>
      <c r="AA3367" s="2" t="s">
        <v>38</v>
      </c>
      <c r="AB3367" s="2" t="s">
        <v>38</v>
      </c>
      <c r="AC3367" s="2" t="s">
        <v>38</v>
      </c>
      <c r="AD3367" s="2" t="s">
        <v>38</v>
      </c>
      <c r="AE3367" s="2" t="s">
        <v>39</v>
      </c>
    </row>
    <row r="3368" spans="1:31" ht="409.5">
      <c r="A3368" s="2">
        <v>2698026</v>
      </c>
      <c r="B3368" s="2">
        <f>HYPERLINK("https://platform.v2.vetology.net/cases/2698026/screening-report/1?type=pdf&amp;v=v6&amp;scorecard=1&amp;secret_key=BX%25IJ%24%2F65ieZ%29f6", 2698026)</f>
        <v>2698026</v>
      </c>
      <c r="C3368" s="2">
        <f>HYPERLINK("https://platform.v2.vetology.net/report/v/final/"&amp;2698026, 2698026)</f>
        <v>2698026</v>
      </c>
      <c r="D3368" s="2" t="s">
        <v>10673</v>
      </c>
      <c r="E3368" s="2" t="s">
        <v>10674</v>
      </c>
      <c r="F3368" s="2" t="s">
        <v>10675</v>
      </c>
      <c r="G3368" s="2" t="s">
        <v>111</v>
      </c>
      <c r="H3368" s="2" t="s">
        <v>69</v>
      </c>
      <c r="I3368" s="2" t="s">
        <v>46</v>
      </c>
      <c r="J3368" s="2"/>
      <c r="K3368" s="2" t="s">
        <v>39</v>
      </c>
      <c r="L3368" s="2" t="s">
        <v>39</v>
      </c>
      <c r="M3368" s="2" t="s">
        <v>39</v>
      </c>
      <c r="N3368" s="2" t="s">
        <v>39</v>
      </c>
      <c r="O3368" s="2" t="s">
        <v>39</v>
      </c>
      <c r="P3368" s="2" t="s">
        <v>39</v>
      </c>
      <c r="Q3368" s="2" t="s">
        <v>39</v>
      </c>
      <c r="R3368" s="2" t="s">
        <v>39</v>
      </c>
      <c r="S3368" s="2" t="s">
        <v>39</v>
      </c>
      <c r="T3368" s="2" t="s">
        <v>39</v>
      </c>
      <c r="U3368" s="2" t="s">
        <v>39</v>
      </c>
      <c r="V3368" s="2" t="s">
        <v>39</v>
      </c>
      <c r="W3368" s="2" t="s">
        <v>39</v>
      </c>
      <c r="X3368" s="2" t="s">
        <v>39</v>
      </c>
      <c r="Y3368" s="2" t="s">
        <v>39</v>
      </c>
      <c r="Z3368" s="2" t="s">
        <v>39</v>
      </c>
      <c r="AA3368" s="2" t="s">
        <v>39</v>
      </c>
      <c r="AB3368" s="2" t="s">
        <v>39</v>
      </c>
      <c r="AC3368" s="2" t="s">
        <v>39</v>
      </c>
      <c r="AD3368" s="2" t="s">
        <v>39</v>
      </c>
      <c r="AE3368" s="2" t="s">
        <v>39</v>
      </c>
    </row>
    <row r="3369" spans="1:31" ht="409.5">
      <c r="A3369" s="2">
        <v>2698021</v>
      </c>
      <c r="B3369" s="2">
        <f>HYPERLINK("https://platform.v2.vetology.net/cases/2698021/screening-report/1?type=pdf&amp;v=v6&amp;scorecard=1&amp;secret_key=BX%25IJ%24%2F65ieZ%29f6", 2698021)</f>
        <v>2698021</v>
      </c>
      <c r="C3369" s="2">
        <f>HYPERLINK("https://platform.v2.vetology.net/report/v/final/"&amp;2698021, 2698021)</f>
        <v>2698021</v>
      </c>
      <c r="D3369" s="2" t="s">
        <v>10676</v>
      </c>
      <c r="E3369" s="2" t="s">
        <v>10677</v>
      </c>
      <c r="F3369" s="2" t="s">
        <v>10678</v>
      </c>
      <c r="G3369" s="2" t="s">
        <v>53</v>
      </c>
      <c r="H3369" s="2" t="s">
        <v>797</v>
      </c>
      <c r="I3369" s="2" t="s">
        <v>59</v>
      </c>
      <c r="J3369" s="2" t="s">
        <v>37</v>
      </c>
      <c r="K3369" s="2" t="s">
        <v>38</v>
      </c>
      <c r="L3369" s="2" t="s">
        <v>39</v>
      </c>
      <c r="M3369" s="2" t="s">
        <v>39</v>
      </c>
      <c r="N3369" s="2" t="s">
        <v>39</v>
      </c>
      <c r="O3369" s="2" t="s">
        <v>39</v>
      </c>
      <c r="P3369" s="2" t="s">
        <v>39</v>
      </c>
      <c r="Q3369" s="2" t="s">
        <v>39</v>
      </c>
      <c r="R3369" s="2" t="s">
        <v>38</v>
      </c>
      <c r="S3369" s="2" t="s">
        <v>39</v>
      </c>
      <c r="T3369" s="2" t="s">
        <v>39</v>
      </c>
      <c r="U3369" s="2" t="s">
        <v>38</v>
      </c>
      <c r="V3369" s="2" t="s">
        <v>38</v>
      </c>
      <c r="W3369" s="2" t="s">
        <v>38</v>
      </c>
      <c r="X3369" s="2" t="s">
        <v>39</v>
      </c>
      <c r="Y3369" s="2" t="s">
        <v>39</v>
      </c>
      <c r="Z3369" s="2" t="s">
        <v>39</v>
      </c>
      <c r="AA3369" s="2" t="s">
        <v>39</v>
      </c>
      <c r="AB3369" s="2" t="s">
        <v>39</v>
      </c>
      <c r="AC3369" s="2" t="s">
        <v>38</v>
      </c>
      <c r="AD3369" s="2" t="s">
        <v>38</v>
      </c>
      <c r="AE3369" s="2" t="s">
        <v>39</v>
      </c>
    </row>
    <row r="3370" spans="1:31" ht="409.5">
      <c r="A3370" s="2">
        <v>2698019</v>
      </c>
      <c r="B3370" s="2">
        <f>HYPERLINK("https://platform.v2.vetology.net/cases/2698019/screening-report/1?type=pdf&amp;v=v6&amp;scorecard=1&amp;secret_key=BX%25IJ%24%2F65ieZ%29f6", 2698019)</f>
        <v>2698019</v>
      </c>
      <c r="C3370" s="2">
        <f>HYPERLINK("https://platform.v2.vetology.net/report/v/final/"&amp;2698019, 2698019)</f>
        <v>2698019</v>
      </c>
      <c r="D3370" s="2" t="s">
        <v>10679</v>
      </c>
      <c r="E3370" s="2" t="s">
        <v>10680</v>
      </c>
      <c r="F3370" s="2" t="s">
        <v>10681</v>
      </c>
      <c r="G3370" s="2" t="s">
        <v>53</v>
      </c>
      <c r="H3370" s="2" t="s">
        <v>69</v>
      </c>
      <c r="I3370" s="2" t="s">
        <v>46</v>
      </c>
      <c r="J3370" s="2"/>
      <c r="K3370" s="2" t="s">
        <v>39</v>
      </c>
      <c r="L3370" s="2" t="s">
        <v>39</v>
      </c>
      <c r="M3370" s="2" t="s">
        <v>39</v>
      </c>
      <c r="N3370" s="2" t="s">
        <v>39</v>
      </c>
      <c r="O3370" s="2" t="s">
        <v>39</v>
      </c>
      <c r="P3370" s="2" t="s">
        <v>39</v>
      </c>
      <c r="Q3370" s="2" t="s">
        <v>39</v>
      </c>
      <c r="R3370" s="2" t="s">
        <v>39</v>
      </c>
      <c r="S3370" s="2" t="s">
        <v>39</v>
      </c>
      <c r="T3370" s="2" t="s">
        <v>39</v>
      </c>
      <c r="U3370" s="2" t="s">
        <v>39</v>
      </c>
      <c r="V3370" s="2" t="s">
        <v>38</v>
      </c>
      <c r="W3370" s="2" t="s">
        <v>38</v>
      </c>
      <c r="X3370" s="2" t="s">
        <v>39</v>
      </c>
      <c r="Y3370" s="2" t="s">
        <v>39</v>
      </c>
      <c r="Z3370" s="2" t="s">
        <v>39</v>
      </c>
      <c r="AA3370" s="2" t="s">
        <v>39</v>
      </c>
      <c r="AB3370" s="2" t="s">
        <v>39</v>
      </c>
      <c r="AC3370" s="2" t="s">
        <v>38</v>
      </c>
      <c r="AD3370" s="2" t="s">
        <v>39</v>
      </c>
      <c r="AE3370" s="2" t="s">
        <v>39</v>
      </c>
    </row>
    <row r="3371" spans="1:31" ht="409.5">
      <c r="A3371" s="2">
        <v>2698012</v>
      </c>
      <c r="B3371" s="2">
        <f>HYPERLINK("https://platform.v2.vetology.net/cases/2698012/screening-report/1?type=pdf&amp;v=v6&amp;scorecard=1&amp;secret_key=BX%25IJ%24%2F65ieZ%29f6", 2698012)</f>
        <v>2698012</v>
      </c>
      <c r="C3371" s="2">
        <f>HYPERLINK("https://platform.v2.vetology.net/report/v/final/"&amp;2698012, 2698012)</f>
        <v>2698012</v>
      </c>
      <c r="D3371" s="2" t="s">
        <v>2629</v>
      </c>
      <c r="E3371" s="2" t="s">
        <v>118</v>
      </c>
      <c r="F3371" s="2" t="s">
        <v>1498</v>
      </c>
      <c r="G3371" s="2" t="s">
        <v>111</v>
      </c>
      <c r="H3371" s="2" t="s">
        <v>408</v>
      </c>
      <c r="I3371" s="2" t="s">
        <v>36</v>
      </c>
      <c r="J3371" s="2" t="s">
        <v>37</v>
      </c>
      <c r="K3371" s="2" t="s">
        <v>38</v>
      </c>
      <c r="L3371" s="2" t="s">
        <v>39</v>
      </c>
      <c r="M3371" s="2" t="s">
        <v>38</v>
      </c>
      <c r="N3371" s="2" t="s">
        <v>38</v>
      </c>
      <c r="O3371" s="2" t="s">
        <v>38</v>
      </c>
      <c r="P3371" s="2" t="s">
        <v>39</v>
      </c>
      <c r="Q3371" s="2" t="s">
        <v>38</v>
      </c>
      <c r="R3371" s="2" t="s">
        <v>39</v>
      </c>
      <c r="S3371" s="2" t="s">
        <v>39</v>
      </c>
      <c r="T3371" s="2" t="s">
        <v>39</v>
      </c>
      <c r="U3371" s="2" t="s">
        <v>38</v>
      </c>
      <c r="V3371" s="2" t="s">
        <v>38</v>
      </c>
      <c r="W3371" s="2" t="s">
        <v>38</v>
      </c>
      <c r="X3371" s="2" t="s">
        <v>38</v>
      </c>
      <c r="Y3371" s="2" t="s">
        <v>39</v>
      </c>
      <c r="Z3371" s="2" t="s">
        <v>38</v>
      </c>
      <c r="AA3371" s="2" t="s">
        <v>38</v>
      </c>
      <c r="AB3371" s="2" t="s">
        <v>38</v>
      </c>
      <c r="AC3371" s="2" t="s">
        <v>39</v>
      </c>
      <c r="AD3371" s="2" t="s">
        <v>39</v>
      </c>
      <c r="AE3371" s="2" t="s">
        <v>39</v>
      </c>
    </row>
    <row r="3372" spans="1:31" ht="409.5">
      <c r="A3372" s="2">
        <v>2697993</v>
      </c>
      <c r="B3372" s="2">
        <f>HYPERLINK("https://platform.v2.vetology.net/cases/2697993/screening-report/1?type=pdf&amp;v=v6&amp;scorecard=1&amp;secret_key=BX%25IJ%24%2F65ieZ%29f6", 2697993)</f>
        <v>2697993</v>
      </c>
      <c r="C3372" s="2">
        <f>HYPERLINK("https://platform.v2.vetology.net/report/v/final/"&amp;2697993, 2697993)</f>
        <v>2697993</v>
      </c>
      <c r="D3372" s="2" t="s">
        <v>10682</v>
      </c>
      <c r="E3372" s="2" t="s">
        <v>10683</v>
      </c>
      <c r="F3372" s="2" t="s">
        <v>10684</v>
      </c>
      <c r="G3372" s="2" t="s">
        <v>53</v>
      </c>
      <c r="H3372" s="2" t="s">
        <v>10685</v>
      </c>
      <c r="I3372" s="2" t="s">
        <v>36</v>
      </c>
      <c r="J3372" s="2" t="s">
        <v>37</v>
      </c>
      <c r="K3372" s="2" t="s">
        <v>39</v>
      </c>
      <c r="L3372" s="2" t="s">
        <v>38</v>
      </c>
      <c r="M3372" s="2" t="s">
        <v>38</v>
      </c>
      <c r="N3372" s="2" t="s">
        <v>38</v>
      </c>
      <c r="O3372" s="2" t="s">
        <v>38</v>
      </c>
      <c r="P3372" s="2" t="s">
        <v>38</v>
      </c>
      <c r="Q3372" s="2" t="s">
        <v>39</v>
      </c>
      <c r="R3372" s="2" t="s">
        <v>38</v>
      </c>
      <c r="S3372" s="2" t="s">
        <v>38</v>
      </c>
      <c r="T3372" s="2" t="s">
        <v>38</v>
      </c>
      <c r="U3372" s="2" t="s">
        <v>38</v>
      </c>
      <c r="V3372" s="2" t="s">
        <v>38</v>
      </c>
      <c r="W3372" s="2" t="s">
        <v>38</v>
      </c>
      <c r="X3372" s="2" t="s">
        <v>39</v>
      </c>
      <c r="Y3372" s="2" t="s">
        <v>38</v>
      </c>
      <c r="Z3372" s="2" t="s">
        <v>38</v>
      </c>
      <c r="AA3372" s="2" t="s">
        <v>38</v>
      </c>
      <c r="AB3372" s="2" t="s">
        <v>39</v>
      </c>
      <c r="AC3372" s="2" t="s">
        <v>38</v>
      </c>
      <c r="AD3372" s="2" t="s">
        <v>38</v>
      </c>
      <c r="AE3372" s="2" t="s">
        <v>40</v>
      </c>
    </row>
    <row r="3373" spans="1:31" ht="409.5">
      <c r="A3373" s="2">
        <v>2697982</v>
      </c>
      <c r="B3373" s="2">
        <f>HYPERLINK("https://platform.v2.vetology.net/cases/2697982/screening-report/1?type=pdf&amp;v=v6&amp;scorecard=1&amp;secret_key=BX%25IJ%24%2F65ieZ%29f6", 2697982)</f>
        <v>2697982</v>
      </c>
      <c r="C3373" s="2">
        <f>HYPERLINK("https://platform.v2.vetology.net/report/v/final/"&amp;2697982, 2697982)</f>
        <v>2697982</v>
      </c>
      <c r="D3373" s="2" t="s">
        <v>10686</v>
      </c>
      <c r="E3373" s="2" t="s">
        <v>10687</v>
      </c>
      <c r="F3373" s="2" t="s">
        <v>10688</v>
      </c>
      <c r="G3373" s="2" t="s">
        <v>53</v>
      </c>
      <c r="H3373" s="2" t="s">
        <v>537</v>
      </c>
      <c r="I3373" s="2" t="s">
        <v>59</v>
      </c>
      <c r="J3373" s="2" t="s">
        <v>37</v>
      </c>
      <c r="K3373" s="2" t="s">
        <v>38</v>
      </c>
      <c r="L3373" s="2" t="s">
        <v>39</v>
      </c>
      <c r="M3373" s="2" t="s">
        <v>39</v>
      </c>
      <c r="N3373" s="2" t="s">
        <v>39</v>
      </c>
      <c r="O3373" s="2" t="s">
        <v>39</v>
      </c>
      <c r="P3373" s="2" t="s">
        <v>39</v>
      </c>
      <c r="Q3373" s="2" t="s">
        <v>39</v>
      </c>
      <c r="R3373" s="2" t="s">
        <v>39</v>
      </c>
      <c r="S3373" s="2" t="s">
        <v>39</v>
      </c>
      <c r="T3373" s="2" t="s">
        <v>39</v>
      </c>
      <c r="U3373" s="2" t="s">
        <v>38</v>
      </c>
      <c r="V3373" s="2" t="s">
        <v>38</v>
      </c>
      <c r="W3373" s="2" t="s">
        <v>39</v>
      </c>
      <c r="X3373" s="2" t="s">
        <v>39</v>
      </c>
      <c r="Y3373" s="2" t="s">
        <v>39</v>
      </c>
      <c r="Z3373" s="2" t="s">
        <v>39</v>
      </c>
      <c r="AA3373" s="2" t="s">
        <v>39</v>
      </c>
      <c r="AB3373" s="2" t="s">
        <v>39</v>
      </c>
      <c r="AC3373" s="2" t="s">
        <v>38</v>
      </c>
      <c r="AD3373" s="2" t="s">
        <v>38</v>
      </c>
      <c r="AE3373" s="2" t="s">
        <v>39</v>
      </c>
    </row>
    <row r="3374" spans="1:31" ht="409.5">
      <c r="A3374" s="2">
        <v>2697978</v>
      </c>
      <c r="B3374" s="2">
        <f>HYPERLINK("https://platform.v2.vetology.net/cases/2697978/screening-report/1?type=pdf&amp;v=v6&amp;scorecard=1&amp;secret_key=BX%25IJ%24%2F65ieZ%29f6", 2697978)</f>
        <v>2697978</v>
      </c>
      <c r="C3374" s="2">
        <f>HYPERLINK("https://platform.v2.vetology.net/report/v/final/"&amp;2697978, 2697978)</f>
        <v>2697978</v>
      </c>
      <c r="D3374" s="2" t="s">
        <v>10689</v>
      </c>
      <c r="E3374" s="2" t="s">
        <v>10690</v>
      </c>
      <c r="F3374" s="2" t="s">
        <v>10691</v>
      </c>
      <c r="G3374" s="2" t="s">
        <v>127</v>
      </c>
      <c r="H3374" s="2" t="s">
        <v>69</v>
      </c>
      <c r="I3374" s="2" t="s">
        <v>46</v>
      </c>
      <c r="J3374" s="2"/>
      <c r="K3374" s="2" t="s">
        <v>39</v>
      </c>
      <c r="L3374" s="2" t="s">
        <v>39</v>
      </c>
      <c r="M3374" s="2" t="s">
        <v>39</v>
      </c>
      <c r="N3374" s="2" t="s">
        <v>39</v>
      </c>
      <c r="O3374" s="2" t="s">
        <v>39</v>
      </c>
      <c r="P3374" s="2" t="s">
        <v>39</v>
      </c>
      <c r="Q3374" s="2" t="s">
        <v>39</v>
      </c>
      <c r="R3374" s="2" t="s">
        <v>39</v>
      </c>
      <c r="S3374" s="2" t="s">
        <v>39</v>
      </c>
      <c r="T3374" s="2" t="s">
        <v>39</v>
      </c>
      <c r="U3374" s="2" t="s">
        <v>39</v>
      </c>
      <c r="V3374" s="2" t="s">
        <v>39</v>
      </c>
      <c r="W3374" s="2" t="s">
        <v>39</v>
      </c>
      <c r="X3374" s="2" t="s">
        <v>39</v>
      </c>
      <c r="Y3374" s="2" t="s">
        <v>39</v>
      </c>
      <c r="Z3374" s="2" t="s">
        <v>39</v>
      </c>
      <c r="AA3374" s="2" t="s">
        <v>39</v>
      </c>
      <c r="AB3374" s="2" t="s">
        <v>39</v>
      </c>
      <c r="AC3374" s="2" t="s">
        <v>38</v>
      </c>
      <c r="AD3374" s="2" t="s">
        <v>38</v>
      </c>
      <c r="AE3374" s="2" t="s">
        <v>39</v>
      </c>
    </row>
    <row r="3375" spans="1:31" ht="409.5">
      <c r="A3375" s="2">
        <v>2697967</v>
      </c>
      <c r="B3375" s="2">
        <f>HYPERLINK("https://platform.v2.vetology.net/cases/2697967/screening-report/1?type=pdf&amp;v=v6&amp;scorecard=1&amp;secret_key=BX%25IJ%24%2F65ieZ%29f6", 2697967)</f>
        <v>2697967</v>
      </c>
      <c r="C3375" s="2">
        <f>HYPERLINK("https://platform.v2.vetology.net/report/v/final/"&amp;2697967, 2697967)</f>
        <v>2697967</v>
      </c>
      <c r="D3375" s="2" t="s">
        <v>10692</v>
      </c>
      <c r="E3375" s="2" t="s">
        <v>10693</v>
      </c>
      <c r="F3375" s="2" t="s">
        <v>10694</v>
      </c>
      <c r="G3375" s="2" t="s">
        <v>53</v>
      </c>
      <c r="H3375" s="2" t="s">
        <v>10695</v>
      </c>
      <c r="I3375" s="2" t="s">
        <v>36</v>
      </c>
      <c r="J3375" s="2" t="s">
        <v>37</v>
      </c>
      <c r="K3375" s="2" t="s">
        <v>39</v>
      </c>
      <c r="L3375" s="2" t="s">
        <v>38</v>
      </c>
      <c r="M3375" s="2" t="s">
        <v>39</v>
      </c>
      <c r="N3375" s="2" t="s">
        <v>38</v>
      </c>
      <c r="O3375" s="2" t="s">
        <v>38</v>
      </c>
      <c r="P3375" s="2" t="s">
        <v>39</v>
      </c>
      <c r="Q3375" s="2" t="s">
        <v>39</v>
      </c>
      <c r="R3375" s="2" t="s">
        <v>39</v>
      </c>
      <c r="S3375" s="2" t="s">
        <v>39</v>
      </c>
      <c r="T3375" s="2" t="s">
        <v>39</v>
      </c>
      <c r="U3375" s="2" t="s">
        <v>39</v>
      </c>
      <c r="V3375" s="2" t="s">
        <v>39</v>
      </c>
      <c r="W3375" s="2" t="s">
        <v>38</v>
      </c>
      <c r="X3375" s="2" t="s">
        <v>39</v>
      </c>
      <c r="Y3375" s="2" t="s">
        <v>39</v>
      </c>
      <c r="Z3375" s="2" t="s">
        <v>39</v>
      </c>
      <c r="AA3375" s="2" t="s">
        <v>39</v>
      </c>
      <c r="AB3375" s="2" t="s">
        <v>39</v>
      </c>
      <c r="AC3375" s="2" t="s">
        <v>38</v>
      </c>
      <c r="AD3375" s="2" t="s">
        <v>38</v>
      </c>
      <c r="AE3375" s="2" t="s">
        <v>39</v>
      </c>
    </row>
    <row r="3376" spans="1:31" ht="409.5">
      <c r="A3376" s="2">
        <v>2697960</v>
      </c>
      <c r="B3376" s="2">
        <f>HYPERLINK("https://platform.v2.vetology.net/cases/2697960/screening-report/1?type=pdf&amp;v=v6&amp;scorecard=1&amp;secret_key=BX%25IJ%24%2F65ieZ%29f6", 2697960)</f>
        <v>2697960</v>
      </c>
      <c r="C3376" s="2">
        <f>HYPERLINK("https://platform.v2.vetology.net/report/v/final/"&amp;2697960, 2697960)</f>
        <v>2697960</v>
      </c>
      <c r="D3376" s="2" t="s">
        <v>10696</v>
      </c>
      <c r="E3376" s="2" t="s">
        <v>10697</v>
      </c>
      <c r="F3376" s="2" t="s">
        <v>8244</v>
      </c>
      <c r="G3376" s="2" t="s">
        <v>111</v>
      </c>
      <c r="H3376" s="2" t="s">
        <v>8439</v>
      </c>
      <c r="I3376" s="2" t="s">
        <v>73</v>
      </c>
      <c r="J3376" s="2" t="s">
        <v>74</v>
      </c>
      <c r="K3376" s="2" t="s">
        <v>38</v>
      </c>
      <c r="L3376" s="2" t="s">
        <v>38</v>
      </c>
      <c r="M3376" s="2" t="s">
        <v>38</v>
      </c>
      <c r="N3376" s="2" t="s">
        <v>38</v>
      </c>
      <c r="O3376" s="2" t="s">
        <v>38</v>
      </c>
      <c r="P3376" s="2" t="s">
        <v>38</v>
      </c>
      <c r="Q3376" s="2" t="s">
        <v>38</v>
      </c>
      <c r="R3376" s="2" t="s">
        <v>38</v>
      </c>
      <c r="S3376" s="2" t="s">
        <v>38</v>
      </c>
      <c r="T3376" s="2" t="s">
        <v>38</v>
      </c>
      <c r="U3376" s="2" t="s">
        <v>38</v>
      </c>
      <c r="V3376" s="2" t="s">
        <v>38</v>
      </c>
      <c r="W3376" s="2" t="s">
        <v>38</v>
      </c>
      <c r="X3376" s="2" t="s">
        <v>38</v>
      </c>
      <c r="Y3376" s="2" t="s">
        <v>38</v>
      </c>
      <c r="Z3376" s="2" t="s">
        <v>38</v>
      </c>
      <c r="AA3376" s="2" t="s">
        <v>38</v>
      </c>
      <c r="AB3376" s="2" t="s">
        <v>38</v>
      </c>
      <c r="AC3376" s="2" t="s">
        <v>38</v>
      </c>
      <c r="AD3376" s="2" t="s">
        <v>38</v>
      </c>
      <c r="AE3376" s="2" t="s">
        <v>40</v>
      </c>
    </row>
    <row r="3377" spans="1:31" ht="409.5">
      <c r="A3377" s="2">
        <v>2697878</v>
      </c>
      <c r="B3377" s="2">
        <f>HYPERLINK("https://platform.v2.vetology.net/cases/2697878/screening-report/1?type=pdf&amp;v=v6&amp;scorecard=1&amp;secret_key=BX%25IJ%24%2F65ieZ%29f6", 2697878)</f>
        <v>2697878</v>
      </c>
      <c r="C3377" s="2">
        <f>HYPERLINK("https://platform.v2.vetology.net/report/v/final/"&amp;2697878, 2697878)</f>
        <v>2697878</v>
      </c>
      <c r="D3377" s="2" t="s">
        <v>10698</v>
      </c>
      <c r="E3377" s="2" t="s">
        <v>10699</v>
      </c>
      <c r="F3377" s="2" t="s">
        <v>10700</v>
      </c>
      <c r="G3377" s="2" t="s">
        <v>53</v>
      </c>
      <c r="H3377" s="2" t="s">
        <v>2760</v>
      </c>
      <c r="I3377" s="2" t="s">
        <v>59</v>
      </c>
      <c r="J3377" s="2" t="s">
        <v>37</v>
      </c>
      <c r="K3377" s="2" t="s">
        <v>39</v>
      </c>
      <c r="L3377" s="2" t="s">
        <v>39</v>
      </c>
      <c r="M3377" s="2" t="s">
        <v>39</v>
      </c>
      <c r="N3377" s="2" t="s">
        <v>38</v>
      </c>
      <c r="O3377" s="2" t="s">
        <v>38</v>
      </c>
      <c r="P3377" s="2" t="s">
        <v>39</v>
      </c>
      <c r="Q3377" s="2" t="s">
        <v>39</v>
      </c>
      <c r="R3377" s="2" t="s">
        <v>38</v>
      </c>
      <c r="S3377" s="2" t="s">
        <v>38</v>
      </c>
      <c r="T3377" s="2" t="s">
        <v>38</v>
      </c>
      <c r="U3377" s="2" t="s">
        <v>39</v>
      </c>
      <c r="V3377" s="2" t="s">
        <v>38</v>
      </c>
      <c r="W3377" s="2" t="s">
        <v>39</v>
      </c>
      <c r="X3377" s="2" t="s">
        <v>39</v>
      </c>
      <c r="Y3377" s="2" t="s">
        <v>38</v>
      </c>
      <c r="Z3377" s="2" t="s">
        <v>38</v>
      </c>
      <c r="AA3377" s="2" t="s">
        <v>39</v>
      </c>
      <c r="AB3377" s="2" t="s">
        <v>39</v>
      </c>
      <c r="AC3377" s="2" t="s">
        <v>38</v>
      </c>
      <c r="AD3377" s="2" t="s">
        <v>38</v>
      </c>
      <c r="AE3377" s="2" t="s">
        <v>39</v>
      </c>
    </row>
    <row r="3378" spans="1:31" ht="409.5">
      <c r="A3378" s="2">
        <v>2697866</v>
      </c>
      <c r="B3378" s="2">
        <f>HYPERLINK("https://platform.v2.vetology.net/cases/2697866/screening-report/1?type=pdf&amp;v=v6&amp;scorecard=1&amp;secret_key=BX%25IJ%24%2F65ieZ%29f6", 2697866)</f>
        <v>2697866</v>
      </c>
      <c r="C3378" s="2">
        <f>HYPERLINK("https://platform.v2.vetology.net/report/v/final/"&amp;2697866, 2697866)</f>
        <v>2697866</v>
      </c>
      <c r="D3378" s="2" t="s">
        <v>10701</v>
      </c>
      <c r="E3378" s="2" t="s">
        <v>10702</v>
      </c>
      <c r="F3378" s="2" t="s">
        <v>10703</v>
      </c>
      <c r="G3378" s="2" t="s">
        <v>34</v>
      </c>
      <c r="H3378" s="2" t="s">
        <v>1948</v>
      </c>
      <c r="I3378" s="2" t="s">
        <v>73</v>
      </c>
      <c r="J3378" s="2" t="s">
        <v>74</v>
      </c>
      <c r="K3378" s="2" t="s">
        <v>38</v>
      </c>
      <c r="L3378" s="2" t="s">
        <v>38</v>
      </c>
      <c r="M3378" s="2" t="s">
        <v>38</v>
      </c>
      <c r="N3378" s="2" t="s">
        <v>38</v>
      </c>
      <c r="O3378" s="2" t="s">
        <v>38</v>
      </c>
      <c r="P3378" s="2" t="s">
        <v>38</v>
      </c>
      <c r="Q3378" s="2" t="s">
        <v>38</v>
      </c>
      <c r="R3378" s="2" t="s">
        <v>38</v>
      </c>
      <c r="S3378" s="2" t="s">
        <v>38</v>
      </c>
      <c r="T3378" s="2" t="s">
        <v>38</v>
      </c>
      <c r="U3378" s="2" t="s">
        <v>38</v>
      </c>
      <c r="V3378" s="2" t="s">
        <v>38</v>
      </c>
      <c r="W3378" s="2" t="s">
        <v>38</v>
      </c>
      <c r="X3378" s="2" t="s">
        <v>38</v>
      </c>
      <c r="Y3378" s="2" t="s">
        <v>38</v>
      </c>
      <c r="Z3378" s="2" t="s">
        <v>38</v>
      </c>
      <c r="AA3378" s="2" t="s">
        <v>38</v>
      </c>
      <c r="AB3378" s="2" t="s">
        <v>38</v>
      </c>
      <c r="AC3378" s="2" t="s">
        <v>38</v>
      </c>
      <c r="AD3378" s="2" t="s">
        <v>38</v>
      </c>
      <c r="AE3378" s="2" t="s">
        <v>39</v>
      </c>
    </row>
    <row r="3379" spans="1:31" ht="409.5">
      <c r="A3379" s="2">
        <v>2697865</v>
      </c>
      <c r="B3379" s="2">
        <f>HYPERLINK("https://platform.v2.vetology.net/cases/2697865/screening-report/1?type=pdf&amp;v=v6&amp;scorecard=1&amp;secret_key=BX%25IJ%24%2F65ieZ%29f6", 2697865)</f>
        <v>2697865</v>
      </c>
      <c r="C3379" s="2">
        <f>HYPERLINK("https://platform.v2.vetology.net/report/v/final/"&amp;2697865, 2697865)</f>
        <v>2697865</v>
      </c>
      <c r="D3379" s="2" t="s">
        <v>10704</v>
      </c>
      <c r="E3379" s="2" t="s">
        <v>10705</v>
      </c>
      <c r="F3379" s="2"/>
      <c r="G3379" s="2" t="s">
        <v>81</v>
      </c>
      <c r="H3379" s="2" t="s">
        <v>10706</v>
      </c>
      <c r="I3379" s="2" t="s">
        <v>36</v>
      </c>
      <c r="J3379" s="2" t="s">
        <v>37</v>
      </c>
      <c r="K3379" s="2" t="s">
        <v>38</v>
      </c>
      <c r="L3379" s="2" t="s">
        <v>38</v>
      </c>
      <c r="M3379" s="2" t="s">
        <v>38</v>
      </c>
      <c r="N3379" s="2" t="s">
        <v>38</v>
      </c>
      <c r="O3379" s="2" t="s">
        <v>38</v>
      </c>
      <c r="P3379" s="2" t="s">
        <v>38</v>
      </c>
      <c r="Q3379" s="2" t="s">
        <v>39</v>
      </c>
      <c r="R3379" s="2" t="s">
        <v>38</v>
      </c>
      <c r="S3379" s="2" t="s">
        <v>38</v>
      </c>
      <c r="T3379" s="2" t="s">
        <v>38</v>
      </c>
      <c r="U3379" s="2" t="s">
        <v>39</v>
      </c>
      <c r="V3379" s="2" t="s">
        <v>38</v>
      </c>
      <c r="W3379" s="2" t="s">
        <v>38</v>
      </c>
      <c r="X3379" s="2" t="s">
        <v>38</v>
      </c>
      <c r="Y3379" s="2" t="s">
        <v>38</v>
      </c>
      <c r="Z3379" s="2" t="s">
        <v>39</v>
      </c>
      <c r="AA3379" s="2" t="s">
        <v>39</v>
      </c>
      <c r="AB3379" s="2" t="s">
        <v>39</v>
      </c>
      <c r="AC3379" s="2" t="s">
        <v>38</v>
      </c>
      <c r="AD3379" s="2" t="s">
        <v>38</v>
      </c>
      <c r="AE3379" s="2" t="s">
        <v>39</v>
      </c>
    </row>
    <row r="3380" spans="1:31" ht="409.5">
      <c r="A3380" s="2">
        <v>2697834</v>
      </c>
      <c r="B3380" s="2">
        <f>HYPERLINK("https://platform.v2.vetology.net/cases/2697834/screening-report/1?type=pdf&amp;v=v6&amp;scorecard=1&amp;secret_key=BX%25IJ%24%2F65ieZ%29f6", 2697834)</f>
        <v>2697834</v>
      </c>
      <c r="C3380" s="2">
        <f>HYPERLINK("https://platform.v2.vetology.net/report/v/final/"&amp;2697834, 2697834)</f>
        <v>2697834</v>
      </c>
      <c r="D3380" s="2" t="s">
        <v>10707</v>
      </c>
      <c r="E3380" s="2" t="s">
        <v>10708</v>
      </c>
      <c r="F3380" s="2" t="s">
        <v>10709</v>
      </c>
      <c r="G3380" s="2" t="s">
        <v>53</v>
      </c>
      <c r="H3380" s="2" t="s">
        <v>10710</v>
      </c>
      <c r="I3380" s="2" t="s">
        <v>36</v>
      </c>
      <c r="J3380" s="2" t="s">
        <v>37</v>
      </c>
      <c r="K3380" s="2" t="s">
        <v>38</v>
      </c>
      <c r="L3380" s="2" t="s">
        <v>38</v>
      </c>
      <c r="M3380" s="2" t="s">
        <v>38</v>
      </c>
      <c r="N3380" s="2" t="s">
        <v>38</v>
      </c>
      <c r="O3380" s="2" t="s">
        <v>38</v>
      </c>
      <c r="P3380" s="2" t="s">
        <v>39</v>
      </c>
      <c r="Q3380" s="2" t="s">
        <v>39</v>
      </c>
      <c r="R3380" s="2" t="s">
        <v>38</v>
      </c>
      <c r="S3380" s="2" t="s">
        <v>38</v>
      </c>
      <c r="T3380" s="2" t="s">
        <v>38</v>
      </c>
      <c r="U3380" s="2" t="s">
        <v>38</v>
      </c>
      <c r="V3380" s="2" t="s">
        <v>38</v>
      </c>
      <c r="W3380" s="2" t="s">
        <v>38</v>
      </c>
      <c r="X3380" s="2" t="s">
        <v>39</v>
      </c>
      <c r="Y3380" s="2" t="s">
        <v>38</v>
      </c>
      <c r="Z3380" s="2" t="s">
        <v>38</v>
      </c>
      <c r="AA3380" s="2" t="s">
        <v>38</v>
      </c>
      <c r="AB3380" s="2" t="s">
        <v>38</v>
      </c>
      <c r="AC3380" s="2" t="s">
        <v>38</v>
      </c>
      <c r="AD3380" s="2" t="s">
        <v>39</v>
      </c>
      <c r="AE3380" s="2" t="s">
        <v>40</v>
      </c>
    </row>
    <row r="3381" spans="1:31" ht="409.5">
      <c r="A3381" s="2">
        <v>2697831</v>
      </c>
      <c r="B3381" s="2">
        <f>HYPERLINK("https://platform.v2.vetology.net/cases/2697831/screening-report/1?type=pdf&amp;v=v6&amp;scorecard=1&amp;secret_key=BX%25IJ%24%2F65ieZ%29f6", 2697831)</f>
        <v>2697831</v>
      </c>
      <c r="C3381" s="2">
        <f>HYPERLINK("https://platform.v2.vetology.net/report/v/final/"&amp;2697831, 2697831)</f>
        <v>2697831</v>
      </c>
      <c r="D3381" s="2" t="s">
        <v>10711</v>
      </c>
      <c r="E3381" s="2" t="s">
        <v>10712</v>
      </c>
      <c r="F3381" s="2" t="s">
        <v>43</v>
      </c>
      <c r="G3381" s="2" t="s">
        <v>44</v>
      </c>
      <c r="H3381" s="2" t="s">
        <v>10713</v>
      </c>
      <c r="I3381" s="2" t="s">
        <v>73</v>
      </c>
      <c r="J3381" s="2" t="s">
        <v>74</v>
      </c>
      <c r="K3381" s="2" t="s">
        <v>38</v>
      </c>
      <c r="L3381" s="2" t="s">
        <v>39</v>
      </c>
      <c r="M3381" s="2" t="s">
        <v>38</v>
      </c>
      <c r="N3381" s="2" t="s">
        <v>38</v>
      </c>
      <c r="O3381" s="2" t="s">
        <v>38</v>
      </c>
      <c r="P3381" s="2" t="s">
        <v>39</v>
      </c>
      <c r="Q3381" s="2" t="s">
        <v>38</v>
      </c>
      <c r="R3381" s="2" t="s">
        <v>39</v>
      </c>
      <c r="S3381" s="2" t="s">
        <v>39</v>
      </c>
      <c r="T3381" s="2" t="s">
        <v>39</v>
      </c>
      <c r="U3381" s="2" t="s">
        <v>39</v>
      </c>
      <c r="V3381" s="2" t="s">
        <v>38</v>
      </c>
      <c r="W3381" s="2" t="s">
        <v>38</v>
      </c>
      <c r="X3381" s="2" t="s">
        <v>38</v>
      </c>
      <c r="Y3381" s="2" t="s">
        <v>39</v>
      </c>
      <c r="Z3381" s="2" t="s">
        <v>39</v>
      </c>
      <c r="AA3381" s="2" t="s">
        <v>38</v>
      </c>
      <c r="AB3381" s="2" t="s">
        <v>38</v>
      </c>
      <c r="AC3381" s="2" t="s">
        <v>38</v>
      </c>
      <c r="AD3381" s="2" t="s">
        <v>39</v>
      </c>
      <c r="AE3381" s="2" t="s">
        <v>40</v>
      </c>
    </row>
    <row r="3382" spans="1:31" ht="409.5">
      <c r="A3382" s="2">
        <v>2697829</v>
      </c>
      <c r="B3382" s="2">
        <f>HYPERLINK("https://platform.v2.vetology.net/cases/2697829/screening-report/1?type=pdf&amp;v=v6&amp;scorecard=1&amp;secret_key=BX%25IJ%24%2F65ieZ%29f6", 2697829)</f>
        <v>2697829</v>
      </c>
      <c r="C3382" s="2">
        <f>HYPERLINK("https://platform.v2.vetology.net/report/v/final/"&amp;2697829, 2697829)</f>
        <v>2697829</v>
      </c>
      <c r="D3382" s="2" t="s">
        <v>10714</v>
      </c>
      <c r="E3382" s="2" t="s">
        <v>10715</v>
      </c>
      <c r="F3382" s="2" t="s">
        <v>10716</v>
      </c>
      <c r="G3382" s="2" t="s">
        <v>53</v>
      </c>
      <c r="H3382" s="2" t="s">
        <v>69</v>
      </c>
      <c r="I3382" s="2" t="s">
        <v>46</v>
      </c>
      <c r="J3382" s="2"/>
      <c r="K3382" s="2" t="s">
        <v>39</v>
      </c>
      <c r="L3382" s="2" t="s">
        <v>39</v>
      </c>
      <c r="M3382" s="2" t="s">
        <v>39</v>
      </c>
      <c r="N3382" s="2" t="s">
        <v>39</v>
      </c>
      <c r="O3382" s="2" t="s">
        <v>39</v>
      </c>
      <c r="P3382" s="2" t="s">
        <v>39</v>
      </c>
      <c r="Q3382" s="2" t="s">
        <v>39</v>
      </c>
      <c r="R3382" s="2" t="s">
        <v>39</v>
      </c>
      <c r="S3382" s="2" t="s">
        <v>39</v>
      </c>
      <c r="T3382" s="2" t="s">
        <v>39</v>
      </c>
      <c r="U3382" s="2" t="s">
        <v>39</v>
      </c>
      <c r="V3382" s="2" t="s">
        <v>39</v>
      </c>
      <c r="W3382" s="2" t="s">
        <v>39</v>
      </c>
      <c r="X3382" s="2" t="s">
        <v>39</v>
      </c>
      <c r="Y3382" s="2" t="s">
        <v>39</v>
      </c>
      <c r="Z3382" s="2" t="s">
        <v>39</v>
      </c>
      <c r="AA3382" s="2" t="s">
        <v>39</v>
      </c>
      <c r="AB3382" s="2" t="s">
        <v>39</v>
      </c>
      <c r="AC3382" s="2" t="s">
        <v>39</v>
      </c>
      <c r="AD3382" s="2" t="s">
        <v>39</v>
      </c>
      <c r="AE3382" s="2" t="s">
        <v>39</v>
      </c>
    </row>
    <row r="3383" spans="1:31" ht="409.5">
      <c r="A3383" s="2">
        <v>2697824</v>
      </c>
      <c r="B3383" s="2">
        <f>HYPERLINK("https://platform.v2.vetology.net/cases/2697824/screening-report/1?type=pdf&amp;v=v6&amp;scorecard=1&amp;secret_key=BX%25IJ%24%2F65ieZ%29f6", 2697824)</f>
        <v>2697824</v>
      </c>
      <c r="C3383" s="2">
        <f>HYPERLINK("https://platform.v2.vetology.net/report/v/final/"&amp;2697824, 2697824)</f>
        <v>2697824</v>
      </c>
      <c r="D3383" s="2" t="s">
        <v>10717</v>
      </c>
      <c r="E3383" s="2" t="s">
        <v>10718</v>
      </c>
      <c r="F3383" s="2" t="s">
        <v>10719</v>
      </c>
      <c r="G3383" s="2" t="s">
        <v>53</v>
      </c>
      <c r="H3383" s="2" t="s">
        <v>2796</v>
      </c>
      <c r="I3383" s="2" t="s">
        <v>36</v>
      </c>
      <c r="J3383" s="2" t="s">
        <v>37</v>
      </c>
      <c r="K3383" s="2" t="s">
        <v>38</v>
      </c>
      <c r="L3383" s="2" t="s">
        <v>38</v>
      </c>
      <c r="M3383" s="2" t="s">
        <v>38</v>
      </c>
      <c r="N3383" s="2" t="s">
        <v>38</v>
      </c>
      <c r="O3383" s="2" t="s">
        <v>38</v>
      </c>
      <c r="P3383" s="2" t="s">
        <v>39</v>
      </c>
      <c r="Q3383" s="2" t="s">
        <v>39</v>
      </c>
      <c r="R3383" s="2" t="s">
        <v>39</v>
      </c>
      <c r="S3383" s="2" t="s">
        <v>38</v>
      </c>
      <c r="T3383" s="2" t="s">
        <v>38</v>
      </c>
      <c r="U3383" s="2" t="s">
        <v>39</v>
      </c>
      <c r="V3383" s="2" t="s">
        <v>38</v>
      </c>
      <c r="W3383" s="2" t="s">
        <v>38</v>
      </c>
      <c r="X3383" s="2" t="s">
        <v>39</v>
      </c>
      <c r="Y3383" s="2" t="s">
        <v>38</v>
      </c>
      <c r="Z3383" s="2" t="s">
        <v>38</v>
      </c>
      <c r="AA3383" s="2" t="s">
        <v>38</v>
      </c>
      <c r="AB3383" s="2" t="s">
        <v>39</v>
      </c>
      <c r="AC3383" s="2" t="s">
        <v>38</v>
      </c>
      <c r="AD3383" s="2" t="s">
        <v>38</v>
      </c>
      <c r="AE3383" s="2" t="s">
        <v>39</v>
      </c>
    </row>
    <row r="3384" spans="1:31" ht="409.5">
      <c r="A3384" s="2">
        <v>2697820</v>
      </c>
      <c r="B3384" s="2">
        <f>HYPERLINK("https://platform.v2.vetology.net/cases/2697820/screening-report/1?type=pdf&amp;v=v6&amp;scorecard=1&amp;secret_key=BX%25IJ%24%2F65ieZ%29f6", 2697820)</f>
        <v>2697820</v>
      </c>
      <c r="C3384" s="2">
        <f>HYPERLINK("https://platform.v2.vetology.net/report/v/final/"&amp;2697820, 2697820)</f>
        <v>2697820</v>
      </c>
      <c r="D3384" s="2" t="s">
        <v>10720</v>
      </c>
      <c r="E3384" s="2" t="s">
        <v>10721</v>
      </c>
      <c r="F3384" s="2" t="s">
        <v>10722</v>
      </c>
      <c r="G3384" s="2" t="s">
        <v>53</v>
      </c>
      <c r="H3384" s="2" t="s">
        <v>10723</v>
      </c>
      <c r="I3384" s="2" t="s">
        <v>73</v>
      </c>
      <c r="J3384" s="2" t="s">
        <v>74</v>
      </c>
      <c r="K3384" s="2" t="s">
        <v>38</v>
      </c>
      <c r="L3384" s="2" t="s">
        <v>38</v>
      </c>
      <c r="M3384" s="2" t="s">
        <v>38</v>
      </c>
      <c r="N3384" s="2" t="s">
        <v>38</v>
      </c>
      <c r="O3384" s="2" t="s">
        <v>38</v>
      </c>
      <c r="P3384" s="2" t="s">
        <v>38</v>
      </c>
      <c r="Q3384" s="2" t="s">
        <v>38</v>
      </c>
      <c r="R3384" s="2" t="s">
        <v>38</v>
      </c>
      <c r="S3384" s="2" t="s">
        <v>38</v>
      </c>
      <c r="T3384" s="2" t="s">
        <v>38</v>
      </c>
      <c r="U3384" s="2" t="s">
        <v>38</v>
      </c>
      <c r="V3384" s="2" t="s">
        <v>38</v>
      </c>
      <c r="W3384" s="2" t="s">
        <v>38</v>
      </c>
      <c r="X3384" s="2" t="s">
        <v>38</v>
      </c>
      <c r="Y3384" s="2" t="s">
        <v>39</v>
      </c>
      <c r="Z3384" s="2" t="s">
        <v>38</v>
      </c>
      <c r="AA3384" s="2" t="s">
        <v>38</v>
      </c>
      <c r="AB3384" s="2" t="s">
        <v>38</v>
      </c>
      <c r="AC3384" s="2" t="s">
        <v>38</v>
      </c>
      <c r="AD3384" s="2" t="s">
        <v>39</v>
      </c>
      <c r="AE3384" s="2" t="s">
        <v>39</v>
      </c>
    </row>
    <row r="3385" spans="1:31" ht="409.5">
      <c r="A3385" s="2">
        <v>2697785</v>
      </c>
      <c r="B3385" s="2">
        <f>HYPERLINK("https://platform.v2.vetology.net/cases/2697785/screening-report/1?type=pdf&amp;v=v6&amp;scorecard=1&amp;secret_key=BX%25IJ%24%2F65ieZ%29f6", 2697785)</f>
        <v>2697785</v>
      </c>
      <c r="C3385" s="2">
        <f>HYPERLINK("https://platform.v2.vetology.net/report/v/final/"&amp;2697785, 2697785)</f>
        <v>2697785</v>
      </c>
      <c r="D3385" s="2" t="s">
        <v>10724</v>
      </c>
      <c r="E3385" s="2" t="s">
        <v>10725</v>
      </c>
      <c r="F3385" s="2" t="s">
        <v>10726</v>
      </c>
      <c r="G3385" s="2" t="s">
        <v>127</v>
      </c>
      <c r="H3385" s="2" t="s">
        <v>8488</v>
      </c>
      <c r="I3385" s="2" t="s">
        <v>36</v>
      </c>
      <c r="J3385" s="2" t="s">
        <v>37</v>
      </c>
      <c r="K3385" s="2" t="s">
        <v>39</v>
      </c>
      <c r="L3385" s="2" t="s">
        <v>38</v>
      </c>
      <c r="M3385" s="2" t="s">
        <v>39</v>
      </c>
      <c r="N3385" s="2" t="s">
        <v>39</v>
      </c>
      <c r="O3385" s="2" t="s">
        <v>39</v>
      </c>
      <c r="P3385" s="2" t="s">
        <v>39</v>
      </c>
      <c r="Q3385" s="2" t="s">
        <v>39</v>
      </c>
      <c r="R3385" s="2" t="s">
        <v>38</v>
      </c>
      <c r="S3385" s="2" t="s">
        <v>38</v>
      </c>
      <c r="T3385" s="2" t="s">
        <v>39</v>
      </c>
      <c r="U3385" s="2" t="s">
        <v>39</v>
      </c>
      <c r="V3385" s="2" t="s">
        <v>39</v>
      </c>
      <c r="W3385" s="2" t="s">
        <v>38</v>
      </c>
      <c r="X3385" s="2" t="s">
        <v>39</v>
      </c>
      <c r="Y3385" s="2" t="s">
        <v>39</v>
      </c>
      <c r="Z3385" s="2" t="s">
        <v>39</v>
      </c>
      <c r="AA3385" s="2" t="s">
        <v>39</v>
      </c>
      <c r="AB3385" s="2" t="s">
        <v>39</v>
      </c>
      <c r="AC3385" s="2" t="s">
        <v>38</v>
      </c>
      <c r="AD3385" s="2" t="s">
        <v>38</v>
      </c>
      <c r="AE3385" s="2" t="s">
        <v>39</v>
      </c>
    </row>
    <row r="3386" spans="1:31" ht="409.5">
      <c r="A3386" s="2">
        <v>2697780</v>
      </c>
      <c r="B3386" s="2">
        <f>HYPERLINK("https://platform.v2.vetology.net/cases/2697780/screening-report/1?type=pdf&amp;v=v6&amp;scorecard=1&amp;secret_key=BX%25IJ%24%2F65ieZ%29f6", 2697780)</f>
        <v>2697780</v>
      </c>
      <c r="C3386" s="2">
        <f>HYPERLINK("https://platform.v2.vetology.net/report/v/final/"&amp;2697780, 2697780)</f>
        <v>2697780</v>
      </c>
      <c r="D3386" s="2" t="s">
        <v>10727</v>
      </c>
      <c r="E3386" s="2" t="s">
        <v>10728</v>
      </c>
      <c r="F3386" s="2" t="s">
        <v>10729</v>
      </c>
      <c r="G3386" s="2" t="s">
        <v>170</v>
      </c>
      <c r="H3386" s="2" t="s">
        <v>394</v>
      </c>
      <c r="I3386" s="2" t="s">
        <v>59</v>
      </c>
      <c r="J3386" s="2" t="s">
        <v>37</v>
      </c>
      <c r="K3386" s="2" t="s">
        <v>38</v>
      </c>
      <c r="L3386" s="2" t="s">
        <v>39</v>
      </c>
      <c r="M3386" s="2" t="s">
        <v>39</v>
      </c>
      <c r="N3386" s="2" t="s">
        <v>39</v>
      </c>
      <c r="O3386" s="2" t="s">
        <v>39</v>
      </c>
      <c r="P3386" s="2" t="s">
        <v>39</v>
      </c>
      <c r="Q3386" s="2" t="s">
        <v>39</v>
      </c>
      <c r="R3386" s="2" t="s">
        <v>39</v>
      </c>
      <c r="S3386" s="2" t="s">
        <v>39</v>
      </c>
      <c r="T3386" s="2" t="s">
        <v>39</v>
      </c>
      <c r="U3386" s="2" t="s">
        <v>38</v>
      </c>
      <c r="V3386" s="2" t="s">
        <v>38</v>
      </c>
      <c r="W3386" s="2" t="s">
        <v>39</v>
      </c>
      <c r="X3386" s="2" t="s">
        <v>39</v>
      </c>
      <c r="Y3386" s="2" t="s">
        <v>39</v>
      </c>
      <c r="Z3386" s="2" t="s">
        <v>39</v>
      </c>
      <c r="AA3386" s="2" t="s">
        <v>39</v>
      </c>
      <c r="AB3386" s="2" t="s">
        <v>39</v>
      </c>
      <c r="AC3386" s="2" t="s">
        <v>39</v>
      </c>
      <c r="AD3386" s="2" t="s">
        <v>39</v>
      </c>
      <c r="AE3386" s="2" t="s">
        <v>39</v>
      </c>
    </row>
    <row r="3387" spans="1:31" ht="409.5">
      <c r="A3387" s="2">
        <v>2697760</v>
      </c>
      <c r="B3387" s="2">
        <f>HYPERLINK("https://platform.v2.vetology.net/cases/2697760/screening-report/1?type=pdf&amp;v=v6&amp;scorecard=1&amp;secret_key=BX%25IJ%24%2F65ieZ%29f6", 2697760)</f>
        <v>2697760</v>
      </c>
      <c r="C3387" s="2">
        <f>HYPERLINK("https://platform.v2.vetology.net/report/v/final/"&amp;2697760, 2697760)</f>
        <v>2697760</v>
      </c>
      <c r="D3387" s="2" t="s">
        <v>10730</v>
      </c>
      <c r="E3387" s="2" t="s">
        <v>10731</v>
      </c>
      <c r="F3387" s="2" t="s">
        <v>10732</v>
      </c>
      <c r="G3387" s="2" t="s">
        <v>127</v>
      </c>
      <c r="H3387" s="2" t="s">
        <v>45</v>
      </c>
      <c r="I3387" s="2" t="s">
        <v>46</v>
      </c>
      <c r="J3387" s="2"/>
      <c r="K3387" s="2" t="s">
        <v>39</v>
      </c>
      <c r="L3387" s="2" t="s">
        <v>39</v>
      </c>
      <c r="M3387" s="2" t="s">
        <v>39</v>
      </c>
      <c r="N3387" s="2" t="s">
        <v>39</v>
      </c>
      <c r="O3387" s="2" t="s">
        <v>39</v>
      </c>
      <c r="P3387" s="2" t="s">
        <v>39</v>
      </c>
      <c r="Q3387" s="2" t="s">
        <v>39</v>
      </c>
      <c r="R3387" s="2" t="s">
        <v>38</v>
      </c>
      <c r="S3387" s="2" t="s">
        <v>39</v>
      </c>
      <c r="T3387" s="2" t="s">
        <v>39</v>
      </c>
      <c r="U3387" s="2" t="s">
        <v>39</v>
      </c>
      <c r="V3387" s="2" t="s">
        <v>39</v>
      </c>
      <c r="W3387" s="2" t="s">
        <v>38</v>
      </c>
      <c r="X3387" s="2" t="s">
        <v>39</v>
      </c>
      <c r="Y3387" s="2" t="s">
        <v>39</v>
      </c>
      <c r="Z3387" s="2" t="s">
        <v>39</v>
      </c>
      <c r="AA3387" s="2" t="s">
        <v>39</v>
      </c>
      <c r="AB3387" s="2" t="s">
        <v>39</v>
      </c>
      <c r="AC3387" s="2" t="s">
        <v>38</v>
      </c>
      <c r="AD3387" s="2" t="s">
        <v>38</v>
      </c>
      <c r="AE3387" s="2" t="s">
        <v>39</v>
      </c>
    </row>
    <row r="3388" spans="1:31" ht="409.5">
      <c r="A3388" s="2">
        <v>2697758</v>
      </c>
      <c r="B3388" s="2">
        <f>HYPERLINK("https://platform.v2.vetology.net/cases/2697758/screening-report/1?type=pdf&amp;v=v6&amp;scorecard=1&amp;secret_key=BX%25IJ%24%2F65ieZ%29f6", 2697758)</f>
        <v>2697758</v>
      </c>
      <c r="C3388" s="2">
        <f>HYPERLINK("https://platform.v2.vetology.net/report/v/final/"&amp;2697758, 2697758)</f>
        <v>2697758</v>
      </c>
      <c r="D3388" s="2" t="s">
        <v>10733</v>
      </c>
      <c r="E3388" s="2" t="s">
        <v>2188</v>
      </c>
      <c r="F3388" s="2" t="s">
        <v>10734</v>
      </c>
      <c r="G3388" s="2" t="s">
        <v>170</v>
      </c>
      <c r="H3388" s="2" t="s">
        <v>10735</v>
      </c>
      <c r="I3388" s="2" t="s">
        <v>36</v>
      </c>
      <c r="J3388" s="2" t="s">
        <v>37</v>
      </c>
      <c r="K3388" s="2" t="s">
        <v>38</v>
      </c>
      <c r="L3388" s="2" t="s">
        <v>38</v>
      </c>
      <c r="M3388" s="2" t="s">
        <v>39</v>
      </c>
      <c r="N3388" s="2" t="s">
        <v>38</v>
      </c>
      <c r="O3388" s="2" t="s">
        <v>39</v>
      </c>
      <c r="P3388" s="2" t="s">
        <v>39</v>
      </c>
      <c r="Q3388" s="2" t="s">
        <v>39</v>
      </c>
      <c r="R3388" s="2" t="s">
        <v>39</v>
      </c>
      <c r="S3388" s="2" t="s">
        <v>39</v>
      </c>
      <c r="T3388" s="2" t="s">
        <v>39</v>
      </c>
      <c r="U3388" s="2" t="s">
        <v>38</v>
      </c>
      <c r="V3388" s="2" t="s">
        <v>38</v>
      </c>
      <c r="W3388" s="2" t="s">
        <v>38</v>
      </c>
      <c r="X3388" s="2" t="s">
        <v>39</v>
      </c>
      <c r="Y3388" s="2" t="s">
        <v>38</v>
      </c>
      <c r="Z3388" s="2" t="s">
        <v>39</v>
      </c>
      <c r="AA3388" s="2" t="s">
        <v>39</v>
      </c>
      <c r="AB3388" s="2" t="s">
        <v>39</v>
      </c>
      <c r="AC3388" s="2" t="s">
        <v>38</v>
      </c>
      <c r="AD3388" s="2" t="s">
        <v>38</v>
      </c>
      <c r="AE3388" s="2" t="s">
        <v>40</v>
      </c>
    </row>
    <row r="3389" spans="1:31" ht="409.5">
      <c r="A3389" s="2">
        <v>2697644</v>
      </c>
      <c r="B3389" s="2">
        <f>HYPERLINK("https://platform.v2.vetology.net/cases/2697644/screening-report/1?type=pdf&amp;v=v6&amp;scorecard=1&amp;secret_key=BX%25IJ%24%2F65ieZ%29f6", 2697644)</f>
        <v>2697644</v>
      </c>
      <c r="C3389" s="2">
        <f>HYPERLINK("https://platform.v2.vetology.net/report/v/final/"&amp;2697644, 2697644)</f>
        <v>2697644</v>
      </c>
      <c r="D3389" s="2" t="s">
        <v>10736</v>
      </c>
      <c r="E3389" s="2" t="s">
        <v>10737</v>
      </c>
      <c r="F3389" s="2" t="s">
        <v>10738</v>
      </c>
      <c r="G3389" s="2" t="s">
        <v>127</v>
      </c>
      <c r="H3389" s="2" t="s">
        <v>10739</v>
      </c>
      <c r="I3389" s="2" t="s">
        <v>129</v>
      </c>
      <c r="J3389" s="2" t="s">
        <v>74</v>
      </c>
      <c r="K3389" s="2" t="s">
        <v>39</v>
      </c>
      <c r="L3389" s="2" t="s">
        <v>39</v>
      </c>
      <c r="M3389" s="2" t="s">
        <v>38</v>
      </c>
      <c r="N3389" s="2" t="s">
        <v>38</v>
      </c>
      <c r="O3389" s="2" t="s">
        <v>38</v>
      </c>
      <c r="P3389" s="2" t="s">
        <v>38</v>
      </c>
      <c r="Q3389" s="2" t="s">
        <v>38</v>
      </c>
      <c r="R3389" s="2" t="s">
        <v>39</v>
      </c>
      <c r="S3389" s="2" t="s">
        <v>39</v>
      </c>
      <c r="T3389" s="2" t="s">
        <v>39</v>
      </c>
      <c r="U3389" s="2" t="s">
        <v>39</v>
      </c>
      <c r="V3389" s="2" t="s">
        <v>39</v>
      </c>
      <c r="W3389" s="2" t="s">
        <v>38</v>
      </c>
      <c r="X3389" s="2" t="s">
        <v>39</v>
      </c>
      <c r="Y3389" s="2" t="s">
        <v>39</v>
      </c>
      <c r="Z3389" s="2" t="s">
        <v>39</v>
      </c>
      <c r="AA3389" s="2" t="s">
        <v>39</v>
      </c>
      <c r="AB3389" s="2" t="s">
        <v>39</v>
      </c>
      <c r="AC3389" s="2" t="s">
        <v>39</v>
      </c>
      <c r="AD3389" s="2" t="s">
        <v>39</v>
      </c>
      <c r="AE3389" s="2" t="s">
        <v>40</v>
      </c>
    </row>
    <row r="3390" spans="1:31" ht="409.5">
      <c r="A3390" s="2">
        <v>2697642</v>
      </c>
      <c r="B3390" s="2">
        <f>HYPERLINK("https://platform.v2.vetology.net/cases/2697642/screening-report/1?type=pdf&amp;v=v6&amp;scorecard=1&amp;secret_key=BX%25IJ%24%2F65ieZ%29f6", 2697642)</f>
        <v>2697642</v>
      </c>
      <c r="C3390" s="2">
        <f>HYPERLINK("https://platform.v2.vetology.net/report/v/final/"&amp;2697642, 2697642)</f>
        <v>2697642</v>
      </c>
      <c r="D3390" s="2" t="s">
        <v>10740</v>
      </c>
      <c r="E3390" s="2" t="s">
        <v>10741</v>
      </c>
      <c r="F3390" s="2" t="s">
        <v>10742</v>
      </c>
      <c r="G3390" s="2" t="s">
        <v>170</v>
      </c>
      <c r="H3390" s="2" t="s">
        <v>10743</v>
      </c>
      <c r="I3390" s="2" t="s">
        <v>73</v>
      </c>
      <c r="J3390" s="2" t="s">
        <v>74</v>
      </c>
      <c r="K3390" s="2" t="s">
        <v>38</v>
      </c>
      <c r="L3390" s="2" t="s">
        <v>38</v>
      </c>
      <c r="M3390" s="2" t="s">
        <v>38</v>
      </c>
      <c r="N3390" s="2" t="s">
        <v>38</v>
      </c>
      <c r="O3390" s="2" t="s">
        <v>38</v>
      </c>
      <c r="P3390" s="2" t="s">
        <v>38</v>
      </c>
      <c r="Q3390" s="2" t="s">
        <v>38</v>
      </c>
      <c r="R3390" s="2" t="s">
        <v>38</v>
      </c>
      <c r="S3390" s="2" t="s">
        <v>38</v>
      </c>
      <c r="T3390" s="2" t="s">
        <v>38</v>
      </c>
      <c r="U3390" s="2" t="s">
        <v>39</v>
      </c>
      <c r="V3390" s="2" t="s">
        <v>38</v>
      </c>
      <c r="W3390" s="2" t="s">
        <v>39</v>
      </c>
      <c r="X3390" s="2" t="s">
        <v>39</v>
      </c>
      <c r="Y3390" s="2" t="s">
        <v>39</v>
      </c>
      <c r="Z3390" s="2" t="s">
        <v>38</v>
      </c>
      <c r="AA3390" s="2" t="s">
        <v>39</v>
      </c>
      <c r="AB3390" s="2" t="s">
        <v>38</v>
      </c>
      <c r="AC3390" s="2" t="s">
        <v>39</v>
      </c>
      <c r="AD3390" s="2" t="s">
        <v>39</v>
      </c>
      <c r="AE3390" s="2" t="s">
        <v>39</v>
      </c>
    </row>
    <row r="3391" spans="1:31" ht="409.5">
      <c r="A3391" s="2">
        <v>2697629</v>
      </c>
      <c r="B3391" s="2">
        <f>HYPERLINK("https://platform.v2.vetology.net/cases/2697629/screening-report/1?type=pdf&amp;v=v6&amp;scorecard=1&amp;secret_key=BX%25IJ%24%2F65ieZ%29f6", 2697629)</f>
        <v>2697629</v>
      </c>
      <c r="C3391" s="2">
        <f>HYPERLINK("https://platform.v2.vetology.net/report/v/final/"&amp;2697629, 2697629)</f>
        <v>2697629</v>
      </c>
      <c r="D3391" s="2" t="s">
        <v>10744</v>
      </c>
      <c r="E3391" s="2" t="s">
        <v>10569</v>
      </c>
      <c r="F3391" s="2" t="s">
        <v>2490</v>
      </c>
      <c r="G3391" s="2" t="s">
        <v>100</v>
      </c>
      <c r="H3391" s="2" t="s">
        <v>10745</v>
      </c>
      <c r="I3391" s="2" t="s">
        <v>36</v>
      </c>
      <c r="J3391" s="2" t="s">
        <v>37</v>
      </c>
      <c r="K3391" s="2" t="s">
        <v>39</v>
      </c>
      <c r="L3391" s="2" t="s">
        <v>39</v>
      </c>
      <c r="M3391" s="2" t="s">
        <v>38</v>
      </c>
      <c r="N3391" s="2" t="s">
        <v>39</v>
      </c>
      <c r="O3391" s="2" t="s">
        <v>39</v>
      </c>
      <c r="P3391" s="2" t="s">
        <v>38</v>
      </c>
      <c r="Q3391" s="2" t="s">
        <v>38</v>
      </c>
      <c r="R3391" s="2" t="s">
        <v>38</v>
      </c>
      <c r="S3391" s="2" t="s">
        <v>39</v>
      </c>
      <c r="T3391" s="2" t="s">
        <v>38</v>
      </c>
      <c r="U3391" s="2" t="s">
        <v>39</v>
      </c>
      <c r="V3391" s="2" t="s">
        <v>39</v>
      </c>
      <c r="W3391" s="2" t="s">
        <v>38</v>
      </c>
      <c r="X3391" s="2" t="s">
        <v>39</v>
      </c>
      <c r="Y3391" s="2" t="s">
        <v>39</v>
      </c>
      <c r="Z3391" s="2" t="s">
        <v>38</v>
      </c>
      <c r="AA3391" s="2" t="s">
        <v>38</v>
      </c>
      <c r="AB3391" s="2" t="s">
        <v>39</v>
      </c>
      <c r="AC3391" s="2" t="s">
        <v>39</v>
      </c>
      <c r="AD3391" s="2" t="s">
        <v>39</v>
      </c>
      <c r="AE3391" s="2" t="s">
        <v>40</v>
      </c>
    </row>
    <row r="3392" spans="1:31" ht="409.5">
      <c r="A3392" s="2">
        <v>2697615</v>
      </c>
      <c r="B3392" s="2">
        <f>HYPERLINK("https://platform.v2.vetology.net/cases/2697615/screening-report/1?type=pdf&amp;v=v6&amp;scorecard=1&amp;secret_key=BX%25IJ%24%2F65ieZ%29f6", 2697615)</f>
        <v>2697615</v>
      </c>
      <c r="C3392" s="2">
        <f>HYPERLINK("https://platform.v2.vetology.net/report/v/final/"&amp;2697615, 2697615)</f>
        <v>2697615</v>
      </c>
      <c r="D3392" s="2" t="s">
        <v>10746</v>
      </c>
      <c r="E3392" s="2" t="s">
        <v>10747</v>
      </c>
      <c r="F3392" s="2" t="s">
        <v>10748</v>
      </c>
      <c r="G3392" s="2" t="s">
        <v>170</v>
      </c>
      <c r="H3392" s="2" t="s">
        <v>69</v>
      </c>
      <c r="I3392" s="2" t="s">
        <v>46</v>
      </c>
      <c r="J3392" s="2"/>
      <c r="K3392" s="2" t="s">
        <v>39</v>
      </c>
      <c r="L3392" s="2" t="s">
        <v>39</v>
      </c>
      <c r="M3392" s="2" t="s">
        <v>39</v>
      </c>
      <c r="N3392" s="2" t="s">
        <v>39</v>
      </c>
      <c r="O3392" s="2" t="s">
        <v>39</v>
      </c>
      <c r="P3392" s="2" t="s">
        <v>39</v>
      </c>
      <c r="Q3392" s="2" t="s">
        <v>39</v>
      </c>
      <c r="R3392" s="2" t="s">
        <v>39</v>
      </c>
      <c r="S3392" s="2" t="s">
        <v>39</v>
      </c>
      <c r="T3392" s="2" t="s">
        <v>39</v>
      </c>
      <c r="U3392" s="2" t="s">
        <v>39</v>
      </c>
      <c r="V3392" s="2" t="s">
        <v>39</v>
      </c>
      <c r="W3392" s="2" t="s">
        <v>39</v>
      </c>
      <c r="X3392" s="2" t="s">
        <v>39</v>
      </c>
      <c r="Y3392" s="2" t="s">
        <v>39</v>
      </c>
      <c r="Z3392" s="2" t="s">
        <v>39</v>
      </c>
      <c r="AA3392" s="2" t="s">
        <v>39</v>
      </c>
      <c r="AB3392" s="2" t="s">
        <v>39</v>
      </c>
      <c r="AC3392" s="2" t="s">
        <v>38</v>
      </c>
      <c r="AD3392" s="2" t="s">
        <v>39</v>
      </c>
      <c r="AE3392" s="2" t="s">
        <v>40</v>
      </c>
    </row>
    <row r="3393" spans="1:31" ht="409.5">
      <c r="A3393" s="2">
        <v>2697590</v>
      </c>
      <c r="B3393" s="2">
        <f>HYPERLINK("https://platform.v2.vetology.net/cases/2697590/screening-report/1?type=pdf&amp;v=v6&amp;scorecard=1&amp;secret_key=BX%25IJ%24%2F65ieZ%29f6", 2697590)</f>
        <v>2697590</v>
      </c>
      <c r="C3393" s="2">
        <f>HYPERLINK("https://platform.v2.vetology.net/report/v/final/"&amp;2697590, 2697590)</f>
        <v>2697590</v>
      </c>
      <c r="D3393" s="2" t="s">
        <v>10749</v>
      </c>
      <c r="E3393" s="2" t="s">
        <v>10750</v>
      </c>
      <c r="F3393" s="2" t="s">
        <v>10751</v>
      </c>
      <c r="G3393" s="2" t="s">
        <v>127</v>
      </c>
      <c r="H3393" s="2" t="s">
        <v>10752</v>
      </c>
      <c r="I3393" s="2" t="s">
        <v>36</v>
      </c>
      <c r="J3393" s="2" t="s">
        <v>37</v>
      </c>
      <c r="K3393" s="2" t="s">
        <v>38</v>
      </c>
      <c r="L3393" s="2" t="s">
        <v>38</v>
      </c>
      <c r="M3393" s="2" t="s">
        <v>38</v>
      </c>
      <c r="N3393" s="2" t="s">
        <v>38</v>
      </c>
      <c r="O3393" s="2" t="s">
        <v>38</v>
      </c>
      <c r="P3393" s="2" t="s">
        <v>38</v>
      </c>
      <c r="Q3393" s="2" t="s">
        <v>39</v>
      </c>
      <c r="R3393" s="2" t="s">
        <v>38</v>
      </c>
      <c r="S3393" s="2" t="s">
        <v>38</v>
      </c>
      <c r="T3393" s="2" t="s">
        <v>39</v>
      </c>
      <c r="U3393" s="2" t="s">
        <v>38</v>
      </c>
      <c r="V3393" s="2" t="s">
        <v>38</v>
      </c>
      <c r="W3393" s="2" t="s">
        <v>38</v>
      </c>
      <c r="X3393" s="2" t="s">
        <v>38</v>
      </c>
      <c r="Y3393" s="2" t="s">
        <v>38</v>
      </c>
      <c r="Z3393" s="2" t="s">
        <v>38</v>
      </c>
      <c r="AA3393" s="2" t="s">
        <v>38</v>
      </c>
      <c r="AB3393" s="2" t="s">
        <v>39</v>
      </c>
      <c r="AC3393" s="2" t="s">
        <v>38</v>
      </c>
      <c r="AD3393" s="2" t="s">
        <v>38</v>
      </c>
      <c r="AE3393" s="2" t="s">
        <v>39</v>
      </c>
    </row>
    <row r="3394" spans="1:31" ht="409.5">
      <c r="A3394" s="2">
        <v>2697538</v>
      </c>
      <c r="B3394" s="2">
        <f>HYPERLINK("https://platform.v2.vetology.net/cases/2697538/screening-report/1?type=pdf&amp;v=v6&amp;scorecard=1&amp;secret_key=BX%25IJ%24%2F65ieZ%29f6", 2697538)</f>
        <v>2697538</v>
      </c>
      <c r="C3394" s="2">
        <f>HYPERLINK("https://platform.v2.vetology.net/report/v/final/"&amp;2697538, 2697538)</f>
        <v>2697538</v>
      </c>
      <c r="D3394" s="2" t="s">
        <v>10753</v>
      </c>
      <c r="E3394" s="2" t="s">
        <v>10754</v>
      </c>
      <c r="F3394" s="2" t="s">
        <v>10755</v>
      </c>
      <c r="G3394" s="2" t="s">
        <v>53</v>
      </c>
      <c r="H3394" s="2" t="s">
        <v>493</v>
      </c>
      <c r="I3394" s="2" t="s">
        <v>36</v>
      </c>
      <c r="J3394" s="2" t="s">
        <v>37</v>
      </c>
      <c r="K3394" s="2" t="s">
        <v>38</v>
      </c>
      <c r="L3394" s="2" t="s">
        <v>39</v>
      </c>
      <c r="M3394" s="2" t="s">
        <v>38</v>
      </c>
      <c r="N3394" s="2" t="s">
        <v>39</v>
      </c>
      <c r="O3394" s="2" t="s">
        <v>39</v>
      </c>
      <c r="P3394" s="2" t="s">
        <v>39</v>
      </c>
      <c r="Q3394" s="2" t="s">
        <v>39</v>
      </c>
      <c r="R3394" s="2" t="s">
        <v>39</v>
      </c>
      <c r="S3394" s="2" t="s">
        <v>39</v>
      </c>
      <c r="T3394" s="2" t="s">
        <v>38</v>
      </c>
      <c r="U3394" s="2" t="s">
        <v>38</v>
      </c>
      <c r="V3394" s="2" t="s">
        <v>38</v>
      </c>
      <c r="W3394" s="2" t="s">
        <v>39</v>
      </c>
      <c r="X3394" s="2" t="s">
        <v>39</v>
      </c>
      <c r="Y3394" s="2" t="s">
        <v>39</v>
      </c>
      <c r="Z3394" s="2" t="s">
        <v>38</v>
      </c>
      <c r="AA3394" s="2" t="s">
        <v>38</v>
      </c>
      <c r="AB3394" s="2" t="s">
        <v>39</v>
      </c>
      <c r="AC3394" s="2" t="s">
        <v>39</v>
      </c>
      <c r="AD3394" s="2" t="s">
        <v>39</v>
      </c>
      <c r="AE3394" s="2"/>
    </row>
    <row r="3395" spans="1:31" ht="409.5">
      <c r="A3395" s="2">
        <v>2697514</v>
      </c>
      <c r="B3395" s="2">
        <f>HYPERLINK("https://platform.v2.vetology.net/cases/2697514/screening-report/1?type=pdf&amp;v=v6&amp;scorecard=1&amp;secret_key=BX%25IJ%24%2F65ieZ%29f6", 2697514)</f>
        <v>2697514</v>
      </c>
      <c r="C3395" s="2">
        <f>HYPERLINK("https://platform.v2.vetology.net/report/v/final/"&amp;2697514, 2697514)</f>
        <v>2697514</v>
      </c>
      <c r="D3395" s="2" t="s">
        <v>10756</v>
      </c>
      <c r="E3395" s="2" t="s">
        <v>10757</v>
      </c>
      <c r="F3395" s="2" t="s">
        <v>787</v>
      </c>
      <c r="G3395" s="2" t="s">
        <v>100</v>
      </c>
      <c r="H3395" s="2" t="s">
        <v>6437</v>
      </c>
      <c r="I3395" s="2" t="s">
        <v>813</v>
      </c>
      <c r="J3395" s="2" t="s">
        <v>37</v>
      </c>
      <c r="K3395" s="2" t="s">
        <v>39</v>
      </c>
      <c r="L3395" s="2" t="s">
        <v>39</v>
      </c>
      <c r="M3395" s="2" t="s">
        <v>39</v>
      </c>
      <c r="N3395" s="2" t="s">
        <v>39</v>
      </c>
      <c r="O3395" s="2" t="s">
        <v>39</v>
      </c>
      <c r="P3395" s="2" t="s">
        <v>39</v>
      </c>
      <c r="Q3395" s="2" t="s">
        <v>39</v>
      </c>
      <c r="R3395" s="2" t="s">
        <v>38</v>
      </c>
      <c r="S3395" s="2" t="s">
        <v>38</v>
      </c>
      <c r="T3395" s="2" t="s">
        <v>39</v>
      </c>
      <c r="U3395" s="2" t="s">
        <v>39</v>
      </c>
      <c r="V3395" s="2" t="s">
        <v>39</v>
      </c>
      <c r="W3395" s="2" t="s">
        <v>39</v>
      </c>
      <c r="X3395" s="2" t="s">
        <v>39</v>
      </c>
      <c r="Y3395" s="2" t="s">
        <v>38</v>
      </c>
      <c r="Z3395" s="2" t="s">
        <v>39</v>
      </c>
      <c r="AA3395" s="2" t="s">
        <v>39</v>
      </c>
      <c r="AB3395" s="2" t="s">
        <v>39</v>
      </c>
      <c r="AC3395" s="2" t="s">
        <v>38</v>
      </c>
      <c r="AD3395" s="2" t="s">
        <v>38</v>
      </c>
      <c r="AE3395" s="2" t="s">
        <v>40</v>
      </c>
    </row>
    <row r="3396" spans="1:31" ht="409.5">
      <c r="A3396" s="2">
        <v>2697504</v>
      </c>
      <c r="B3396" s="2">
        <f>HYPERLINK("https://platform.v2.vetology.net/cases/2697504/screening-report/1?type=pdf&amp;v=v6&amp;scorecard=1&amp;secret_key=BX%25IJ%24%2F65ieZ%29f6", 2697504)</f>
        <v>2697504</v>
      </c>
      <c r="C3396" s="2">
        <f>HYPERLINK("https://platform.v2.vetology.net/report/v/final/"&amp;2697504, 2697504)</f>
        <v>2697504</v>
      </c>
      <c r="D3396" s="2" t="s">
        <v>2629</v>
      </c>
      <c r="E3396" s="2" t="s">
        <v>10758</v>
      </c>
      <c r="F3396" s="2" t="s">
        <v>10759</v>
      </c>
      <c r="G3396" s="2" t="s">
        <v>111</v>
      </c>
      <c r="H3396" s="2" t="s">
        <v>182</v>
      </c>
      <c r="I3396" s="2" t="s">
        <v>46</v>
      </c>
      <c r="J3396" s="2"/>
      <c r="K3396" s="2" t="s">
        <v>38</v>
      </c>
      <c r="L3396" s="2" t="s">
        <v>39</v>
      </c>
      <c r="M3396" s="2" t="s">
        <v>39</v>
      </c>
      <c r="N3396" s="2" t="s">
        <v>39</v>
      </c>
      <c r="O3396" s="2" t="s">
        <v>39</v>
      </c>
      <c r="P3396" s="2" t="s">
        <v>39</v>
      </c>
      <c r="Q3396" s="2" t="s">
        <v>39</v>
      </c>
      <c r="R3396" s="2" t="s">
        <v>38</v>
      </c>
      <c r="S3396" s="2" t="s">
        <v>39</v>
      </c>
      <c r="T3396" s="2" t="s">
        <v>38</v>
      </c>
      <c r="U3396" s="2" t="s">
        <v>39</v>
      </c>
      <c r="V3396" s="2" t="s">
        <v>38</v>
      </c>
      <c r="W3396" s="2" t="s">
        <v>39</v>
      </c>
      <c r="X3396" s="2" t="s">
        <v>39</v>
      </c>
      <c r="Y3396" s="2" t="s">
        <v>39</v>
      </c>
      <c r="Z3396" s="2" t="s">
        <v>38</v>
      </c>
      <c r="AA3396" s="2" t="s">
        <v>39</v>
      </c>
      <c r="AB3396" s="2" t="s">
        <v>39</v>
      </c>
      <c r="AC3396" s="2" t="s">
        <v>39</v>
      </c>
      <c r="AD3396" s="2" t="s">
        <v>38</v>
      </c>
      <c r="AE3396" s="2" t="s">
        <v>39</v>
      </c>
    </row>
    <row r="3397" spans="1:31" ht="409.5">
      <c r="A3397" s="2">
        <v>2697500</v>
      </c>
      <c r="B3397" s="2">
        <f>HYPERLINK("https://platform.v2.vetology.net/cases/2697500/screening-report/1?type=pdf&amp;v=v6&amp;scorecard=1&amp;secret_key=BX%25IJ%24%2F65ieZ%29f6", 2697500)</f>
        <v>2697500</v>
      </c>
      <c r="C3397" s="2">
        <f>HYPERLINK("https://platform.v2.vetology.net/report/v/final/"&amp;2697500, 2697500)</f>
        <v>2697500</v>
      </c>
      <c r="D3397" s="2" t="s">
        <v>10760</v>
      </c>
      <c r="E3397" s="2" t="s">
        <v>10761</v>
      </c>
      <c r="F3397" s="2" t="s">
        <v>10762</v>
      </c>
      <c r="G3397" s="2" t="s">
        <v>127</v>
      </c>
      <c r="H3397" s="2" t="s">
        <v>69</v>
      </c>
      <c r="I3397" s="2" t="s">
        <v>46</v>
      </c>
      <c r="J3397" s="2"/>
      <c r="K3397" s="2" t="s">
        <v>39</v>
      </c>
      <c r="L3397" s="2" t="s">
        <v>39</v>
      </c>
      <c r="M3397" s="2" t="s">
        <v>39</v>
      </c>
      <c r="N3397" s="2" t="s">
        <v>39</v>
      </c>
      <c r="O3397" s="2" t="s">
        <v>39</v>
      </c>
      <c r="P3397" s="2" t="s">
        <v>39</v>
      </c>
      <c r="Q3397" s="2" t="s">
        <v>39</v>
      </c>
      <c r="R3397" s="2" t="s">
        <v>39</v>
      </c>
      <c r="S3397" s="2" t="s">
        <v>39</v>
      </c>
      <c r="T3397" s="2" t="s">
        <v>39</v>
      </c>
      <c r="U3397" s="2" t="s">
        <v>39</v>
      </c>
      <c r="V3397" s="2" t="s">
        <v>39</v>
      </c>
      <c r="W3397" s="2" t="s">
        <v>38</v>
      </c>
      <c r="X3397" s="2" t="s">
        <v>39</v>
      </c>
      <c r="Y3397" s="2" t="s">
        <v>39</v>
      </c>
      <c r="Z3397" s="2" t="s">
        <v>39</v>
      </c>
      <c r="AA3397" s="2" t="s">
        <v>39</v>
      </c>
      <c r="AB3397" s="2" t="s">
        <v>39</v>
      </c>
      <c r="AC3397" s="2" t="s">
        <v>39</v>
      </c>
      <c r="AD3397" s="2" t="s">
        <v>39</v>
      </c>
      <c r="AE3397" s="2"/>
    </row>
    <row r="3398" spans="1:31" ht="409.5">
      <c r="A3398" s="2">
        <v>2697487</v>
      </c>
      <c r="B3398" s="2">
        <f>HYPERLINK("https://platform.v2.vetology.net/cases/2697487/screening-report/1?type=pdf&amp;v=v6&amp;scorecard=1&amp;secret_key=BX%25IJ%24%2F65ieZ%29f6", 2697487)</f>
        <v>2697487</v>
      </c>
      <c r="C3398" s="2">
        <f>HYPERLINK("https://platform.v2.vetology.net/report/v/final/"&amp;2697487, 2697487)</f>
        <v>2697487</v>
      </c>
      <c r="D3398" s="2" t="s">
        <v>10763</v>
      </c>
      <c r="E3398" s="2" t="s">
        <v>10764</v>
      </c>
      <c r="F3398" s="2" t="s">
        <v>10765</v>
      </c>
      <c r="G3398" s="2" t="s">
        <v>127</v>
      </c>
      <c r="H3398" s="2" t="s">
        <v>537</v>
      </c>
      <c r="I3398" s="2" t="s">
        <v>59</v>
      </c>
      <c r="J3398" s="2" t="s">
        <v>37</v>
      </c>
      <c r="K3398" s="2" t="s">
        <v>38</v>
      </c>
      <c r="L3398" s="2" t="s">
        <v>39</v>
      </c>
      <c r="M3398" s="2" t="s">
        <v>39</v>
      </c>
      <c r="N3398" s="2" t="s">
        <v>39</v>
      </c>
      <c r="O3398" s="2" t="s">
        <v>39</v>
      </c>
      <c r="P3398" s="2" t="s">
        <v>39</v>
      </c>
      <c r="Q3398" s="2" t="s">
        <v>39</v>
      </c>
      <c r="R3398" s="2" t="s">
        <v>39</v>
      </c>
      <c r="S3398" s="2" t="s">
        <v>39</v>
      </c>
      <c r="T3398" s="2" t="s">
        <v>39</v>
      </c>
      <c r="U3398" s="2" t="s">
        <v>38</v>
      </c>
      <c r="V3398" s="2" t="s">
        <v>38</v>
      </c>
      <c r="W3398" s="2" t="s">
        <v>39</v>
      </c>
      <c r="X3398" s="2" t="s">
        <v>39</v>
      </c>
      <c r="Y3398" s="2" t="s">
        <v>39</v>
      </c>
      <c r="Z3398" s="2" t="s">
        <v>39</v>
      </c>
      <c r="AA3398" s="2" t="s">
        <v>38</v>
      </c>
      <c r="AB3398" s="2" t="s">
        <v>39</v>
      </c>
      <c r="AC3398" s="2" t="s">
        <v>38</v>
      </c>
      <c r="AD3398" s="2" t="s">
        <v>38</v>
      </c>
      <c r="AE3398" s="2" t="s">
        <v>40</v>
      </c>
    </row>
    <row r="3399" spans="1:31" ht="409.5">
      <c r="A3399" s="2">
        <v>2697466</v>
      </c>
      <c r="B3399" s="2">
        <f>HYPERLINK("https://platform.v2.vetology.net/cases/2697466/screening-report/1?type=pdf&amp;v=v6&amp;scorecard=1&amp;secret_key=BX%25IJ%24%2F65ieZ%29f6", 2697466)</f>
        <v>2697466</v>
      </c>
      <c r="C3399" s="2">
        <f>HYPERLINK("https://platform.v2.vetology.net/report/v/final/"&amp;2697466, 2697466)</f>
        <v>2697466</v>
      </c>
      <c r="D3399" s="2" t="s">
        <v>10766</v>
      </c>
      <c r="E3399" s="2" t="s">
        <v>10767</v>
      </c>
      <c r="F3399" s="2" t="s">
        <v>229</v>
      </c>
      <c r="G3399" s="2" t="s">
        <v>170</v>
      </c>
      <c r="H3399" s="2" t="s">
        <v>10768</v>
      </c>
      <c r="I3399" s="2" t="s">
        <v>36</v>
      </c>
      <c r="J3399" s="2" t="s">
        <v>37</v>
      </c>
      <c r="K3399" s="2" t="s">
        <v>38</v>
      </c>
      <c r="L3399" s="2" t="s">
        <v>38</v>
      </c>
      <c r="M3399" s="2" t="s">
        <v>39</v>
      </c>
      <c r="N3399" s="2" t="s">
        <v>38</v>
      </c>
      <c r="O3399" s="2" t="s">
        <v>38</v>
      </c>
      <c r="P3399" s="2" t="s">
        <v>38</v>
      </c>
      <c r="Q3399" s="2" t="s">
        <v>39</v>
      </c>
      <c r="R3399" s="2" t="s">
        <v>39</v>
      </c>
      <c r="S3399" s="2" t="s">
        <v>38</v>
      </c>
      <c r="T3399" s="2" t="s">
        <v>39</v>
      </c>
      <c r="U3399" s="2" t="s">
        <v>38</v>
      </c>
      <c r="V3399" s="2" t="s">
        <v>38</v>
      </c>
      <c r="W3399" s="2" t="s">
        <v>38</v>
      </c>
      <c r="X3399" s="2" t="s">
        <v>39</v>
      </c>
      <c r="Y3399" s="2" t="s">
        <v>39</v>
      </c>
      <c r="Z3399" s="2" t="s">
        <v>38</v>
      </c>
      <c r="AA3399" s="2" t="s">
        <v>38</v>
      </c>
      <c r="AB3399" s="2" t="s">
        <v>39</v>
      </c>
      <c r="AC3399" s="2" t="s">
        <v>38</v>
      </c>
      <c r="AD3399" s="2" t="s">
        <v>39</v>
      </c>
      <c r="AE3399" s="2" t="s">
        <v>39</v>
      </c>
    </row>
    <row r="3400" spans="1:31" ht="409.5">
      <c r="A3400" s="2">
        <v>2697452</v>
      </c>
      <c r="B3400" s="2">
        <f>HYPERLINK("https://platform.v2.vetology.net/cases/2697452/screening-report/1?type=pdf&amp;v=v6&amp;scorecard=1&amp;secret_key=BX%25IJ%24%2F65ieZ%29f6", 2697452)</f>
        <v>2697452</v>
      </c>
      <c r="C3400" s="2">
        <f>HYPERLINK("https://platform.v2.vetology.net/report/v/final/"&amp;2697452, 2697452)</f>
        <v>2697452</v>
      </c>
      <c r="D3400" s="2" t="s">
        <v>10769</v>
      </c>
      <c r="E3400" s="2" t="s">
        <v>10770</v>
      </c>
      <c r="F3400" s="2" t="s">
        <v>43</v>
      </c>
      <c r="G3400" s="2" t="s">
        <v>100</v>
      </c>
      <c r="H3400" s="2" t="s">
        <v>10771</v>
      </c>
      <c r="I3400" s="2" t="s">
        <v>73</v>
      </c>
      <c r="J3400" s="2" t="s">
        <v>74</v>
      </c>
      <c r="K3400" s="2" t="s">
        <v>38</v>
      </c>
      <c r="L3400" s="2" t="s">
        <v>38</v>
      </c>
      <c r="M3400" s="2" t="s">
        <v>38</v>
      </c>
      <c r="N3400" s="2" t="s">
        <v>38</v>
      </c>
      <c r="O3400" s="2" t="s">
        <v>38</v>
      </c>
      <c r="P3400" s="2" t="s">
        <v>38</v>
      </c>
      <c r="Q3400" s="2" t="s">
        <v>38</v>
      </c>
      <c r="R3400" s="2" t="s">
        <v>39</v>
      </c>
      <c r="S3400" s="2" t="s">
        <v>38</v>
      </c>
      <c r="T3400" s="2" t="s">
        <v>38</v>
      </c>
      <c r="U3400" s="2" t="s">
        <v>38</v>
      </c>
      <c r="V3400" s="2" t="s">
        <v>38</v>
      </c>
      <c r="W3400" s="2" t="s">
        <v>38</v>
      </c>
      <c r="X3400" s="2" t="s">
        <v>38</v>
      </c>
      <c r="Y3400" s="2" t="s">
        <v>38</v>
      </c>
      <c r="Z3400" s="2" t="s">
        <v>38</v>
      </c>
      <c r="AA3400" s="2" t="s">
        <v>38</v>
      </c>
      <c r="AB3400" s="2" t="s">
        <v>38</v>
      </c>
      <c r="AC3400" s="2" t="s">
        <v>38</v>
      </c>
      <c r="AD3400" s="2" t="s">
        <v>39</v>
      </c>
      <c r="AE3400" s="2" t="s">
        <v>39</v>
      </c>
    </row>
    <row r="3401" spans="1:31" ht="409.5">
      <c r="A3401" s="2">
        <v>2697430</v>
      </c>
      <c r="B3401" s="2">
        <f>HYPERLINK("https://platform.v2.vetology.net/cases/2697430/screening-report/1?type=pdf&amp;v=v6&amp;scorecard=1&amp;secret_key=BX%25IJ%24%2F65ieZ%29f6", 2697430)</f>
        <v>2697430</v>
      </c>
      <c r="C3401" s="2">
        <f>HYPERLINK("https://platform.v2.vetology.net/report/v/final/"&amp;2697430, 2697430)</f>
        <v>2697430</v>
      </c>
      <c r="D3401" s="2" t="s">
        <v>10772</v>
      </c>
      <c r="E3401" s="2" t="s">
        <v>10773</v>
      </c>
      <c r="F3401" s="2" t="s">
        <v>43</v>
      </c>
      <c r="G3401" s="2" t="s">
        <v>507</v>
      </c>
      <c r="H3401" s="2" t="s">
        <v>10774</v>
      </c>
      <c r="I3401" s="2" t="s">
        <v>36</v>
      </c>
      <c r="J3401" s="2" t="s">
        <v>37</v>
      </c>
      <c r="K3401" s="2" t="s">
        <v>38</v>
      </c>
      <c r="L3401" s="2" t="s">
        <v>38</v>
      </c>
      <c r="M3401" s="2" t="s">
        <v>38</v>
      </c>
      <c r="N3401" s="2" t="s">
        <v>38</v>
      </c>
      <c r="O3401" s="2" t="s">
        <v>38</v>
      </c>
      <c r="P3401" s="2" t="s">
        <v>38</v>
      </c>
      <c r="Q3401" s="2" t="s">
        <v>39</v>
      </c>
      <c r="R3401" s="2" t="s">
        <v>38</v>
      </c>
      <c r="S3401" s="2" t="s">
        <v>38</v>
      </c>
      <c r="T3401" s="2" t="s">
        <v>39</v>
      </c>
      <c r="U3401" s="2" t="s">
        <v>38</v>
      </c>
      <c r="V3401" s="2" t="s">
        <v>38</v>
      </c>
      <c r="W3401" s="2" t="s">
        <v>38</v>
      </c>
      <c r="X3401" s="2" t="s">
        <v>39</v>
      </c>
      <c r="Y3401" s="2" t="s">
        <v>39</v>
      </c>
      <c r="Z3401" s="2" t="s">
        <v>38</v>
      </c>
      <c r="AA3401" s="2" t="s">
        <v>38</v>
      </c>
      <c r="AB3401" s="2" t="s">
        <v>39</v>
      </c>
      <c r="AC3401" s="2" t="s">
        <v>38</v>
      </c>
      <c r="AD3401" s="2" t="s">
        <v>39</v>
      </c>
      <c r="AE3401" s="2" t="s">
        <v>40</v>
      </c>
    </row>
    <row r="3402" spans="1:31" ht="409.5">
      <c r="A3402" s="2">
        <v>2697424</v>
      </c>
      <c r="B3402" s="2">
        <f>HYPERLINK("https://platform.v2.vetology.net/cases/2697424/screening-report/1?type=pdf&amp;v=v6&amp;scorecard=1&amp;secret_key=BX%25IJ%24%2F65ieZ%29f6", 2697424)</f>
        <v>2697424</v>
      </c>
      <c r="C3402" s="2">
        <f>HYPERLINK("https://platform.v2.vetology.net/report/v/final/"&amp;2697424, 2697424)</f>
        <v>2697424</v>
      </c>
      <c r="D3402" s="2" t="s">
        <v>10775</v>
      </c>
      <c r="E3402" s="2" t="s">
        <v>10776</v>
      </c>
      <c r="F3402" s="2" t="s">
        <v>10777</v>
      </c>
      <c r="G3402" s="2" t="s">
        <v>34</v>
      </c>
      <c r="H3402" s="2" t="s">
        <v>277</v>
      </c>
      <c r="I3402" s="2" t="s">
        <v>46</v>
      </c>
      <c r="J3402" s="2"/>
      <c r="K3402" s="2" t="s">
        <v>39</v>
      </c>
      <c r="L3402" s="2" t="s">
        <v>38</v>
      </c>
      <c r="M3402" s="2" t="s">
        <v>39</v>
      </c>
      <c r="N3402" s="2" t="s">
        <v>39</v>
      </c>
      <c r="O3402" s="2" t="s">
        <v>38</v>
      </c>
      <c r="P3402" s="2" t="s">
        <v>39</v>
      </c>
      <c r="Q3402" s="2" t="s">
        <v>39</v>
      </c>
      <c r="R3402" s="2" t="s">
        <v>39</v>
      </c>
      <c r="S3402" s="2" t="s">
        <v>39</v>
      </c>
      <c r="T3402" s="2" t="s">
        <v>38</v>
      </c>
      <c r="U3402" s="2" t="s">
        <v>39</v>
      </c>
      <c r="V3402" s="2" t="s">
        <v>39</v>
      </c>
      <c r="W3402" s="2" t="s">
        <v>38</v>
      </c>
      <c r="X3402" s="2" t="s">
        <v>39</v>
      </c>
      <c r="Y3402" s="2" t="s">
        <v>39</v>
      </c>
      <c r="Z3402" s="2" t="s">
        <v>39</v>
      </c>
      <c r="AA3402" s="2" t="s">
        <v>39</v>
      </c>
      <c r="AB3402" s="2" t="s">
        <v>39</v>
      </c>
      <c r="AC3402" s="2" t="s">
        <v>38</v>
      </c>
      <c r="AD3402" s="2" t="s">
        <v>39</v>
      </c>
      <c r="AE3402" s="2" t="s">
        <v>39</v>
      </c>
    </row>
    <row r="3403" spans="1:31" ht="409.5">
      <c r="A3403" s="2">
        <v>2697376</v>
      </c>
      <c r="B3403" s="2">
        <f>HYPERLINK("https://platform.v2.vetology.net/cases/2697376/screening-report/1?type=pdf&amp;v=v6&amp;scorecard=1&amp;secret_key=BX%25IJ%24%2F65ieZ%29f6", 2697376)</f>
        <v>2697376</v>
      </c>
      <c r="C3403" s="2">
        <f>HYPERLINK("https://platform.v2.vetology.net/report/v/final/"&amp;2697376, 2697376)</f>
        <v>2697376</v>
      </c>
      <c r="D3403" s="2" t="s">
        <v>10778</v>
      </c>
      <c r="E3403" s="2" t="s">
        <v>10779</v>
      </c>
      <c r="F3403" s="2" t="s">
        <v>10780</v>
      </c>
      <c r="G3403" s="2" t="s">
        <v>34</v>
      </c>
      <c r="H3403" s="2" t="s">
        <v>2003</v>
      </c>
      <c r="I3403" s="2" t="s">
        <v>46</v>
      </c>
      <c r="J3403" s="2"/>
      <c r="K3403" s="2" t="s">
        <v>39</v>
      </c>
      <c r="L3403" s="2" t="s">
        <v>38</v>
      </c>
      <c r="M3403" s="2" t="s">
        <v>39</v>
      </c>
      <c r="N3403" s="2" t="s">
        <v>39</v>
      </c>
      <c r="O3403" s="2" t="s">
        <v>39</v>
      </c>
      <c r="P3403" s="2" t="s">
        <v>39</v>
      </c>
      <c r="Q3403" s="2" t="s">
        <v>39</v>
      </c>
      <c r="R3403" s="2" t="s">
        <v>38</v>
      </c>
      <c r="S3403" s="2" t="s">
        <v>39</v>
      </c>
      <c r="T3403" s="2" t="s">
        <v>39</v>
      </c>
      <c r="U3403" s="2" t="s">
        <v>39</v>
      </c>
      <c r="V3403" s="2" t="s">
        <v>39</v>
      </c>
      <c r="W3403" s="2" t="s">
        <v>38</v>
      </c>
      <c r="X3403" s="2" t="s">
        <v>39</v>
      </c>
      <c r="Y3403" s="2" t="s">
        <v>39</v>
      </c>
      <c r="Z3403" s="2" t="s">
        <v>39</v>
      </c>
      <c r="AA3403" s="2" t="s">
        <v>39</v>
      </c>
      <c r="AB3403" s="2" t="s">
        <v>39</v>
      </c>
      <c r="AC3403" s="2" t="s">
        <v>38</v>
      </c>
      <c r="AD3403" s="2" t="s">
        <v>38</v>
      </c>
      <c r="AE3403" s="2" t="s">
        <v>39</v>
      </c>
    </row>
    <row r="3404" spans="1:31" ht="409.5">
      <c r="A3404" s="2">
        <v>2697370</v>
      </c>
      <c r="B3404" s="2">
        <f>HYPERLINK("https://platform.v2.vetology.net/cases/2697370/screening-report/1?type=pdf&amp;v=v6&amp;scorecard=1&amp;secret_key=BX%25IJ%24%2F65ieZ%29f6", 2697370)</f>
        <v>2697370</v>
      </c>
      <c r="C3404" s="2">
        <f>HYPERLINK("https://platform.v2.vetology.net/report/v/final/"&amp;2697370, 2697370)</f>
        <v>2697370</v>
      </c>
      <c r="D3404" s="2" t="s">
        <v>10781</v>
      </c>
      <c r="E3404" s="2" t="s">
        <v>10782</v>
      </c>
      <c r="F3404" s="2" t="s">
        <v>43</v>
      </c>
      <c r="G3404" s="2" t="s">
        <v>44</v>
      </c>
      <c r="H3404" s="2" t="s">
        <v>10783</v>
      </c>
      <c r="I3404" s="2" t="s">
        <v>129</v>
      </c>
      <c r="J3404" s="2" t="s">
        <v>74</v>
      </c>
      <c r="K3404" s="2" t="s">
        <v>38</v>
      </c>
      <c r="L3404" s="2" t="s">
        <v>39</v>
      </c>
      <c r="M3404" s="2" t="s">
        <v>38</v>
      </c>
      <c r="N3404" s="2" t="s">
        <v>38</v>
      </c>
      <c r="O3404" s="2" t="s">
        <v>38</v>
      </c>
      <c r="P3404" s="2" t="s">
        <v>38</v>
      </c>
      <c r="Q3404" s="2" t="s">
        <v>38</v>
      </c>
      <c r="R3404" s="2" t="s">
        <v>39</v>
      </c>
      <c r="S3404" s="2" t="s">
        <v>38</v>
      </c>
      <c r="T3404" s="2" t="s">
        <v>38</v>
      </c>
      <c r="U3404" s="2" t="s">
        <v>38</v>
      </c>
      <c r="V3404" s="2" t="s">
        <v>38</v>
      </c>
      <c r="W3404" s="2" t="s">
        <v>38</v>
      </c>
      <c r="X3404" s="2" t="s">
        <v>38</v>
      </c>
      <c r="Y3404" s="2" t="s">
        <v>39</v>
      </c>
      <c r="Z3404" s="2" t="s">
        <v>38</v>
      </c>
      <c r="AA3404" s="2" t="s">
        <v>38</v>
      </c>
      <c r="AB3404" s="2" t="s">
        <v>39</v>
      </c>
      <c r="AC3404" s="2" t="s">
        <v>38</v>
      </c>
      <c r="AD3404" s="2" t="s">
        <v>39</v>
      </c>
      <c r="AE3404" s="2" t="s">
        <v>40</v>
      </c>
    </row>
    <row r="3405" spans="1:31" ht="409.5">
      <c r="A3405" s="2">
        <v>2697360</v>
      </c>
      <c r="B3405" s="2">
        <f>HYPERLINK("https://platform.v2.vetology.net/cases/2697360/screening-report/1?type=pdf&amp;v=v6&amp;scorecard=1&amp;secret_key=BX%25IJ%24%2F65ieZ%29f6", 2697360)</f>
        <v>2697360</v>
      </c>
      <c r="C3405" s="2">
        <f>HYPERLINK("https://platform.v2.vetology.net/report/v/final/"&amp;2697360, 2697360)</f>
        <v>2697360</v>
      </c>
      <c r="D3405" s="2" t="s">
        <v>10784</v>
      </c>
      <c r="E3405" s="2" t="s">
        <v>10785</v>
      </c>
      <c r="F3405" s="2" t="s">
        <v>10786</v>
      </c>
      <c r="G3405" s="2" t="s">
        <v>170</v>
      </c>
      <c r="H3405" s="2" t="s">
        <v>2049</v>
      </c>
      <c r="I3405" s="2" t="s">
        <v>36</v>
      </c>
      <c r="J3405" s="2" t="s">
        <v>37</v>
      </c>
      <c r="K3405" s="2" t="s">
        <v>38</v>
      </c>
      <c r="L3405" s="2" t="s">
        <v>39</v>
      </c>
      <c r="M3405" s="2" t="s">
        <v>38</v>
      </c>
      <c r="N3405" s="2" t="s">
        <v>39</v>
      </c>
      <c r="O3405" s="2" t="s">
        <v>38</v>
      </c>
      <c r="P3405" s="2" t="s">
        <v>39</v>
      </c>
      <c r="Q3405" s="2" t="s">
        <v>39</v>
      </c>
      <c r="R3405" s="2" t="s">
        <v>38</v>
      </c>
      <c r="S3405" s="2" t="s">
        <v>39</v>
      </c>
      <c r="T3405" s="2" t="s">
        <v>39</v>
      </c>
      <c r="U3405" s="2" t="s">
        <v>38</v>
      </c>
      <c r="V3405" s="2" t="s">
        <v>38</v>
      </c>
      <c r="W3405" s="2" t="s">
        <v>38</v>
      </c>
      <c r="X3405" s="2" t="s">
        <v>38</v>
      </c>
      <c r="Y3405" s="2" t="s">
        <v>39</v>
      </c>
      <c r="Z3405" s="2" t="s">
        <v>39</v>
      </c>
      <c r="AA3405" s="2" t="s">
        <v>39</v>
      </c>
      <c r="AB3405" s="2" t="s">
        <v>39</v>
      </c>
      <c r="AC3405" s="2" t="s">
        <v>38</v>
      </c>
      <c r="AD3405" s="2" t="s">
        <v>39</v>
      </c>
      <c r="AE3405" s="2" t="s">
        <v>39</v>
      </c>
    </row>
    <row r="3406" spans="1:31" ht="409.5">
      <c r="A3406" s="2">
        <v>2697359</v>
      </c>
      <c r="B3406" s="2">
        <f>HYPERLINK("https://platform.v2.vetology.net/cases/2697359/screening-report/1?type=pdf&amp;v=v6&amp;scorecard=1&amp;secret_key=BX%25IJ%24%2F65ieZ%29f6", 2697359)</f>
        <v>2697359</v>
      </c>
      <c r="C3406" s="2">
        <f>HYPERLINK("https://platform.v2.vetology.net/report/v/final/"&amp;2697359, 2697359)</f>
        <v>2697359</v>
      </c>
      <c r="D3406" s="2" t="s">
        <v>10787</v>
      </c>
      <c r="E3406" s="2" t="s">
        <v>10788</v>
      </c>
      <c r="F3406" s="2" t="s">
        <v>10789</v>
      </c>
      <c r="G3406" s="2" t="s">
        <v>34</v>
      </c>
      <c r="H3406" s="2" t="s">
        <v>10790</v>
      </c>
      <c r="I3406" s="2" t="s">
        <v>36</v>
      </c>
      <c r="J3406" s="2" t="s">
        <v>37</v>
      </c>
      <c r="K3406" s="2" t="s">
        <v>38</v>
      </c>
      <c r="L3406" s="2" t="s">
        <v>38</v>
      </c>
      <c r="M3406" s="2" t="s">
        <v>38</v>
      </c>
      <c r="N3406" s="2" t="s">
        <v>38</v>
      </c>
      <c r="O3406" s="2" t="s">
        <v>38</v>
      </c>
      <c r="P3406" s="2" t="s">
        <v>39</v>
      </c>
      <c r="Q3406" s="2" t="s">
        <v>39</v>
      </c>
      <c r="R3406" s="2" t="s">
        <v>38</v>
      </c>
      <c r="S3406" s="2" t="s">
        <v>38</v>
      </c>
      <c r="T3406" s="2" t="s">
        <v>39</v>
      </c>
      <c r="U3406" s="2" t="s">
        <v>38</v>
      </c>
      <c r="V3406" s="2" t="s">
        <v>38</v>
      </c>
      <c r="W3406" s="2" t="s">
        <v>38</v>
      </c>
      <c r="X3406" s="2" t="s">
        <v>39</v>
      </c>
      <c r="Y3406" s="2" t="s">
        <v>39</v>
      </c>
      <c r="Z3406" s="2" t="s">
        <v>38</v>
      </c>
      <c r="AA3406" s="2" t="s">
        <v>38</v>
      </c>
      <c r="AB3406" s="2" t="s">
        <v>39</v>
      </c>
      <c r="AC3406" s="2" t="s">
        <v>38</v>
      </c>
      <c r="AD3406" s="2" t="s">
        <v>38</v>
      </c>
      <c r="AE3406" s="2" t="s">
        <v>39</v>
      </c>
    </row>
    <row r="3407" spans="1:31" ht="409.5">
      <c r="A3407" s="2">
        <v>2697344</v>
      </c>
      <c r="B3407" s="2">
        <f>HYPERLINK("https://platform.v2.vetology.net/cases/2697344/screening-report/1?type=pdf&amp;v=v6&amp;scorecard=1&amp;secret_key=BX%25IJ%24%2F65ieZ%29f6", 2697344)</f>
        <v>2697344</v>
      </c>
      <c r="C3407" s="2">
        <f>HYPERLINK("https://platform.v2.vetology.net/report/v/final/"&amp;2697344, 2697344)</f>
        <v>2697344</v>
      </c>
      <c r="D3407" s="2" t="s">
        <v>10791</v>
      </c>
      <c r="E3407" s="2" t="s">
        <v>10792</v>
      </c>
      <c r="F3407" s="2" t="s">
        <v>10793</v>
      </c>
      <c r="G3407" s="2" t="s">
        <v>170</v>
      </c>
      <c r="H3407" s="2" t="s">
        <v>10794</v>
      </c>
      <c r="I3407" s="2" t="s">
        <v>36</v>
      </c>
      <c r="J3407" s="2" t="s">
        <v>37</v>
      </c>
      <c r="K3407" s="2" t="s">
        <v>39</v>
      </c>
      <c r="L3407" s="2" t="s">
        <v>38</v>
      </c>
      <c r="M3407" s="2" t="s">
        <v>38</v>
      </c>
      <c r="N3407" s="2" t="s">
        <v>38</v>
      </c>
      <c r="O3407" s="2" t="s">
        <v>38</v>
      </c>
      <c r="P3407" s="2" t="s">
        <v>38</v>
      </c>
      <c r="Q3407" s="2" t="s">
        <v>39</v>
      </c>
      <c r="R3407" s="2" t="s">
        <v>39</v>
      </c>
      <c r="S3407" s="2" t="s">
        <v>38</v>
      </c>
      <c r="T3407" s="2" t="s">
        <v>38</v>
      </c>
      <c r="U3407" s="2" t="s">
        <v>39</v>
      </c>
      <c r="V3407" s="2" t="s">
        <v>39</v>
      </c>
      <c r="W3407" s="2" t="s">
        <v>38</v>
      </c>
      <c r="X3407" s="2" t="s">
        <v>39</v>
      </c>
      <c r="Y3407" s="2" t="s">
        <v>39</v>
      </c>
      <c r="Z3407" s="2" t="s">
        <v>38</v>
      </c>
      <c r="AA3407" s="2" t="s">
        <v>38</v>
      </c>
      <c r="AB3407" s="2" t="s">
        <v>39</v>
      </c>
      <c r="AC3407" s="2" t="s">
        <v>38</v>
      </c>
      <c r="AD3407" s="2" t="s">
        <v>39</v>
      </c>
      <c r="AE3407" s="2"/>
    </row>
    <row r="3408" spans="1:31" ht="409.5">
      <c r="A3408" s="2">
        <v>2697334</v>
      </c>
      <c r="B3408" s="2">
        <f>HYPERLINK("https://platform.v2.vetology.net/cases/2697334/screening-report/1?type=pdf&amp;v=v6&amp;scorecard=1&amp;secret_key=BX%25IJ%24%2F65ieZ%29f6", 2697334)</f>
        <v>2697334</v>
      </c>
      <c r="C3408" s="2">
        <f>HYPERLINK("https://platform.v2.vetology.net/report/v/final/"&amp;2697334, 2697334)</f>
        <v>2697334</v>
      </c>
      <c r="D3408" s="2" t="s">
        <v>10795</v>
      </c>
      <c r="E3408" s="2" t="s">
        <v>10796</v>
      </c>
      <c r="F3408" s="2" t="s">
        <v>229</v>
      </c>
      <c r="G3408" s="2" t="s">
        <v>170</v>
      </c>
      <c r="H3408" s="2" t="s">
        <v>10797</v>
      </c>
      <c r="I3408" s="2" t="s">
        <v>129</v>
      </c>
      <c r="J3408" s="2" t="s">
        <v>74</v>
      </c>
      <c r="K3408" s="2" t="s">
        <v>39</v>
      </c>
      <c r="L3408" s="2" t="s">
        <v>39</v>
      </c>
      <c r="M3408" s="2" t="s">
        <v>38</v>
      </c>
      <c r="N3408" s="2" t="s">
        <v>38</v>
      </c>
      <c r="O3408" s="2" t="s">
        <v>38</v>
      </c>
      <c r="P3408" s="2" t="s">
        <v>39</v>
      </c>
      <c r="Q3408" s="2" t="s">
        <v>38</v>
      </c>
      <c r="R3408" s="2" t="s">
        <v>38</v>
      </c>
      <c r="S3408" s="2" t="s">
        <v>39</v>
      </c>
      <c r="T3408" s="2" t="s">
        <v>39</v>
      </c>
      <c r="U3408" s="2" t="s">
        <v>38</v>
      </c>
      <c r="V3408" s="2" t="s">
        <v>39</v>
      </c>
      <c r="W3408" s="2" t="s">
        <v>38</v>
      </c>
      <c r="X3408" s="2" t="s">
        <v>38</v>
      </c>
      <c r="Y3408" s="2" t="s">
        <v>38</v>
      </c>
      <c r="Z3408" s="2" t="s">
        <v>39</v>
      </c>
      <c r="AA3408" s="2" t="s">
        <v>38</v>
      </c>
      <c r="AB3408" s="2" t="s">
        <v>39</v>
      </c>
      <c r="AC3408" s="2" t="s">
        <v>38</v>
      </c>
      <c r="AD3408" s="2" t="s">
        <v>39</v>
      </c>
      <c r="AE3408" s="2" t="s">
        <v>39</v>
      </c>
    </row>
    <row r="3409" spans="1:31" ht="409.5">
      <c r="A3409" s="2">
        <v>2697320</v>
      </c>
      <c r="B3409" s="2">
        <f>HYPERLINK("https://platform.v2.vetology.net/cases/2697320/screening-report/1?type=pdf&amp;v=v6&amp;scorecard=1&amp;secret_key=BX%25IJ%24%2F65ieZ%29f6", 2697320)</f>
        <v>2697320</v>
      </c>
      <c r="C3409" s="2">
        <f>HYPERLINK("https://platform.v2.vetology.net/report/v/final/"&amp;2697320, 2697320)</f>
        <v>2697320</v>
      </c>
      <c r="D3409" s="2" t="s">
        <v>10798</v>
      </c>
      <c r="E3409" s="2" t="s">
        <v>10799</v>
      </c>
      <c r="F3409" s="2" t="s">
        <v>1661</v>
      </c>
      <c r="G3409" s="2" t="s">
        <v>111</v>
      </c>
      <c r="H3409" s="2" t="s">
        <v>10800</v>
      </c>
      <c r="I3409" s="2" t="s">
        <v>36</v>
      </c>
      <c r="J3409" s="2" t="s">
        <v>37</v>
      </c>
      <c r="K3409" s="2" t="s">
        <v>38</v>
      </c>
      <c r="L3409" s="2" t="s">
        <v>38</v>
      </c>
      <c r="M3409" s="2" t="s">
        <v>38</v>
      </c>
      <c r="N3409" s="2" t="s">
        <v>38</v>
      </c>
      <c r="O3409" s="2" t="s">
        <v>38</v>
      </c>
      <c r="P3409" s="2" t="s">
        <v>38</v>
      </c>
      <c r="Q3409" s="2" t="s">
        <v>39</v>
      </c>
      <c r="R3409" s="2" t="s">
        <v>38</v>
      </c>
      <c r="S3409" s="2" t="s">
        <v>38</v>
      </c>
      <c r="T3409" s="2" t="s">
        <v>38</v>
      </c>
      <c r="U3409" s="2" t="s">
        <v>38</v>
      </c>
      <c r="V3409" s="2" t="s">
        <v>38</v>
      </c>
      <c r="W3409" s="2" t="s">
        <v>38</v>
      </c>
      <c r="X3409" s="2" t="s">
        <v>39</v>
      </c>
      <c r="Y3409" s="2" t="s">
        <v>38</v>
      </c>
      <c r="Z3409" s="2" t="s">
        <v>38</v>
      </c>
      <c r="AA3409" s="2" t="s">
        <v>38</v>
      </c>
      <c r="AB3409" s="2" t="s">
        <v>39</v>
      </c>
      <c r="AC3409" s="2" t="s">
        <v>38</v>
      </c>
      <c r="AD3409" s="2" t="s">
        <v>38</v>
      </c>
      <c r="AE3409" s="2" t="s">
        <v>39</v>
      </c>
    </row>
    <row r="3410" spans="1:31" ht="409.5">
      <c r="A3410" s="2">
        <v>2697305</v>
      </c>
      <c r="B3410" s="2">
        <f>HYPERLINK("https://platform.v2.vetology.net/cases/2697305/screening-report/1?type=pdf&amp;v=v6&amp;scorecard=1&amp;secret_key=BX%25IJ%24%2F65ieZ%29f6", 2697305)</f>
        <v>2697305</v>
      </c>
      <c r="C3410" s="2">
        <f>HYPERLINK("https://platform.v2.vetology.net/report/v/final/"&amp;2697305, 2697305)</f>
        <v>2697305</v>
      </c>
      <c r="D3410" s="2" t="s">
        <v>10801</v>
      </c>
      <c r="E3410" s="2" t="s">
        <v>2593</v>
      </c>
      <c r="F3410" s="2" t="s">
        <v>229</v>
      </c>
      <c r="G3410" s="2" t="s">
        <v>170</v>
      </c>
      <c r="H3410" s="2" t="s">
        <v>10802</v>
      </c>
      <c r="I3410" s="2" t="s">
        <v>36</v>
      </c>
      <c r="J3410" s="2" t="s">
        <v>37</v>
      </c>
      <c r="K3410" s="2" t="s">
        <v>38</v>
      </c>
      <c r="L3410" s="2" t="s">
        <v>38</v>
      </c>
      <c r="M3410" s="2" t="s">
        <v>38</v>
      </c>
      <c r="N3410" s="2" t="s">
        <v>38</v>
      </c>
      <c r="O3410" s="2" t="s">
        <v>38</v>
      </c>
      <c r="P3410" s="2" t="s">
        <v>38</v>
      </c>
      <c r="Q3410" s="2" t="s">
        <v>39</v>
      </c>
      <c r="R3410" s="2" t="s">
        <v>39</v>
      </c>
      <c r="S3410" s="2" t="s">
        <v>38</v>
      </c>
      <c r="T3410" s="2" t="s">
        <v>39</v>
      </c>
      <c r="U3410" s="2" t="s">
        <v>39</v>
      </c>
      <c r="V3410" s="2" t="s">
        <v>39</v>
      </c>
      <c r="W3410" s="2" t="s">
        <v>39</v>
      </c>
      <c r="X3410" s="2" t="s">
        <v>39</v>
      </c>
      <c r="Y3410" s="2" t="s">
        <v>39</v>
      </c>
      <c r="Z3410" s="2" t="s">
        <v>39</v>
      </c>
      <c r="AA3410" s="2" t="s">
        <v>39</v>
      </c>
      <c r="AB3410" s="2" t="s">
        <v>39</v>
      </c>
      <c r="AC3410" s="2" t="s">
        <v>38</v>
      </c>
      <c r="AD3410" s="2" t="s">
        <v>39</v>
      </c>
      <c r="AE3410" s="2" t="s">
        <v>39</v>
      </c>
    </row>
    <row r="3411" spans="1:31" ht="409.5">
      <c r="A3411" s="2">
        <v>2697291</v>
      </c>
      <c r="B3411" s="2">
        <f>HYPERLINK("https://platform.v2.vetology.net/cases/2697291/screening-report/1?type=pdf&amp;v=v6&amp;scorecard=1&amp;secret_key=BX%25IJ%24%2F65ieZ%29f6", 2697291)</f>
        <v>2697291</v>
      </c>
      <c r="C3411" s="2">
        <f>HYPERLINK("https://platform.v2.vetology.net/report/v/final/"&amp;2697291, 2697291)</f>
        <v>2697291</v>
      </c>
      <c r="D3411" s="2" t="s">
        <v>10803</v>
      </c>
      <c r="E3411" s="2" t="s">
        <v>10804</v>
      </c>
      <c r="F3411" s="2" t="s">
        <v>10805</v>
      </c>
      <c r="G3411" s="2" t="s">
        <v>34</v>
      </c>
      <c r="H3411" s="2" t="s">
        <v>1446</v>
      </c>
      <c r="I3411" s="2" t="s">
        <v>36</v>
      </c>
      <c r="J3411" s="2" t="s">
        <v>37</v>
      </c>
      <c r="K3411" s="2" t="s">
        <v>39</v>
      </c>
      <c r="L3411" s="2" t="s">
        <v>39</v>
      </c>
      <c r="M3411" s="2" t="s">
        <v>38</v>
      </c>
      <c r="N3411" s="2" t="s">
        <v>39</v>
      </c>
      <c r="O3411" s="2" t="s">
        <v>39</v>
      </c>
      <c r="P3411" s="2" t="s">
        <v>39</v>
      </c>
      <c r="Q3411" s="2" t="s">
        <v>39</v>
      </c>
      <c r="R3411" s="2" t="s">
        <v>38</v>
      </c>
      <c r="S3411" s="2" t="s">
        <v>39</v>
      </c>
      <c r="T3411" s="2" t="s">
        <v>38</v>
      </c>
      <c r="U3411" s="2" t="s">
        <v>39</v>
      </c>
      <c r="V3411" s="2" t="s">
        <v>38</v>
      </c>
      <c r="W3411" s="2" t="s">
        <v>38</v>
      </c>
      <c r="X3411" s="2" t="s">
        <v>39</v>
      </c>
      <c r="Y3411" s="2" t="s">
        <v>39</v>
      </c>
      <c r="Z3411" s="2" t="s">
        <v>39</v>
      </c>
      <c r="AA3411" s="2" t="s">
        <v>38</v>
      </c>
      <c r="AB3411" s="2" t="s">
        <v>39</v>
      </c>
      <c r="AC3411" s="2" t="s">
        <v>39</v>
      </c>
      <c r="AD3411" s="2" t="s">
        <v>39</v>
      </c>
      <c r="AE3411" s="2" t="s">
        <v>39</v>
      </c>
    </row>
    <row r="3412" spans="1:31" ht="409.5">
      <c r="A3412" s="2">
        <v>2697283</v>
      </c>
      <c r="B3412" s="2">
        <f>HYPERLINK("https://platform.v2.vetology.net/cases/2697283/screening-report/1?type=pdf&amp;v=v6&amp;scorecard=1&amp;secret_key=BX%25IJ%24%2F65ieZ%29f6", 2697283)</f>
        <v>2697283</v>
      </c>
      <c r="C3412" s="2">
        <f>HYPERLINK("https://platform.v2.vetology.net/report/v/final/"&amp;2697283, 2697283)</f>
        <v>2697283</v>
      </c>
      <c r="D3412" s="2" t="s">
        <v>10806</v>
      </c>
      <c r="E3412" s="2" t="s">
        <v>10807</v>
      </c>
      <c r="F3412" s="2" t="s">
        <v>10808</v>
      </c>
      <c r="G3412" s="2" t="s">
        <v>127</v>
      </c>
      <c r="H3412" s="2" t="s">
        <v>158</v>
      </c>
      <c r="I3412" s="2" t="s">
        <v>59</v>
      </c>
      <c r="J3412" s="2" t="s">
        <v>37</v>
      </c>
      <c r="K3412" s="2" t="s">
        <v>38</v>
      </c>
      <c r="L3412" s="2" t="s">
        <v>39</v>
      </c>
      <c r="M3412" s="2" t="s">
        <v>39</v>
      </c>
      <c r="N3412" s="2" t="s">
        <v>39</v>
      </c>
      <c r="O3412" s="2" t="s">
        <v>39</v>
      </c>
      <c r="P3412" s="2" t="s">
        <v>39</v>
      </c>
      <c r="Q3412" s="2" t="s">
        <v>39</v>
      </c>
      <c r="R3412" s="2" t="s">
        <v>39</v>
      </c>
      <c r="S3412" s="2" t="s">
        <v>39</v>
      </c>
      <c r="T3412" s="2" t="s">
        <v>39</v>
      </c>
      <c r="U3412" s="2" t="s">
        <v>39</v>
      </c>
      <c r="V3412" s="2" t="s">
        <v>38</v>
      </c>
      <c r="W3412" s="2" t="s">
        <v>39</v>
      </c>
      <c r="X3412" s="2" t="s">
        <v>39</v>
      </c>
      <c r="Y3412" s="2" t="s">
        <v>39</v>
      </c>
      <c r="Z3412" s="2" t="s">
        <v>39</v>
      </c>
      <c r="AA3412" s="2" t="s">
        <v>39</v>
      </c>
      <c r="AB3412" s="2" t="s">
        <v>39</v>
      </c>
      <c r="AC3412" s="2" t="s">
        <v>39</v>
      </c>
      <c r="AD3412" s="2" t="s">
        <v>38</v>
      </c>
      <c r="AE3412" s="2" t="s">
        <v>40</v>
      </c>
    </row>
    <row r="3413" spans="1:31" ht="409.5">
      <c r="A3413" s="2">
        <v>2697254</v>
      </c>
      <c r="B3413" s="2">
        <f>HYPERLINK("https://platform.v2.vetology.net/cases/2697254/screening-report/1?type=pdf&amp;v=v6&amp;scorecard=1&amp;secret_key=BX%25IJ%24%2F65ieZ%29f6", 2697254)</f>
        <v>2697254</v>
      </c>
      <c r="C3413" s="2">
        <f>HYPERLINK("https://platform.v2.vetology.net/report/v/final/"&amp;2697254, 2697254)</f>
        <v>2697254</v>
      </c>
      <c r="D3413" s="2" t="s">
        <v>10809</v>
      </c>
      <c r="E3413" s="2" t="s">
        <v>10810</v>
      </c>
      <c r="F3413" s="2" t="s">
        <v>10811</v>
      </c>
      <c r="G3413" s="2" t="s">
        <v>34</v>
      </c>
      <c r="H3413" s="2" t="s">
        <v>69</v>
      </c>
      <c r="I3413" s="2" t="s">
        <v>46</v>
      </c>
      <c r="J3413" s="2"/>
      <c r="K3413" s="2" t="s">
        <v>39</v>
      </c>
      <c r="L3413" s="2" t="s">
        <v>39</v>
      </c>
      <c r="M3413" s="2" t="s">
        <v>39</v>
      </c>
      <c r="N3413" s="2" t="s">
        <v>39</v>
      </c>
      <c r="O3413" s="2" t="s">
        <v>39</v>
      </c>
      <c r="P3413" s="2" t="s">
        <v>39</v>
      </c>
      <c r="Q3413" s="2" t="s">
        <v>39</v>
      </c>
      <c r="R3413" s="2" t="s">
        <v>39</v>
      </c>
      <c r="S3413" s="2" t="s">
        <v>39</v>
      </c>
      <c r="T3413" s="2" t="s">
        <v>38</v>
      </c>
      <c r="U3413" s="2" t="s">
        <v>39</v>
      </c>
      <c r="V3413" s="2" t="s">
        <v>39</v>
      </c>
      <c r="W3413" s="2" t="s">
        <v>38</v>
      </c>
      <c r="X3413" s="2" t="s">
        <v>39</v>
      </c>
      <c r="Y3413" s="2" t="s">
        <v>39</v>
      </c>
      <c r="Z3413" s="2" t="s">
        <v>39</v>
      </c>
      <c r="AA3413" s="2" t="s">
        <v>38</v>
      </c>
      <c r="AB3413" s="2" t="s">
        <v>39</v>
      </c>
      <c r="AC3413" s="2" t="s">
        <v>38</v>
      </c>
      <c r="AD3413" s="2" t="s">
        <v>39</v>
      </c>
      <c r="AE3413" s="2" t="s">
        <v>39</v>
      </c>
    </row>
    <row r="3414" spans="1:31" ht="409.5">
      <c r="A3414" s="2">
        <v>2697213</v>
      </c>
      <c r="B3414" s="2">
        <f>HYPERLINK("https://platform.v2.vetology.net/cases/2697213/screening-report/1?type=pdf&amp;v=v6&amp;scorecard=1&amp;secret_key=BX%25IJ%24%2F65ieZ%29f6", 2697213)</f>
        <v>2697213</v>
      </c>
      <c r="C3414" s="2">
        <f>HYPERLINK("https://platform.v2.vetology.net/report/v/final/"&amp;2697213, 2697213)</f>
        <v>2697213</v>
      </c>
      <c r="D3414" s="2" t="s">
        <v>10812</v>
      </c>
      <c r="E3414" s="2" t="s">
        <v>10813</v>
      </c>
      <c r="F3414" s="2" t="s">
        <v>10814</v>
      </c>
      <c r="G3414" s="2" t="s">
        <v>170</v>
      </c>
      <c r="H3414" s="2" t="s">
        <v>10815</v>
      </c>
      <c r="I3414" s="2" t="s">
        <v>36</v>
      </c>
      <c r="J3414" s="2" t="s">
        <v>37</v>
      </c>
      <c r="K3414" s="2" t="s">
        <v>38</v>
      </c>
      <c r="L3414" s="2" t="s">
        <v>39</v>
      </c>
      <c r="M3414" s="2" t="s">
        <v>39</v>
      </c>
      <c r="N3414" s="2" t="s">
        <v>39</v>
      </c>
      <c r="O3414" s="2" t="s">
        <v>39</v>
      </c>
      <c r="P3414" s="2" t="s">
        <v>38</v>
      </c>
      <c r="Q3414" s="2" t="s">
        <v>39</v>
      </c>
      <c r="R3414" s="2" t="s">
        <v>39</v>
      </c>
      <c r="S3414" s="2" t="s">
        <v>39</v>
      </c>
      <c r="T3414" s="2" t="s">
        <v>39</v>
      </c>
      <c r="U3414" s="2" t="s">
        <v>39</v>
      </c>
      <c r="V3414" s="2" t="s">
        <v>39</v>
      </c>
      <c r="W3414" s="2" t="s">
        <v>38</v>
      </c>
      <c r="X3414" s="2" t="s">
        <v>39</v>
      </c>
      <c r="Y3414" s="2" t="s">
        <v>39</v>
      </c>
      <c r="Z3414" s="2" t="s">
        <v>39</v>
      </c>
      <c r="AA3414" s="2" t="s">
        <v>39</v>
      </c>
      <c r="AB3414" s="2" t="s">
        <v>39</v>
      </c>
      <c r="AC3414" s="2" t="s">
        <v>38</v>
      </c>
      <c r="AD3414" s="2" t="s">
        <v>38</v>
      </c>
      <c r="AE3414" s="2" t="s">
        <v>39</v>
      </c>
    </row>
    <row r="3415" spans="1:31" ht="409.5">
      <c r="A3415" s="2">
        <v>2697169</v>
      </c>
      <c r="B3415" s="2">
        <f>HYPERLINK("https://platform.v2.vetology.net/cases/2697169/screening-report/1?type=pdf&amp;v=v6&amp;scorecard=1&amp;secret_key=BX%25IJ%24%2F65ieZ%29f6", 2697169)</f>
        <v>2697169</v>
      </c>
      <c r="C3415" s="2">
        <f>HYPERLINK("https://platform.v2.vetology.net/report/v/final/"&amp;2697169, 2697169)</f>
        <v>2697169</v>
      </c>
      <c r="D3415" s="2" t="s">
        <v>10816</v>
      </c>
      <c r="E3415" s="2" t="s">
        <v>10817</v>
      </c>
      <c r="F3415" s="2" t="s">
        <v>7131</v>
      </c>
      <c r="G3415" s="2" t="s">
        <v>34</v>
      </c>
      <c r="H3415" s="2" t="s">
        <v>10818</v>
      </c>
      <c r="I3415" s="2" t="s">
        <v>129</v>
      </c>
      <c r="J3415" s="2" t="s">
        <v>74</v>
      </c>
      <c r="K3415" s="2" t="s">
        <v>39</v>
      </c>
      <c r="L3415" s="2" t="s">
        <v>39</v>
      </c>
      <c r="M3415" s="2" t="s">
        <v>39</v>
      </c>
      <c r="N3415" s="2" t="s">
        <v>38</v>
      </c>
      <c r="O3415" s="2" t="s">
        <v>38</v>
      </c>
      <c r="P3415" s="2" t="s">
        <v>38</v>
      </c>
      <c r="Q3415" s="2" t="s">
        <v>38</v>
      </c>
      <c r="R3415" s="2" t="s">
        <v>38</v>
      </c>
      <c r="S3415" s="2" t="s">
        <v>39</v>
      </c>
      <c r="T3415" s="2" t="s">
        <v>39</v>
      </c>
      <c r="U3415" s="2" t="s">
        <v>39</v>
      </c>
      <c r="V3415" s="2" t="s">
        <v>39</v>
      </c>
      <c r="W3415" s="2" t="s">
        <v>38</v>
      </c>
      <c r="X3415" s="2" t="s">
        <v>38</v>
      </c>
      <c r="Y3415" s="2" t="s">
        <v>39</v>
      </c>
      <c r="Z3415" s="2" t="s">
        <v>39</v>
      </c>
      <c r="AA3415" s="2" t="s">
        <v>38</v>
      </c>
      <c r="AB3415" s="2" t="s">
        <v>38</v>
      </c>
      <c r="AC3415" s="2" t="s">
        <v>38</v>
      </c>
      <c r="AD3415" s="2" t="s">
        <v>39</v>
      </c>
      <c r="AE3415" s="2" t="s">
        <v>39</v>
      </c>
    </row>
    <row r="3416" spans="1:31" ht="409.5">
      <c r="A3416" s="2">
        <v>2697118</v>
      </c>
      <c r="B3416" s="2">
        <f>HYPERLINK("https://platform.v2.vetology.net/cases/2697118/screening-report/1?type=pdf&amp;v=v6&amp;scorecard=1&amp;secret_key=BX%25IJ%24%2F65ieZ%29f6", 2697118)</f>
        <v>2697118</v>
      </c>
      <c r="C3416" s="2">
        <f>HYPERLINK("https://platform.v2.vetology.net/report/v/final/"&amp;2697118, 2697118)</f>
        <v>2697118</v>
      </c>
      <c r="D3416" s="2" t="s">
        <v>10819</v>
      </c>
      <c r="E3416" s="2" t="s">
        <v>10820</v>
      </c>
      <c r="F3416" s="2" t="s">
        <v>10821</v>
      </c>
      <c r="G3416" s="2" t="s">
        <v>111</v>
      </c>
      <c r="H3416" s="2" t="s">
        <v>2195</v>
      </c>
      <c r="I3416" s="2" t="s">
        <v>46</v>
      </c>
      <c r="J3416" s="2"/>
      <c r="K3416" s="2" t="s">
        <v>39</v>
      </c>
      <c r="L3416" s="2" t="s">
        <v>38</v>
      </c>
      <c r="M3416" s="2" t="s">
        <v>39</v>
      </c>
      <c r="N3416" s="2" t="s">
        <v>39</v>
      </c>
      <c r="O3416" s="2" t="s">
        <v>38</v>
      </c>
      <c r="P3416" s="2" t="s">
        <v>39</v>
      </c>
      <c r="Q3416" s="2" t="s">
        <v>39</v>
      </c>
      <c r="R3416" s="2" t="s">
        <v>38</v>
      </c>
      <c r="S3416" s="2" t="s">
        <v>38</v>
      </c>
      <c r="T3416" s="2" t="s">
        <v>38</v>
      </c>
      <c r="U3416" s="2" t="s">
        <v>39</v>
      </c>
      <c r="V3416" s="2" t="s">
        <v>39</v>
      </c>
      <c r="W3416" s="2" t="s">
        <v>38</v>
      </c>
      <c r="X3416" s="2" t="s">
        <v>39</v>
      </c>
      <c r="Y3416" s="2" t="s">
        <v>39</v>
      </c>
      <c r="Z3416" s="2" t="s">
        <v>39</v>
      </c>
      <c r="AA3416" s="2" t="s">
        <v>39</v>
      </c>
      <c r="AB3416" s="2" t="s">
        <v>39</v>
      </c>
      <c r="AC3416" s="2" t="s">
        <v>39</v>
      </c>
      <c r="AD3416" s="2" t="s">
        <v>38</v>
      </c>
      <c r="AE3416" s="2" t="s">
        <v>39</v>
      </c>
    </row>
    <row r="3417" spans="1:31" ht="409.5">
      <c r="A3417" s="2">
        <v>2697041</v>
      </c>
      <c r="B3417" s="2">
        <f>HYPERLINK("https://platform.v2.vetology.net/cases/2697041/screening-report/1?type=pdf&amp;v=v6&amp;scorecard=1&amp;secret_key=BX%25IJ%24%2F65ieZ%29f6", 2697041)</f>
        <v>2697041</v>
      </c>
      <c r="C3417" s="2">
        <f>HYPERLINK("https://platform.v2.vetology.net/report/v/final/"&amp;2697041, 2697041)</f>
        <v>2697041</v>
      </c>
      <c r="D3417" s="2" t="s">
        <v>10822</v>
      </c>
      <c r="E3417" s="2" t="s">
        <v>10823</v>
      </c>
      <c r="F3417" s="2" t="s">
        <v>10824</v>
      </c>
      <c r="G3417" s="2" t="s">
        <v>34</v>
      </c>
      <c r="H3417" s="2" t="s">
        <v>10825</v>
      </c>
      <c r="I3417" s="2" t="s">
        <v>73</v>
      </c>
      <c r="J3417" s="2" t="s">
        <v>74</v>
      </c>
      <c r="K3417" s="2" t="s">
        <v>38</v>
      </c>
      <c r="L3417" s="2" t="s">
        <v>38</v>
      </c>
      <c r="M3417" s="2" t="s">
        <v>38</v>
      </c>
      <c r="N3417" s="2" t="s">
        <v>38</v>
      </c>
      <c r="O3417" s="2" t="s">
        <v>38</v>
      </c>
      <c r="P3417" s="2" t="s">
        <v>38</v>
      </c>
      <c r="Q3417" s="2" t="s">
        <v>38</v>
      </c>
      <c r="R3417" s="2" t="s">
        <v>38</v>
      </c>
      <c r="S3417" s="2" t="s">
        <v>38</v>
      </c>
      <c r="T3417" s="2" t="s">
        <v>38</v>
      </c>
      <c r="U3417" s="2" t="s">
        <v>38</v>
      </c>
      <c r="V3417" s="2" t="s">
        <v>38</v>
      </c>
      <c r="W3417" s="2" t="s">
        <v>38</v>
      </c>
      <c r="X3417" s="2" t="s">
        <v>38</v>
      </c>
      <c r="Y3417" s="2" t="s">
        <v>38</v>
      </c>
      <c r="Z3417" s="2" t="s">
        <v>38</v>
      </c>
      <c r="AA3417" s="2" t="s">
        <v>38</v>
      </c>
      <c r="AB3417" s="2" t="s">
        <v>38</v>
      </c>
      <c r="AC3417" s="2" t="s">
        <v>38</v>
      </c>
      <c r="AD3417" s="2" t="s">
        <v>38</v>
      </c>
      <c r="AE3417" s="2" t="s">
        <v>40</v>
      </c>
    </row>
    <row r="3418" spans="1:31" ht="409.5">
      <c r="A3418" s="2">
        <v>2697016</v>
      </c>
      <c r="B3418" s="2">
        <f>HYPERLINK("https://platform.v2.vetology.net/cases/2697016/screening-report/1?type=pdf&amp;v=v6&amp;scorecard=1&amp;secret_key=BX%25IJ%24%2F65ieZ%29f6", 2697016)</f>
        <v>2697016</v>
      </c>
      <c r="C3418" s="2">
        <f>HYPERLINK("https://platform.v2.vetology.net/report/v/final/"&amp;2697016, 2697016)</f>
        <v>2697016</v>
      </c>
      <c r="D3418" s="2" t="s">
        <v>10826</v>
      </c>
      <c r="E3418" s="2" t="s">
        <v>10827</v>
      </c>
      <c r="F3418" s="2" t="s">
        <v>10828</v>
      </c>
      <c r="G3418" s="2" t="s">
        <v>53</v>
      </c>
      <c r="H3418" s="2" t="s">
        <v>10829</v>
      </c>
      <c r="I3418" s="2" t="s">
        <v>36</v>
      </c>
      <c r="J3418" s="2" t="s">
        <v>37</v>
      </c>
      <c r="K3418" s="2" t="s">
        <v>39</v>
      </c>
      <c r="L3418" s="2" t="s">
        <v>38</v>
      </c>
      <c r="M3418" s="2" t="s">
        <v>39</v>
      </c>
      <c r="N3418" s="2" t="s">
        <v>39</v>
      </c>
      <c r="O3418" s="2" t="s">
        <v>39</v>
      </c>
      <c r="P3418" s="2" t="s">
        <v>39</v>
      </c>
      <c r="Q3418" s="2" t="s">
        <v>39</v>
      </c>
      <c r="R3418" s="2" t="s">
        <v>38</v>
      </c>
      <c r="S3418" s="2" t="s">
        <v>38</v>
      </c>
      <c r="T3418" s="2" t="s">
        <v>39</v>
      </c>
      <c r="U3418" s="2" t="s">
        <v>39</v>
      </c>
      <c r="V3418" s="2" t="s">
        <v>38</v>
      </c>
      <c r="W3418" s="2" t="s">
        <v>38</v>
      </c>
      <c r="X3418" s="2" t="s">
        <v>39</v>
      </c>
      <c r="Y3418" s="2" t="s">
        <v>39</v>
      </c>
      <c r="Z3418" s="2" t="s">
        <v>39</v>
      </c>
      <c r="AA3418" s="2" t="s">
        <v>39</v>
      </c>
      <c r="AB3418" s="2" t="s">
        <v>39</v>
      </c>
      <c r="AC3418" s="2" t="s">
        <v>38</v>
      </c>
      <c r="AD3418" s="2" t="s">
        <v>38</v>
      </c>
      <c r="AE3418" s="2" t="s">
        <v>39</v>
      </c>
    </row>
    <row r="3419" spans="1:31" ht="409.5">
      <c r="A3419" s="2">
        <v>2696959</v>
      </c>
      <c r="B3419" s="2">
        <f>HYPERLINK("https://platform.v2.vetology.net/cases/2696959/screening-report/1?type=pdf&amp;v=v6&amp;scorecard=1&amp;secret_key=BX%25IJ%24%2F65ieZ%29f6", 2696959)</f>
        <v>2696959</v>
      </c>
      <c r="C3419" s="2">
        <f>HYPERLINK("https://platform.v2.vetology.net/report/v/final/"&amp;2696959, 2696959)</f>
        <v>2696959</v>
      </c>
      <c r="D3419" s="2" t="s">
        <v>10830</v>
      </c>
      <c r="E3419" s="2" t="s">
        <v>10831</v>
      </c>
      <c r="F3419" s="2" t="s">
        <v>10832</v>
      </c>
      <c r="G3419" s="2" t="s">
        <v>53</v>
      </c>
      <c r="H3419" s="2" t="s">
        <v>10833</v>
      </c>
      <c r="I3419" s="2" t="s">
        <v>36</v>
      </c>
      <c r="J3419" s="2" t="s">
        <v>37</v>
      </c>
      <c r="K3419" s="2" t="s">
        <v>38</v>
      </c>
      <c r="L3419" s="2" t="s">
        <v>38</v>
      </c>
      <c r="M3419" s="2" t="s">
        <v>38</v>
      </c>
      <c r="N3419" s="2" t="s">
        <v>38</v>
      </c>
      <c r="O3419" s="2" t="s">
        <v>38</v>
      </c>
      <c r="P3419" s="2" t="s">
        <v>39</v>
      </c>
      <c r="Q3419" s="2" t="s">
        <v>39</v>
      </c>
      <c r="R3419" s="2" t="s">
        <v>39</v>
      </c>
      <c r="S3419" s="2" t="s">
        <v>38</v>
      </c>
      <c r="T3419" s="2" t="s">
        <v>38</v>
      </c>
      <c r="U3419" s="2" t="s">
        <v>38</v>
      </c>
      <c r="V3419" s="2" t="s">
        <v>38</v>
      </c>
      <c r="W3419" s="2" t="s">
        <v>39</v>
      </c>
      <c r="X3419" s="2" t="s">
        <v>39</v>
      </c>
      <c r="Y3419" s="2" t="s">
        <v>39</v>
      </c>
      <c r="Z3419" s="2" t="s">
        <v>38</v>
      </c>
      <c r="AA3419" s="2" t="s">
        <v>38</v>
      </c>
      <c r="AB3419" s="2" t="s">
        <v>39</v>
      </c>
      <c r="AC3419" s="2" t="s">
        <v>38</v>
      </c>
      <c r="AD3419" s="2" t="s">
        <v>39</v>
      </c>
      <c r="AE3419" s="2" t="s">
        <v>39</v>
      </c>
    </row>
    <row r="3420" spans="1:31" ht="409.5">
      <c r="A3420" s="2">
        <v>2696947</v>
      </c>
      <c r="B3420" s="2">
        <f>HYPERLINK("https://platform.v2.vetology.net/cases/2696947/screening-report/1?type=pdf&amp;v=v6&amp;scorecard=1&amp;secret_key=BX%25IJ%24%2F65ieZ%29f6", 2696947)</f>
        <v>2696947</v>
      </c>
      <c r="C3420" s="2">
        <f>HYPERLINK("https://platform.v2.vetology.net/report/v/final/"&amp;2696947, 2696947)</f>
        <v>2696947</v>
      </c>
      <c r="D3420" s="2" t="s">
        <v>10834</v>
      </c>
      <c r="E3420" s="2" t="s">
        <v>10835</v>
      </c>
      <c r="F3420" s="2" t="s">
        <v>243</v>
      </c>
      <c r="G3420" s="2" t="s">
        <v>127</v>
      </c>
      <c r="H3420" s="2" t="s">
        <v>10836</v>
      </c>
      <c r="I3420" s="2" t="s">
        <v>36</v>
      </c>
      <c r="J3420" s="2" t="s">
        <v>37</v>
      </c>
      <c r="K3420" s="2" t="s">
        <v>38</v>
      </c>
      <c r="L3420" s="2" t="s">
        <v>38</v>
      </c>
      <c r="M3420" s="2" t="s">
        <v>38</v>
      </c>
      <c r="N3420" s="2" t="s">
        <v>38</v>
      </c>
      <c r="O3420" s="2" t="s">
        <v>38</v>
      </c>
      <c r="P3420" s="2" t="s">
        <v>38</v>
      </c>
      <c r="Q3420" s="2" t="s">
        <v>38</v>
      </c>
      <c r="R3420" s="2" t="s">
        <v>39</v>
      </c>
      <c r="S3420" s="2" t="s">
        <v>38</v>
      </c>
      <c r="T3420" s="2" t="s">
        <v>38</v>
      </c>
      <c r="U3420" s="2" t="s">
        <v>39</v>
      </c>
      <c r="V3420" s="2" t="s">
        <v>38</v>
      </c>
      <c r="W3420" s="2" t="s">
        <v>38</v>
      </c>
      <c r="X3420" s="2" t="s">
        <v>38</v>
      </c>
      <c r="Y3420" s="2" t="s">
        <v>38</v>
      </c>
      <c r="Z3420" s="2" t="s">
        <v>38</v>
      </c>
      <c r="AA3420" s="2" t="s">
        <v>38</v>
      </c>
      <c r="AB3420" s="2" t="s">
        <v>38</v>
      </c>
      <c r="AC3420" s="2" t="s">
        <v>38</v>
      </c>
      <c r="AD3420" s="2" t="s">
        <v>38</v>
      </c>
      <c r="AE3420" s="2" t="s">
        <v>39</v>
      </c>
    </row>
    <row r="3421" spans="1:31" ht="409.5">
      <c r="A3421" s="2">
        <v>2696942</v>
      </c>
      <c r="B3421" s="2">
        <f>HYPERLINK("https://platform.v2.vetology.net/cases/2696942/screening-report/1?type=pdf&amp;v=v6&amp;scorecard=1&amp;secret_key=BX%25IJ%24%2F65ieZ%29f6", 2696942)</f>
        <v>2696942</v>
      </c>
      <c r="C3421" s="2">
        <f>HYPERLINK("https://platform.v2.vetology.net/report/v/final/"&amp;2696942, 2696942)</f>
        <v>2696942</v>
      </c>
      <c r="D3421" s="2" t="s">
        <v>10837</v>
      </c>
      <c r="E3421" s="2" t="s">
        <v>5722</v>
      </c>
      <c r="F3421" s="2" t="s">
        <v>1644</v>
      </c>
      <c r="G3421" s="2" t="s">
        <v>111</v>
      </c>
      <c r="H3421" s="2" t="s">
        <v>10838</v>
      </c>
      <c r="I3421" s="2" t="s">
        <v>36</v>
      </c>
      <c r="J3421" s="2" t="s">
        <v>37</v>
      </c>
      <c r="K3421" s="2" t="s">
        <v>39</v>
      </c>
      <c r="L3421" s="2" t="s">
        <v>38</v>
      </c>
      <c r="M3421" s="2" t="s">
        <v>39</v>
      </c>
      <c r="N3421" s="2" t="s">
        <v>38</v>
      </c>
      <c r="O3421" s="2" t="s">
        <v>38</v>
      </c>
      <c r="P3421" s="2" t="s">
        <v>39</v>
      </c>
      <c r="Q3421" s="2" t="s">
        <v>39</v>
      </c>
      <c r="R3421" s="2" t="s">
        <v>39</v>
      </c>
      <c r="S3421" s="2" t="s">
        <v>38</v>
      </c>
      <c r="T3421" s="2" t="s">
        <v>38</v>
      </c>
      <c r="U3421" s="2" t="s">
        <v>39</v>
      </c>
      <c r="V3421" s="2" t="s">
        <v>39</v>
      </c>
      <c r="W3421" s="2" t="s">
        <v>38</v>
      </c>
      <c r="X3421" s="2" t="s">
        <v>39</v>
      </c>
      <c r="Y3421" s="2" t="s">
        <v>39</v>
      </c>
      <c r="Z3421" s="2" t="s">
        <v>38</v>
      </c>
      <c r="AA3421" s="2" t="s">
        <v>38</v>
      </c>
      <c r="AB3421" s="2" t="s">
        <v>39</v>
      </c>
      <c r="AC3421" s="2" t="s">
        <v>38</v>
      </c>
      <c r="AD3421" s="2" t="s">
        <v>38</v>
      </c>
      <c r="AE3421" s="2" t="s">
        <v>39</v>
      </c>
    </row>
    <row r="3422" spans="1:31" ht="409.5">
      <c r="A3422" s="2">
        <v>2696928</v>
      </c>
      <c r="B3422" s="2">
        <f>HYPERLINK("https://platform.v2.vetology.net/cases/2696928/screening-report/1?type=pdf&amp;v=v6&amp;scorecard=1&amp;secret_key=BX%25IJ%24%2F65ieZ%29f6", 2696928)</f>
        <v>2696928</v>
      </c>
      <c r="C3422" s="2">
        <f>HYPERLINK("https://platform.v2.vetology.net/report/v/final/"&amp;2696928, 2696928)</f>
        <v>2696928</v>
      </c>
      <c r="D3422" s="2" t="s">
        <v>10839</v>
      </c>
      <c r="E3422" s="2" t="s">
        <v>10840</v>
      </c>
      <c r="F3422" s="2" t="s">
        <v>10841</v>
      </c>
      <c r="G3422" s="2" t="s">
        <v>251</v>
      </c>
      <c r="H3422" s="2" t="s">
        <v>1412</v>
      </c>
      <c r="I3422" s="2" t="s">
        <v>36</v>
      </c>
      <c r="J3422" s="2" t="s">
        <v>37</v>
      </c>
      <c r="K3422" s="2" t="s">
        <v>38</v>
      </c>
      <c r="L3422" s="2" t="s">
        <v>39</v>
      </c>
      <c r="M3422" s="2" t="s">
        <v>38</v>
      </c>
      <c r="N3422" s="2" t="s">
        <v>39</v>
      </c>
      <c r="O3422" s="2" t="s">
        <v>39</v>
      </c>
      <c r="P3422" s="2" t="s">
        <v>39</v>
      </c>
      <c r="Q3422" s="2" t="s">
        <v>39</v>
      </c>
      <c r="R3422" s="2" t="s">
        <v>38</v>
      </c>
      <c r="S3422" s="2" t="s">
        <v>39</v>
      </c>
      <c r="T3422" s="2" t="s">
        <v>39</v>
      </c>
      <c r="U3422" s="2" t="s">
        <v>38</v>
      </c>
      <c r="V3422" s="2" t="s">
        <v>38</v>
      </c>
      <c r="W3422" s="2" t="s">
        <v>39</v>
      </c>
      <c r="X3422" s="2" t="s">
        <v>39</v>
      </c>
      <c r="Y3422" s="2" t="s">
        <v>39</v>
      </c>
      <c r="Z3422" s="2" t="s">
        <v>39</v>
      </c>
      <c r="AA3422" s="2" t="s">
        <v>38</v>
      </c>
      <c r="AB3422" s="2" t="s">
        <v>39</v>
      </c>
      <c r="AC3422" s="2" t="s">
        <v>38</v>
      </c>
      <c r="AD3422" s="2" t="s">
        <v>39</v>
      </c>
      <c r="AE3422" s="2" t="s">
        <v>40</v>
      </c>
    </row>
    <row r="3423" spans="1:31" ht="409.5">
      <c r="A3423" s="2">
        <v>2696927</v>
      </c>
      <c r="B3423" s="2">
        <f>HYPERLINK("https://platform.v2.vetology.net/cases/2696927/screening-report/1?type=pdf&amp;v=v6&amp;scorecard=1&amp;secret_key=BX%25IJ%24%2F65ieZ%29f6", 2696927)</f>
        <v>2696927</v>
      </c>
      <c r="C3423" s="2">
        <f>HYPERLINK("https://platform.v2.vetology.net/report/v/final/"&amp;2696927, 2696927)</f>
        <v>2696927</v>
      </c>
      <c r="D3423" s="2" t="s">
        <v>10842</v>
      </c>
      <c r="E3423" s="2" t="s">
        <v>10843</v>
      </c>
      <c r="F3423" s="2" t="s">
        <v>10844</v>
      </c>
      <c r="G3423" s="2" t="s">
        <v>127</v>
      </c>
      <c r="H3423" s="2" t="s">
        <v>398</v>
      </c>
      <c r="I3423" s="2" t="s">
        <v>46</v>
      </c>
      <c r="J3423" s="2"/>
      <c r="K3423" s="2" t="s">
        <v>38</v>
      </c>
      <c r="L3423" s="2" t="s">
        <v>39</v>
      </c>
      <c r="M3423" s="2" t="s">
        <v>39</v>
      </c>
      <c r="N3423" s="2" t="s">
        <v>39</v>
      </c>
      <c r="O3423" s="2" t="s">
        <v>39</v>
      </c>
      <c r="P3423" s="2" t="s">
        <v>39</v>
      </c>
      <c r="Q3423" s="2" t="s">
        <v>39</v>
      </c>
      <c r="R3423" s="2" t="s">
        <v>39</v>
      </c>
      <c r="S3423" s="2" t="s">
        <v>39</v>
      </c>
      <c r="T3423" s="2" t="s">
        <v>39</v>
      </c>
      <c r="U3423" s="2" t="s">
        <v>39</v>
      </c>
      <c r="V3423" s="2" t="s">
        <v>39</v>
      </c>
      <c r="W3423" s="2" t="s">
        <v>39</v>
      </c>
      <c r="X3423" s="2" t="s">
        <v>39</v>
      </c>
      <c r="Y3423" s="2" t="s">
        <v>39</v>
      </c>
      <c r="Z3423" s="2" t="s">
        <v>39</v>
      </c>
      <c r="AA3423" s="2" t="s">
        <v>39</v>
      </c>
      <c r="AB3423" s="2" t="s">
        <v>39</v>
      </c>
      <c r="AC3423" s="2" t="s">
        <v>38</v>
      </c>
      <c r="AD3423" s="2" t="s">
        <v>38</v>
      </c>
      <c r="AE3423" s="2" t="s">
        <v>39</v>
      </c>
    </row>
    <row r="3424" spans="1:31" ht="409.5">
      <c r="A3424" s="2">
        <v>2696908</v>
      </c>
      <c r="B3424" s="2">
        <f>HYPERLINK("https://platform.v2.vetology.net/cases/2696908/screening-report/1?type=pdf&amp;v=v6&amp;scorecard=1&amp;secret_key=BX%25IJ%24%2F65ieZ%29f6", 2696908)</f>
        <v>2696908</v>
      </c>
      <c r="C3424" s="2">
        <f>HYPERLINK("https://platform.v2.vetology.net/report/v/final/"&amp;2696908, 2696908)</f>
        <v>2696908</v>
      </c>
      <c r="D3424" s="2" t="s">
        <v>10845</v>
      </c>
      <c r="E3424" s="2" t="s">
        <v>10846</v>
      </c>
      <c r="F3424" s="2" t="s">
        <v>10847</v>
      </c>
      <c r="G3424" s="2" t="s">
        <v>127</v>
      </c>
      <c r="H3424" s="2" t="s">
        <v>10848</v>
      </c>
      <c r="I3424" s="2" t="s">
        <v>73</v>
      </c>
      <c r="J3424" s="2" t="s">
        <v>74</v>
      </c>
      <c r="K3424" s="2" t="s">
        <v>38</v>
      </c>
      <c r="L3424" s="2" t="s">
        <v>38</v>
      </c>
      <c r="M3424" s="2" t="s">
        <v>38</v>
      </c>
      <c r="N3424" s="2" t="s">
        <v>38</v>
      </c>
      <c r="O3424" s="2" t="s">
        <v>38</v>
      </c>
      <c r="P3424" s="2" t="s">
        <v>38</v>
      </c>
      <c r="Q3424" s="2" t="s">
        <v>38</v>
      </c>
      <c r="R3424" s="2" t="s">
        <v>38</v>
      </c>
      <c r="S3424" s="2" t="s">
        <v>38</v>
      </c>
      <c r="T3424" s="2" t="s">
        <v>38</v>
      </c>
      <c r="U3424" s="2" t="s">
        <v>38</v>
      </c>
      <c r="V3424" s="2" t="s">
        <v>38</v>
      </c>
      <c r="W3424" s="2" t="s">
        <v>38</v>
      </c>
      <c r="X3424" s="2" t="s">
        <v>38</v>
      </c>
      <c r="Y3424" s="2" t="s">
        <v>38</v>
      </c>
      <c r="Z3424" s="2" t="s">
        <v>38</v>
      </c>
      <c r="AA3424" s="2" t="s">
        <v>38</v>
      </c>
      <c r="AB3424" s="2" t="s">
        <v>38</v>
      </c>
      <c r="AC3424" s="2" t="s">
        <v>38</v>
      </c>
      <c r="AD3424" s="2" t="s">
        <v>38</v>
      </c>
      <c r="AE3424" s="2" t="s">
        <v>40</v>
      </c>
    </row>
    <row r="3425" spans="1:31" ht="409.5">
      <c r="A3425" s="2">
        <v>2696879</v>
      </c>
      <c r="B3425" s="2">
        <f>HYPERLINK("https://platform.v2.vetology.net/cases/2696879/screening-report/1?type=pdf&amp;v=v6&amp;scorecard=1&amp;secret_key=BX%25IJ%24%2F65ieZ%29f6", 2696879)</f>
        <v>2696879</v>
      </c>
      <c r="C3425" s="2">
        <f>HYPERLINK("https://platform.v2.vetology.net/report/v/final/"&amp;2696879, 2696879)</f>
        <v>2696879</v>
      </c>
      <c r="D3425" s="2" t="s">
        <v>10849</v>
      </c>
      <c r="E3425" s="2" t="s">
        <v>10850</v>
      </c>
      <c r="F3425" s="2" t="s">
        <v>10851</v>
      </c>
      <c r="G3425" s="2" t="s">
        <v>111</v>
      </c>
      <c r="H3425" s="2" t="s">
        <v>45</v>
      </c>
      <c r="I3425" s="2" t="s">
        <v>46</v>
      </c>
      <c r="J3425" s="2"/>
      <c r="K3425" s="2" t="s">
        <v>39</v>
      </c>
      <c r="L3425" s="2" t="s">
        <v>39</v>
      </c>
      <c r="M3425" s="2" t="s">
        <v>39</v>
      </c>
      <c r="N3425" s="2" t="s">
        <v>39</v>
      </c>
      <c r="O3425" s="2" t="s">
        <v>39</v>
      </c>
      <c r="P3425" s="2" t="s">
        <v>39</v>
      </c>
      <c r="Q3425" s="2" t="s">
        <v>39</v>
      </c>
      <c r="R3425" s="2" t="s">
        <v>38</v>
      </c>
      <c r="S3425" s="2" t="s">
        <v>39</v>
      </c>
      <c r="T3425" s="2" t="s">
        <v>39</v>
      </c>
      <c r="U3425" s="2" t="s">
        <v>39</v>
      </c>
      <c r="V3425" s="2" t="s">
        <v>39</v>
      </c>
      <c r="W3425" s="2" t="s">
        <v>39</v>
      </c>
      <c r="X3425" s="2" t="s">
        <v>39</v>
      </c>
      <c r="Y3425" s="2" t="s">
        <v>39</v>
      </c>
      <c r="Z3425" s="2" t="s">
        <v>39</v>
      </c>
      <c r="AA3425" s="2" t="s">
        <v>39</v>
      </c>
      <c r="AB3425" s="2" t="s">
        <v>39</v>
      </c>
      <c r="AC3425" s="2" t="s">
        <v>38</v>
      </c>
      <c r="AD3425" s="2" t="s">
        <v>39</v>
      </c>
      <c r="AE3425" s="2" t="s">
        <v>39</v>
      </c>
    </row>
    <row r="3426" spans="1:31" ht="409.5">
      <c r="A3426" s="2">
        <v>2696856</v>
      </c>
      <c r="B3426" s="2">
        <f>HYPERLINK("https://platform.v2.vetology.net/cases/2696856/screening-report/1?type=pdf&amp;v=v6&amp;scorecard=1&amp;secret_key=BX%25IJ%24%2F65ieZ%29f6", 2696856)</f>
        <v>2696856</v>
      </c>
      <c r="C3426" s="2">
        <f>HYPERLINK("https://platform.v2.vetology.net/report/v/final/"&amp;2696856, 2696856)</f>
        <v>2696856</v>
      </c>
      <c r="D3426" s="2" t="s">
        <v>10852</v>
      </c>
      <c r="E3426" s="2" t="s">
        <v>10853</v>
      </c>
      <c r="F3426" s="2" t="s">
        <v>43</v>
      </c>
      <c r="G3426" s="2" t="s">
        <v>44</v>
      </c>
      <c r="H3426" s="2" t="s">
        <v>10854</v>
      </c>
      <c r="I3426" s="2" t="s">
        <v>684</v>
      </c>
      <c r="J3426" s="2" t="s">
        <v>74</v>
      </c>
      <c r="K3426" s="2" t="s">
        <v>39</v>
      </c>
      <c r="L3426" s="2" t="s">
        <v>39</v>
      </c>
      <c r="M3426" s="2" t="s">
        <v>39</v>
      </c>
      <c r="N3426" s="2" t="s">
        <v>38</v>
      </c>
      <c r="O3426" s="2" t="s">
        <v>38</v>
      </c>
      <c r="P3426" s="2" t="s">
        <v>39</v>
      </c>
      <c r="Q3426" s="2" t="s">
        <v>38</v>
      </c>
      <c r="R3426" s="2" t="s">
        <v>39</v>
      </c>
      <c r="S3426" s="2" t="s">
        <v>39</v>
      </c>
      <c r="T3426" s="2" t="s">
        <v>38</v>
      </c>
      <c r="U3426" s="2" t="s">
        <v>39</v>
      </c>
      <c r="V3426" s="2" t="s">
        <v>39</v>
      </c>
      <c r="W3426" s="2" t="s">
        <v>38</v>
      </c>
      <c r="X3426" s="2" t="s">
        <v>38</v>
      </c>
      <c r="Y3426" s="2" t="s">
        <v>39</v>
      </c>
      <c r="Z3426" s="2" t="s">
        <v>38</v>
      </c>
      <c r="AA3426" s="2" t="s">
        <v>38</v>
      </c>
      <c r="AB3426" s="2" t="s">
        <v>38</v>
      </c>
      <c r="AC3426" s="2" t="s">
        <v>39</v>
      </c>
      <c r="AD3426" s="2" t="s">
        <v>39</v>
      </c>
      <c r="AE3426" s="2" t="s">
        <v>40</v>
      </c>
    </row>
    <row r="3427" spans="1:31" ht="409.5">
      <c r="A3427" s="2">
        <v>2696819</v>
      </c>
      <c r="B3427" s="2">
        <f>HYPERLINK("https://platform.v2.vetology.net/cases/2696819/screening-report/1?type=pdf&amp;v=v6&amp;scorecard=1&amp;secret_key=BX%25IJ%24%2F65ieZ%29f6", 2696819)</f>
        <v>2696819</v>
      </c>
      <c r="C3427" s="2">
        <f>HYPERLINK("https://platform.v2.vetology.net/report/v/final/"&amp;2696819, 2696819)</f>
        <v>2696819</v>
      </c>
      <c r="D3427" s="2" t="s">
        <v>10855</v>
      </c>
      <c r="E3427" s="2" t="s">
        <v>10856</v>
      </c>
      <c r="F3427" s="2" t="s">
        <v>10857</v>
      </c>
      <c r="G3427" s="2" t="s">
        <v>34</v>
      </c>
      <c r="H3427" s="2" t="s">
        <v>10858</v>
      </c>
      <c r="I3427" s="2" t="s">
        <v>59</v>
      </c>
      <c r="J3427" s="2" t="s">
        <v>37</v>
      </c>
      <c r="K3427" s="2" t="s">
        <v>39</v>
      </c>
      <c r="L3427" s="2" t="s">
        <v>39</v>
      </c>
      <c r="M3427" s="2" t="s">
        <v>39</v>
      </c>
      <c r="N3427" s="2" t="s">
        <v>38</v>
      </c>
      <c r="O3427" s="2" t="s">
        <v>38</v>
      </c>
      <c r="P3427" s="2" t="s">
        <v>39</v>
      </c>
      <c r="Q3427" s="2" t="s">
        <v>39</v>
      </c>
      <c r="R3427" s="2" t="s">
        <v>38</v>
      </c>
      <c r="S3427" s="2" t="s">
        <v>38</v>
      </c>
      <c r="T3427" s="2" t="s">
        <v>38</v>
      </c>
      <c r="U3427" s="2" t="s">
        <v>39</v>
      </c>
      <c r="V3427" s="2" t="s">
        <v>38</v>
      </c>
      <c r="W3427" s="2" t="s">
        <v>38</v>
      </c>
      <c r="X3427" s="2" t="s">
        <v>39</v>
      </c>
      <c r="Y3427" s="2" t="s">
        <v>38</v>
      </c>
      <c r="Z3427" s="2" t="s">
        <v>38</v>
      </c>
      <c r="AA3427" s="2" t="s">
        <v>39</v>
      </c>
      <c r="AB3427" s="2" t="s">
        <v>39</v>
      </c>
      <c r="AC3427" s="2" t="s">
        <v>38</v>
      </c>
      <c r="AD3427" s="2" t="s">
        <v>38</v>
      </c>
      <c r="AE3427" s="2" t="s">
        <v>40</v>
      </c>
    </row>
    <row r="3428" spans="1:31" ht="409.5">
      <c r="A3428" s="2">
        <v>2696793</v>
      </c>
      <c r="B3428" s="2">
        <f>HYPERLINK("https://platform.v2.vetology.net/cases/2696793/screening-report/1?type=pdf&amp;v=v6&amp;scorecard=1&amp;secret_key=BX%25IJ%24%2F65ieZ%29f6", 2696793)</f>
        <v>2696793</v>
      </c>
      <c r="C3428" s="2">
        <f>HYPERLINK("https://platform.v2.vetology.net/report/v/final/"&amp;2696793, 2696793)</f>
        <v>2696793</v>
      </c>
      <c r="D3428" s="2" t="s">
        <v>10859</v>
      </c>
      <c r="E3428" s="2" t="s">
        <v>10860</v>
      </c>
      <c r="F3428" s="2" t="s">
        <v>10861</v>
      </c>
      <c r="G3428" s="2" t="s">
        <v>34</v>
      </c>
      <c r="H3428" s="2" t="s">
        <v>10862</v>
      </c>
      <c r="I3428" s="2" t="s">
        <v>36</v>
      </c>
      <c r="J3428" s="2" t="s">
        <v>37</v>
      </c>
      <c r="K3428" s="2" t="s">
        <v>39</v>
      </c>
      <c r="L3428" s="2" t="s">
        <v>38</v>
      </c>
      <c r="M3428" s="2" t="s">
        <v>39</v>
      </c>
      <c r="N3428" s="2" t="s">
        <v>38</v>
      </c>
      <c r="O3428" s="2" t="s">
        <v>38</v>
      </c>
      <c r="P3428" s="2" t="s">
        <v>39</v>
      </c>
      <c r="Q3428" s="2" t="s">
        <v>39</v>
      </c>
      <c r="R3428" s="2" t="s">
        <v>38</v>
      </c>
      <c r="S3428" s="2" t="s">
        <v>39</v>
      </c>
      <c r="T3428" s="2" t="s">
        <v>39</v>
      </c>
      <c r="U3428" s="2" t="s">
        <v>39</v>
      </c>
      <c r="V3428" s="2" t="s">
        <v>39</v>
      </c>
      <c r="W3428" s="2" t="s">
        <v>39</v>
      </c>
      <c r="X3428" s="2" t="s">
        <v>39</v>
      </c>
      <c r="Y3428" s="2" t="s">
        <v>39</v>
      </c>
      <c r="Z3428" s="2" t="s">
        <v>39</v>
      </c>
      <c r="AA3428" s="2" t="s">
        <v>38</v>
      </c>
      <c r="AB3428" s="2" t="s">
        <v>39</v>
      </c>
      <c r="AC3428" s="2" t="s">
        <v>38</v>
      </c>
      <c r="AD3428" s="2" t="s">
        <v>39</v>
      </c>
      <c r="AE3428" s="2" t="s">
        <v>39</v>
      </c>
    </row>
    <row r="3429" spans="1:31" ht="409.5">
      <c r="A3429" s="2">
        <v>2696742</v>
      </c>
      <c r="B3429" s="2">
        <f>HYPERLINK("https://platform.v2.vetology.net/cases/2696742/screening-report/1?type=pdf&amp;v=v6&amp;scorecard=1&amp;secret_key=BX%25IJ%24%2F65ieZ%29f6", 2696742)</f>
        <v>2696742</v>
      </c>
      <c r="C3429" s="2">
        <f>HYPERLINK("https://platform.v2.vetology.net/report/v/final/"&amp;2696742, 2696742)</f>
        <v>2696742</v>
      </c>
      <c r="D3429" s="2" t="s">
        <v>10863</v>
      </c>
      <c r="E3429" s="2" t="s">
        <v>10864</v>
      </c>
      <c r="F3429" s="2" t="s">
        <v>10865</v>
      </c>
      <c r="G3429" s="2" t="s">
        <v>127</v>
      </c>
      <c r="H3429" s="2" t="s">
        <v>10866</v>
      </c>
      <c r="I3429" s="2" t="s">
        <v>73</v>
      </c>
      <c r="J3429" s="2" t="s">
        <v>74</v>
      </c>
      <c r="K3429" s="2" t="s">
        <v>38</v>
      </c>
      <c r="L3429" s="2" t="s">
        <v>38</v>
      </c>
      <c r="M3429" s="2" t="s">
        <v>38</v>
      </c>
      <c r="N3429" s="2" t="s">
        <v>38</v>
      </c>
      <c r="O3429" s="2" t="s">
        <v>38</v>
      </c>
      <c r="P3429" s="2" t="s">
        <v>38</v>
      </c>
      <c r="Q3429" s="2" t="s">
        <v>38</v>
      </c>
      <c r="R3429" s="2" t="s">
        <v>38</v>
      </c>
      <c r="S3429" s="2" t="s">
        <v>38</v>
      </c>
      <c r="T3429" s="2" t="s">
        <v>38</v>
      </c>
      <c r="U3429" s="2" t="s">
        <v>38</v>
      </c>
      <c r="V3429" s="2" t="s">
        <v>38</v>
      </c>
      <c r="W3429" s="2" t="s">
        <v>38</v>
      </c>
      <c r="X3429" s="2" t="s">
        <v>38</v>
      </c>
      <c r="Y3429" s="2" t="s">
        <v>38</v>
      </c>
      <c r="Z3429" s="2" t="s">
        <v>38</v>
      </c>
      <c r="AA3429" s="2" t="s">
        <v>38</v>
      </c>
      <c r="AB3429" s="2" t="s">
        <v>38</v>
      </c>
      <c r="AC3429" s="2" t="s">
        <v>38</v>
      </c>
      <c r="AD3429" s="2" t="s">
        <v>39</v>
      </c>
      <c r="AE3429" s="2" t="s">
        <v>39</v>
      </c>
    </row>
    <row r="3430" spans="1:31" ht="409.5">
      <c r="A3430" s="2">
        <v>2696735</v>
      </c>
      <c r="B3430" s="2">
        <f>HYPERLINK("https://platform.v2.vetology.net/cases/2696735/screening-report/1?type=pdf&amp;v=v6&amp;scorecard=1&amp;secret_key=BX%25IJ%24%2F65ieZ%29f6", 2696735)</f>
        <v>2696735</v>
      </c>
      <c r="C3430" s="2">
        <f>HYPERLINK("https://platform.v2.vetology.net/report/v/final/"&amp;2696735, 2696735)</f>
        <v>2696735</v>
      </c>
      <c r="D3430" s="2" t="s">
        <v>10867</v>
      </c>
      <c r="E3430" s="2" t="s">
        <v>10868</v>
      </c>
      <c r="F3430" s="2" t="s">
        <v>8978</v>
      </c>
      <c r="G3430" s="2" t="s">
        <v>170</v>
      </c>
      <c r="H3430" s="2" t="s">
        <v>45</v>
      </c>
      <c r="I3430" s="2" t="s">
        <v>46</v>
      </c>
      <c r="J3430" s="2"/>
      <c r="K3430" s="2" t="s">
        <v>39</v>
      </c>
      <c r="L3430" s="2" t="s">
        <v>39</v>
      </c>
      <c r="M3430" s="2" t="s">
        <v>39</v>
      </c>
      <c r="N3430" s="2" t="s">
        <v>39</v>
      </c>
      <c r="O3430" s="2" t="s">
        <v>39</v>
      </c>
      <c r="P3430" s="2" t="s">
        <v>39</v>
      </c>
      <c r="Q3430" s="2" t="s">
        <v>39</v>
      </c>
      <c r="R3430" s="2" t="s">
        <v>38</v>
      </c>
      <c r="S3430" s="2" t="s">
        <v>39</v>
      </c>
      <c r="T3430" s="2" t="s">
        <v>39</v>
      </c>
      <c r="U3430" s="2" t="s">
        <v>39</v>
      </c>
      <c r="V3430" s="2" t="s">
        <v>39</v>
      </c>
      <c r="W3430" s="2" t="s">
        <v>39</v>
      </c>
      <c r="X3430" s="2" t="s">
        <v>39</v>
      </c>
      <c r="Y3430" s="2" t="s">
        <v>39</v>
      </c>
      <c r="Z3430" s="2" t="s">
        <v>38</v>
      </c>
      <c r="AA3430" s="2" t="s">
        <v>39</v>
      </c>
      <c r="AB3430" s="2" t="s">
        <v>39</v>
      </c>
      <c r="AC3430" s="2" t="s">
        <v>38</v>
      </c>
      <c r="AD3430" s="2" t="s">
        <v>38</v>
      </c>
      <c r="AE3430" s="2"/>
    </row>
    <row r="3431" spans="1:31" ht="409.5">
      <c r="A3431" s="2">
        <v>2696728</v>
      </c>
      <c r="B3431" s="2">
        <f>HYPERLINK("https://platform.v2.vetology.net/cases/2696728/screening-report/1?type=pdf&amp;v=v6&amp;scorecard=1&amp;secret_key=BX%25IJ%24%2F65ieZ%29f6", 2696728)</f>
        <v>2696728</v>
      </c>
      <c r="C3431" s="2">
        <f>HYPERLINK("https://platform.v2.vetology.net/report/v/final/"&amp;2696728, 2696728)</f>
        <v>2696728</v>
      </c>
      <c r="D3431" s="2" t="s">
        <v>10869</v>
      </c>
      <c r="E3431" s="2" t="s">
        <v>10870</v>
      </c>
      <c r="F3431" s="2" t="s">
        <v>10871</v>
      </c>
      <c r="G3431" s="2" t="s">
        <v>170</v>
      </c>
      <c r="H3431" s="2" t="s">
        <v>10872</v>
      </c>
      <c r="I3431" s="2" t="s">
        <v>73</v>
      </c>
      <c r="J3431" s="2" t="s">
        <v>74</v>
      </c>
      <c r="K3431" s="2" t="s">
        <v>38</v>
      </c>
      <c r="L3431" s="2" t="s">
        <v>38</v>
      </c>
      <c r="M3431" s="2" t="s">
        <v>38</v>
      </c>
      <c r="N3431" s="2" t="s">
        <v>38</v>
      </c>
      <c r="O3431" s="2" t="s">
        <v>38</v>
      </c>
      <c r="P3431" s="2" t="s">
        <v>38</v>
      </c>
      <c r="Q3431" s="2" t="s">
        <v>38</v>
      </c>
      <c r="R3431" s="2" t="s">
        <v>38</v>
      </c>
      <c r="S3431" s="2" t="s">
        <v>38</v>
      </c>
      <c r="T3431" s="2" t="s">
        <v>38</v>
      </c>
      <c r="U3431" s="2" t="s">
        <v>38</v>
      </c>
      <c r="V3431" s="2" t="s">
        <v>38</v>
      </c>
      <c r="W3431" s="2" t="s">
        <v>38</v>
      </c>
      <c r="X3431" s="2" t="s">
        <v>38</v>
      </c>
      <c r="Y3431" s="2" t="s">
        <v>38</v>
      </c>
      <c r="Z3431" s="2" t="s">
        <v>38</v>
      </c>
      <c r="AA3431" s="2" t="s">
        <v>38</v>
      </c>
      <c r="AB3431" s="2" t="s">
        <v>38</v>
      </c>
      <c r="AC3431" s="2" t="s">
        <v>38</v>
      </c>
      <c r="AD3431" s="2" t="s">
        <v>38</v>
      </c>
      <c r="AE3431" s="2" t="s">
        <v>40</v>
      </c>
    </row>
    <row r="3432" spans="1:31" ht="409.5">
      <c r="A3432" s="2">
        <v>2696690</v>
      </c>
      <c r="B3432" s="2">
        <f>HYPERLINK("https://platform.v2.vetology.net/cases/2696690/screening-report/1?type=pdf&amp;v=v6&amp;scorecard=1&amp;secret_key=BX%25IJ%24%2F65ieZ%29f6", 2696690)</f>
        <v>2696690</v>
      </c>
      <c r="C3432" s="2">
        <f>HYPERLINK("https://platform.v2.vetology.net/report/v/final/"&amp;2696690, 2696690)</f>
        <v>2696690</v>
      </c>
      <c r="D3432" s="2" t="s">
        <v>10873</v>
      </c>
      <c r="E3432" s="2" t="s">
        <v>10874</v>
      </c>
      <c r="F3432" s="2" t="s">
        <v>10875</v>
      </c>
      <c r="G3432" s="2" t="s">
        <v>53</v>
      </c>
      <c r="H3432" s="2" t="s">
        <v>10876</v>
      </c>
      <c r="I3432" s="2" t="s">
        <v>36</v>
      </c>
      <c r="J3432" s="2" t="s">
        <v>37</v>
      </c>
      <c r="K3432" s="2" t="s">
        <v>38</v>
      </c>
      <c r="L3432" s="2" t="s">
        <v>38</v>
      </c>
      <c r="M3432" s="2" t="s">
        <v>38</v>
      </c>
      <c r="N3432" s="2" t="s">
        <v>38</v>
      </c>
      <c r="O3432" s="2" t="s">
        <v>38</v>
      </c>
      <c r="P3432" s="2" t="s">
        <v>38</v>
      </c>
      <c r="Q3432" s="2" t="s">
        <v>39</v>
      </c>
      <c r="R3432" s="2" t="s">
        <v>38</v>
      </c>
      <c r="S3432" s="2" t="s">
        <v>38</v>
      </c>
      <c r="T3432" s="2" t="s">
        <v>38</v>
      </c>
      <c r="U3432" s="2" t="s">
        <v>39</v>
      </c>
      <c r="V3432" s="2" t="s">
        <v>38</v>
      </c>
      <c r="W3432" s="2" t="s">
        <v>38</v>
      </c>
      <c r="X3432" s="2" t="s">
        <v>39</v>
      </c>
      <c r="Y3432" s="2" t="s">
        <v>39</v>
      </c>
      <c r="Z3432" s="2" t="s">
        <v>38</v>
      </c>
      <c r="AA3432" s="2" t="s">
        <v>38</v>
      </c>
      <c r="AB3432" s="2" t="s">
        <v>39</v>
      </c>
      <c r="AC3432" s="2" t="s">
        <v>38</v>
      </c>
      <c r="AD3432" s="2" t="s">
        <v>39</v>
      </c>
      <c r="AE3432" s="2" t="s">
        <v>40</v>
      </c>
    </row>
    <row r="3433" spans="1:31" ht="409.5">
      <c r="A3433" s="2">
        <v>2696644</v>
      </c>
      <c r="B3433" s="2">
        <f>HYPERLINK("https://platform.v2.vetology.net/cases/2696644/screening-report/1?type=pdf&amp;v=v6&amp;scorecard=1&amp;secret_key=BX%25IJ%24%2F65ieZ%29f6", 2696644)</f>
        <v>2696644</v>
      </c>
      <c r="C3433" s="2">
        <f>HYPERLINK("https://platform.v2.vetology.net/report/v/final/"&amp;2696644, 2696644)</f>
        <v>2696644</v>
      </c>
      <c r="D3433" s="2" t="s">
        <v>10877</v>
      </c>
      <c r="E3433" s="2" t="s">
        <v>10878</v>
      </c>
      <c r="F3433" s="2" t="s">
        <v>10879</v>
      </c>
      <c r="G3433" s="2" t="s">
        <v>415</v>
      </c>
      <c r="H3433" s="2" t="s">
        <v>515</v>
      </c>
      <c r="I3433" s="2" t="s">
        <v>36</v>
      </c>
      <c r="J3433" s="2" t="s">
        <v>37</v>
      </c>
      <c r="K3433" s="2" t="s">
        <v>39</v>
      </c>
      <c r="L3433" s="2" t="s">
        <v>39</v>
      </c>
      <c r="M3433" s="2" t="s">
        <v>38</v>
      </c>
      <c r="N3433" s="2" t="s">
        <v>39</v>
      </c>
      <c r="O3433" s="2" t="s">
        <v>38</v>
      </c>
      <c r="P3433" s="2" t="s">
        <v>39</v>
      </c>
      <c r="Q3433" s="2" t="s">
        <v>39</v>
      </c>
      <c r="R3433" s="2" t="s">
        <v>39</v>
      </c>
      <c r="S3433" s="2" t="s">
        <v>39</v>
      </c>
      <c r="T3433" s="2" t="s">
        <v>39</v>
      </c>
      <c r="U3433" s="2" t="s">
        <v>39</v>
      </c>
      <c r="V3433" s="2" t="s">
        <v>39</v>
      </c>
      <c r="W3433" s="2" t="s">
        <v>38</v>
      </c>
      <c r="X3433" s="2" t="s">
        <v>39</v>
      </c>
      <c r="Y3433" s="2" t="s">
        <v>39</v>
      </c>
      <c r="Z3433" s="2" t="s">
        <v>38</v>
      </c>
      <c r="AA3433" s="2" t="s">
        <v>39</v>
      </c>
      <c r="AB3433" s="2" t="s">
        <v>39</v>
      </c>
      <c r="AC3433" s="2" t="s">
        <v>38</v>
      </c>
      <c r="AD3433" s="2" t="s">
        <v>38</v>
      </c>
      <c r="AE3433" s="2" t="s">
        <v>39</v>
      </c>
    </row>
    <row r="3434" spans="1:31" ht="409.5">
      <c r="A3434" s="2">
        <v>2696637</v>
      </c>
      <c r="B3434" s="2">
        <f>HYPERLINK("https://platform.v2.vetology.net/cases/2696637/screening-report/1?type=pdf&amp;v=v6&amp;scorecard=1&amp;secret_key=BX%25IJ%24%2F65ieZ%29f6", 2696637)</f>
        <v>2696637</v>
      </c>
      <c r="C3434" s="2">
        <f>HYPERLINK("https://platform.v2.vetology.net/report/v/final/"&amp;2696637, 2696637)</f>
        <v>2696637</v>
      </c>
      <c r="D3434" s="2" t="s">
        <v>10880</v>
      </c>
      <c r="E3434" s="2" t="s">
        <v>10881</v>
      </c>
      <c r="F3434" s="2" t="s">
        <v>10882</v>
      </c>
      <c r="G3434" s="2" t="s">
        <v>53</v>
      </c>
      <c r="H3434" s="2" t="s">
        <v>10883</v>
      </c>
      <c r="I3434" s="2" t="s">
        <v>36</v>
      </c>
      <c r="J3434" s="2" t="s">
        <v>37</v>
      </c>
      <c r="K3434" s="2" t="s">
        <v>38</v>
      </c>
      <c r="L3434" s="2" t="s">
        <v>38</v>
      </c>
      <c r="M3434" s="2" t="s">
        <v>38</v>
      </c>
      <c r="N3434" s="2" t="s">
        <v>38</v>
      </c>
      <c r="O3434" s="2" t="s">
        <v>38</v>
      </c>
      <c r="P3434" s="2" t="s">
        <v>39</v>
      </c>
      <c r="Q3434" s="2" t="s">
        <v>39</v>
      </c>
      <c r="R3434" s="2" t="s">
        <v>39</v>
      </c>
      <c r="S3434" s="2" t="s">
        <v>38</v>
      </c>
      <c r="T3434" s="2" t="s">
        <v>39</v>
      </c>
      <c r="U3434" s="2" t="s">
        <v>38</v>
      </c>
      <c r="V3434" s="2" t="s">
        <v>38</v>
      </c>
      <c r="W3434" s="2" t="s">
        <v>38</v>
      </c>
      <c r="X3434" s="2" t="s">
        <v>39</v>
      </c>
      <c r="Y3434" s="2" t="s">
        <v>39</v>
      </c>
      <c r="Z3434" s="2" t="s">
        <v>38</v>
      </c>
      <c r="AA3434" s="2" t="s">
        <v>38</v>
      </c>
      <c r="AB3434" s="2" t="s">
        <v>39</v>
      </c>
      <c r="AC3434" s="2" t="s">
        <v>38</v>
      </c>
      <c r="AD3434" s="2" t="s">
        <v>38</v>
      </c>
      <c r="AE3434" s="2" t="s">
        <v>39</v>
      </c>
    </row>
    <row r="3435" spans="1:31" ht="409.5">
      <c r="A3435" s="2">
        <v>2696587</v>
      </c>
      <c r="B3435" s="2">
        <f>HYPERLINK("https://platform.v2.vetology.net/cases/2696587/screening-report/1?type=pdf&amp;v=v6&amp;scorecard=1&amp;secret_key=BX%25IJ%24%2F65ieZ%29f6", 2696587)</f>
        <v>2696587</v>
      </c>
      <c r="C3435" s="2">
        <f>HYPERLINK("https://platform.v2.vetology.net/report/v/final/"&amp;2696587, 2696587)</f>
        <v>2696587</v>
      </c>
      <c r="D3435" s="2" t="s">
        <v>10884</v>
      </c>
      <c r="E3435" s="2" t="s">
        <v>10885</v>
      </c>
      <c r="F3435" s="2" t="s">
        <v>10886</v>
      </c>
      <c r="G3435" s="2" t="s">
        <v>127</v>
      </c>
      <c r="H3435" s="2" t="s">
        <v>398</v>
      </c>
      <c r="I3435" s="2" t="s">
        <v>46</v>
      </c>
      <c r="J3435" s="2"/>
      <c r="K3435" s="2" t="s">
        <v>38</v>
      </c>
      <c r="L3435" s="2" t="s">
        <v>39</v>
      </c>
      <c r="M3435" s="2" t="s">
        <v>39</v>
      </c>
      <c r="N3435" s="2" t="s">
        <v>39</v>
      </c>
      <c r="O3435" s="2" t="s">
        <v>39</v>
      </c>
      <c r="P3435" s="2" t="s">
        <v>39</v>
      </c>
      <c r="Q3435" s="2" t="s">
        <v>39</v>
      </c>
      <c r="R3435" s="2" t="s">
        <v>39</v>
      </c>
      <c r="S3435" s="2" t="s">
        <v>39</v>
      </c>
      <c r="T3435" s="2" t="s">
        <v>39</v>
      </c>
      <c r="U3435" s="2" t="s">
        <v>39</v>
      </c>
      <c r="V3435" s="2" t="s">
        <v>38</v>
      </c>
      <c r="W3435" s="2" t="s">
        <v>39</v>
      </c>
      <c r="X3435" s="2" t="s">
        <v>39</v>
      </c>
      <c r="Y3435" s="2" t="s">
        <v>39</v>
      </c>
      <c r="Z3435" s="2" t="s">
        <v>39</v>
      </c>
      <c r="AA3435" s="2" t="s">
        <v>39</v>
      </c>
      <c r="AB3435" s="2" t="s">
        <v>39</v>
      </c>
      <c r="AC3435" s="2" t="s">
        <v>39</v>
      </c>
      <c r="AD3435" s="2" t="s">
        <v>39</v>
      </c>
      <c r="AE3435" s="2" t="s">
        <v>39</v>
      </c>
    </row>
    <row r="3436" spans="1:31" ht="409.5">
      <c r="A3436" s="2">
        <v>2696577</v>
      </c>
      <c r="B3436" s="2">
        <f>HYPERLINK("https://platform.v2.vetology.net/cases/2696577/screening-report/1?type=pdf&amp;v=v6&amp;scorecard=1&amp;secret_key=BX%25IJ%24%2F65ieZ%29f6", 2696577)</f>
        <v>2696577</v>
      </c>
      <c r="C3436" s="2">
        <f>HYPERLINK("https://platform.v2.vetology.net/report/v/final/"&amp;2696577, 2696577)</f>
        <v>2696577</v>
      </c>
      <c r="D3436" s="2" t="s">
        <v>10887</v>
      </c>
      <c r="E3436" s="2" t="s">
        <v>10888</v>
      </c>
      <c r="F3436" s="2" t="s">
        <v>10889</v>
      </c>
      <c r="G3436" s="2" t="s">
        <v>170</v>
      </c>
      <c r="H3436" s="2" t="s">
        <v>10890</v>
      </c>
      <c r="I3436" s="2" t="s">
        <v>129</v>
      </c>
      <c r="J3436" s="2" t="s">
        <v>74</v>
      </c>
      <c r="K3436" s="2" t="s">
        <v>38</v>
      </c>
      <c r="L3436" s="2" t="s">
        <v>38</v>
      </c>
      <c r="M3436" s="2" t="s">
        <v>38</v>
      </c>
      <c r="N3436" s="2" t="s">
        <v>38</v>
      </c>
      <c r="O3436" s="2" t="s">
        <v>38</v>
      </c>
      <c r="P3436" s="2" t="s">
        <v>38</v>
      </c>
      <c r="Q3436" s="2" t="s">
        <v>38</v>
      </c>
      <c r="R3436" s="2" t="s">
        <v>38</v>
      </c>
      <c r="S3436" s="2" t="s">
        <v>38</v>
      </c>
      <c r="T3436" s="2" t="s">
        <v>38</v>
      </c>
      <c r="U3436" s="2" t="s">
        <v>38</v>
      </c>
      <c r="V3436" s="2" t="s">
        <v>39</v>
      </c>
      <c r="W3436" s="2" t="s">
        <v>38</v>
      </c>
      <c r="X3436" s="2" t="s">
        <v>38</v>
      </c>
      <c r="Y3436" s="2" t="s">
        <v>38</v>
      </c>
      <c r="Z3436" s="2" t="s">
        <v>38</v>
      </c>
      <c r="AA3436" s="2" t="s">
        <v>38</v>
      </c>
      <c r="AB3436" s="2" t="s">
        <v>38</v>
      </c>
      <c r="AC3436" s="2" t="s">
        <v>38</v>
      </c>
      <c r="AD3436" s="2" t="s">
        <v>39</v>
      </c>
      <c r="AE3436" s="2" t="s">
        <v>40</v>
      </c>
    </row>
    <row r="3437" spans="1:31" ht="409.5">
      <c r="A3437" s="2">
        <v>2696555</v>
      </c>
      <c r="B3437" s="2">
        <f>HYPERLINK("https://platform.v2.vetology.net/cases/2696555/screening-report/1?type=pdf&amp;v=v6&amp;scorecard=1&amp;secret_key=BX%25IJ%24%2F65ieZ%29f6", 2696555)</f>
        <v>2696555</v>
      </c>
      <c r="C3437" s="2">
        <f>HYPERLINK("https://platform.v2.vetology.net/report/v/final/"&amp;2696555, 2696555)</f>
        <v>2696555</v>
      </c>
      <c r="D3437" s="2" t="s">
        <v>10891</v>
      </c>
      <c r="E3437" s="2" t="s">
        <v>10892</v>
      </c>
      <c r="F3437" s="2" t="s">
        <v>43</v>
      </c>
      <c r="G3437" s="2" t="s">
        <v>100</v>
      </c>
      <c r="H3437" s="2" t="s">
        <v>10893</v>
      </c>
      <c r="I3437" s="2" t="s">
        <v>36</v>
      </c>
      <c r="J3437" s="2" t="s">
        <v>37</v>
      </c>
      <c r="K3437" s="2" t="s">
        <v>38</v>
      </c>
      <c r="L3437" s="2" t="s">
        <v>38</v>
      </c>
      <c r="M3437" s="2" t="s">
        <v>39</v>
      </c>
      <c r="N3437" s="2" t="s">
        <v>38</v>
      </c>
      <c r="O3437" s="2" t="s">
        <v>38</v>
      </c>
      <c r="P3437" s="2" t="s">
        <v>39</v>
      </c>
      <c r="Q3437" s="2" t="s">
        <v>38</v>
      </c>
      <c r="R3437" s="2" t="s">
        <v>39</v>
      </c>
      <c r="S3437" s="2" t="s">
        <v>39</v>
      </c>
      <c r="T3437" s="2" t="s">
        <v>38</v>
      </c>
      <c r="U3437" s="2" t="s">
        <v>38</v>
      </c>
      <c r="V3437" s="2" t="s">
        <v>38</v>
      </c>
      <c r="W3437" s="2" t="s">
        <v>39</v>
      </c>
      <c r="X3437" s="2" t="s">
        <v>39</v>
      </c>
      <c r="Y3437" s="2" t="s">
        <v>39</v>
      </c>
      <c r="Z3437" s="2" t="s">
        <v>39</v>
      </c>
      <c r="AA3437" s="2" t="s">
        <v>39</v>
      </c>
      <c r="AB3437" s="2" t="s">
        <v>39</v>
      </c>
      <c r="AC3437" s="2" t="s">
        <v>38</v>
      </c>
      <c r="AD3437" s="2" t="s">
        <v>38</v>
      </c>
      <c r="AE3437" s="2" t="s">
        <v>40</v>
      </c>
    </row>
    <row r="3438" spans="1:31" ht="409.5">
      <c r="A3438" s="2">
        <v>2696545</v>
      </c>
      <c r="B3438" s="2">
        <f>HYPERLINK("https://platform.v2.vetology.net/cases/2696545/screening-report/1?type=pdf&amp;v=v6&amp;scorecard=1&amp;secret_key=BX%25IJ%24%2F65ieZ%29f6", 2696545)</f>
        <v>2696545</v>
      </c>
      <c r="C3438" s="2">
        <f>HYPERLINK("https://platform.v2.vetology.net/report/v/final/"&amp;2696545, 2696545)</f>
        <v>2696545</v>
      </c>
      <c r="D3438" s="2" t="s">
        <v>10894</v>
      </c>
      <c r="E3438" s="2" t="s">
        <v>10895</v>
      </c>
      <c r="F3438" s="2" t="s">
        <v>43</v>
      </c>
      <c r="G3438" s="2" t="s">
        <v>100</v>
      </c>
      <c r="H3438" s="2" t="s">
        <v>10896</v>
      </c>
      <c r="I3438" s="2" t="s">
        <v>73</v>
      </c>
      <c r="J3438" s="2" t="s">
        <v>74</v>
      </c>
      <c r="K3438" s="2" t="s">
        <v>38</v>
      </c>
      <c r="L3438" s="2" t="s">
        <v>38</v>
      </c>
      <c r="M3438" s="2" t="s">
        <v>38</v>
      </c>
      <c r="N3438" s="2" t="s">
        <v>38</v>
      </c>
      <c r="O3438" s="2" t="s">
        <v>38</v>
      </c>
      <c r="P3438" s="2" t="s">
        <v>38</v>
      </c>
      <c r="Q3438" s="2" t="s">
        <v>38</v>
      </c>
      <c r="R3438" s="2" t="s">
        <v>39</v>
      </c>
      <c r="S3438" s="2" t="s">
        <v>38</v>
      </c>
      <c r="T3438" s="2" t="s">
        <v>38</v>
      </c>
      <c r="U3438" s="2" t="s">
        <v>38</v>
      </c>
      <c r="V3438" s="2" t="s">
        <v>38</v>
      </c>
      <c r="W3438" s="2" t="s">
        <v>38</v>
      </c>
      <c r="X3438" s="2" t="s">
        <v>38</v>
      </c>
      <c r="Y3438" s="2" t="s">
        <v>38</v>
      </c>
      <c r="Z3438" s="2" t="s">
        <v>38</v>
      </c>
      <c r="AA3438" s="2" t="s">
        <v>38</v>
      </c>
      <c r="AB3438" s="2" t="s">
        <v>38</v>
      </c>
      <c r="AC3438" s="2" t="s">
        <v>38</v>
      </c>
      <c r="AD3438" s="2" t="s">
        <v>39</v>
      </c>
      <c r="AE3438" s="2" t="s">
        <v>39</v>
      </c>
    </row>
    <row r="3439" spans="1:31" ht="409.5">
      <c r="A3439" s="2">
        <v>2696541</v>
      </c>
      <c r="B3439" s="2">
        <f>HYPERLINK("https://platform.v2.vetology.net/cases/2696541/screening-report/1?type=pdf&amp;v=v6&amp;scorecard=1&amp;secret_key=BX%25IJ%24%2F65ieZ%29f6", 2696541)</f>
        <v>2696541</v>
      </c>
      <c r="C3439" s="2">
        <f>HYPERLINK("https://platform.v2.vetology.net/report/v/final/"&amp;2696541, 2696541)</f>
        <v>2696541</v>
      </c>
      <c r="D3439" s="2" t="s">
        <v>10897</v>
      </c>
      <c r="E3439" s="2" t="s">
        <v>10898</v>
      </c>
      <c r="F3439" s="2" t="s">
        <v>2521</v>
      </c>
      <c r="G3439" s="2" t="s">
        <v>100</v>
      </c>
      <c r="H3439" s="2" t="s">
        <v>62</v>
      </c>
      <c r="I3439" s="2" t="s">
        <v>46</v>
      </c>
      <c r="J3439" s="2"/>
      <c r="K3439" s="2" t="s">
        <v>39</v>
      </c>
      <c r="L3439" s="2" t="s">
        <v>39</v>
      </c>
      <c r="M3439" s="2" t="s">
        <v>39</v>
      </c>
      <c r="N3439" s="2" t="s">
        <v>39</v>
      </c>
      <c r="O3439" s="2" t="s">
        <v>39</v>
      </c>
      <c r="P3439" s="2" t="s">
        <v>39</v>
      </c>
      <c r="Q3439" s="2" t="s">
        <v>39</v>
      </c>
      <c r="R3439" s="2" t="s">
        <v>38</v>
      </c>
      <c r="S3439" s="2" t="s">
        <v>38</v>
      </c>
      <c r="T3439" s="2" t="s">
        <v>39</v>
      </c>
      <c r="U3439" s="2" t="s">
        <v>39</v>
      </c>
      <c r="V3439" s="2" t="s">
        <v>39</v>
      </c>
      <c r="W3439" s="2" t="s">
        <v>39</v>
      </c>
      <c r="X3439" s="2" t="s">
        <v>39</v>
      </c>
      <c r="Y3439" s="2" t="s">
        <v>39</v>
      </c>
      <c r="Z3439" s="2" t="s">
        <v>39</v>
      </c>
      <c r="AA3439" s="2" t="s">
        <v>39</v>
      </c>
      <c r="AB3439" s="2" t="s">
        <v>39</v>
      </c>
      <c r="AC3439" s="2" t="s">
        <v>38</v>
      </c>
      <c r="AD3439" s="2" t="s">
        <v>38</v>
      </c>
      <c r="AE3439" s="2" t="s">
        <v>39</v>
      </c>
    </row>
    <row r="3440" spans="1:31" ht="409.5">
      <c r="A3440" s="2">
        <v>2696534</v>
      </c>
      <c r="B3440" s="2">
        <f>HYPERLINK("https://platform.v2.vetology.net/cases/2696534/screening-report/1?type=pdf&amp;v=v6&amp;scorecard=1&amp;secret_key=BX%25IJ%24%2F65ieZ%29f6", 2696534)</f>
        <v>2696534</v>
      </c>
      <c r="C3440" s="2">
        <f>HYPERLINK("https://platform.v2.vetology.net/report/v/final/"&amp;2696534, 2696534)</f>
        <v>2696534</v>
      </c>
      <c r="D3440" s="2" t="s">
        <v>10899</v>
      </c>
      <c r="E3440" s="2" t="s">
        <v>10900</v>
      </c>
      <c r="F3440" s="2" t="s">
        <v>10901</v>
      </c>
      <c r="G3440" s="2" t="s">
        <v>170</v>
      </c>
      <c r="H3440" s="2" t="s">
        <v>10902</v>
      </c>
      <c r="I3440" s="2" t="s">
        <v>73</v>
      </c>
      <c r="J3440" s="2" t="s">
        <v>74</v>
      </c>
      <c r="K3440" s="2" t="s">
        <v>38</v>
      </c>
      <c r="L3440" s="2" t="s">
        <v>38</v>
      </c>
      <c r="M3440" s="2" t="s">
        <v>38</v>
      </c>
      <c r="N3440" s="2" t="s">
        <v>38</v>
      </c>
      <c r="O3440" s="2" t="s">
        <v>38</v>
      </c>
      <c r="P3440" s="2" t="s">
        <v>38</v>
      </c>
      <c r="Q3440" s="2" t="s">
        <v>38</v>
      </c>
      <c r="R3440" s="2" t="s">
        <v>38</v>
      </c>
      <c r="S3440" s="2" t="s">
        <v>38</v>
      </c>
      <c r="T3440" s="2" t="s">
        <v>38</v>
      </c>
      <c r="U3440" s="2" t="s">
        <v>38</v>
      </c>
      <c r="V3440" s="2" t="s">
        <v>38</v>
      </c>
      <c r="W3440" s="2" t="s">
        <v>38</v>
      </c>
      <c r="X3440" s="2" t="s">
        <v>38</v>
      </c>
      <c r="Y3440" s="2" t="s">
        <v>38</v>
      </c>
      <c r="Z3440" s="2" t="s">
        <v>38</v>
      </c>
      <c r="AA3440" s="2" t="s">
        <v>38</v>
      </c>
      <c r="AB3440" s="2" t="s">
        <v>38</v>
      </c>
      <c r="AC3440" s="2" t="s">
        <v>38</v>
      </c>
      <c r="AD3440" s="2" t="s">
        <v>38</v>
      </c>
      <c r="AE3440" s="2" t="s">
        <v>39</v>
      </c>
    </row>
    <row r="3441" spans="1:31" ht="409.5">
      <c r="A3441" s="2">
        <v>2696528</v>
      </c>
      <c r="B3441" s="2">
        <f>HYPERLINK("https://platform.v2.vetology.net/cases/2696528/screening-report/1?type=pdf&amp;v=v6&amp;scorecard=1&amp;secret_key=BX%25IJ%24%2F65ieZ%29f6", 2696528)</f>
        <v>2696528</v>
      </c>
      <c r="C3441" s="2">
        <f>HYPERLINK("https://platform.v2.vetology.net/report/v/final/"&amp;2696528, 2696528)</f>
        <v>2696528</v>
      </c>
      <c r="D3441" s="2" t="s">
        <v>10903</v>
      </c>
      <c r="E3441" s="2" t="s">
        <v>10904</v>
      </c>
      <c r="F3441" s="2" t="s">
        <v>6411</v>
      </c>
      <c r="G3441" s="2" t="s">
        <v>170</v>
      </c>
      <c r="H3441" s="2" t="s">
        <v>10905</v>
      </c>
      <c r="I3441" s="2" t="s">
        <v>73</v>
      </c>
      <c r="J3441" s="2" t="s">
        <v>74</v>
      </c>
      <c r="K3441" s="2" t="s">
        <v>38</v>
      </c>
      <c r="L3441" s="2" t="s">
        <v>38</v>
      </c>
      <c r="M3441" s="2" t="s">
        <v>38</v>
      </c>
      <c r="N3441" s="2" t="s">
        <v>38</v>
      </c>
      <c r="O3441" s="2" t="s">
        <v>38</v>
      </c>
      <c r="P3441" s="2" t="s">
        <v>38</v>
      </c>
      <c r="Q3441" s="2" t="s">
        <v>38</v>
      </c>
      <c r="R3441" s="2" t="s">
        <v>38</v>
      </c>
      <c r="S3441" s="2" t="s">
        <v>38</v>
      </c>
      <c r="T3441" s="2" t="s">
        <v>38</v>
      </c>
      <c r="U3441" s="2" t="s">
        <v>38</v>
      </c>
      <c r="V3441" s="2" t="s">
        <v>38</v>
      </c>
      <c r="W3441" s="2" t="s">
        <v>38</v>
      </c>
      <c r="X3441" s="2" t="s">
        <v>38</v>
      </c>
      <c r="Y3441" s="2" t="s">
        <v>38</v>
      </c>
      <c r="Z3441" s="2" t="s">
        <v>38</v>
      </c>
      <c r="AA3441" s="2" t="s">
        <v>38</v>
      </c>
      <c r="AB3441" s="2" t="s">
        <v>38</v>
      </c>
      <c r="AC3441" s="2" t="s">
        <v>38</v>
      </c>
      <c r="AD3441" s="2" t="s">
        <v>38</v>
      </c>
      <c r="AE3441" s="2" t="s">
        <v>40</v>
      </c>
    </row>
    <row r="3442" spans="1:31" ht="409.5">
      <c r="A3442" s="2">
        <v>2696526</v>
      </c>
      <c r="B3442" s="2">
        <f>HYPERLINK("https://platform.v2.vetology.net/cases/2696526/screening-report/1?type=pdf&amp;v=v6&amp;scorecard=1&amp;secret_key=BX%25IJ%24%2F65ieZ%29f6", 2696526)</f>
        <v>2696526</v>
      </c>
      <c r="C3442" s="2">
        <f>HYPERLINK("https://platform.v2.vetology.net/report/v/final/"&amp;2696526, 2696526)</f>
        <v>2696526</v>
      </c>
      <c r="D3442" s="2" t="s">
        <v>10906</v>
      </c>
      <c r="E3442" s="2" t="s">
        <v>10907</v>
      </c>
      <c r="F3442" s="2" t="s">
        <v>43</v>
      </c>
      <c r="G3442" s="2" t="s">
        <v>100</v>
      </c>
      <c r="H3442" s="2" t="s">
        <v>2828</v>
      </c>
      <c r="I3442" s="2" t="s">
        <v>73</v>
      </c>
      <c r="J3442" s="2" t="s">
        <v>74</v>
      </c>
      <c r="K3442" s="2" t="s">
        <v>38</v>
      </c>
      <c r="L3442" s="2" t="s">
        <v>38</v>
      </c>
      <c r="M3442" s="2" t="s">
        <v>38</v>
      </c>
      <c r="N3442" s="2" t="s">
        <v>38</v>
      </c>
      <c r="O3442" s="2" t="s">
        <v>38</v>
      </c>
      <c r="P3442" s="2" t="s">
        <v>38</v>
      </c>
      <c r="Q3442" s="2" t="s">
        <v>38</v>
      </c>
      <c r="R3442" s="2" t="s">
        <v>38</v>
      </c>
      <c r="S3442" s="2" t="s">
        <v>38</v>
      </c>
      <c r="T3442" s="2" t="s">
        <v>38</v>
      </c>
      <c r="U3442" s="2" t="s">
        <v>38</v>
      </c>
      <c r="V3442" s="2" t="s">
        <v>38</v>
      </c>
      <c r="W3442" s="2" t="s">
        <v>38</v>
      </c>
      <c r="X3442" s="2" t="s">
        <v>38</v>
      </c>
      <c r="Y3442" s="2" t="s">
        <v>38</v>
      </c>
      <c r="Z3442" s="2" t="s">
        <v>38</v>
      </c>
      <c r="AA3442" s="2" t="s">
        <v>38</v>
      </c>
      <c r="AB3442" s="2" t="s">
        <v>38</v>
      </c>
      <c r="AC3442" s="2" t="s">
        <v>38</v>
      </c>
      <c r="AD3442" s="2" t="s">
        <v>39</v>
      </c>
      <c r="AE3442" s="2" t="s">
        <v>40</v>
      </c>
    </row>
    <row r="3443" spans="1:31" ht="409.5">
      <c r="A3443" s="2">
        <v>2696520</v>
      </c>
      <c r="B3443" s="2">
        <f>HYPERLINK("https://platform.v2.vetology.net/cases/2696520/screening-report/1?type=pdf&amp;v=v6&amp;scorecard=1&amp;secret_key=BX%25IJ%24%2F65ieZ%29f6", 2696520)</f>
        <v>2696520</v>
      </c>
      <c r="C3443" s="2">
        <f>HYPERLINK("https://platform.v2.vetology.net/report/v/final/"&amp;2696520, 2696520)</f>
        <v>2696520</v>
      </c>
      <c r="D3443" s="2" t="s">
        <v>10908</v>
      </c>
      <c r="E3443" s="2" t="s">
        <v>4048</v>
      </c>
      <c r="F3443" s="2" t="s">
        <v>356</v>
      </c>
      <c r="G3443" s="2" t="s">
        <v>100</v>
      </c>
      <c r="H3443" s="2" t="s">
        <v>69</v>
      </c>
      <c r="I3443" s="2" t="s">
        <v>46</v>
      </c>
      <c r="J3443" s="2"/>
      <c r="K3443" s="2" t="s">
        <v>39</v>
      </c>
      <c r="L3443" s="2" t="s">
        <v>39</v>
      </c>
      <c r="M3443" s="2" t="s">
        <v>39</v>
      </c>
      <c r="N3443" s="2" t="s">
        <v>39</v>
      </c>
      <c r="O3443" s="2" t="s">
        <v>39</v>
      </c>
      <c r="P3443" s="2" t="s">
        <v>39</v>
      </c>
      <c r="Q3443" s="2" t="s">
        <v>39</v>
      </c>
      <c r="R3443" s="2" t="s">
        <v>39</v>
      </c>
      <c r="S3443" s="2" t="s">
        <v>39</v>
      </c>
      <c r="T3443" s="2" t="s">
        <v>39</v>
      </c>
      <c r="U3443" s="2" t="s">
        <v>39</v>
      </c>
      <c r="V3443" s="2" t="s">
        <v>38</v>
      </c>
      <c r="W3443" s="2" t="s">
        <v>39</v>
      </c>
      <c r="X3443" s="2" t="s">
        <v>39</v>
      </c>
      <c r="Y3443" s="2" t="s">
        <v>39</v>
      </c>
      <c r="Z3443" s="2" t="s">
        <v>39</v>
      </c>
      <c r="AA3443" s="2" t="s">
        <v>39</v>
      </c>
      <c r="AB3443" s="2" t="s">
        <v>39</v>
      </c>
      <c r="AC3443" s="2" t="s">
        <v>39</v>
      </c>
      <c r="AD3443" s="2" t="s">
        <v>39</v>
      </c>
      <c r="AE3443" s="2" t="s">
        <v>40</v>
      </c>
    </row>
    <row r="3444" spans="1:31" ht="409.5">
      <c r="A3444" s="2">
        <v>2696518</v>
      </c>
      <c r="B3444" s="2">
        <f>HYPERLINK("https://platform.v2.vetology.net/cases/2696518/screening-report/1?type=pdf&amp;v=v6&amp;scorecard=1&amp;secret_key=BX%25IJ%24%2F65ieZ%29f6", 2696518)</f>
        <v>2696518</v>
      </c>
      <c r="C3444" s="2">
        <f>HYPERLINK("https://platform.v2.vetology.net/report/v/final/"&amp;2696518, 2696518)</f>
        <v>2696518</v>
      </c>
      <c r="D3444" s="2" t="s">
        <v>10909</v>
      </c>
      <c r="E3444" s="2" t="s">
        <v>10910</v>
      </c>
      <c r="F3444" s="2" t="s">
        <v>10911</v>
      </c>
      <c r="G3444" s="2" t="s">
        <v>44</v>
      </c>
      <c r="H3444" s="2" t="s">
        <v>5247</v>
      </c>
      <c r="I3444" s="2" t="s">
        <v>257</v>
      </c>
      <c r="J3444" s="2" t="s">
        <v>74</v>
      </c>
      <c r="K3444" s="2" t="s">
        <v>38</v>
      </c>
      <c r="L3444" s="2" t="s">
        <v>38</v>
      </c>
      <c r="M3444" s="2" t="s">
        <v>38</v>
      </c>
      <c r="N3444" s="2" t="s">
        <v>38</v>
      </c>
      <c r="O3444" s="2" t="s">
        <v>38</v>
      </c>
      <c r="P3444" s="2" t="s">
        <v>38</v>
      </c>
      <c r="Q3444" s="2" t="s">
        <v>38</v>
      </c>
      <c r="R3444" s="2" t="s">
        <v>38</v>
      </c>
      <c r="S3444" s="2" t="s">
        <v>38</v>
      </c>
      <c r="T3444" s="2" t="s">
        <v>38</v>
      </c>
      <c r="U3444" s="2" t="s">
        <v>38</v>
      </c>
      <c r="V3444" s="2" t="s">
        <v>38</v>
      </c>
      <c r="W3444" s="2" t="s">
        <v>38</v>
      </c>
      <c r="X3444" s="2" t="s">
        <v>38</v>
      </c>
      <c r="Y3444" s="2" t="s">
        <v>38</v>
      </c>
      <c r="Z3444" s="2" t="s">
        <v>38</v>
      </c>
      <c r="AA3444" s="2" t="s">
        <v>38</v>
      </c>
      <c r="AB3444" s="2" t="s">
        <v>38</v>
      </c>
      <c r="AC3444" s="2" t="s">
        <v>38</v>
      </c>
      <c r="AD3444" s="2" t="s">
        <v>38</v>
      </c>
      <c r="AE3444" s="2"/>
    </row>
    <row r="3445" spans="1:31" ht="409.5">
      <c r="A3445" s="2">
        <v>2696515</v>
      </c>
      <c r="B3445" s="2">
        <f>HYPERLINK("https://platform.v2.vetology.net/cases/2696515/screening-report/1?type=pdf&amp;v=v6&amp;scorecard=1&amp;secret_key=BX%25IJ%24%2F65ieZ%29f6", 2696515)</f>
        <v>2696515</v>
      </c>
      <c r="C3445" s="2">
        <f>HYPERLINK("https://platform.v2.vetology.net/report/v/final/"&amp;2696515, 2696515)</f>
        <v>2696515</v>
      </c>
      <c r="D3445" s="2" t="s">
        <v>10912</v>
      </c>
      <c r="E3445" s="2" t="s">
        <v>10913</v>
      </c>
      <c r="F3445" s="2" t="s">
        <v>10914</v>
      </c>
      <c r="G3445" s="2" t="s">
        <v>170</v>
      </c>
      <c r="H3445" s="2" t="s">
        <v>10915</v>
      </c>
      <c r="I3445" s="2" t="s">
        <v>129</v>
      </c>
      <c r="J3445" s="2" t="s">
        <v>74</v>
      </c>
      <c r="K3445" s="2" t="s">
        <v>39</v>
      </c>
      <c r="L3445" s="2" t="s">
        <v>38</v>
      </c>
      <c r="M3445" s="2" t="s">
        <v>38</v>
      </c>
      <c r="N3445" s="2" t="s">
        <v>38</v>
      </c>
      <c r="O3445" s="2" t="s">
        <v>38</v>
      </c>
      <c r="P3445" s="2" t="s">
        <v>39</v>
      </c>
      <c r="Q3445" s="2" t="s">
        <v>38</v>
      </c>
      <c r="R3445" s="2" t="s">
        <v>39</v>
      </c>
      <c r="S3445" s="2" t="s">
        <v>38</v>
      </c>
      <c r="T3445" s="2" t="s">
        <v>38</v>
      </c>
      <c r="U3445" s="2" t="s">
        <v>39</v>
      </c>
      <c r="V3445" s="2" t="s">
        <v>38</v>
      </c>
      <c r="W3445" s="2" t="s">
        <v>38</v>
      </c>
      <c r="X3445" s="2" t="s">
        <v>38</v>
      </c>
      <c r="Y3445" s="2" t="s">
        <v>38</v>
      </c>
      <c r="Z3445" s="2" t="s">
        <v>38</v>
      </c>
      <c r="AA3445" s="2" t="s">
        <v>38</v>
      </c>
      <c r="AB3445" s="2" t="s">
        <v>38</v>
      </c>
      <c r="AC3445" s="2" t="s">
        <v>38</v>
      </c>
      <c r="AD3445" s="2" t="s">
        <v>38</v>
      </c>
      <c r="AE3445" s="2" t="s">
        <v>40</v>
      </c>
    </row>
    <row r="3446" spans="1:31" ht="409.5">
      <c r="A3446" s="2">
        <v>2696512</v>
      </c>
      <c r="B3446" s="2">
        <f>HYPERLINK("https://platform.v2.vetology.net/cases/2696512/screening-report/1?type=pdf&amp;v=v6&amp;scorecard=1&amp;secret_key=BX%25IJ%24%2F65ieZ%29f6", 2696512)</f>
        <v>2696512</v>
      </c>
      <c r="C3446" s="2">
        <f>HYPERLINK("https://platform.v2.vetology.net/report/v/final/"&amp;2696512, 2696512)</f>
        <v>2696512</v>
      </c>
      <c r="D3446" s="2" t="s">
        <v>10916</v>
      </c>
      <c r="E3446" s="2" t="s">
        <v>10917</v>
      </c>
      <c r="F3446" s="2" t="s">
        <v>43</v>
      </c>
      <c r="G3446" s="2" t="s">
        <v>44</v>
      </c>
      <c r="H3446" s="2" t="s">
        <v>10918</v>
      </c>
      <c r="I3446" s="2" t="s">
        <v>129</v>
      </c>
      <c r="J3446" s="2" t="s">
        <v>74</v>
      </c>
      <c r="K3446" s="2" t="s">
        <v>39</v>
      </c>
      <c r="L3446" s="2" t="s">
        <v>39</v>
      </c>
      <c r="M3446" s="2" t="s">
        <v>38</v>
      </c>
      <c r="N3446" s="2" t="s">
        <v>38</v>
      </c>
      <c r="O3446" s="2" t="s">
        <v>38</v>
      </c>
      <c r="P3446" s="2" t="s">
        <v>38</v>
      </c>
      <c r="Q3446" s="2" t="s">
        <v>38</v>
      </c>
      <c r="R3446" s="2" t="s">
        <v>39</v>
      </c>
      <c r="S3446" s="2" t="s">
        <v>39</v>
      </c>
      <c r="T3446" s="2" t="s">
        <v>38</v>
      </c>
      <c r="U3446" s="2" t="s">
        <v>39</v>
      </c>
      <c r="V3446" s="2" t="s">
        <v>39</v>
      </c>
      <c r="W3446" s="2" t="s">
        <v>38</v>
      </c>
      <c r="X3446" s="2" t="s">
        <v>38</v>
      </c>
      <c r="Y3446" s="2" t="s">
        <v>39</v>
      </c>
      <c r="Z3446" s="2" t="s">
        <v>38</v>
      </c>
      <c r="AA3446" s="2" t="s">
        <v>39</v>
      </c>
      <c r="AB3446" s="2" t="s">
        <v>38</v>
      </c>
      <c r="AC3446" s="2" t="s">
        <v>39</v>
      </c>
      <c r="AD3446" s="2" t="s">
        <v>39</v>
      </c>
      <c r="AE3446" s="2" t="s">
        <v>40</v>
      </c>
    </row>
    <row r="3447" spans="1:31" ht="409.5">
      <c r="A3447" s="2">
        <v>2696463</v>
      </c>
      <c r="B3447" s="2">
        <f>HYPERLINK("https://platform.v2.vetology.net/cases/2696463/screening-report/1?type=pdf&amp;v=v6&amp;scorecard=1&amp;secret_key=BX%25IJ%24%2F65ieZ%29f6", 2696463)</f>
        <v>2696463</v>
      </c>
      <c r="C3447" s="2">
        <f>HYPERLINK("https://platform.v2.vetology.net/report/v/final/"&amp;2696463, 2696463)</f>
        <v>2696463</v>
      </c>
      <c r="D3447" s="2" t="s">
        <v>10919</v>
      </c>
      <c r="E3447" s="2" t="s">
        <v>10920</v>
      </c>
      <c r="F3447" s="2" t="s">
        <v>738</v>
      </c>
      <c r="G3447" s="2" t="s">
        <v>34</v>
      </c>
      <c r="H3447" s="2" t="s">
        <v>1267</v>
      </c>
      <c r="I3447" s="2" t="s">
        <v>36</v>
      </c>
      <c r="J3447" s="2" t="s">
        <v>37</v>
      </c>
      <c r="K3447" s="2" t="s">
        <v>39</v>
      </c>
      <c r="L3447" s="2" t="s">
        <v>38</v>
      </c>
      <c r="M3447" s="2" t="s">
        <v>39</v>
      </c>
      <c r="N3447" s="2" t="s">
        <v>39</v>
      </c>
      <c r="O3447" s="2" t="s">
        <v>39</v>
      </c>
      <c r="P3447" s="2" t="s">
        <v>39</v>
      </c>
      <c r="Q3447" s="2" t="s">
        <v>39</v>
      </c>
      <c r="R3447" s="2" t="s">
        <v>39</v>
      </c>
      <c r="S3447" s="2" t="s">
        <v>39</v>
      </c>
      <c r="T3447" s="2" t="s">
        <v>39</v>
      </c>
      <c r="U3447" s="2" t="s">
        <v>39</v>
      </c>
      <c r="V3447" s="2" t="s">
        <v>39</v>
      </c>
      <c r="W3447" s="2" t="s">
        <v>39</v>
      </c>
      <c r="X3447" s="2" t="s">
        <v>39</v>
      </c>
      <c r="Y3447" s="2" t="s">
        <v>39</v>
      </c>
      <c r="Z3447" s="2" t="s">
        <v>39</v>
      </c>
      <c r="AA3447" s="2" t="s">
        <v>39</v>
      </c>
      <c r="AB3447" s="2" t="s">
        <v>39</v>
      </c>
      <c r="AC3447" s="2" t="s">
        <v>39</v>
      </c>
      <c r="AD3447" s="2" t="s">
        <v>39</v>
      </c>
      <c r="AE3447" s="2"/>
    </row>
    <row r="3448" spans="1:31" ht="409.5">
      <c r="A3448" s="2">
        <v>2696452</v>
      </c>
      <c r="B3448" s="2">
        <f>HYPERLINK("https://platform.v2.vetology.net/cases/2696452/screening-report/1?type=pdf&amp;v=v6&amp;scorecard=1&amp;secret_key=BX%25IJ%24%2F65ieZ%29f6", 2696452)</f>
        <v>2696452</v>
      </c>
      <c r="C3448" s="2">
        <f>HYPERLINK("https://platform.v2.vetology.net/report/v/final/"&amp;2696452, 2696452)</f>
        <v>2696452</v>
      </c>
      <c r="D3448" s="2" t="s">
        <v>10921</v>
      </c>
      <c r="E3448" s="2" t="s">
        <v>10922</v>
      </c>
      <c r="F3448" s="2" t="s">
        <v>10923</v>
      </c>
      <c r="G3448" s="2" t="s">
        <v>170</v>
      </c>
      <c r="H3448" s="2" t="s">
        <v>797</v>
      </c>
      <c r="I3448" s="2" t="s">
        <v>59</v>
      </c>
      <c r="J3448" s="2" t="s">
        <v>37</v>
      </c>
      <c r="K3448" s="2" t="s">
        <v>38</v>
      </c>
      <c r="L3448" s="2" t="s">
        <v>39</v>
      </c>
      <c r="M3448" s="2" t="s">
        <v>39</v>
      </c>
      <c r="N3448" s="2" t="s">
        <v>39</v>
      </c>
      <c r="O3448" s="2" t="s">
        <v>39</v>
      </c>
      <c r="P3448" s="2" t="s">
        <v>39</v>
      </c>
      <c r="Q3448" s="2" t="s">
        <v>39</v>
      </c>
      <c r="R3448" s="2" t="s">
        <v>38</v>
      </c>
      <c r="S3448" s="2" t="s">
        <v>39</v>
      </c>
      <c r="T3448" s="2" t="s">
        <v>39</v>
      </c>
      <c r="U3448" s="2" t="s">
        <v>39</v>
      </c>
      <c r="V3448" s="2" t="s">
        <v>38</v>
      </c>
      <c r="W3448" s="2" t="s">
        <v>39</v>
      </c>
      <c r="X3448" s="2" t="s">
        <v>39</v>
      </c>
      <c r="Y3448" s="2" t="s">
        <v>39</v>
      </c>
      <c r="Z3448" s="2" t="s">
        <v>38</v>
      </c>
      <c r="AA3448" s="2" t="s">
        <v>38</v>
      </c>
      <c r="AB3448" s="2" t="s">
        <v>39</v>
      </c>
      <c r="AC3448" s="2" t="s">
        <v>39</v>
      </c>
      <c r="AD3448" s="2" t="s">
        <v>39</v>
      </c>
      <c r="AE3448" s="2" t="s">
        <v>39</v>
      </c>
    </row>
    <row r="3449" spans="1:31" ht="409.5">
      <c r="A3449" s="2">
        <v>2696410</v>
      </c>
      <c r="B3449" s="2">
        <f>HYPERLINK("https://platform.v2.vetology.net/cases/2696410/screening-report/1?type=pdf&amp;v=v6&amp;scorecard=1&amp;secret_key=BX%25IJ%24%2F65ieZ%29f6", 2696410)</f>
        <v>2696410</v>
      </c>
      <c r="C3449" s="2">
        <f>HYPERLINK("https://platform.v2.vetology.net/report/v/final/"&amp;2696410, 2696410)</f>
        <v>2696410</v>
      </c>
      <c r="D3449" s="2" t="s">
        <v>10924</v>
      </c>
      <c r="E3449" s="2" t="s">
        <v>8263</v>
      </c>
      <c r="F3449" s="2"/>
      <c r="G3449" s="2" t="s">
        <v>100</v>
      </c>
      <c r="H3449" s="2" t="s">
        <v>10925</v>
      </c>
      <c r="I3449" s="2" t="s">
        <v>36</v>
      </c>
      <c r="J3449" s="2" t="s">
        <v>37</v>
      </c>
      <c r="K3449" s="2" t="s">
        <v>38</v>
      </c>
      <c r="L3449" s="2" t="s">
        <v>38</v>
      </c>
      <c r="M3449" s="2" t="s">
        <v>39</v>
      </c>
      <c r="N3449" s="2" t="s">
        <v>39</v>
      </c>
      <c r="O3449" s="2" t="s">
        <v>39</v>
      </c>
      <c r="P3449" s="2" t="s">
        <v>39</v>
      </c>
      <c r="Q3449" s="2" t="s">
        <v>39</v>
      </c>
      <c r="R3449" s="2" t="s">
        <v>38</v>
      </c>
      <c r="S3449" s="2" t="s">
        <v>39</v>
      </c>
      <c r="T3449" s="2" t="s">
        <v>39</v>
      </c>
      <c r="U3449" s="2" t="s">
        <v>39</v>
      </c>
      <c r="V3449" s="2" t="s">
        <v>38</v>
      </c>
      <c r="W3449" s="2" t="s">
        <v>39</v>
      </c>
      <c r="X3449" s="2" t="s">
        <v>39</v>
      </c>
      <c r="Y3449" s="2" t="s">
        <v>39</v>
      </c>
      <c r="Z3449" s="2" t="s">
        <v>39</v>
      </c>
      <c r="AA3449" s="2" t="s">
        <v>38</v>
      </c>
      <c r="AB3449" s="2" t="s">
        <v>39</v>
      </c>
      <c r="AC3449" s="2" t="s">
        <v>38</v>
      </c>
      <c r="AD3449" s="2" t="s">
        <v>38</v>
      </c>
      <c r="AE3449" s="2" t="s">
        <v>39</v>
      </c>
    </row>
    <row r="3450" spans="1:31" ht="409.5">
      <c r="A3450" s="2">
        <v>2696304</v>
      </c>
      <c r="B3450" s="2">
        <f>HYPERLINK("https://platform.v2.vetology.net/cases/2696304/screening-report/1?type=pdf&amp;v=v6&amp;scorecard=1&amp;secret_key=BX%25IJ%24%2F65ieZ%29f6", 2696304)</f>
        <v>2696304</v>
      </c>
      <c r="C3450" s="2">
        <f>HYPERLINK("https://platform.v2.vetology.net/report/v/final/"&amp;2696304, 2696304)</f>
        <v>2696304</v>
      </c>
      <c r="D3450" s="2" t="s">
        <v>10926</v>
      </c>
      <c r="E3450" s="2" t="s">
        <v>10927</v>
      </c>
      <c r="F3450" s="2" t="s">
        <v>4782</v>
      </c>
      <c r="G3450" s="2" t="s">
        <v>170</v>
      </c>
      <c r="H3450" s="2" t="s">
        <v>10928</v>
      </c>
      <c r="I3450" s="2" t="s">
        <v>73</v>
      </c>
      <c r="J3450" s="2" t="s">
        <v>74</v>
      </c>
      <c r="K3450" s="2" t="s">
        <v>38</v>
      </c>
      <c r="L3450" s="2" t="s">
        <v>38</v>
      </c>
      <c r="M3450" s="2" t="s">
        <v>38</v>
      </c>
      <c r="N3450" s="2" t="s">
        <v>38</v>
      </c>
      <c r="O3450" s="2" t="s">
        <v>38</v>
      </c>
      <c r="P3450" s="2" t="s">
        <v>38</v>
      </c>
      <c r="Q3450" s="2" t="s">
        <v>38</v>
      </c>
      <c r="R3450" s="2" t="s">
        <v>39</v>
      </c>
      <c r="S3450" s="2" t="s">
        <v>38</v>
      </c>
      <c r="T3450" s="2" t="s">
        <v>38</v>
      </c>
      <c r="U3450" s="2" t="s">
        <v>38</v>
      </c>
      <c r="V3450" s="2" t="s">
        <v>38</v>
      </c>
      <c r="W3450" s="2" t="s">
        <v>38</v>
      </c>
      <c r="X3450" s="2" t="s">
        <v>38</v>
      </c>
      <c r="Y3450" s="2" t="s">
        <v>39</v>
      </c>
      <c r="Z3450" s="2" t="s">
        <v>39</v>
      </c>
      <c r="AA3450" s="2" t="s">
        <v>38</v>
      </c>
      <c r="AB3450" s="2" t="s">
        <v>38</v>
      </c>
      <c r="AC3450" s="2" t="s">
        <v>38</v>
      </c>
      <c r="AD3450" s="2" t="s">
        <v>39</v>
      </c>
      <c r="AE3450" s="2" t="s">
        <v>39</v>
      </c>
    </row>
    <row r="3451" spans="1:31" ht="409.5">
      <c r="A3451" s="2">
        <v>2696175</v>
      </c>
      <c r="B3451" s="2">
        <f>HYPERLINK("https://platform.v2.vetology.net/cases/2696175/screening-report/1?type=pdf&amp;v=v6&amp;scorecard=1&amp;secret_key=BX%25IJ%24%2F65ieZ%29f6", 2696175)</f>
        <v>2696175</v>
      </c>
      <c r="C3451" s="2">
        <f>HYPERLINK("https://platform.v2.vetology.net/report/v/final/"&amp;2696175, 2696175)</f>
        <v>2696175</v>
      </c>
      <c r="D3451" s="2" t="s">
        <v>10929</v>
      </c>
      <c r="E3451" s="2" t="s">
        <v>10930</v>
      </c>
      <c r="F3451" s="2" t="s">
        <v>10931</v>
      </c>
      <c r="G3451" s="2" t="s">
        <v>170</v>
      </c>
      <c r="H3451" s="2" t="s">
        <v>45</v>
      </c>
      <c r="I3451" s="2" t="s">
        <v>46</v>
      </c>
      <c r="J3451" s="2"/>
      <c r="K3451" s="2" t="s">
        <v>39</v>
      </c>
      <c r="L3451" s="2" t="s">
        <v>39</v>
      </c>
      <c r="M3451" s="2" t="s">
        <v>39</v>
      </c>
      <c r="N3451" s="2" t="s">
        <v>39</v>
      </c>
      <c r="O3451" s="2" t="s">
        <v>39</v>
      </c>
      <c r="P3451" s="2" t="s">
        <v>39</v>
      </c>
      <c r="Q3451" s="2" t="s">
        <v>39</v>
      </c>
      <c r="R3451" s="2" t="s">
        <v>38</v>
      </c>
      <c r="S3451" s="2" t="s">
        <v>39</v>
      </c>
      <c r="T3451" s="2" t="s">
        <v>39</v>
      </c>
      <c r="U3451" s="2" t="s">
        <v>39</v>
      </c>
      <c r="V3451" s="2" t="s">
        <v>39</v>
      </c>
      <c r="W3451" s="2" t="s">
        <v>39</v>
      </c>
      <c r="X3451" s="2" t="s">
        <v>39</v>
      </c>
      <c r="Y3451" s="2" t="s">
        <v>39</v>
      </c>
      <c r="Z3451" s="2" t="s">
        <v>39</v>
      </c>
      <c r="AA3451" s="2" t="s">
        <v>39</v>
      </c>
      <c r="AB3451" s="2" t="s">
        <v>39</v>
      </c>
      <c r="AC3451" s="2" t="s">
        <v>39</v>
      </c>
      <c r="AD3451" s="2" t="s">
        <v>39</v>
      </c>
      <c r="AE3451" s="2" t="s">
        <v>39</v>
      </c>
    </row>
    <row r="3452" spans="1:31" ht="409.5">
      <c r="A3452" s="2">
        <v>2696170</v>
      </c>
      <c r="B3452" s="2">
        <f>HYPERLINK("https://platform.v2.vetology.net/cases/2696170/screening-report/1?type=pdf&amp;v=v6&amp;scorecard=1&amp;secret_key=BX%25IJ%24%2F65ieZ%29f6", 2696170)</f>
        <v>2696170</v>
      </c>
      <c r="C3452" s="2">
        <f>HYPERLINK("https://platform.v2.vetology.net/report/v/final/"&amp;2696170, 2696170)</f>
        <v>2696170</v>
      </c>
      <c r="D3452" s="2" t="s">
        <v>10932</v>
      </c>
      <c r="E3452" s="2" t="s">
        <v>10933</v>
      </c>
      <c r="F3452" s="2" t="s">
        <v>43</v>
      </c>
      <c r="G3452" s="2" t="s">
        <v>507</v>
      </c>
      <c r="H3452" s="2" t="s">
        <v>10934</v>
      </c>
      <c r="I3452" s="2" t="s">
        <v>36</v>
      </c>
      <c r="J3452" s="2" t="s">
        <v>37</v>
      </c>
      <c r="K3452" s="2" t="s">
        <v>38</v>
      </c>
      <c r="L3452" s="2" t="s">
        <v>39</v>
      </c>
      <c r="M3452" s="2" t="s">
        <v>39</v>
      </c>
      <c r="N3452" s="2" t="s">
        <v>38</v>
      </c>
      <c r="O3452" s="2" t="s">
        <v>38</v>
      </c>
      <c r="P3452" s="2" t="s">
        <v>39</v>
      </c>
      <c r="Q3452" s="2" t="s">
        <v>39</v>
      </c>
      <c r="R3452" s="2" t="s">
        <v>38</v>
      </c>
      <c r="S3452" s="2" t="s">
        <v>38</v>
      </c>
      <c r="T3452" s="2" t="s">
        <v>38</v>
      </c>
      <c r="U3452" s="2" t="s">
        <v>39</v>
      </c>
      <c r="V3452" s="2" t="s">
        <v>38</v>
      </c>
      <c r="W3452" s="2" t="s">
        <v>38</v>
      </c>
      <c r="X3452" s="2" t="s">
        <v>39</v>
      </c>
      <c r="Y3452" s="2" t="s">
        <v>38</v>
      </c>
      <c r="Z3452" s="2" t="s">
        <v>38</v>
      </c>
      <c r="AA3452" s="2" t="s">
        <v>39</v>
      </c>
      <c r="AB3452" s="2" t="s">
        <v>39</v>
      </c>
      <c r="AC3452" s="2" t="s">
        <v>38</v>
      </c>
      <c r="AD3452" s="2" t="s">
        <v>38</v>
      </c>
      <c r="AE3452" s="2" t="s">
        <v>39</v>
      </c>
    </row>
    <row r="3453" spans="1:31" ht="409.5">
      <c r="A3453" s="2">
        <v>2696087</v>
      </c>
      <c r="B3453" s="2">
        <f>HYPERLINK("https://platform.v2.vetology.net/cases/2696087/screening-report/1?type=pdf&amp;v=v6&amp;scorecard=1&amp;secret_key=BX%25IJ%24%2F65ieZ%29f6", 2696087)</f>
        <v>2696087</v>
      </c>
      <c r="C3453" s="2">
        <f>HYPERLINK("https://platform.v2.vetology.net/report/v/final/"&amp;2696087, 2696087)</f>
        <v>2696087</v>
      </c>
      <c r="D3453" s="2" t="s">
        <v>10935</v>
      </c>
      <c r="E3453" s="2" t="s">
        <v>10936</v>
      </c>
      <c r="F3453" s="2" t="s">
        <v>10937</v>
      </c>
      <c r="G3453" s="2" t="s">
        <v>44</v>
      </c>
      <c r="H3453" s="2" t="s">
        <v>10938</v>
      </c>
      <c r="I3453" s="2" t="s">
        <v>36</v>
      </c>
      <c r="J3453" s="2" t="s">
        <v>37</v>
      </c>
      <c r="K3453" s="2" t="s">
        <v>38</v>
      </c>
      <c r="L3453" s="2" t="s">
        <v>38</v>
      </c>
      <c r="M3453" s="2" t="s">
        <v>39</v>
      </c>
      <c r="N3453" s="2" t="s">
        <v>38</v>
      </c>
      <c r="O3453" s="2" t="s">
        <v>38</v>
      </c>
      <c r="P3453" s="2" t="s">
        <v>38</v>
      </c>
      <c r="Q3453" s="2" t="s">
        <v>39</v>
      </c>
      <c r="R3453" s="2" t="s">
        <v>39</v>
      </c>
      <c r="S3453" s="2" t="s">
        <v>38</v>
      </c>
      <c r="T3453" s="2" t="s">
        <v>39</v>
      </c>
      <c r="U3453" s="2" t="s">
        <v>39</v>
      </c>
      <c r="V3453" s="2" t="s">
        <v>39</v>
      </c>
      <c r="W3453" s="2" t="s">
        <v>38</v>
      </c>
      <c r="X3453" s="2" t="s">
        <v>39</v>
      </c>
      <c r="Y3453" s="2" t="s">
        <v>39</v>
      </c>
      <c r="Z3453" s="2" t="s">
        <v>39</v>
      </c>
      <c r="AA3453" s="2" t="s">
        <v>38</v>
      </c>
      <c r="AB3453" s="2" t="s">
        <v>39</v>
      </c>
      <c r="AC3453" s="2" t="s">
        <v>38</v>
      </c>
      <c r="AD3453" s="2" t="s">
        <v>38</v>
      </c>
      <c r="AE3453" s="2" t="s">
        <v>39</v>
      </c>
    </row>
    <row r="3454" spans="1:31" ht="409.5">
      <c r="A3454" s="2">
        <v>2696084</v>
      </c>
      <c r="B3454" s="2">
        <f>HYPERLINK("https://platform.v2.vetology.net/cases/2696084/screening-report/1?type=pdf&amp;v=v6&amp;scorecard=1&amp;secret_key=BX%25IJ%24%2F65ieZ%29f6", 2696084)</f>
        <v>2696084</v>
      </c>
      <c r="C3454" s="2">
        <f>HYPERLINK("https://platform.v2.vetology.net/report/v/final/"&amp;2696084, 2696084)</f>
        <v>2696084</v>
      </c>
      <c r="D3454" s="2" t="s">
        <v>10939</v>
      </c>
      <c r="E3454" s="2" t="s">
        <v>10940</v>
      </c>
      <c r="F3454" s="2" t="s">
        <v>43</v>
      </c>
      <c r="G3454" s="2" t="s">
        <v>100</v>
      </c>
      <c r="H3454" s="2" t="s">
        <v>10941</v>
      </c>
      <c r="I3454" s="2" t="s">
        <v>129</v>
      </c>
      <c r="J3454" s="2" t="s">
        <v>74</v>
      </c>
      <c r="K3454" s="2" t="s">
        <v>38</v>
      </c>
      <c r="L3454" s="2" t="s">
        <v>38</v>
      </c>
      <c r="M3454" s="2" t="s">
        <v>38</v>
      </c>
      <c r="N3454" s="2" t="s">
        <v>38</v>
      </c>
      <c r="O3454" s="2" t="s">
        <v>38</v>
      </c>
      <c r="P3454" s="2" t="s">
        <v>38</v>
      </c>
      <c r="Q3454" s="2" t="s">
        <v>38</v>
      </c>
      <c r="R3454" s="2" t="s">
        <v>38</v>
      </c>
      <c r="S3454" s="2" t="s">
        <v>38</v>
      </c>
      <c r="T3454" s="2" t="s">
        <v>38</v>
      </c>
      <c r="U3454" s="2" t="s">
        <v>38</v>
      </c>
      <c r="V3454" s="2" t="s">
        <v>38</v>
      </c>
      <c r="W3454" s="2" t="s">
        <v>38</v>
      </c>
      <c r="X3454" s="2" t="s">
        <v>38</v>
      </c>
      <c r="Y3454" s="2" t="s">
        <v>38</v>
      </c>
      <c r="Z3454" s="2" t="s">
        <v>38</v>
      </c>
      <c r="AA3454" s="2" t="s">
        <v>38</v>
      </c>
      <c r="AB3454" s="2" t="s">
        <v>38</v>
      </c>
      <c r="AC3454" s="2" t="s">
        <v>38</v>
      </c>
      <c r="AD3454" s="2" t="s">
        <v>38</v>
      </c>
      <c r="AE3454" s="2"/>
    </row>
    <row r="3455" spans="1:31" ht="409.5">
      <c r="A3455" s="2">
        <v>2696067</v>
      </c>
      <c r="B3455" s="2">
        <f>HYPERLINK("https://platform.v2.vetology.net/cases/2696067/screening-report/1?type=pdf&amp;v=v6&amp;scorecard=1&amp;secret_key=BX%25IJ%24%2F65ieZ%29f6", 2696067)</f>
        <v>2696067</v>
      </c>
      <c r="C3455" s="2">
        <f>HYPERLINK("https://platform.v2.vetology.net/report/v/final/"&amp;2696067, 2696067)</f>
        <v>2696067</v>
      </c>
      <c r="D3455" s="2" t="s">
        <v>10942</v>
      </c>
      <c r="E3455" s="2" t="s">
        <v>10943</v>
      </c>
      <c r="F3455" s="2" t="s">
        <v>10944</v>
      </c>
      <c r="G3455" s="2" t="s">
        <v>44</v>
      </c>
      <c r="H3455" s="2" t="s">
        <v>69</v>
      </c>
      <c r="I3455" s="2" t="s">
        <v>46</v>
      </c>
      <c r="J3455" s="2"/>
      <c r="K3455" s="2" t="s">
        <v>39</v>
      </c>
      <c r="L3455" s="2" t="s">
        <v>39</v>
      </c>
      <c r="M3455" s="2" t="s">
        <v>39</v>
      </c>
      <c r="N3455" s="2" t="s">
        <v>39</v>
      </c>
      <c r="O3455" s="2" t="s">
        <v>39</v>
      </c>
      <c r="P3455" s="2" t="s">
        <v>39</v>
      </c>
      <c r="Q3455" s="2" t="s">
        <v>39</v>
      </c>
      <c r="R3455" s="2" t="s">
        <v>39</v>
      </c>
      <c r="S3455" s="2" t="s">
        <v>39</v>
      </c>
      <c r="T3455" s="2" t="s">
        <v>39</v>
      </c>
      <c r="U3455" s="2" t="s">
        <v>39</v>
      </c>
      <c r="V3455" s="2" t="s">
        <v>39</v>
      </c>
      <c r="W3455" s="2" t="s">
        <v>39</v>
      </c>
      <c r="X3455" s="2" t="s">
        <v>39</v>
      </c>
      <c r="Y3455" s="2" t="s">
        <v>39</v>
      </c>
      <c r="Z3455" s="2" t="s">
        <v>39</v>
      </c>
      <c r="AA3455" s="2" t="s">
        <v>39</v>
      </c>
      <c r="AB3455" s="2" t="s">
        <v>39</v>
      </c>
      <c r="AC3455" s="2" t="s">
        <v>39</v>
      </c>
      <c r="AD3455" s="2" t="s">
        <v>39</v>
      </c>
      <c r="AE3455" s="2" t="s">
        <v>39</v>
      </c>
    </row>
    <row r="3456" spans="1:31" ht="409.5">
      <c r="A3456" s="2">
        <v>2696055</v>
      </c>
      <c r="B3456" s="2">
        <f>HYPERLINK("https://platform.v2.vetology.net/cases/2696055/screening-report/1?type=pdf&amp;v=v6&amp;scorecard=1&amp;secret_key=BX%25IJ%24%2F65ieZ%29f6", 2696055)</f>
        <v>2696055</v>
      </c>
      <c r="C3456" s="2">
        <f>HYPERLINK("https://platform.v2.vetology.net/report/v/final/"&amp;2696055, 2696055)</f>
        <v>2696055</v>
      </c>
      <c r="D3456" s="2" t="s">
        <v>10945</v>
      </c>
      <c r="E3456" s="2" t="s">
        <v>10946</v>
      </c>
      <c r="F3456" s="2" t="s">
        <v>10947</v>
      </c>
      <c r="G3456" s="2" t="s">
        <v>34</v>
      </c>
      <c r="H3456" s="2" t="s">
        <v>10948</v>
      </c>
      <c r="I3456" s="2" t="s">
        <v>129</v>
      </c>
      <c r="J3456" s="2" t="s">
        <v>74</v>
      </c>
      <c r="K3456" s="2" t="s">
        <v>38</v>
      </c>
      <c r="L3456" s="2" t="s">
        <v>39</v>
      </c>
      <c r="M3456" s="2" t="s">
        <v>38</v>
      </c>
      <c r="N3456" s="2" t="s">
        <v>39</v>
      </c>
      <c r="O3456" s="2" t="s">
        <v>38</v>
      </c>
      <c r="P3456" s="2" t="s">
        <v>38</v>
      </c>
      <c r="Q3456" s="2" t="s">
        <v>38</v>
      </c>
      <c r="R3456" s="2" t="s">
        <v>38</v>
      </c>
      <c r="S3456" s="2" t="s">
        <v>38</v>
      </c>
      <c r="T3456" s="2" t="s">
        <v>39</v>
      </c>
      <c r="U3456" s="2" t="s">
        <v>39</v>
      </c>
      <c r="V3456" s="2" t="s">
        <v>39</v>
      </c>
      <c r="W3456" s="2" t="s">
        <v>39</v>
      </c>
      <c r="X3456" s="2" t="s">
        <v>39</v>
      </c>
      <c r="Y3456" s="2" t="s">
        <v>39</v>
      </c>
      <c r="Z3456" s="2" t="s">
        <v>39</v>
      </c>
      <c r="AA3456" s="2" t="s">
        <v>39</v>
      </c>
      <c r="AB3456" s="2" t="s">
        <v>38</v>
      </c>
      <c r="AC3456" s="2" t="s">
        <v>39</v>
      </c>
      <c r="AD3456" s="2" t="s">
        <v>39</v>
      </c>
      <c r="AE3456" s="2" t="s">
        <v>40</v>
      </c>
    </row>
    <row r="3457" spans="1:31" ht="409.5">
      <c r="A3457" s="2">
        <v>2696035</v>
      </c>
      <c r="B3457" s="2">
        <f>HYPERLINK("https://platform.v2.vetology.net/cases/2696035/screening-report/1?type=pdf&amp;v=v6&amp;scorecard=1&amp;secret_key=BX%25IJ%24%2F65ieZ%29f6", 2696035)</f>
        <v>2696035</v>
      </c>
      <c r="C3457" s="2">
        <f>HYPERLINK("https://platform.v2.vetology.net/report/v/final/"&amp;2696035, 2696035)</f>
        <v>2696035</v>
      </c>
      <c r="D3457" s="2" t="s">
        <v>10949</v>
      </c>
      <c r="E3457" s="2" t="s">
        <v>10950</v>
      </c>
      <c r="F3457" s="2" t="s">
        <v>10951</v>
      </c>
      <c r="G3457" s="2" t="s">
        <v>81</v>
      </c>
      <c r="H3457" s="2" t="s">
        <v>10952</v>
      </c>
      <c r="I3457" s="2" t="s">
        <v>36</v>
      </c>
      <c r="J3457" s="2" t="s">
        <v>37</v>
      </c>
      <c r="K3457" s="2" t="s">
        <v>38</v>
      </c>
      <c r="L3457" s="2" t="s">
        <v>38</v>
      </c>
      <c r="M3457" s="2" t="s">
        <v>38</v>
      </c>
      <c r="N3457" s="2" t="s">
        <v>38</v>
      </c>
      <c r="O3457" s="2" t="s">
        <v>38</v>
      </c>
      <c r="P3457" s="2" t="s">
        <v>38</v>
      </c>
      <c r="Q3457" s="2" t="s">
        <v>39</v>
      </c>
      <c r="R3457" s="2" t="s">
        <v>38</v>
      </c>
      <c r="S3457" s="2" t="s">
        <v>38</v>
      </c>
      <c r="T3457" s="2" t="s">
        <v>38</v>
      </c>
      <c r="U3457" s="2" t="s">
        <v>38</v>
      </c>
      <c r="V3457" s="2" t="s">
        <v>38</v>
      </c>
      <c r="W3457" s="2" t="s">
        <v>38</v>
      </c>
      <c r="X3457" s="2" t="s">
        <v>38</v>
      </c>
      <c r="Y3457" s="2" t="s">
        <v>39</v>
      </c>
      <c r="Z3457" s="2" t="s">
        <v>38</v>
      </c>
      <c r="AA3457" s="2" t="s">
        <v>38</v>
      </c>
      <c r="AB3457" s="2" t="s">
        <v>39</v>
      </c>
      <c r="AC3457" s="2" t="s">
        <v>38</v>
      </c>
      <c r="AD3457" s="2" t="s">
        <v>38</v>
      </c>
      <c r="AE3457" s="2" t="s">
        <v>39</v>
      </c>
    </row>
    <row r="3458" spans="1:31" ht="409.5">
      <c r="A3458" s="2">
        <v>2696028</v>
      </c>
      <c r="B3458" s="2">
        <f>HYPERLINK("https://platform.v2.vetology.net/cases/2696028/screening-report/1?type=pdf&amp;v=v6&amp;scorecard=1&amp;secret_key=BX%25IJ%24%2F65ieZ%29f6", 2696028)</f>
        <v>2696028</v>
      </c>
      <c r="C3458" s="2">
        <f>HYPERLINK("https://platform.v2.vetology.net/report/v/final/"&amp;2696028, 2696028)</f>
        <v>2696028</v>
      </c>
      <c r="D3458" s="2" t="s">
        <v>302</v>
      </c>
      <c r="E3458" s="2" t="s">
        <v>99</v>
      </c>
      <c r="F3458" s="2" t="s">
        <v>10953</v>
      </c>
      <c r="G3458" s="2" t="s">
        <v>100</v>
      </c>
      <c r="H3458" s="2" t="s">
        <v>273</v>
      </c>
      <c r="I3458" s="2" t="s">
        <v>46</v>
      </c>
      <c r="J3458" s="2"/>
      <c r="K3458" s="2" t="s">
        <v>39</v>
      </c>
      <c r="L3458" s="2" t="s">
        <v>39</v>
      </c>
      <c r="M3458" s="2" t="s">
        <v>39</v>
      </c>
      <c r="N3458" s="2" t="s">
        <v>39</v>
      </c>
      <c r="O3458" s="2" t="s">
        <v>39</v>
      </c>
      <c r="P3458" s="2" t="s">
        <v>39</v>
      </c>
      <c r="Q3458" s="2" t="s">
        <v>39</v>
      </c>
      <c r="R3458" s="2" t="s">
        <v>39</v>
      </c>
      <c r="S3458" s="2" t="s">
        <v>38</v>
      </c>
      <c r="T3458" s="2" t="s">
        <v>39</v>
      </c>
      <c r="U3458" s="2" t="s">
        <v>39</v>
      </c>
      <c r="V3458" s="2" t="s">
        <v>39</v>
      </c>
      <c r="W3458" s="2" t="s">
        <v>39</v>
      </c>
      <c r="X3458" s="2" t="s">
        <v>39</v>
      </c>
      <c r="Y3458" s="2" t="s">
        <v>39</v>
      </c>
      <c r="Z3458" s="2" t="s">
        <v>39</v>
      </c>
      <c r="AA3458" s="2" t="s">
        <v>39</v>
      </c>
      <c r="AB3458" s="2" t="s">
        <v>39</v>
      </c>
      <c r="AC3458" s="2" t="s">
        <v>39</v>
      </c>
      <c r="AD3458" s="2" t="s">
        <v>38</v>
      </c>
      <c r="AE3458" s="2" t="s">
        <v>39</v>
      </c>
    </row>
    <row r="3459" spans="1:31" ht="409.5">
      <c r="A3459" s="2">
        <v>2696020</v>
      </c>
      <c r="B3459" s="2">
        <f>HYPERLINK("https://platform.v2.vetology.net/cases/2696020/screening-report/1?type=pdf&amp;v=v6&amp;scorecard=1&amp;secret_key=BX%25IJ%24%2F65ieZ%29f6", 2696020)</f>
        <v>2696020</v>
      </c>
      <c r="C3459" s="2">
        <f>HYPERLINK("https://platform.v2.vetology.net/report/v/final/"&amp;2696020, 2696020)</f>
        <v>2696020</v>
      </c>
      <c r="D3459" s="2" t="s">
        <v>10954</v>
      </c>
      <c r="E3459" s="2" t="s">
        <v>10955</v>
      </c>
      <c r="F3459" s="2" t="s">
        <v>10956</v>
      </c>
      <c r="G3459" s="2" t="s">
        <v>127</v>
      </c>
      <c r="H3459" s="2" t="s">
        <v>500</v>
      </c>
      <c r="I3459" s="2" t="s">
        <v>36</v>
      </c>
      <c r="J3459" s="2" t="s">
        <v>37</v>
      </c>
      <c r="K3459" s="2" t="s">
        <v>39</v>
      </c>
      <c r="L3459" s="2" t="s">
        <v>38</v>
      </c>
      <c r="M3459" s="2" t="s">
        <v>38</v>
      </c>
      <c r="N3459" s="2" t="s">
        <v>38</v>
      </c>
      <c r="O3459" s="2" t="s">
        <v>38</v>
      </c>
      <c r="P3459" s="2" t="s">
        <v>38</v>
      </c>
      <c r="Q3459" s="2" t="s">
        <v>39</v>
      </c>
      <c r="R3459" s="2" t="s">
        <v>38</v>
      </c>
      <c r="S3459" s="2" t="s">
        <v>38</v>
      </c>
      <c r="T3459" s="2" t="s">
        <v>38</v>
      </c>
      <c r="U3459" s="2" t="s">
        <v>39</v>
      </c>
      <c r="V3459" s="2" t="s">
        <v>39</v>
      </c>
      <c r="W3459" s="2" t="s">
        <v>38</v>
      </c>
      <c r="X3459" s="2" t="s">
        <v>39</v>
      </c>
      <c r="Y3459" s="2" t="s">
        <v>39</v>
      </c>
      <c r="Z3459" s="2" t="s">
        <v>38</v>
      </c>
      <c r="AA3459" s="2" t="s">
        <v>38</v>
      </c>
      <c r="AB3459" s="2" t="s">
        <v>39</v>
      </c>
      <c r="AC3459" s="2" t="s">
        <v>38</v>
      </c>
      <c r="AD3459" s="2" t="s">
        <v>38</v>
      </c>
      <c r="AE3459" s="2" t="s">
        <v>40</v>
      </c>
    </row>
    <row r="3460" spans="1:31" ht="409.5">
      <c r="A3460" s="2">
        <v>2696014</v>
      </c>
      <c r="B3460" s="2">
        <f>HYPERLINK("https://platform.v2.vetology.net/cases/2696014/screening-report/1?type=pdf&amp;v=v6&amp;scorecard=1&amp;secret_key=BX%25IJ%24%2F65ieZ%29f6", 2696014)</f>
        <v>2696014</v>
      </c>
      <c r="C3460" s="2">
        <f>HYPERLINK("https://platform.v2.vetology.net/report/v/final/"&amp;2696014, 2696014)</f>
        <v>2696014</v>
      </c>
      <c r="D3460" s="2" t="s">
        <v>10957</v>
      </c>
      <c r="E3460" s="2" t="s">
        <v>10958</v>
      </c>
      <c r="F3460" s="2" t="s">
        <v>10959</v>
      </c>
      <c r="G3460" s="2" t="s">
        <v>127</v>
      </c>
      <c r="H3460" s="2" t="s">
        <v>277</v>
      </c>
      <c r="I3460" s="2" t="s">
        <v>46</v>
      </c>
      <c r="J3460" s="2"/>
      <c r="K3460" s="2" t="s">
        <v>39</v>
      </c>
      <c r="L3460" s="2" t="s">
        <v>38</v>
      </c>
      <c r="M3460" s="2" t="s">
        <v>39</v>
      </c>
      <c r="N3460" s="2" t="s">
        <v>39</v>
      </c>
      <c r="O3460" s="2" t="s">
        <v>39</v>
      </c>
      <c r="P3460" s="2" t="s">
        <v>39</v>
      </c>
      <c r="Q3460" s="2" t="s">
        <v>39</v>
      </c>
      <c r="R3460" s="2" t="s">
        <v>39</v>
      </c>
      <c r="S3460" s="2" t="s">
        <v>39</v>
      </c>
      <c r="T3460" s="2" t="s">
        <v>39</v>
      </c>
      <c r="U3460" s="2" t="s">
        <v>39</v>
      </c>
      <c r="V3460" s="2" t="s">
        <v>39</v>
      </c>
      <c r="W3460" s="2" t="s">
        <v>39</v>
      </c>
      <c r="X3460" s="2" t="s">
        <v>39</v>
      </c>
      <c r="Y3460" s="2" t="s">
        <v>39</v>
      </c>
      <c r="Z3460" s="2" t="s">
        <v>39</v>
      </c>
      <c r="AA3460" s="2" t="s">
        <v>39</v>
      </c>
      <c r="AB3460" s="2" t="s">
        <v>39</v>
      </c>
      <c r="AC3460" s="2" t="s">
        <v>39</v>
      </c>
      <c r="AD3460" s="2" t="s">
        <v>38</v>
      </c>
      <c r="AE3460" s="2" t="s">
        <v>39</v>
      </c>
    </row>
    <row r="3461" spans="1:31" ht="409.5">
      <c r="A3461" s="2">
        <v>2695989</v>
      </c>
      <c r="B3461" s="2">
        <f>HYPERLINK("https://platform.v2.vetology.net/cases/2695989/screening-report/1?type=pdf&amp;v=v6&amp;scorecard=1&amp;secret_key=BX%25IJ%24%2F65ieZ%29f6", 2695989)</f>
        <v>2695989</v>
      </c>
      <c r="C3461" s="2">
        <f>HYPERLINK("https://platform.v2.vetology.net/report/v/final/"&amp;2695989, 2695989)</f>
        <v>2695989</v>
      </c>
      <c r="D3461" s="2" t="s">
        <v>10960</v>
      </c>
      <c r="E3461" s="2" t="s">
        <v>10961</v>
      </c>
      <c r="F3461" s="2" t="s">
        <v>43</v>
      </c>
      <c r="G3461" s="2" t="s">
        <v>100</v>
      </c>
      <c r="H3461" s="2" t="s">
        <v>10962</v>
      </c>
      <c r="I3461" s="2" t="s">
        <v>129</v>
      </c>
      <c r="J3461" s="2" t="s">
        <v>74</v>
      </c>
      <c r="K3461" s="2" t="s">
        <v>38</v>
      </c>
      <c r="L3461" s="2" t="s">
        <v>38</v>
      </c>
      <c r="M3461" s="2" t="s">
        <v>38</v>
      </c>
      <c r="N3461" s="2" t="s">
        <v>38</v>
      </c>
      <c r="O3461" s="2" t="s">
        <v>38</v>
      </c>
      <c r="P3461" s="2" t="s">
        <v>38</v>
      </c>
      <c r="Q3461" s="2" t="s">
        <v>38</v>
      </c>
      <c r="R3461" s="2" t="s">
        <v>38</v>
      </c>
      <c r="S3461" s="2" t="s">
        <v>38</v>
      </c>
      <c r="T3461" s="2" t="s">
        <v>38</v>
      </c>
      <c r="U3461" s="2" t="s">
        <v>39</v>
      </c>
      <c r="V3461" s="2" t="s">
        <v>39</v>
      </c>
      <c r="W3461" s="2" t="s">
        <v>38</v>
      </c>
      <c r="X3461" s="2" t="s">
        <v>38</v>
      </c>
      <c r="Y3461" s="2" t="s">
        <v>39</v>
      </c>
      <c r="Z3461" s="2" t="s">
        <v>38</v>
      </c>
      <c r="AA3461" s="2" t="s">
        <v>38</v>
      </c>
      <c r="AB3461" s="2" t="s">
        <v>38</v>
      </c>
      <c r="AC3461" s="2" t="s">
        <v>38</v>
      </c>
      <c r="AD3461" s="2" t="s">
        <v>39</v>
      </c>
      <c r="AE3461" s="2" t="s">
        <v>39</v>
      </c>
    </row>
    <row r="3462" spans="1:31" ht="409.5">
      <c r="A3462" s="2">
        <v>2695984</v>
      </c>
      <c r="B3462" s="2">
        <f>HYPERLINK("https://platform.v2.vetology.net/cases/2695984/screening-report/1?type=pdf&amp;v=v6&amp;scorecard=1&amp;secret_key=BX%25IJ%24%2F65ieZ%29f6", 2695984)</f>
        <v>2695984</v>
      </c>
      <c r="C3462" s="2">
        <f>HYPERLINK("https://platform.v2.vetology.net/report/v/final/"&amp;2695984, 2695984)</f>
        <v>2695984</v>
      </c>
      <c r="D3462" s="2" t="s">
        <v>10963</v>
      </c>
      <c r="E3462" s="2" t="s">
        <v>10964</v>
      </c>
      <c r="F3462" s="2" t="s">
        <v>43</v>
      </c>
      <c r="G3462" s="2" t="s">
        <v>100</v>
      </c>
      <c r="H3462" s="2" t="s">
        <v>10965</v>
      </c>
      <c r="I3462" s="2" t="s">
        <v>129</v>
      </c>
      <c r="J3462" s="2" t="s">
        <v>74</v>
      </c>
      <c r="K3462" s="2" t="s">
        <v>38</v>
      </c>
      <c r="L3462" s="2" t="s">
        <v>38</v>
      </c>
      <c r="M3462" s="2" t="s">
        <v>38</v>
      </c>
      <c r="N3462" s="2" t="s">
        <v>38</v>
      </c>
      <c r="O3462" s="2" t="s">
        <v>38</v>
      </c>
      <c r="P3462" s="2" t="s">
        <v>38</v>
      </c>
      <c r="Q3462" s="2" t="s">
        <v>38</v>
      </c>
      <c r="R3462" s="2" t="s">
        <v>38</v>
      </c>
      <c r="S3462" s="2" t="s">
        <v>38</v>
      </c>
      <c r="T3462" s="2" t="s">
        <v>39</v>
      </c>
      <c r="U3462" s="2" t="s">
        <v>38</v>
      </c>
      <c r="V3462" s="2" t="s">
        <v>38</v>
      </c>
      <c r="W3462" s="2" t="s">
        <v>38</v>
      </c>
      <c r="X3462" s="2" t="s">
        <v>38</v>
      </c>
      <c r="Y3462" s="2" t="s">
        <v>38</v>
      </c>
      <c r="Z3462" s="2" t="s">
        <v>38</v>
      </c>
      <c r="AA3462" s="2" t="s">
        <v>38</v>
      </c>
      <c r="AB3462" s="2" t="s">
        <v>38</v>
      </c>
      <c r="AC3462" s="2" t="s">
        <v>38</v>
      </c>
      <c r="AD3462" s="2" t="s">
        <v>38</v>
      </c>
      <c r="AE3462" s="2"/>
    </row>
    <row r="3463" spans="1:31" ht="409.5">
      <c r="A3463" s="2">
        <v>2695963</v>
      </c>
      <c r="B3463" s="2">
        <f>HYPERLINK("https://platform.v2.vetology.net/cases/2695963/screening-report/1?type=pdf&amp;v=v6&amp;scorecard=1&amp;secret_key=BX%25IJ%24%2F65ieZ%29f6", 2695963)</f>
        <v>2695963</v>
      </c>
      <c r="C3463" s="2">
        <f>HYPERLINK("https://platform.v2.vetology.net/report/v/final/"&amp;2695963, 2695963)</f>
        <v>2695963</v>
      </c>
      <c r="D3463" s="2" t="s">
        <v>10966</v>
      </c>
      <c r="E3463" s="2" t="s">
        <v>4540</v>
      </c>
      <c r="F3463" s="2" t="s">
        <v>43</v>
      </c>
      <c r="G3463" s="2" t="s">
        <v>100</v>
      </c>
      <c r="H3463" s="2" t="s">
        <v>10967</v>
      </c>
      <c r="I3463" s="2" t="s">
        <v>73</v>
      </c>
      <c r="J3463" s="2" t="s">
        <v>74</v>
      </c>
      <c r="K3463" s="2" t="s">
        <v>38</v>
      </c>
      <c r="L3463" s="2" t="s">
        <v>38</v>
      </c>
      <c r="M3463" s="2" t="s">
        <v>38</v>
      </c>
      <c r="N3463" s="2" t="s">
        <v>38</v>
      </c>
      <c r="O3463" s="2" t="s">
        <v>38</v>
      </c>
      <c r="P3463" s="2" t="s">
        <v>38</v>
      </c>
      <c r="Q3463" s="2" t="s">
        <v>38</v>
      </c>
      <c r="R3463" s="2" t="s">
        <v>38</v>
      </c>
      <c r="S3463" s="2" t="s">
        <v>38</v>
      </c>
      <c r="T3463" s="2" t="s">
        <v>38</v>
      </c>
      <c r="U3463" s="2" t="s">
        <v>38</v>
      </c>
      <c r="V3463" s="2" t="s">
        <v>38</v>
      </c>
      <c r="W3463" s="2" t="s">
        <v>38</v>
      </c>
      <c r="X3463" s="2" t="s">
        <v>38</v>
      </c>
      <c r="Y3463" s="2" t="s">
        <v>38</v>
      </c>
      <c r="Z3463" s="2" t="s">
        <v>38</v>
      </c>
      <c r="AA3463" s="2" t="s">
        <v>38</v>
      </c>
      <c r="AB3463" s="2" t="s">
        <v>38</v>
      </c>
      <c r="AC3463" s="2" t="s">
        <v>38</v>
      </c>
      <c r="AD3463" s="2" t="s">
        <v>38</v>
      </c>
      <c r="AE3463" s="2" t="s">
        <v>39</v>
      </c>
    </row>
    <row r="3464" spans="1:31" ht="409.5">
      <c r="A3464" s="2">
        <v>2695930</v>
      </c>
      <c r="B3464" s="2">
        <f>HYPERLINK("https://platform.v2.vetology.net/cases/2695930/screening-report/1?type=pdf&amp;v=v6&amp;scorecard=1&amp;secret_key=BX%25IJ%24%2F65ieZ%29f6", 2695930)</f>
        <v>2695930</v>
      </c>
      <c r="C3464" s="2">
        <f>HYPERLINK("https://platform.v2.vetology.net/report/v/final/"&amp;2695930, 2695930)</f>
        <v>2695930</v>
      </c>
      <c r="D3464" s="2" t="s">
        <v>10968</v>
      </c>
      <c r="E3464" s="2" t="s">
        <v>359</v>
      </c>
      <c r="F3464" s="2"/>
      <c r="G3464" s="2" t="s">
        <v>100</v>
      </c>
      <c r="H3464" s="2" t="s">
        <v>1846</v>
      </c>
      <c r="I3464" s="2" t="s">
        <v>36</v>
      </c>
      <c r="J3464" s="2" t="s">
        <v>37</v>
      </c>
      <c r="K3464" s="2" t="s">
        <v>39</v>
      </c>
      <c r="L3464" s="2" t="s">
        <v>38</v>
      </c>
      <c r="M3464" s="2" t="s">
        <v>38</v>
      </c>
      <c r="N3464" s="2" t="s">
        <v>39</v>
      </c>
      <c r="O3464" s="2" t="s">
        <v>38</v>
      </c>
      <c r="P3464" s="2" t="s">
        <v>39</v>
      </c>
      <c r="Q3464" s="2" t="s">
        <v>39</v>
      </c>
      <c r="R3464" s="2" t="s">
        <v>38</v>
      </c>
      <c r="S3464" s="2" t="s">
        <v>38</v>
      </c>
      <c r="T3464" s="2" t="s">
        <v>38</v>
      </c>
      <c r="U3464" s="2" t="s">
        <v>38</v>
      </c>
      <c r="V3464" s="2" t="s">
        <v>38</v>
      </c>
      <c r="W3464" s="2" t="s">
        <v>38</v>
      </c>
      <c r="X3464" s="2" t="s">
        <v>39</v>
      </c>
      <c r="Y3464" s="2" t="s">
        <v>39</v>
      </c>
      <c r="Z3464" s="2" t="s">
        <v>38</v>
      </c>
      <c r="AA3464" s="2" t="s">
        <v>38</v>
      </c>
      <c r="AB3464" s="2" t="s">
        <v>39</v>
      </c>
      <c r="AC3464" s="2" t="s">
        <v>38</v>
      </c>
      <c r="AD3464" s="2" t="s">
        <v>38</v>
      </c>
      <c r="AE3464" s="2" t="s">
        <v>40</v>
      </c>
    </row>
    <row r="3465" spans="1:31" ht="409.5">
      <c r="A3465" s="2">
        <v>2695884</v>
      </c>
      <c r="B3465" s="2">
        <f>HYPERLINK("https://platform.v2.vetology.net/cases/2695884/screening-report/1?type=pdf&amp;v=v6&amp;scorecard=1&amp;secret_key=BX%25IJ%24%2F65ieZ%29f6", 2695884)</f>
        <v>2695884</v>
      </c>
      <c r="C3465" s="2">
        <f>HYPERLINK("https://platform.v2.vetology.net/report/v/final/"&amp;2695884, 2695884)</f>
        <v>2695884</v>
      </c>
      <c r="D3465" s="2" t="s">
        <v>10969</v>
      </c>
      <c r="E3465" s="2" t="s">
        <v>10970</v>
      </c>
      <c r="F3465" s="2" t="s">
        <v>10971</v>
      </c>
      <c r="G3465" s="2" t="s">
        <v>170</v>
      </c>
      <c r="H3465" s="2" t="s">
        <v>45</v>
      </c>
      <c r="I3465" s="2" t="s">
        <v>46</v>
      </c>
      <c r="J3465" s="2"/>
      <c r="K3465" s="2" t="s">
        <v>39</v>
      </c>
      <c r="L3465" s="2" t="s">
        <v>39</v>
      </c>
      <c r="M3465" s="2" t="s">
        <v>39</v>
      </c>
      <c r="N3465" s="2" t="s">
        <v>39</v>
      </c>
      <c r="O3465" s="2" t="s">
        <v>39</v>
      </c>
      <c r="P3465" s="2" t="s">
        <v>39</v>
      </c>
      <c r="Q3465" s="2" t="s">
        <v>39</v>
      </c>
      <c r="R3465" s="2" t="s">
        <v>38</v>
      </c>
      <c r="S3465" s="2" t="s">
        <v>39</v>
      </c>
      <c r="T3465" s="2" t="s">
        <v>39</v>
      </c>
      <c r="U3465" s="2" t="s">
        <v>39</v>
      </c>
      <c r="V3465" s="2" t="s">
        <v>39</v>
      </c>
      <c r="W3465" s="2" t="s">
        <v>38</v>
      </c>
      <c r="X3465" s="2" t="s">
        <v>39</v>
      </c>
      <c r="Y3465" s="2" t="s">
        <v>39</v>
      </c>
      <c r="Z3465" s="2" t="s">
        <v>39</v>
      </c>
      <c r="AA3465" s="2" t="s">
        <v>39</v>
      </c>
      <c r="AB3465" s="2" t="s">
        <v>39</v>
      </c>
      <c r="AC3465" s="2" t="s">
        <v>38</v>
      </c>
      <c r="AD3465" s="2" t="s">
        <v>38</v>
      </c>
      <c r="AE3465" s="2" t="s">
        <v>39</v>
      </c>
    </row>
    <row r="3466" spans="1:31" ht="409.5">
      <c r="A3466" s="2">
        <v>2695866</v>
      </c>
      <c r="B3466" s="2">
        <f>HYPERLINK("https://platform.v2.vetology.net/cases/2695866/screening-report/1?type=pdf&amp;v=v6&amp;scorecard=1&amp;secret_key=BX%25IJ%24%2F65ieZ%29f6", 2695866)</f>
        <v>2695866</v>
      </c>
      <c r="C3466" s="2">
        <f>HYPERLINK("https://platform.v2.vetology.net/report/v/final/"&amp;2695866, 2695866)</f>
        <v>2695866</v>
      </c>
      <c r="D3466" s="2" t="s">
        <v>10972</v>
      </c>
      <c r="E3466" s="2" t="s">
        <v>10973</v>
      </c>
      <c r="F3466" s="2" t="s">
        <v>10974</v>
      </c>
      <c r="G3466" s="2" t="s">
        <v>170</v>
      </c>
      <c r="H3466" s="2" t="s">
        <v>222</v>
      </c>
      <c r="I3466" s="2" t="s">
        <v>36</v>
      </c>
      <c r="J3466" s="2" t="s">
        <v>37</v>
      </c>
      <c r="K3466" s="2" t="s">
        <v>39</v>
      </c>
      <c r="L3466" s="2" t="s">
        <v>39</v>
      </c>
      <c r="M3466" s="2" t="s">
        <v>38</v>
      </c>
      <c r="N3466" s="2" t="s">
        <v>38</v>
      </c>
      <c r="O3466" s="2" t="s">
        <v>38</v>
      </c>
      <c r="P3466" s="2" t="s">
        <v>39</v>
      </c>
      <c r="Q3466" s="2" t="s">
        <v>39</v>
      </c>
      <c r="R3466" s="2" t="s">
        <v>38</v>
      </c>
      <c r="S3466" s="2" t="s">
        <v>38</v>
      </c>
      <c r="T3466" s="2" t="s">
        <v>38</v>
      </c>
      <c r="U3466" s="2" t="s">
        <v>39</v>
      </c>
      <c r="V3466" s="2" t="s">
        <v>39</v>
      </c>
      <c r="W3466" s="2" t="s">
        <v>38</v>
      </c>
      <c r="X3466" s="2" t="s">
        <v>39</v>
      </c>
      <c r="Y3466" s="2" t="s">
        <v>39</v>
      </c>
      <c r="Z3466" s="2" t="s">
        <v>38</v>
      </c>
      <c r="AA3466" s="2" t="s">
        <v>39</v>
      </c>
      <c r="AB3466" s="2" t="s">
        <v>39</v>
      </c>
      <c r="AC3466" s="2" t="s">
        <v>38</v>
      </c>
      <c r="AD3466" s="2" t="s">
        <v>38</v>
      </c>
      <c r="AE3466" s="2" t="s">
        <v>39</v>
      </c>
    </row>
    <row r="3467" spans="1:31" ht="409.5">
      <c r="A3467" s="2">
        <v>2695863</v>
      </c>
      <c r="B3467" s="2">
        <f>HYPERLINK("https://platform.v2.vetology.net/cases/2695863/screening-report/1?type=pdf&amp;v=v6&amp;scorecard=1&amp;secret_key=BX%25IJ%24%2F65ieZ%29f6", 2695863)</f>
        <v>2695863</v>
      </c>
      <c r="C3467" s="2">
        <f>HYPERLINK("https://platform.v2.vetology.net/report/v/final/"&amp;2695863, 2695863)</f>
        <v>2695863</v>
      </c>
      <c r="D3467" s="2" t="s">
        <v>1044</v>
      </c>
      <c r="E3467" s="2" t="s">
        <v>99</v>
      </c>
      <c r="F3467" s="2" t="s">
        <v>10975</v>
      </c>
      <c r="G3467" s="2" t="s">
        <v>100</v>
      </c>
      <c r="H3467" s="2" t="s">
        <v>1241</v>
      </c>
      <c r="I3467" s="2" t="s">
        <v>36</v>
      </c>
      <c r="J3467" s="2" t="s">
        <v>37</v>
      </c>
      <c r="K3467" s="2" t="s">
        <v>39</v>
      </c>
      <c r="L3467" s="2" t="s">
        <v>39</v>
      </c>
      <c r="M3467" s="2" t="s">
        <v>38</v>
      </c>
      <c r="N3467" s="2" t="s">
        <v>39</v>
      </c>
      <c r="O3467" s="2" t="s">
        <v>39</v>
      </c>
      <c r="P3467" s="2" t="s">
        <v>39</v>
      </c>
      <c r="Q3467" s="2" t="s">
        <v>39</v>
      </c>
      <c r="R3467" s="2" t="s">
        <v>39</v>
      </c>
      <c r="S3467" s="2" t="s">
        <v>39</v>
      </c>
      <c r="T3467" s="2" t="s">
        <v>39</v>
      </c>
      <c r="U3467" s="2" t="s">
        <v>39</v>
      </c>
      <c r="V3467" s="2" t="s">
        <v>39</v>
      </c>
      <c r="W3467" s="2" t="s">
        <v>38</v>
      </c>
      <c r="X3467" s="2" t="s">
        <v>39</v>
      </c>
      <c r="Y3467" s="2" t="s">
        <v>39</v>
      </c>
      <c r="Z3467" s="2" t="s">
        <v>38</v>
      </c>
      <c r="AA3467" s="2" t="s">
        <v>39</v>
      </c>
      <c r="AB3467" s="2" t="s">
        <v>39</v>
      </c>
      <c r="AC3467" s="2" t="s">
        <v>38</v>
      </c>
      <c r="AD3467" s="2" t="s">
        <v>38</v>
      </c>
      <c r="AE3467" s="2" t="s">
        <v>39</v>
      </c>
    </row>
    <row r="3468" spans="1:31" ht="409.5">
      <c r="A3468" s="2">
        <v>2695808</v>
      </c>
      <c r="B3468" s="2">
        <f>HYPERLINK("https://platform.v2.vetology.net/cases/2695808/screening-report/1?type=pdf&amp;v=v6&amp;scorecard=1&amp;secret_key=BX%25IJ%24%2F65ieZ%29f6", 2695808)</f>
        <v>2695808</v>
      </c>
      <c r="C3468" s="2">
        <f>HYPERLINK("https://platform.v2.vetology.net/report/v/final/"&amp;2695808, 2695808)</f>
        <v>2695808</v>
      </c>
      <c r="D3468" s="2" t="s">
        <v>10976</v>
      </c>
      <c r="E3468" s="2" t="s">
        <v>10977</v>
      </c>
      <c r="F3468" s="2" t="s">
        <v>43</v>
      </c>
      <c r="G3468" s="2" t="s">
        <v>44</v>
      </c>
      <c r="H3468" s="2" t="s">
        <v>10978</v>
      </c>
      <c r="I3468" s="2" t="s">
        <v>36</v>
      </c>
      <c r="J3468" s="2" t="s">
        <v>37</v>
      </c>
      <c r="K3468" s="2" t="s">
        <v>38</v>
      </c>
      <c r="L3468" s="2" t="s">
        <v>38</v>
      </c>
      <c r="M3468" s="2" t="s">
        <v>39</v>
      </c>
      <c r="N3468" s="2" t="s">
        <v>38</v>
      </c>
      <c r="O3468" s="2" t="s">
        <v>38</v>
      </c>
      <c r="P3468" s="2" t="s">
        <v>39</v>
      </c>
      <c r="Q3468" s="2" t="s">
        <v>39</v>
      </c>
      <c r="R3468" s="2" t="s">
        <v>38</v>
      </c>
      <c r="S3468" s="2" t="s">
        <v>38</v>
      </c>
      <c r="T3468" s="2" t="s">
        <v>39</v>
      </c>
      <c r="U3468" s="2" t="s">
        <v>38</v>
      </c>
      <c r="V3468" s="2" t="s">
        <v>38</v>
      </c>
      <c r="W3468" s="2" t="s">
        <v>38</v>
      </c>
      <c r="X3468" s="2" t="s">
        <v>39</v>
      </c>
      <c r="Y3468" s="2" t="s">
        <v>38</v>
      </c>
      <c r="Z3468" s="2" t="s">
        <v>38</v>
      </c>
      <c r="AA3468" s="2" t="s">
        <v>38</v>
      </c>
      <c r="AB3468" s="2" t="s">
        <v>39</v>
      </c>
      <c r="AC3468" s="2" t="s">
        <v>38</v>
      </c>
      <c r="AD3468" s="2" t="s">
        <v>38</v>
      </c>
      <c r="AE3468" s="2" t="s">
        <v>39</v>
      </c>
    </row>
    <row r="3469" spans="1:31" ht="409.5">
      <c r="A3469" s="2">
        <v>2695777</v>
      </c>
      <c r="B3469" s="2">
        <f>HYPERLINK("https://platform.v2.vetology.net/cases/2695777/screening-report/1?type=pdf&amp;v=v6&amp;scorecard=1&amp;secret_key=BX%25IJ%24%2F65ieZ%29f6", 2695777)</f>
        <v>2695777</v>
      </c>
      <c r="C3469" s="2">
        <f>HYPERLINK("https://platform.v2.vetology.net/report/v/final/"&amp;2695777, 2695777)</f>
        <v>2695777</v>
      </c>
      <c r="D3469" s="2" t="s">
        <v>10979</v>
      </c>
      <c r="E3469" s="2" t="s">
        <v>10980</v>
      </c>
      <c r="F3469" s="2" t="s">
        <v>43</v>
      </c>
      <c r="G3469" s="2" t="s">
        <v>44</v>
      </c>
      <c r="H3469" s="2" t="s">
        <v>10981</v>
      </c>
      <c r="I3469" s="2" t="s">
        <v>36</v>
      </c>
      <c r="J3469" s="2" t="s">
        <v>37</v>
      </c>
      <c r="K3469" s="2" t="s">
        <v>38</v>
      </c>
      <c r="L3469" s="2" t="s">
        <v>38</v>
      </c>
      <c r="M3469" s="2" t="s">
        <v>39</v>
      </c>
      <c r="N3469" s="2" t="s">
        <v>39</v>
      </c>
      <c r="O3469" s="2" t="s">
        <v>39</v>
      </c>
      <c r="P3469" s="2" t="s">
        <v>39</v>
      </c>
      <c r="Q3469" s="2" t="s">
        <v>39</v>
      </c>
      <c r="R3469" s="2" t="s">
        <v>38</v>
      </c>
      <c r="S3469" s="2" t="s">
        <v>39</v>
      </c>
      <c r="T3469" s="2" t="s">
        <v>39</v>
      </c>
      <c r="U3469" s="2" t="s">
        <v>38</v>
      </c>
      <c r="V3469" s="2" t="s">
        <v>39</v>
      </c>
      <c r="W3469" s="2" t="s">
        <v>38</v>
      </c>
      <c r="X3469" s="2" t="s">
        <v>39</v>
      </c>
      <c r="Y3469" s="2" t="s">
        <v>39</v>
      </c>
      <c r="Z3469" s="2" t="s">
        <v>38</v>
      </c>
      <c r="AA3469" s="2" t="s">
        <v>39</v>
      </c>
      <c r="AB3469" s="2" t="s">
        <v>39</v>
      </c>
      <c r="AC3469" s="2" t="s">
        <v>38</v>
      </c>
      <c r="AD3469" s="2" t="s">
        <v>38</v>
      </c>
      <c r="AE3469" s="2" t="s">
        <v>39</v>
      </c>
    </row>
    <row r="3470" spans="1:31" ht="409.5">
      <c r="A3470" s="2">
        <v>2695711</v>
      </c>
      <c r="B3470" s="2">
        <f>HYPERLINK("https://platform.v2.vetology.net/cases/2695711/screening-report/1?type=pdf&amp;v=v6&amp;scorecard=1&amp;secret_key=BX%25IJ%24%2F65ieZ%29f6", 2695711)</f>
        <v>2695711</v>
      </c>
      <c r="C3470" s="2">
        <f>HYPERLINK("https://platform.v2.vetology.net/report/v/final/"&amp;2695711, 2695711)</f>
        <v>2695711</v>
      </c>
      <c r="D3470" s="2" t="s">
        <v>10982</v>
      </c>
      <c r="E3470" s="2" t="s">
        <v>10983</v>
      </c>
      <c r="F3470" s="2" t="s">
        <v>10984</v>
      </c>
      <c r="G3470" s="2" t="s">
        <v>170</v>
      </c>
      <c r="H3470" s="2" t="s">
        <v>10985</v>
      </c>
      <c r="I3470" s="2" t="s">
        <v>73</v>
      </c>
      <c r="J3470" s="2" t="s">
        <v>74</v>
      </c>
      <c r="K3470" s="2" t="s">
        <v>38</v>
      </c>
      <c r="L3470" s="2" t="s">
        <v>39</v>
      </c>
      <c r="M3470" s="2" t="s">
        <v>39</v>
      </c>
      <c r="N3470" s="2" t="s">
        <v>38</v>
      </c>
      <c r="O3470" s="2" t="s">
        <v>38</v>
      </c>
      <c r="P3470" s="2" t="s">
        <v>38</v>
      </c>
      <c r="Q3470" s="2" t="s">
        <v>38</v>
      </c>
      <c r="R3470" s="2" t="s">
        <v>39</v>
      </c>
      <c r="S3470" s="2" t="s">
        <v>38</v>
      </c>
      <c r="T3470" s="2" t="s">
        <v>38</v>
      </c>
      <c r="U3470" s="2" t="s">
        <v>39</v>
      </c>
      <c r="V3470" s="2" t="s">
        <v>38</v>
      </c>
      <c r="W3470" s="2" t="s">
        <v>38</v>
      </c>
      <c r="X3470" s="2" t="s">
        <v>38</v>
      </c>
      <c r="Y3470" s="2" t="s">
        <v>38</v>
      </c>
      <c r="Z3470" s="2" t="s">
        <v>39</v>
      </c>
      <c r="AA3470" s="2" t="s">
        <v>38</v>
      </c>
      <c r="AB3470" s="2" t="s">
        <v>38</v>
      </c>
      <c r="AC3470" s="2" t="s">
        <v>38</v>
      </c>
      <c r="AD3470" s="2" t="s">
        <v>38</v>
      </c>
      <c r="AE3470" s="2" t="s">
        <v>40</v>
      </c>
    </row>
    <row r="3471" spans="1:31" ht="409.5">
      <c r="A3471" s="2">
        <v>2695705</v>
      </c>
      <c r="B3471" s="2">
        <f>HYPERLINK("https://platform.v2.vetology.net/cases/2695705/screening-report/1?type=pdf&amp;v=v6&amp;scorecard=1&amp;secret_key=BX%25IJ%24%2F65ieZ%29f6", 2695705)</f>
        <v>2695705</v>
      </c>
      <c r="C3471" s="2">
        <f>HYPERLINK("https://platform.v2.vetology.net/report/v/final/"&amp;2695705, 2695705)</f>
        <v>2695705</v>
      </c>
      <c r="D3471" s="2" t="s">
        <v>10986</v>
      </c>
      <c r="E3471" s="2" t="s">
        <v>10987</v>
      </c>
      <c r="F3471" s="2" t="s">
        <v>10988</v>
      </c>
      <c r="G3471" s="2" t="s">
        <v>34</v>
      </c>
      <c r="H3471" s="2" t="s">
        <v>69</v>
      </c>
      <c r="I3471" s="2" t="s">
        <v>46</v>
      </c>
      <c r="J3471" s="2"/>
      <c r="K3471" s="2" t="s">
        <v>39</v>
      </c>
      <c r="L3471" s="2" t="s">
        <v>39</v>
      </c>
      <c r="M3471" s="2" t="s">
        <v>39</v>
      </c>
      <c r="N3471" s="2" t="s">
        <v>39</v>
      </c>
      <c r="O3471" s="2" t="s">
        <v>39</v>
      </c>
      <c r="P3471" s="2" t="s">
        <v>39</v>
      </c>
      <c r="Q3471" s="2" t="s">
        <v>39</v>
      </c>
      <c r="R3471" s="2" t="s">
        <v>39</v>
      </c>
      <c r="S3471" s="2" t="s">
        <v>39</v>
      </c>
      <c r="T3471" s="2" t="s">
        <v>39</v>
      </c>
      <c r="U3471" s="2" t="s">
        <v>39</v>
      </c>
      <c r="V3471" s="2" t="s">
        <v>39</v>
      </c>
      <c r="W3471" s="2" t="s">
        <v>39</v>
      </c>
      <c r="X3471" s="2" t="s">
        <v>39</v>
      </c>
      <c r="Y3471" s="2" t="s">
        <v>39</v>
      </c>
      <c r="Z3471" s="2" t="s">
        <v>39</v>
      </c>
      <c r="AA3471" s="2" t="s">
        <v>39</v>
      </c>
      <c r="AB3471" s="2" t="s">
        <v>39</v>
      </c>
      <c r="AC3471" s="2" t="s">
        <v>39</v>
      </c>
      <c r="AD3471" s="2" t="s">
        <v>39</v>
      </c>
      <c r="AE3471" s="2" t="s">
        <v>39</v>
      </c>
    </row>
    <row r="3472" spans="1:31" ht="409.5">
      <c r="A3472" s="2">
        <v>2695667</v>
      </c>
      <c r="B3472" s="2">
        <f>HYPERLINK("https://platform.v2.vetology.net/cases/2695667/screening-report/1?type=pdf&amp;v=v6&amp;scorecard=1&amp;secret_key=BX%25IJ%24%2F65ieZ%29f6", 2695667)</f>
        <v>2695667</v>
      </c>
      <c r="C3472" s="2">
        <f>HYPERLINK("https://platform.v2.vetology.net/report/v/final/"&amp;2695667, 2695667)</f>
        <v>2695667</v>
      </c>
      <c r="D3472" s="2" t="s">
        <v>10989</v>
      </c>
      <c r="E3472" s="2" t="s">
        <v>10990</v>
      </c>
      <c r="F3472" s="2" t="s">
        <v>10991</v>
      </c>
      <c r="G3472" s="2" t="s">
        <v>111</v>
      </c>
      <c r="H3472" s="2" t="s">
        <v>10992</v>
      </c>
      <c r="I3472" s="2" t="s">
        <v>36</v>
      </c>
      <c r="J3472" s="2" t="s">
        <v>37</v>
      </c>
      <c r="K3472" s="2" t="s">
        <v>38</v>
      </c>
      <c r="L3472" s="2" t="s">
        <v>38</v>
      </c>
      <c r="M3472" s="2" t="s">
        <v>38</v>
      </c>
      <c r="N3472" s="2" t="s">
        <v>39</v>
      </c>
      <c r="O3472" s="2" t="s">
        <v>38</v>
      </c>
      <c r="P3472" s="2" t="s">
        <v>39</v>
      </c>
      <c r="Q3472" s="2" t="s">
        <v>39</v>
      </c>
      <c r="R3472" s="2" t="s">
        <v>38</v>
      </c>
      <c r="S3472" s="2" t="s">
        <v>38</v>
      </c>
      <c r="T3472" s="2" t="s">
        <v>39</v>
      </c>
      <c r="U3472" s="2" t="s">
        <v>39</v>
      </c>
      <c r="V3472" s="2" t="s">
        <v>38</v>
      </c>
      <c r="W3472" s="2" t="s">
        <v>38</v>
      </c>
      <c r="X3472" s="2" t="s">
        <v>39</v>
      </c>
      <c r="Y3472" s="2" t="s">
        <v>39</v>
      </c>
      <c r="Z3472" s="2" t="s">
        <v>38</v>
      </c>
      <c r="AA3472" s="2" t="s">
        <v>39</v>
      </c>
      <c r="AB3472" s="2" t="s">
        <v>39</v>
      </c>
      <c r="AC3472" s="2" t="s">
        <v>38</v>
      </c>
      <c r="AD3472" s="2" t="s">
        <v>38</v>
      </c>
      <c r="AE3472" s="2" t="s">
        <v>39</v>
      </c>
    </row>
    <row r="3473" spans="1:31" ht="409.5">
      <c r="A3473" s="2">
        <v>2695651</v>
      </c>
      <c r="B3473" s="2">
        <f>HYPERLINK("https://platform.v2.vetology.net/cases/2695651/screening-report/1?type=pdf&amp;v=v6&amp;scorecard=1&amp;secret_key=BX%25IJ%24%2F65ieZ%29f6", 2695651)</f>
        <v>2695651</v>
      </c>
      <c r="C3473" s="2">
        <f>HYPERLINK("https://platform.v2.vetology.net/report/v/final/"&amp;2695651, 2695651)</f>
        <v>2695651</v>
      </c>
      <c r="D3473" s="2" t="s">
        <v>10993</v>
      </c>
      <c r="E3473" s="2" t="s">
        <v>10994</v>
      </c>
      <c r="F3473" s="2" t="s">
        <v>10995</v>
      </c>
      <c r="G3473" s="2" t="s">
        <v>53</v>
      </c>
      <c r="H3473" s="2" t="s">
        <v>10996</v>
      </c>
      <c r="I3473" s="2" t="s">
        <v>73</v>
      </c>
      <c r="J3473" s="2" t="s">
        <v>74</v>
      </c>
      <c r="K3473" s="2" t="s">
        <v>38</v>
      </c>
      <c r="L3473" s="2" t="s">
        <v>38</v>
      </c>
      <c r="M3473" s="2" t="s">
        <v>38</v>
      </c>
      <c r="N3473" s="2" t="s">
        <v>38</v>
      </c>
      <c r="O3473" s="2" t="s">
        <v>38</v>
      </c>
      <c r="P3473" s="2" t="s">
        <v>38</v>
      </c>
      <c r="Q3473" s="2" t="s">
        <v>38</v>
      </c>
      <c r="R3473" s="2" t="s">
        <v>38</v>
      </c>
      <c r="S3473" s="2" t="s">
        <v>38</v>
      </c>
      <c r="T3473" s="2" t="s">
        <v>38</v>
      </c>
      <c r="U3473" s="2" t="s">
        <v>39</v>
      </c>
      <c r="V3473" s="2" t="s">
        <v>38</v>
      </c>
      <c r="W3473" s="2" t="s">
        <v>38</v>
      </c>
      <c r="X3473" s="2" t="s">
        <v>38</v>
      </c>
      <c r="Y3473" s="2" t="s">
        <v>38</v>
      </c>
      <c r="Z3473" s="2" t="s">
        <v>38</v>
      </c>
      <c r="AA3473" s="2" t="s">
        <v>38</v>
      </c>
      <c r="AB3473" s="2" t="s">
        <v>38</v>
      </c>
      <c r="AC3473" s="2" t="s">
        <v>38</v>
      </c>
      <c r="AD3473" s="2" t="s">
        <v>38</v>
      </c>
      <c r="AE3473" s="2" t="s">
        <v>40</v>
      </c>
    </row>
    <row r="3474" spans="1:31" ht="409.5">
      <c r="A3474" s="2">
        <v>2695649</v>
      </c>
      <c r="B3474" s="2">
        <f>HYPERLINK("https://platform.v2.vetology.net/cases/2695649/screening-report/1?type=pdf&amp;v=v6&amp;scorecard=1&amp;secret_key=BX%25IJ%24%2F65ieZ%29f6", 2695649)</f>
        <v>2695649</v>
      </c>
      <c r="C3474" s="2">
        <f>HYPERLINK("https://platform.v2.vetology.net/report/v/final/"&amp;2695649, 2695649)</f>
        <v>2695649</v>
      </c>
      <c r="D3474" s="2" t="s">
        <v>10997</v>
      </c>
      <c r="E3474" s="2" t="s">
        <v>10998</v>
      </c>
      <c r="F3474" s="2" t="s">
        <v>43</v>
      </c>
      <c r="G3474" s="2" t="s">
        <v>44</v>
      </c>
      <c r="H3474" s="2" t="s">
        <v>10999</v>
      </c>
      <c r="I3474" s="2" t="s">
        <v>36</v>
      </c>
      <c r="J3474" s="2" t="s">
        <v>37</v>
      </c>
      <c r="K3474" s="2" t="s">
        <v>38</v>
      </c>
      <c r="L3474" s="2" t="s">
        <v>38</v>
      </c>
      <c r="M3474" s="2" t="s">
        <v>38</v>
      </c>
      <c r="N3474" s="2" t="s">
        <v>38</v>
      </c>
      <c r="O3474" s="2" t="s">
        <v>38</v>
      </c>
      <c r="P3474" s="2" t="s">
        <v>39</v>
      </c>
      <c r="Q3474" s="2" t="s">
        <v>39</v>
      </c>
      <c r="R3474" s="2" t="s">
        <v>38</v>
      </c>
      <c r="S3474" s="2" t="s">
        <v>38</v>
      </c>
      <c r="T3474" s="2" t="s">
        <v>39</v>
      </c>
      <c r="U3474" s="2" t="s">
        <v>38</v>
      </c>
      <c r="V3474" s="2" t="s">
        <v>38</v>
      </c>
      <c r="W3474" s="2" t="s">
        <v>38</v>
      </c>
      <c r="X3474" s="2" t="s">
        <v>38</v>
      </c>
      <c r="Y3474" s="2" t="s">
        <v>39</v>
      </c>
      <c r="Z3474" s="2" t="s">
        <v>38</v>
      </c>
      <c r="AA3474" s="2" t="s">
        <v>38</v>
      </c>
      <c r="AB3474" s="2" t="s">
        <v>39</v>
      </c>
      <c r="AC3474" s="2" t="s">
        <v>38</v>
      </c>
      <c r="AD3474" s="2" t="s">
        <v>38</v>
      </c>
      <c r="AE3474" s="2" t="s">
        <v>40</v>
      </c>
    </row>
    <row r="3475" spans="1:31" ht="409.5">
      <c r="A3475" s="2">
        <v>2695633</v>
      </c>
      <c r="B3475" s="2">
        <f>HYPERLINK("https://platform.v2.vetology.net/cases/2695633/screening-report/1?type=pdf&amp;v=v6&amp;scorecard=1&amp;secret_key=BX%25IJ%24%2F65ieZ%29f6", 2695633)</f>
        <v>2695633</v>
      </c>
      <c r="C3475" s="2">
        <f>HYPERLINK("https://platform.v2.vetology.net/report/v/final/"&amp;2695633, 2695633)</f>
        <v>2695633</v>
      </c>
      <c r="D3475" s="2" t="s">
        <v>11000</v>
      </c>
      <c r="E3475" s="2" t="s">
        <v>11001</v>
      </c>
      <c r="F3475" s="2" t="s">
        <v>11002</v>
      </c>
      <c r="G3475" s="2" t="s">
        <v>127</v>
      </c>
      <c r="H3475" s="2" t="s">
        <v>11003</v>
      </c>
      <c r="I3475" s="2" t="s">
        <v>73</v>
      </c>
      <c r="J3475" s="2" t="s">
        <v>74</v>
      </c>
      <c r="K3475" s="2" t="s">
        <v>38</v>
      </c>
      <c r="L3475" s="2" t="s">
        <v>38</v>
      </c>
      <c r="M3475" s="2" t="s">
        <v>38</v>
      </c>
      <c r="N3475" s="2" t="s">
        <v>38</v>
      </c>
      <c r="O3475" s="2" t="s">
        <v>38</v>
      </c>
      <c r="P3475" s="2" t="s">
        <v>39</v>
      </c>
      <c r="Q3475" s="2" t="s">
        <v>38</v>
      </c>
      <c r="R3475" s="2" t="s">
        <v>39</v>
      </c>
      <c r="S3475" s="2" t="s">
        <v>38</v>
      </c>
      <c r="T3475" s="2" t="s">
        <v>39</v>
      </c>
      <c r="U3475" s="2" t="s">
        <v>38</v>
      </c>
      <c r="V3475" s="2" t="s">
        <v>38</v>
      </c>
      <c r="W3475" s="2" t="s">
        <v>39</v>
      </c>
      <c r="X3475" s="2" t="s">
        <v>38</v>
      </c>
      <c r="Y3475" s="2" t="s">
        <v>39</v>
      </c>
      <c r="Z3475" s="2" t="s">
        <v>39</v>
      </c>
      <c r="AA3475" s="2" t="s">
        <v>38</v>
      </c>
      <c r="AB3475" s="2" t="s">
        <v>38</v>
      </c>
      <c r="AC3475" s="2" t="s">
        <v>38</v>
      </c>
      <c r="AD3475" s="2" t="s">
        <v>39</v>
      </c>
      <c r="AE3475" s="2" t="s">
        <v>39</v>
      </c>
    </row>
    <row r="3476" spans="1:31" ht="409.5">
      <c r="A3476" s="2">
        <v>2695629</v>
      </c>
      <c r="B3476" s="2">
        <f>HYPERLINK("https://platform.v2.vetology.net/cases/2695629/screening-report/1?type=pdf&amp;v=v6&amp;scorecard=1&amp;secret_key=BX%25IJ%24%2F65ieZ%29f6", 2695629)</f>
        <v>2695629</v>
      </c>
      <c r="C3476" s="2">
        <f>HYPERLINK("https://platform.v2.vetology.net/report/v/final/"&amp;2695629, 2695629)</f>
        <v>2695629</v>
      </c>
      <c r="D3476" s="2" t="s">
        <v>11004</v>
      </c>
      <c r="E3476" s="2" t="s">
        <v>11005</v>
      </c>
      <c r="F3476" s="2" t="s">
        <v>8648</v>
      </c>
      <c r="G3476" s="2" t="s">
        <v>34</v>
      </c>
      <c r="H3476" s="2" t="s">
        <v>11006</v>
      </c>
      <c r="I3476" s="2" t="s">
        <v>73</v>
      </c>
      <c r="J3476" s="2" t="s">
        <v>74</v>
      </c>
      <c r="K3476" s="2" t="s">
        <v>38</v>
      </c>
      <c r="L3476" s="2" t="s">
        <v>39</v>
      </c>
      <c r="M3476" s="2" t="s">
        <v>39</v>
      </c>
      <c r="N3476" s="2" t="s">
        <v>39</v>
      </c>
      <c r="O3476" s="2" t="s">
        <v>39</v>
      </c>
      <c r="P3476" s="2" t="s">
        <v>39</v>
      </c>
      <c r="Q3476" s="2" t="s">
        <v>38</v>
      </c>
      <c r="R3476" s="2" t="s">
        <v>39</v>
      </c>
      <c r="S3476" s="2" t="s">
        <v>39</v>
      </c>
      <c r="T3476" s="2" t="s">
        <v>39</v>
      </c>
      <c r="U3476" s="2" t="s">
        <v>38</v>
      </c>
      <c r="V3476" s="2" t="s">
        <v>38</v>
      </c>
      <c r="W3476" s="2" t="s">
        <v>39</v>
      </c>
      <c r="X3476" s="2" t="s">
        <v>38</v>
      </c>
      <c r="Y3476" s="2" t="s">
        <v>39</v>
      </c>
      <c r="Z3476" s="2" t="s">
        <v>39</v>
      </c>
      <c r="AA3476" s="2" t="s">
        <v>39</v>
      </c>
      <c r="AB3476" s="2" t="s">
        <v>38</v>
      </c>
      <c r="AC3476" s="2" t="s">
        <v>39</v>
      </c>
      <c r="AD3476" s="2" t="s">
        <v>39</v>
      </c>
      <c r="AE3476" s="2" t="s">
        <v>39</v>
      </c>
    </row>
    <row r="3477" spans="1:31" ht="409.5">
      <c r="A3477" s="2">
        <v>2695615</v>
      </c>
      <c r="B3477" s="2">
        <f>HYPERLINK("https://platform.v2.vetology.net/cases/2695615/screening-report/1?type=pdf&amp;v=v6&amp;scorecard=1&amp;secret_key=BX%25IJ%24%2F65ieZ%29f6", 2695615)</f>
        <v>2695615</v>
      </c>
      <c r="C3477" s="2">
        <f>HYPERLINK("https://platform.v2.vetology.net/report/v/final/"&amp;2695615, 2695615)</f>
        <v>2695615</v>
      </c>
      <c r="D3477" s="2" t="s">
        <v>11007</v>
      </c>
      <c r="E3477" s="2" t="s">
        <v>11008</v>
      </c>
      <c r="F3477" s="2" t="s">
        <v>11009</v>
      </c>
      <c r="G3477" s="2" t="s">
        <v>170</v>
      </c>
      <c r="H3477" s="2" t="s">
        <v>11010</v>
      </c>
      <c r="I3477" s="2" t="s">
        <v>36</v>
      </c>
      <c r="J3477" s="2" t="s">
        <v>37</v>
      </c>
      <c r="K3477" s="2" t="s">
        <v>39</v>
      </c>
      <c r="L3477" s="2" t="s">
        <v>38</v>
      </c>
      <c r="M3477" s="2" t="s">
        <v>39</v>
      </c>
      <c r="N3477" s="2" t="s">
        <v>38</v>
      </c>
      <c r="O3477" s="2" t="s">
        <v>38</v>
      </c>
      <c r="P3477" s="2" t="s">
        <v>39</v>
      </c>
      <c r="Q3477" s="2" t="s">
        <v>39</v>
      </c>
      <c r="R3477" s="2" t="s">
        <v>39</v>
      </c>
      <c r="S3477" s="2" t="s">
        <v>38</v>
      </c>
      <c r="T3477" s="2" t="s">
        <v>39</v>
      </c>
      <c r="U3477" s="2" t="s">
        <v>39</v>
      </c>
      <c r="V3477" s="2" t="s">
        <v>39</v>
      </c>
      <c r="W3477" s="2" t="s">
        <v>39</v>
      </c>
      <c r="X3477" s="2" t="s">
        <v>39</v>
      </c>
      <c r="Y3477" s="2" t="s">
        <v>39</v>
      </c>
      <c r="Z3477" s="2" t="s">
        <v>39</v>
      </c>
      <c r="AA3477" s="2" t="s">
        <v>39</v>
      </c>
      <c r="AB3477" s="2" t="s">
        <v>39</v>
      </c>
      <c r="AC3477" s="2" t="s">
        <v>38</v>
      </c>
      <c r="AD3477" s="2" t="s">
        <v>38</v>
      </c>
      <c r="AE3477" s="2" t="s">
        <v>40</v>
      </c>
    </row>
    <row r="3478" spans="1:31" ht="409.5">
      <c r="A3478" s="2">
        <v>2695592</v>
      </c>
      <c r="B3478" s="2">
        <f>HYPERLINK("https://platform.v2.vetology.net/cases/2695592/screening-report/1?type=pdf&amp;v=v6&amp;scorecard=1&amp;secret_key=BX%25IJ%24%2F65ieZ%29f6", 2695592)</f>
        <v>2695592</v>
      </c>
      <c r="C3478" s="2">
        <f>HYPERLINK("https://platform.v2.vetology.net/report/v/final/"&amp;2695592, 2695592)</f>
        <v>2695592</v>
      </c>
      <c r="D3478" s="2" t="s">
        <v>11011</v>
      </c>
      <c r="E3478" s="2" t="s">
        <v>11012</v>
      </c>
      <c r="F3478" s="2" t="s">
        <v>11013</v>
      </c>
      <c r="G3478" s="2" t="s">
        <v>170</v>
      </c>
      <c r="H3478" s="2" t="s">
        <v>11014</v>
      </c>
      <c r="I3478" s="2" t="s">
        <v>73</v>
      </c>
      <c r="J3478" s="2" t="s">
        <v>74</v>
      </c>
      <c r="K3478" s="2" t="s">
        <v>38</v>
      </c>
      <c r="L3478" s="2" t="s">
        <v>38</v>
      </c>
      <c r="M3478" s="2" t="s">
        <v>38</v>
      </c>
      <c r="N3478" s="2" t="s">
        <v>38</v>
      </c>
      <c r="O3478" s="2" t="s">
        <v>38</v>
      </c>
      <c r="P3478" s="2" t="s">
        <v>38</v>
      </c>
      <c r="Q3478" s="2" t="s">
        <v>38</v>
      </c>
      <c r="R3478" s="2" t="s">
        <v>38</v>
      </c>
      <c r="S3478" s="2" t="s">
        <v>38</v>
      </c>
      <c r="T3478" s="2" t="s">
        <v>38</v>
      </c>
      <c r="U3478" s="2" t="s">
        <v>38</v>
      </c>
      <c r="V3478" s="2" t="s">
        <v>38</v>
      </c>
      <c r="W3478" s="2" t="s">
        <v>38</v>
      </c>
      <c r="X3478" s="2" t="s">
        <v>38</v>
      </c>
      <c r="Y3478" s="2" t="s">
        <v>38</v>
      </c>
      <c r="Z3478" s="2" t="s">
        <v>38</v>
      </c>
      <c r="AA3478" s="2" t="s">
        <v>38</v>
      </c>
      <c r="AB3478" s="2" t="s">
        <v>39</v>
      </c>
      <c r="AC3478" s="2" t="s">
        <v>38</v>
      </c>
      <c r="AD3478" s="2" t="s">
        <v>39</v>
      </c>
      <c r="AE3478" s="2"/>
    </row>
    <row r="3479" spans="1:31" ht="409.5">
      <c r="A3479" s="2">
        <v>2695571</v>
      </c>
      <c r="B3479" s="2">
        <f>HYPERLINK("https://platform.v2.vetology.net/cases/2695571/screening-report/1?type=pdf&amp;v=v6&amp;scorecard=1&amp;secret_key=BX%25IJ%24%2F65ieZ%29f6", 2695571)</f>
        <v>2695571</v>
      </c>
      <c r="C3479" s="2">
        <f>HYPERLINK("https://platform.v2.vetology.net/report/v/final/"&amp;2695571, 2695571)</f>
        <v>2695571</v>
      </c>
      <c r="D3479" s="2" t="s">
        <v>11015</v>
      </c>
      <c r="E3479" s="2" t="s">
        <v>11016</v>
      </c>
      <c r="F3479" s="2" t="s">
        <v>3440</v>
      </c>
      <c r="G3479" s="2" t="s">
        <v>170</v>
      </c>
      <c r="H3479" s="2" t="s">
        <v>69</v>
      </c>
      <c r="I3479" s="2" t="s">
        <v>46</v>
      </c>
      <c r="J3479" s="2"/>
      <c r="K3479" s="2" t="s">
        <v>39</v>
      </c>
      <c r="L3479" s="2" t="s">
        <v>39</v>
      </c>
      <c r="M3479" s="2" t="s">
        <v>39</v>
      </c>
      <c r="N3479" s="2" t="s">
        <v>39</v>
      </c>
      <c r="O3479" s="2" t="s">
        <v>39</v>
      </c>
      <c r="P3479" s="2" t="s">
        <v>39</v>
      </c>
      <c r="Q3479" s="2" t="s">
        <v>39</v>
      </c>
      <c r="R3479" s="2" t="s">
        <v>39</v>
      </c>
      <c r="S3479" s="2" t="s">
        <v>39</v>
      </c>
      <c r="T3479" s="2" t="s">
        <v>39</v>
      </c>
      <c r="U3479" s="2" t="s">
        <v>39</v>
      </c>
      <c r="V3479" s="2" t="s">
        <v>39</v>
      </c>
      <c r="W3479" s="2" t="s">
        <v>39</v>
      </c>
      <c r="X3479" s="2" t="s">
        <v>39</v>
      </c>
      <c r="Y3479" s="2" t="s">
        <v>39</v>
      </c>
      <c r="Z3479" s="2" t="s">
        <v>39</v>
      </c>
      <c r="AA3479" s="2" t="s">
        <v>39</v>
      </c>
      <c r="AB3479" s="2" t="s">
        <v>39</v>
      </c>
      <c r="AC3479" s="2" t="s">
        <v>39</v>
      </c>
      <c r="AD3479" s="2" t="s">
        <v>39</v>
      </c>
      <c r="AE3479" s="2" t="s">
        <v>40</v>
      </c>
    </row>
    <row r="3480" spans="1:31" ht="409.5">
      <c r="A3480" s="2">
        <v>2695570</v>
      </c>
      <c r="B3480" s="2">
        <f>HYPERLINK("https://platform.v2.vetology.net/cases/2695570/screening-report/1?type=pdf&amp;v=v6&amp;scorecard=1&amp;secret_key=BX%25IJ%24%2F65ieZ%29f6", 2695570)</f>
        <v>2695570</v>
      </c>
      <c r="C3480" s="2">
        <f>HYPERLINK("https://platform.v2.vetology.net/report/v/final/"&amp;2695570, 2695570)</f>
        <v>2695570</v>
      </c>
      <c r="D3480" s="2" t="s">
        <v>11017</v>
      </c>
      <c r="E3480" s="2" t="s">
        <v>11018</v>
      </c>
      <c r="F3480" s="2" t="s">
        <v>11019</v>
      </c>
      <c r="G3480" s="2" t="s">
        <v>53</v>
      </c>
      <c r="H3480" s="2" t="s">
        <v>11020</v>
      </c>
      <c r="I3480" s="2" t="s">
        <v>36</v>
      </c>
      <c r="J3480" s="2" t="s">
        <v>37</v>
      </c>
      <c r="K3480" s="2" t="s">
        <v>38</v>
      </c>
      <c r="L3480" s="2" t="s">
        <v>39</v>
      </c>
      <c r="M3480" s="2" t="s">
        <v>38</v>
      </c>
      <c r="N3480" s="2" t="s">
        <v>39</v>
      </c>
      <c r="O3480" s="2" t="s">
        <v>38</v>
      </c>
      <c r="P3480" s="2" t="s">
        <v>38</v>
      </c>
      <c r="Q3480" s="2" t="s">
        <v>39</v>
      </c>
      <c r="R3480" s="2" t="s">
        <v>39</v>
      </c>
      <c r="S3480" s="2" t="s">
        <v>39</v>
      </c>
      <c r="T3480" s="2" t="s">
        <v>38</v>
      </c>
      <c r="U3480" s="2" t="s">
        <v>39</v>
      </c>
      <c r="V3480" s="2" t="s">
        <v>38</v>
      </c>
      <c r="W3480" s="2" t="s">
        <v>38</v>
      </c>
      <c r="X3480" s="2" t="s">
        <v>39</v>
      </c>
      <c r="Y3480" s="2" t="s">
        <v>39</v>
      </c>
      <c r="Z3480" s="2" t="s">
        <v>38</v>
      </c>
      <c r="AA3480" s="2" t="s">
        <v>38</v>
      </c>
      <c r="AB3480" s="2" t="s">
        <v>38</v>
      </c>
      <c r="AC3480" s="2" t="s">
        <v>38</v>
      </c>
      <c r="AD3480" s="2" t="s">
        <v>39</v>
      </c>
      <c r="AE3480" s="2" t="s">
        <v>40</v>
      </c>
    </row>
    <row r="3481" spans="1:31" ht="409.5">
      <c r="A3481" s="2">
        <v>2695557</v>
      </c>
      <c r="B3481" s="2">
        <f>HYPERLINK("https://platform.v2.vetology.net/cases/2695557/screening-report/1?type=pdf&amp;v=v6&amp;scorecard=1&amp;secret_key=BX%25IJ%24%2F65ieZ%29f6", 2695557)</f>
        <v>2695557</v>
      </c>
      <c r="C3481" s="2">
        <f>HYPERLINK("https://platform.v2.vetology.net/report/v/final/"&amp;2695557, 2695557)</f>
        <v>2695557</v>
      </c>
      <c r="D3481" s="2" t="s">
        <v>11021</v>
      </c>
      <c r="E3481" s="2" t="s">
        <v>11022</v>
      </c>
      <c r="F3481" s="2" t="s">
        <v>43</v>
      </c>
      <c r="G3481" s="2" t="s">
        <v>100</v>
      </c>
      <c r="H3481" s="2" t="s">
        <v>11023</v>
      </c>
      <c r="I3481" s="2" t="s">
        <v>129</v>
      </c>
      <c r="J3481" s="2" t="s">
        <v>74</v>
      </c>
      <c r="K3481" s="2" t="s">
        <v>38</v>
      </c>
      <c r="L3481" s="2" t="s">
        <v>38</v>
      </c>
      <c r="M3481" s="2" t="s">
        <v>38</v>
      </c>
      <c r="N3481" s="2" t="s">
        <v>38</v>
      </c>
      <c r="O3481" s="2" t="s">
        <v>38</v>
      </c>
      <c r="P3481" s="2" t="s">
        <v>38</v>
      </c>
      <c r="Q3481" s="2" t="s">
        <v>38</v>
      </c>
      <c r="R3481" s="2" t="s">
        <v>38</v>
      </c>
      <c r="S3481" s="2" t="s">
        <v>38</v>
      </c>
      <c r="T3481" s="2" t="s">
        <v>38</v>
      </c>
      <c r="U3481" s="2" t="s">
        <v>39</v>
      </c>
      <c r="V3481" s="2" t="s">
        <v>38</v>
      </c>
      <c r="W3481" s="2" t="s">
        <v>38</v>
      </c>
      <c r="X3481" s="2" t="s">
        <v>39</v>
      </c>
      <c r="Y3481" s="2" t="s">
        <v>39</v>
      </c>
      <c r="Z3481" s="2" t="s">
        <v>38</v>
      </c>
      <c r="AA3481" s="2" t="s">
        <v>38</v>
      </c>
      <c r="AB3481" s="2" t="s">
        <v>38</v>
      </c>
      <c r="AC3481" s="2" t="s">
        <v>38</v>
      </c>
      <c r="AD3481" s="2" t="s">
        <v>38</v>
      </c>
      <c r="AE3481" s="2" t="s">
        <v>40</v>
      </c>
    </row>
    <row r="3482" spans="1:31" ht="409.5">
      <c r="A3482" s="2">
        <v>2695546</v>
      </c>
      <c r="B3482" s="2">
        <f>HYPERLINK("https://platform.v2.vetology.net/cases/2695546/screening-report/1?type=pdf&amp;v=v6&amp;scorecard=1&amp;secret_key=BX%25IJ%24%2F65ieZ%29f6", 2695546)</f>
        <v>2695546</v>
      </c>
      <c r="C3482" s="2">
        <f>HYPERLINK("https://platform.v2.vetology.net/report/v/final/"&amp;2695546, 2695546)</f>
        <v>2695546</v>
      </c>
      <c r="D3482" s="2" t="s">
        <v>11024</v>
      </c>
      <c r="E3482" s="2" t="s">
        <v>11025</v>
      </c>
      <c r="F3482" s="2" t="s">
        <v>11026</v>
      </c>
      <c r="G3482" s="2" t="s">
        <v>127</v>
      </c>
      <c r="H3482" s="2" t="s">
        <v>7762</v>
      </c>
      <c r="I3482" s="2" t="s">
        <v>36</v>
      </c>
      <c r="J3482" s="2" t="s">
        <v>37</v>
      </c>
      <c r="K3482" s="2" t="s">
        <v>38</v>
      </c>
      <c r="L3482" s="2" t="s">
        <v>38</v>
      </c>
      <c r="M3482" s="2" t="s">
        <v>38</v>
      </c>
      <c r="N3482" s="2" t="s">
        <v>38</v>
      </c>
      <c r="O3482" s="2" t="s">
        <v>38</v>
      </c>
      <c r="P3482" s="2" t="s">
        <v>39</v>
      </c>
      <c r="Q3482" s="2" t="s">
        <v>39</v>
      </c>
      <c r="R3482" s="2" t="s">
        <v>38</v>
      </c>
      <c r="S3482" s="2" t="s">
        <v>38</v>
      </c>
      <c r="T3482" s="2" t="s">
        <v>38</v>
      </c>
      <c r="U3482" s="2" t="s">
        <v>39</v>
      </c>
      <c r="V3482" s="2" t="s">
        <v>39</v>
      </c>
      <c r="W3482" s="2" t="s">
        <v>38</v>
      </c>
      <c r="X3482" s="2" t="s">
        <v>39</v>
      </c>
      <c r="Y3482" s="2" t="s">
        <v>39</v>
      </c>
      <c r="Z3482" s="2" t="s">
        <v>38</v>
      </c>
      <c r="AA3482" s="2" t="s">
        <v>39</v>
      </c>
      <c r="AB3482" s="2" t="s">
        <v>39</v>
      </c>
      <c r="AC3482" s="2" t="s">
        <v>39</v>
      </c>
      <c r="AD3482" s="2" t="s">
        <v>38</v>
      </c>
      <c r="AE3482" s="2" t="s">
        <v>39</v>
      </c>
    </row>
    <row r="3483" spans="1:31" ht="409.5">
      <c r="A3483" s="2">
        <v>2695543</v>
      </c>
      <c r="B3483" s="2">
        <f>HYPERLINK("https://platform.v2.vetology.net/cases/2695543/screening-report/1?type=pdf&amp;v=v6&amp;scorecard=1&amp;secret_key=BX%25IJ%24%2F65ieZ%29f6", 2695543)</f>
        <v>2695543</v>
      </c>
      <c r="C3483" s="2">
        <f>HYPERLINK("https://platform.v2.vetology.net/report/v/final/"&amp;2695543, 2695543)</f>
        <v>2695543</v>
      </c>
      <c r="D3483" s="2" t="s">
        <v>11027</v>
      </c>
      <c r="E3483" s="2" t="s">
        <v>11028</v>
      </c>
      <c r="F3483" s="2" t="s">
        <v>11029</v>
      </c>
      <c r="G3483" s="2" t="s">
        <v>170</v>
      </c>
      <c r="H3483" s="2" t="s">
        <v>2450</v>
      </c>
      <c r="I3483" s="2" t="s">
        <v>36</v>
      </c>
      <c r="J3483" s="2" t="s">
        <v>37</v>
      </c>
      <c r="K3483" s="2" t="s">
        <v>38</v>
      </c>
      <c r="L3483" s="2" t="s">
        <v>38</v>
      </c>
      <c r="M3483" s="2" t="s">
        <v>38</v>
      </c>
      <c r="N3483" s="2" t="s">
        <v>38</v>
      </c>
      <c r="O3483" s="2" t="s">
        <v>38</v>
      </c>
      <c r="P3483" s="2" t="s">
        <v>39</v>
      </c>
      <c r="Q3483" s="2" t="s">
        <v>39</v>
      </c>
      <c r="R3483" s="2" t="s">
        <v>38</v>
      </c>
      <c r="S3483" s="2" t="s">
        <v>38</v>
      </c>
      <c r="T3483" s="2" t="s">
        <v>39</v>
      </c>
      <c r="U3483" s="2" t="s">
        <v>38</v>
      </c>
      <c r="V3483" s="2" t="s">
        <v>38</v>
      </c>
      <c r="W3483" s="2" t="s">
        <v>38</v>
      </c>
      <c r="X3483" s="2" t="s">
        <v>39</v>
      </c>
      <c r="Y3483" s="2" t="s">
        <v>38</v>
      </c>
      <c r="Z3483" s="2" t="s">
        <v>38</v>
      </c>
      <c r="AA3483" s="2" t="s">
        <v>38</v>
      </c>
      <c r="AB3483" s="2" t="s">
        <v>39</v>
      </c>
      <c r="AC3483" s="2" t="s">
        <v>38</v>
      </c>
      <c r="AD3483" s="2" t="s">
        <v>38</v>
      </c>
      <c r="AE3483" s="2" t="s">
        <v>39</v>
      </c>
    </row>
    <row r="3484" spans="1:31" ht="409.5">
      <c r="A3484" s="2">
        <v>2695536</v>
      </c>
      <c r="B3484" s="2">
        <f>HYPERLINK("https://platform.v2.vetology.net/cases/2695536/screening-report/1?type=pdf&amp;v=v6&amp;scorecard=1&amp;secret_key=BX%25IJ%24%2F65ieZ%29f6", 2695536)</f>
        <v>2695536</v>
      </c>
      <c r="C3484" s="2">
        <f>HYPERLINK("https://platform.v2.vetology.net/report/v/final/"&amp;2695536, 2695536)</f>
        <v>2695536</v>
      </c>
      <c r="D3484" s="2" t="s">
        <v>11030</v>
      </c>
      <c r="E3484" s="2" t="s">
        <v>11031</v>
      </c>
      <c r="F3484" s="2" t="s">
        <v>11032</v>
      </c>
      <c r="G3484" s="2" t="s">
        <v>170</v>
      </c>
      <c r="H3484" s="2" t="s">
        <v>11033</v>
      </c>
      <c r="I3484" s="2" t="s">
        <v>129</v>
      </c>
      <c r="J3484" s="2" t="s">
        <v>74</v>
      </c>
      <c r="K3484" s="2" t="s">
        <v>39</v>
      </c>
      <c r="L3484" s="2" t="s">
        <v>38</v>
      </c>
      <c r="M3484" s="2" t="s">
        <v>38</v>
      </c>
      <c r="N3484" s="2" t="s">
        <v>38</v>
      </c>
      <c r="O3484" s="2" t="s">
        <v>38</v>
      </c>
      <c r="P3484" s="2" t="s">
        <v>38</v>
      </c>
      <c r="Q3484" s="2" t="s">
        <v>38</v>
      </c>
      <c r="R3484" s="2" t="s">
        <v>38</v>
      </c>
      <c r="S3484" s="2" t="s">
        <v>38</v>
      </c>
      <c r="T3484" s="2" t="s">
        <v>38</v>
      </c>
      <c r="U3484" s="2" t="s">
        <v>39</v>
      </c>
      <c r="V3484" s="2" t="s">
        <v>39</v>
      </c>
      <c r="W3484" s="2" t="s">
        <v>38</v>
      </c>
      <c r="X3484" s="2" t="s">
        <v>38</v>
      </c>
      <c r="Y3484" s="2" t="s">
        <v>39</v>
      </c>
      <c r="Z3484" s="2" t="s">
        <v>38</v>
      </c>
      <c r="AA3484" s="2" t="s">
        <v>38</v>
      </c>
      <c r="AB3484" s="2" t="s">
        <v>38</v>
      </c>
      <c r="AC3484" s="2" t="s">
        <v>38</v>
      </c>
      <c r="AD3484" s="2" t="s">
        <v>38</v>
      </c>
      <c r="AE3484" s="2" t="s">
        <v>39</v>
      </c>
    </row>
    <row r="3485" spans="1:31" ht="409.5">
      <c r="A3485" s="2">
        <v>2695526</v>
      </c>
      <c r="B3485" s="2">
        <f>HYPERLINK("https://platform.v2.vetology.net/cases/2695526/screening-report/1?type=pdf&amp;v=v6&amp;scorecard=1&amp;secret_key=BX%25IJ%24%2F65ieZ%29f6", 2695526)</f>
        <v>2695526</v>
      </c>
      <c r="C3485" s="2">
        <f>HYPERLINK("https://platform.v2.vetology.net/report/v/final/"&amp;2695526, 2695526)</f>
        <v>2695526</v>
      </c>
      <c r="D3485" s="2" t="s">
        <v>11034</v>
      </c>
      <c r="E3485" s="2" t="s">
        <v>11035</v>
      </c>
      <c r="F3485" s="2" t="s">
        <v>11036</v>
      </c>
      <c r="G3485" s="2" t="s">
        <v>34</v>
      </c>
      <c r="H3485" s="2" t="s">
        <v>1985</v>
      </c>
      <c r="I3485" s="2" t="s">
        <v>36</v>
      </c>
      <c r="J3485" s="2" t="s">
        <v>37</v>
      </c>
      <c r="K3485" s="2" t="s">
        <v>39</v>
      </c>
      <c r="L3485" s="2" t="s">
        <v>38</v>
      </c>
      <c r="M3485" s="2" t="s">
        <v>38</v>
      </c>
      <c r="N3485" s="2" t="s">
        <v>38</v>
      </c>
      <c r="O3485" s="2" t="s">
        <v>38</v>
      </c>
      <c r="P3485" s="2" t="s">
        <v>39</v>
      </c>
      <c r="Q3485" s="2" t="s">
        <v>38</v>
      </c>
      <c r="R3485" s="2" t="s">
        <v>39</v>
      </c>
      <c r="S3485" s="2" t="s">
        <v>39</v>
      </c>
      <c r="T3485" s="2" t="s">
        <v>39</v>
      </c>
      <c r="U3485" s="2" t="s">
        <v>39</v>
      </c>
      <c r="V3485" s="2" t="s">
        <v>39</v>
      </c>
      <c r="W3485" s="2" t="s">
        <v>39</v>
      </c>
      <c r="X3485" s="2" t="s">
        <v>39</v>
      </c>
      <c r="Y3485" s="2" t="s">
        <v>39</v>
      </c>
      <c r="Z3485" s="2" t="s">
        <v>38</v>
      </c>
      <c r="AA3485" s="2" t="s">
        <v>39</v>
      </c>
      <c r="AB3485" s="2" t="s">
        <v>39</v>
      </c>
      <c r="AC3485" s="2" t="s">
        <v>38</v>
      </c>
      <c r="AD3485" s="2" t="s">
        <v>39</v>
      </c>
      <c r="AE3485" s="2" t="s">
        <v>39</v>
      </c>
    </row>
    <row r="3486" spans="1:31" ht="409.5">
      <c r="A3486" s="2">
        <v>2695514</v>
      </c>
      <c r="B3486" s="2">
        <f>HYPERLINK("https://platform.v2.vetology.net/cases/2695514/screening-report/1?type=pdf&amp;v=v6&amp;scorecard=1&amp;secret_key=BX%25IJ%24%2F65ieZ%29f6", 2695514)</f>
        <v>2695514</v>
      </c>
      <c r="C3486" s="2">
        <f>HYPERLINK("https://platform.v2.vetology.net/report/v/final/"&amp;2695514, 2695514)</f>
        <v>2695514</v>
      </c>
      <c r="D3486" s="2" t="s">
        <v>11037</v>
      </c>
      <c r="E3486" s="2" t="s">
        <v>2593</v>
      </c>
      <c r="F3486" s="2" t="s">
        <v>229</v>
      </c>
      <c r="G3486" s="2" t="s">
        <v>170</v>
      </c>
      <c r="H3486" s="2" t="s">
        <v>7027</v>
      </c>
      <c r="I3486" s="2" t="s">
        <v>36</v>
      </c>
      <c r="J3486" s="2" t="s">
        <v>37</v>
      </c>
      <c r="K3486" s="2" t="s">
        <v>38</v>
      </c>
      <c r="L3486" s="2" t="s">
        <v>38</v>
      </c>
      <c r="M3486" s="2" t="s">
        <v>39</v>
      </c>
      <c r="N3486" s="2" t="s">
        <v>39</v>
      </c>
      <c r="O3486" s="2" t="s">
        <v>38</v>
      </c>
      <c r="P3486" s="2" t="s">
        <v>39</v>
      </c>
      <c r="Q3486" s="2" t="s">
        <v>39</v>
      </c>
      <c r="R3486" s="2" t="s">
        <v>39</v>
      </c>
      <c r="S3486" s="2" t="s">
        <v>39</v>
      </c>
      <c r="T3486" s="2" t="s">
        <v>39</v>
      </c>
      <c r="U3486" s="2" t="s">
        <v>38</v>
      </c>
      <c r="V3486" s="2" t="s">
        <v>38</v>
      </c>
      <c r="W3486" s="2" t="s">
        <v>38</v>
      </c>
      <c r="X3486" s="2" t="s">
        <v>39</v>
      </c>
      <c r="Y3486" s="2" t="s">
        <v>39</v>
      </c>
      <c r="Z3486" s="2" t="s">
        <v>38</v>
      </c>
      <c r="AA3486" s="2" t="s">
        <v>39</v>
      </c>
      <c r="AB3486" s="2" t="s">
        <v>39</v>
      </c>
      <c r="AC3486" s="2" t="s">
        <v>38</v>
      </c>
      <c r="AD3486" s="2" t="s">
        <v>38</v>
      </c>
      <c r="AE3486" s="2" t="s">
        <v>39</v>
      </c>
    </row>
    <row r="3487" spans="1:31" ht="409.5">
      <c r="A3487" s="2">
        <v>2695511</v>
      </c>
      <c r="B3487" s="2">
        <f>HYPERLINK("https://platform.v2.vetology.net/cases/2695511/screening-report/1?type=pdf&amp;v=v6&amp;scorecard=1&amp;secret_key=BX%25IJ%24%2F65ieZ%29f6", 2695511)</f>
        <v>2695511</v>
      </c>
      <c r="C3487" s="2">
        <f>HYPERLINK("https://platform.v2.vetology.net/report/v/final/"&amp;2695511, 2695511)</f>
        <v>2695511</v>
      </c>
      <c r="D3487" s="2" t="s">
        <v>11038</v>
      </c>
      <c r="E3487" s="2" t="s">
        <v>11039</v>
      </c>
      <c r="F3487" s="2" t="s">
        <v>11040</v>
      </c>
      <c r="G3487" s="2" t="s">
        <v>127</v>
      </c>
      <c r="H3487" s="2" t="s">
        <v>11041</v>
      </c>
      <c r="I3487" s="2" t="s">
        <v>36</v>
      </c>
      <c r="J3487" s="2" t="s">
        <v>37</v>
      </c>
      <c r="K3487" s="2" t="s">
        <v>38</v>
      </c>
      <c r="L3487" s="2" t="s">
        <v>38</v>
      </c>
      <c r="M3487" s="2" t="s">
        <v>38</v>
      </c>
      <c r="N3487" s="2" t="s">
        <v>39</v>
      </c>
      <c r="O3487" s="2" t="s">
        <v>39</v>
      </c>
      <c r="P3487" s="2" t="s">
        <v>39</v>
      </c>
      <c r="Q3487" s="2" t="s">
        <v>39</v>
      </c>
      <c r="R3487" s="2" t="s">
        <v>38</v>
      </c>
      <c r="S3487" s="2" t="s">
        <v>38</v>
      </c>
      <c r="T3487" s="2" t="s">
        <v>38</v>
      </c>
      <c r="U3487" s="2" t="s">
        <v>38</v>
      </c>
      <c r="V3487" s="2" t="s">
        <v>38</v>
      </c>
      <c r="W3487" s="2" t="s">
        <v>38</v>
      </c>
      <c r="X3487" s="2" t="s">
        <v>39</v>
      </c>
      <c r="Y3487" s="2" t="s">
        <v>39</v>
      </c>
      <c r="Z3487" s="2" t="s">
        <v>38</v>
      </c>
      <c r="AA3487" s="2" t="s">
        <v>38</v>
      </c>
      <c r="AB3487" s="2" t="s">
        <v>39</v>
      </c>
      <c r="AC3487" s="2" t="s">
        <v>38</v>
      </c>
      <c r="AD3487" s="2" t="s">
        <v>39</v>
      </c>
      <c r="AE3487" s="2" t="s">
        <v>40</v>
      </c>
    </row>
    <row r="3488" spans="1:31" ht="409.5">
      <c r="A3488" s="2">
        <v>2695501</v>
      </c>
      <c r="B3488" s="2">
        <f>HYPERLINK("https://platform.v2.vetology.net/cases/2695501/screening-report/1?type=pdf&amp;v=v6&amp;scorecard=1&amp;secret_key=BX%25IJ%24%2F65ieZ%29f6", 2695501)</f>
        <v>2695501</v>
      </c>
      <c r="C3488" s="2">
        <f>HYPERLINK("https://platform.v2.vetology.net/report/v/final/"&amp;2695501, 2695501)</f>
        <v>2695501</v>
      </c>
      <c r="D3488" s="2" t="s">
        <v>11042</v>
      </c>
      <c r="E3488" s="2" t="s">
        <v>11043</v>
      </c>
      <c r="F3488" s="2" t="s">
        <v>11044</v>
      </c>
      <c r="G3488" s="2" t="s">
        <v>53</v>
      </c>
      <c r="H3488" s="2" t="s">
        <v>11045</v>
      </c>
      <c r="I3488" s="2" t="s">
        <v>73</v>
      </c>
      <c r="J3488" s="2" t="s">
        <v>74</v>
      </c>
      <c r="K3488" s="2" t="s">
        <v>38</v>
      </c>
      <c r="L3488" s="2" t="s">
        <v>38</v>
      </c>
      <c r="M3488" s="2" t="s">
        <v>38</v>
      </c>
      <c r="N3488" s="2" t="s">
        <v>38</v>
      </c>
      <c r="O3488" s="2" t="s">
        <v>38</v>
      </c>
      <c r="P3488" s="2" t="s">
        <v>38</v>
      </c>
      <c r="Q3488" s="2" t="s">
        <v>38</v>
      </c>
      <c r="R3488" s="2" t="s">
        <v>38</v>
      </c>
      <c r="S3488" s="2" t="s">
        <v>38</v>
      </c>
      <c r="T3488" s="2" t="s">
        <v>38</v>
      </c>
      <c r="U3488" s="2" t="s">
        <v>38</v>
      </c>
      <c r="V3488" s="2" t="s">
        <v>38</v>
      </c>
      <c r="W3488" s="2" t="s">
        <v>38</v>
      </c>
      <c r="X3488" s="2" t="s">
        <v>38</v>
      </c>
      <c r="Y3488" s="2" t="s">
        <v>38</v>
      </c>
      <c r="Z3488" s="2" t="s">
        <v>38</v>
      </c>
      <c r="AA3488" s="2" t="s">
        <v>38</v>
      </c>
      <c r="AB3488" s="2" t="s">
        <v>38</v>
      </c>
      <c r="AC3488" s="2" t="s">
        <v>38</v>
      </c>
      <c r="AD3488" s="2" t="s">
        <v>38</v>
      </c>
      <c r="AE3488" s="2" t="s">
        <v>39</v>
      </c>
    </row>
    <row r="3489" spans="1:31" ht="409.5">
      <c r="A3489" s="2">
        <v>2695485</v>
      </c>
      <c r="B3489" s="2">
        <f>HYPERLINK("https://platform.v2.vetology.net/cases/2695485/screening-report/1?type=pdf&amp;v=v6&amp;scorecard=1&amp;secret_key=BX%25IJ%24%2F65ieZ%29f6", 2695485)</f>
        <v>2695485</v>
      </c>
      <c r="C3489" s="2">
        <f>HYPERLINK("https://platform.v2.vetology.net/report/v/final/"&amp;2695485, 2695485)</f>
        <v>2695485</v>
      </c>
      <c r="D3489" s="2" t="s">
        <v>11046</v>
      </c>
      <c r="E3489" s="2" t="s">
        <v>11047</v>
      </c>
      <c r="F3489" s="2" t="s">
        <v>11048</v>
      </c>
      <c r="G3489" s="2" t="s">
        <v>34</v>
      </c>
      <c r="H3489" s="2" t="s">
        <v>4513</v>
      </c>
      <c r="I3489" s="2" t="s">
        <v>36</v>
      </c>
      <c r="J3489" s="2" t="s">
        <v>37</v>
      </c>
      <c r="K3489" s="2" t="s">
        <v>38</v>
      </c>
      <c r="L3489" s="2" t="s">
        <v>39</v>
      </c>
      <c r="M3489" s="2" t="s">
        <v>39</v>
      </c>
      <c r="N3489" s="2" t="s">
        <v>39</v>
      </c>
      <c r="O3489" s="2" t="s">
        <v>38</v>
      </c>
      <c r="P3489" s="2" t="s">
        <v>39</v>
      </c>
      <c r="Q3489" s="2" t="s">
        <v>39</v>
      </c>
      <c r="R3489" s="2" t="s">
        <v>39</v>
      </c>
      <c r="S3489" s="2" t="s">
        <v>39</v>
      </c>
      <c r="T3489" s="2" t="s">
        <v>38</v>
      </c>
      <c r="U3489" s="2" t="s">
        <v>39</v>
      </c>
      <c r="V3489" s="2" t="s">
        <v>39</v>
      </c>
      <c r="W3489" s="2" t="s">
        <v>38</v>
      </c>
      <c r="X3489" s="2" t="s">
        <v>39</v>
      </c>
      <c r="Y3489" s="2" t="s">
        <v>39</v>
      </c>
      <c r="Z3489" s="2" t="s">
        <v>38</v>
      </c>
      <c r="AA3489" s="2" t="s">
        <v>38</v>
      </c>
      <c r="AB3489" s="2" t="s">
        <v>39</v>
      </c>
      <c r="AC3489" s="2" t="s">
        <v>39</v>
      </c>
      <c r="AD3489" s="2" t="s">
        <v>38</v>
      </c>
      <c r="AE3489" s="2" t="s">
        <v>39</v>
      </c>
    </row>
    <row r="3490" spans="1:31" ht="409.5">
      <c r="A3490" s="2">
        <v>2695446</v>
      </c>
      <c r="B3490" s="2">
        <f>HYPERLINK("https://platform.v2.vetology.net/cases/2695446/screening-report/1?type=pdf&amp;v=v6&amp;scorecard=1&amp;secret_key=BX%25IJ%24%2F65ieZ%29f6", 2695446)</f>
        <v>2695446</v>
      </c>
      <c r="C3490" s="2">
        <f>HYPERLINK("https://platform.v2.vetology.net/report/v/final/"&amp;2695446, 2695446)</f>
        <v>2695446</v>
      </c>
      <c r="D3490" s="2" t="s">
        <v>11049</v>
      </c>
      <c r="E3490" s="2" t="s">
        <v>11050</v>
      </c>
      <c r="F3490" s="2" t="s">
        <v>11051</v>
      </c>
      <c r="G3490" s="2" t="s">
        <v>127</v>
      </c>
      <c r="H3490" s="2" t="s">
        <v>10928</v>
      </c>
      <c r="I3490" s="2" t="s">
        <v>73</v>
      </c>
      <c r="J3490" s="2" t="s">
        <v>74</v>
      </c>
      <c r="K3490" s="2" t="s">
        <v>38</v>
      </c>
      <c r="L3490" s="2" t="s">
        <v>38</v>
      </c>
      <c r="M3490" s="2" t="s">
        <v>38</v>
      </c>
      <c r="N3490" s="2" t="s">
        <v>38</v>
      </c>
      <c r="O3490" s="2" t="s">
        <v>38</v>
      </c>
      <c r="P3490" s="2" t="s">
        <v>38</v>
      </c>
      <c r="Q3490" s="2" t="s">
        <v>38</v>
      </c>
      <c r="R3490" s="2" t="s">
        <v>38</v>
      </c>
      <c r="S3490" s="2" t="s">
        <v>38</v>
      </c>
      <c r="T3490" s="2" t="s">
        <v>38</v>
      </c>
      <c r="U3490" s="2" t="s">
        <v>38</v>
      </c>
      <c r="V3490" s="2" t="s">
        <v>38</v>
      </c>
      <c r="W3490" s="2" t="s">
        <v>38</v>
      </c>
      <c r="X3490" s="2" t="s">
        <v>38</v>
      </c>
      <c r="Y3490" s="2" t="s">
        <v>38</v>
      </c>
      <c r="Z3490" s="2" t="s">
        <v>38</v>
      </c>
      <c r="AA3490" s="2" t="s">
        <v>38</v>
      </c>
      <c r="AB3490" s="2" t="s">
        <v>38</v>
      </c>
      <c r="AC3490" s="2" t="s">
        <v>38</v>
      </c>
      <c r="AD3490" s="2" t="s">
        <v>38</v>
      </c>
      <c r="AE3490" s="2" t="s">
        <v>40</v>
      </c>
    </row>
    <row r="3491" spans="1:31" ht="409.5">
      <c r="A3491" s="2">
        <v>2695434</v>
      </c>
      <c r="B3491" s="2">
        <f>HYPERLINK("https://platform.v2.vetology.net/cases/2695434/screening-report/1?type=pdf&amp;v=v6&amp;scorecard=1&amp;secret_key=BX%25IJ%24%2F65ieZ%29f6", 2695434)</f>
        <v>2695434</v>
      </c>
      <c r="C3491" s="2">
        <f>HYPERLINK("https://platform.v2.vetology.net/report/v/final/"&amp;2695434, 2695434)</f>
        <v>2695434</v>
      </c>
      <c r="D3491" s="2" t="s">
        <v>11052</v>
      </c>
      <c r="E3491" s="2" t="s">
        <v>11053</v>
      </c>
      <c r="F3491" s="2" t="s">
        <v>11054</v>
      </c>
      <c r="G3491" s="2" t="s">
        <v>127</v>
      </c>
      <c r="H3491" s="2" t="s">
        <v>11055</v>
      </c>
      <c r="I3491" s="2" t="s">
        <v>73</v>
      </c>
      <c r="J3491" s="2" t="s">
        <v>74</v>
      </c>
      <c r="K3491" s="2" t="s">
        <v>38</v>
      </c>
      <c r="L3491" s="2" t="s">
        <v>38</v>
      </c>
      <c r="M3491" s="2" t="s">
        <v>38</v>
      </c>
      <c r="N3491" s="2" t="s">
        <v>38</v>
      </c>
      <c r="O3491" s="2" t="s">
        <v>38</v>
      </c>
      <c r="P3491" s="2" t="s">
        <v>38</v>
      </c>
      <c r="Q3491" s="2" t="s">
        <v>38</v>
      </c>
      <c r="R3491" s="2" t="s">
        <v>38</v>
      </c>
      <c r="S3491" s="2" t="s">
        <v>38</v>
      </c>
      <c r="T3491" s="2" t="s">
        <v>38</v>
      </c>
      <c r="U3491" s="2" t="s">
        <v>39</v>
      </c>
      <c r="V3491" s="2" t="s">
        <v>38</v>
      </c>
      <c r="W3491" s="2" t="s">
        <v>38</v>
      </c>
      <c r="X3491" s="2" t="s">
        <v>38</v>
      </c>
      <c r="Y3491" s="2" t="s">
        <v>38</v>
      </c>
      <c r="Z3491" s="2" t="s">
        <v>38</v>
      </c>
      <c r="AA3491" s="2" t="s">
        <v>38</v>
      </c>
      <c r="AB3491" s="2" t="s">
        <v>38</v>
      </c>
      <c r="AC3491" s="2" t="s">
        <v>38</v>
      </c>
      <c r="AD3491" s="2" t="s">
        <v>38</v>
      </c>
      <c r="AE3491" s="2" t="s">
        <v>40</v>
      </c>
    </row>
    <row r="3492" spans="1:31" ht="409.5">
      <c r="A3492" s="2">
        <v>2695416</v>
      </c>
      <c r="B3492" s="2">
        <f>HYPERLINK("https://platform.v2.vetology.net/cases/2695416/screening-report/1?type=pdf&amp;v=v6&amp;scorecard=1&amp;secret_key=BX%25IJ%24%2F65ieZ%29f6", 2695416)</f>
        <v>2695416</v>
      </c>
      <c r="C3492" s="2">
        <f>HYPERLINK("https://platform.v2.vetology.net/report/v/final/"&amp;2695416, 2695416)</f>
        <v>2695416</v>
      </c>
      <c r="D3492" s="2" t="s">
        <v>11056</v>
      </c>
      <c r="E3492" s="2" t="s">
        <v>11057</v>
      </c>
      <c r="F3492" s="2" t="s">
        <v>11058</v>
      </c>
      <c r="G3492" s="2" t="s">
        <v>53</v>
      </c>
      <c r="H3492" s="2" t="s">
        <v>11059</v>
      </c>
      <c r="I3492" s="2" t="s">
        <v>684</v>
      </c>
      <c r="J3492" s="2" t="s">
        <v>74</v>
      </c>
      <c r="K3492" s="2" t="s">
        <v>38</v>
      </c>
      <c r="L3492" s="2" t="s">
        <v>39</v>
      </c>
      <c r="M3492" s="2" t="s">
        <v>39</v>
      </c>
      <c r="N3492" s="2" t="s">
        <v>39</v>
      </c>
      <c r="O3492" s="2" t="s">
        <v>39</v>
      </c>
      <c r="P3492" s="2" t="s">
        <v>39</v>
      </c>
      <c r="Q3492" s="2" t="s">
        <v>38</v>
      </c>
      <c r="R3492" s="2" t="s">
        <v>39</v>
      </c>
      <c r="S3492" s="2" t="s">
        <v>39</v>
      </c>
      <c r="T3492" s="2" t="s">
        <v>39</v>
      </c>
      <c r="U3492" s="2" t="s">
        <v>38</v>
      </c>
      <c r="V3492" s="2" t="s">
        <v>38</v>
      </c>
      <c r="W3492" s="2" t="s">
        <v>38</v>
      </c>
      <c r="X3492" s="2" t="s">
        <v>39</v>
      </c>
      <c r="Y3492" s="2" t="s">
        <v>39</v>
      </c>
      <c r="Z3492" s="2" t="s">
        <v>39</v>
      </c>
      <c r="AA3492" s="2" t="s">
        <v>38</v>
      </c>
      <c r="AB3492" s="2" t="s">
        <v>39</v>
      </c>
      <c r="AC3492" s="2" t="s">
        <v>38</v>
      </c>
      <c r="AD3492" s="2" t="s">
        <v>39</v>
      </c>
      <c r="AE3492" s="2" t="s">
        <v>39</v>
      </c>
    </row>
    <row r="3493" spans="1:31" ht="409.5">
      <c r="A3493" s="2">
        <v>2695378</v>
      </c>
      <c r="B3493" s="2">
        <f>HYPERLINK("https://platform.v2.vetology.net/cases/2695378/screening-report/1?type=pdf&amp;v=v6&amp;scorecard=1&amp;secret_key=BX%25IJ%24%2F65ieZ%29f6", 2695378)</f>
        <v>2695378</v>
      </c>
      <c r="C3493" s="2">
        <f>HYPERLINK("https://platform.v2.vetology.net/report/v/final/"&amp;2695378, 2695378)</f>
        <v>2695378</v>
      </c>
      <c r="D3493" s="2" t="s">
        <v>11060</v>
      </c>
      <c r="E3493" s="2" t="s">
        <v>11061</v>
      </c>
      <c r="F3493" s="2" t="s">
        <v>11062</v>
      </c>
      <c r="G3493" s="2" t="s">
        <v>127</v>
      </c>
      <c r="H3493" s="2" t="s">
        <v>11063</v>
      </c>
      <c r="I3493" s="2" t="s">
        <v>257</v>
      </c>
      <c r="J3493" s="2" t="s">
        <v>74</v>
      </c>
      <c r="K3493" s="2" t="s">
        <v>38</v>
      </c>
      <c r="L3493" s="2" t="s">
        <v>38</v>
      </c>
      <c r="M3493" s="2" t="s">
        <v>38</v>
      </c>
      <c r="N3493" s="2" t="s">
        <v>38</v>
      </c>
      <c r="O3493" s="2" t="s">
        <v>38</v>
      </c>
      <c r="P3493" s="2" t="s">
        <v>38</v>
      </c>
      <c r="Q3493" s="2" t="s">
        <v>38</v>
      </c>
      <c r="R3493" s="2" t="s">
        <v>38</v>
      </c>
      <c r="S3493" s="2" t="s">
        <v>38</v>
      </c>
      <c r="T3493" s="2" t="s">
        <v>38</v>
      </c>
      <c r="U3493" s="2" t="s">
        <v>38</v>
      </c>
      <c r="V3493" s="2" t="s">
        <v>38</v>
      </c>
      <c r="W3493" s="2" t="s">
        <v>38</v>
      </c>
      <c r="X3493" s="2" t="s">
        <v>38</v>
      </c>
      <c r="Y3493" s="2" t="s">
        <v>38</v>
      </c>
      <c r="Z3493" s="2" t="s">
        <v>38</v>
      </c>
      <c r="AA3493" s="2" t="s">
        <v>38</v>
      </c>
      <c r="AB3493" s="2" t="s">
        <v>38</v>
      </c>
      <c r="AC3493" s="2" t="s">
        <v>38</v>
      </c>
      <c r="AD3493" s="2" t="s">
        <v>38</v>
      </c>
      <c r="AE3493" s="2" t="s">
        <v>40</v>
      </c>
    </row>
    <row r="3494" spans="1:31" ht="409.5">
      <c r="A3494" s="2">
        <v>2695366</v>
      </c>
      <c r="B3494" s="2">
        <f>HYPERLINK("https://platform.v2.vetology.net/cases/2695366/screening-report/1?type=pdf&amp;v=v6&amp;scorecard=1&amp;secret_key=BX%25IJ%24%2F65ieZ%29f6", 2695366)</f>
        <v>2695366</v>
      </c>
      <c r="C3494" s="2">
        <f>HYPERLINK("https://platform.v2.vetology.net/report/v/final/"&amp;2695366, 2695366)</f>
        <v>2695366</v>
      </c>
      <c r="D3494" s="2" t="s">
        <v>2249</v>
      </c>
      <c r="E3494" s="2" t="s">
        <v>1457</v>
      </c>
      <c r="F3494" s="2"/>
      <c r="G3494" s="2" t="s">
        <v>100</v>
      </c>
      <c r="H3494" s="2" t="s">
        <v>394</v>
      </c>
      <c r="I3494" s="2" t="s">
        <v>59</v>
      </c>
      <c r="J3494" s="2" t="s">
        <v>37</v>
      </c>
      <c r="K3494" s="2" t="s">
        <v>38</v>
      </c>
      <c r="L3494" s="2" t="s">
        <v>39</v>
      </c>
      <c r="M3494" s="2" t="s">
        <v>39</v>
      </c>
      <c r="N3494" s="2" t="s">
        <v>39</v>
      </c>
      <c r="O3494" s="2" t="s">
        <v>39</v>
      </c>
      <c r="P3494" s="2" t="s">
        <v>39</v>
      </c>
      <c r="Q3494" s="2" t="s">
        <v>39</v>
      </c>
      <c r="R3494" s="2" t="s">
        <v>39</v>
      </c>
      <c r="S3494" s="2" t="s">
        <v>39</v>
      </c>
      <c r="T3494" s="2" t="s">
        <v>39</v>
      </c>
      <c r="U3494" s="2" t="s">
        <v>38</v>
      </c>
      <c r="V3494" s="2" t="s">
        <v>38</v>
      </c>
      <c r="W3494" s="2" t="s">
        <v>39</v>
      </c>
      <c r="X3494" s="2" t="s">
        <v>39</v>
      </c>
      <c r="Y3494" s="2" t="s">
        <v>39</v>
      </c>
      <c r="Z3494" s="2" t="s">
        <v>39</v>
      </c>
      <c r="AA3494" s="2" t="s">
        <v>39</v>
      </c>
      <c r="AB3494" s="2" t="s">
        <v>39</v>
      </c>
      <c r="AC3494" s="2" t="s">
        <v>39</v>
      </c>
      <c r="AD3494" s="2" t="s">
        <v>39</v>
      </c>
      <c r="AE3494" s="2" t="s">
        <v>40</v>
      </c>
    </row>
    <row r="3495" spans="1:31" ht="409.5">
      <c r="A3495" s="2">
        <v>2695335</v>
      </c>
      <c r="B3495" s="2">
        <f>HYPERLINK("https://platform.v2.vetology.net/cases/2695335/screening-report/1?type=pdf&amp;v=v6&amp;scorecard=1&amp;secret_key=BX%25IJ%24%2F65ieZ%29f6", 2695335)</f>
        <v>2695335</v>
      </c>
      <c r="C3495" s="2">
        <f>HYPERLINK("https://platform.v2.vetology.net/report/v/final/"&amp;2695335, 2695335)</f>
        <v>2695335</v>
      </c>
      <c r="D3495" s="2" t="s">
        <v>11064</v>
      </c>
      <c r="E3495" s="2" t="s">
        <v>11065</v>
      </c>
      <c r="F3495" s="2" t="s">
        <v>11066</v>
      </c>
      <c r="G3495" s="2" t="s">
        <v>170</v>
      </c>
      <c r="H3495" s="2" t="s">
        <v>11067</v>
      </c>
      <c r="I3495" s="2" t="s">
        <v>73</v>
      </c>
      <c r="J3495" s="2" t="s">
        <v>74</v>
      </c>
      <c r="K3495" s="2" t="s">
        <v>38</v>
      </c>
      <c r="L3495" s="2" t="s">
        <v>38</v>
      </c>
      <c r="M3495" s="2" t="s">
        <v>38</v>
      </c>
      <c r="N3495" s="2" t="s">
        <v>38</v>
      </c>
      <c r="O3495" s="2" t="s">
        <v>38</v>
      </c>
      <c r="P3495" s="2" t="s">
        <v>38</v>
      </c>
      <c r="Q3495" s="2" t="s">
        <v>38</v>
      </c>
      <c r="R3495" s="2" t="s">
        <v>38</v>
      </c>
      <c r="S3495" s="2" t="s">
        <v>38</v>
      </c>
      <c r="T3495" s="2" t="s">
        <v>38</v>
      </c>
      <c r="U3495" s="2" t="s">
        <v>39</v>
      </c>
      <c r="V3495" s="2" t="s">
        <v>38</v>
      </c>
      <c r="W3495" s="2" t="s">
        <v>38</v>
      </c>
      <c r="X3495" s="2" t="s">
        <v>38</v>
      </c>
      <c r="Y3495" s="2" t="s">
        <v>39</v>
      </c>
      <c r="Z3495" s="2" t="s">
        <v>38</v>
      </c>
      <c r="AA3495" s="2" t="s">
        <v>38</v>
      </c>
      <c r="AB3495" s="2" t="s">
        <v>38</v>
      </c>
      <c r="AC3495" s="2" t="s">
        <v>38</v>
      </c>
      <c r="AD3495" s="2" t="s">
        <v>39</v>
      </c>
      <c r="AE3495" s="2" t="s">
        <v>39</v>
      </c>
    </row>
    <row r="3496" spans="1:31" ht="409.5">
      <c r="A3496" s="2">
        <v>2695294</v>
      </c>
      <c r="B3496" s="2">
        <f>HYPERLINK("https://platform.v2.vetology.net/cases/2695294/screening-report/1?type=pdf&amp;v=v6&amp;scorecard=1&amp;secret_key=BX%25IJ%24%2F65ieZ%29f6", 2695294)</f>
        <v>2695294</v>
      </c>
      <c r="C3496" s="2">
        <f>HYPERLINK("https://platform.v2.vetology.net/report/v/final/"&amp;2695294, 2695294)</f>
        <v>2695294</v>
      </c>
      <c r="D3496" s="2" t="s">
        <v>11068</v>
      </c>
      <c r="E3496" s="2" t="s">
        <v>11069</v>
      </c>
      <c r="F3496" s="2" t="s">
        <v>229</v>
      </c>
      <c r="G3496" s="2" t="s">
        <v>170</v>
      </c>
      <c r="H3496" s="2" t="s">
        <v>201</v>
      </c>
      <c r="I3496" s="2" t="s">
        <v>36</v>
      </c>
      <c r="J3496" s="2" t="s">
        <v>37</v>
      </c>
      <c r="K3496" s="2" t="s">
        <v>39</v>
      </c>
      <c r="L3496" s="2" t="s">
        <v>39</v>
      </c>
      <c r="M3496" s="2" t="s">
        <v>38</v>
      </c>
      <c r="N3496" s="2" t="s">
        <v>38</v>
      </c>
      <c r="O3496" s="2" t="s">
        <v>39</v>
      </c>
      <c r="P3496" s="2" t="s">
        <v>39</v>
      </c>
      <c r="Q3496" s="2" t="s">
        <v>39</v>
      </c>
      <c r="R3496" s="2" t="s">
        <v>39</v>
      </c>
      <c r="S3496" s="2" t="s">
        <v>39</v>
      </c>
      <c r="T3496" s="2" t="s">
        <v>38</v>
      </c>
      <c r="U3496" s="2" t="s">
        <v>39</v>
      </c>
      <c r="V3496" s="2" t="s">
        <v>38</v>
      </c>
      <c r="W3496" s="2" t="s">
        <v>39</v>
      </c>
      <c r="X3496" s="2" t="s">
        <v>39</v>
      </c>
      <c r="Y3496" s="2" t="s">
        <v>39</v>
      </c>
      <c r="Z3496" s="2" t="s">
        <v>39</v>
      </c>
      <c r="AA3496" s="2" t="s">
        <v>39</v>
      </c>
      <c r="AB3496" s="2" t="s">
        <v>39</v>
      </c>
      <c r="AC3496" s="2" t="s">
        <v>38</v>
      </c>
      <c r="AD3496" s="2" t="s">
        <v>39</v>
      </c>
      <c r="AE3496" s="2" t="s">
        <v>39</v>
      </c>
    </row>
    <row r="3497" spans="1:31" ht="409.5">
      <c r="A3497" s="2">
        <v>2695254</v>
      </c>
      <c r="B3497" s="2">
        <f>HYPERLINK("https://platform.v2.vetology.net/cases/2695254/screening-report/1?type=pdf&amp;v=v6&amp;scorecard=1&amp;secret_key=BX%25IJ%24%2F65ieZ%29f6", 2695254)</f>
        <v>2695254</v>
      </c>
      <c r="C3497" s="2">
        <f>HYPERLINK("https://platform.v2.vetology.net/report/v/final/"&amp;2695254, 2695254)</f>
        <v>2695254</v>
      </c>
      <c r="D3497" s="2" t="s">
        <v>11070</v>
      </c>
      <c r="E3497" s="2" t="s">
        <v>11071</v>
      </c>
      <c r="F3497" s="2" t="s">
        <v>11072</v>
      </c>
      <c r="G3497" s="2" t="s">
        <v>170</v>
      </c>
      <c r="H3497" s="2" t="s">
        <v>5196</v>
      </c>
      <c r="I3497" s="2" t="s">
        <v>36</v>
      </c>
      <c r="J3497" s="2" t="s">
        <v>37</v>
      </c>
      <c r="K3497" s="2" t="s">
        <v>38</v>
      </c>
      <c r="L3497" s="2" t="s">
        <v>38</v>
      </c>
      <c r="M3497" s="2" t="s">
        <v>39</v>
      </c>
      <c r="N3497" s="2" t="s">
        <v>39</v>
      </c>
      <c r="O3497" s="2" t="s">
        <v>38</v>
      </c>
      <c r="P3497" s="2" t="s">
        <v>39</v>
      </c>
      <c r="Q3497" s="2" t="s">
        <v>39</v>
      </c>
      <c r="R3497" s="2" t="s">
        <v>38</v>
      </c>
      <c r="S3497" s="2" t="s">
        <v>39</v>
      </c>
      <c r="T3497" s="2" t="s">
        <v>39</v>
      </c>
      <c r="U3497" s="2" t="s">
        <v>38</v>
      </c>
      <c r="V3497" s="2" t="s">
        <v>38</v>
      </c>
      <c r="W3497" s="2" t="s">
        <v>38</v>
      </c>
      <c r="X3497" s="2" t="s">
        <v>39</v>
      </c>
      <c r="Y3497" s="2" t="s">
        <v>39</v>
      </c>
      <c r="Z3497" s="2" t="s">
        <v>39</v>
      </c>
      <c r="AA3497" s="2" t="s">
        <v>39</v>
      </c>
      <c r="AB3497" s="2" t="s">
        <v>39</v>
      </c>
      <c r="AC3497" s="2" t="s">
        <v>38</v>
      </c>
      <c r="AD3497" s="2" t="s">
        <v>38</v>
      </c>
      <c r="AE3497" s="2" t="s">
        <v>39</v>
      </c>
    </row>
    <row r="3498" spans="1:31" ht="409.5">
      <c r="A3498" s="2">
        <v>2695253</v>
      </c>
      <c r="B3498" s="2">
        <f>HYPERLINK("https://platform.v2.vetology.net/cases/2695253/screening-report/1?type=pdf&amp;v=v6&amp;scorecard=1&amp;secret_key=BX%25IJ%24%2F65ieZ%29f6", 2695253)</f>
        <v>2695253</v>
      </c>
      <c r="C3498" s="2">
        <f>HYPERLINK("https://platform.v2.vetology.net/report/v/final/"&amp;2695253, 2695253)</f>
        <v>2695253</v>
      </c>
      <c r="D3498" s="2" t="s">
        <v>11073</v>
      </c>
      <c r="E3498" s="2" t="s">
        <v>11074</v>
      </c>
      <c r="F3498" s="2" t="s">
        <v>11075</v>
      </c>
      <c r="G3498" s="2" t="s">
        <v>170</v>
      </c>
      <c r="H3498" s="2" t="s">
        <v>394</v>
      </c>
      <c r="I3498" s="2" t="s">
        <v>59</v>
      </c>
      <c r="J3498" s="2" t="s">
        <v>37</v>
      </c>
      <c r="K3498" s="2" t="s">
        <v>38</v>
      </c>
      <c r="L3498" s="2" t="s">
        <v>39</v>
      </c>
      <c r="M3498" s="2" t="s">
        <v>39</v>
      </c>
      <c r="N3498" s="2" t="s">
        <v>39</v>
      </c>
      <c r="O3498" s="2" t="s">
        <v>39</v>
      </c>
      <c r="P3498" s="2" t="s">
        <v>39</v>
      </c>
      <c r="Q3498" s="2" t="s">
        <v>39</v>
      </c>
      <c r="R3498" s="2" t="s">
        <v>39</v>
      </c>
      <c r="S3498" s="2" t="s">
        <v>39</v>
      </c>
      <c r="T3498" s="2" t="s">
        <v>39</v>
      </c>
      <c r="U3498" s="2" t="s">
        <v>39</v>
      </c>
      <c r="V3498" s="2" t="s">
        <v>38</v>
      </c>
      <c r="W3498" s="2" t="s">
        <v>39</v>
      </c>
      <c r="X3498" s="2" t="s">
        <v>39</v>
      </c>
      <c r="Y3498" s="2" t="s">
        <v>39</v>
      </c>
      <c r="Z3498" s="2" t="s">
        <v>39</v>
      </c>
      <c r="AA3498" s="2" t="s">
        <v>39</v>
      </c>
      <c r="AB3498" s="2" t="s">
        <v>39</v>
      </c>
      <c r="AC3498" s="2" t="s">
        <v>39</v>
      </c>
      <c r="AD3498" s="2" t="s">
        <v>39</v>
      </c>
      <c r="AE3498" s="2" t="s">
        <v>39</v>
      </c>
    </row>
    <row r="3499" spans="1:31" ht="409.5">
      <c r="A3499" s="2">
        <v>2695247</v>
      </c>
      <c r="B3499" s="2">
        <f>HYPERLINK("https://platform.v2.vetology.net/cases/2695247/screening-report/1?type=pdf&amp;v=v6&amp;scorecard=1&amp;secret_key=BX%25IJ%24%2F65ieZ%29f6", 2695247)</f>
        <v>2695247</v>
      </c>
      <c r="C3499" s="2">
        <f>HYPERLINK("https://platform.v2.vetology.net/report/v/final/"&amp;2695247, 2695247)</f>
        <v>2695247</v>
      </c>
      <c r="D3499" s="2" t="s">
        <v>11076</v>
      </c>
      <c r="E3499" s="2" t="s">
        <v>11077</v>
      </c>
      <c r="F3499" s="2" t="s">
        <v>43</v>
      </c>
      <c r="G3499" s="2" t="s">
        <v>44</v>
      </c>
      <c r="H3499" s="2" t="s">
        <v>530</v>
      </c>
      <c r="I3499" s="2" t="s">
        <v>59</v>
      </c>
      <c r="J3499" s="2" t="s">
        <v>37</v>
      </c>
      <c r="K3499" s="2" t="s">
        <v>38</v>
      </c>
      <c r="L3499" s="2" t="s">
        <v>39</v>
      </c>
      <c r="M3499" s="2" t="s">
        <v>39</v>
      </c>
      <c r="N3499" s="2" t="s">
        <v>39</v>
      </c>
      <c r="O3499" s="2" t="s">
        <v>39</v>
      </c>
      <c r="P3499" s="2" t="s">
        <v>39</v>
      </c>
      <c r="Q3499" s="2" t="s">
        <v>39</v>
      </c>
      <c r="R3499" s="2" t="s">
        <v>39</v>
      </c>
      <c r="S3499" s="2" t="s">
        <v>39</v>
      </c>
      <c r="T3499" s="2" t="s">
        <v>39</v>
      </c>
      <c r="U3499" s="2" t="s">
        <v>39</v>
      </c>
      <c r="V3499" s="2" t="s">
        <v>38</v>
      </c>
      <c r="W3499" s="2" t="s">
        <v>38</v>
      </c>
      <c r="X3499" s="2" t="s">
        <v>39</v>
      </c>
      <c r="Y3499" s="2" t="s">
        <v>39</v>
      </c>
      <c r="Z3499" s="2" t="s">
        <v>38</v>
      </c>
      <c r="AA3499" s="2" t="s">
        <v>38</v>
      </c>
      <c r="AB3499" s="2" t="s">
        <v>39</v>
      </c>
      <c r="AC3499" s="2" t="s">
        <v>39</v>
      </c>
      <c r="AD3499" s="2" t="s">
        <v>38</v>
      </c>
      <c r="AE3499" s="2" t="s">
        <v>39</v>
      </c>
    </row>
    <row r="3500" spans="1:31" ht="409.5">
      <c r="A3500" s="2">
        <v>2695244</v>
      </c>
      <c r="B3500" s="2">
        <f>HYPERLINK("https://platform.v2.vetology.net/cases/2695244/screening-report/1?type=pdf&amp;v=v6&amp;scorecard=1&amp;secret_key=BX%25IJ%24%2F65ieZ%29f6", 2695244)</f>
        <v>2695244</v>
      </c>
      <c r="C3500" s="2">
        <f>HYPERLINK("https://platform.v2.vetology.net/report/v/final/"&amp;2695244, 2695244)</f>
        <v>2695244</v>
      </c>
      <c r="D3500" s="2" t="s">
        <v>11078</v>
      </c>
      <c r="E3500" s="2" t="s">
        <v>11079</v>
      </c>
      <c r="F3500" s="2" t="s">
        <v>11080</v>
      </c>
      <c r="G3500" s="2" t="s">
        <v>100</v>
      </c>
      <c r="H3500" s="2" t="s">
        <v>11081</v>
      </c>
      <c r="I3500" s="2" t="s">
        <v>36</v>
      </c>
      <c r="J3500" s="2" t="s">
        <v>37</v>
      </c>
      <c r="K3500" s="2" t="s">
        <v>38</v>
      </c>
      <c r="L3500" s="2" t="s">
        <v>38</v>
      </c>
      <c r="M3500" s="2" t="s">
        <v>39</v>
      </c>
      <c r="N3500" s="2" t="s">
        <v>38</v>
      </c>
      <c r="O3500" s="2" t="s">
        <v>38</v>
      </c>
      <c r="P3500" s="2" t="s">
        <v>39</v>
      </c>
      <c r="Q3500" s="2" t="s">
        <v>39</v>
      </c>
      <c r="R3500" s="2" t="s">
        <v>38</v>
      </c>
      <c r="S3500" s="2" t="s">
        <v>38</v>
      </c>
      <c r="T3500" s="2" t="s">
        <v>38</v>
      </c>
      <c r="U3500" s="2" t="s">
        <v>38</v>
      </c>
      <c r="V3500" s="2" t="s">
        <v>38</v>
      </c>
      <c r="W3500" s="2" t="s">
        <v>38</v>
      </c>
      <c r="X3500" s="2" t="s">
        <v>39</v>
      </c>
      <c r="Y3500" s="2" t="s">
        <v>38</v>
      </c>
      <c r="Z3500" s="2" t="s">
        <v>38</v>
      </c>
      <c r="AA3500" s="2" t="s">
        <v>38</v>
      </c>
      <c r="AB3500" s="2" t="s">
        <v>39</v>
      </c>
      <c r="AC3500" s="2" t="s">
        <v>38</v>
      </c>
      <c r="AD3500" s="2" t="s">
        <v>38</v>
      </c>
      <c r="AE3500" s="2" t="s">
        <v>40</v>
      </c>
    </row>
    <row r="3501" spans="1:31" ht="409.5">
      <c r="A3501" s="2">
        <v>2695227</v>
      </c>
      <c r="B3501" s="2">
        <f>HYPERLINK("https://platform.v2.vetology.net/cases/2695227/screening-report/1?type=pdf&amp;v=v6&amp;scorecard=1&amp;secret_key=BX%25IJ%24%2F65ieZ%29f6", 2695227)</f>
        <v>2695227</v>
      </c>
      <c r="C3501" s="2">
        <f>HYPERLINK("https://platform.v2.vetology.net/report/v/final/"&amp;2695227, 2695227)</f>
        <v>2695227</v>
      </c>
      <c r="D3501" s="2" t="s">
        <v>11082</v>
      </c>
      <c r="E3501" s="2" t="s">
        <v>11083</v>
      </c>
      <c r="F3501" s="2" t="s">
        <v>11084</v>
      </c>
      <c r="G3501" s="2" t="s">
        <v>53</v>
      </c>
      <c r="H3501" s="2" t="s">
        <v>11085</v>
      </c>
      <c r="I3501" s="2" t="s">
        <v>36</v>
      </c>
      <c r="J3501" s="2" t="s">
        <v>37</v>
      </c>
      <c r="K3501" s="2" t="s">
        <v>38</v>
      </c>
      <c r="L3501" s="2" t="s">
        <v>38</v>
      </c>
      <c r="M3501" s="2" t="s">
        <v>39</v>
      </c>
      <c r="N3501" s="2" t="s">
        <v>38</v>
      </c>
      <c r="O3501" s="2" t="s">
        <v>38</v>
      </c>
      <c r="P3501" s="2" t="s">
        <v>38</v>
      </c>
      <c r="Q3501" s="2" t="s">
        <v>39</v>
      </c>
      <c r="R3501" s="2" t="s">
        <v>39</v>
      </c>
      <c r="S3501" s="2" t="s">
        <v>38</v>
      </c>
      <c r="T3501" s="2" t="s">
        <v>38</v>
      </c>
      <c r="U3501" s="2" t="s">
        <v>39</v>
      </c>
      <c r="V3501" s="2" t="s">
        <v>38</v>
      </c>
      <c r="W3501" s="2" t="s">
        <v>38</v>
      </c>
      <c r="X3501" s="2" t="s">
        <v>39</v>
      </c>
      <c r="Y3501" s="2" t="s">
        <v>39</v>
      </c>
      <c r="Z3501" s="2" t="s">
        <v>38</v>
      </c>
      <c r="AA3501" s="2" t="s">
        <v>38</v>
      </c>
      <c r="AB3501" s="2" t="s">
        <v>39</v>
      </c>
      <c r="AC3501" s="2" t="s">
        <v>39</v>
      </c>
      <c r="AD3501" s="2" t="s">
        <v>39</v>
      </c>
      <c r="AE3501" s="2" t="s">
        <v>39</v>
      </c>
    </row>
    <row r="3502" spans="1:31" ht="409.5">
      <c r="A3502" s="2">
        <v>2695149</v>
      </c>
      <c r="B3502" s="2">
        <f>HYPERLINK("https://platform.v2.vetology.net/cases/2695149/screening-report/1?type=pdf&amp;v=v6&amp;scorecard=1&amp;secret_key=BX%25IJ%24%2F65ieZ%29f6", 2695149)</f>
        <v>2695149</v>
      </c>
      <c r="C3502" s="2">
        <f>HYPERLINK("https://platform.v2.vetology.net/report/v/final/"&amp;2695149, 2695149)</f>
        <v>2695149</v>
      </c>
      <c r="D3502" s="2" t="s">
        <v>11086</v>
      </c>
      <c r="E3502" s="2" t="s">
        <v>11087</v>
      </c>
      <c r="F3502" s="2" t="s">
        <v>11088</v>
      </c>
      <c r="G3502" s="2" t="s">
        <v>44</v>
      </c>
      <c r="H3502" s="2" t="s">
        <v>11089</v>
      </c>
      <c r="I3502" s="2" t="s">
        <v>36</v>
      </c>
      <c r="J3502" s="2" t="s">
        <v>37</v>
      </c>
      <c r="K3502" s="2" t="s">
        <v>39</v>
      </c>
      <c r="L3502" s="2" t="s">
        <v>38</v>
      </c>
      <c r="M3502" s="2" t="s">
        <v>39</v>
      </c>
      <c r="N3502" s="2" t="s">
        <v>38</v>
      </c>
      <c r="O3502" s="2" t="s">
        <v>39</v>
      </c>
      <c r="P3502" s="2" t="s">
        <v>39</v>
      </c>
      <c r="Q3502" s="2" t="s">
        <v>39</v>
      </c>
      <c r="R3502" s="2" t="s">
        <v>38</v>
      </c>
      <c r="S3502" s="2" t="s">
        <v>38</v>
      </c>
      <c r="T3502" s="2" t="s">
        <v>39</v>
      </c>
      <c r="U3502" s="2" t="s">
        <v>39</v>
      </c>
      <c r="V3502" s="2" t="s">
        <v>38</v>
      </c>
      <c r="W3502" s="2" t="s">
        <v>38</v>
      </c>
      <c r="X3502" s="2" t="s">
        <v>39</v>
      </c>
      <c r="Y3502" s="2" t="s">
        <v>39</v>
      </c>
      <c r="Z3502" s="2" t="s">
        <v>38</v>
      </c>
      <c r="AA3502" s="2" t="s">
        <v>38</v>
      </c>
      <c r="AB3502" s="2" t="s">
        <v>39</v>
      </c>
      <c r="AC3502" s="2" t="s">
        <v>38</v>
      </c>
      <c r="AD3502" s="2" t="s">
        <v>38</v>
      </c>
      <c r="AE3502" s="2"/>
    </row>
    <row r="3503" spans="1:31" ht="409.5">
      <c r="A3503" s="2">
        <v>2695102</v>
      </c>
      <c r="B3503" s="2">
        <f>HYPERLINK("https://platform.v2.vetology.net/cases/2695102/screening-report/1?type=pdf&amp;v=v6&amp;scorecard=1&amp;secret_key=BX%25IJ%24%2F65ieZ%29f6", 2695102)</f>
        <v>2695102</v>
      </c>
      <c r="C3503" s="2">
        <f>HYPERLINK("https://platform.v2.vetology.net/report/v/final/"&amp;2695102, 2695102)</f>
        <v>2695102</v>
      </c>
      <c r="D3503" s="2" t="s">
        <v>11090</v>
      </c>
      <c r="E3503" s="2" t="s">
        <v>11091</v>
      </c>
      <c r="F3503" s="2" t="s">
        <v>11092</v>
      </c>
      <c r="G3503" s="2" t="s">
        <v>44</v>
      </c>
      <c r="H3503" s="2" t="s">
        <v>93</v>
      </c>
      <c r="I3503" s="2" t="s">
        <v>36</v>
      </c>
      <c r="J3503" s="2" t="s">
        <v>37</v>
      </c>
      <c r="K3503" s="2" t="s">
        <v>38</v>
      </c>
      <c r="L3503" s="2" t="s">
        <v>39</v>
      </c>
      <c r="M3503" s="2" t="s">
        <v>39</v>
      </c>
      <c r="N3503" s="2" t="s">
        <v>38</v>
      </c>
      <c r="O3503" s="2" t="s">
        <v>38</v>
      </c>
      <c r="P3503" s="2" t="s">
        <v>39</v>
      </c>
      <c r="Q3503" s="2" t="s">
        <v>39</v>
      </c>
      <c r="R3503" s="2" t="s">
        <v>39</v>
      </c>
      <c r="S3503" s="2" t="s">
        <v>39</v>
      </c>
      <c r="T3503" s="2" t="s">
        <v>39</v>
      </c>
      <c r="U3503" s="2" t="s">
        <v>38</v>
      </c>
      <c r="V3503" s="2" t="s">
        <v>38</v>
      </c>
      <c r="W3503" s="2" t="s">
        <v>39</v>
      </c>
      <c r="X3503" s="2" t="s">
        <v>39</v>
      </c>
      <c r="Y3503" s="2" t="s">
        <v>39</v>
      </c>
      <c r="Z3503" s="2" t="s">
        <v>39</v>
      </c>
      <c r="AA3503" s="2" t="s">
        <v>38</v>
      </c>
      <c r="AB3503" s="2" t="s">
        <v>39</v>
      </c>
      <c r="AC3503" s="2" t="s">
        <v>39</v>
      </c>
      <c r="AD3503" s="2" t="s">
        <v>39</v>
      </c>
      <c r="AE3503" s="2" t="s">
        <v>39</v>
      </c>
    </row>
    <row r="3504" spans="1:31" ht="409.5">
      <c r="A3504" s="2">
        <v>2695093</v>
      </c>
      <c r="B3504" s="2">
        <f>HYPERLINK("https://platform.v2.vetology.net/cases/2695093/screening-report/1?type=pdf&amp;v=v6&amp;scorecard=1&amp;secret_key=BX%25IJ%24%2F65ieZ%29f6", 2695093)</f>
        <v>2695093</v>
      </c>
      <c r="C3504" s="2">
        <f>HYPERLINK("https://platform.v2.vetology.net/report/v/final/"&amp;2695093, 2695093)</f>
        <v>2695093</v>
      </c>
      <c r="D3504" s="2" t="s">
        <v>11093</v>
      </c>
      <c r="E3504" s="2" t="s">
        <v>11094</v>
      </c>
      <c r="F3504" s="2" t="s">
        <v>11095</v>
      </c>
      <c r="G3504" s="2" t="s">
        <v>34</v>
      </c>
      <c r="H3504" s="2" t="s">
        <v>11096</v>
      </c>
      <c r="I3504" s="2" t="s">
        <v>36</v>
      </c>
      <c r="J3504" s="2" t="s">
        <v>37</v>
      </c>
      <c r="K3504" s="2" t="s">
        <v>38</v>
      </c>
      <c r="L3504" s="2" t="s">
        <v>39</v>
      </c>
      <c r="M3504" s="2" t="s">
        <v>38</v>
      </c>
      <c r="N3504" s="2" t="s">
        <v>38</v>
      </c>
      <c r="O3504" s="2" t="s">
        <v>38</v>
      </c>
      <c r="P3504" s="2" t="s">
        <v>39</v>
      </c>
      <c r="Q3504" s="2" t="s">
        <v>39</v>
      </c>
      <c r="R3504" s="2" t="s">
        <v>39</v>
      </c>
      <c r="S3504" s="2" t="s">
        <v>39</v>
      </c>
      <c r="T3504" s="2" t="s">
        <v>39</v>
      </c>
      <c r="U3504" s="2" t="s">
        <v>38</v>
      </c>
      <c r="V3504" s="2" t="s">
        <v>38</v>
      </c>
      <c r="W3504" s="2" t="s">
        <v>39</v>
      </c>
      <c r="X3504" s="2" t="s">
        <v>39</v>
      </c>
      <c r="Y3504" s="2" t="s">
        <v>39</v>
      </c>
      <c r="Z3504" s="2" t="s">
        <v>39</v>
      </c>
      <c r="AA3504" s="2" t="s">
        <v>38</v>
      </c>
      <c r="AB3504" s="2" t="s">
        <v>39</v>
      </c>
      <c r="AC3504" s="2" t="s">
        <v>38</v>
      </c>
      <c r="AD3504" s="2" t="s">
        <v>39</v>
      </c>
      <c r="AE3504" s="2" t="s">
        <v>40</v>
      </c>
    </row>
    <row r="3505" spans="1:31" ht="409.5">
      <c r="A3505" s="2">
        <v>2695050</v>
      </c>
      <c r="B3505" s="2">
        <f>HYPERLINK("https://platform.v2.vetology.net/cases/2695050/screening-report/1?type=pdf&amp;v=v6&amp;scorecard=1&amp;secret_key=BX%25IJ%24%2F65ieZ%29f6", 2695050)</f>
        <v>2695050</v>
      </c>
      <c r="C3505" s="2">
        <f>HYPERLINK("https://platform.v2.vetology.net/report/v/final/"&amp;2695050, 2695050)</f>
        <v>2695050</v>
      </c>
      <c r="D3505" s="2" t="s">
        <v>11097</v>
      </c>
      <c r="E3505" s="2" t="s">
        <v>11098</v>
      </c>
      <c r="F3505" s="2" t="s">
        <v>11099</v>
      </c>
      <c r="G3505" s="2" t="s">
        <v>53</v>
      </c>
      <c r="H3505" s="2" t="s">
        <v>1846</v>
      </c>
      <c r="I3505" s="2" t="s">
        <v>36</v>
      </c>
      <c r="J3505" s="2" t="s">
        <v>37</v>
      </c>
      <c r="K3505" s="2" t="s">
        <v>39</v>
      </c>
      <c r="L3505" s="2" t="s">
        <v>38</v>
      </c>
      <c r="M3505" s="2" t="s">
        <v>38</v>
      </c>
      <c r="N3505" s="2" t="s">
        <v>39</v>
      </c>
      <c r="O3505" s="2" t="s">
        <v>38</v>
      </c>
      <c r="P3505" s="2" t="s">
        <v>39</v>
      </c>
      <c r="Q3505" s="2" t="s">
        <v>39</v>
      </c>
      <c r="R3505" s="2" t="s">
        <v>38</v>
      </c>
      <c r="S3505" s="2" t="s">
        <v>38</v>
      </c>
      <c r="T3505" s="2" t="s">
        <v>38</v>
      </c>
      <c r="U3505" s="2" t="s">
        <v>39</v>
      </c>
      <c r="V3505" s="2" t="s">
        <v>39</v>
      </c>
      <c r="W3505" s="2" t="s">
        <v>38</v>
      </c>
      <c r="X3505" s="2" t="s">
        <v>38</v>
      </c>
      <c r="Y3505" s="2" t="s">
        <v>39</v>
      </c>
      <c r="Z3505" s="2" t="s">
        <v>38</v>
      </c>
      <c r="AA3505" s="2" t="s">
        <v>39</v>
      </c>
      <c r="AB3505" s="2" t="s">
        <v>39</v>
      </c>
      <c r="AC3505" s="2" t="s">
        <v>38</v>
      </c>
      <c r="AD3505" s="2" t="s">
        <v>38</v>
      </c>
      <c r="AE3505" s="2" t="s">
        <v>40</v>
      </c>
    </row>
    <row r="3506" spans="1:31" ht="409.5">
      <c r="A3506" s="2">
        <v>2695046</v>
      </c>
      <c r="B3506" s="2">
        <f>HYPERLINK("https://platform.v2.vetology.net/cases/2695046/screening-report/1?type=pdf&amp;v=v6&amp;scorecard=1&amp;secret_key=BX%25IJ%24%2F65ieZ%29f6", 2695046)</f>
        <v>2695046</v>
      </c>
      <c r="C3506" s="2">
        <f>HYPERLINK("https://platform.v2.vetology.net/report/v/final/"&amp;2695046, 2695046)</f>
        <v>2695046</v>
      </c>
      <c r="D3506" s="2" t="s">
        <v>11100</v>
      </c>
      <c r="E3506" s="2" t="s">
        <v>11101</v>
      </c>
      <c r="F3506" s="2" t="s">
        <v>11102</v>
      </c>
      <c r="G3506" s="2" t="s">
        <v>111</v>
      </c>
      <c r="H3506" s="2" t="s">
        <v>11103</v>
      </c>
      <c r="I3506" s="2" t="s">
        <v>129</v>
      </c>
      <c r="J3506" s="2" t="s">
        <v>74</v>
      </c>
      <c r="K3506" s="2" t="s">
        <v>38</v>
      </c>
      <c r="L3506" s="2" t="s">
        <v>38</v>
      </c>
      <c r="M3506" s="2" t="s">
        <v>38</v>
      </c>
      <c r="N3506" s="2" t="s">
        <v>38</v>
      </c>
      <c r="O3506" s="2" t="s">
        <v>38</v>
      </c>
      <c r="P3506" s="2" t="s">
        <v>38</v>
      </c>
      <c r="Q3506" s="2" t="s">
        <v>38</v>
      </c>
      <c r="R3506" s="2" t="s">
        <v>38</v>
      </c>
      <c r="S3506" s="2" t="s">
        <v>38</v>
      </c>
      <c r="T3506" s="2" t="s">
        <v>38</v>
      </c>
      <c r="U3506" s="2" t="s">
        <v>38</v>
      </c>
      <c r="V3506" s="2" t="s">
        <v>39</v>
      </c>
      <c r="W3506" s="2" t="s">
        <v>38</v>
      </c>
      <c r="X3506" s="2" t="s">
        <v>38</v>
      </c>
      <c r="Y3506" s="2" t="s">
        <v>39</v>
      </c>
      <c r="Z3506" s="2" t="s">
        <v>38</v>
      </c>
      <c r="AA3506" s="2" t="s">
        <v>38</v>
      </c>
      <c r="AB3506" s="2" t="s">
        <v>38</v>
      </c>
      <c r="AC3506" s="2" t="s">
        <v>38</v>
      </c>
      <c r="AD3506" s="2" t="s">
        <v>38</v>
      </c>
      <c r="AE3506" s="2"/>
    </row>
    <row r="3507" spans="1:31" ht="409.5">
      <c r="A3507" s="2">
        <v>2695045</v>
      </c>
      <c r="B3507" s="2">
        <f>HYPERLINK("https://platform.v2.vetology.net/cases/2695045/screening-report/1?type=pdf&amp;v=v6&amp;scorecard=1&amp;secret_key=BX%25IJ%24%2F65ieZ%29f6", 2695045)</f>
        <v>2695045</v>
      </c>
      <c r="C3507" s="2">
        <f>HYPERLINK("https://platform.v2.vetology.net/report/v/final/"&amp;2695045, 2695045)</f>
        <v>2695045</v>
      </c>
      <c r="D3507" s="2" t="s">
        <v>11104</v>
      </c>
      <c r="E3507" s="2" t="s">
        <v>11105</v>
      </c>
      <c r="F3507" s="2" t="s">
        <v>11106</v>
      </c>
      <c r="G3507" s="2" t="s">
        <v>127</v>
      </c>
      <c r="H3507" s="2" t="s">
        <v>11107</v>
      </c>
      <c r="I3507" s="2" t="s">
        <v>73</v>
      </c>
      <c r="J3507" s="2" t="s">
        <v>74</v>
      </c>
      <c r="K3507" s="2" t="s">
        <v>38</v>
      </c>
      <c r="L3507" s="2" t="s">
        <v>39</v>
      </c>
      <c r="M3507" s="2" t="s">
        <v>38</v>
      </c>
      <c r="N3507" s="2" t="s">
        <v>38</v>
      </c>
      <c r="O3507" s="2" t="s">
        <v>38</v>
      </c>
      <c r="P3507" s="2" t="s">
        <v>38</v>
      </c>
      <c r="Q3507" s="2" t="s">
        <v>38</v>
      </c>
      <c r="R3507" s="2" t="s">
        <v>39</v>
      </c>
      <c r="S3507" s="2" t="s">
        <v>38</v>
      </c>
      <c r="T3507" s="2" t="s">
        <v>38</v>
      </c>
      <c r="U3507" s="2" t="s">
        <v>38</v>
      </c>
      <c r="V3507" s="2" t="s">
        <v>38</v>
      </c>
      <c r="W3507" s="2" t="s">
        <v>38</v>
      </c>
      <c r="X3507" s="2" t="s">
        <v>38</v>
      </c>
      <c r="Y3507" s="2" t="s">
        <v>39</v>
      </c>
      <c r="Z3507" s="2" t="s">
        <v>38</v>
      </c>
      <c r="AA3507" s="2" t="s">
        <v>38</v>
      </c>
      <c r="AB3507" s="2" t="s">
        <v>38</v>
      </c>
      <c r="AC3507" s="2" t="s">
        <v>38</v>
      </c>
      <c r="AD3507" s="2" t="s">
        <v>38</v>
      </c>
      <c r="AE3507" s="2" t="s">
        <v>40</v>
      </c>
    </row>
    <row r="3508" spans="1:31" ht="409.5">
      <c r="A3508" s="2">
        <v>2694996</v>
      </c>
      <c r="B3508" s="2">
        <f>HYPERLINK("https://platform.v2.vetology.net/cases/2694996/screening-report/1?type=pdf&amp;v=v6&amp;scorecard=1&amp;secret_key=BX%25IJ%24%2F65ieZ%29f6", 2694996)</f>
        <v>2694996</v>
      </c>
      <c r="C3508" s="2">
        <f>HYPERLINK("https://platform.v2.vetology.net/report/v/final/"&amp;2694996, 2694996)</f>
        <v>2694996</v>
      </c>
      <c r="D3508" s="2" t="s">
        <v>11108</v>
      </c>
      <c r="E3508" s="2" t="s">
        <v>11109</v>
      </c>
      <c r="F3508" s="2" t="s">
        <v>11110</v>
      </c>
      <c r="G3508" s="2" t="s">
        <v>34</v>
      </c>
      <c r="H3508" s="2" t="s">
        <v>11111</v>
      </c>
      <c r="I3508" s="2" t="s">
        <v>36</v>
      </c>
      <c r="J3508" s="2" t="s">
        <v>37</v>
      </c>
      <c r="K3508" s="2" t="s">
        <v>39</v>
      </c>
      <c r="L3508" s="2" t="s">
        <v>38</v>
      </c>
      <c r="M3508" s="2" t="s">
        <v>38</v>
      </c>
      <c r="N3508" s="2" t="s">
        <v>39</v>
      </c>
      <c r="O3508" s="2" t="s">
        <v>38</v>
      </c>
      <c r="P3508" s="2" t="s">
        <v>39</v>
      </c>
      <c r="Q3508" s="2" t="s">
        <v>39</v>
      </c>
      <c r="R3508" s="2" t="s">
        <v>39</v>
      </c>
      <c r="S3508" s="2" t="s">
        <v>39</v>
      </c>
      <c r="T3508" s="2" t="s">
        <v>39</v>
      </c>
      <c r="U3508" s="2" t="s">
        <v>39</v>
      </c>
      <c r="V3508" s="2" t="s">
        <v>38</v>
      </c>
      <c r="W3508" s="2" t="s">
        <v>39</v>
      </c>
      <c r="X3508" s="2" t="s">
        <v>39</v>
      </c>
      <c r="Y3508" s="2" t="s">
        <v>39</v>
      </c>
      <c r="Z3508" s="2" t="s">
        <v>39</v>
      </c>
      <c r="AA3508" s="2" t="s">
        <v>39</v>
      </c>
      <c r="AB3508" s="2" t="s">
        <v>39</v>
      </c>
      <c r="AC3508" s="2" t="s">
        <v>38</v>
      </c>
      <c r="AD3508" s="2" t="s">
        <v>38</v>
      </c>
      <c r="AE3508" s="2" t="s">
        <v>39</v>
      </c>
    </row>
    <row r="3509" spans="1:31" ht="409.5">
      <c r="A3509" s="2">
        <v>2694985</v>
      </c>
      <c r="B3509" s="2">
        <f>HYPERLINK("https://platform.v2.vetology.net/cases/2694985/screening-report/1?type=pdf&amp;v=v6&amp;scorecard=1&amp;secret_key=BX%25IJ%24%2F65ieZ%29f6", 2694985)</f>
        <v>2694985</v>
      </c>
      <c r="C3509" s="2">
        <f>HYPERLINK("https://platform.v2.vetology.net/report/v/final/"&amp;2694985, 2694985)</f>
        <v>2694985</v>
      </c>
      <c r="D3509" s="2" t="s">
        <v>11112</v>
      </c>
      <c r="E3509" s="2" t="s">
        <v>3347</v>
      </c>
      <c r="F3509" s="2" t="s">
        <v>4029</v>
      </c>
      <c r="G3509" s="2" t="s">
        <v>111</v>
      </c>
      <c r="H3509" s="2" t="s">
        <v>11113</v>
      </c>
      <c r="I3509" s="2" t="s">
        <v>73</v>
      </c>
      <c r="J3509" s="2" t="s">
        <v>74</v>
      </c>
      <c r="K3509" s="2" t="s">
        <v>38</v>
      </c>
      <c r="L3509" s="2" t="s">
        <v>38</v>
      </c>
      <c r="M3509" s="2" t="s">
        <v>38</v>
      </c>
      <c r="N3509" s="2" t="s">
        <v>38</v>
      </c>
      <c r="O3509" s="2" t="s">
        <v>38</v>
      </c>
      <c r="P3509" s="2" t="s">
        <v>38</v>
      </c>
      <c r="Q3509" s="2" t="s">
        <v>38</v>
      </c>
      <c r="R3509" s="2" t="s">
        <v>38</v>
      </c>
      <c r="S3509" s="2" t="s">
        <v>38</v>
      </c>
      <c r="T3509" s="2" t="s">
        <v>38</v>
      </c>
      <c r="U3509" s="2" t="s">
        <v>38</v>
      </c>
      <c r="V3509" s="2" t="s">
        <v>38</v>
      </c>
      <c r="W3509" s="2" t="s">
        <v>38</v>
      </c>
      <c r="X3509" s="2" t="s">
        <v>38</v>
      </c>
      <c r="Y3509" s="2" t="s">
        <v>38</v>
      </c>
      <c r="Z3509" s="2" t="s">
        <v>38</v>
      </c>
      <c r="AA3509" s="2" t="s">
        <v>38</v>
      </c>
      <c r="AB3509" s="2" t="s">
        <v>38</v>
      </c>
      <c r="AC3509" s="2" t="s">
        <v>38</v>
      </c>
      <c r="AD3509" s="2" t="s">
        <v>39</v>
      </c>
      <c r="AE3509" s="2" t="s">
        <v>40</v>
      </c>
    </row>
    <row r="3510" spans="1:31" ht="409.5">
      <c r="A3510" s="2">
        <v>2694965</v>
      </c>
      <c r="B3510" s="2">
        <f>HYPERLINK("https://platform.v2.vetology.net/cases/2694965/screening-report/1?type=pdf&amp;v=v6&amp;scorecard=1&amp;secret_key=BX%25IJ%24%2F65ieZ%29f6", 2694965)</f>
        <v>2694965</v>
      </c>
      <c r="C3510" s="2">
        <f>HYPERLINK("https://platform.v2.vetology.net/report/v/final/"&amp;2694965, 2694965)</f>
        <v>2694965</v>
      </c>
      <c r="D3510" s="2" t="s">
        <v>11114</v>
      </c>
      <c r="E3510" s="2" t="s">
        <v>10590</v>
      </c>
      <c r="F3510" s="2" t="s">
        <v>10581</v>
      </c>
      <c r="G3510" s="2" t="s">
        <v>100</v>
      </c>
      <c r="H3510" s="2" t="s">
        <v>11115</v>
      </c>
      <c r="I3510" s="2" t="s">
        <v>36</v>
      </c>
      <c r="J3510" s="2" t="s">
        <v>37</v>
      </c>
      <c r="K3510" s="2" t="s">
        <v>38</v>
      </c>
      <c r="L3510" s="2" t="s">
        <v>38</v>
      </c>
      <c r="M3510" s="2" t="s">
        <v>38</v>
      </c>
      <c r="N3510" s="2" t="s">
        <v>38</v>
      </c>
      <c r="O3510" s="2" t="s">
        <v>39</v>
      </c>
      <c r="P3510" s="2" t="s">
        <v>39</v>
      </c>
      <c r="Q3510" s="2" t="s">
        <v>39</v>
      </c>
      <c r="R3510" s="2" t="s">
        <v>38</v>
      </c>
      <c r="S3510" s="2" t="s">
        <v>38</v>
      </c>
      <c r="T3510" s="2" t="s">
        <v>39</v>
      </c>
      <c r="U3510" s="2" t="s">
        <v>39</v>
      </c>
      <c r="V3510" s="2" t="s">
        <v>38</v>
      </c>
      <c r="W3510" s="2" t="s">
        <v>38</v>
      </c>
      <c r="X3510" s="2" t="s">
        <v>39</v>
      </c>
      <c r="Y3510" s="2" t="s">
        <v>39</v>
      </c>
      <c r="Z3510" s="2" t="s">
        <v>38</v>
      </c>
      <c r="AA3510" s="2" t="s">
        <v>38</v>
      </c>
      <c r="AB3510" s="2" t="s">
        <v>39</v>
      </c>
      <c r="AC3510" s="2" t="s">
        <v>39</v>
      </c>
      <c r="AD3510" s="2" t="s">
        <v>38</v>
      </c>
      <c r="AE3510" s="2" t="s">
        <v>39</v>
      </c>
    </row>
    <row r="3511" spans="1:31" ht="409.5">
      <c r="A3511" s="2">
        <v>2694935</v>
      </c>
      <c r="B3511" s="2">
        <f>HYPERLINK("https://platform.v2.vetology.net/cases/2694935/screening-report/1?type=pdf&amp;v=v6&amp;scorecard=1&amp;secret_key=BX%25IJ%24%2F65ieZ%29f6", 2694935)</f>
        <v>2694935</v>
      </c>
      <c r="C3511" s="2">
        <f>HYPERLINK("https://platform.v2.vetology.net/report/v/final/"&amp;2694935, 2694935)</f>
        <v>2694935</v>
      </c>
      <c r="D3511" s="2" t="s">
        <v>11116</v>
      </c>
      <c r="E3511" s="2" t="s">
        <v>11117</v>
      </c>
      <c r="F3511" s="2" t="s">
        <v>11118</v>
      </c>
      <c r="G3511" s="2" t="s">
        <v>127</v>
      </c>
      <c r="H3511" s="2" t="s">
        <v>11119</v>
      </c>
      <c r="I3511" s="2" t="s">
        <v>129</v>
      </c>
      <c r="J3511" s="2" t="s">
        <v>74</v>
      </c>
      <c r="K3511" s="2" t="s">
        <v>38</v>
      </c>
      <c r="L3511" s="2" t="s">
        <v>38</v>
      </c>
      <c r="M3511" s="2" t="s">
        <v>38</v>
      </c>
      <c r="N3511" s="2" t="s">
        <v>38</v>
      </c>
      <c r="O3511" s="2" t="s">
        <v>38</v>
      </c>
      <c r="P3511" s="2" t="s">
        <v>38</v>
      </c>
      <c r="Q3511" s="2" t="s">
        <v>38</v>
      </c>
      <c r="R3511" s="2" t="s">
        <v>39</v>
      </c>
      <c r="S3511" s="2" t="s">
        <v>39</v>
      </c>
      <c r="T3511" s="2" t="s">
        <v>38</v>
      </c>
      <c r="U3511" s="2" t="s">
        <v>39</v>
      </c>
      <c r="V3511" s="2" t="s">
        <v>38</v>
      </c>
      <c r="W3511" s="2" t="s">
        <v>38</v>
      </c>
      <c r="X3511" s="2" t="s">
        <v>38</v>
      </c>
      <c r="Y3511" s="2" t="s">
        <v>39</v>
      </c>
      <c r="Z3511" s="2" t="s">
        <v>39</v>
      </c>
      <c r="AA3511" s="2" t="s">
        <v>38</v>
      </c>
      <c r="AB3511" s="2" t="s">
        <v>38</v>
      </c>
      <c r="AC3511" s="2" t="s">
        <v>38</v>
      </c>
      <c r="AD3511" s="2" t="s">
        <v>38</v>
      </c>
      <c r="AE3511" s="2" t="s">
        <v>40</v>
      </c>
    </row>
    <row r="3512" spans="1:31" ht="409.5">
      <c r="A3512" s="2">
        <v>2694925</v>
      </c>
      <c r="B3512" s="2">
        <f>HYPERLINK("https://platform.v2.vetology.net/cases/2694925/screening-report/1?type=pdf&amp;v=v6&amp;scorecard=1&amp;secret_key=BX%25IJ%24%2F65ieZ%29f6", 2694925)</f>
        <v>2694925</v>
      </c>
      <c r="C3512" s="2">
        <f>HYPERLINK("https://platform.v2.vetology.net/report/v/final/"&amp;2694925, 2694925)</f>
        <v>2694925</v>
      </c>
      <c r="D3512" s="2" t="s">
        <v>11120</v>
      </c>
      <c r="E3512" s="2" t="s">
        <v>11121</v>
      </c>
      <c r="F3512" s="2" t="s">
        <v>11122</v>
      </c>
      <c r="G3512" s="2" t="s">
        <v>170</v>
      </c>
      <c r="H3512" s="2" t="s">
        <v>69</v>
      </c>
      <c r="I3512" s="2" t="s">
        <v>46</v>
      </c>
      <c r="J3512" s="2"/>
      <c r="K3512" s="2" t="s">
        <v>39</v>
      </c>
      <c r="L3512" s="2" t="s">
        <v>39</v>
      </c>
      <c r="M3512" s="2" t="s">
        <v>39</v>
      </c>
      <c r="N3512" s="2" t="s">
        <v>39</v>
      </c>
      <c r="O3512" s="2" t="s">
        <v>39</v>
      </c>
      <c r="P3512" s="2" t="s">
        <v>39</v>
      </c>
      <c r="Q3512" s="2" t="s">
        <v>39</v>
      </c>
      <c r="R3512" s="2" t="s">
        <v>39</v>
      </c>
      <c r="S3512" s="2" t="s">
        <v>39</v>
      </c>
      <c r="T3512" s="2" t="s">
        <v>39</v>
      </c>
      <c r="U3512" s="2" t="s">
        <v>39</v>
      </c>
      <c r="V3512" s="2" t="s">
        <v>39</v>
      </c>
      <c r="W3512" s="2" t="s">
        <v>39</v>
      </c>
      <c r="X3512" s="2" t="s">
        <v>39</v>
      </c>
      <c r="Y3512" s="2" t="s">
        <v>39</v>
      </c>
      <c r="Z3512" s="2" t="s">
        <v>39</v>
      </c>
      <c r="AA3512" s="2" t="s">
        <v>39</v>
      </c>
      <c r="AB3512" s="2" t="s">
        <v>39</v>
      </c>
      <c r="AC3512" s="2" t="s">
        <v>38</v>
      </c>
      <c r="AD3512" s="2" t="s">
        <v>39</v>
      </c>
      <c r="AE3512" s="2" t="s">
        <v>40</v>
      </c>
    </row>
    <row r="3513" spans="1:31" ht="409.5">
      <c r="A3513" s="2">
        <v>2694910</v>
      </c>
      <c r="B3513" s="2">
        <f>HYPERLINK("https://platform.v2.vetology.net/cases/2694910/screening-report/1?type=pdf&amp;v=v6&amp;scorecard=1&amp;secret_key=BX%25IJ%24%2F65ieZ%29f6", 2694910)</f>
        <v>2694910</v>
      </c>
      <c r="C3513" s="2">
        <f>HYPERLINK("https://platform.v2.vetology.net/report/v/final/"&amp;2694910, 2694910)</f>
        <v>2694910</v>
      </c>
      <c r="D3513" s="2" t="s">
        <v>11123</v>
      </c>
      <c r="E3513" s="2" t="s">
        <v>11124</v>
      </c>
      <c r="F3513" s="2" t="s">
        <v>11125</v>
      </c>
      <c r="G3513" s="2" t="s">
        <v>170</v>
      </c>
      <c r="H3513" s="2" t="s">
        <v>11126</v>
      </c>
      <c r="I3513" s="2" t="s">
        <v>36</v>
      </c>
      <c r="J3513" s="2" t="s">
        <v>37</v>
      </c>
      <c r="K3513" s="2" t="s">
        <v>38</v>
      </c>
      <c r="L3513" s="2" t="s">
        <v>38</v>
      </c>
      <c r="M3513" s="2" t="s">
        <v>38</v>
      </c>
      <c r="N3513" s="2" t="s">
        <v>39</v>
      </c>
      <c r="O3513" s="2" t="s">
        <v>38</v>
      </c>
      <c r="P3513" s="2" t="s">
        <v>39</v>
      </c>
      <c r="Q3513" s="2" t="s">
        <v>39</v>
      </c>
      <c r="R3513" s="2" t="s">
        <v>38</v>
      </c>
      <c r="S3513" s="2" t="s">
        <v>39</v>
      </c>
      <c r="T3513" s="2" t="s">
        <v>39</v>
      </c>
      <c r="U3513" s="2" t="s">
        <v>38</v>
      </c>
      <c r="V3513" s="2" t="s">
        <v>38</v>
      </c>
      <c r="W3513" s="2" t="s">
        <v>39</v>
      </c>
      <c r="X3513" s="2" t="s">
        <v>39</v>
      </c>
      <c r="Y3513" s="2" t="s">
        <v>39</v>
      </c>
      <c r="Z3513" s="2" t="s">
        <v>38</v>
      </c>
      <c r="AA3513" s="2" t="s">
        <v>39</v>
      </c>
      <c r="AB3513" s="2" t="s">
        <v>39</v>
      </c>
      <c r="AC3513" s="2" t="s">
        <v>38</v>
      </c>
      <c r="AD3513" s="2" t="s">
        <v>39</v>
      </c>
      <c r="AE3513" s="2" t="s">
        <v>39</v>
      </c>
    </row>
    <row r="3514" spans="1:31" ht="409.5">
      <c r="A3514" s="2">
        <v>2694908</v>
      </c>
      <c r="B3514" s="2">
        <f>HYPERLINK("https://platform.v2.vetology.net/cases/2694908/screening-report/1?type=pdf&amp;v=v6&amp;scorecard=1&amp;secret_key=BX%25IJ%24%2F65ieZ%29f6", 2694908)</f>
        <v>2694908</v>
      </c>
      <c r="C3514" s="2">
        <f>HYPERLINK("https://platform.v2.vetology.net/report/v/final/"&amp;2694908, 2694908)</f>
        <v>2694908</v>
      </c>
      <c r="D3514" s="2" t="s">
        <v>11127</v>
      </c>
      <c r="E3514" s="2" t="s">
        <v>11128</v>
      </c>
      <c r="F3514" s="2" t="s">
        <v>11129</v>
      </c>
      <c r="G3514" s="2" t="s">
        <v>34</v>
      </c>
      <c r="H3514" s="2" t="s">
        <v>11130</v>
      </c>
      <c r="I3514" s="2" t="s">
        <v>257</v>
      </c>
      <c r="J3514" s="2" t="s">
        <v>74</v>
      </c>
      <c r="K3514" s="2" t="s">
        <v>38</v>
      </c>
      <c r="L3514" s="2" t="s">
        <v>38</v>
      </c>
      <c r="M3514" s="2" t="s">
        <v>38</v>
      </c>
      <c r="N3514" s="2" t="s">
        <v>38</v>
      </c>
      <c r="O3514" s="2" t="s">
        <v>38</v>
      </c>
      <c r="P3514" s="2" t="s">
        <v>38</v>
      </c>
      <c r="Q3514" s="2" t="s">
        <v>38</v>
      </c>
      <c r="R3514" s="2" t="s">
        <v>38</v>
      </c>
      <c r="S3514" s="2" t="s">
        <v>38</v>
      </c>
      <c r="T3514" s="2" t="s">
        <v>38</v>
      </c>
      <c r="U3514" s="2" t="s">
        <v>38</v>
      </c>
      <c r="V3514" s="2" t="s">
        <v>38</v>
      </c>
      <c r="W3514" s="2" t="s">
        <v>38</v>
      </c>
      <c r="X3514" s="2" t="s">
        <v>38</v>
      </c>
      <c r="Y3514" s="2" t="s">
        <v>38</v>
      </c>
      <c r="Z3514" s="2" t="s">
        <v>38</v>
      </c>
      <c r="AA3514" s="2" t="s">
        <v>38</v>
      </c>
      <c r="AB3514" s="2" t="s">
        <v>38</v>
      </c>
      <c r="AC3514" s="2" t="s">
        <v>38</v>
      </c>
      <c r="AD3514" s="2" t="s">
        <v>38</v>
      </c>
      <c r="AE3514" s="2" t="s">
        <v>40</v>
      </c>
    </row>
    <row r="3515" spans="1:31" ht="409.5">
      <c r="A3515" s="2">
        <v>2694880</v>
      </c>
      <c r="B3515" s="2">
        <f>HYPERLINK("https://platform.v2.vetology.net/cases/2694880/screening-report/1?type=pdf&amp;v=v6&amp;scorecard=1&amp;secret_key=BX%25IJ%24%2F65ieZ%29f6", 2694880)</f>
        <v>2694880</v>
      </c>
      <c r="C3515" s="2">
        <f>HYPERLINK("https://platform.v2.vetology.net/report/v/final/"&amp;2694880, 2694880)</f>
        <v>2694880</v>
      </c>
      <c r="D3515" s="2" t="s">
        <v>11131</v>
      </c>
      <c r="E3515" s="2" t="s">
        <v>11132</v>
      </c>
      <c r="F3515" s="2" t="s">
        <v>11133</v>
      </c>
      <c r="G3515" s="2" t="s">
        <v>127</v>
      </c>
      <c r="H3515" s="2" t="s">
        <v>11134</v>
      </c>
      <c r="I3515" s="2" t="s">
        <v>73</v>
      </c>
      <c r="J3515" s="2" t="s">
        <v>74</v>
      </c>
      <c r="K3515" s="2" t="s">
        <v>38</v>
      </c>
      <c r="L3515" s="2" t="s">
        <v>38</v>
      </c>
      <c r="M3515" s="2" t="s">
        <v>38</v>
      </c>
      <c r="N3515" s="2" t="s">
        <v>38</v>
      </c>
      <c r="O3515" s="2" t="s">
        <v>38</v>
      </c>
      <c r="P3515" s="2" t="s">
        <v>38</v>
      </c>
      <c r="Q3515" s="2" t="s">
        <v>38</v>
      </c>
      <c r="R3515" s="2" t="s">
        <v>39</v>
      </c>
      <c r="S3515" s="2" t="s">
        <v>39</v>
      </c>
      <c r="T3515" s="2" t="s">
        <v>39</v>
      </c>
      <c r="U3515" s="2" t="s">
        <v>38</v>
      </c>
      <c r="V3515" s="2" t="s">
        <v>38</v>
      </c>
      <c r="W3515" s="2" t="s">
        <v>38</v>
      </c>
      <c r="X3515" s="2" t="s">
        <v>38</v>
      </c>
      <c r="Y3515" s="2" t="s">
        <v>38</v>
      </c>
      <c r="Z3515" s="2" t="s">
        <v>39</v>
      </c>
      <c r="AA3515" s="2" t="s">
        <v>38</v>
      </c>
      <c r="AB3515" s="2" t="s">
        <v>38</v>
      </c>
      <c r="AC3515" s="2" t="s">
        <v>38</v>
      </c>
      <c r="AD3515" s="2" t="s">
        <v>39</v>
      </c>
      <c r="AE3515" s="2" t="s">
        <v>40</v>
      </c>
    </row>
    <row r="3516" spans="1:31" ht="409.5">
      <c r="A3516" s="2">
        <v>2694865</v>
      </c>
      <c r="B3516" s="2">
        <f>HYPERLINK("https://platform.v2.vetology.net/cases/2694865/screening-report/1?type=pdf&amp;v=v6&amp;scorecard=1&amp;secret_key=BX%25IJ%24%2F65ieZ%29f6", 2694865)</f>
        <v>2694865</v>
      </c>
      <c r="C3516" s="2">
        <f>HYPERLINK("https://platform.v2.vetology.net/report/v/final/"&amp;2694865, 2694865)</f>
        <v>2694865</v>
      </c>
      <c r="D3516" s="2" t="s">
        <v>11135</v>
      </c>
      <c r="E3516" s="2" t="s">
        <v>11136</v>
      </c>
      <c r="F3516" s="2" t="s">
        <v>11137</v>
      </c>
      <c r="G3516" s="2" t="s">
        <v>127</v>
      </c>
      <c r="H3516" s="2" t="s">
        <v>537</v>
      </c>
      <c r="I3516" s="2" t="s">
        <v>59</v>
      </c>
      <c r="J3516" s="2" t="s">
        <v>37</v>
      </c>
      <c r="K3516" s="2" t="s">
        <v>38</v>
      </c>
      <c r="L3516" s="2" t="s">
        <v>39</v>
      </c>
      <c r="M3516" s="2" t="s">
        <v>39</v>
      </c>
      <c r="N3516" s="2" t="s">
        <v>39</v>
      </c>
      <c r="O3516" s="2" t="s">
        <v>39</v>
      </c>
      <c r="P3516" s="2" t="s">
        <v>39</v>
      </c>
      <c r="Q3516" s="2" t="s">
        <v>39</v>
      </c>
      <c r="R3516" s="2" t="s">
        <v>39</v>
      </c>
      <c r="S3516" s="2" t="s">
        <v>39</v>
      </c>
      <c r="T3516" s="2" t="s">
        <v>39</v>
      </c>
      <c r="U3516" s="2" t="s">
        <v>38</v>
      </c>
      <c r="V3516" s="2" t="s">
        <v>38</v>
      </c>
      <c r="W3516" s="2" t="s">
        <v>39</v>
      </c>
      <c r="X3516" s="2" t="s">
        <v>39</v>
      </c>
      <c r="Y3516" s="2" t="s">
        <v>39</v>
      </c>
      <c r="Z3516" s="2" t="s">
        <v>39</v>
      </c>
      <c r="AA3516" s="2" t="s">
        <v>39</v>
      </c>
      <c r="AB3516" s="2" t="s">
        <v>39</v>
      </c>
      <c r="AC3516" s="2" t="s">
        <v>38</v>
      </c>
      <c r="AD3516" s="2" t="s">
        <v>39</v>
      </c>
      <c r="AE3516" s="2" t="s">
        <v>39</v>
      </c>
    </row>
    <row r="3517" spans="1:31" ht="409.5">
      <c r="A3517" s="2">
        <v>2694862</v>
      </c>
      <c r="B3517" s="2">
        <f>HYPERLINK("https://platform.v2.vetology.net/cases/2694862/screening-report/1?type=pdf&amp;v=v6&amp;scorecard=1&amp;secret_key=BX%25IJ%24%2F65ieZ%29f6", 2694862)</f>
        <v>2694862</v>
      </c>
      <c r="C3517" s="2">
        <f>HYPERLINK("https://platform.v2.vetology.net/report/v/final/"&amp;2694862, 2694862)</f>
        <v>2694862</v>
      </c>
      <c r="D3517" s="2" t="s">
        <v>11138</v>
      </c>
      <c r="E3517" s="2" t="s">
        <v>11139</v>
      </c>
      <c r="F3517" s="2" t="s">
        <v>11140</v>
      </c>
      <c r="G3517" s="2" t="s">
        <v>34</v>
      </c>
      <c r="H3517" s="2" t="s">
        <v>69</v>
      </c>
      <c r="I3517" s="2" t="s">
        <v>46</v>
      </c>
      <c r="J3517" s="2"/>
      <c r="K3517" s="2" t="s">
        <v>39</v>
      </c>
      <c r="L3517" s="2" t="s">
        <v>39</v>
      </c>
      <c r="M3517" s="2" t="s">
        <v>39</v>
      </c>
      <c r="N3517" s="2" t="s">
        <v>39</v>
      </c>
      <c r="O3517" s="2" t="s">
        <v>39</v>
      </c>
      <c r="P3517" s="2" t="s">
        <v>39</v>
      </c>
      <c r="Q3517" s="2" t="s">
        <v>39</v>
      </c>
      <c r="R3517" s="2" t="s">
        <v>39</v>
      </c>
      <c r="S3517" s="2" t="s">
        <v>39</v>
      </c>
      <c r="T3517" s="2" t="s">
        <v>39</v>
      </c>
      <c r="U3517" s="2" t="s">
        <v>39</v>
      </c>
      <c r="V3517" s="2" t="s">
        <v>39</v>
      </c>
      <c r="W3517" s="2" t="s">
        <v>39</v>
      </c>
      <c r="X3517" s="2" t="s">
        <v>39</v>
      </c>
      <c r="Y3517" s="2" t="s">
        <v>39</v>
      </c>
      <c r="Z3517" s="2" t="s">
        <v>39</v>
      </c>
      <c r="AA3517" s="2" t="s">
        <v>39</v>
      </c>
      <c r="AB3517" s="2" t="s">
        <v>39</v>
      </c>
      <c r="AC3517" s="2" t="s">
        <v>39</v>
      </c>
      <c r="AD3517" s="2" t="s">
        <v>39</v>
      </c>
      <c r="AE3517" s="2" t="s">
        <v>39</v>
      </c>
    </row>
    <row r="3518" spans="1:31" ht="409.5">
      <c r="A3518" s="2">
        <v>2694857</v>
      </c>
      <c r="B3518" s="2">
        <f>HYPERLINK("https://platform.v2.vetology.net/cases/2694857/screening-report/1?type=pdf&amp;v=v6&amp;scorecard=1&amp;secret_key=BX%25IJ%24%2F65ieZ%29f6", 2694857)</f>
        <v>2694857</v>
      </c>
      <c r="C3518" s="2">
        <f>HYPERLINK("https://platform.v2.vetology.net/report/v/final/"&amp;2694857, 2694857)</f>
        <v>2694857</v>
      </c>
      <c r="D3518" s="2" t="s">
        <v>11141</v>
      </c>
      <c r="E3518" s="2" t="s">
        <v>11142</v>
      </c>
      <c r="F3518" s="2" t="s">
        <v>11143</v>
      </c>
      <c r="G3518" s="2" t="s">
        <v>53</v>
      </c>
      <c r="H3518" s="2" t="s">
        <v>1175</v>
      </c>
      <c r="I3518" s="2" t="s">
        <v>36</v>
      </c>
      <c r="J3518" s="2" t="s">
        <v>37</v>
      </c>
      <c r="K3518" s="2" t="s">
        <v>39</v>
      </c>
      <c r="L3518" s="2" t="s">
        <v>39</v>
      </c>
      <c r="M3518" s="2" t="s">
        <v>38</v>
      </c>
      <c r="N3518" s="2" t="s">
        <v>39</v>
      </c>
      <c r="O3518" s="2" t="s">
        <v>38</v>
      </c>
      <c r="P3518" s="2" t="s">
        <v>39</v>
      </c>
      <c r="Q3518" s="2" t="s">
        <v>39</v>
      </c>
      <c r="R3518" s="2" t="s">
        <v>38</v>
      </c>
      <c r="S3518" s="2" t="s">
        <v>39</v>
      </c>
      <c r="T3518" s="2" t="s">
        <v>39</v>
      </c>
      <c r="U3518" s="2" t="s">
        <v>39</v>
      </c>
      <c r="V3518" s="2" t="s">
        <v>39</v>
      </c>
      <c r="W3518" s="2" t="s">
        <v>38</v>
      </c>
      <c r="X3518" s="2" t="s">
        <v>39</v>
      </c>
      <c r="Y3518" s="2" t="s">
        <v>39</v>
      </c>
      <c r="Z3518" s="2" t="s">
        <v>38</v>
      </c>
      <c r="AA3518" s="2" t="s">
        <v>39</v>
      </c>
      <c r="AB3518" s="2" t="s">
        <v>39</v>
      </c>
      <c r="AC3518" s="2" t="s">
        <v>38</v>
      </c>
      <c r="AD3518" s="2" t="s">
        <v>39</v>
      </c>
      <c r="AE3518" s="2" t="s">
        <v>39</v>
      </c>
    </row>
    <row r="3519" spans="1:31" ht="409.5">
      <c r="A3519" s="2">
        <v>2694845</v>
      </c>
      <c r="B3519" s="2">
        <f>HYPERLINK("https://platform.v2.vetology.net/cases/2694845/screening-report/1?type=pdf&amp;v=v6&amp;scorecard=1&amp;secret_key=BX%25IJ%24%2F65ieZ%29f6", 2694845)</f>
        <v>2694845</v>
      </c>
      <c r="C3519" s="2">
        <f>HYPERLINK("https://platform.v2.vetology.net/report/v/final/"&amp;2694845, 2694845)</f>
        <v>2694845</v>
      </c>
      <c r="D3519" s="2" t="s">
        <v>11144</v>
      </c>
      <c r="E3519" s="2" t="s">
        <v>11145</v>
      </c>
      <c r="F3519" s="2" t="s">
        <v>11146</v>
      </c>
      <c r="G3519" s="2" t="s">
        <v>170</v>
      </c>
      <c r="H3519" s="2" t="s">
        <v>11147</v>
      </c>
      <c r="I3519" s="2" t="s">
        <v>257</v>
      </c>
      <c r="J3519" s="2" t="s">
        <v>74</v>
      </c>
      <c r="K3519" s="2" t="s">
        <v>38</v>
      </c>
      <c r="L3519" s="2" t="s">
        <v>38</v>
      </c>
      <c r="M3519" s="2" t="s">
        <v>38</v>
      </c>
      <c r="N3519" s="2" t="s">
        <v>38</v>
      </c>
      <c r="O3519" s="2" t="s">
        <v>38</v>
      </c>
      <c r="P3519" s="2" t="s">
        <v>38</v>
      </c>
      <c r="Q3519" s="2" t="s">
        <v>38</v>
      </c>
      <c r="R3519" s="2" t="s">
        <v>38</v>
      </c>
      <c r="S3519" s="2" t="s">
        <v>38</v>
      </c>
      <c r="T3519" s="2" t="s">
        <v>38</v>
      </c>
      <c r="U3519" s="2" t="s">
        <v>38</v>
      </c>
      <c r="V3519" s="2" t="s">
        <v>38</v>
      </c>
      <c r="W3519" s="2" t="s">
        <v>38</v>
      </c>
      <c r="X3519" s="2" t="s">
        <v>38</v>
      </c>
      <c r="Y3519" s="2" t="s">
        <v>38</v>
      </c>
      <c r="Z3519" s="2" t="s">
        <v>38</v>
      </c>
      <c r="AA3519" s="2" t="s">
        <v>38</v>
      </c>
      <c r="AB3519" s="2" t="s">
        <v>38</v>
      </c>
      <c r="AC3519" s="2" t="s">
        <v>38</v>
      </c>
      <c r="AD3519" s="2" t="s">
        <v>38</v>
      </c>
      <c r="AE3519" s="2" t="s">
        <v>39</v>
      </c>
    </row>
    <row r="3520" spans="1:31" ht="409.5">
      <c r="A3520" s="2">
        <v>2694803</v>
      </c>
      <c r="B3520" s="2">
        <f>HYPERLINK("https://platform.v2.vetology.net/cases/2694803/screening-report/1?type=pdf&amp;v=v6&amp;scorecard=1&amp;secret_key=BX%25IJ%24%2F65ieZ%29f6", 2694803)</f>
        <v>2694803</v>
      </c>
      <c r="C3520" s="2">
        <f>HYPERLINK("https://platform.v2.vetology.net/report/v/final/"&amp;2694803, 2694803)</f>
        <v>2694803</v>
      </c>
      <c r="D3520" s="2" t="s">
        <v>11148</v>
      </c>
      <c r="E3520" s="2" t="s">
        <v>11149</v>
      </c>
      <c r="F3520" s="2" t="s">
        <v>2764</v>
      </c>
      <c r="G3520" s="2" t="s">
        <v>111</v>
      </c>
      <c r="H3520" s="2" t="s">
        <v>11150</v>
      </c>
      <c r="I3520" s="2" t="s">
        <v>73</v>
      </c>
      <c r="J3520" s="2" t="s">
        <v>74</v>
      </c>
      <c r="K3520" s="2" t="s">
        <v>38</v>
      </c>
      <c r="L3520" s="2" t="s">
        <v>38</v>
      </c>
      <c r="M3520" s="2" t="s">
        <v>38</v>
      </c>
      <c r="N3520" s="2" t="s">
        <v>38</v>
      </c>
      <c r="O3520" s="2" t="s">
        <v>38</v>
      </c>
      <c r="P3520" s="2" t="s">
        <v>38</v>
      </c>
      <c r="Q3520" s="2" t="s">
        <v>38</v>
      </c>
      <c r="R3520" s="2" t="s">
        <v>38</v>
      </c>
      <c r="S3520" s="2" t="s">
        <v>38</v>
      </c>
      <c r="T3520" s="2" t="s">
        <v>38</v>
      </c>
      <c r="U3520" s="2" t="s">
        <v>38</v>
      </c>
      <c r="V3520" s="2" t="s">
        <v>38</v>
      </c>
      <c r="W3520" s="2" t="s">
        <v>38</v>
      </c>
      <c r="X3520" s="2" t="s">
        <v>38</v>
      </c>
      <c r="Y3520" s="2" t="s">
        <v>39</v>
      </c>
      <c r="Z3520" s="2" t="s">
        <v>38</v>
      </c>
      <c r="AA3520" s="2" t="s">
        <v>38</v>
      </c>
      <c r="AB3520" s="2" t="s">
        <v>38</v>
      </c>
      <c r="AC3520" s="2" t="s">
        <v>38</v>
      </c>
      <c r="AD3520" s="2" t="s">
        <v>38</v>
      </c>
      <c r="AE3520" s="2" t="s">
        <v>40</v>
      </c>
    </row>
    <row r="3521" spans="1:31" ht="409.5">
      <c r="A3521" s="2">
        <v>2694755</v>
      </c>
      <c r="B3521" s="2">
        <f>HYPERLINK("https://platform.v2.vetology.net/cases/2694755/screening-report/1?type=pdf&amp;v=v6&amp;scorecard=1&amp;secret_key=BX%25IJ%24%2F65ieZ%29f6", 2694755)</f>
        <v>2694755</v>
      </c>
      <c r="C3521" s="2">
        <f>HYPERLINK("https://platform.v2.vetology.net/report/v/final/"&amp;2694755, 2694755)</f>
        <v>2694755</v>
      </c>
      <c r="D3521" s="2" t="s">
        <v>11151</v>
      </c>
      <c r="E3521" s="2" t="s">
        <v>11152</v>
      </c>
      <c r="F3521" s="2" t="s">
        <v>229</v>
      </c>
      <c r="G3521" s="2" t="s">
        <v>170</v>
      </c>
      <c r="H3521" s="2" t="s">
        <v>11153</v>
      </c>
      <c r="I3521" s="2" t="s">
        <v>73</v>
      </c>
      <c r="J3521" s="2" t="s">
        <v>74</v>
      </c>
      <c r="K3521" s="2" t="s">
        <v>38</v>
      </c>
      <c r="L3521" s="2" t="s">
        <v>38</v>
      </c>
      <c r="M3521" s="2" t="s">
        <v>38</v>
      </c>
      <c r="N3521" s="2" t="s">
        <v>38</v>
      </c>
      <c r="O3521" s="2" t="s">
        <v>38</v>
      </c>
      <c r="P3521" s="2" t="s">
        <v>38</v>
      </c>
      <c r="Q3521" s="2" t="s">
        <v>38</v>
      </c>
      <c r="R3521" s="2" t="s">
        <v>38</v>
      </c>
      <c r="S3521" s="2" t="s">
        <v>38</v>
      </c>
      <c r="T3521" s="2" t="s">
        <v>38</v>
      </c>
      <c r="U3521" s="2" t="s">
        <v>38</v>
      </c>
      <c r="V3521" s="2" t="s">
        <v>38</v>
      </c>
      <c r="W3521" s="2" t="s">
        <v>38</v>
      </c>
      <c r="X3521" s="2" t="s">
        <v>38</v>
      </c>
      <c r="Y3521" s="2" t="s">
        <v>39</v>
      </c>
      <c r="Z3521" s="2" t="s">
        <v>38</v>
      </c>
      <c r="AA3521" s="2" t="s">
        <v>38</v>
      </c>
      <c r="AB3521" s="2" t="s">
        <v>38</v>
      </c>
      <c r="AC3521" s="2" t="s">
        <v>38</v>
      </c>
      <c r="AD3521" s="2" t="s">
        <v>38</v>
      </c>
      <c r="AE3521" s="2" t="s">
        <v>39</v>
      </c>
    </row>
    <row r="3522" spans="1:31" ht="409.5">
      <c r="A3522" s="2">
        <v>2694743</v>
      </c>
      <c r="B3522" s="2">
        <f>HYPERLINK("https://platform.v2.vetology.net/cases/2694743/screening-report/1?type=pdf&amp;v=v6&amp;scorecard=1&amp;secret_key=BX%25IJ%24%2F65ieZ%29f6", 2694743)</f>
        <v>2694743</v>
      </c>
      <c r="C3522" s="2">
        <f>HYPERLINK("https://platform.v2.vetology.net/report/v/final/"&amp;2694743, 2694743)</f>
        <v>2694743</v>
      </c>
      <c r="D3522" s="2" t="s">
        <v>11154</v>
      </c>
      <c r="E3522" s="2" t="s">
        <v>11155</v>
      </c>
      <c r="F3522" s="2" t="s">
        <v>11156</v>
      </c>
      <c r="G3522" s="2" t="s">
        <v>127</v>
      </c>
      <c r="H3522" s="2" t="s">
        <v>11157</v>
      </c>
      <c r="I3522" s="2" t="s">
        <v>73</v>
      </c>
      <c r="J3522" s="2" t="s">
        <v>74</v>
      </c>
      <c r="K3522" s="2" t="s">
        <v>38</v>
      </c>
      <c r="L3522" s="2" t="s">
        <v>38</v>
      </c>
      <c r="M3522" s="2" t="s">
        <v>38</v>
      </c>
      <c r="N3522" s="2" t="s">
        <v>38</v>
      </c>
      <c r="O3522" s="2" t="s">
        <v>38</v>
      </c>
      <c r="P3522" s="2" t="s">
        <v>38</v>
      </c>
      <c r="Q3522" s="2" t="s">
        <v>38</v>
      </c>
      <c r="R3522" s="2" t="s">
        <v>38</v>
      </c>
      <c r="S3522" s="2" t="s">
        <v>38</v>
      </c>
      <c r="T3522" s="2" t="s">
        <v>38</v>
      </c>
      <c r="U3522" s="2" t="s">
        <v>39</v>
      </c>
      <c r="V3522" s="2" t="s">
        <v>38</v>
      </c>
      <c r="W3522" s="2" t="s">
        <v>38</v>
      </c>
      <c r="X3522" s="2" t="s">
        <v>38</v>
      </c>
      <c r="Y3522" s="2" t="s">
        <v>38</v>
      </c>
      <c r="Z3522" s="2" t="s">
        <v>38</v>
      </c>
      <c r="AA3522" s="2" t="s">
        <v>38</v>
      </c>
      <c r="AB3522" s="2" t="s">
        <v>38</v>
      </c>
      <c r="AC3522" s="2" t="s">
        <v>38</v>
      </c>
      <c r="AD3522" s="2" t="s">
        <v>38</v>
      </c>
      <c r="AE3522" s="2" t="s">
        <v>40</v>
      </c>
    </row>
    <row r="3523" spans="1:31" ht="409.5">
      <c r="A3523" s="2">
        <v>2694674</v>
      </c>
      <c r="B3523" s="2">
        <f>HYPERLINK("https://platform.v2.vetology.net/cases/2694674/screening-report/1?type=pdf&amp;v=v6&amp;scorecard=1&amp;secret_key=BX%25IJ%24%2F65ieZ%29f6", 2694674)</f>
        <v>2694674</v>
      </c>
      <c r="C3523" s="2">
        <f>HYPERLINK("https://platform.v2.vetology.net/report/v/final/"&amp;2694674, 2694674)</f>
        <v>2694674</v>
      </c>
      <c r="D3523" s="2" t="s">
        <v>11158</v>
      </c>
      <c r="E3523" s="2" t="s">
        <v>11159</v>
      </c>
      <c r="F3523" s="2" t="s">
        <v>11160</v>
      </c>
      <c r="G3523" s="2" t="s">
        <v>170</v>
      </c>
      <c r="H3523" s="2" t="s">
        <v>11161</v>
      </c>
      <c r="I3523" s="2" t="s">
        <v>36</v>
      </c>
      <c r="J3523" s="2" t="s">
        <v>37</v>
      </c>
      <c r="K3523" s="2" t="s">
        <v>39</v>
      </c>
      <c r="L3523" s="2" t="s">
        <v>39</v>
      </c>
      <c r="M3523" s="2" t="s">
        <v>39</v>
      </c>
      <c r="N3523" s="2" t="s">
        <v>38</v>
      </c>
      <c r="O3523" s="2" t="s">
        <v>39</v>
      </c>
      <c r="P3523" s="2" t="s">
        <v>39</v>
      </c>
      <c r="Q3523" s="2" t="s">
        <v>39</v>
      </c>
      <c r="R3523" s="2" t="s">
        <v>38</v>
      </c>
      <c r="S3523" s="2" t="s">
        <v>38</v>
      </c>
      <c r="T3523" s="2" t="s">
        <v>38</v>
      </c>
      <c r="U3523" s="2" t="s">
        <v>39</v>
      </c>
      <c r="V3523" s="2" t="s">
        <v>39</v>
      </c>
      <c r="W3523" s="2" t="s">
        <v>38</v>
      </c>
      <c r="X3523" s="2" t="s">
        <v>39</v>
      </c>
      <c r="Y3523" s="2" t="s">
        <v>39</v>
      </c>
      <c r="Z3523" s="2" t="s">
        <v>38</v>
      </c>
      <c r="AA3523" s="2" t="s">
        <v>39</v>
      </c>
      <c r="AB3523" s="2" t="s">
        <v>39</v>
      </c>
      <c r="AC3523" s="2" t="s">
        <v>38</v>
      </c>
      <c r="AD3523" s="2" t="s">
        <v>38</v>
      </c>
      <c r="AE3523" s="2" t="s">
        <v>39</v>
      </c>
    </row>
    <row r="3524" spans="1:31" ht="409.5">
      <c r="A3524" s="2">
        <v>2694649</v>
      </c>
      <c r="B3524" s="2">
        <f>HYPERLINK("https://platform.v2.vetology.net/cases/2694649/screening-report/1?type=pdf&amp;v=v6&amp;scorecard=1&amp;secret_key=BX%25IJ%24%2F65ieZ%29f6", 2694649)</f>
        <v>2694649</v>
      </c>
      <c r="C3524" s="2">
        <f>HYPERLINK("https://platform.v2.vetology.net/report/v/final/"&amp;2694649, 2694649)</f>
        <v>2694649</v>
      </c>
      <c r="D3524" s="2" t="s">
        <v>11162</v>
      </c>
      <c r="E3524" s="2" t="s">
        <v>11163</v>
      </c>
      <c r="F3524" s="2" t="s">
        <v>11164</v>
      </c>
      <c r="G3524" s="2" t="s">
        <v>53</v>
      </c>
      <c r="H3524" s="2" t="s">
        <v>10952</v>
      </c>
      <c r="I3524" s="2" t="s">
        <v>36</v>
      </c>
      <c r="J3524" s="2" t="s">
        <v>37</v>
      </c>
      <c r="K3524" s="2" t="s">
        <v>38</v>
      </c>
      <c r="L3524" s="2" t="s">
        <v>38</v>
      </c>
      <c r="M3524" s="2" t="s">
        <v>38</v>
      </c>
      <c r="N3524" s="2" t="s">
        <v>38</v>
      </c>
      <c r="O3524" s="2" t="s">
        <v>38</v>
      </c>
      <c r="P3524" s="2" t="s">
        <v>38</v>
      </c>
      <c r="Q3524" s="2" t="s">
        <v>38</v>
      </c>
      <c r="R3524" s="2" t="s">
        <v>38</v>
      </c>
      <c r="S3524" s="2" t="s">
        <v>38</v>
      </c>
      <c r="T3524" s="2" t="s">
        <v>38</v>
      </c>
      <c r="U3524" s="2" t="s">
        <v>38</v>
      </c>
      <c r="V3524" s="2" t="s">
        <v>38</v>
      </c>
      <c r="W3524" s="2" t="s">
        <v>38</v>
      </c>
      <c r="X3524" s="2" t="s">
        <v>39</v>
      </c>
      <c r="Y3524" s="2" t="s">
        <v>39</v>
      </c>
      <c r="Z3524" s="2" t="s">
        <v>38</v>
      </c>
      <c r="AA3524" s="2" t="s">
        <v>38</v>
      </c>
      <c r="AB3524" s="2" t="s">
        <v>39</v>
      </c>
      <c r="AC3524" s="2" t="s">
        <v>38</v>
      </c>
      <c r="AD3524" s="2" t="s">
        <v>38</v>
      </c>
      <c r="AE3524" s="2" t="s">
        <v>40</v>
      </c>
    </row>
    <row r="3525" spans="1:31" ht="409.5">
      <c r="A3525" s="2">
        <v>2694620</v>
      </c>
      <c r="B3525" s="2">
        <f>HYPERLINK("https://platform.v2.vetology.net/cases/2694620/screening-report/1?type=pdf&amp;v=v6&amp;scorecard=1&amp;secret_key=BX%25IJ%24%2F65ieZ%29f6", 2694620)</f>
        <v>2694620</v>
      </c>
      <c r="C3525" s="2">
        <f>HYPERLINK("https://platform.v2.vetology.net/report/v/final/"&amp;2694620, 2694620)</f>
        <v>2694620</v>
      </c>
      <c r="D3525" s="2" t="s">
        <v>11165</v>
      </c>
      <c r="E3525" s="2" t="s">
        <v>11166</v>
      </c>
      <c r="F3525" s="2" t="s">
        <v>11167</v>
      </c>
      <c r="G3525" s="2" t="s">
        <v>127</v>
      </c>
      <c r="H3525" s="2" t="s">
        <v>11168</v>
      </c>
      <c r="I3525" s="2" t="s">
        <v>36</v>
      </c>
      <c r="J3525" s="2" t="s">
        <v>37</v>
      </c>
      <c r="K3525" s="2" t="s">
        <v>39</v>
      </c>
      <c r="L3525" s="2" t="s">
        <v>38</v>
      </c>
      <c r="M3525" s="2" t="s">
        <v>38</v>
      </c>
      <c r="N3525" s="2" t="s">
        <v>39</v>
      </c>
      <c r="O3525" s="2" t="s">
        <v>39</v>
      </c>
      <c r="P3525" s="2" t="s">
        <v>39</v>
      </c>
      <c r="Q3525" s="2" t="s">
        <v>39</v>
      </c>
      <c r="R3525" s="2" t="s">
        <v>39</v>
      </c>
      <c r="S3525" s="2" t="s">
        <v>38</v>
      </c>
      <c r="T3525" s="2" t="s">
        <v>39</v>
      </c>
      <c r="U3525" s="2" t="s">
        <v>39</v>
      </c>
      <c r="V3525" s="2" t="s">
        <v>38</v>
      </c>
      <c r="W3525" s="2" t="s">
        <v>39</v>
      </c>
      <c r="X3525" s="2" t="s">
        <v>39</v>
      </c>
      <c r="Y3525" s="2" t="s">
        <v>39</v>
      </c>
      <c r="Z3525" s="2" t="s">
        <v>39</v>
      </c>
      <c r="AA3525" s="2" t="s">
        <v>38</v>
      </c>
      <c r="AB3525" s="2" t="s">
        <v>39</v>
      </c>
      <c r="AC3525" s="2" t="s">
        <v>38</v>
      </c>
      <c r="AD3525" s="2" t="s">
        <v>38</v>
      </c>
      <c r="AE3525" s="2" t="s">
        <v>39</v>
      </c>
    </row>
    <row r="3526" spans="1:31" ht="409.5">
      <c r="A3526" s="2">
        <v>2694591</v>
      </c>
      <c r="B3526" s="2">
        <f>HYPERLINK("https://platform.v2.vetology.net/cases/2694591/screening-report/1?type=pdf&amp;v=v6&amp;scorecard=1&amp;secret_key=BX%25IJ%24%2F65ieZ%29f6", 2694591)</f>
        <v>2694591</v>
      </c>
      <c r="C3526" s="2">
        <f>HYPERLINK("https://platform.v2.vetology.net/report/v/final/"&amp;2694591, 2694591)</f>
        <v>2694591</v>
      </c>
      <c r="D3526" s="2" t="s">
        <v>11169</v>
      </c>
      <c r="E3526" s="2" t="s">
        <v>11170</v>
      </c>
      <c r="F3526" s="2" t="s">
        <v>11171</v>
      </c>
      <c r="G3526" s="2" t="s">
        <v>100</v>
      </c>
      <c r="H3526" s="2" t="s">
        <v>11172</v>
      </c>
      <c r="I3526" s="2" t="s">
        <v>36</v>
      </c>
      <c r="J3526" s="2" t="s">
        <v>37</v>
      </c>
      <c r="K3526" s="2" t="s">
        <v>38</v>
      </c>
      <c r="L3526" s="2" t="s">
        <v>38</v>
      </c>
      <c r="M3526" s="2" t="s">
        <v>39</v>
      </c>
      <c r="N3526" s="2" t="s">
        <v>38</v>
      </c>
      <c r="O3526" s="2" t="s">
        <v>39</v>
      </c>
      <c r="P3526" s="2" t="s">
        <v>39</v>
      </c>
      <c r="Q3526" s="2" t="s">
        <v>39</v>
      </c>
      <c r="R3526" s="2" t="s">
        <v>39</v>
      </c>
      <c r="S3526" s="2" t="s">
        <v>39</v>
      </c>
      <c r="T3526" s="2" t="s">
        <v>39</v>
      </c>
      <c r="U3526" s="2" t="s">
        <v>38</v>
      </c>
      <c r="V3526" s="2" t="s">
        <v>38</v>
      </c>
      <c r="W3526" s="2" t="s">
        <v>38</v>
      </c>
      <c r="X3526" s="2" t="s">
        <v>39</v>
      </c>
      <c r="Y3526" s="2" t="s">
        <v>39</v>
      </c>
      <c r="Z3526" s="2" t="s">
        <v>39</v>
      </c>
      <c r="AA3526" s="2" t="s">
        <v>38</v>
      </c>
      <c r="AB3526" s="2" t="s">
        <v>38</v>
      </c>
      <c r="AC3526" s="2" t="s">
        <v>38</v>
      </c>
      <c r="AD3526" s="2" t="s">
        <v>38</v>
      </c>
      <c r="AE3526" s="2" t="s">
        <v>40</v>
      </c>
    </row>
    <row r="3527" spans="1:31" ht="409.5">
      <c r="A3527" s="2">
        <v>2694587</v>
      </c>
      <c r="B3527" s="2">
        <f>HYPERLINK("https://platform.v2.vetology.net/cases/2694587/screening-report/1?type=pdf&amp;v=v6&amp;scorecard=1&amp;secret_key=BX%25IJ%24%2F65ieZ%29f6", 2694587)</f>
        <v>2694587</v>
      </c>
      <c r="C3527" s="2">
        <f>HYPERLINK("https://platform.v2.vetology.net/report/v/final/"&amp;2694587, 2694587)</f>
        <v>2694587</v>
      </c>
      <c r="D3527" s="2" t="s">
        <v>11173</v>
      </c>
      <c r="E3527" s="2" t="s">
        <v>11174</v>
      </c>
      <c r="F3527" s="2" t="s">
        <v>11175</v>
      </c>
      <c r="G3527" s="2" t="s">
        <v>127</v>
      </c>
      <c r="H3527" s="2" t="s">
        <v>1985</v>
      </c>
      <c r="I3527" s="2" t="s">
        <v>36</v>
      </c>
      <c r="J3527" s="2" t="s">
        <v>37</v>
      </c>
      <c r="K3527" s="2" t="s">
        <v>39</v>
      </c>
      <c r="L3527" s="2" t="s">
        <v>38</v>
      </c>
      <c r="M3527" s="2" t="s">
        <v>38</v>
      </c>
      <c r="N3527" s="2" t="s">
        <v>38</v>
      </c>
      <c r="O3527" s="2" t="s">
        <v>38</v>
      </c>
      <c r="P3527" s="2" t="s">
        <v>39</v>
      </c>
      <c r="Q3527" s="2" t="s">
        <v>39</v>
      </c>
      <c r="R3527" s="2" t="s">
        <v>39</v>
      </c>
      <c r="S3527" s="2" t="s">
        <v>39</v>
      </c>
      <c r="T3527" s="2" t="s">
        <v>39</v>
      </c>
      <c r="U3527" s="2" t="s">
        <v>38</v>
      </c>
      <c r="V3527" s="2" t="s">
        <v>39</v>
      </c>
      <c r="W3527" s="2" t="s">
        <v>39</v>
      </c>
      <c r="X3527" s="2" t="s">
        <v>38</v>
      </c>
      <c r="Y3527" s="2" t="s">
        <v>39</v>
      </c>
      <c r="Z3527" s="2" t="s">
        <v>39</v>
      </c>
      <c r="AA3527" s="2" t="s">
        <v>38</v>
      </c>
      <c r="AB3527" s="2" t="s">
        <v>39</v>
      </c>
      <c r="AC3527" s="2" t="s">
        <v>38</v>
      </c>
      <c r="AD3527" s="2" t="s">
        <v>38</v>
      </c>
      <c r="AE3527" s="2"/>
    </row>
    <row r="3528" spans="1:31" ht="409.5">
      <c r="A3528" s="2">
        <v>2694586</v>
      </c>
      <c r="B3528" s="2">
        <f>HYPERLINK("https://platform.v2.vetology.net/cases/2694586/screening-report/1?type=pdf&amp;v=v6&amp;scorecard=1&amp;secret_key=BX%25IJ%24%2F65ieZ%29f6", 2694586)</f>
        <v>2694586</v>
      </c>
      <c r="C3528" s="2">
        <f>HYPERLINK("https://platform.v2.vetology.net/report/v/final/"&amp;2694586, 2694586)</f>
        <v>2694586</v>
      </c>
      <c r="D3528" s="2" t="s">
        <v>11176</v>
      </c>
      <c r="E3528" s="2" t="s">
        <v>11177</v>
      </c>
      <c r="F3528" s="2" t="s">
        <v>11178</v>
      </c>
      <c r="G3528" s="2" t="s">
        <v>127</v>
      </c>
      <c r="H3528" s="2" t="s">
        <v>419</v>
      </c>
      <c r="I3528" s="2" t="s">
        <v>36</v>
      </c>
      <c r="J3528" s="2" t="s">
        <v>37</v>
      </c>
      <c r="K3528" s="2" t="s">
        <v>39</v>
      </c>
      <c r="L3528" s="2" t="s">
        <v>39</v>
      </c>
      <c r="M3528" s="2" t="s">
        <v>38</v>
      </c>
      <c r="N3528" s="2" t="s">
        <v>39</v>
      </c>
      <c r="O3528" s="2" t="s">
        <v>39</v>
      </c>
      <c r="P3528" s="2" t="s">
        <v>39</v>
      </c>
      <c r="Q3528" s="2" t="s">
        <v>39</v>
      </c>
      <c r="R3528" s="2" t="s">
        <v>38</v>
      </c>
      <c r="S3528" s="2" t="s">
        <v>39</v>
      </c>
      <c r="T3528" s="2" t="s">
        <v>39</v>
      </c>
      <c r="U3528" s="2" t="s">
        <v>39</v>
      </c>
      <c r="V3528" s="2" t="s">
        <v>39</v>
      </c>
      <c r="W3528" s="2" t="s">
        <v>39</v>
      </c>
      <c r="X3528" s="2" t="s">
        <v>39</v>
      </c>
      <c r="Y3528" s="2" t="s">
        <v>39</v>
      </c>
      <c r="Z3528" s="2" t="s">
        <v>39</v>
      </c>
      <c r="AA3528" s="2" t="s">
        <v>39</v>
      </c>
      <c r="AB3528" s="2" t="s">
        <v>39</v>
      </c>
      <c r="AC3528" s="2" t="s">
        <v>38</v>
      </c>
      <c r="AD3528" s="2" t="s">
        <v>38</v>
      </c>
      <c r="AE3528" s="2" t="s">
        <v>39</v>
      </c>
    </row>
    <row r="3529" spans="1:31" ht="409.5">
      <c r="A3529" s="2">
        <v>2694557</v>
      </c>
      <c r="B3529" s="2">
        <f>HYPERLINK("https://platform.v2.vetology.net/cases/2694557/screening-report/1?type=pdf&amp;v=v6&amp;scorecard=1&amp;secret_key=BX%25IJ%24%2F65ieZ%29f6", 2694557)</f>
        <v>2694557</v>
      </c>
      <c r="C3529" s="2">
        <f>HYPERLINK("https://platform.v2.vetology.net/report/v/final/"&amp;2694557, 2694557)</f>
        <v>2694557</v>
      </c>
      <c r="D3529" s="2" t="s">
        <v>11179</v>
      </c>
      <c r="E3529" s="2" t="s">
        <v>11180</v>
      </c>
      <c r="F3529" s="2" t="s">
        <v>738</v>
      </c>
      <c r="G3529" s="2" t="s">
        <v>34</v>
      </c>
      <c r="H3529" s="2" t="s">
        <v>182</v>
      </c>
      <c r="I3529" s="2" t="s">
        <v>46</v>
      </c>
      <c r="J3529" s="2"/>
      <c r="K3529" s="2" t="s">
        <v>38</v>
      </c>
      <c r="L3529" s="2" t="s">
        <v>39</v>
      </c>
      <c r="M3529" s="2" t="s">
        <v>39</v>
      </c>
      <c r="N3529" s="2" t="s">
        <v>39</v>
      </c>
      <c r="O3529" s="2" t="s">
        <v>39</v>
      </c>
      <c r="P3529" s="2" t="s">
        <v>39</v>
      </c>
      <c r="Q3529" s="2" t="s">
        <v>39</v>
      </c>
      <c r="R3529" s="2" t="s">
        <v>38</v>
      </c>
      <c r="S3529" s="2" t="s">
        <v>39</v>
      </c>
      <c r="T3529" s="2" t="s">
        <v>39</v>
      </c>
      <c r="U3529" s="2" t="s">
        <v>39</v>
      </c>
      <c r="V3529" s="2" t="s">
        <v>38</v>
      </c>
      <c r="W3529" s="2" t="s">
        <v>39</v>
      </c>
      <c r="X3529" s="2" t="s">
        <v>39</v>
      </c>
      <c r="Y3529" s="2" t="s">
        <v>39</v>
      </c>
      <c r="Z3529" s="2" t="s">
        <v>39</v>
      </c>
      <c r="AA3529" s="2" t="s">
        <v>39</v>
      </c>
      <c r="AB3529" s="2" t="s">
        <v>39</v>
      </c>
      <c r="AC3529" s="2" t="s">
        <v>39</v>
      </c>
      <c r="AD3529" s="2" t="s">
        <v>38</v>
      </c>
      <c r="AE3529" s="2" t="s">
        <v>39</v>
      </c>
    </row>
    <row r="3530" spans="1:31" ht="409.5">
      <c r="A3530" s="2">
        <v>2694552</v>
      </c>
      <c r="B3530" s="2">
        <f>HYPERLINK("https://platform.v2.vetology.net/cases/2694552/screening-report/1?type=pdf&amp;v=v6&amp;scorecard=1&amp;secret_key=BX%25IJ%24%2F65ieZ%29f6", 2694552)</f>
        <v>2694552</v>
      </c>
      <c r="C3530" s="2">
        <f>HYPERLINK("https://platform.v2.vetology.net/report/v/final/"&amp;2694552, 2694552)</f>
        <v>2694552</v>
      </c>
      <c r="D3530" s="2" t="s">
        <v>11181</v>
      </c>
      <c r="E3530" s="2" t="s">
        <v>11182</v>
      </c>
      <c r="F3530" s="2" t="s">
        <v>11183</v>
      </c>
      <c r="G3530" s="2" t="s">
        <v>100</v>
      </c>
      <c r="H3530" s="2" t="s">
        <v>6676</v>
      </c>
      <c r="I3530" s="2" t="s">
        <v>36</v>
      </c>
      <c r="J3530" s="2" t="s">
        <v>37</v>
      </c>
      <c r="K3530" s="2" t="s">
        <v>39</v>
      </c>
      <c r="L3530" s="2" t="s">
        <v>38</v>
      </c>
      <c r="M3530" s="2" t="s">
        <v>38</v>
      </c>
      <c r="N3530" s="2" t="s">
        <v>38</v>
      </c>
      <c r="O3530" s="2" t="s">
        <v>38</v>
      </c>
      <c r="P3530" s="2" t="s">
        <v>39</v>
      </c>
      <c r="Q3530" s="2" t="s">
        <v>39</v>
      </c>
      <c r="R3530" s="2" t="s">
        <v>38</v>
      </c>
      <c r="S3530" s="2" t="s">
        <v>38</v>
      </c>
      <c r="T3530" s="2" t="s">
        <v>39</v>
      </c>
      <c r="U3530" s="2" t="s">
        <v>39</v>
      </c>
      <c r="V3530" s="2" t="s">
        <v>39</v>
      </c>
      <c r="W3530" s="2" t="s">
        <v>38</v>
      </c>
      <c r="X3530" s="2" t="s">
        <v>39</v>
      </c>
      <c r="Y3530" s="2" t="s">
        <v>39</v>
      </c>
      <c r="Z3530" s="2" t="s">
        <v>38</v>
      </c>
      <c r="AA3530" s="2" t="s">
        <v>38</v>
      </c>
      <c r="AB3530" s="2" t="s">
        <v>39</v>
      </c>
      <c r="AC3530" s="2" t="s">
        <v>38</v>
      </c>
      <c r="AD3530" s="2" t="s">
        <v>38</v>
      </c>
      <c r="AE3530" s="2" t="s">
        <v>39</v>
      </c>
    </row>
    <row r="3531" spans="1:31" ht="409.5">
      <c r="A3531" s="2">
        <v>2694531</v>
      </c>
      <c r="B3531" s="2">
        <f>HYPERLINK("https://platform.v2.vetology.net/cases/2694531/screening-report/1?type=pdf&amp;v=v6&amp;scorecard=1&amp;secret_key=BX%25IJ%24%2F65ieZ%29f6", 2694531)</f>
        <v>2694531</v>
      </c>
      <c r="C3531" s="2">
        <f>HYPERLINK("https://platform.v2.vetology.net/report/v/final/"&amp;2694531, 2694531)</f>
        <v>2694531</v>
      </c>
      <c r="D3531" s="2" t="s">
        <v>11184</v>
      </c>
      <c r="E3531" s="2" t="s">
        <v>11185</v>
      </c>
      <c r="F3531" s="2"/>
      <c r="G3531" s="2" t="s">
        <v>81</v>
      </c>
      <c r="H3531" s="2" t="s">
        <v>11186</v>
      </c>
      <c r="I3531" s="2" t="s">
        <v>73</v>
      </c>
      <c r="J3531" s="2" t="s">
        <v>74</v>
      </c>
      <c r="K3531" s="2" t="s">
        <v>38</v>
      </c>
      <c r="L3531" s="2" t="s">
        <v>39</v>
      </c>
      <c r="M3531" s="2" t="s">
        <v>38</v>
      </c>
      <c r="N3531" s="2" t="s">
        <v>38</v>
      </c>
      <c r="O3531" s="2" t="s">
        <v>38</v>
      </c>
      <c r="P3531" s="2" t="s">
        <v>38</v>
      </c>
      <c r="Q3531" s="2" t="s">
        <v>38</v>
      </c>
      <c r="R3531" s="2" t="s">
        <v>38</v>
      </c>
      <c r="S3531" s="2" t="s">
        <v>38</v>
      </c>
      <c r="T3531" s="2" t="s">
        <v>38</v>
      </c>
      <c r="U3531" s="2" t="s">
        <v>38</v>
      </c>
      <c r="V3531" s="2" t="s">
        <v>38</v>
      </c>
      <c r="W3531" s="2" t="s">
        <v>38</v>
      </c>
      <c r="X3531" s="2" t="s">
        <v>38</v>
      </c>
      <c r="Y3531" s="2" t="s">
        <v>38</v>
      </c>
      <c r="Z3531" s="2" t="s">
        <v>38</v>
      </c>
      <c r="AA3531" s="2" t="s">
        <v>38</v>
      </c>
      <c r="AB3531" s="2" t="s">
        <v>38</v>
      </c>
      <c r="AC3531" s="2" t="s">
        <v>38</v>
      </c>
      <c r="AD3531" s="2" t="s">
        <v>38</v>
      </c>
      <c r="AE3531" s="2" t="s">
        <v>40</v>
      </c>
    </row>
    <row r="3532" spans="1:31" ht="409.5">
      <c r="A3532" s="2">
        <v>2694517</v>
      </c>
      <c r="B3532" s="2">
        <f>HYPERLINK("https://platform.v2.vetology.net/cases/2694517/screening-report/1?type=pdf&amp;v=v6&amp;scorecard=1&amp;secret_key=BX%25IJ%24%2F65ieZ%29f6", 2694517)</f>
        <v>2694517</v>
      </c>
      <c r="C3532" s="2">
        <f>HYPERLINK("https://platform.v2.vetology.net/report/v/final/"&amp;2694517, 2694517)</f>
        <v>2694517</v>
      </c>
      <c r="D3532" s="2" t="s">
        <v>11187</v>
      </c>
      <c r="E3532" s="2" t="s">
        <v>11188</v>
      </c>
      <c r="F3532" s="2" t="s">
        <v>11189</v>
      </c>
      <c r="G3532" s="2" t="s">
        <v>127</v>
      </c>
      <c r="H3532" s="2" t="s">
        <v>182</v>
      </c>
      <c r="I3532" s="2" t="s">
        <v>46</v>
      </c>
      <c r="J3532" s="2"/>
      <c r="K3532" s="2" t="s">
        <v>38</v>
      </c>
      <c r="L3532" s="2" t="s">
        <v>39</v>
      </c>
      <c r="M3532" s="2" t="s">
        <v>39</v>
      </c>
      <c r="N3532" s="2" t="s">
        <v>39</v>
      </c>
      <c r="O3532" s="2" t="s">
        <v>39</v>
      </c>
      <c r="P3532" s="2" t="s">
        <v>39</v>
      </c>
      <c r="Q3532" s="2" t="s">
        <v>39</v>
      </c>
      <c r="R3532" s="2" t="s">
        <v>38</v>
      </c>
      <c r="S3532" s="2" t="s">
        <v>39</v>
      </c>
      <c r="T3532" s="2" t="s">
        <v>39</v>
      </c>
      <c r="U3532" s="2" t="s">
        <v>39</v>
      </c>
      <c r="V3532" s="2" t="s">
        <v>38</v>
      </c>
      <c r="W3532" s="2" t="s">
        <v>39</v>
      </c>
      <c r="X3532" s="2" t="s">
        <v>39</v>
      </c>
      <c r="Y3532" s="2" t="s">
        <v>39</v>
      </c>
      <c r="Z3532" s="2" t="s">
        <v>39</v>
      </c>
      <c r="AA3532" s="2" t="s">
        <v>39</v>
      </c>
      <c r="AB3532" s="2" t="s">
        <v>39</v>
      </c>
      <c r="AC3532" s="2" t="s">
        <v>38</v>
      </c>
      <c r="AD3532" s="2" t="s">
        <v>38</v>
      </c>
      <c r="AE3532" s="2" t="s">
        <v>39</v>
      </c>
    </row>
    <row r="3533" spans="1:31" ht="409.5">
      <c r="A3533" s="2">
        <v>2694498</v>
      </c>
      <c r="B3533" s="2">
        <f>HYPERLINK("https://platform.v2.vetology.net/cases/2694498/screening-report/1?type=pdf&amp;v=v6&amp;scorecard=1&amp;secret_key=BX%25IJ%24%2F65ieZ%29f6", 2694498)</f>
        <v>2694498</v>
      </c>
      <c r="C3533" s="2">
        <f>HYPERLINK("https://platform.v2.vetology.net/report/v/final/"&amp;2694498, 2694498)</f>
        <v>2694498</v>
      </c>
      <c r="D3533" s="2" t="s">
        <v>11190</v>
      </c>
      <c r="E3533" s="2" t="s">
        <v>11191</v>
      </c>
      <c r="F3533" s="2" t="s">
        <v>11192</v>
      </c>
      <c r="G3533" s="2" t="s">
        <v>127</v>
      </c>
      <c r="H3533" s="2" t="s">
        <v>1311</v>
      </c>
      <c r="I3533" s="2" t="s">
        <v>129</v>
      </c>
      <c r="J3533" s="2" t="s">
        <v>74</v>
      </c>
      <c r="K3533" s="2" t="s">
        <v>39</v>
      </c>
      <c r="L3533" s="2" t="s">
        <v>39</v>
      </c>
      <c r="M3533" s="2" t="s">
        <v>38</v>
      </c>
      <c r="N3533" s="2" t="s">
        <v>39</v>
      </c>
      <c r="O3533" s="2" t="s">
        <v>38</v>
      </c>
      <c r="P3533" s="2" t="s">
        <v>39</v>
      </c>
      <c r="Q3533" s="2" t="s">
        <v>38</v>
      </c>
      <c r="R3533" s="2" t="s">
        <v>39</v>
      </c>
      <c r="S3533" s="2" t="s">
        <v>39</v>
      </c>
      <c r="T3533" s="2" t="s">
        <v>39</v>
      </c>
      <c r="U3533" s="2" t="s">
        <v>38</v>
      </c>
      <c r="V3533" s="2" t="s">
        <v>39</v>
      </c>
      <c r="W3533" s="2" t="s">
        <v>39</v>
      </c>
      <c r="X3533" s="2" t="s">
        <v>38</v>
      </c>
      <c r="Y3533" s="2" t="s">
        <v>39</v>
      </c>
      <c r="Z3533" s="2" t="s">
        <v>39</v>
      </c>
      <c r="AA3533" s="2" t="s">
        <v>39</v>
      </c>
      <c r="AB3533" s="2" t="s">
        <v>38</v>
      </c>
      <c r="AC3533" s="2" t="s">
        <v>38</v>
      </c>
      <c r="AD3533" s="2" t="s">
        <v>39</v>
      </c>
      <c r="AE3533" s="2"/>
    </row>
    <row r="3534" spans="1:31" ht="409.5">
      <c r="A3534" s="2">
        <v>2694472</v>
      </c>
      <c r="B3534" s="2">
        <f>HYPERLINK("https://platform.v2.vetology.net/cases/2694472/screening-report/1?type=pdf&amp;v=v6&amp;scorecard=1&amp;secret_key=BX%25IJ%24%2F65ieZ%29f6", 2694472)</f>
        <v>2694472</v>
      </c>
      <c r="C3534" s="2">
        <f>HYPERLINK("https://platform.v2.vetology.net/report/v/final/"&amp;2694472, 2694472)</f>
        <v>2694472</v>
      </c>
      <c r="D3534" s="2" t="s">
        <v>11193</v>
      </c>
      <c r="E3534" s="2" t="s">
        <v>11194</v>
      </c>
      <c r="F3534" s="2" t="s">
        <v>11195</v>
      </c>
      <c r="G3534" s="2" t="s">
        <v>170</v>
      </c>
      <c r="H3534" s="2" t="s">
        <v>11196</v>
      </c>
      <c r="I3534" s="2" t="s">
        <v>36</v>
      </c>
      <c r="J3534" s="2" t="s">
        <v>37</v>
      </c>
      <c r="K3534" s="2" t="s">
        <v>39</v>
      </c>
      <c r="L3534" s="2" t="s">
        <v>38</v>
      </c>
      <c r="M3534" s="2" t="s">
        <v>39</v>
      </c>
      <c r="N3534" s="2" t="s">
        <v>39</v>
      </c>
      <c r="O3534" s="2" t="s">
        <v>39</v>
      </c>
      <c r="P3534" s="2" t="s">
        <v>39</v>
      </c>
      <c r="Q3534" s="2" t="s">
        <v>39</v>
      </c>
      <c r="R3534" s="2" t="s">
        <v>38</v>
      </c>
      <c r="S3534" s="2" t="s">
        <v>38</v>
      </c>
      <c r="T3534" s="2" t="s">
        <v>38</v>
      </c>
      <c r="U3534" s="2" t="s">
        <v>39</v>
      </c>
      <c r="V3534" s="2" t="s">
        <v>39</v>
      </c>
      <c r="W3534" s="2" t="s">
        <v>38</v>
      </c>
      <c r="X3534" s="2" t="s">
        <v>39</v>
      </c>
      <c r="Y3534" s="2" t="s">
        <v>39</v>
      </c>
      <c r="Z3534" s="2" t="s">
        <v>38</v>
      </c>
      <c r="AA3534" s="2" t="s">
        <v>39</v>
      </c>
      <c r="AB3534" s="2" t="s">
        <v>39</v>
      </c>
      <c r="AC3534" s="2" t="s">
        <v>39</v>
      </c>
      <c r="AD3534" s="2" t="s">
        <v>38</v>
      </c>
      <c r="AE3534" s="2"/>
    </row>
    <row r="3535" spans="1:31" ht="409.5">
      <c r="A3535" s="2">
        <v>2694376</v>
      </c>
      <c r="B3535" s="2">
        <f>HYPERLINK("https://platform.v2.vetology.net/cases/2694376/screening-report/1?type=pdf&amp;v=v6&amp;scorecard=1&amp;secret_key=BX%25IJ%24%2F65ieZ%29f6", 2694376)</f>
        <v>2694376</v>
      </c>
      <c r="C3535" s="2">
        <f>HYPERLINK("https://platform.v2.vetology.net/report/v/final/"&amp;2694376, 2694376)</f>
        <v>2694376</v>
      </c>
      <c r="D3535" s="2" t="s">
        <v>11197</v>
      </c>
      <c r="E3535" s="2" t="s">
        <v>11198</v>
      </c>
      <c r="F3535" s="2" t="s">
        <v>11199</v>
      </c>
      <c r="G3535" s="2" t="s">
        <v>127</v>
      </c>
      <c r="H3535" s="2" t="s">
        <v>419</v>
      </c>
      <c r="I3535" s="2" t="s">
        <v>36</v>
      </c>
      <c r="J3535" s="2" t="s">
        <v>37</v>
      </c>
      <c r="K3535" s="2" t="s">
        <v>39</v>
      </c>
      <c r="L3535" s="2" t="s">
        <v>39</v>
      </c>
      <c r="M3535" s="2" t="s">
        <v>38</v>
      </c>
      <c r="N3535" s="2" t="s">
        <v>39</v>
      </c>
      <c r="O3535" s="2" t="s">
        <v>38</v>
      </c>
      <c r="P3535" s="2" t="s">
        <v>39</v>
      </c>
      <c r="Q3535" s="2" t="s">
        <v>39</v>
      </c>
      <c r="R3535" s="2" t="s">
        <v>38</v>
      </c>
      <c r="S3535" s="2" t="s">
        <v>39</v>
      </c>
      <c r="T3535" s="2" t="s">
        <v>38</v>
      </c>
      <c r="U3535" s="2" t="s">
        <v>39</v>
      </c>
      <c r="V3535" s="2" t="s">
        <v>39</v>
      </c>
      <c r="W3535" s="2" t="s">
        <v>38</v>
      </c>
      <c r="X3535" s="2" t="s">
        <v>39</v>
      </c>
      <c r="Y3535" s="2" t="s">
        <v>39</v>
      </c>
      <c r="Z3535" s="2" t="s">
        <v>38</v>
      </c>
      <c r="AA3535" s="2" t="s">
        <v>39</v>
      </c>
      <c r="AB3535" s="2" t="s">
        <v>39</v>
      </c>
      <c r="AC3535" s="2" t="s">
        <v>38</v>
      </c>
      <c r="AD3535" s="2" t="s">
        <v>38</v>
      </c>
      <c r="AE3535" s="2" t="s">
        <v>40</v>
      </c>
    </row>
    <row r="3536" spans="1:31" ht="409.5">
      <c r="A3536" s="2">
        <v>2694270</v>
      </c>
      <c r="B3536" s="2">
        <f>HYPERLINK("https://platform.v2.vetology.net/cases/2694270/screening-report/1?type=pdf&amp;v=v6&amp;scorecard=1&amp;secret_key=BX%25IJ%24%2F65ieZ%29f6", 2694270)</f>
        <v>2694270</v>
      </c>
      <c r="C3536" s="2">
        <f>HYPERLINK("https://platform.v2.vetology.net/report/v/final/"&amp;2694270, 2694270)</f>
        <v>2694270</v>
      </c>
      <c r="D3536" s="2" t="s">
        <v>11200</v>
      </c>
      <c r="E3536" s="2" t="s">
        <v>11201</v>
      </c>
      <c r="F3536" s="2" t="s">
        <v>5055</v>
      </c>
      <c r="G3536" s="2" t="s">
        <v>53</v>
      </c>
      <c r="H3536" s="2" t="s">
        <v>11202</v>
      </c>
      <c r="I3536" s="2" t="s">
        <v>36</v>
      </c>
      <c r="J3536" s="2" t="s">
        <v>37</v>
      </c>
      <c r="K3536" s="2" t="s">
        <v>39</v>
      </c>
      <c r="L3536" s="2" t="s">
        <v>39</v>
      </c>
      <c r="M3536" s="2" t="s">
        <v>38</v>
      </c>
      <c r="N3536" s="2" t="s">
        <v>38</v>
      </c>
      <c r="O3536" s="2" t="s">
        <v>38</v>
      </c>
      <c r="P3536" s="2" t="s">
        <v>39</v>
      </c>
      <c r="Q3536" s="2" t="s">
        <v>39</v>
      </c>
      <c r="R3536" s="2" t="s">
        <v>38</v>
      </c>
      <c r="S3536" s="2" t="s">
        <v>38</v>
      </c>
      <c r="T3536" s="2" t="s">
        <v>38</v>
      </c>
      <c r="U3536" s="2" t="s">
        <v>39</v>
      </c>
      <c r="V3536" s="2" t="s">
        <v>39</v>
      </c>
      <c r="W3536" s="2" t="s">
        <v>38</v>
      </c>
      <c r="X3536" s="2" t="s">
        <v>39</v>
      </c>
      <c r="Y3536" s="2" t="s">
        <v>39</v>
      </c>
      <c r="Z3536" s="2" t="s">
        <v>38</v>
      </c>
      <c r="AA3536" s="2" t="s">
        <v>39</v>
      </c>
      <c r="AB3536" s="2" t="s">
        <v>39</v>
      </c>
      <c r="AC3536" s="2" t="s">
        <v>38</v>
      </c>
      <c r="AD3536" s="2" t="s">
        <v>39</v>
      </c>
      <c r="AE3536" s="2" t="s">
        <v>39</v>
      </c>
    </row>
    <row r="3537" spans="1:31" ht="409.5">
      <c r="A3537" s="2">
        <v>2694259</v>
      </c>
      <c r="B3537" s="2">
        <f>HYPERLINK("https://platform.v2.vetology.net/cases/2694259/screening-report/1?type=pdf&amp;v=v6&amp;scorecard=1&amp;secret_key=BX%25IJ%24%2F65ieZ%29f6", 2694259)</f>
        <v>2694259</v>
      </c>
      <c r="C3537" s="2">
        <f>HYPERLINK("https://platform.v2.vetology.net/report/v/final/"&amp;2694259, 2694259)</f>
        <v>2694259</v>
      </c>
      <c r="D3537" s="2" t="s">
        <v>11203</v>
      </c>
      <c r="E3537" s="2" t="s">
        <v>11204</v>
      </c>
      <c r="F3537" s="2" t="s">
        <v>11205</v>
      </c>
      <c r="G3537" s="2" t="s">
        <v>170</v>
      </c>
      <c r="H3537" s="2" t="s">
        <v>5999</v>
      </c>
      <c r="I3537" s="2" t="s">
        <v>73</v>
      </c>
      <c r="J3537" s="2" t="s">
        <v>74</v>
      </c>
      <c r="K3537" s="2" t="s">
        <v>38</v>
      </c>
      <c r="L3537" s="2" t="s">
        <v>38</v>
      </c>
      <c r="M3537" s="2" t="s">
        <v>38</v>
      </c>
      <c r="N3537" s="2" t="s">
        <v>38</v>
      </c>
      <c r="O3537" s="2" t="s">
        <v>38</v>
      </c>
      <c r="P3537" s="2" t="s">
        <v>38</v>
      </c>
      <c r="Q3537" s="2" t="s">
        <v>38</v>
      </c>
      <c r="R3537" s="2" t="s">
        <v>38</v>
      </c>
      <c r="S3537" s="2" t="s">
        <v>38</v>
      </c>
      <c r="T3537" s="2" t="s">
        <v>38</v>
      </c>
      <c r="U3537" s="2" t="s">
        <v>38</v>
      </c>
      <c r="V3537" s="2" t="s">
        <v>38</v>
      </c>
      <c r="W3537" s="2" t="s">
        <v>38</v>
      </c>
      <c r="X3537" s="2" t="s">
        <v>38</v>
      </c>
      <c r="Y3537" s="2" t="s">
        <v>38</v>
      </c>
      <c r="Z3537" s="2" t="s">
        <v>38</v>
      </c>
      <c r="AA3537" s="2" t="s">
        <v>38</v>
      </c>
      <c r="AB3537" s="2" t="s">
        <v>38</v>
      </c>
      <c r="AC3537" s="2" t="s">
        <v>38</v>
      </c>
      <c r="AD3537" s="2" t="s">
        <v>38</v>
      </c>
      <c r="AE3537" s="2" t="s">
        <v>40</v>
      </c>
    </row>
    <row r="3538" spans="1:31" ht="409.5">
      <c r="A3538" s="2">
        <v>2694254</v>
      </c>
      <c r="B3538" s="2">
        <f>HYPERLINK("https://platform.v2.vetology.net/cases/2694254/screening-report/1?type=pdf&amp;v=v6&amp;scorecard=1&amp;secret_key=BX%25IJ%24%2F65ieZ%29f6", 2694254)</f>
        <v>2694254</v>
      </c>
      <c r="C3538" s="2">
        <f>HYPERLINK("https://platform.v2.vetology.net/report/v/final/"&amp;2694254, 2694254)</f>
        <v>2694254</v>
      </c>
      <c r="D3538" s="2" t="s">
        <v>11206</v>
      </c>
      <c r="E3538" s="2" t="s">
        <v>11207</v>
      </c>
      <c r="F3538" s="2" t="s">
        <v>11208</v>
      </c>
      <c r="G3538" s="2" t="s">
        <v>170</v>
      </c>
      <c r="H3538" s="2" t="s">
        <v>11209</v>
      </c>
      <c r="I3538" s="2" t="s">
        <v>129</v>
      </c>
      <c r="J3538" s="2" t="s">
        <v>74</v>
      </c>
      <c r="K3538" s="2" t="s">
        <v>38</v>
      </c>
      <c r="L3538" s="2" t="s">
        <v>38</v>
      </c>
      <c r="M3538" s="2" t="s">
        <v>38</v>
      </c>
      <c r="N3538" s="2" t="s">
        <v>38</v>
      </c>
      <c r="O3538" s="2" t="s">
        <v>38</v>
      </c>
      <c r="P3538" s="2" t="s">
        <v>38</v>
      </c>
      <c r="Q3538" s="2" t="s">
        <v>38</v>
      </c>
      <c r="R3538" s="2" t="s">
        <v>38</v>
      </c>
      <c r="S3538" s="2" t="s">
        <v>38</v>
      </c>
      <c r="T3538" s="2" t="s">
        <v>38</v>
      </c>
      <c r="U3538" s="2" t="s">
        <v>38</v>
      </c>
      <c r="V3538" s="2" t="s">
        <v>39</v>
      </c>
      <c r="W3538" s="2" t="s">
        <v>38</v>
      </c>
      <c r="X3538" s="2" t="s">
        <v>38</v>
      </c>
      <c r="Y3538" s="2" t="s">
        <v>39</v>
      </c>
      <c r="Z3538" s="2" t="s">
        <v>38</v>
      </c>
      <c r="AA3538" s="2" t="s">
        <v>38</v>
      </c>
      <c r="AB3538" s="2" t="s">
        <v>38</v>
      </c>
      <c r="AC3538" s="2" t="s">
        <v>38</v>
      </c>
      <c r="AD3538" s="2" t="s">
        <v>39</v>
      </c>
      <c r="AE3538" s="2" t="s">
        <v>40</v>
      </c>
    </row>
    <row r="3539" spans="1:31" ht="409.5">
      <c r="A3539" s="2">
        <v>2694252</v>
      </c>
      <c r="B3539" s="2">
        <f>HYPERLINK("https://platform.v2.vetology.net/cases/2694252/screening-report/1?type=pdf&amp;v=v6&amp;scorecard=1&amp;secret_key=BX%25IJ%24%2F65ieZ%29f6", 2694252)</f>
        <v>2694252</v>
      </c>
      <c r="C3539" s="2">
        <f>HYPERLINK("https://platform.v2.vetology.net/report/v/final/"&amp;2694252, 2694252)</f>
        <v>2694252</v>
      </c>
      <c r="D3539" s="2" t="s">
        <v>11210</v>
      </c>
      <c r="E3539" s="2" t="s">
        <v>11211</v>
      </c>
      <c r="F3539" s="2" t="s">
        <v>11212</v>
      </c>
      <c r="G3539" s="2" t="s">
        <v>53</v>
      </c>
      <c r="H3539" s="2" t="s">
        <v>66</v>
      </c>
      <c r="I3539" s="2" t="s">
        <v>36</v>
      </c>
      <c r="J3539" s="2" t="s">
        <v>37</v>
      </c>
      <c r="K3539" s="2" t="s">
        <v>39</v>
      </c>
      <c r="L3539" s="2" t="s">
        <v>39</v>
      </c>
      <c r="M3539" s="2" t="s">
        <v>38</v>
      </c>
      <c r="N3539" s="2" t="s">
        <v>39</v>
      </c>
      <c r="O3539" s="2" t="s">
        <v>38</v>
      </c>
      <c r="P3539" s="2" t="s">
        <v>39</v>
      </c>
      <c r="Q3539" s="2" t="s">
        <v>39</v>
      </c>
      <c r="R3539" s="2" t="s">
        <v>39</v>
      </c>
      <c r="S3539" s="2" t="s">
        <v>39</v>
      </c>
      <c r="T3539" s="2" t="s">
        <v>38</v>
      </c>
      <c r="U3539" s="2" t="s">
        <v>39</v>
      </c>
      <c r="V3539" s="2" t="s">
        <v>39</v>
      </c>
      <c r="W3539" s="2" t="s">
        <v>38</v>
      </c>
      <c r="X3539" s="2" t="s">
        <v>39</v>
      </c>
      <c r="Y3539" s="2" t="s">
        <v>39</v>
      </c>
      <c r="Z3539" s="2" t="s">
        <v>38</v>
      </c>
      <c r="AA3539" s="2" t="s">
        <v>39</v>
      </c>
      <c r="AB3539" s="2" t="s">
        <v>39</v>
      </c>
      <c r="AC3539" s="2" t="s">
        <v>38</v>
      </c>
      <c r="AD3539" s="2" t="s">
        <v>39</v>
      </c>
      <c r="AE3539" s="2" t="s">
        <v>40</v>
      </c>
    </row>
    <row r="3540" spans="1:31" ht="409.5">
      <c r="A3540" s="2">
        <v>2694246</v>
      </c>
      <c r="B3540" s="2">
        <f>HYPERLINK("https://platform.v2.vetology.net/cases/2694246/screening-report/1?type=pdf&amp;v=v6&amp;scorecard=1&amp;secret_key=BX%25IJ%24%2F65ieZ%29f6", 2694246)</f>
        <v>2694246</v>
      </c>
      <c r="C3540" s="2">
        <f>HYPERLINK("https://platform.v2.vetology.net/report/v/final/"&amp;2694246, 2694246)</f>
        <v>2694246</v>
      </c>
      <c r="D3540" s="2" t="s">
        <v>11213</v>
      </c>
      <c r="E3540" s="2" t="s">
        <v>11214</v>
      </c>
      <c r="F3540" s="2" t="s">
        <v>43</v>
      </c>
      <c r="G3540" s="2" t="s">
        <v>44</v>
      </c>
      <c r="H3540" s="2" t="s">
        <v>69</v>
      </c>
      <c r="I3540" s="2" t="s">
        <v>46</v>
      </c>
      <c r="J3540" s="2"/>
      <c r="K3540" s="2" t="s">
        <v>39</v>
      </c>
      <c r="L3540" s="2" t="s">
        <v>39</v>
      </c>
      <c r="M3540" s="2" t="s">
        <v>39</v>
      </c>
      <c r="N3540" s="2" t="s">
        <v>39</v>
      </c>
      <c r="O3540" s="2" t="s">
        <v>39</v>
      </c>
      <c r="P3540" s="2" t="s">
        <v>39</v>
      </c>
      <c r="Q3540" s="2" t="s">
        <v>39</v>
      </c>
      <c r="R3540" s="2" t="s">
        <v>39</v>
      </c>
      <c r="S3540" s="2" t="s">
        <v>39</v>
      </c>
      <c r="T3540" s="2" t="s">
        <v>39</v>
      </c>
      <c r="U3540" s="2" t="s">
        <v>39</v>
      </c>
      <c r="V3540" s="2" t="s">
        <v>39</v>
      </c>
      <c r="W3540" s="2" t="s">
        <v>39</v>
      </c>
      <c r="X3540" s="2" t="s">
        <v>39</v>
      </c>
      <c r="Y3540" s="2" t="s">
        <v>39</v>
      </c>
      <c r="Z3540" s="2" t="s">
        <v>39</v>
      </c>
      <c r="AA3540" s="2" t="s">
        <v>39</v>
      </c>
      <c r="AB3540" s="2" t="s">
        <v>39</v>
      </c>
      <c r="AC3540" s="2" t="s">
        <v>39</v>
      </c>
      <c r="AD3540" s="2" t="s">
        <v>39</v>
      </c>
      <c r="AE3540" s="2" t="s">
        <v>39</v>
      </c>
    </row>
    <row r="3541" spans="1:31" ht="409.5">
      <c r="A3541" s="2">
        <v>2694227</v>
      </c>
      <c r="B3541" s="2">
        <f>HYPERLINK("https://platform.v2.vetology.net/cases/2694227/screening-report/1?type=pdf&amp;v=v6&amp;scorecard=1&amp;secret_key=BX%25IJ%24%2F65ieZ%29f6", 2694227)</f>
        <v>2694227</v>
      </c>
      <c r="C3541" s="2">
        <f>HYPERLINK("https://platform.v2.vetology.net/report/v/final/"&amp;2694227, 2694227)</f>
        <v>2694227</v>
      </c>
      <c r="D3541" s="2" t="s">
        <v>11215</v>
      </c>
      <c r="E3541" s="2" t="s">
        <v>11216</v>
      </c>
      <c r="F3541" s="2" t="s">
        <v>11217</v>
      </c>
      <c r="G3541" s="2" t="s">
        <v>127</v>
      </c>
      <c r="H3541" s="2" t="s">
        <v>69</v>
      </c>
      <c r="I3541" s="2" t="s">
        <v>46</v>
      </c>
      <c r="J3541" s="2"/>
      <c r="K3541" s="2" t="s">
        <v>39</v>
      </c>
      <c r="L3541" s="2" t="s">
        <v>39</v>
      </c>
      <c r="M3541" s="2" t="s">
        <v>39</v>
      </c>
      <c r="N3541" s="2" t="s">
        <v>39</v>
      </c>
      <c r="O3541" s="2" t="s">
        <v>39</v>
      </c>
      <c r="P3541" s="2" t="s">
        <v>39</v>
      </c>
      <c r="Q3541" s="2" t="s">
        <v>39</v>
      </c>
      <c r="R3541" s="2" t="s">
        <v>39</v>
      </c>
      <c r="S3541" s="2" t="s">
        <v>39</v>
      </c>
      <c r="T3541" s="2" t="s">
        <v>39</v>
      </c>
      <c r="U3541" s="2" t="s">
        <v>39</v>
      </c>
      <c r="V3541" s="2" t="s">
        <v>39</v>
      </c>
      <c r="W3541" s="2" t="s">
        <v>39</v>
      </c>
      <c r="X3541" s="2" t="s">
        <v>39</v>
      </c>
      <c r="Y3541" s="2" t="s">
        <v>39</v>
      </c>
      <c r="Z3541" s="2" t="s">
        <v>38</v>
      </c>
      <c r="AA3541" s="2" t="s">
        <v>39</v>
      </c>
      <c r="AB3541" s="2" t="s">
        <v>39</v>
      </c>
      <c r="AC3541" s="2" t="s">
        <v>39</v>
      </c>
      <c r="AD3541" s="2" t="s">
        <v>38</v>
      </c>
      <c r="AE3541" s="2" t="s">
        <v>39</v>
      </c>
    </row>
    <row r="3542" spans="1:31" ht="409.5">
      <c r="A3542" s="2">
        <v>2694204</v>
      </c>
      <c r="B3542" s="2">
        <f>HYPERLINK("https://platform.v2.vetology.net/cases/2694204/screening-report/1?type=pdf&amp;v=v6&amp;scorecard=1&amp;secret_key=BX%25IJ%24%2F65ieZ%29f6", 2694204)</f>
        <v>2694204</v>
      </c>
      <c r="C3542" s="2">
        <f>HYPERLINK("https://platform.v2.vetology.net/report/v/final/"&amp;2694204, 2694204)</f>
        <v>2694204</v>
      </c>
      <c r="D3542" s="2" t="s">
        <v>11218</v>
      </c>
      <c r="E3542" s="2" t="s">
        <v>11219</v>
      </c>
      <c r="F3542" s="2" t="s">
        <v>11220</v>
      </c>
      <c r="G3542" s="2" t="s">
        <v>170</v>
      </c>
      <c r="H3542" s="2" t="s">
        <v>69</v>
      </c>
      <c r="I3542" s="2" t="s">
        <v>46</v>
      </c>
      <c r="J3542" s="2"/>
      <c r="K3542" s="2" t="s">
        <v>39</v>
      </c>
      <c r="L3542" s="2" t="s">
        <v>39</v>
      </c>
      <c r="M3542" s="2" t="s">
        <v>39</v>
      </c>
      <c r="N3542" s="2" t="s">
        <v>39</v>
      </c>
      <c r="O3542" s="2" t="s">
        <v>39</v>
      </c>
      <c r="P3542" s="2" t="s">
        <v>39</v>
      </c>
      <c r="Q3542" s="2" t="s">
        <v>39</v>
      </c>
      <c r="R3542" s="2" t="s">
        <v>39</v>
      </c>
      <c r="S3542" s="2" t="s">
        <v>39</v>
      </c>
      <c r="T3542" s="2" t="s">
        <v>39</v>
      </c>
      <c r="U3542" s="2" t="s">
        <v>39</v>
      </c>
      <c r="V3542" s="2" t="s">
        <v>39</v>
      </c>
      <c r="W3542" s="2" t="s">
        <v>39</v>
      </c>
      <c r="X3542" s="2" t="s">
        <v>39</v>
      </c>
      <c r="Y3542" s="2" t="s">
        <v>39</v>
      </c>
      <c r="Z3542" s="2" t="s">
        <v>39</v>
      </c>
      <c r="AA3542" s="2" t="s">
        <v>39</v>
      </c>
      <c r="AB3542" s="2" t="s">
        <v>39</v>
      </c>
      <c r="AC3542" s="2" t="s">
        <v>39</v>
      </c>
      <c r="AD3542" s="2" t="s">
        <v>38</v>
      </c>
      <c r="AE3542" s="2" t="s">
        <v>39</v>
      </c>
    </row>
    <row r="3543" spans="1:31" ht="409.5">
      <c r="A3543" s="2">
        <v>2694202</v>
      </c>
      <c r="B3543" s="2">
        <f>HYPERLINK("https://platform.v2.vetology.net/cases/2694202/screening-report/1?type=pdf&amp;v=v6&amp;scorecard=1&amp;secret_key=BX%25IJ%24%2F65ieZ%29f6", 2694202)</f>
        <v>2694202</v>
      </c>
      <c r="C3543" s="2">
        <f>HYPERLINK("https://platform.v2.vetology.net/report/v/final/"&amp;2694202, 2694202)</f>
        <v>2694202</v>
      </c>
      <c r="D3543" s="2" t="s">
        <v>11221</v>
      </c>
      <c r="E3543" s="2" t="s">
        <v>11222</v>
      </c>
      <c r="F3543" s="2" t="s">
        <v>43</v>
      </c>
      <c r="G3543" s="2" t="s">
        <v>44</v>
      </c>
      <c r="H3543" s="2" t="s">
        <v>11223</v>
      </c>
      <c r="I3543" s="2" t="s">
        <v>36</v>
      </c>
      <c r="J3543" s="2" t="s">
        <v>37</v>
      </c>
      <c r="K3543" s="2" t="s">
        <v>38</v>
      </c>
      <c r="L3543" s="2" t="s">
        <v>38</v>
      </c>
      <c r="M3543" s="2" t="s">
        <v>38</v>
      </c>
      <c r="N3543" s="2" t="s">
        <v>39</v>
      </c>
      <c r="O3543" s="2" t="s">
        <v>38</v>
      </c>
      <c r="P3543" s="2" t="s">
        <v>39</v>
      </c>
      <c r="Q3543" s="2" t="s">
        <v>39</v>
      </c>
      <c r="R3543" s="2" t="s">
        <v>38</v>
      </c>
      <c r="S3543" s="2" t="s">
        <v>38</v>
      </c>
      <c r="T3543" s="2" t="s">
        <v>39</v>
      </c>
      <c r="U3543" s="2" t="s">
        <v>38</v>
      </c>
      <c r="V3543" s="2" t="s">
        <v>38</v>
      </c>
      <c r="W3543" s="2" t="s">
        <v>39</v>
      </c>
      <c r="X3543" s="2" t="s">
        <v>39</v>
      </c>
      <c r="Y3543" s="2" t="s">
        <v>39</v>
      </c>
      <c r="Z3543" s="2" t="s">
        <v>38</v>
      </c>
      <c r="AA3543" s="2" t="s">
        <v>38</v>
      </c>
      <c r="AB3543" s="2" t="s">
        <v>39</v>
      </c>
      <c r="AC3543" s="2" t="s">
        <v>38</v>
      </c>
      <c r="AD3543" s="2" t="s">
        <v>38</v>
      </c>
      <c r="AE3543" s="2" t="s">
        <v>39</v>
      </c>
    </row>
    <row r="3544" spans="1:31" ht="409.5">
      <c r="A3544" s="2">
        <v>2694190</v>
      </c>
      <c r="B3544" s="2">
        <f>HYPERLINK("https://platform.v2.vetology.net/cases/2694190/screening-report/1?type=pdf&amp;v=v6&amp;scorecard=1&amp;secret_key=BX%25IJ%24%2F65ieZ%29f6", 2694190)</f>
        <v>2694190</v>
      </c>
      <c r="C3544" s="2">
        <f>HYPERLINK("https://platform.v2.vetology.net/report/v/final/"&amp;2694190, 2694190)</f>
        <v>2694190</v>
      </c>
      <c r="D3544" s="2" t="s">
        <v>11224</v>
      </c>
      <c r="E3544" s="2" t="s">
        <v>11225</v>
      </c>
      <c r="F3544" s="2" t="s">
        <v>11226</v>
      </c>
      <c r="G3544" s="2" t="s">
        <v>53</v>
      </c>
      <c r="H3544" s="2" t="s">
        <v>11227</v>
      </c>
      <c r="I3544" s="2" t="s">
        <v>73</v>
      </c>
      <c r="J3544" s="2" t="s">
        <v>74</v>
      </c>
      <c r="K3544" s="2" t="s">
        <v>38</v>
      </c>
      <c r="L3544" s="2" t="s">
        <v>38</v>
      </c>
      <c r="M3544" s="2" t="s">
        <v>38</v>
      </c>
      <c r="N3544" s="2" t="s">
        <v>38</v>
      </c>
      <c r="O3544" s="2" t="s">
        <v>38</v>
      </c>
      <c r="P3544" s="2" t="s">
        <v>38</v>
      </c>
      <c r="Q3544" s="2" t="s">
        <v>38</v>
      </c>
      <c r="R3544" s="2" t="s">
        <v>38</v>
      </c>
      <c r="S3544" s="2" t="s">
        <v>38</v>
      </c>
      <c r="T3544" s="2" t="s">
        <v>38</v>
      </c>
      <c r="U3544" s="2" t="s">
        <v>38</v>
      </c>
      <c r="V3544" s="2" t="s">
        <v>38</v>
      </c>
      <c r="W3544" s="2" t="s">
        <v>38</v>
      </c>
      <c r="X3544" s="2" t="s">
        <v>38</v>
      </c>
      <c r="Y3544" s="2" t="s">
        <v>38</v>
      </c>
      <c r="Z3544" s="2" t="s">
        <v>38</v>
      </c>
      <c r="AA3544" s="2" t="s">
        <v>38</v>
      </c>
      <c r="AB3544" s="2" t="s">
        <v>38</v>
      </c>
      <c r="AC3544" s="2" t="s">
        <v>38</v>
      </c>
      <c r="AD3544" s="2" t="s">
        <v>39</v>
      </c>
      <c r="AE3544" s="2" t="s">
        <v>40</v>
      </c>
    </row>
    <row r="3545" spans="1:31" ht="409.5">
      <c r="A3545" s="2">
        <v>2694145</v>
      </c>
      <c r="B3545" s="2">
        <f>HYPERLINK("https://platform.v2.vetology.net/cases/2694145/screening-report/1?type=pdf&amp;v=v6&amp;scorecard=1&amp;secret_key=BX%25IJ%24%2F65ieZ%29f6", 2694145)</f>
        <v>2694145</v>
      </c>
      <c r="C3545" s="2">
        <f>HYPERLINK("https://platform.v2.vetology.net/report/v/final/"&amp;2694145, 2694145)</f>
        <v>2694145</v>
      </c>
      <c r="D3545" s="2" t="s">
        <v>11228</v>
      </c>
      <c r="E3545" s="2" t="s">
        <v>11229</v>
      </c>
      <c r="F3545" s="2" t="s">
        <v>43</v>
      </c>
      <c r="G3545" s="2" t="s">
        <v>100</v>
      </c>
      <c r="H3545" s="2" t="s">
        <v>69</v>
      </c>
      <c r="I3545" s="2" t="s">
        <v>46</v>
      </c>
      <c r="J3545" s="2"/>
      <c r="K3545" s="2" t="s">
        <v>39</v>
      </c>
      <c r="L3545" s="2" t="s">
        <v>39</v>
      </c>
      <c r="M3545" s="2" t="s">
        <v>39</v>
      </c>
      <c r="N3545" s="2" t="s">
        <v>39</v>
      </c>
      <c r="O3545" s="2" t="s">
        <v>39</v>
      </c>
      <c r="P3545" s="2" t="s">
        <v>39</v>
      </c>
      <c r="Q3545" s="2" t="s">
        <v>39</v>
      </c>
      <c r="R3545" s="2" t="s">
        <v>39</v>
      </c>
      <c r="S3545" s="2" t="s">
        <v>39</v>
      </c>
      <c r="T3545" s="2" t="s">
        <v>39</v>
      </c>
      <c r="U3545" s="2" t="s">
        <v>39</v>
      </c>
      <c r="V3545" s="2" t="s">
        <v>39</v>
      </c>
      <c r="W3545" s="2" t="s">
        <v>39</v>
      </c>
      <c r="X3545" s="2" t="s">
        <v>39</v>
      </c>
      <c r="Y3545" s="2" t="s">
        <v>39</v>
      </c>
      <c r="Z3545" s="2" t="s">
        <v>39</v>
      </c>
      <c r="AA3545" s="2" t="s">
        <v>39</v>
      </c>
      <c r="AB3545" s="2" t="s">
        <v>39</v>
      </c>
      <c r="AC3545" s="2" t="s">
        <v>38</v>
      </c>
      <c r="AD3545" s="2" t="s">
        <v>39</v>
      </c>
      <c r="AE3545" s="2" t="s">
        <v>40</v>
      </c>
    </row>
    <row r="3546" spans="1:31" ht="409.5">
      <c r="A3546" s="2">
        <v>2694137</v>
      </c>
      <c r="B3546" s="2">
        <f>HYPERLINK("https://platform.v2.vetology.net/cases/2694137/screening-report/1?type=pdf&amp;v=v6&amp;scorecard=1&amp;secret_key=BX%25IJ%24%2F65ieZ%29f6", 2694137)</f>
        <v>2694137</v>
      </c>
      <c r="C3546" s="2">
        <f>HYPERLINK("https://platform.v2.vetology.net/report/v/final/"&amp;2694137, 2694137)</f>
        <v>2694137</v>
      </c>
      <c r="D3546" s="2" t="s">
        <v>11230</v>
      </c>
      <c r="E3546" s="2" t="s">
        <v>11231</v>
      </c>
      <c r="F3546" s="2" t="s">
        <v>11232</v>
      </c>
      <c r="G3546" s="2" t="s">
        <v>34</v>
      </c>
      <c r="H3546" s="2" t="s">
        <v>1434</v>
      </c>
      <c r="I3546" s="2" t="s">
        <v>36</v>
      </c>
      <c r="J3546" s="2" t="s">
        <v>37</v>
      </c>
      <c r="K3546" s="2" t="s">
        <v>38</v>
      </c>
      <c r="L3546" s="2" t="s">
        <v>38</v>
      </c>
      <c r="M3546" s="2" t="s">
        <v>38</v>
      </c>
      <c r="N3546" s="2" t="s">
        <v>38</v>
      </c>
      <c r="O3546" s="2" t="s">
        <v>38</v>
      </c>
      <c r="P3546" s="2" t="s">
        <v>39</v>
      </c>
      <c r="Q3546" s="2" t="s">
        <v>39</v>
      </c>
      <c r="R3546" s="2" t="s">
        <v>38</v>
      </c>
      <c r="S3546" s="2" t="s">
        <v>38</v>
      </c>
      <c r="T3546" s="2" t="s">
        <v>39</v>
      </c>
      <c r="U3546" s="2" t="s">
        <v>38</v>
      </c>
      <c r="V3546" s="2" t="s">
        <v>38</v>
      </c>
      <c r="W3546" s="2" t="s">
        <v>38</v>
      </c>
      <c r="X3546" s="2" t="s">
        <v>38</v>
      </c>
      <c r="Y3546" s="2" t="s">
        <v>38</v>
      </c>
      <c r="Z3546" s="2" t="s">
        <v>38</v>
      </c>
      <c r="AA3546" s="2" t="s">
        <v>38</v>
      </c>
      <c r="AB3546" s="2" t="s">
        <v>38</v>
      </c>
      <c r="AC3546" s="2" t="s">
        <v>38</v>
      </c>
      <c r="AD3546" s="2" t="s">
        <v>38</v>
      </c>
      <c r="AE3546" s="2" t="s">
        <v>40</v>
      </c>
    </row>
    <row r="3547" spans="1:31" ht="409.5">
      <c r="A3547" s="2">
        <v>2694104</v>
      </c>
      <c r="B3547" s="2">
        <f>HYPERLINK("https://platform.v2.vetology.net/cases/2694104/screening-report/1?type=pdf&amp;v=v6&amp;scorecard=1&amp;secret_key=BX%25IJ%24%2F65ieZ%29f6", 2694104)</f>
        <v>2694104</v>
      </c>
      <c r="C3547" s="2">
        <f>HYPERLINK("https://platform.v2.vetology.net/report/v/final/"&amp;2694104, 2694104)</f>
        <v>2694104</v>
      </c>
      <c r="D3547" s="2" t="s">
        <v>11233</v>
      </c>
      <c r="E3547" s="2" t="s">
        <v>11234</v>
      </c>
      <c r="F3547" s="2" t="s">
        <v>11235</v>
      </c>
      <c r="G3547" s="2" t="s">
        <v>34</v>
      </c>
      <c r="H3547" s="2" t="s">
        <v>1434</v>
      </c>
      <c r="I3547" s="2" t="s">
        <v>36</v>
      </c>
      <c r="J3547" s="2" t="s">
        <v>37</v>
      </c>
      <c r="K3547" s="2" t="s">
        <v>38</v>
      </c>
      <c r="L3547" s="2" t="s">
        <v>38</v>
      </c>
      <c r="M3547" s="2" t="s">
        <v>38</v>
      </c>
      <c r="N3547" s="2" t="s">
        <v>38</v>
      </c>
      <c r="O3547" s="2" t="s">
        <v>38</v>
      </c>
      <c r="P3547" s="2" t="s">
        <v>39</v>
      </c>
      <c r="Q3547" s="2" t="s">
        <v>39</v>
      </c>
      <c r="R3547" s="2" t="s">
        <v>38</v>
      </c>
      <c r="S3547" s="2" t="s">
        <v>38</v>
      </c>
      <c r="T3547" s="2" t="s">
        <v>38</v>
      </c>
      <c r="U3547" s="2" t="s">
        <v>38</v>
      </c>
      <c r="V3547" s="2" t="s">
        <v>38</v>
      </c>
      <c r="W3547" s="2" t="s">
        <v>38</v>
      </c>
      <c r="X3547" s="2" t="s">
        <v>38</v>
      </c>
      <c r="Y3547" s="2" t="s">
        <v>38</v>
      </c>
      <c r="Z3547" s="2" t="s">
        <v>39</v>
      </c>
      <c r="AA3547" s="2" t="s">
        <v>38</v>
      </c>
      <c r="AB3547" s="2" t="s">
        <v>39</v>
      </c>
      <c r="AC3547" s="2" t="s">
        <v>38</v>
      </c>
      <c r="AD3547" s="2" t="s">
        <v>38</v>
      </c>
      <c r="AE3547" s="2" t="s">
        <v>39</v>
      </c>
    </row>
    <row r="3548" spans="1:31" ht="409.5">
      <c r="A3548" s="2">
        <v>2694102</v>
      </c>
      <c r="B3548" s="2">
        <f>HYPERLINK("https://platform.v2.vetology.net/cases/2694102/screening-report/1?type=pdf&amp;v=v6&amp;scorecard=1&amp;secret_key=BX%25IJ%24%2F65ieZ%29f6", 2694102)</f>
        <v>2694102</v>
      </c>
      <c r="C3548" s="2">
        <f>HYPERLINK("https://platform.v2.vetology.net/report/v/final/"&amp;2694102, 2694102)</f>
        <v>2694102</v>
      </c>
      <c r="D3548" s="2" t="s">
        <v>11236</v>
      </c>
      <c r="E3548" s="2" t="s">
        <v>11237</v>
      </c>
      <c r="F3548" s="2" t="s">
        <v>11238</v>
      </c>
      <c r="G3548" s="2" t="s">
        <v>170</v>
      </c>
      <c r="H3548" s="2" t="s">
        <v>11239</v>
      </c>
      <c r="I3548" s="2" t="s">
        <v>36</v>
      </c>
      <c r="J3548" s="2" t="s">
        <v>37</v>
      </c>
      <c r="K3548" s="2" t="s">
        <v>38</v>
      </c>
      <c r="L3548" s="2" t="s">
        <v>39</v>
      </c>
      <c r="M3548" s="2" t="s">
        <v>39</v>
      </c>
      <c r="N3548" s="2" t="s">
        <v>39</v>
      </c>
      <c r="O3548" s="2" t="s">
        <v>39</v>
      </c>
      <c r="P3548" s="2" t="s">
        <v>39</v>
      </c>
      <c r="Q3548" s="2" t="s">
        <v>39</v>
      </c>
      <c r="R3548" s="2" t="s">
        <v>39</v>
      </c>
      <c r="S3548" s="2" t="s">
        <v>39</v>
      </c>
      <c r="T3548" s="2" t="s">
        <v>39</v>
      </c>
      <c r="U3548" s="2" t="s">
        <v>38</v>
      </c>
      <c r="V3548" s="2" t="s">
        <v>38</v>
      </c>
      <c r="W3548" s="2" t="s">
        <v>39</v>
      </c>
      <c r="X3548" s="2" t="s">
        <v>39</v>
      </c>
      <c r="Y3548" s="2" t="s">
        <v>39</v>
      </c>
      <c r="Z3548" s="2" t="s">
        <v>39</v>
      </c>
      <c r="AA3548" s="2" t="s">
        <v>39</v>
      </c>
      <c r="AB3548" s="2" t="s">
        <v>39</v>
      </c>
      <c r="AC3548" s="2" t="s">
        <v>39</v>
      </c>
      <c r="AD3548" s="2" t="s">
        <v>39</v>
      </c>
      <c r="AE3548" s="2" t="s">
        <v>39</v>
      </c>
    </row>
    <row r="3549" spans="1:31" ht="409.5">
      <c r="A3549" s="2">
        <v>2694057</v>
      </c>
      <c r="B3549" s="2">
        <f>HYPERLINK("https://platform.v2.vetology.net/cases/2694057/screening-report/1?type=pdf&amp;v=v6&amp;scorecard=1&amp;secret_key=BX%25IJ%24%2F65ieZ%29f6", 2694057)</f>
        <v>2694057</v>
      </c>
      <c r="C3549" s="2">
        <f>HYPERLINK("https://platform.v2.vetology.net/report/v/final/"&amp;2694057, 2694057)</f>
        <v>2694057</v>
      </c>
      <c r="D3549" s="2" t="s">
        <v>11240</v>
      </c>
      <c r="E3549" s="2" t="s">
        <v>1484</v>
      </c>
      <c r="F3549" s="2" t="s">
        <v>11241</v>
      </c>
      <c r="G3549" s="2" t="s">
        <v>111</v>
      </c>
      <c r="H3549" s="2" t="s">
        <v>6309</v>
      </c>
      <c r="I3549" s="2" t="s">
        <v>36</v>
      </c>
      <c r="J3549" s="2" t="s">
        <v>37</v>
      </c>
      <c r="K3549" s="2" t="s">
        <v>38</v>
      </c>
      <c r="L3549" s="2" t="s">
        <v>38</v>
      </c>
      <c r="M3549" s="2" t="s">
        <v>38</v>
      </c>
      <c r="N3549" s="2" t="s">
        <v>38</v>
      </c>
      <c r="O3549" s="2" t="s">
        <v>38</v>
      </c>
      <c r="P3549" s="2" t="s">
        <v>38</v>
      </c>
      <c r="Q3549" s="2" t="s">
        <v>39</v>
      </c>
      <c r="R3549" s="2" t="s">
        <v>38</v>
      </c>
      <c r="S3549" s="2" t="s">
        <v>38</v>
      </c>
      <c r="T3549" s="2" t="s">
        <v>38</v>
      </c>
      <c r="U3549" s="2" t="s">
        <v>38</v>
      </c>
      <c r="V3549" s="2" t="s">
        <v>38</v>
      </c>
      <c r="W3549" s="2" t="s">
        <v>38</v>
      </c>
      <c r="X3549" s="2" t="s">
        <v>39</v>
      </c>
      <c r="Y3549" s="2" t="s">
        <v>38</v>
      </c>
      <c r="Z3549" s="2" t="s">
        <v>38</v>
      </c>
      <c r="AA3549" s="2" t="s">
        <v>38</v>
      </c>
      <c r="AB3549" s="2" t="s">
        <v>38</v>
      </c>
      <c r="AC3549" s="2" t="s">
        <v>38</v>
      </c>
      <c r="AD3549" s="2" t="s">
        <v>38</v>
      </c>
      <c r="AE3549" s="2" t="s">
        <v>40</v>
      </c>
    </row>
    <row r="3550" spans="1:31" ht="409.5">
      <c r="A3550" s="2">
        <v>2693857</v>
      </c>
      <c r="B3550" s="2">
        <f>HYPERLINK("https://platform.v2.vetology.net/cases/2693857/screening-report/1?type=pdf&amp;v=v6&amp;scorecard=1&amp;secret_key=BX%25IJ%24%2F65ieZ%29f6", 2693857)</f>
        <v>2693857</v>
      </c>
      <c r="C3550" s="2">
        <f>HYPERLINK("https://platform.v2.vetology.net/report/v/final/"&amp;2693857, 2693857)</f>
        <v>2693857</v>
      </c>
      <c r="D3550" s="2" t="s">
        <v>11242</v>
      </c>
      <c r="E3550" s="2" t="s">
        <v>11243</v>
      </c>
      <c r="F3550" s="2"/>
      <c r="G3550" s="2" t="s">
        <v>81</v>
      </c>
      <c r="H3550" s="2" t="s">
        <v>11244</v>
      </c>
      <c r="I3550" s="2" t="s">
        <v>73</v>
      </c>
      <c r="J3550" s="2" t="s">
        <v>74</v>
      </c>
      <c r="K3550" s="2" t="s">
        <v>38</v>
      </c>
      <c r="L3550" s="2" t="s">
        <v>38</v>
      </c>
      <c r="M3550" s="2" t="s">
        <v>38</v>
      </c>
      <c r="N3550" s="2" t="s">
        <v>38</v>
      </c>
      <c r="O3550" s="2" t="s">
        <v>38</v>
      </c>
      <c r="P3550" s="2" t="s">
        <v>38</v>
      </c>
      <c r="Q3550" s="2" t="s">
        <v>38</v>
      </c>
      <c r="R3550" s="2" t="s">
        <v>38</v>
      </c>
      <c r="S3550" s="2" t="s">
        <v>38</v>
      </c>
      <c r="T3550" s="2" t="s">
        <v>38</v>
      </c>
      <c r="U3550" s="2" t="s">
        <v>38</v>
      </c>
      <c r="V3550" s="2" t="s">
        <v>38</v>
      </c>
      <c r="W3550" s="2" t="s">
        <v>38</v>
      </c>
      <c r="X3550" s="2" t="s">
        <v>38</v>
      </c>
      <c r="Y3550" s="2" t="s">
        <v>38</v>
      </c>
      <c r="Z3550" s="2" t="s">
        <v>38</v>
      </c>
      <c r="AA3550" s="2" t="s">
        <v>38</v>
      </c>
      <c r="AB3550" s="2" t="s">
        <v>38</v>
      </c>
      <c r="AC3550" s="2" t="s">
        <v>38</v>
      </c>
      <c r="AD3550" s="2" t="s">
        <v>38</v>
      </c>
      <c r="AE3550" s="2" t="s">
        <v>40</v>
      </c>
    </row>
    <row r="3551" spans="1:31" ht="409.5">
      <c r="A3551" s="2">
        <v>2693817</v>
      </c>
      <c r="B3551" s="2">
        <f>HYPERLINK("https://platform.v2.vetology.net/cases/2693817/screening-report/1?type=pdf&amp;v=v6&amp;scorecard=1&amp;secret_key=BX%25IJ%24%2F65ieZ%29f6", 2693817)</f>
        <v>2693817</v>
      </c>
      <c r="C3551" s="2">
        <f>HYPERLINK("https://platform.v2.vetology.net/report/v/final/"&amp;2693817, 2693817)</f>
        <v>2693817</v>
      </c>
      <c r="D3551" s="2" t="s">
        <v>11245</v>
      </c>
      <c r="E3551" s="2" t="s">
        <v>11246</v>
      </c>
      <c r="F3551" s="2" t="s">
        <v>43</v>
      </c>
      <c r="G3551" s="2" t="s">
        <v>100</v>
      </c>
      <c r="H3551" s="2" t="s">
        <v>11247</v>
      </c>
      <c r="I3551" s="2" t="s">
        <v>36</v>
      </c>
      <c r="J3551" s="2" t="s">
        <v>37</v>
      </c>
      <c r="K3551" s="2" t="s">
        <v>39</v>
      </c>
      <c r="L3551" s="2" t="s">
        <v>38</v>
      </c>
      <c r="M3551" s="2" t="s">
        <v>39</v>
      </c>
      <c r="N3551" s="2" t="s">
        <v>38</v>
      </c>
      <c r="O3551" s="2" t="s">
        <v>38</v>
      </c>
      <c r="P3551" s="2" t="s">
        <v>39</v>
      </c>
      <c r="Q3551" s="2" t="s">
        <v>39</v>
      </c>
      <c r="R3551" s="2" t="s">
        <v>38</v>
      </c>
      <c r="S3551" s="2" t="s">
        <v>38</v>
      </c>
      <c r="T3551" s="2" t="s">
        <v>38</v>
      </c>
      <c r="U3551" s="2" t="s">
        <v>39</v>
      </c>
      <c r="V3551" s="2" t="s">
        <v>39</v>
      </c>
      <c r="W3551" s="2" t="s">
        <v>38</v>
      </c>
      <c r="X3551" s="2" t="s">
        <v>39</v>
      </c>
      <c r="Y3551" s="2" t="s">
        <v>39</v>
      </c>
      <c r="Z3551" s="2" t="s">
        <v>38</v>
      </c>
      <c r="AA3551" s="2" t="s">
        <v>38</v>
      </c>
      <c r="AB3551" s="2" t="s">
        <v>39</v>
      </c>
      <c r="AC3551" s="2" t="s">
        <v>38</v>
      </c>
      <c r="AD3551" s="2" t="s">
        <v>38</v>
      </c>
      <c r="AE3551" s="2" t="s">
        <v>39</v>
      </c>
    </row>
    <row r="3552" spans="1:31" ht="409.5">
      <c r="A3552" s="2">
        <v>2693802</v>
      </c>
      <c r="B3552" s="2">
        <f>HYPERLINK("https://platform.v2.vetology.net/cases/2693802/screening-report/1?type=pdf&amp;v=v6&amp;scorecard=1&amp;secret_key=BX%25IJ%24%2F65ieZ%29f6", 2693802)</f>
        <v>2693802</v>
      </c>
      <c r="C3552" s="2">
        <f>HYPERLINK("https://platform.v2.vetology.net/report/v/final/"&amp;2693802, 2693802)</f>
        <v>2693802</v>
      </c>
      <c r="D3552" s="2" t="s">
        <v>11248</v>
      </c>
      <c r="E3552" s="2" t="s">
        <v>11249</v>
      </c>
      <c r="F3552" s="2" t="s">
        <v>43</v>
      </c>
      <c r="G3552" s="2" t="s">
        <v>100</v>
      </c>
      <c r="H3552" s="2" t="s">
        <v>11250</v>
      </c>
      <c r="I3552" s="2" t="s">
        <v>129</v>
      </c>
      <c r="J3552" s="2" t="s">
        <v>74</v>
      </c>
      <c r="K3552" s="2" t="s">
        <v>38</v>
      </c>
      <c r="L3552" s="2" t="s">
        <v>38</v>
      </c>
      <c r="M3552" s="2" t="s">
        <v>38</v>
      </c>
      <c r="N3552" s="2" t="s">
        <v>38</v>
      </c>
      <c r="O3552" s="2" t="s">
        <v>38</v>
      </c>
      <c r="P3552" s="2" t="s">
        <v>38</v>
      </c>
      <c r="Q3552" s="2" t="s">
        <v>38</v>
      </c>
      <c r="R3552" s="2" t="s">
        <v>38</v>
      </c>
      <c r="S3552" s="2" t="s">
        <v>38</v>
      </c>
      <c r="T3552" s="2" t="s">
        <v>38</v>
      </c>
      <c r="U3552" s="2" t="s">
        <v>38</v>
      </c>
      <c r="V3552" s="2" t="s">
        <v>38</v>
      </c>
      <c r="W3552" s="2" t="s">
        <v>38</v>
      </c>
      <c r="X3552" s="2" t="s">
        <v>38</v>
      </c>
      <c r="Y3552" s="2" t="s">
        <v>39</v>
      </c>
      <c r="Z3552" s="2" t="s">
        <v>38</v>
      </c>
      <c r="AA3552" s="2" t="s">
        <v>38</v>
      </c>
      <c r="AB3552" s="2" t="s">
        <v>38</v>
      </c>
      <c r="AC3552" s="2" t="s">
        <v>38</v>
      </c>
      <c r="AD3552" s="2" t="s">
        <v>38</v>
      </c>
      <c r="AE3552" s="2"/>
    </row>
    <row r="3553" spans="1:31" ht="409.5">
      <c r="A3553" s="2">
        <v>2693800</v>
      </c>
      <c r="B3553" s="2">
        <f>HYPERLINK("https://platform.v2.vetology.net/cases/2693800/screening-report/1?type=pdf&amp;v=v6&amp;scorecard=1&amp;secret_key=BX%25IJ%24%2F65ieZ%29f6", 2693800)</f>
        <v>2693800</v>
      </c>
      <c r="C3553" s="2">
        <f>HYPERLINK("https://platform.v2.vetology.net/report/v/final/"&amp;2693800, 2693800)</f>
        <v>2693800</v>
      </c>
      <c r="D3553" s="2" t="s">
        <v>1090</v>
      </c>
      <c r="E3553" s="2" t="s">
        <v>8170</v>
      </c>
      <c r="F3553" s="2" t="s">
        <v>787</v>
      </c>
      <c r="G3553" s="2" t="s">
        <v>100</v>
      </c>
      <c r="H3553" s="2" t="s">
        <v>69</v>
      </c>
      <c r="I3553" s="2" t="s">
        <v>46</v>
      </c>
      <c r="J3553" s="2"/>
      <c r="K3553" s="2" t="s">
        <v>39</v>
      </c>
      <c r="L3553" s="2" t="s">
        <v>39</v>
      </c>
      <c r="M3553" s="2" t="s">
        <v>39</v>
      </c>
      <c r="N3553" s="2" t="s">
        <v>39</v>
      </c>
      <c r="O3553" s="2" t="s">
        <v>39</v>
      </c>
      <c r="P3553" s="2" t="s">
        <v>39</v>
      </c>
      <c r="Q3553" s="2" t="s">
        <v>39</v>
      </c>
      <c r="R3553" s="2" t="s">
        <v>39</v>
      </c>
      <c r="S3553" s="2" t="s">
        <v>39</v>
      </c>
      <c r="T3553" s="2" t="s">
        <v>39</v>
      </c>
      <c r="U3553" s="2" t="s">
        <v>39</v>
      </c>
      <c r="V3553" s="2" t="s">
        <v>39</v>
      </c>
      <c r="W3553" s="2" t="s">
        <v>39</v>
      </c>
      <c r="X3553" s="2" t="s">
        <v>39</v>
      </c>
      <c r="Y3553" s="2" t="s">
        <v>39</v>
      </c>
      <c r="Z3553" s="2" t="s">
        <v>39</v>
      </c>
      <c r="AA3553" s="2" t="s">
        <v>39</v>
      </c>
      <c r="AB3553" s="2" t="s">
        <v>39</v>
      </c>
      <c r="AC3553" s="2" t="s">
        <v>38</v>
      </c>
      <c r="AD3553" s="2" t="s">
        <v>38</v>
      </c>
      <c r="AE3553" s="2" t="s">
        <v>39</v>
      </c>
    </row>
    <row r="3554" spans="1:31" ht="409.5">
      <c r="A3554" s="2">
        <v>2693794</v>
      </c>
      <c r="B3554" s="2">
        <f>HYPERLINK("https://platform.v2.vetology.net/cases/2693794/screening-report/1?type=pdf&amp;v=v6&amp;scorecard=1&amp;secret_key=BX%25IJ%24%2F65ieZ%29f6", 2693794)</f>
        <v>2693794</v>
      </c>
      <c r="C3554" s="2">
        <f>HYPERLINK("https://platform.v2.vetology.net/report/v/final/"&amp;2693794, 2693794)</f>
        <v>2693794</v>
      </c>
      <c r="D3554" s="2" t="s">
        <v>5239</v>
      </c>
      <c r="E3554" s="2" t="s">
        <v>1091</v>
      </c>
      <c r="F3554" s="2" t="s">
        <v>787</v>
      </c>
      <c r="G3554" s="2" t="s">
        <v>100</v>
      </c>
      <c r="H3554" s="2" t="s">
        <v>69</v>
      </c>
      <c r="I3554" s="2" t="s">
        <v>46</v>
      </c>
      <c r="J3554" s="2"/>
      <c r="K3554" s="2" t="s">
        <v>39</v>
      </c>
      <c r="L3554" s="2" t="s">
        <v>39</v>
      </c>
      <c r="M3554" s="2" t="s">
        <v>39</v>
      </c>
      <c r="N3554" s="2" t="s">
        <v>39</v>
      </c>
      <c r="O3554" s="2" t="s">
        <v>39</v>
      </c>
      <c r="P3554" s="2" t="s">
        <v>39</v>
      </c>
      <c r="Q3554" s="2" t="s">
        <v>39</v>
      </c>
      <c r="R3554" s="2" t="s">
        <v>39</v>
      </c>
      <c r="S3554" s="2" t="s">
        <v>39</v>
      </c>
      <c r="T3554" s="2" t="s">
        <v>39</v>
      </c>
      <c r="U3554" s="2" t="s">
        <v>39</v>
      </c>
      <c r="V3554" s="2" t="s">
        <v>39</v>
      </c>
      <c r="W3554" s="2" t="s">
        <v>38</v>
      </c>
      <c r="X3554" s="2" t="s">
        <v>39</v>
      </c>
      <c r="Y3554" s="2" t="s">
        <v>39</v>
      </c>
      <c r="Z3554" s="2" t="s">
        <v>39</v>
      </c>
      <c r="AA3554" s="2" t="s">
        <v>39</v>
      </c>
      <c r="AB3554" s="2" t="s">
        <v>39</v>
      </c>
      <c r="AC3554" s="2" t="s">
        <v>38</v>
      </c>
      <c r="AD3554" s="2" t="s">
        <v>39</v>
      </c>
      <c r="AE3554" s="2" t="s">
        <v>39</v>
      </c>
    </row>
    <row r="3555" spans="1:31" ht="409.5">
      <c r="A3555" s="2">
        <v>2693759</v>
      </c>
      <c r="B3555" s="2">
        <f>HYPERLINK("https://platform.v2.vetology.net/cases/2693759/screening-report/1?type=pdf&amp;v=v6&amp;scorecard=1&amp;secret_key=BX%25IJ%24%2F65ieZ%29f6", 2693759)</f>
        <v>2693759</v>
      </c>
      <c r="C3555" s="2">
        <f>HYPERLINK("https://platform.v2.vetology.net/report/v/final/"&amp;2693759, 2693759)</f>
        <v>2693759</v>
      </c>
      <c r="D3555" s="2" t="s">
        <v>11251</v>
      </c>
      <c r="E3555" s="2" t="s">
        <v>11252</v>
      </c>
      <c r="F3555" s="2" t="s">
        <v>43</v>
      </c>
      <c r="G3555" s="2" t="s">
        <v>100</v>
      </c>
      <c r="H3555" s="2" t="s">
        <v>11253</v>
      </c>
      <c r="I3555" s="2" t="s">
        <v>36</v>
      </c>
      <c r="J3555" s="2" t="s">
        <v>37</v>
      </c>
      <c r="K3555" s="2" t="s">
        <v>38</v>
      </c>
      <c r="L3555" s="2" t="s">
        <v>38</v>
      </c>
      <c r="M3555" s="2" t="s">
        <v>38</v>
      </c>
      <c r="N3555" s="2" t="s">
        <v>38</v>
      </c>
      <c r="O3555" s="2" t="s">
        <v>38</v>
      </c>
      <c r="P3555" s="2" t="s">
        <v>38</v>
      </c>
      <c r="Q3555" s="2" t="s">
        <v>39</v>
      </c>
      <c r="R3555" s="2" t="s">
        <v>39</v>
      </c>
      <c r="S3555" s="2" t="s">
        <v>39</v>
      </c>
      <c r="T3555" s="2" t="s">
        <v>38</v>
      </c>
      <c r="U3555" s="2" t="s">
        <v>38</v>
      </c>
      <c r="V3555" s="2" t="s">
        <v>38</v>
      </c>
      <c r="W3555" s="2" t="s">
        <v>38</v>
      </c>
      <c r="X3555" s="2" t="s">
        <v>38</v>
      </c>
      <c r="Y3555" s="2" t="s">
        <v>39</v>
      </c>
      <c r="Z3555" s="2" t="s">
        <v>38</v>
      </c>
      <c r="AA3555" s="2" t="s">
        <v>39</v>
      </c>
      <c r="AB3555" s="2" t="s">
        <v>38</v>
      </c>
      <c r="AC3555" s="2" t="s">
        <v>39</v>
      </c>
      <c r="AD3555" s="2" t="s">
        <v>38</v>
      </c>
      <c r="AE3555" s="2" t="s">
        <v>40</v>
      </c>
    </row>
    <row r="3556" spans="1:31" ht="409.5">
      <c r="A3556" s="2">
        <v>2693725</v>
      </c>
      <c r="B3556" s="2">
        <f>HYPERLINK("https://platform.v2.vetology.net/cases/2693725/screening-report/1?type=pdf&amp;v=v6&amp;scorecard=1&amp;secret_key=BX%25IJ%24%2F65ieZ%29f6", 2693725)</f>
        <v>2693725</v>
      </c>
      <c r="C3556" s="2">
        <f>HYPERLINK("https://platform.v2.vetology.net/report/v/final/"&amp;2693725, 2693725)</f>
        <v>2693725</v>
      </c>
      <c r="D3556" s="2" t="s">
        <v>11254</v>
      </c>
      <c r="E3556" s="2" t="s">
        <v>11255</v>
      </c>
      <c r="F3556" s="2" t="s">
        <v>43</v>
      </c>
      <c r="G3556" s="2" t="s">
        <v>44</v>
      </c>
      <c r="H3556" s="2" t="s">
        <v>11256</v>
      </c>
      <c r="I3556" s="2" t="s">
        <v>73</v>
      </c>
      <c r="J3556" s="2" t="s">
        <v>74</v>
      </c>
      <c r="K3556" s="2" t="s">
        <v>38</v>
      </c>
      <c r="L3556" s="2" t="s">
        <v>38</v>
      </c>
      <c r="M3556" s="2" t="s">
        <v>38</v>
      </c>
      <c r="N3556" s="2" t="s">
        <v>38</v>
      </c>
      <c r="O3556" s="2" t="s">
        <v>38</v>
      </c>
      <c r="P3556" s="2" t="s">
        <v>38</v>
      </c>
      <c r="Q3556" s="2" t="s">
        <v>38</v>
      </c>
      <c r="R3556" s="2" t="s">
        <v>38</v>
      </c>
      <c r="S3556" s="2" t="s">
        <v>38</v>
      </c>
      <c r="T3556" s="2" t="s">
        <v>38</v>
      </c>
      <c r="U3556" s="2" t="s">
        <v>38</v>
      </c>
      <c r="V3556" s="2" t="s">
        <v>38</v>
      </c>
      <c r="W3556" s="2" t="s">
        <v>38</v>
      </c>
      <c r="X3556" s="2" t="s">
        <v>38</v>
      </c>
      <c r="Y3556" s="2" t="s">
        <v>38</v>
      </c>
      <c r="Z3556" s="2" t="s">
        <v>38</v>
      </c>
      <c r="AA3556" s="2" t="s">
        <v>38</v>
      </c>
      <c r="AB3556" s="2" t="s">
        <v>38</v>
      </c>
      <c r="AC3556" s="2" t="s">
        <v>38</v>
      </c>
      <c r="AD3556" s="2" t="s">
        <v>39</v>
      </c>
      <c r="AE3556" s="2" t="s">
        <v>39</v>
      </c>
    </row>
    <row r="3557" spans="1:31" ht="409.5">
      <c r="A3557" s="2">
        <v>2693694</v>
      </c>
      <c r="B3557" s="2">
        <f>HYPERLINK("https://platform.v2.vetology.net/cases/2693694/screening-report/1?type=pdf&amp;v=v6&amp;scorecard=1&amp;secret_key=BX%25IJ%24%2F65ieZ%29f6", 2693694)</f>
        <v>2693694</v>
      </c>
      <c r="C3557" s="2">
        <f>HYPERLINK("https://platform.v2.vetology.net/report/v/final/"&amp;2693694, 2693694)</f>
        <v>2693694</v>
      </c>
      <c r="D3557" s="2" t="s">
        <v>11257</v>
      </c>
      <c r="E3557" s="2" t="s">
        <v>11258</v>
      </c>
      <c r="F3557" s="2" t="s">
        <v>43</v>
      </c>
      <c r="G3557" s="2" t="s">
        <v>44</v>
      </c>
      <c r="H3557" s="2" t="s">
        <v>45</v>
      </c>
      <c r="I3557" s="2" t="s">
        <v>46</v>
      </c>
      <c r="J3557" s="2"/>
      <c r="K3557" s="2" t="s">
        <v>39</v>
      </c>
      <c r="L3557" s="2" t="s">
        <v>39</v>
      </c>
      <c r="M3557" s="2" t="s">
        <v>39</v>
      </c>
      <c r="N3557" s="2" t="s">
        <v>39</v>
      </c>
      <c r="O3557" s="2" t="s">
        <v>39</v>
      </c>
      <c r="P3557" s="2" t="s">
        <v>39</v>
      </c>
      <c r="Q3557" s="2" t="s">
        <v>39</v>
      </c>
      <c r="R3557" s="2" t="s">
        <v>38</v>
      </c>
      <c r="S3557" s="2" t="s">
        <v>39</v>
      </c>
      <c r="T3557" s="2" t="s">
        <v>39</v>
      </c>
      <c r="U3557" s="2" t="s">
        <v>39</v>
      </c>
      <c r="V3557" s="2" t="s">
        <v>39</v>
      </c>
      <c r="W3557" s="2" t="s">
        <v>38</v>
      </c>
      <c r="X3557" s="2" t="s">
        <v>39</v>
      </c>
      <c r="Y3557" s="2" t="s">
        <v>39</v>
      </c>
      <c r="Z3557" s="2" t="s">
        <v>38</v>
      </c>
      <c r="AA3557" s="2" t="s">
        <v>39</v>
      </c>
      <c r="AB3557" s="2" t="s">
        <v>39</v>
      </c>
      <c r="AC3557" s="2" t="s">
        <v>38</v>
      </c>
      <c r="AD3557" s="2" t="s">
        <v>38</v>
      </c>
      <c r="AE3557" s="2" t="s">
        <v>39</v>
      </c>
    </row>
    <row r="3558" spans="1:31" ht="409.5">
      <c r="A3558" s="2">
        <v>2693689</v>
      </c>
      <c r="B3558" s="2">
        <f>HYPERLINK("https://platform.v2.vetology.net/cases/2693689/screening-report/1?type=pdf&amp;v=v6&amp;scorecard=1&amp;secret_key=BX%25IJ%24%2F65ieZ%29f6", 2693689)</f>
        <v>2693689</v>
      </c>
      <c r="C3558" s="2">
        <f>HYPERLINK("https://platform.v2.vetology.net/report/v/final/"&amp;2693689, 2693689)</f>
        <v>2693689</v>
      </c>
      <c r="D3558" s="2" t="s">
        <v>11259</v>
      </c>
      <c r="E3558" s="2" t="s">
        <v>11260</v>
      </c>
      <c r="F3558" s="2" t="s">
        <v>11261</v>
      </c>
      <c r="G3558" s="2" t="s">
        <v>53</v>
      </c>
      <c r="H3558" s="2" t="s">
        <v>4585</v>
      </c>
      <c r="I3558" s="2" t="s">
        <v>36</v>
      </c>
      <c r="J3558" s="2" t="s">
        <v>37</v>
      </c>
      <c r="K3558" s="2" t="s">
        <v>39</v>
      </c>
      <c r="L3558" s="2" t="s">
        <v>39</v>
      </c>
      <c r="M3558" s="2" t="s">
        <v>38</v>
      </c>
      <c r="N3558" s="2" t="s">
        <v>39</v>
      </c>
      <c r="O3558" s="2" t="s">
        <v>39</v>
      </c>
      <c r="P3558" s="2" t="s">
        <v>38</v>
      </c>
      <c r="Q3558" s="2" t="s">
        <v>39</v>
      </c>
      <c r="R3558" s="2" t="s">
        <v>39</v>
      </c>
      <c r="S3558" s="2" t="s">
        <v>38</v>
      </c>
      <c r="T3558" s="2" t="s">
        <v>38</v>
      </c>
      <c r="U3558" s="2" t="s">
        <v>39</v>
      </c>
      <c r="V3558" s="2" t="s">
        <v>39</v>
      </c>
      <c r="W3558" s="2" t="s">
        <v>38</v>
      </c>
      <c r="X3558" s="2" t="s">
        <v>39</v>
      </c>
      <c r="Y3558" s="2" t="s">
        <v>39</v>
      </c>
      <c r="Z3558" s="2" t="s">
        <v>38</v>
      </c>
      <c r="AA3558" s="2" t="s">
        <v>39</v>
      </c>
      <c r="AB3558" s="2" t="s">
        <v>39</v>
      </c>
      <c r="AC3558" s="2" t="s">
        <v>38</v>
      </c>
      <c r="AD3558" s="2" t="s">
        <v>38</v>
      </c>
      <c r="AE3558" s="2" t="s">
        <v>39</v>
      </c>
    </row>
    <row r="3559" spans="1:31" ht="409.5">
      <c r="A3559" s="2">
        <v>2693639</v>
      </c>
      <c r="B3559" s="2">
        <f>HYPERLINK("https://platform.v2.vetology.net/cases/2693639/screening-report/1?type=pdf&amp;v=v6&amp;scorecard=1&amp;secret_key=BX%25IJ%24%2F65ieZ%29f6", 2693639)</f>
        <v>2693639</v>
      </c>
      <c r="C3559" s="2">
        <f>HYPERLINK("https://platform.v2.vetology.net/report/v/final/"&amp;2693639, 2693639)</f>
        <v>2693639</v>
      </c>
      <c r="D3559" s="2" t="s">
        <v>11262</v>
      </c>
      <c r="E3559" s="2" t="s">
        <v>11263</v>
      </c>
      <c r="F3559" s="2" t="s">
        <v>11264</v>
      </c>
      <c r="G3559" s="2" t="s">
        <v>53</v>
      </c>
      <c r="H3559" s="2" t="s">
        <v>1669</v>
      </c>
      <c r="I3559" s="2" t="s">
        <v>46</v>
      </c>
      <c r="J3559" s="2"/>
      <c r="K3559" s="2" t="s">
        <v>39</v>
      </c>
      <c r="L3559" s="2" t="s">
        <v>39</v>
      </c>
      <c r="M3559" s="2" t="s">
        <v>39</v>
      </c>
      <c r="N3559" s="2" t="s">
        <v>39</v>
      </c>
      <c r="O3559" s="2" t="s">
        <v>39</v>
      </c>
      <c r="P3559" s="2" t="s">
        <v>38</v>
      </c>
      <c r="Q3559" s="2" t="s">
        <v>39</v>
      </c>
      <c r="R3559" s="2" t="s">
        <v>39</v>
      </c>
      <c r="S3559" s="2" t="s">
        <v>39</v>
      </c>
      <c r="T3559" s="2" t="s">
        <v>39</v>
      </c>
      <c r="U3559" s="2" t="s">
        <v>39</v>
      </c>
      <c r="V3559" s="2" t="s">
        <v>39</v>
      </c>
      <c r="W3559" s="2" t="s">
        <v>39</v>
      </c>
      <c r="X3559" s="2" t="s">
        <v>39</v>
      </c>
      <c r="Y3559" s="2" t="s">
        <v>39</v>
      </c>
      <c r="Z3559" s="2" t="s">
        <v>39</v>
      </c>
      <c r="AA3559" s="2" t="s">
        <v>39</v>
      </c>
      <c r="AB3559" s="2" t="s">
        <v>39</v>
      </c>
      <c r="AC3559" s="2" t="s">
        <v>39</v>
      </c>
      <c r="AD3559" s="2" t="s">
        <v>39</v>
      </c>
      <c r="AE3559" s="2" t="s">
        <v>40</v>
      </c>
    </row>
    <row r="3560" spans="1:31" ht="409.5">
      <c r="A3560" s="2">
        <v>2693631</v>
      </c>
      <c r="B3560" s="2">
        <f>HYPERLINK("https://platform.v2.vetology.net/cases/2693631/screening-report/1?type=pdf&amp;v=v6&amp;scorecard=1&amp;secret_key=BX%25IJ%24%2F65ieZ%29f6", 2693631)</f>
        <v>2693631</v>
      </c>
      <c r="C3560" s="2">
        <f>HYPERLINK("https://platform.v2.vetology.net/report/v/final/"&amp;2693631, 2693631)</f>
        <v>2693631</v>
      </c>
      <c r="D3560" s="2" t="s">
        <v>11265</v>
      </c>
      <c r="E3560" s="2" t="s">
        <v>11266</v>
      </c>
      <c r="F3560" s="2" t="s">
        <v>43</v>
      </c>
      <c r="G3560" s="2" t="s">
        <v>507</v>
      </c>
      <c r="H3560" s="2" t="s">
        <v>10097</v>
      </c>
      <c r="I3560" s="2" t="s">
        <v>73</v>
      </c>
      <c r="J3560" s="2" t="s">
        <v>74</v>
      </c>
      <c r="K3560" s="2" t="s">
        <v>38</v>
      </c>
      <c r="L3560" s="2" t="s">
        <v>38</v>
      </c>
      <c r="M3560" s="2" t="s">
        <v>38</v>
      </c>
      <c r="N3560" s="2" t="s">
        <v>38</v>
      </c>
      <c r="O3560" s="2" t="s">
        <v>38</v>
      </c>
      <c r="P3560" s="2" t="s">
        <v>38</v>
      </c>
      <c r="Q3560" s="2" t="s">
        <v>38</v>
      </c>
      <c r="R3560" s="2" t="s">
        <v>38</v>
      </c>
      <c r="S3560" s="2" t="s">
        <v>38</v>
      </c>
      <c r="T3560" s="2" t="s">
        <v>38</v>
      </c>
      <c r="U3560" s="2" t="s">
        <v>38</v>
      </c>
      <c r="V3560" s="2" t="s">
        <v>38</v>
      </c>
      <c r="W3560" s="2" t="s">
        <v>38</v>
      </c>
      <c r="X3560" s="2" t="s">
        <v>38</v>
      </c>
      <c r="Y3560" s="2" t="s">
        <v>39</v>
      </c>
      <c r="Z3560" s="2" t="s">
        <v>38</v>
      </c>
      <c r="AA3560" s="2" t="s">
        <v>38</v>
      </c>
      <c r="AB3560" s="2" t="s">
        <v>38</v>
      </c>
      <c r="AC3560" s="2" t="s">
        <v>38</v>
      </c>
      <c r="AD3560" s="2" t="s">
        <v>39</v>
      </c>
      <c r="AE3560" s="2" t="s">
        <v>40</v>
      </c>
    </row>
    <row r="3561" spans="1:31" ht="409.5">
      <c r="A3561" s="2">
        <v>2693603</v>
      </c>
      <c r="B3561" s="2">
        <f>HYPERLINK("https://platform.v2.vetology.net/cases/2693603/screening-report/1?type=pdf&amp;v=v6&amp;scorecard=1&amp;secret_key=BX%25IJ%24%2F65ieZ%29f6", 2693603)</f>
        <v>2693603</v>
      </c>
      <c r="C3561" s="2">
        <f>HYPERLINK("https://platform.v2.vetology.net/report/v/final/"&amp;2693603, 2693603)</f>
        <v>2693603</v>
      </c>
      <c r="D3561" s="2" t="s">
        <v>11267</v>
      </c>
      <c r="E3561" s="2" t="s">
        <v>11268</v>
      </c>
      <c r="F3561" s="2" t="s">
        <v>11269</v>
      </c>
      <c r="G3561" s="2" t="s">
        <v>507</v>
      </c>
      <c r="H3561" s="2" t="s">
        <v>11270</v>
      </c>
      <c r="I3561" s="2" t="s">
        <v>129</v>
      </c>
      <c r="J3561" s="2" t="s">
        <v>74</v>
      </c>
      <c r="K3561" s="2" t="s">
        <v>38</v>
      </c>
      <c r="L3561" s="2" t="s">
        <v>38</v>
      </c>
      <c r="M3561" s="2" t="s">
        <v>38</v>
      </c>
      <c r="N3561" s="2" t="s">
        <v>38</v>
      </c>
      <c r="O3561" s="2" t="s">
        <v>38</v>
      </c>
      <c r="P3561" s="2" t="s">
        <v>38</v>
      </c>
      <c r="Q3561" s="2" t="s">
        <v>38</v>
      </c>
      <c r="R3561" s="2" t="s">
        <v>38</v>
      </c>
      <c r="S3561" s="2" t="s">
        <v>38</v>
      </c>
      <c r="T3561" s="2" t="s">
        <v>38</v>
      </c>
      <c r="U3561" s="2" t="s">
        <v>38</v>
      </c>
      <c r="V3561" s="2" t="s">
        <v>38</v>
      </c>
      <c r="W3561" s="2" t="s">
        <v>38</v>
      </c>
      <c r="X3561" s="2" t="s">
        <v>38</v>
      </c>
      <c r="Y3561" s="2" t="s">
        <v>38</v>
      </c>
      <c r="Z3561" s="2" t="s">
        <v>38</v>
      </c>
      <c r="AA3561" s="2" t="s">
        <v>38</v>
      </c>
      <c r="AB3561" s="2" t="s">
        <v>38</v>
      </c>
      <c r="AC3561" s="2" t="s">
        <v>38</v>
      </c>
      <c r="AD3561" s="2" t="s">
        <v>38</v>
      </c>
      <c r="AE3561" s="2" t="s">
        <v>40</v>
      </c>
    </row>
    <row r="3562" spans="1:31" ht="409.5">
      <c r="A3562" s="2">
        <v>2693579</v>
      </c>
      <c r="B3562" s="2">
        <f>HYPERLINK("https://platform.v2.vetology.net/cases/2693579/screening-report/1?type=pdf&amp;v=v6&amp;scorecard=1&amp;secret_key=BX%25IJ%24%2F65ieZ%29f6", 2693579)</f>
        <v>2693579</v>
      </c>
      <c r="C3562" s="2">
        <f>HYPERLINK("https://platform.v2.vetology.net/report/v/final/"&amp;2693579, 2693579)</f>
        <v>2693579</v>
      </c>
      <c r="D3562" s="2" t="s">
        <v>11271</v>
      </c>
      <c r="E3562" s="2" t="s">
        <v>11272</v>
      </c>
      <c r="F3562" s="2"/>
      <c r="G3562" s="2" t="s">
        <v>81</v>
      </c>
      <c r="H3562" s="2" t="s">
        <v>11273</v>
      </c>
      <c r="I3562" s="2" t="s">
        <v>73</v>
      </c>
      <c r="J3562" s="2" t="s">
        <v>74</v>
      </c>
      <c r="K3562" s="2" t="s">
        <v>38</v>
      </c>
      <c r="L3562" s="2" t="s">
        <v>38</v>
      </c>
      <c r="M3562" s="2" t="s">
        <v>38</v>
      </c>
      <c r="N3562" s="2" t="s">
        <v>38</v>
      </c>
      <c r="O3562" s="2" t="s">
        <v>38</v>
      </c>
      <c r="P3562" s="2" t="s">
        <v>38</v>
      </c>
      <c r="Q3562" s="2" t="s">
        <v>38</v>
      </c>
      <c r="R3562" s="2" t="s">
        <v>38</v>
      </c>
      <c r="S3562" s="2" t="s">
        <v>38</v>
      </c>
      <c r="T3562" s="2" t="s">
        <v>38</v>
      </c>
      <c r="U3562" s="2" t="s">
        <v>38</v>
      </c>
      <c r="V3562" s="2" t="s">
        <v>38</v>
      </c>
      <c r="W3562" s="2" t="s">
        <v>38</v>
      </c>
      <c r="X3562" s="2" t="s">
        <v>38</v>
      </c>
      <c r="Y3562" s="2" t="s">
        <v>38</v>
      </c>
      <c r="Z3562" s="2" t="s">
        <v>38</v>
      </c>
      <c r="AA3562" s="2" t="s">
        <v>38</v>
      </c>
      <c r="AB3562" s="2" t="s">
        <v>38</v>
      </c>
      <c r="AC3562" s="2" t="s">
        <v>38</v>
      </c>
      <c r="AD3562" s="2" t="s">
        <v>38</v>
      </c>
      <c r="AE3562" s="2" t="s">
        <v>39</v>
      </c>
    </row>
    <row r="3563" spans="1:31" ht="409.5">
      <c r="A3563" s="2">
        <v>2693574</v>
      </c>
      <c r="B3563" s="2">
        <f>HYPERLINK("https://platform.v2.vetology.net/cases/2693574/screening-report/1?type=pdf&amp;v=v6&amp;scorecard=1&amp;secret_key=BX%25IJ%24%2F65ieZ%29f6", 2693574)</f>
        <v>2693574</v>
      </c>
      <c r="C3563" s="2">
        <f>HYPERLINK("https://platform.v2.vetology.net/report/v/final/"&amp;2693574, 2693574)</f>
        <v>2693574</v>
      </c>
      <c r="D3563" s="2" t="s">
        <v>11274</v>
      </c>
      <c r="E3563" s="2" t="s">
        <v>11275</v>
      </c>
      <c r="F3563" s="2" t="s">
        <v>43</v>
      </c>
      <c r="G3563" s="2" t="s">
        <v>507</v>
      </c>
      <c r="H3563" s="2" t="s">
        <v>11276</v>
      </c>
      <c r="I3563" s="2" t="s">
        <v>129</v>
      </c>
      <c r="J3563" s="2" t="s">
        <v>74</v>
      </c>
      <c r="K3563" s="2" t="s">
        <v>38</v>
      </c>
      <c r="L3563" s="2" t="s">
        <v>39</v>
      </c>
      <c r="M3563" s="2" t="s">
        <v>38</v>
      </c>
      <c r="N3563" s="2" t="s">
        <v>39</v>
      </c>
      <c r="O3563" s="2" t="s">
        <v>38</v>
      </c>
      <c r="P3563" s="2" t="s">
        <v>38</v>
      </c>
      <c r="Q3563" s="2" t="s">
        <v>38</v>
      </c>
      <c r="R3563" s="2" t="s">
        <v>38</v>
      </c>
      <c r="S3563" s="2" t="s">
        <v>38</v>
      </c>
      <c r="T3563" s="2" t="s">
        <v>38</v>
      </c>
      <c r="U3563" s="2" t="s">
        <v>39</v>
      </c>
      <c r="V3563" s="2" t="s">
        <v>39</v>
      </c>
      <c r="W3563" s="2" t="s">
        <v>38</v>
      </c>
      <c r="X3563" s="2" t="s">
        <v>38</v>
      </c>
      <c r="Y3563" s="2" t="s">
        <v>39</v>
      </c>
      <c r="Z3563" s="2" t="s">
        <v>38</v>
      </c>
      <c r="AA3563" s="2" t="s">
        <v>38</v>
      </c>
      <c r="AB3563" s="2" t="s">
        <v>38</v>
      </c>
      <c r="AC3563" s="2" t="s">
        <v>38</v>
      </c>
      <c r="AD3563" s="2" t="s">
        <v>38</v>
      </c>
      <c r="AE3563" s="2" t="s">
        <v>39</v>
      </c>
    </row>
    <row r="3564" spans="1:31" ht="409.5">
      <c r="A3564" s="2">
        <v>2693556</v>
      </c>
      <c r="B3564" s="2">
        <f>HYPERLINK("https://platform.v2.vetology.net/cases/2693556/screening-report/1?type=pdf&amp;v=v6&amp;scorecard=1&amp;secret_key=BX%25IJ%24%2F65ieZ%29f6", 2693556)</f>
        <v>2693556</v>
      </c>
      <c r="C3564" s="2">
        <f>HYPERLINK("https://platform.v2.vetology.net/report/v/final/"&amp;2693556, 2693556)</f>
        <v>2693556</v>
      </c>
      <c r="D3564" s="2" t="s">
        <v>11277</v>
      </c>
      <c r="E3564" s="2" t="s">
        <v>11278</v>
      </c>
      <c r="F3564" s="2" t="s">
        <v>43</v>
      </c>
      <c r="G3564" s="2" t="s">
        <v>507</v>
      </c>
      <c r="H3564" s="2" t="s">
        <v>69</v>
      </c>
      <c r="I3564" s="2" t="s">
        <v>46</v>
      </c>
      <c r="J3564" s="2"/>
      <c r="K3564" s="2" t="s">
        <v>39</v>
      </c>
      <c r="L3564" s="2" t="s">
        <v>39</v>
      </c>
      <c r="M3564" s="2" t="s">
        <v>39</v>
      </c>
      <c r="N3564" s="2" t="s">
        <v>39</v>
      </c>
      <c r="O3564" s="2" t="s">
        <v>39</v>
      </c>
      <c r="P3564" s="2" t="s">
        <v>39</v>
      </c>
      <c r="Q3564" s="2" t="s">
        <v>39</v>
      </c>
      <c r="R3564" s="2" t="s">
        <v>39</v>
      </c>
      <c r="S3564" s="2" t="s">
        <v>39</v>
      </c>
      <c r="T3564" s="2" t="s">
        <v>38</v>
      </c>
      <c r="U3564" s="2" t="s">
        <v>39</v>
      </c>
      <c r="V3564" s="2" t="s">
        <v>39</v>
      </c>
      <c r="W3564" s="2" t="s">
        <v>39</v>
      </c>
      <c r="X3564" s="2" t="s">
        <v>39</v>
      </c>
      <c r="Y3564" s="2" t="s">
        <v>39</v>
      </c>
      <c r="Z3564" s="2" t="s">
        <v>38</v>
      </c>
      <c r="AA3564" s="2" t="s">
        <v>39</v>
      </c>
      <c r="AB3564" s="2" t="s">
        <v>39</v>
      </c>
      <c r="AC3564" s="2" t="s">
        <v>39</v>
      </c>
      <c r="AD3564" s="2" t="s">
        <v>38</v>
      </c>
      <c r="AE3564" s="2" t="s">
        <v>39</v>
      </c>
    </row>
    <row r="3565" spans="1:31" ht="409.5">
      <c r="A3565" s="2">
        <v>2693536</v>
      </c>
      <c r="B3565" s="2">
        <f>HYPERLINK("https://platform.v2.vetology.net/cases/2693536/screening-report/1?type=pdf&amp;v=v6&amp;scorecard=1&amp;secret_key=BX%25IJ%24%2F65ieZ%29f6", 2693536)</f>
        <v>2693536</v>
      </c>
      <c r="C3565" s="2">
        <f>HYPERLINK("https://platform.v2.vetology.net/report/v/final/"&amp;2693536, 2693536)</f>
        <v>2693536</v>
      </c>
      <c r="D3565" s="2" t="s">
        <v>11279</v>
      </c>
      <c r="E3565" s="2" t="s">
        <v>11280</v>
      </c>
      <c r="F3565" s="2" t="s">
        <v>43</v>
      </c>
      <c r="G3565" s="2" t="s">
        <v>507</v>
      </c>
      <c r="H3565" s="2" t="s">
        <v>9000</v>
      </c>
      <c r="I3565" s="2" t="s">
        <v>36</v>
      </c>
      <c r="J3565" s="2" t="s">
        <v>37</v>
      </c>
      <c r="K3565" s="2" t="s">
        <v>39</v>
      </c>
      <c r="L3565" s="2" t="s">
        <v>38</v>
      </c>
      <c r="M3565" s="2" t="s">
        <v>38</v>
      </c>
      <c r="N3565" s="2" t="s">
        <v>38</v>
      </c>
      <c r="O3565" s="2" t="s">
        <v>38</v>
      </c>
      <c r="P3565" s="2" t="s">
        <v>39</v>
      </c>
      <c r="Q3565" s="2" t="s">
        <v>39</v>
      </c>
      <c r="R3565" s="2" t="s">
        <v>38</v>
      </c>
      <c r="S3565" s="2" t="s">
        <v>38</v>
      </c>
      <c r="T3565" s="2" t="s">
        <v>38</v>
      </c>
      <c r="U3565" s="2" t="s">
        <v>39</v>
      </c>
      <c r="V3565" s="2" t="s">
        <v>39</v>
      </c>
      <c r="W3565" s="2" t="s">
        <v>38</v>
      </c>
      <c r="X3565" s="2" t="s">
        <v>39</v>
      </c>
      <c r="Y3565" s="2" t="s">
        <v>38</v>
      </c>
      <c r="Z3565" s="2" t="s">
        <v>38</v>
      </c>
      <c r="AA3565" s="2" t="s">
        <v>38</v>
      </c>
      <c r="AB3565" s="2" t="s">
        <v>39</v>
      </c>
      <c r="AC3565" s="2" t="s">
        <v>38</v>
      </c>
      <c r="AD3565" s="2" t="s">
        <v>38</v>
      </c>
      <c r="AE3565" s="2" t="s">
        <v>39</v>
      </c>
    </row>
    <row r="3566" spans="1:31" ht="409.5">
      <c r="A3566" s="2">
        <v>2693533</v>
      </c>
      <c r="B3566" s="2">
        <f>HYPERLINK("https://platform.v2.vetology.net/cases/2693533/screening-report/1?type=pdf&amp;v=v6&amp;scorecard=1&amp;secret_key=BX%25IJ%24%2F65ieZ%29f6", 2693533)</f>
        <v>2693533</v>
      </c>
      <c r="C3566" s="2">
        <f>HYPERLINK("https://platform.v2.vetology.net/report/v/final/"&amp;2693533, 2693533)</f>
        <v>2693533</v>
      </c>
      <c r="D3566" s="2" t="s">
        <v>11281</v>
      </c>
      <c r="E3566" s="2" t="s">
        <v>11282</v>
      </c>
      <c r="F3566" s="2" t="s">
        <v>11283</v>
      </c>
      <c r="G3566" s="2" t="s">
        <v>53</v>
      </c>
      <c r="H3566" s="2" t="s">
        <v>69</v>
      </c>
      <c r="I3566" s="2" t="s">
        <v>46</v>
      </c>
      <c r="J3566" s="2"/>
      <c r="K3566" s="2" t="s">
        <v>39</v>
      </c>
      <c r="L3566" s="2" t="s">
        <v>39</v>
      </c>
      <c r="M3566" s="2" t="s">
        <v>39</v>
      </c>
      <c r="N3566" s="2" t="s">
        <v>39</v>
      </c>
      <c r="O3566" s="2" t="s">
        <v>39</v>
      </c>
      <c r="P3566" s="2" t="s">
        <v>39</v>
      </c>
      <c r="Q3566" s="2" t="s">
        <v>39</v>
      </c>
      <c r="R3566" s="2" t="s">
        <v>39</v>
      </c>
      <c r="S3566" s="2" t="s">
        <v>39</v>
      </c>
      <c r="T3566" s="2" t="s">
        <v>39</v>
      </c>
      <c r="U3566" s="2" t="s">
        <v>39</v>
      </c>
      <c r="V3566" s="2" t="s">
        <v>39</v>
      </c>
      <c r="W3566" s="2" t="s">
        <v>39</v>
      </c>
      <c r="X3566" s="2" t="s">
        <v>39</v>
      </c>
      <c r="Y3566" s="2" t="s">
        <v>39</v>
      </c>
      <c r="Z3566" s="2" t="s">
        <v>39</v>
      </c>
      <c r="AA3566" s="2" t="s">
        <v>39</v>
      </c>
      <c r="AB3566" s="2" t="s">
        <v>39</v>
      </c>
      <c r="AC3566" s="2" t="s">
        <v>39</v>
      </c>
      <c r="AD3566" s="2" t="s">
        <v>38</v>
      </c>
      <c r="AE3566" s="2" t="s">
        <v>39</v>
      </c>
    </row>
    <row r="3567" spans="1:31" ht="409.5">
      <c r="A3567" s="2">
        <v>2693532</v>
      </c>
      <c r="B3567" s="2">
        <f>HYPERLINK("https://platform.v2.vetology.net/cases/2693532/screening-report/1?type=pdf&amp;v=v6&amp;scorecard=1&amp;secret_key=BX%25IJ%24%2F65ieZ%29f6", 2693532)</f>
        <v>2693532</v>
      </c>
      <c r="C3567" s="2">
        <f>HYPERLINK("https://platform.v2.vetology.net/report/v/final/"&amp;2693532, 2693532)</f>
        <v>2693532</v>
      </c>
      <c r="D3567" s="2" t="s">
        <v>11284</v>
      </c>
      <c r="E3567" s="2" t="s">
        <v>11285</v>
      </c>
      <c r="F3567" s="2" t="s">
        <v>11286</v>
      </c>
      <c r="G3567" s="2" t="s">
        <v>53</v>
      </c>
      <c r="H3567" s="2" t="s">
        <v>11287</v>
      </c>
      <c r="I3567" s="2" t="s">
        <v>36</v>
      </c>
      <c r="J3567" s="2" t="s">
        <v>37</v>
      </c>
      <c r="K3567" s="2" t="s">
        <v>39</v>
      </c>
      <c r="L3567" s="2" t="s">
        <v>38</v>
      </c>
      <c r="M3567" s="2" t="s">
        <v>38</v>
      </c>
      <c r="N3567" s="2" t="s">
        <v>38</v>
      </c>
      <c r="O3567" s="2" t="s">
        <v>38</v>
      </c>
      <c r="P3567" s="2" t="s">
        <v>39</v>
      </c>
      <c r="Q3567" s="2" t="s">
        <v>39</v>
      </c>
      <c r="R3567" s="2" t="s">
        <v>38</v>
      </c>
      <c r="S3567" s="2" t="s">
        <v>38</v>
      </c>
      <c r="T3567" s="2" t="s">
        <v>39</v>
      </c>
      <c r="U3567" s="2" t="s">
        <v>39</v>
      </c>
      <c r="V3567" s="2" t="s">
        <v>39</v>
      </c>
      <c r="W3567" s="2" t="s">
        <v>38</v>
      </c>
      <c r="X3567" s="2" t="s">
        <v>39</v>
      </c>
      <c r="Y3567" s="2" t="s">
        <v>39</v>
      </c>
      <c r="Z3567" s="2" t="s">
        <v>38</v>
      </c>
      <c r="AA3567" s="2" t="s">
        <v>38</v>
      </c>
      <c r="AB3567" s="2" t="s">
        <v>39</v>
      </c>
      <c r="AC3567" s="2" t="s">
        <v>38</v>
      </c>
      <c r="AD3567" s="2" t="s">
        <v>38</v>
      </c>
      <c r="AE3567" s="2" t="s">
        <v>39</v>
      </c>
    </row>
    <row r="3568" spans="1:31" ht="409.5">
      <c r="A3568" s="2">
        <v>2693526</v>
      </c>
      <c r="B3568" s="2">
        <f>HYPERLINK("https://platform.v2.vetology.net/cases/2693526/screening-report/1?type=pdf&amp;v=v6&amp;scorecard=1&amp;secret_key=BX%25IJ%24%2F65ieZ%29f6", 2693526)</f>
        <v>2693526</v>
      </c>
      <c r="C3568" s="2">
        <f>HYPERLINK("https://platform.v2.vetology.net/report/v/final/"&amp;2693526, 2693526)</f>
        <v>2693526</v>
      </c>
      <c r="D3568" s="2" t="s">
        <v>11288</v>
      </c>
      <c r="E3568" s="2" t="s">
        <v>11289</v>
      </c>
      <c r="F3568" s="2" t="s">
        <v>11290</v>
      </c>
      <c r="G3568" s="2" t="s">
        <v>53</v>
      </c>
      <c r="H3568" s="2" t="s">
        <v>11291</v>
      </c>
      <c r="I3568" s="2" t="s">
        <v>73</v>
      </c>
      <c r="J3568" s="2" t="s">
        <v>74</v>
      </c>
      <c r="K3568" s="2" t="s">
        <v>38</v>
      </c>
      <c r="L3568" s="2" t="s">
        <v>38</v>
      </c>
      <c r="M3568" s="2" t="s">
        <v>38</v>
      </c>
      <c r="N3568" s="2" t="s">
        <v>38</v>
      </c>
      <c r="O3568" s="2" t="s">
        <v>38</v>
      </c>
      <c r="P3568" s="2" t="s">
        <v>38</v>
      </c>
      <c r="Q3568" s="2" t="s">
        <v>38</v>
      </c>
      <c r="R3568" s="2" t="s">
        <v>38</v>
      </c>
      <c r="S3568" s="2" t="s">
        <v>38</v>
      </c>
      <c r="T3568" s="2" t="s">
        <v>38</v>
      </c>
      <c r="U3568" s="2" t="s">
        <v>38</v>
      </c>
      <c r="V3568" s="2" t="s">
        <v>38</v>
      </c>
      <c r="W3568" s="2" t="s">
        <v>38</v>
      </c>
      <c r="X3568" s="2" t="s">
        <v>38</v>
      </c>
      <c r="Y3568" s="2" t="s">
        <v>39</v>
      </c>
      <c r="Z3568" s="2" t="s">
        <v>38</v>
      </c>
      <c r="AA3568" s="2" t="s">
        <v>38</v>
      </c>
      <c r="AB3568" s="2" t="s">
        <v>39</v>
      </c>
      <c r="AC3568" s="2" t="s">
        <v>38</v>
      </c>
      <c r="AD3568" s="2" t="s">
        <v>38</v>
      </c>
      <c r="AE3568" s="2" t="s">
        <v>40</v>
      </c>
    </row>
    <row r="3569" spans="1:31" ht="409.5">
      <c r="A3569" s="2">
        <v>2693525</v>
      </c>
      <c r="B3569" s="2">
        <f>HYPERLINK("https://platform.v2.vetology.net/cases/2693525/screening-report/1?type=pdf&amp;v=v6&amp;scorecard=1&amp;secret_key=BX%25IJ%24%2F65ieZ%29f6", 2693525)</f>
        <v>2693525</v>
      </c>
      <c r="C3569" s="2">
        <f>HYPERLINK("https://platform.v2.vetology.net/report/v/final/"&amp;2693525, 2693525)</f>
        <v>2693525</v>
      </c>
      <c r="D3569" s="2" t="s">
        <v>11292</v>
      </c>
      <c r="E3569" s="2" t="s">
        <v>11293</v>
      </c>
      <c r="F3569" s="2" t="s">
        <v>11294</v>
      </c>
      <c r="G3569" s="2" t="s">
        <v>170</v>
      </c>
      <c r="H3569" s="2" t="s">
        <v>1175</v>
      </c>
      <c r="I3569" s="2" t="s">
        <v>36</v>
      </c>
      <c r="J3569" s="2" t="s">
        <v>37</v>
      </c>
      <c r="K3569" s="2" t="s">
        <v>39</v>
      </c>
      <c r="L3569" s="2" t="s">
        <v>39</v>
      </c>
      <c r="M3569" s="2" t="s">
        <v>38</v>
      </c>
      <c r="N3569" s="2" t="s">
        <v>39</v>
      </c>
      <c r="O3569" s="2" t="s">
        <v>39</v>
      </c>
      <c r="P3569" s="2" t="s">
        <v>39</v>
      </c>
      <c r="Q3569" s="2" t="s">
        <v>39</v>
      </c>
      <c r="R3569" s="2" t="s">
        <v>38</v>
      </c>
      <c r="S3569" s="2" t="s">
        <v>39</v>
      </c>
      <c r="T3569" s="2" t="s">
        <v>39</v>
      </c>
      <c r="U3569" s="2" t="s">
        <v>38</v>
      </c>
      <c r="V3569" s="2" t="s">
        <v>39</v>
      </c>
      <c r="W3569" s="2" t="s">
        <v>39</v>
      </c>
      <c r="X3569" s="2" t="s">
        <v>39</v>
      </c>
      <c r="Y3569" s="2" t="s">
        <v>39</v>
      </c>
      <c r="Z3569" s="2" t="s">
        <v>39</v>
      </c>
      <c r="AA3569" s="2" t="s">
        <v>39</v>
      </c>
      <c r="AB3569" s="2" t="s">
        <v>39</v>
      </c>
      <c r="AC3569" s="2" t="s">
        <v>38</v>
      </c>
      <c r="AD3569" s="2" t="s">
        <v>39</v>
      </c>
      <c r="AE3569" s="2" t="s">
        <v>39</v>
      </c>
    </row>
    <row r="3570" spans="1:31" ht="409.5">
      <c r="A3570" s="2">
        <v>2693514</v>
      </c>
      <c r="B3570" s="2">
        <f>HYPERLINK("https://platform.v2.vetology.net/cases/2693514/screening-report/1?type=pdf&amp;v=v6&amp;scorecard=1&amp;secret_key=BX%25IJ%24%2F65ieZ%29f6", 2693514)</f>
        <v>2693514</v>
      </c>
      <c r="C3570" s="2">
        <f>HYPERLINK("https://platform.v2.vetology.net/report/v/final/"&amp;2693514, 2693514)</f>
        <v>2693514</v>
      </c>
      <c r="D3570" s="2" t="s">
        <v>11295</v>
      </c>
      <c r="E3570" s="2" t="s">
        <v>11296</v>
      </c>
      <c r="F3570" s="2" t="s">
        <v>11297</v>
      </c>
      <c r="G3570" s="2" t="s">
        <v>170</v>
      </c>
      <c r="H3570" s="2" t="s">
        <v>530</v>
      </c>
      <c r="I3570" s="2" t="s">
        <v>59</v>
      </c>
      <c r="J3570" s="2" t="s">
        <v>37</v>
      </c>
      <c r="K3570" s="2" t="s">
        <v>38</v>
      </c>
      <c r="L3570" s="2" t="s">
        <v>39</v>
      </c>
      <c r="M3570" s="2" t="s">
        <v>39</v>
      </c>
      <c r="N3570" s="2" t="s">
        <v>39</v>
      </c>
      <c r="O3570" s="2" t="s">
        <v>39</v>
      </c>
      <c r="P3570" s="2" t="s">
        <v>39</v>
      </c>
      <c r="Q3570" s="2" t="s">
        <v>39</v>
      </c>
      <c r="R3570" s="2" t="s">
        <v>39</v>
      </c>
      <c r="S3570" s="2" t="s">
        <v>39</v>
      </c>
      <c r="T3570" s="2" t="s">
        <v>39</v>
      </c>
      <c r="U3570" s="2" t="s">
        <v>38</v>
      </c>
      <c r="V3570" s="2" t="s">
        <v>38</v>
      </c>
      <c r="W3570" s="2" t="s">
        <v>38</v>
      </c>
      <c r="X3570" s="2" t="s">
        <v>39</v>
      </c>
      <c r="Y3570" s="2" t="s">
        <v>39</v>
      </c>
      <c r="Z3570" s="2" t="s">
        <v>39</v>
      </c>
      <c r="AA3570" s="2" t="s">
        <v>39</v>
      </c>
      <c r="AB3570" s="2" t="s">
        <v>39</v>
      </c>
      <c r="AC3570" s="2" t="s">
        <v>38</v>
      </c>
      <c r="AD3570" s="2" t="s">
        <v>38</v>
      </c>
      <c r="AE3570" s="2" t="s">
        <v>40</v>
      </c>
    </row>
    <row r="3571" spans="1:31" ht="409.5">
      <c r="A3571" s="2">
        <v>2693468</v>
      </c>
      <c r="B3571" s="2">
        <f>HYPERLINK("https://platform.v2.vetology.net/cases/2693468/screening-report/1?type=pdf&amp;v=v6&amp;scorecard=1&amp;secret_key=BX%25IJ%24%2F65ieZ%29f6", 2693468)</f>
        <v>2693468</v>
      </c>
      <c r="C3571" s="2">
        <f>HYPERLINK("https://platform.v2.vetology.net/report/v/final/"&amp;2693468, 2693468)</f>
        <v>2693468</v>
      </c>
      <c r="D3571" s="2" t="s">
        <v>11298</v>
      </c>
      <c r="E3571" s="2" t="s">
        <v>11299</v>
      </c>
      <c r="F3571" s="2" t="s">
        <v>11300</v>
      </c>
      <c r="G3571" s="2" t="s">
        <v>127</v>
      </c>
      <c r="H3571" s="2" t="s">
        <v>11301</v>
      </c>
      <c r="I3571" s="2" t="s">
        <v>36</v>
      </c>
      <c r="J3571" s="2" t="s">
        <v>37</v>
      </c>
      <c r="K3571" s="2" t="s">
        <v>38</v>
      </c>
      <c r="L3571" s="2" t="s">
        <v>38</v>
      </c>
      <c r="M3571" s="2" t="s">
        <v>38</v>
      </c>
      <c r="N3571" s="2" t="s">
        <v>38</v>
      </c>
      <c r="O3571" s="2" t="s">
        <v>38</v>
      </c>
      <c r="P3571" s="2" t="s">
        <v>38</v>
      </c>
      <c r="Q3571" s="2" t="s">
        <v>38</v>
      </c>
      <c r="R3571" s="2" t="s">
        <v>38</v>
      </c>
      <c r="S3571" s="2" t="s">
        <v>38</v>
      </c>
      <c r="T3571" s="2" t="s">
        <v>38</v>
      </c>
      <c r="U3571" s="2" t="s">
        <v>38</v>
      </c>
      <c r="V3571" s="2" t="s">
        <v>38</v>
      </c>
      <c r="W3571" s="2" t="s">
        <v>38</v>
      </c>
      <c r="X3571" s="2" t="s">
        <v>39</v>
      </c>
      <c r="Y3571" s="2" t="s">
        <v>39</v>
      </c>
      <c r="Z3571" s="2" t="s">
        <v>38</v>
      </c>
      <c r="AA3571" s="2" t="s">
        <v>38</v>
      </c>
      <c r="AB3571" s="2" t="s">
        <v>38</v>
      </c>
      <c r="AC3571" s="2" t="s">
        <v>38</v>
      </c>
      <c r="AD3571" s="2" t="s">
        <v>38</v>
      </c>
      <c r="AE3571" s="2" t="s">
        <v>40</v>
      </c>
    </row>
    <row r="3572" spans="1:31" ht="409.5">
      <c r="A3572" s="2">
        <v>2693410</v>
      </c>
      <c r="B3572" s="2">
        <f>HYPERLINK("https://platform.v2.vetology.net/cases/2693410/screening-report/1?type=pdf&amp;v=v6&amp;scorecard=1&amp;secret_key=BX%25IJ%24%2F65ieZ%29f6", 2693410)</f>
        <v>2693410</v>
      </c>
      <c r="C3572" s="2">
        <f>HYPERLINK("https://platform.v2.vetology.net/report/v/final/"&amp;2693410, 2693410)</f>
        <v>2693410</v>
      </c>
      <c r="D3572" s="2" t="s">
        <v>11302</v>
      </c>
      <c r="E3572" s="2" t="s">
        <v>11303</v>
      </c>
      <c r="F3572" s="2" t="s">
        <v>11304</v>
      </c>
      <c r="G3572" s="2" t="s">
        <v>34</v>
      </c>
      <c r="H3572" s="2" t="s">
        <v>69</v>
      </c>
      <c r="I3572" s="2" t="s">
        <v>46</v>
      </c>
      <c r="J3572" s="2"/>
      <c r="K3572" s="2" t="s">
        <v>39</v>
      </c>
      <c r="L3572" s="2" t="s">
        <v>39</v>
      </c>
      <c r="M3572" s="2" t="s">
        <v>39</v>
      </c>
      <c r="N3572" s="2" t="s">
        <v>39</v>
      </c>
      <c r="O3572" s="2" t="s">
        <v>39</v>
      </c>
      <c r="P3572" s="2" t="s">
        <v>39</v>
      </c>
      <c r="Q3572" s="2" t="s">
        <v>39</v>
      </c>
      <c r="R3572" s="2" t="s">
        <v>39</v>
      </c>
      <c r="S3572" s="2" t="s">
        <v>39</v>
      </c>
      <c r="T3572" s="2" t="s">
        <v>39</v>
      </c>
      <c r="U3572" s="2" t="s">
        <v>39</v>
      </c>
      <c r="V3572" s="2" t="s">
        <v>39</v>
      </c>
      <c r="W3572" s="2" t="s">
        <v>39</v>
      </c>
      <c r="X3572" s="2" t="s">
        <v>39</v>
      </c>
      <c r="Y3572" s="2" t="s">
        <v>39</v>
      </c>
      <c r="Z3572" s="2" t="s">
        <v>39</v>
      </c>
      <c r="AA3572" s="2" t="s">
        <v>39</v>
      </c>
      <c r="AB3572" s="2" t="s">
        <v>39</v>
      </c>
      <c r="AC3572" s="2" t="s">
        <v>39</v>
      </c>
      <c r="AD3572" s="2" t="s">
        <v>39</v>
      </c>
      <c r="AE3572" s="2" t="s">
        <v>39</v>
      </c>
    </row>
    <row r="3573" spans="1:31" ht="409.5">
      <c r="A3573" s="2">
        <v>2693366</v>
      </c>
      <c r="B3573" s="2">
        <f>HYPERLINK("https://platform.v2.vetology.net/cases/2693366/screening-report/1?type=pdf&amp;v=v6&amp;scorecard=1&amp;secret_key=BX%25IJ%24%2F65ieZ%29f6", 2693366)</f>
        <v>2693366</v>
      </c>
      <c r="C3573" s="2">
        <f>HYPERLINK("https://platform.v2.vetology.net/report/v/final/"&amp;2693366, 2693366)</f>
        <v>2693366</v>
      </c>
      <c r="D3573" s="2" t="s">
        <v>11305</v>
      </c>
      <c r="E3573" s="2" t="s">
        <v>11306</v>
      </c>
      <c r="F3573" s="2" t="s">
        <v>11307</v>
      </c>
      <c r="G3573" s="2" t="s">
        <v>53</v>
      </c>
      <c r="H3573" s="2" t="s">
        <v>11308</v>
      </c>
      <c r="I3573" s="2" t="s">
        <v>73</v>
      </c>
      <c r="J3573" s="2" t="s">
        <v>74</v>
      </c>
      <c r="K3573" s="2" t="s">
        <v>38</v>
      </c>
      <c r="L3573" s="2" t="s">
        <v>38</v>
      </c>
      <c r="M3573" s="2" t="s">
        <v>38</v>
      </c>
      <c r="N3573" s="2" t="s">
        <v>38</v>
      </c>
      <c r="O3573" s="2" t="s">
        <v>38</v>
      </c>
      <c r="P3573" s="2" t="s">
        <v>38</v>
      </c>
      <c r="Q3573" s="2" t="s">
        <v>38</v>
      </c>
      <c r="R3573" s="2" t="s">
        <v>39</v>
      </c>
      <c r="S3573" s="2" t="s">
        <v>38</v>
      </c>
      <c r="T3573" s="2" t="s">
        <v>38</v>
      </c>
      <c r="U3573" s="2" t="s">
        <v>38</v>
      </c>
      <c r="V3573" s="2" t="s">
        <v>38</v>
      </c>
      <c r="W3573" s="2" t="s">
        <v>38</v>
      </c>
      <c r="X3573" s="2" t="s">
        <v>38</v>
      </c>
      <c r="Y3573" s="2" t="s">
        <v>38</v>
      </c>
      <c r="Z3573" s="2" t="s">
        <v>38</v>
      </c>
      <c r="AA3573" s="2" t="s">
        <v>38</v>
      </c>
      <c r="AB3573" s="2" t="s">
        <v>38</v>
      </c>
      <c r="AC3573" s="2" t="s">
        <v>38</v>
      </c>
      <c r="AD3573" s="2" t="s">
        <v>39</v>
      </c>
      <c r="AE3573" s="2" t="s">
        <v>40</v>
      </c>
    </row>
    <row r="3574" spans="1:31" ht="409.5">
      <c r="A3574" s="2">
        <v>2693363</v>
      </c>
      <c r="B3574" s="2">
        <f>HYPERLINK("https://platform.v2.vetology.net/cases/2693363/screening-report/1?type=pdf&amp;v=v6&amp;scorecard=1&amp;secret_key=BX%25IJ%24%2F65ieZ%29f6", 2693363)</f>
        <v>2693363</v>
      </c>
      <c r="C3574" s="2">
        <f>HYPERLINK("https://platform.v2.vetology.net/report/v/final/"&amp;2693363, 2693363)</f>
        <v>2693363</v>
      </c>
      <c r="D3574" s="2" t="s">
        <v>11309</v>
      </c>
      <c r="E3574" s="2" t="s">
        <v>11310</v>
      </c>
      <c r="F3574" s="2" t="s">
        <v>3450</v>
      </c>
      <c r="G3574" s="2" t="s">
        <v>34</v>
      </c>
      <c r="H3574" s="2" t="s">
        <v>11311</v>
      </c>
      <c r="I3574" s="2" t="s">
        <v>36</v>
      </c>
      <c r="J3574" s="2" t="s">
        <v>37</v>
      </c>
      <c r="K3574" s="2" t="s">
        <v>39</v>
      </c>
      <c r="L3574" s="2" t="s">
        <v>39</v>
      </c>
      <c r="M3574" s="2" t="s">
        <v>38</v>
      </c>
      <c r="N3574" s="2" t="s">
        <v>39</v>
      </c>
      <c r="O3574" s="2" t="s">
        <v>38</v>
      </c>
      <c r="P3574" s="2" t="s">
        <v>39</v>
      </c>
      <c r="Q3574" s="2" t="s">
        <v>39</v>
      </c>
      <c r="R3574" s="2" t="s">
        <v>38</v>
      </c>
      <c r="S3574" s="2" t="s">
        <v>38</v>
      </c>
      <c r="T3574" s="2" t="s">
        <v>38</v>
      </c>
      <c r="U3574" s="2" t="s">
        <v>39</v>
      </c>
      <c r="V3574" s="2" t="s">
        <v>39</v>
      </c>
      <c r="W3574" s="2" t="s">
        <v>39</v>
      </c>
      <c r="X3574" s="2" t="s">
        <v>39</v>
      </c>
      <c r="Y3574" s="2" t="s">
        <v>39</v>
      </c>
      <c r="Z3574" s="2" t="s">
        <v>38</v>
      </c>
      <c r="AA3574" s="2" t="s">
        <v>38</v>
      </c>
      <c r="AB3574" s="2" t="s">
        <v>39</v>
      </c>
      <c r="AC3574" s="2" t="s">
        <v>38</v>
      </c>
      <c r="AD3574" s="2" t="s">
        <v>38</v>
      </c>
      <c r="AE3574" s="2" t="s">
        <v>39</v>
      </c>
    </row>
    <row r="3575" spans="1:31" ht="409.5">
      <c r="A3575" s="2">
        <v>2693242</v>
      </c>
      <c r="B3575" s="2">
        <f>HYPERLINK("https://platform.v2.vetology.net/cases/2693242/screening-report/1?type=pdf&amp;v=v6&amp;scorecard=1&amp;secret_key=BX%25IJ%24%2F65ieZ%29f6", 2693242)</f>
        <v>2693242</v>
      </c>
      <c r="C3575" s="2">
        <f>HYPERLINK("https://platform.v2.vetology.net/report/v/final/"&amp;2693242, 2693242)</f>
        <v>2693242</v>
      </c>
      <c r="D3575" s="2" t="s">
        <v>11312</v>
      </c>
      <c r="E3575" s="2" t="s">
        <v>11313</v>
      </c>
      <c r="F3575" s="2" t="s">
        <v>43</v>
      </c>
      <c r="G3575" s="2" t="s">
        <v>507</v>
      </c>
      <c r="H3575" s="2" t="s">
        <v>11314</v>
      </c>
      <c r="I3575" s="2" t="s">
        <v>59</v>
      </c>
      <c r="J3575" s="2" t="s">
        <v>37</v>
      </c>
      <c r="K3575" s="2" t="s">
        <v>38</v>
      </c>
      <c r="L3575" s="2" t="s">
        <v>38</v>
      </c>
      <c r="M3575" s="2" t="s">
        <v>39</v>
      </c>
      <c r="N3575" s="2" t="s">
        <v>39</v>
      </c>
      <c r="O3575" s="2" t="s">
        <v>39</v>
      </c>
      <c r="P3575" s="2" t="s">
        <v>39</v>
      </c>
      <c r="Q3575" s="2" t="s">
        <v>39</v>
      </c>
      <c r="R3575" s="2" t="s">
        <v>39</v>
      </c>
      <c r="S3575" s="2" t="s">
        <v>38</v>
      </c>
      <c r="T3575" s="2" t="s">
        <v>38</v>
      </c>
      <c r="U3575" s="2" t="s">
        <v>39</v>
      </c>
      <c r="V3575" s="2" t="s">
        <v>39</v>
      </c>
      <c r="W3575" s="2" t="s">
        <v>39</v>
      </c>
      <c r="X3575" s="2" t="s">
        <v>39</v>
      </c>
      <c r="Y3575" s="2" t="s">
        <v>39</v>
      </c>
      <c r="Z3575" s="2" t="s">
        <v>39</v>
      </c>
      <c r="AA3575" s="2" t="s">
        <v>39</v>
      </c>
      <c r="AB3575" s="2" t="s">
        <v>39</v>
      </c>
      <c r="AC3575" s="2" t="s">
        <v>39</v>
      </c>
      <c r="AD3575" s="2" t="s">
        <v>38</v>
      </c>
      <c r="AE3575" s="2" t="s">
        <v>39</v>
      </c>
    </row>
    <row r="3576" spans="1:31" ht="409.5">
      <c r="A3576" s="2">
        <v>2693239</v>
      </c>
      <c r="B3576" s="2">
        <f>HYPERLINK("https://platform.v2.vetology.net/cases/2693239/screening-report/1?type=pdf&amp;v=v6&amp;scorecard=1&amp;secret_key=BX%25IJ%24%2F65ieZ%29f6", 2693239)</f>
        <v>2693239</v>
      </c>
      <c r="C3576" s="2">
        <f>HYPERLINK("https://platform.v2.vetology.net/report/v/final/"&amp;2693239, 2693239)</f>
        <v>2693239</v>
      </c>
      <c r="D3576" s="2" t="s">
        <v>11315</v>
      </c>
      <c r="E3576" s="2" t="s">
        <v>11316</v>
      </c>
      <c r="F3576" s="2" t="s">
        <v>11317</v>
      </c>
      <c r="G3576" s="2" t="s">
        <v>170</v>
      </c>
      <c r="H3576" s="2" t="s">
        <v>11318</v>
      </c>
      <c r="I3576" s="2" t="s">
        <v>73</v>
      </c>
      <c r="J3576" s="2" t="s">
        <v>74</v>
      </c>
      <c r="K3576" s="2" t="s">
        <v>38</v>
      </c>
      <c r="L3576" s="2" t="s">
        <v>38</v>
      </c>
      <c r="M3576" s="2" t="s">
        <v>38</v>
      </c>
      <c r="N3576" s="2" t="s">
        <v>38</v>
      </c>
      <c r="O3576" s="2" t="s">
        <v>38</v>
      </c>
      <c r="P3576" s="2" t="s">
        <v>39</v>
      </c>
      <c r="Q3576" s="2" t="s">
        <v>38</v>
      </c>
      <c r="R3576" s="2" t="s">
        <v>38</v>
      </c>
      <c r="S3576" s="2" t="s">
        <v>38</v>
      </c>
      <c r="T3576" s="2" t="s">
        <v>38</v>
      </c>
      <c r="U3576" s="2" t="s">
        <v>38</v>
      </c>
      <c r="V3576" s="2" t="s">
        <v>38</v>
      </c>
      <c r="W3576" s="2" t="s">
        <v>38</v>
      </c>
      <c r="X3576" s="2" t="s">
        <v>39</v>
      </c>
      <c r="Y3576" s="2" t="s">
        <v>39</v>
      </c>
      <c r="Z3576" s="2" t="s">
        <v>38</v>
      </c>
      <c r="AA3576" s="2" t="s">
        <v>38</v>
      </c>
      <c r="AB3576" s="2" t="s">
        <v>39</v>
      </c>
      <c r="AC3576" s="2" t="s">
        <v>38</v>
      </c>
      <c r="AD3576" s="2" t="s">
        <v>38</v>
      </c>
      <c r="AE3576" s="2" t="s">
        <v>40</v>
      </c>
    </row>
    <row r="3577" spans="1:31" ht="409.5">
      <c r="A3577" s="2">
        <v>2693234</v>
      </c>
      <c r="B3577" s="2">
        <f>HYPERLINK("https://platform.v2.vetology.net/cases/2693234/screening-report/1?type=pdf&amp;v=v6&amp;scorecard=1&amp;secret_key=BX%25IJ%24%2F65ieZ%29f6", 2693234)</f>
        <v>2693234</v>
      </c>
      <c r="C3577" s="2">
        <f>HYPERLINK("https://platform.v2.vetology.net/report/v/final/"&amp;2693234, 2693234)</f>
        <v>2693234</v>
      </c>
      <c r="D3577" s="2" t="s">
        <v>11319</v>
      </c>
      <c r="E3577" s="2" t="s">
        <v>11320</v>
      </c>
      <c r="F3577" s="2" t="s">
        <v>11321</v>
      </c>
      <c r="G3577" s="2" t="s">
        <v>53</v>
      </c>
      <c r="H3577" s="2" t="s">
        <v>69</v>
      </c>
      <c r="I3577" s="2" t="s">
        <v>46</v>
      </c>
      <c r="J3577" s="2"/>
      <c r="K3577" s="2" t="s">
        <v>39</v>
      </c>
      <c r="L3577" s="2" t="s">
        <v>39</v>
      </c>
      <c r="M3577" s="2" t="s">
        <v>39</v>
      </c>
      <c r="N3577" s="2" t="s">
        <v>39</v>
      </c>
      <c r="O3577" s="2" t="s">
        <v>39</v>
      </c>
      <c r="P3577" s="2" t="s">
        <v>39</v>
      </c>
      <c r="Q3577" s="2" t="s">
        <v>39</v>
      </c>
      <c r="R3577" s="2" t="s">
        <v>39</v>
      </c>
      <c r="S3577" s="2" t="s">
        <v>39</v>
      </c>
      <c r="T3577" s="2" t="s">
        <v>39</v>
      </c>
      <c r="U3577" s="2" t="s">
        <v>39</v>
      </c>
      <c r="V3577" s="2" t="s">
        <v>39</v>
      </c>
      <c r="W3577" s="2" t="s">
        <v>39</v>
      </c>
      <c r="X3577" s="2" t="s">
        <v>39</v>
      </c>
      <c r="Y3577" s="2" t="s">
        <v>39</v>
      </c>
      <c r="Z3577" s="2" t="s">
        <v>39</v>
      </c>
      <c r="AA3577" s="2" t="s">
        <v>39</v>
      </c>
      <c r="AB3577" s="2" t="s">
        <v>39</v>
      </c>
      <c r="AC3577" s="2" t="s">
        <v>38</v>
      </c>
      <c r="AD3577" s="2" t="s">
        <v>39</v>
      </c>
      <c r="AE3577" s="2" t="s">
        <v>40</v>
      </c>
    </row>
    <row r="3578" spans="1:31" ht="409.5">
      <c r="A3578" s="2">
        <v>2693197</v>
      </c>
      <c r="B3578" s="2">
        <f>HYPERLINK("https://platform.v2.vetology.net/cases/2693197/screening-report/1?type=pdf&amp;v=v6&amp;scorecard=1&amp;secret_key=BX%25IJ%24%2F65ieZ%29f6", 2693197)</f>
        <v>2693197</v>
      </c>
      <c r="C3578" s="2">
        <f>HYPERLINK("https://platform.v2.vetology.net/report/v/final/"&amp;2693197, 2693197)</f>
        <v>2693197</v>
      </c>
      <c r="D3578" s="2" t="s">
        <v>11322</v>
      </c>
      <c r="E3578" s="2" t="s">
        <v>11323</v>
      </c>
      <c r="F3578" s="2" t="s">
        <v>43</v>
      </c>
      <c r="G3578" s="2" t="s">
        <v>507</v>
      </c>
      <c r="H3578" s="2" t="s">
        <v>2195</v>
      </c>
      <c r="I3578" s="2" t="s">
        <v>46</v>
      </c>
      <c r="J3578" s="2"/>
      <c r="K3578" s="2" t="s">
        <v>39</v>
      </c>
      <c r="L3578" s="2" t="s">
        <v>38</v>
      </c>
      <c r="M3578" s="2" t="s">
        <v>39</v>
      </c>
      <c r="N3578" s="2" t="s">
        <v>39</v>
      </c>
      <c r="O3578" s="2" t="s">
        <v>39</v>
      </c>
      <c r="P3578" s="2" t="s">
        <v>39</v>
      </c>
      <c r="Q3578" s="2" t="s">
        <v>39</v>
      </c>
      <c r="R3578" s="2" t="s">
        <v>38</v>
      </c>
      <c r="S3578" s="2" t="s">
        <v>38</v>
      </c>
      <c r="T3578" s="2" t="s">
        <v>39</v>
      </c>
      <c r="U3578" s="2" t="s">
        <v>39</v>
      </c>
      <c r="V3578" s="2" t="s">
        <v>39</v>
      </c>
      <c r="W3578" s="2" t="s">
        <v>39</v>
      </c>
      <c r="X3578" s="2" t="s">
        <v>39</v>
      </c>
      <c r="Y3578" s="2" t="s">
        <v>39</v>
      </c>
      <c r="Z3578" s="2" t="s">
        <v>38</v>
      </c>
      <c r="AA3578" s="2" t="s">
        <v>38</v>
      </c>
      <c r="AB3578" s="2" t="s">
        <v>39</v>
      </c>
      <c r="AC3578" s="2" t="s">
        <v>39</v>
      </c>
      <c r="AD3578" s="2" t="s">
        <v>38</v>
      </c>
      <c r="AE3578" s="2"/>
    </row>
    <row r="3579" spans="1:31" ht="409.5">
      <c r="A3579" s="2">
        <v>2693190</v>
      </c>
      <c r="B3579" s="2">
        <f>HYPERLINK("https://platform.v2.vetology.net/cases/2693190/screening-report/1?type=pdf&amp;v=v6&amp;scorecard=1&amp;secret_key=BX%25IJ%24%2F65ieZ%29f6", 2693190)</f>
        <v>2693190</v>
      </c>
      <c r="C3579" s="2">
        <f>HYPERLINK("https://platform.v2.vetology.net/report/v/final/"&amp;2693190, 2693190)</f>
        <v>2693190</v>
      </c>
      <c r="D3579" s="2" t="s">
        <v>11324</v>
      </c>
      <c r="E3579" s="2" t="s">
        <v>11325</v>
      </c>
      <c r="F3579" s="2" t="s">
        <v>43</v>
      </c>
      <c r="G3579" s="2" t="s">
        <v>507</v>
      </c>
      <c r="H3579" s="2" t="s">
        <v>5360</v>
      </c>
      <c r="I3579" s="2" t="s">
        <v>73</v>
      </c>
      <c r="J3579" s="2" t="s">
        <v>74</v>
      </c>
      <c r="K3579" s="2" t="s">
        <v>38</v>
      </c>
      <c r="L3579" s="2" t="s">
        <v>38</v>
      </c>
      <c r="M3579" s="2" t="s">
        <v>38</v>
      </c>
      <c r="N3579" s="2" t="s">
        <v>38</v>
      </c>
      <c r="O3579" s="2" t="s">
        <v>38</v>
      </c>
      <c r="P3579" s="2" t="s">
        <v>38</v>
      </c>
      <c r="Q3579" s="2" t="s">
        <v>38</v>
      </c>
      <c r="R3579" s="2" t="s">
        <v>38</v>
      </c>
      <c r="S3579" s="2" t="s">
        <v>38</v>
      </c>
      <c r="T3579" s="2" t="s">
        <v>38</v>
      </c>
      <c r="U3579" s="2" t="s">
        <v>38</v>
      </c>
      <c r="V3579" s="2" t="s">
        <v>38</v>
      </c>
      <c r="W3579" s="2" t="s">
        <v>38</v>
      </c>
      <c r="X3579" s="2" t="s">
        <v>38</v>
      </c>
      <c r="Y3579" s="2" t="s">
        <v>38</v>
      </c>
      <c r="Z3579" s="2" t="s">
        <v>38</v>
      </c>
      <c r="AA3579" s="2" t="s">
        <v>38</v>
      </c>
      <c r="AB3579" s="2" t="s">
        <v>38</v>
      </c>
      <c r="AC3579" s="2" t="s">
        <v>38</v>
      </c>
      <c r="AD3579" s="2" t="s">
        <v>38</v>
      </c>
      <c r="AE3579" s="2" t="s">
        <v>40</v>
      </c>
    </row>
    <row r="3580" spans="1:31" ht="409.5">
      <c r="A3580" s="2">
        <v>2693171</v>
      </c>
      <c r="B3580" s="2">
        <f>HYPERLINK("https://platform.v2.vetology.net/cases/2693171/screening-report/1?type=pdf&amp;v=v6&amp;scorecard=1&amp;secret_key=BX%25IJ%24%2F65ieZ%29f6", 2693171)</f>
        <v>2693171</v>
      </c>
      <c r="C3580" s="2">
        <f>HYPERLINK("https://platform.v2.vetology.net/report/v/final/"&amp;2693171, 2693171)</f>
        <v>2693171</v>
      </c>
      <c r="D3580" s="2" t="s">
        <v>11326</v>
      </c>
      <c r="E3580" s="2" t="s">
        <v>11327</v>
      </c>
      <c r="F3580" s="2" t="s">
        <v>11328</v>
      </c>
      <c r="G3580" s="2" t="s">
        <v>170</v>
      </c>
      <c r="H3580" s="2" t="s">
        <v>378</v>
      </c>
      <c r="I3580" s="2" t="s">
        <v>36</v>
      </c>
      <c r="J3580" s="2" t="s">
        <v>37</v>
      </c>
      <c r="K3580" s="2" t="s">
        <v>39</v>
      </c>
      <c r="L3580" s="2" t="s">
        <v>39</v>
      </c>
      <c r="M3580" s="2" t="s">
        <v>38</v>
      </c>
      <c r="N3580" s="2" t="s">
        <v>39</v>
      </c>
      <c r="O3580" s="2" t="s">
        <v>39</v>
      </c>
      <c r="P3580" s="2" t="s">
        <v>39</v>
      </c>
      <c r="Q3580" s="2" t="s">
        <v>39</v>
      </c>
      <c r="R3580" s="2" t="s">
        <v>39</v>
      </c>
      <c r="S3580" s="2" t="s">
        <v>38</v>
      </c>
      <c r="T3580" s="2" t="s">
        <v>39</v>
      </c>
      <c r="U3580" s="2" t="s">
        <v>39</v>
      </c>
      <c r="V3580" s="2" t="s">
        <v>39</v>
      </c>
      <c r="W3580" s="2" t="s">
        <v>38</v>
      </c>
      <c r="X3580" s="2" t="s">
        <v>39</v>
      </c>
      <c r="Y3580" s="2" t="s">
        <v>39</v>
      </c>
      <c r="Z3580" s="2" t="s">
        <v>38</v>
      </c>
      <c r="AA3580" s="2" t="s">
        <v>39</v>
      </c>
      <c r="AB3580" s="2" t="s">
        <v>39</v>
      </c>
      <c r="AC3580" s="2" t="s">
        <v>38</v>
      </c>
      <c r="AD3580" s="2" t="s">
        <v>38</v>
      </c>
      <c r="AE3580" s="2" t="s">
        <v>39</v>
      </c>
    </row>
    <row r="3581" spans="1:31" ht="409.5">
      <c r="A3581" s="2">
        <v>2693116</v>
      </c>
      <c r="B3581" s="2">
        <f>HYPERLINK("https://platform.v2.vetology.net/cases/2693116/screening-report/1?type=pdf&amp;v=v6&amp;scorecard=1&amp;secret_key=BX%25IJ%24%2F65ieZ%29f6", 2693116)</f>
        <v>2693116</v>
      </c>
      <c r="C3581" s="2">
        <f>HYPERLINK("https://platform.v2.vetology.net/report/v/final/"&amp;2693116, 2693116)</f>
        <v>2693116</v>
      </c>
      <c r="D3581" s="2" t="s">
        <v>11329</v>
      </c>
      <c r="E3581" s="2" t="s">
        <v>11330</v>
      </c>
      <c r="F3581" s="2" t="s">
        <v>11331</v>
      </c>
      <c r="G3581" s="2" t="s">
        <v>170</v>
      </c>
      <c r="H3581" s="2" t="s">
        <v>11332</v>
      </c>
      <c r="I3581" s="2" t="s">
        <v>36</v>
      </c>
      <c r="J3581" s="2" t="s">
        <v>37</v>
      </c>
      <c r="K3581" s="2" t="s">
        <v>38</v>
      </c>
      <c r="L3581" s="2" t="s">
        <v>38</v>
      </c>
      <c r="M3581" s="2" t="s">
        <v>38</v>
      </c>
      <c r="N3581" s="2" t="s">
        <v>38</v>
      </c>
      <c r="O3581" s="2" t="s">
        <v>38</v>
      </c>
      <c r="P3581" s="2" t="s">
        <v>38</v>
      </c>
      <c r="Q3581" s="2" t="s">
        <v>39</v>
      </c>
      <c r="R3581" s="2" t="s">
        <v>38</v>
      </c>
      <c r="S3581" s="2" t="s">
        <v>38</v>
      </c>
      <c r="T3581" s="2" t="s">
        <v>38</v>
      </c>
      <c r="U3581" s="2" t="s">
        <v>38</v>
      </c>
      <c r="V3581" s="2" t="s">
        <v>38</v>
      </c>
      <c r="W3581" s="2" t="s">
        <v>38</v>
      </c>
      <c r="X3581" s="2" t="s">
        <v>39</v>
      </c>
      <c r="Y3581" s="2" t="s">
        <v>38</v>
      </c>
      <c r="Z3581" s="2" t="s">
        <v>38</v>
      </c>
      <c r="AA3581" s="2" t="s">
        <v>38</v>
      </c>
      <c r="AB3581" s="2" t="s">
        <v>39</v>
      </c>
      <c r="AC3581" s="2" t="s">
        <v>38</v>
      </c>
      <c r="AD3581" s="2" t="s">
        <v>38</v>
      </c>
      <c r="AE3581" s="2" t="s">
        <v>40</v>
      </c>
    </row>
    <row r="3582" spans="1:31" ht="409.5">
      <c r="A3582" s="2">
        <v>2693022</v>
      </c>
      <c r="B3582" s="2">
        <f>HYPERLINK("https://platform.v2.vetology.net/cases/2693022/screening-report/1?type=pdf&amp;v=v6&amp;scorecard=1&amp;secret_key=BX%25IJ%24%2F65ieZ%29f6", 2693022)</f>
        <v>2693022</v>
      </c>
      <c r="C3582" s="2">
        <f>HYPERLINK("https://platform.v2.vetology.net/report/v/final/"&amp;2693022, 2693022)</f>
        <v>2693022</v>
      </c>
      <c r="D3582" s="2" t="s">
        <v>11333</v>
      </c>
      <c r="E3582" s="2" t="s">
        <v>11334</v>
      </c>
      <c r="F3582" s="2" t="s">
        <v>11335</v>
      </c>
      <c r="G3582" s="2" t="s">
        <v>127</v>
      </c>
      <c r="H3582" s="2" t="s">
        <v>11336</v>
      </c>
      <c r="I3582" s="2" t="s">
        <v>36</v>
      </c>
      <c r="J3582" s="2" t="s">
        <v>37</v>
      </c>
      <c r="K3582" s="2" t="s">
        <v>38</v>
      </c>
      <c r="L3582" s="2" t="s">
        <v>38</v>
      </c>
      <c r="M3582" s="2" t="s">
        <v>38</v>
      </c>
      <c r="N3582" s="2" t="s">
        <v>38</v>
      </c>
      <c r="O3582" s="2" t="s">
        <v>38</v>
      </c>
      <c r="P3582" s="2" t="s">
        <v>39</v>
      </c>
      <c r="Q3582" s="2" t="s">
        <v>38</v>
      </c>
      <c r="R3582" s="2" t="s">
        <v>38</v>
      </c>
      <c r="S3582" s="2" t="s">
        <v>38</v>
      </c>
      <c r="T3582" s="2" t="s">
        <v>38</v>
      </c>
      <c r="U3582" s="2" t="s">
        <v>39</v>
      </c>
      <c r="V3582" s="2" t="s">
        <v>38</v>
      </c>
      <c r="W3582" s="2" t="s">
        <v>38</v>
      </c>
      <c r="X3582" s="2" t="s">
        <v>39</v>
      </c>
      <c r="Y3582" s="2" t="s">
        <v>39</v>
      </c>
      <c r="Z3582" s="2" t="s">
        <v>38</v>
      </c>
      <c r="AA3582" s="2" t="s">
        <v>38</v>
      </c>
      <c r="AB3582" s="2" t="s">
        <v>38</v>
      </c>
      <c r="AC3582" s="2" t="s">
        <v>39</v>
      </c>
      <c r="AD3582" s="2" t="s">
        <v>38</v>
      </c>
      <c r="AE3582" s="2" t="s">
        <v>39</v>
      </c>
    </row>
    <row r="3583" spans="1:31" ht="409.5">
      <c r="A3583" s="2">
        <v>2693020</v>
      </c>
      <c r="B3583" s="2">
        <f>HYPERLINK("https://platform.v2.vetology.net/cases/2693020/screening-report/1?type=pdf&amp;v=v6&amp;scorecard=1&amp;secret_key=BX%25IJ%24%2F65ieZ%29f6", 2693020)</f>
        <v>2693020</v>
      </c>
      <c r="C3583" s="2">
        <f>HYPERLINK("https://platform.v2.vetology.net/report/v/final/"&amp;2693020, 2693020)</f>
        <v>2693020</v>
      </c>
      <c r="D3583" s="2" t="s">
        <v>11337</v>
      </c>
      <c r="E3583" s="2" t="s">
        <v>11338</v>
      </c>
      <c r="F3583" s="2" t="s">
        <v>43</v>
      </c>
      <c r="G3583" s="2" t="s">
        <v>507</v>
      </c>
      <c r="H3583" s="2" t="s">
        <v>11339</v>
      </c>
      <c r="I3583" s="2" t="s">
        <v>73</v>
      </c>
      <c r="J3583" s="2" t="s">
        <v>74</v>
      </c>
      <c r="K3583" s="2" t="s">
        <v>38</v>
      </c>
      <c r="L3583" s="2" t="s">
        <v>38</v>
      </c>
      <c r="M3583" s="2" t="s">
        <v>38</v>
      </c>
      <c r="N3583" s="2" t="s">
        <v>38</v>
      </c>
      <c r="O3583" s="2" t="s">
        <v>38</v>
      </c>
      <c r="P3583" s="2" t="s">
        <v>38</v>
      </c>
      <c r="Q3583" s="2" t="s">
        <v>38</v>
      </c>
      <c r="R3583" s="2" t="s">
        <v>38</v>
      </c>
      <c r="S3583" s="2" t="s">
        <v>38</v>
      </c>
      <c r="T3583" s="2" t="s">
        <v>38</v>
      </c>
      <c r="U3583" s="2" t="s">
        <v>38</v>
      </c>
      <c r="V3583" s="2" t="s">
        <v>38</v>
      </c>
      <c r="W3583" s="2" t="s">
        <v>38</v>
      </c>
      <c r="X3583" s="2" t="s">
        <v>38</v>
      </c>
      <c r="Y3583" s="2" t="s">
        <v>38</v>
      </c>
      <c r="Z3583" s="2" t="s">
        <v>38</v>
      </c>
      <c r="AA3583" s="2" t="s">
        <v>38</v>
      </c>
      <c r="AB3583" s="2" t="s">
        <v>38</v>
      </c>
      <c r="AC3583" s="2" t="s">
        <v>38</v>
      </c>
      <c r="AD3583" s="2" t="s">
        <v>38</v>
      </c>
      <c r="AE3583" s="2" t="s">
        <v>40</v>
      </c>
    </row>
    <row r="3584" spans="1:31" ht="409.5">
      <c r="A3584" s="2">
        <v>2693002</v>
      </c>
      <c r="B3584" s="2">
        <f>HYPERLINK("https://platform.v2.vetology.net/cases/2693002/screening-report/1?type=pdf&amp;v=v6&amp;scorecard=1&amp;secret_key=BX%25IJ%24%2F65ieZ%29f6", 2693002)</f>
        <v>2693002</v>
      </c>
      <c r="C3584" s="2">
        <f>HYPERLINK("https://platform.v2.vetology.net/report/v/final/"&amp;2693002, 2693002)</f>
        <v>2693002</v>
      </c>
      <c r="D3584" s="2" t="s">
        <v>11340</v>
      </c>
      <c r="E3584" s="2" t="s">
        <v>11341</v>
      </c>
      <c r="F3584" s="2" t="s">
        <v>11342</v>
      </c>
      <c r="G3584" s="2" t="s">
        <v>53</v>
      </c>
      <c r="H3584" s="2" t="s">
        <v>11343</v>
      </c>
      <c r="I3584" s="2" t="s">
        <v>73</v>
      </c>
      <c r="J3584" s="2" t="s">
        <v>74</v>
      </c>
      <c r="K3584" s="2" t="s">
        <v>38</v>
      </c>
      <c r="L3584" s="2" t="s">
        <v>38</v>
      </c>
      <c r="M3584" s="2" t="s">
        <v>38</v>
      </c>
      <c r="N3584" s="2" t="s">
        <v>38</v>
      </c>
      <c r="O3584" s="2" t="s">
        <v>38</v>
      </c>
      <c r="P3584" s="2" t="s">
        <v>38</v>
      </c>
      <c r="Q3584" s="2" t="s">
        <v>38</v>
      </c>
      <c r="R3584" s="2" t="s">
        <v>39</v>
      </c>
      <c r="S3584" s="2" t="s">
        <v>38</v>
      </c>
      <c r="T3584" s="2" t="s">
        <v>38</v>
      </c>
      <c r="U3584" s="2" t="s">
        <v>38</v>
      </c>
      <c r="V3584" s="2" t="s">
        <v>38</v>
      </c>
      <c r="W3584" s="2" t="s">
        <v>38</v>
      </c>
      <c r="X3584" s="2" t="s">
        <v>38</v>
      </c>
      <c r="Y3584" s="2" t="s">
        <v>39</v>
      </c>
      <c r="Z3584" s="2" t="s">
        <v>38</v>
      </c>
      <c r="AA3584" s="2" t="s">
        <v>38</v>
      </c>
      <c r="AB3584" s="2" t="s">
        <v>38</v>
      </c>
      <c r="AC3584" s="2" t="s">
        <v>38</v>
      </c>
      <c r="AD3584" s="2" t="s">
        <v>39</v>
      </c>
      <c r="AE3584" s="2" t="s">
        <v>40</v>
      </c>
    </row>
    <row r="3585" spans="1:31" ht="409.5">
      <c r="A3585" s="2">
        <v>2692999</v>
      </c>
      <c r="B3585" s="2">
        <f>HYPERLINK("https://platform.v2.vetology.net/cases/2692999/screening-report/1?type=pdf&amp;v=v6&amp;scorecard=1&amp;secret_key=BX%25IJ%24%2F65ieZ%29f6", 2692999)</f>
        <v>2692999</v>
      </c>
      <c r="C3585" s="2">
        <f>HYPERLINK("https://platform.v2.vetology.net/report/v/final/"&amp;2692999, 2692999)</f>
        <v>2692999</v>
      </c>
      <c r="D3585" s="2" t="s">
        <v>11344</v>
      </c>
      <c r="E3585" s="2" t="s">
        <v>11345</v>
      </c>
      <c r="F3585" s="2" t="s">
        <v>43</v>
      </c>
      <c r="G3585" s="2" t="s">
        <v>507</v>
      </c>
      <c r="H3585" s="2" t="s">
        <v>69</v>
      </c>
      <c r="I3585" s="2" t="s">
        <v>46</v>
      </c>
      <c r="J3585" s="2"/>
      <c r="K3585" s="2" t="s">
        <v>39</v>
      </c>
      <c r="L3585" s="2" t="s">
        <v>39</v>
      </c>
      <c r="M3585" s="2" t="s">
        <v>39</v>
      </c>
      <c r="N3585" s="2" t="s">
        <v>39</v>
      </c>
      <c r="O3585" s="2" t="s">
        <v>39</v>
      </c>
      <c r="P3585" s="2" t="s">
        <v>39</v>
      </c>
      <c r="Q3585" s="2" t="s">
        <v>39</v>
      </c>
      <c r="R3585" s="2" t="s">
        <v>39</v>
      </c>
      <c r="S3585" s="2" t="s">
        <v>39</v>
      </c>
      <c r="T3585" s="2" t="s">
        <v>39</v>
      </c>
      <c r="U3585" s="2" t="s">
        <v>39</v>
      </c>
      <c r="V3585" s="2" t="s">
        <v>38</v>
      </c>
      <c r="W3585" s="2" t="s">
        <v>38</v>
      </c>
      <c r="X3585" s="2" t="s">
        <v>39</v>
      </c>
      <c r="Y3585" s="2" t="s">
        <v>39</v>
      </c>
      <c r="Z3585" s="2" t="s">
        <v>39</v>
      </c>
      <c r="AA3585" s="2" t="s">
        <v>39</v>
      </c>
      <c r="AB3585" s="2" t="s">
        <v>39</v>
      </c>
      <c r="AC3585" s="2" t="s">
        <v>38</v>
      </c>
      <c r="AD3585" s="2" t="s">
        <v>39</v>
      </c>
      <c r="AE3585" s="2" t="s">
        <v>40</v>
      </c>
    </row>
    <row r="3586" spans="1:31" ht="409.5">
      <c r="A3586" s="2">
        <v>2692985</v>
      </c>
      <c r="B3586" s="2">
        <f>HYPERLINK("https://platform.v2.vetology.net/cases/2692985/screening-report/1?type=pdf&amp;v=v6&amp;scorecard=1&amp;secret_key=BX%25IJ%24%2F65ieZ%29f6", 2692985)</f>
        <v>2692985</v>
      </c>
      <c r="C3586" s="2">
        <f>HYPERLINK("https://platform.v2.vetology.net/report/v/final/"&amp;2692985, 2692985)</f>
        <v>2692985</v>
      </c>
      <c r="D3586" s="2" t="s">
        <v>11346</v>
      </c>
      <c r="E3586" s="2" t="s">
        <v>11347</v>
      </c>
      <c r="F3586" s="2" t="s">
        <v>43</v>
      </c>
      <c r="G3586" s="2" t="s">
        <v>507</v>
      </c>
      <c r="H3586" s="2" t="s">
        <v>493</v>
      </c>
      <c r="I3586" s="2" t="s">
        <v>36</v>
      </c>
      <c r="J3586" s="2" t="s">
        <v>37</v>
      </c>
      <c r="K3586" s="2" t="s">
        <v>38</v>
      </c>
      <c r="L3586" s="2" t="s">
        <v>39</v>
      </c>
      <c r="M3586" s="2" t="s">
        <v>38</v>
      </c>
      <c r="N3586" s="2" t="s">
        <v>39</v>
      </c>
      <c r="O3586" s="2" t="s">
        <v>38</v>
      </c>
      <c r="P3586" s="2" t="s">
        <v>39</v>
      </c>
      <c r="Q3586" s="2" t="s">
        <v>39</v>
      </c>
      <c r="R3586" s="2" t="s">
        <v>39</v>
      </c>
      <c r="S3586" s="2" t="s">
        <v>39</v>
      </c>
      <c r="T3586" s="2" t="s">
        <v>38</v>
      </c>
      <c r="U3586" s="2" t="s">
        <v>38</v>
      </c>
      <c r="V3586" s="2" t="s">
        <v>38</v>
      </c>
      <c r="W3586" s="2" t="s">
        <v>38</v>
      </c>
      <c r="X3586" s="2" t="s">
        <v>39</v>
      </c>
      <c r="Y3586" s="2" t="s">
        <v>39</v>
      </c>
      <c r="Z3586" s="2" t="s">
        <v>39</v>
      </c>
      <c r="AA3586" s="2" t="s">
        <v>38</v>
      </c>
      <c r="AB3586" s="2" t="s">
        <v>39</v>
      </c>
      <c r="AC3586" s="2" t="s">
        <v>38</v>
      </c>
      <c r="AD3586" s="2" t="s">
        <v>38</v>
      </c>
      <c r="AE3586" s="2" t="s">
        <v>40</v>
      </c>
    </row>
    <row r="3587" spans="1:31" ht="409.5">
      <c r="A3587" s="2">
        <v>2692982</v>
      </c>
      <c r="B3587" s="2">
        <f>HYPERLINK("https://platform.v2.vetology.net/cases/2692982/screening-report/1?type=pdf&amp;v=v6&amp;scorecard=1&amp;secret_key=BX%25IJ%24%2F65ieZ%29f6", 2692982)</f>
        <v>2692982</v>
      </c>
      <c r="C3587" s="2">
        <f>HYPERLINK("https://platform.v2.vetology.net/report/v/final/"&amp;2692982, 2692982)</f>
        <v>2692982</v>
      </c>
      <c r="D3587" s="2" t="s">
        <v>11348</v>
      </c>
      <c r="E3587" s="2" t="s">
        <v>11349</v>
      </c>
      <c r="F3587" s="2" t="s">
        <v>11350</v>
      </c>
      <c r="G3587" s="2" t="s">
        <v>170</v>
      </c>
      <c r="H3587" s="2" t="s">
        <v>11351</v>
      </c>
      <c r="I3587" s="2" t="s">
        <v>73</v>
      </c>
      <c r="J3587" s="2" t="s">
        <v>74</v>
      </c>
      <c r="K3587" s="2" t="s">
        <v>38</v>
      </c>
      <c r="L3587" s="2" t="s">
        <v>38</v>
      </c>
      <c r="M3587" s="2" t="s">
        <v>38</v>
      </c>
      <c r="N3587" s="2" t="s">
        <v>38</v>
      </c>
      <c r="O3587" s="2" t="s">
        <v>38</v>
      </c>
      <c r="P3587" s="2" t="s">
        <v>38</v>
      </c>
      <c r="Q3587" s="2" t="s">
        <v>38</v>
      </c>
      <c r="R3587" s="2" t="s">
        <v>38</v>
      </c>
      <c r="S3587" s="2" t="s">
        <v>38</v>
      </c>
      <c r="T3587" s="2" t="s">
        <v>38</v>
      </c>
      <c r="U3587" s="2" t="s">
        <v>38</v>
      </c>
      <c r="V3587" s="2" t="s">
        <v>38</v>
      </c>
      <c r="W3587" s="2" t="s">
        <v>38</v>
      </c>
      <c r="X3587" s="2" t="s">
        <v>38</v>
      </c>
      <c r="Y3587" s="2" t="s">
        <v>38</v>
      </c>
      <c r="Z3587" s="2" t="s">
        <v>38</v>
      </c>
      <c r="AA3587" s="2" t="s">
        <v>38</v>
      </c>
      <c r="AB3587" s="2" t="s">
        <v>38</v>
      </c>
      <c r="AC3587" s="2" t="s">
        <v>38</v>
      </c>
      <c r="AD3587" s="2" t="s">
        <v>38</v>
      </c>
      <c r="AE3587" s="2" t="s">
        <v>40</v>
      </c>
    </row>
    <row r="3588" spans="1:31" ht="409.5">
      <c r="A3588" s="2">
        <v>2692939</v>
      </c>
      <c r="B3588" s="2">
        <f>HYPERLINK("https://platform.v2.vetology.net/cases/2692939/screening-report/1?type=pdf&amp;v=v6&amp;scorecard=1&amp;secret_key=BX%25IJ%24%2F65ieZ%29f6", 2692939)</f>
        <v>2692939</v>
      </c>
      <c r="C3588" s="2">
        <f>HYPERLINK("https://platform.v2.vetology.net/report/v/final/"&amp;2692939, 2692939)</f>
        <v>2692939</v>
      </c>
      <c r="D3588" s="2" t="s">
        <v>11352</v>
      </c>
      <c r="E3588" s="2" t="s">
        <v>11353</v>
      </c>
      <c r="F3588" s="2" t="s">
        <v>11354</v>
      </c>
      <c r="G3588" s="2" t="s">
        <v>127</v>
      </c>
      <c r="H3588" s="2" t="s">
        <v>11355</v>
      </c>
      <c r="I3588" s="2" t="s">
        <v>73</v>
      </c>
      <c r="J3588" s="2" t="s">
        <v>74</v>
      </c>
      <c r="K3588" s="2" t="s">
        <v>38</v>
      </c>
      <c r="L3588" s="2" t="s">
        <v>38</v>
      </c>
      <c r="M3588" s="2" t="s">
        <v>38</v>
      </c>
      <c r="N3588" s="2" t="s">
        <v>38</v>
      </c>
      <c r="O3588" s="2" t="s">
        <v>38</v>
      </c>
      <c r="P3588" s="2" t="s">
        <v>39</v>
      </c>
      <c r="Q3588" s="2" t="s">
        <v>38</v>
      </c>
      <c r="R3588" s="2" t="s">
        <v>39</v>
      </c>
      <c r="S3588" s="2" t="s">
        <v>38</v>
      </c>
      <c r="T3588" s="2" t="s">
        <v>38</v>
      </c>
      <c r="U3588" s="2" t="s">
        <v>38</v>
      </c>
      <c r="V3588" s="2" t="s">
        <v>38</v>
      </c>
      <c r="W3588" s="2" t="s">
        <v>38</v>
      </c>
      <c r="X3588" s="2" t="s">
        <v>38</v>
      </c>
      <c r="Y3588" s="2" t="s">
        <v>39</v>
      </c>
      <c r="Z3588" s="2" t="s">
        <v>38</v>
      </c>
      <c r="AA3588" s="2" t="s">
        <v>38</v>
      </c>
      <c r="AB3588" s="2" t="s">
        <v>38</v>
      </c>
      <c r="AC3588" s="2" t="s">
        <v>38</v>
      </c>
      <c r="AD3588" s="2" t="s">
        <v>39</v>
      </c>
      <c r="AE3588" s="2" t="s">
        <v>40</v>
      </c>
    </row>
    <row r="3589" spans="1:31" ht="409.5">
      <c r="A3589" s="2">
        <v>2692928</v>
      </c>
      <c r="B3589" s="2">
        <f>HYPERLINK("https://platform.v2.vetology.net/cases/2692928/screening-report/1?type=pdf&amp;v=v6&amp;scorecard=1&amp;secret_key=BX%25IJ%24%2F65ieZ%29f6", 2692928)</f>
        <v>2692928</v>
      </c>
      <c r="C3589" s="2">
        <f>HYPERLINK("https://platform.v2.vetology.net/report/v/final/"&amp;2692928, 2692928)</f>
        <v>2692928</v>
      </c>
      <c r="D3589" s="2" t="s">
        <v>11356</v>
      </c>
      <c r="E3589" s="2" t="s">
        <v>11357</v>
      </c>
      <c r="F3589" s="2"/>
      <c r="G3589" s="2" t="s">
        <v>81</v>
      </c>
      <c r="H3589" s="2" t="s">
        <v>69</v>
      </c>
      <c r="I3589" s="2" t="s">
        <v>46</v>
      </c>
      <c r="J3589" s="2"/>
      <c r="K3589" s="2" t="s">
        <v>39</v>
      </c>
      <c r="L3589" s="2" t="s">
        <v>39</v>
      </c>
      <c r="M3589" s="2" t="s">
        <v>39</v>
      </c>
      <c r="N3589" s="2" t="s">
        <v>39</v>
      </c>
      <c r="O3589" s="2" t="s">
        <v>38</v>
      </c>
      <c r="P3589" s="2" t="s">
        <v>39</v>
      </c>
      <c r="Q3589" s="2" t="s">
        <v>39</v>
      </c>
      <c r="R3589" s="2" t="s">
        <v>39</v>
      </c>
      <c r="S3589" s="2" t="s">
        <v>39</v>
      </c>
      <c r="T3589" s="2" t="s">
        <v>38</v>
      </c>
      <c r="U3589" s="2" t="s">
        <v>39</v>
      </c>
      <c r="V3589" s="2" t="s">
        <v>39</v>
      </c>
      <c r="W3589" s="2" t="s">
        <v>38</v>
      </c>
      <c r="X3589" s="2" t="s">
        <v>38</v>
      </c>
      <c r="Y3589" s="2" t="s">
        <v>39</v>
      </c>
      <c r="Z3589" s="2" t="s">
        <v>38</v>
      </c>
      <c r="AA3589" s="2" t="s">
        <v>38</v>
      </c>
      <c r="AB3589" s="2" t="s">
        <v>38</v>
      </c>
      <c r="AC3589" s="2" t="s">
        <v>38</v>
      </c>
      <c r="AD3589" s="2" t="s">
        <v>39</v>
      </c>
      <c r="AE3589" s="2" t="s">
        <v>40</v>
      </c>
    </row>
    <row r="3590" spans="1:31" ht="409.5">
      <c r="A3590" s="2">
        <v>2692915</v>
      </c>
      <c r="B3590" s="2">
        <f>HYPERLINK("https://platform.v2.vetology.net/cases/2692915/screening-report/1?type=pdf&amp;v=v6&amp;scorecard=1&amp;secret_key=BX%25IJ%24%2F65ieZ%29f6", 2692915)</f>
        <v>2692915</v>
      </c>
      <c r="C3590" s="2">
        <f>HYPERLINK("https://platform.v2.vetology.net/report/v/final/"&amp;2692915, 2692915)</f>
        <v>2692915</v>
      </c>
      <c r="D3590" s="2" t="s">
        <v>11358</v>
      </c>
      <c r="E3590" s="2" t="s">
        <v>11359</v>
      </c>
      <c r="F3590" s="2" t="s">
        <v>11360</v>
      </c>
      <c r="G3590" s="2" t="s">
        <v>127</v>
      </c>
      <c r="H3590" s="2" t="s">
        <v>394</v>
      </c>
      <c r="I3590" s="2" t="s">
        <v>59</v>
      </c>
      <c r="J3590" s="2" t="s">
        <v>37</v>
      </c>
      <c r="K3590" s="2" t="s">
        <v>38</v>
      </c>
      <c r="L3590" s="2" t="s">
        <v>39</v>
      </c>
      <c r="M3590" s="2" t="s">
        <v>39</v>
      </c>
      <c r="N3590" s="2" t="s">
        <v>39</v>
      </c>
      <c r="O3590" s="2" t="s">
        <v>39</v>
      </c>
      <c r="P3590" s="2" t="s">
        <v>39</v>
      </c>
      <c r="Q3590" s="2" t="s">
        <v>39</v>
      </c>
      <c r="R3590" s="2" t="s">
        <v>39</v>
      </c>
      <c r="S3590" s="2" t="s">
        <v>39</v>
      </c>
      <c r="T3590" s="2" t="s">
        <v>39</v>
      </c>
      <c r="U3590" s="2" t="s">
        <v>39</v>
      </c>
      <c r="V3590" s="2" t="s">
        <v>38</v>
      </c>
      <c r="W3590" s="2" t="s">
        <v>39</v>
      </c>
      <c r="X3590" s="2" t="s">
        <v>39</v>
      </c>
      <c r="Y3590" s="2" t="s">
        <v>39</v>
      </c>
      <c r="Z3590" s="2" t="s">
        <v>39</v>
      </c>
      <c r="AA3590" s="2" t="s">
        <v>38</v>
      </c>
      <c r="AB3590" s="2" t="s">
        <v>39</v>
      </c>
      <c r="AC3590" s="2" t="s">
        <v>38</v>
      </c>
      <c r="AD3590" s="2" t="s">
        <v>39</v>
      </c>
      <c r="AE3590" s="2" t="s">
        <v>39</v>
      </c>
    </row>
    <row r="3591" spans="1:31" ht="409.5">
      <c r="A3591" s="2">
        <v>2692900</v>
      </c>
      <c r="B3591" s="2">
        <f>HYPERLINK("https://platform.v2.vetology.net/cases/2692900/screening-report/1?type=pdf&amp;v=v6&amp;scorecard=1&amp;secret_key=BX%25IJ%24%2F65ieZ%29f6", 2692900)</f>
        <v>2692900</v>
      </c>
      <c r="C3591" s="2">
        <f>HYPERLINK("https://platform.v2.vetology.net/report/v/final/"&amp;2692900, 2692900)</f>
        <v>2692900</v>
      </c>
      <c r="D3591" s="2" t="s">
        <v>11361</v>
      </c>
      <c r="E3591" s="2" t="s">
        <v>11362</v>
      </c>
      <c r="F3591" s="2" t="s">
        <v>11363</v>
      </c>
      <c r="G3591" s="2" t="s">
        <v>170</v>
      </c>
      <c r="H3591" s="2" t="s">
        <v>11364</v>
      </c>
      <c r="I3591" s="2" t="s">
        <v>73</v>
      </c>
      <c r="J3591" s="2" t="s">
        <v>74</v>
      </c>
      <c r="K3591" s="2" t="s">
        <v>38</v>
      </c>
      <c r="L3591" s="2" t="s">
        <v>38</v>
      </c>
      <c r="M3591" s="2" t="s">
        <v>38</v>
      </c>
      <c r="N3591" s="2" t="s">
        <v>38</v>
      </c>
      <c r="O3591" s="2" t="s">
        <v>38</v>
      </c>
      <c r="P3591" s="2" t="s">
        <v>38</v>
      </c>
      <c r="Q3591" s="2" t="s">
        <v>38</v>
      </c>
      <c r="R3591" s="2" t="s">
        <v>38</v>
      </c>
      <c r="S3591" s="2" t="s">
        <v>38</v>
      </c>
      <c r="T3591" s="2" t="s">
        <v>38</v>
      </c>
      <c r="U3591" s="2" t="s">
        <v>38</v>
      </c>
      <c r="V3591" s="2" t="s">
        <v>38</v>
      </c>
      <c r="W3591" s="2" t="s">
        <v>38</v>
      </c>
      <c r="X3591" s="2" t="s">
        <v>38</v>
      </c>
      <c r="Y3591" s="2" t="s">
        <v>38</v>
      </c>
      <c r="Z3591" s="2" t="s">
        <v>38</v>
      </c>
      <c r="AA3591" s="2" t="s">
        <v>38</v>
      </c>
      <c r="AB3591" s="2" t="s">
        <v>38</v>
      </c>
      <c r="AC3591" s="2" t="s">
        <v>38</v>
      </c>
      <c r="AD3591" s="2" t="s">
        <v>38</v>
      </c>
      <c r="AE3591" s="2"/>
    </row>
    <row r="3592" spans="1:31" ht="409.5">
      <c r="A3592" s="2">
        <v>2692878</v>
      </c>
      <c r="B3592" s="2">
        <f>HYPERLINK("https://platform.v2.vetology.net/cases/2692878/screening-report/1?type=pdf&amp;v=v6&amp;scorecard=1&amp;secret_key=BX%25IJ%24%2F65ieZ%29f6", 2692878)</f>
        <v>2692878</v>
      </c>
      <c r="C3592" s="2">
        <f>HYPERLINK("https://platform.v2.vetology.net/report/v/final/"&amp;2692878, 2692878)</f>
        <v>2692878</v>
      </c>
      <c r="D3592" s="2" t="s">
        <v>11365</v>
      </c>
      <c r="E3592" s="2" t="s">
        <v>11366</v>
      </c>
      <c r="F3592" s="2" t="s">
        <v>11367</v>
      </c>
      <c r="G3592" s="2" t="s">
        <v>127</v>
      </c>
      <c r="H3592" s="2" t="s">
        <v>7358</v>
      </c>
      <c r="I3592" s="2" t="s">
        <v>59</v>
      </c>
      <c r="J3592" s="2" t="s">
        <v>37</v>
      </c>
      <c r="K3592" s="2" t="s">
        <v>39</v>
      </c>
      <c r="L3592" s="2" t="s">
        <v>39</v>
      </c>
      <c r="M3592" s="2" t="s">
        <v>39</v>
      </c>
      <c r="N3592" s="2" t="s">
        <v>38</v>
      </c>
      <c r="O3592" s="2" t="s">
        <v>39</v>
      </c>
      <c r="P3592" s="2" t="s">
        <v>39</v>
      </c>
      <c r="Q3592" s="2" t="s">
        <v>39</v>
      </c>
      <c r="R3592" s="2" t="s">
        <v>38</v>
      </c>
      <c r="S3592" s="2" t="s">
        <v>38</v>
      </c>
      <c r="T3592" s="2" t="s">
        <v>39</v>
      </c>
      <c r="U3592" s="2" t="s">
        <v>39</v>
      </c>
      <c r="V3592" s="2" t="s">
        <v>39</v>
      </c>
      <c r="W3592" s="2" t="s">
        <v>39</v>
      </c>
      <c r="X3592" s="2" t="s">
        <v>39</v>
      </c>
      <c r="Y3592" s="2" t="s">
        <v>39</v>
      </c>
      <c r="Z3592" s="2" t="s">
        <v>39</v>
      </c>
      <c r="AA3592" s="2" t="s">
        <v>39</v>
      </c>
      <c r="AB3592" s="2" t="s">
        <v>39</v>
      </c>
      <c r="AC3592" s="2" t="s">
        <v>38</v>
      </c>
      <c r="AD3592" s="2" t="s">
        <v>38</v>
      </c>
      <c r="AE3592" s="2" t="s">
        <v>39</v>
      </c>
    </row>
    <row r="3593" spans="1:31" ht="409.5">
      <c r="A3593" s="2">
        <v>2692862</v>
      </c>
      <c r="B3593" s="2">
        <f>HYPERLINK("https://platform.v2.vetology.net/cases/2692862/screening-report/1?type=pdf&amp;v=v6&amp;scorecard=1&amp;secret_key=BX%25IJ%24%2F65ieZ%29f6", 2692862)</f>
        <v>2692862</v>
      </c>
      <c r="C3593" s="2">
        <f>HYPERLINK("https://platform.v2.vetology.net/report/v/final/"&amp;2692862, 2692862)</f>
        <v>2692862</v>
      </c>
      <c r="D3593" s="2" t="s">
        <v>11368</v>
      </c>
      <c r="E3593" s="2" t="s">
        <v>11369</v>
      </c>
      <c r="F3593" s="2" t="s">
        <v>11370</v>
      </c>
      <c r="G3593" s="2" t="s">
        <v>53</v>
      </c>
      <c r="H3593" s="2" t="s">
        <v>11371</v>
      </c>
      <c r="I3593" s="2" t="s">
        <v>36</v>
      </c>
      <c r="J3593" s="2" t="s">
        <v>37</v>
      </c>
      <c r="K3593" s="2" t="s">
        <v>38</v>
      </c>
      <c r="L3593" s="2" t="s">
        <v>39</v>
      </c>
      <c r="M3593" s="2" t="s">
        <v>38</v>
      </c>
      <c r="N3593" s="2" t="s">
        <v>38</v>
      </c>
      <c r="O3593" s="2" t="s">
        <v>38</v>
      </c>
      <c r="P3593" s="2" t="s">
        <v>39</v>
      </c>
      <c r="Q3593" s="2" t="s">
        <v>39</v>
      </c>
      <c r="R3593" s="2" t="s">
        <v>39</v>
      </c>
      <c r="S3593" s="2" t="s">
        <v>39</v>
      </c>
      <c r="T3593" s="2" t="s">
        <v>38</v>
      </c>
      <c r="U3593" s="2" t="s">
        <v>38</v>
      </c>
      <c r="V3593" s="2" t="s">
        <v>38</v>
      </c>
      <c r="W3593" s="2" t="s">
        <v>38</v>
      </c>
      <c r="X3593" s="2" t="s">
        <v>39</v>
      </c>
      <c r="Y3593" s="2" t="s">
        <v>38</v>
      </c>
      <c r="Z3593" s="2" t="s">
        <v>38</v>
      </c>
      <c r="AA3593" s="2" t="s">
        <v>38</v>
      </c>
      <c r="AB3593" s="2" t="s">
        <v>39</v>
      </c>
      <c r="AC3593" s="2" t="s">
        <v>38</v>
      </c>
      <c r="AD3593" s="2" t="s">
        <v>39</v>
      </c>
      <c r="AE3593" s="2" t="s">
        <v>39</v>
      </c>
    </row>
    <row r="3594" spans="1:31" ht="409.5">
      <c r="A3594" s="2">
        <v>2692852</v>
      </c>
      <c r="B3594" s="2">
        <f>HYPERLINK("https://platform.v2.vetology.net/cases/2692852/screening-report/1?type=pdf&amp;v=v6&amp;scorecard=1&amp;secret_key=BX%25IJ%24%2F65ieZ%29f6", 2692852)</f>
        <v>2692852</v>
      </c>
      <c r="C3594" s="2">
        <f>HYPERLINK("https://platform.v2.vetology.net/report/v/final/"&amp;2692852, 2692852)</f>
        <v>2692852</v>
      </c>
      <c r="D3594" s="2" t="s">
        <v>11372</v>
      </c>
      <c r="E3594" s="2" t="s">
        <v>11373</v>
      </c>
      <c r="F3594" s="2" t="s">
        <v>11374</v>
      </c>
      <c r="G3594" s="2" t="s">
        <v>100</v>
      </c>
      <c r="H3594" s="2" t="s">
        <v>11375</v>
      </c>
      <c r="I3594" s="2" t="s">
        <v>129</v>
      </c>
      <c r="J3594" s="2" t="s">
        <v>74</v>
      </c>
      <c r="K3594" s="2" t="s">
        <v>39</v>
      </c>
      <c r="L3594" s="2" t="s">
        <v>39</v>
      </c>
      <c r="M3594" s="2" t="s">
        <v>38</v>
      </c>
      <c r="N3594" s="2" t="s">
        <v>39</v>
      </c>
      <c r="O3594" s="2" t="s">
        <v>38</v>
      </c>
      <c r="P3594" s="2" t="s">
        <v>38</v>
      </c>
      <c r="Q3594" s="2" t="s">
        <v>38</v>
      </c>
      <c r="R3594" s="2" t="s">
        <v>39</v>
      </c>
      <c r="S3594" s="2" t="s">
        <v>39</v>
      </c>
      <c r="T3594" s="2" t="s">
        <v>38</v>
      </c>
      <c r="U3594" s="2" t="s">
        <v>39</v>
      </c>
      <c r="V3594" s="2" t="s">
        <v>39</v>
      </c>
      <c r="W3594" s="2" t="s">
        <v>38</v>
      </c>
      <c r="X3594" s="2" t="s">
        <v>38</v>
      </c>
      <c r="Y3594" s="2" t="s">
        <v>39</v>
      </c>
      <c r="Z3594" s="2" t="s">
        <v>39</v>
      </c>
      <c r="AA3594" s="2" t="s">
        <v>39</v>
      </c>
      <c r="AB3594" s="2" t="s">
        <v>38</v>
      </c>
      <c r="AC3594" s="2" t="s">
        <v>38</v>
      </c>
      <c r="AD3594" s="2" t="s">
        <v>39</v>
      </c>
      <c r="AE3594" s="2" t="s">
        <v>40</v>
      </c>
    </row>
    <row r="3595" spans="1:31" ht="409.5">
      <c r="A3595" s="2">
        <v>2692811</v>
      </c>
      <c r="B3595" s="2">
        <f>HYPERLINK("https://platform.v2.vetology.net/cases/2692811/screening-report/1?type=pdf&amp;v=v6&amp;scorecard=1&amp;secret_key=BX%25IJ%24%2F65ieZ%29f6", 2692811)</f>
        <v>2692811</v>
      </c>
      <c r="C3595" s="2">
        <f>HYPERLINK("https://platform.v2.vetology.net/report/v/final/"&amp;2692811, 2692811)</f>
        <v>2692811</v>
      </c>
      <c r="D3595" s="2" t="s">
        <v>11376</v>
      </c>
      <c r="E3595" s="2" t="s">
        <v>11377</v>
      </c>
      <c r="F3595" s="2" t="s">
        <v>11378</v>
      </c>
      <c r="G3595" s="2" t="s">
        <v>53</v>
      </c>
      <c r="H3595" s="2" t="s">
        <v>69</v>
      </c>
      <c r="I3595" s="2" t="s">
        <v>46</v>
      </c>
      <c r="J3595" s="2"/>
      <c r="K3595" s="2" t="s">
        <v>39</v>
      </c>
      <c r="L3595" s="2" t="s">
        <v>39</v>
      </c>
      <c r="M3595" s="2" t="s">
        <v>39</v>
      </c>
      <c r="N3595" s="2" t="s">
        <v>39</v>
      </c>
      <c r="O3595" s="2" t="s">
        <v>39</v>
      </c>
      <c r="P3595" s="2" t="s">
        <v>39</v>
      </c>
      <c r="Q3595" s="2" t="s">
        <v>39</v>
      </c>
      <c r="R3595" s="2" t="s">
        <v>39</v>
      </c>
      <c r="S3595" s="2" t="s">
        <v>39</v>
      </c>
      <c r="T3595" s="2" t="s">
        <v>39</v>
      </c>
      <c r="U3595" s="2" t="s">
        <v>39</v>
      </c>
      <c r="V3595" s="2" t="s">
        <v>39</v>
      </c>
      <c r="W3595" s="2" t="s">
        <v>39</v>
      </c>
      <c r="X3595" s="2" t="s">
        <v>39</v>
      </c>
      <c r="Y3595" s="2" t="s">
        <v>39</v>
      </c>
      <c r="Z3595" s="2" t="s">
        <v>39</v>
      </c>
      <c r="AA3595" s="2" t="s">
        <v>39</v>
      </c>
      <c r="AB3595" s="2" t="s">
        <v>39</v>
      </c>
      <c r="AC3595" s="2" t="s">
        <v>38</v>
      </c>
      <c r="AD3595" s="2" t="s">
        <v>38</v>
      </c>
      <c r="AE3595" s="2" t="s">
        <v>39</v>
      </c>
    </row>
    <row r="3596" spans="1:31" ht="409.5">
      <c r="A3596" s="2">
        <v>2692807</v>
      </c>
      <c r="B3596" s="2">
        <f>HYPERLINK("https://platform.v2.vetology.net/cases/2692807/screening-report/1?type=pdf&amp;v=v6&amp;scorecard=1&amp;secret_key=BX%25IJ%24%2F65ieZ%29f6", 2692807)</f>
        <v>2692807</v>
      </c>
      <c r="C3596" s="2">
        <f>HYPERLINK("https://platform.v2.vetology.net/report/v/final/"&amp;2692807, 2692807)</f>
        <v>2692807</v>
      </c>
      <c r="D3596" s="2" t="s">
        <v>11379</v>
      </c>
      <c r="E3596" s="2" t="s">
        <v>11380</v>
      </c>
      <c r="F3596" s="2" t="s">
        <v>11381</v>
      </c>
      <c r="G3596" s="2" t="s">
        <v>100</v>
      </c>
      <c r="H3596" s="2" t="s">
        <v>11382</v>
      </c>
      <c r="I3596" s="2" t="s">
        <v>36</v>
      </c>
      <c r="J3596" s="2" t="s">
        <v>37</v>
      </c>
      <c r="K3596" s="2" t="s">
        <v>38</v>
      </c>
      <c r="L3596" s="2" t="s">
        <v>38</v>
      </c>
      <c r="M3596" s="2" t="s">
        <v>38</v>
      </c>
      <c r="N3596" s="2" t="s">
        <v>38</v>
      </c>
      <c r="O3596" s="2" t="s">
        <v>38</v>
      </c>
      <c r="P3596" s="2" t="s">
        <v>38</v>
      </c>
      <c r="Q3596" s="2" t="s">
        <v>39</v>
      </c>
      <c r="R3596" s="2" t="s">
        <v>39</v>
      </c>
      <c r="S3596" s="2" t="s">
        <v>38</v>
      </c>
      <c r="T3596" s="2" t="s">
        <v>38</v>
      </c>
      <c r="U3596" s="2" t="s">
        <v>38</v>
      </c>
      <c r="V3596" s="2" t="s">
        <v>38</v>
      </c>
      <c r="W3596" s="2" t="s">
        <v>38</v>
      </c>
      <c r="X3596" s="2" t="s">
        <v>38</v>
      </c>
      <c r="Y3596" s="2" t="s">
        <v>39</v>
      </c>
      <c r="Z3596" s="2" t="s">
        <v>38</v>
      </c>
      <c r="AA3596" s="2" t="s">
        <v>38</v>
      </c>
      <c r="AB3596" s="2" t="s">
        <v>39</v>
      </c>
      <c r="AC3596" s="2" t="s">
        <v>38</v>
      </c>
      <c r="AD3596" s="2" t="s">
        <v>38</v>
      </c>
      <c r="AE3596" s="2" t="s">
        <v>40</v>
      </c>
    </row>
    <row r="3597" spans="1:31" ht="409.5">
      <c r="A3597" s="2">
        <v>2692787</v>
      </c>
      <c r="B3597" s="2">
        <f>HYPERLINK("https://platform.v2.vetology.net/cases/2692787/screening-report/1?type=pdf&amp;v=v6&amp;scorecard=1&amp;secret_key=BX%25IJ%24%2F65ieZ%29f6", 2692787)</f>
        <v>2692787</v>
      </c>
      <c r="C3597" s="2">
        <f>HYPERLINK("https://platform.v2.vetology.net/report/v/final/"&amp;2692787, 2692787)</f>
        <v>2692787</v>
      </c>
      <c r="D3597" s="2" t="s">
        <v>11383</v>
      </c>
      <c r="E3597" s="2" t="s">
        <v>11384</v>
      </c>
      <c r="F3597" s="2" t="s">
        <v>11385</v>
      </c>
      <c r="G3597" s="2" t="s">
        <v>53</v>
      </c>
      <c r="H3597" s="2" t="s">
        <v>11386</v>
      </c>
      <c r="I3597" s="2" t="s">
        <v>129</v>
      </c>
      <c r="J3597" s="2" t="s">
        <v>74</v>
      </c>
      <c r="K3597" s="2" t="s">
        <v>39</v>
      </c>
      <c r="L3597" s="2" t="s">
        <v>38</v>
      </c>
      <c r="M3597" s="2" t="s">
        <v>38</v>
      </c>
      <c r="N3597" s="2" t="s">
        <v>38</v>
      </c>
      <c r="O3597" s="2" t="s">
        <v>38</v>
      </c>
      <c r="P3597" s="2" t="s">
        <v>38</v>
      </c>
      <c r="Q3597" s="2" t="s">
        <v>38</v>
      </c>
      <c r="R3597" s="2" t="s">
        <v>38</v>
      </c>
      <c r="S3597" s="2" t="s">
        <v>38</v>
      </c>
      <c r="T3597" s="2" t="s">
        <v>38</v>
      </c>
      <c r="U3597" s="2" t="s">
        <v>39</v>
      </c>
      <c r="V3597" s="2" t="s">
        <v>39</v>
      </c>
      <c r="W3597" s="2" t="s">
        <v>38</v>
      </c>
      <c r="X3597" s="2" t="s">
        <v>39</v>
      </c>
      <c r="Y3597" s="2" t="s">
        <v>38</v>
      </c>
      <c r="Z3597" s="2" t="s">
        <v>38</v>
      </c>
      <c r="AA3597" s="2" t="s">
        <v>38</v>
      </c>
      <c r="AB3597" s="2" t="s">
        <v>39</v>
      </c>
      <c r="AC3597" s="2" t="s">
        <v>38</v>
      </c>
      <c r="AD3597" s="2" t="s">
        <v>38</v>
      </c>
      <c r="AE3597" s="2"/>
    </row>
    <row r="3598" spans="1:31" ht="409.5">
      <c r="A3598" s="2">
        <v>2692772</v>
      </c>
      <c r="B3598" s="2">
        <f>HYPERLINK("https://platform.v2.vetology.net/cases/2692772/screening-report/1?type=pdf&amp;v=v6&amp;scorecard=1&amp;secret_key=BX%25IJ%24%2F65ieZ%29f6", 2692772)</f>
        <v>2692772</v>
      </c>
      <c r="C3598" s="2">
        <f>HYPERLINK("https://platform.v2.vetology.net/report/v/final/"&amp;2692772, 2692772)</f>
        <v>2692772</v>
      </c>
      <c r="D3598" s="2" t="s">
        <v>11387</v>
      </c>
      <c r="E3598" s="2" t="s">
        <v>11388</v>
      </c>
      <c r="F3598" s="2" t="s">
        <v>11389</v>
      </c>
      <c r="G3598" s="2" t="s">
        <v>53</v>
      </c>
      <c r="H3598" s="2" t="s">
        <v>530</v>
      </c>
      <c r="I3598" s="2" t="s">
        <v>59</v>
      </c>
      <c r="J3598" s="2" t="s">
        <v>37</v>
      </c>
      <c r="K3598" s="2" t="s">
        <v>38</v>
      </c>
      <c r="L3598" s="2" t="s">
        <v>39</v>
      </c>
      <c r="M3598" s="2" t="s">
        <v>39</v>
      </c>
      <c r="N3598" s="2" t="s">
        <v>39</v>
      </c>
      <c r="O3598" s="2" t="s">
        <v>39</v>
      </c>
      <c r="P3598" s="2" t="s">
        <v>39</v>
      </c>
      <c r="Q3598" s="2" t="s">
        <v>39</v>
      </c>
      <c r="R3598" s="2" t="s">
        <v>39</v>
      </c>
      <c r="S3598" s="2" t="s">
        <v>39</v>
      </c>
      <c r="T3598" s="2" t="s">
        <v>39</v>
      </c>
      <c r="U3598" s="2" t="s">
        <v>38</v>
      </c>
      <c r="V3598" s="2" t="s">
        <v>38</v>
      </c>
      <c r="W3598" s="2" t="s">
        <v>39</v>
      </c>
      <c r="X3598" s="2" t="s">
        <v>39</v>
      </c>
      <c r="Y3598" s="2" t="s">
        <v>39</v>
      </c>
      <c r="Z3598" s="2" t="s">
        <v>39</v>
      </c>
      <c r="AA3598" s="2" t="s">
        <v>39</v>
      </c>
      <c r="AB3598" s="2" t="s">
        <v>39</v>
      </c>
      <c r="AC3598" s="2" t="s">
        <v>38</v>
      </c>
      <c r="AD3598" s="2" t="s">
        <v>39</v>
      </c>
      <c r="AE3598" s="2" t="s">
        <v>39</v>
      </c>
    </row>
    <row r="3599" spans="1:31" ht="409.5">
      <c r="A3599" s="2">
        <v>2692730</v>
      </c>
      <c r="B3599" s="2">
        <f>HYPERLINK("https://platform.v2.vetology.net/cases/2692730/screening-report/1?type=pdf&amp;v=v6&amp;scorecard=1&amp;secret_key=BX%25IJ%24%2F65ieZ%29f6", 2692730)</f>
        <v>2692730</v>
      </c>
      <c r="C3599" s="2">
        <f>HYPERLINK("https://platform.v2.vetology.net/report/v/final/"&amp;2692730, 2692730)</f>
        <v>2692730</v>
      </c>
      <c r="D3599" s="2" t="s">
        <v>11390</v>
      </c>
      <c r="E3599" s="2" t="s">
        <v>11391</v>
      </c>
      <c r="F3599" s="2" t="s">
        <v>11392</v>
      </c>
      <c r="G3599" s="2" t="s">
        <v>170</v>
      </c>
      <c r="H3599" s="2" t="s">
        <v>11393</v>
      </c>
      <c r="I3599" s="2" t="s">
        <v>73</v>
      </c>
      <c r="J3599" s="2" t="s">
        <v>74</v>
      </c>
      <c r="K3599" s="2" t="s">
        <v>38</v>
      </c>
      <c r="L3599" s="2" t="s">
        <v>38</v>
      </c>
      <c r="M3599" s="2" t="s">
        <v>38</v>
      </c>
      <c r="N3599" s="2" t="s">
        <v>38</v>
      </c>
      <c r="O3599" s="2" t="s">
        <v>38</v>
      </c>
      <c r="P3599" s="2" t="s">
        <v>38</v>
      </c>
      <c r="Q3599" s="2" t="s">
        <v>38</v>
      </c>
      <c r="R3599" s="2" t="s">
        <v>39</v>
      </c>
      <c r="S3599" s="2" t="s">
        <v>38</v>
      </c>
      <c r="T3599" s="2" t="s">
        <v>38</v>
      </c>
      <c r="U3599" s="2" t="s">
        <v>38</v>
      </c>
      <c r="V3599" s="2" t="s">
        <v>38</v>
      </c>
      <c r="W3599" s="2" t="s">
        <v>38</v>
      </c>
      <c r="X3599" s="2" t="s">
        <v>38</v>
      </c>
      <c r="Y3599" s="2" t="s">
        <v>39</v>
      </c>
      <c r="Z3599" s="2" t="s">
        <v>39</v>
      </c>
      <c r="AA3599" s="2" t="s">
        <v>39</v>
      </c>
      <c r="AB3599" s="2" t="s">
        <v>38</v>
      </c>
      <c r="AC3599" s="2" t="s">
        <v>38</v>
      </c>
      <c r="AD3599" s="2" t="s">
        <v>38</v>
      </c>
      <c r="AE3599" s="2" t="s">
        <v>40</v>
      </c>
    </row>
    <row r="3600" spans="1:31" ht="409.5">
      <c r="A3600" s="2">
        <v>2692717</v>
      </c>
      <c r="B3600" s="2">
        <f>HYPERLINK("https://platform.v2.vetology.net/cases/2692717/screening-report/1?type=pdf&amp;v=v6&amp;scorecard=1&amp;secret_key=BX%25IJ%24%2F65ieZ%29f6", 2692717)</f>
        <v>2692717</v>
      </c>
      <c r="C3600" s="2">
        <f>HYPERLINK("https://platform.v2.vetology.net/report/v/final/"&amp;2692717, 2692717)</f>
        <v>2692717</v>
      </c>
      <c r="D3600" s="2" t="s">
        <v>11394</v>
      </c>
      <c r="E3600" s="2" t="s">
        <v>11395</v>
      </c>
      <c r="F3600" s="2" t="s">
        <v>11396</v>
      </c>
      <c r="G3600" s="2" t="s">
        <v>53</v>
      </c>
      <c r="H3600" s="2" t="s">
        <v>11397</v>
      </c>
      <c r="I3600" s="2" t="s">
        <v>73</v>
      </c>
      <c r="J3600" s="2" t="s">
        <v>74</v>
      </c>
      <c r="K3600" s="2" t="s">
        <v>38</v>
      </c>
      <c r="L3600" s="2" t="s">
        <v>38</v>
      </c>
      <c r="M3600" s="2" t="s">
        <v>38</v>
      </c>
      <c r="N3600" s="2" t="s">
        <v>38</v>
      </c>
      <c r="O3600" s="2" t="s">
        <v>38</v>
      </c>
      <c r="P3600" s="2" t="s">
        <v>38</v>
      </c>
      <c r="Q3600" s="2" t="s">
        <v>38</v>
      </c>
      <c r="R3600" s="2" t="s">
        <v>38</v>
      </c>
      <c r="S3600" s="2" t="s">
        <v>38</v>
      </c>
      <c r="T3600" s="2" t="s">
        <v>38</v>
      </c>
      <c r="U3600" s="2" t="s">
        <v>38</v>
      </c>
      <c r="V3600" s="2" t="s">
        <v>38</v>
      </c>
      <c r="W3600" s="2" t="s">
        <v>38</v>
      </c>
      <c r="X3600" s="2" t="s">
        <v>38</v>
      </c>
      <c r="Y3600" s="2" t="s">
        <v>38</v>
      </c>
      <c r="Z3600" s="2" t="s">
        <v>38</v>
      </c>
      <c r="AA3600" s="2" t="s">
        <v>38</v>
      </c>
      <c r="AB3600" s="2" t="s">
        <v>38</v>
      </c>
      <c r="AC3600" s="2" t="s">
        <v>38</v>
      </c>
      <c r="AD3600" s="2" t="s">
        <v>39</v>
      </c>
      <c r="AE3600" s="2" t="s">
        <v>39</v>
      </c>
    </row>
    <row r="3601" spans="1:31" ht="409.5">
      <c r="A3601" s="2">
        <v>2692712</v>
      </c>
      <c r="B3601" s="2">
        <f>HYPERLINK("https://platform.v2.vetology.net/cases/2692712/screening-report/1?type=pdf&amp;v=v6&amp;scorecard=1&amp;secret_key=BX%25IJ%24%2F65ieZ%29f6", 2692712)</f>
        <v>2692712</v>
      </c>
      <c r="C3601" s="2">
        <f>HYPERLINK("https://platform.v2.vetology.net/report/v/final/"&amp;2692712, 2692712)</f>
        <v>2692712</v>
      </c>
      <c r="D3601" s="2" t="s">
        <v>11398</v>
      </c>
      <c r="E3601" s="2" t="s">
        <v>11399</v>
      </c>
      <c r="F3601" s="2" t="s">
        <v>11400</v>
      </c>
      <c r="G3601" s="2" t="s">
        <v>170</v>
      </c>
      <c r="H3601" s="2" t="s">
        <v>11401</v>
      </c>
      <c r="I3601" s="2" t="s">
        <v>36</v>
      </c>
      <c r="J3601" s="2" t="s">
        <v>37</v>
      </c>
      <c r="K3601" s="2" t="s">
        <v>38</v>
      </c>
      <c r="L3601" s="2" t="s">
        <v>38</v>
      </c>
      <c r="M3601" s="2" t="s">
        <v>38</v>
      </c>
      <c r="N3601" s="2" t="s">
        <v>38</v>
      </c>
      <c r="O3601" s="2" t="s">
        <v>38</v>
      </c>
      <c r="P3601" s="2" t="s">
        <v>39</v>
      </c>
      <c r="Q3601" s="2" t="s">
        <v>39</v>
      </c>
      <c r="R3601" s="2" t="s">
        <v>38</v>
      </c>
      <c r="S3601" s="2" t="s">
        <v>38</v>
      </c>
      <c r="T3601" s="2" t="s">
        <v>38</v>
      </c>
      <c r="U3601" s="2" t="s">
        <v>38</v>
      </c>
      <c r="V3601" s="2" t="s">
        <v>38</v>
      </c>
      <c r="W3601" s="2" t="s">
        <v>38</v>
      </c>
      <c r="X3601" s="2" t="s">
        <v>39</v>
      </c>
      <c r="Y3601" s="2" t="s">
        <v>39</v>
      </c>
      <c r="Z3601" s="2" t="s">
        <v>38</v>
      </c>
      <c r="AA3601" s="2" t="s">
        <v>38</v>
      </c>
      <c r="AB3601" s="2" t="s">
        <v>39</v>
      </c>
      <c r="AC3601" s="2" t="s">
        <v>38</v>
      </c>
      <c r="AD3601" s="2" t="s">
        <v>38</v>
      </c>
      <c r="AE3601" s="2" t="s">
        <v>39</v>
      </c>
    </row>
    <row r="3602" spans="1:31" ht="409.5">
      <c r="A3602" s="2">
        <v>2692703</v>
      </c>
      <c r="B3602" s="2">
        <f>HYPERLINK("https://platform.v2.vetology.net/cases/2692703/screening-report/1?type=pdf&amp;v=v6&amp;scorecard=1&amp;secret_key=BX%25IJ%24%2F65ieZ%29f6", 2692703)</f>
        <v>2692703</v>
      </c>
      <c r="C3602" s="2">
        <f>HYPERLINK("https://platform.v2.vetology.net/report/v/final/"&amp;2692703, 2692703)</f>
        <v>2692703</v>
      </c>
      <c r="D3602" s="2" t="s">
        <v>11402</v>
      </c>
      <c r="E3602" s="2" t="s">
        <v>11403</v>
      </c>
      <c r="F3602" s="2" t="s">
        <v>11404</v>
      </c>
      <c r="G3602" s="2" t="s">
        <v>53</v>
      </c>
      <c r="H3602" s="2" t="s">
        <v>11405</v>
      </c>
      <c r="I3602" s="2" t="s">
        <v>36</v>
      </c>
      <c r="J3602" s="2" t="s">
        <v>37</v>
      </c>
      <c r="K3602" s="2" t="s">
        <v>38</v>
      </c>
      <c r="L3602" s="2" t="s">
        <v>38</v>
      </c>
      <c r="M3602" s="2" t="s">
        <v>38</v>
      </c>
      <c r="N3602" s="2" t="s">
        <v>38</v>
      </c>
      <c r="O3602" s="2" t="s">
        <v>38</v>
      </c>
      <c r="P3602" s="2" t="s">
        <v>39</v>
      </c>
      <c r="Q3602" s="2" t="s">
        <v>39</v>
      </c>
      <c r="R3602" s="2" t="s">
        <v>38</v>
      </c>
      <c r="S3602" s="2" t="s">
        <v>38</v>
      </c>
      <c r="T3602" s="2" t="s">
        <v>38</v>
      </c>
      <c r="U3602" s="2" t="s">
        <v>39</v>
      </c>
      <c r="V3602" s="2" t="s">
        <v>38</v>
      </c>
      <c r="W3602" s="2" t="s">
        <v>38</v>
      </c>
      <c r="X3602" s="2" t="s">
        <v>39</v>
      </c>
      <c r="Y3602" s="2" t="s">
        <v>38</v>
      </c>
      <c r="Z3602" s="2" t="s">
        <v>38</v>
      </c>
      <c r="AA3602" s="2" t="s">
        <v>38</v>
      </c>
      <c r="AB3602" s="2" t="s">
        <v>39</v>
      </c>
      <c r="AC3602" s="2" t="s">
        <v>38</v>
      </c>
      <c r="AD3602" s="2" t="s">
        <v>39</v>
      </c>
      <c r="AE3602" s="2" t="s">
        <v>39</v>
      </c>
    </row>
    <row r="3603" spans="1:31" ht="409.5">
      <c r="A3603" s="2">
        <v>2692702</v>
      </c>
      <c r="B3603" s="2">
        <f>HYPERLINK("https://platform.v2.vetology.net/cases/2692702/screening-report/1?type=pdf&amp;v=v6&amp;scorecard=1&amp;secret_key=BX%25IJ%24%2F65ieZ%29f6", 2692702)</f>
        <v>2692702</v>
      </c>
      <c r="C3603" s="2">
        <f>HYPERLINK("https://platform.v2.vetology.net/report/v/final/"&amp;2692702, 2692702)</f>
        <v>2692702</v>
      </c>
      <c r="D3603" s="2" t="s">
        <v>11406</v>
      </c>
      <c r="E3603" s="2" t="s">
        <v>11407</v>
      </c>
      <c r="F3603" s="2" t="s">
        <v>11408</v>
      </c>
      <c r="G3603" s="2" t="s">
        <v>170</v>
      </c>
      <c r="H3603" s="2" t="s">
        <v>11409</v>
      </c>
      <c r="I3603" s="2" t="s">
        <v>257</v>
      </c>
      <c r="J3603" s="2" t="s">
        <v>74</v>
      </c>
      <c r="K3603" s="2" t="s">
        <v>38</v>
      </c>
      <c r="L3603" s="2" t="s">
        <v>38</v>
      </c>
      <c r="M3603" s="2" t="s">
        <v>38</v>
      </c>
      <c r="N3603" s="2" t="s">
        <v>38</v>
      </c>
      <c r="O3603" s="2" t="s">
        <v>38</v>
      </c>
      <c r="P3603" s="2" t="s">
        <v>38</v>
      </c>
      <c r="Q3603" s="2" t="s">
        <v>38</v>
      </c>
      <c r="R3603" s="2" t="s">
        <v>38</v>
      </c>
      <c r="S3603" s="2" t="s">
        <v>38</v>
      </c>
      <c r="T3603" s="2" t="s">
        <v>38</v>
      </c>
      <c r="U3603" s="2" t="s">
        <v>38</v>
      </c>
      <c r="V3603" s="2" t="s">
        <v>38</v>
      </c>
      <c r="W3603" s="2" t="s">
        <v>38</v>
      </c>
      <c r="X3603" s="2" t="s">
        <v>38</v>
      </c>
      <c r="Y3603" s="2" t="s">
        <v>38</v>
      </c>
      <c r="Z3603" s="2" t="s">
        <v>38</v>
      </c>
      <c r="AA3603" s="2" t="s">
        <v>38</v>
      </c>
      <c r="AB3603" s="2" t="s">
        <v>38</v>
      </c>
      <c r="AC3603" s="2" t="s">
        <v>38</v>
      </c>
      <c r="AD3603" s="2" t="s">
        <v>38</v>
      </c>
      <c r="AE3603" s="2" t="s">
        <v>39</v>
      </c>
    </row>
    <row r="3604" spans="1:31" ht="409.5">
      <c r="A3604" s="2">
        <v>2692697</v>
      </c>
      <c r="B3604" s="2">
        <f>HYPERLINK("https://platform.v2.vetology.net/cases/2692697/screening-report/1?type=pdf&amp;v=v6&amp;scorecard=1&amp;secret_key=BX%25IJ%24%2F65ieZ%29f6", 2692697)</f>
        <v>2692697</v>
      </c>
      <c r="C3604" s="2">
        <f>HYPERLINK("https://platform.v2.vetology.net/report/v/final/"&amp;2692697, 2692697)</f>
        <v>2692697</v>
      </c>
      <c r="D3604" s="2" t="s">
        <v>11410</v>
      </c>
      <c r="E3604" s="2" t="s">
        <v>11411</v>
      </c>
      <c r="F3604" s="2" t="s">
        <v>11412</v>
      </c>
      <c r="G3604" s="2" t="s">
        <v>53</v>
      </c>
      <c r="H3604" s="2" t="s">
        <v>69</v>
      </c>
      <c r="I3604" s="2" t="s">
        <v>46</v>
      </c>
      <c r="J3604" s="2"/>
      <c r="K3604" s="2" t="s">
        <v>39</v>
      </c>
      <c r="L3604" s="2" t="s">
        <v>39</v>
      </c>
      <c r="M3604" s="2" t="s">
        <v>39</v>
      </c>
      <c r="N3604" s="2" t="s">
        <v>39</v>
      </c>
      <c r="O3604" s="2" t="s">
        <v>39</v>
      </c>
      <c r="P3604" s="2" t="s">
        <v>39</v>
      </c>
      <c r="Q3604" s="2" t="s">
        <v>39</v>
      </c>
      <c r="R3604" s="2" t="s">
        <v>39</v>
      </c>
      <c r="S3604" s="2" t="s">
        <v>39</v>
      </c>
      <c r="T3604" s="2" t="s">
        <v>39</v>
      </c>
      <c r="U3604" s="2" t="s">
        <v>39</v>
      </c>
      <c r="V3604" s="2" t="s">
        <v>39</v>
      </c>
      <c r="W3604" s="2" t="s">
        <v>39</v>
      </c>
      <c r="X3604" s="2" t="s">
        <v>39</v>
      </c>
      <c r="Y3604" s="2" t="s">
        <v>39</v>
      </c>
      <c r="Z3604" s="2" t="s">
        <v>39</v>
      </c>
      <c r="AA3604" s="2" t="s">
        <v>39</v>
      </c>
      <c r="AB3604" s="2" t="s">
        <v>39</v>
      </c>
      <c r="AC3604" s="2" t="s">
        <v>38</v>
      </c>
      <c r="AD3604" s="2" t="s">
        <v>38</v>
      </c>
      <c r="AE3604" s="2" t="s">
        <v>39</v>
      </c>
    </row>
    <row r="3605" spans="1:31" ht="409.5">
      <c r="A3605" s="2">
        <v>2692694</v>
      </c>
      <c r="B3605" s="2">
        <f>HYPERLINK("https://platform.v2.vetology.net/cases/2692694/screening-report/1?type=pdf&amp;v=v6&amp;scorecard=1&amp;secret_key=BX%25IJ%24%2F65ieZ%29f6", 2692694)</f>
        <v>2692694</v>
      </c>
      <c r="C3605" s="2">
        <f>HYPERLINK("https://platform.v2.vetology.net/report/v/final/"&amp;2692694, 2692694)</f>
        <v>2692694</v>
      </c>
      <c r="D3605" s="2" t="s">
        <v>11413</v>
      </c>
      <c r="E3605" s="2" t="s">
        <v>11414</v>
      </c>
      <c r="F3605" s="2" t="s">
        <v>11415</v>
      </c>
      <c r="G3605" s="2" t="s">
        <v>53</v>
      </c>
      <c r="H3605" s="2" t="s">
        <v>11416</v>
      </c>
      <c r="I3605" s="2" t="s">
        <v>36</v>
      </c>
      <c r="J3605" s="2" t="s">
        <v>37</v>
      </c>
      <c r="K3605" s="2" t="s">
        <v>38</v>
      </c>
      <c r="L3605" s="2" t="s">
        <v>38</v>
      </c>
      <c r="M3605" s="2" t="s">
        <v>38</v>
      </c>
      <c r="N3605" s="2" t="s">
        <v>38</v>
      </c>
      <c r="O3605" s="2" t="s">
        <v>38</v>
      </c>
      <c r="P3605" s="2" t="s">
        <v>39</v>
      </c>
      <c r="Q3605" s="2" t="s">
        <v>39</v>
      </c>
      <c r="R3605" s="2" t="s">
        <v>38</v>
      </c>
      <c r="S3605" s="2" t="s">
        <v>38</v>
      </c>
      <c r="T3605" s="2" t="s">
        <v>39</v>
      </c>
      <c r="U3605" s="2" t="s">
        <v>38</v>
      </c>
      <c r="V3605" s="2" t="s">
        <v>38</v>
      </c>
      <c r="W3605" s="2" t="s">
        <v>38</v>
      </c>
      <c r="X3605" s="2" t="s">
        <v>39</v>
      </c>
      <c r="Y3605" s="2" t="s">
        <v>38</v>
      </c>
      <c r="Z3605" s="2" t="s">
        <v>38</v>
      </c>
      <c r="AA3605" s="2" t="s">
        <v>38</v>
      </c>
      <c r="AB3605" s="2" t="s">
        <v>39</v>
      </c>
      <c r="AC3605" s="2" t="s">
        <v>38</v>
      </c>
      <c r="AD3605" s="2" t="s">
        <v>38</v>
      </c>
      <c r="AE3605" s="2" t="s">
        <v>40</v>
      </c>
    </row>
    <row r="3606" spans="1:31" ht="409.5">
      <c r="A3606" s="2">
        <v>2692674</v>
      </c>
      <c r="B3606" s="2">
        <f>HYPERLINK("https://platform.v2.vetology.net/cases/2692674/screening-report/1?type=pdf&amp;v=v6&amp;scorecard=1&amp;secret_key=BX%25IJ%24%2F65ieZ%29f6", 2692674)</f>
        <v>2692674</v>
      </c>
      <c r="C3606" s="2">
        <f>HYPERLINK("https://platform.v2.vetology.net/report/v/final/"&amp;2692674, 2692674)</f>
        <v>2692674</v>
      </c>
      <c r="D3606" s="2" t="s">
        <v>302</v>
      </c>
      <c r="E3606" s="2" t="s">
        <v>99</v>
      </c>
      <c r="F3606" s="2" t="s">
        <v>11417</v>
      </c>
      <c r="G3606" s="2" t="s">
        <v>100</v>
      </c>
      <c r="H3606" s="2" t="s">
        <v>11418</v>
      </c>
      <c r="I3606" s="2" t="s">
        <v>36</v>
      </c>
      <c r="J3606" s="2" t="s">
        <v>37</v>
      </c>
      <c r="K3606" s="2" t="s">
        <v>38</v>
      </c>
      <c r="L3606" s="2" t="s">
        <v>39</v>
      </c>
      <c r="M3606" s="2" t="s">
        <v>38</v>
      </c>
      <c r="N3606" s="2" t="s">
        <v>38</v>
      </c>
      <c r="O3606" s="2" t="s">
        <v>39</v>
      </c>
      <c r="P3606" s="2" t="s">
        <v>39</v>
      </c>
      <c r="Q3606" s="2" t="s">
        <v>39</v>
      </c>
      <c r="R3606" s="2" t="s">
        <v>39</v>
      </c>
      <c r="S3606" s="2" t="s">
        <v>38</v>
      </c>
      <c r="T3606" s="2" t="s">
        <v>38</v>
      </c>
      <c r="U3606" s="2" t="s">
        <v>39</v>
      </c>
      <c r="V3606" s="2" t="s">
        <v>38</v>
      </c>
      <c r="W3606" s="2" t="s">
        <v>39</v>
      </c>
      <c r="X3606" s="2" t="s">
        <v>39</v>
      </c>
      <c r="Y3606" s="2" t="s">
        <v>39</v>
      </c>
      <c r="Z3606" s="2" t="s">
        <v>38</v>
      </c>
      <c r="AA3606" s="2" t="s">
        <v>39</v>
      </c>
      <c r="AB3606" s="2" t="s">
        <v>39</v>
      </c>
      <c r="AC3606" s="2" t="s">
        <v>39</v>
      </c>
      <c r="AD3606" s="2" t="s">
        <v>39</v>
      </c>
      <c r="AE3606" s="2" t="s">
        <v>39</v>
      </c>
    </row>
    <row r="3607" spans="1:31" ht="409.5">
      <c r="A3607" s="2">
        <v>2692658</v>
      </c>
      <c r="B3607" s="2">
        <f>HYPERLINK("https://platform.v2.vetology.net/cases/2692658/screening-report/1?type=pdf&amp;v=v6&amp;scorecard=1&amp;secret_key=BX%25IJ%24%2F65ieZ%29f6", 2692658)</f>
        <v>2692658</v>
      </c>
      <c r="C3607" s="2">
        <f>HYPERLINK("https://platform.v2.vetology.net/report/v/final/"&amp;2692658, 2692658)</f>
        <v>2692658</v>
      </c>
      <c r="D3607" s="2" t="s">
        <v>11419</v>
      </c>
      <c r="E3607" s="2" t="s">
        <v>11420</v>
      </c>
      <c r="F3607" s="2" t="s">
        <v>11421</v>
      </c>
      <c r="G3607" s="2" t="s">
        <v>556</v>
      </c>
      <c r="H3607" s="2" t="s">
        <v>11422</v>
      </c>
      <c r="I3607" s="2" t="s">
        <v>36</v>
      </c>
      <c r="J3607" s="2" t="s">
        <v>37</v>
      </c>
      <c r="K3607" s="2" t="s">
        <v>38</v>
      </c>
      <c r="L3607" s="2" t="s">
        <v>39</v>
      </c>
      <c r="M3607" s="2" t="s">
        <v>38</v>
      </c>
      <c r="N3607" s="2" t="s">
        <v>39</v>
      </c>
      <c r="O3607" s="2" t="s">
        <v>39</v>
      </c>
      <c r="P3607" s="2" t="s">
        <v>39</v>
      </c>
      <c r="Q3607" s="2" t="s">
        <v>39</v>
      </c>
      <c r="R3607" s="2" t="s">
        <v>38</v>
      </c>
      <c r="S3607" s="2" t="s">
        <v>39</v>
      </c>
      <c r="T3607" s="2" t="s">
        <v>38</v>
      </c>
      <c r="U3607" s="2" t="s">
        <v>38</v>
      </c>
      <c r="V3607" s="2" t="s">
        <v>38</v>
      </c>
      <c r="W3607" s="2" t="s">
        <v>38</v>
      </c>
      <c r="X3607" s="2" t="s">
        <v>39</v>
      </c>
      <c r="Y3607" s="2" t="s">
        <v>39</v>
      </c>
      <c r="Z3607" s="2" t="s">
        <v>38</v>
      </c>
      <c r="AA3607" s="2" t="s">
        <v>39</v>
      </c>
      <c r="AB3607" s="2" t="s">
        <v>39</v>
      </c>
      <c r="AC3607" s="2" t="s">
        <v>38</v>
      </c>
      <c r="AD3607" s="2" t="s">
        <v>38</v>
      </c>
      <c r="AE3607" s="2" t="s">
        <v>39</v>
      </c>
    </row>
    <row r="3608" spans="1:31" ht="409.5">
      <c r="A3608" s="2">
        <v>2692645</v>
      </c>
      <c r="B3608" s="2">
        <f>HYPERLINK("https://platform.v2.vetology.net/cases/2692645/screening-report/1?type=pdf&amp;v=v6&amp;scorecard=1&amp;secret_key=BX%25IJ%24%2F65ieZ%29f6", 2692645)</f>
        <v>2692645</v>
      </c>
      <c r="C3608" s="2">
        <f>HYPERLINK("https://platform.v2.vetology.net/report/v/final/"&amp;2692645, 2692645)</f>
        <v>2692645</v>
      </c>
      <c r="D3608" s="2" t="s">
        <v>11423</v>
      </c>
      <c r="E3608" s="2" t="s">
        <v>11424</v>
      </c>
      <c r="F3608" s="2" t="s">
        <v>11425</v>
      </c>
      <c r="G3608" s="2" t="s">
        <v>53</v>
      </c>
      <c r="H3608" s="2" t="s">
        <v>11426</v>
      </c>
      <c r="I3608" s="2" t="s">
        <v>36</v>
      </c>
      <c r="J3608" s="2" t="s">
        <v>37</v>
      </c>
      <c r="K3608" s="2" t="s">
        <v>38</v>
      </c>
      <c r="L3608" s="2" t="s">
        <v>38</v>
      </c>
      <c r="M3608" s="2" t="s">
        <v>38</v>
      </c>
      <c r="N3608" s="2" t="s">
        <v>38</v>
      </c>
      <c r="O3608" s="2" t="s">
        <v>38</v>
      </c>
      <c r="P3608" s="2" t="s">
        <v>38</v>
      </c>
      <c r="Q3608" s="2" t="s">
        <v>39</v>
      </c>
      <c r="R3608" s="2" t="s">
        <v>38</v>
      </c>
      <c r="S3608" s="2" t="s">
        <v>38</v>
      </c>
      <c r="T3608" s="2" t="s">
        <v>39</v>
      </c>
      <c r="U3608" s="2" t="s">
        <v>39</v>
      </c>
      <c r="V3608" s="2" t="s">
        <v>38</v>
      </c>
      <c r="W3608" s="2" t="s">
        <v>38</v>
      </c>
      <c r="X3608" s="2" t="s">
        <v>39</v>
      </c>
      <c r="Y3608" s="2" t="s">
        <v>39</v>
      </c>
      <c r="Z3608" s="2" t="s">
        <v>38</v>
      </c>
      <c r="AA3608" s="2" t="s">
        <v>38</v>
      </c>
      <c r="AB3608" s="2" t="s">
        <v>39</v>
      </c>
      <c r="AC3608" s="2" t="s">
        <v>38</v>
      </c>
      <c r="AD3608" s="2" t="s">
        <v>39</v>
      </c>
      <c r="AE3608" s="2" t="s">
        <v>40</v>
      </c>
    </row>
    <row r="3609" spans="1:31" ht="409.5">
      <c r="A3609" s="2">
        <v>2692627</v>
      </c>
      <c r="B3609" s="2">
        <f>HYPERLINK("https://platform.v2.vetology.net/cases/2692627/screening-report/1?type=pdf&amp;v=v6&amp;scorecard=1&amp;secret_key=BX%25IJ%24%2F65ieZ%29f6", 2692627)</f>
        <v>2692627</v>
      </c>
      <c r="C3609" s="2">
        <f>HYPERLINK("https://platform.v2.vetology.net/report/v/final/"&amp;2692627, 2692627)</f>
        <v>2692627</v>
      </c>
      <c r="D3609" s="2" t="s">
        <v>302</v>
      </c>
      <c r="E3609" s="2" t="s">
        <v>99</v>
      </c>
      <c r="F3609" s="2"/>
      <c r="G3609" s="2" t="s">
        <v>100</v>
      </c>
      <c r="H3609" s="2" t="s">
        <v>394</v>
      </c>
      <c r="I3609" s="2" t="s">
        <v>59</v>
      </c>
      <c r="J3609" s="2" t="s">
        <v>37</v>
      </c>
      <c r="K3609" s="2" t="s">
        <v>38</v>
      </c>
      <c r="L3609" s="2" t="s">
        <v>39</v>
      </c>
      <c r="M3609" s="2" t="s">
        <v>39</v>
      </c>
      <c r="N3609" s="2" t="s">
        <v>39</v>
      </c>
      <c r="O3609" s="2" t="s">
        <v>39</v>
      </c>
      <c r="P3609" s="2" t="s">
        <v>39</v>
      </c>
      <c r="Q3609" s="2" t="s">
        <v>39</v>
      </c>
      <c r="R3609" s="2" t="s">
        <v>39</v>
      </c>
      <c r="S3609" s="2" t="s">
        <v>39</v>
      </c>
      <c r="T3609" s="2" t="s">
        <v>39</v>
      </c>
      <c r="U3609" s="2" t="s">
        <v>38</v>
      </c>
      <c r="V3609" s="2" t="s">
        <v>38</v>
      </c>
      <c r="W3609" s="2" t="s">
        <v>39</v>
      </c>
      <c r="X3609" s="2" t="s">
        <v>39</v>
      </c>
      <c r="Y3609" s="2" t="s">
        <v>39</v>
      </c>
      <c r="Z3609" s="2" t="s">
        <v>39</v>
      </c>
      <c r="AA3609" s="2" t="s">
        <v>39</v>
      </c>
      <c r="AB3609" s="2" t="s">
        <v>39</v>
      </c>
      <c r="AC3609" s="2" t="s">
        <v>38</v>
      </c>
      <c r="AD3609" s="2" t="s">
        <v>39</v>
      </c>
      <c r="AE3609" s="2" t="s">
        <v>40</v>
      </c>
    </row>
    <row r="3610" spans="1:31" ht="409.5">
      <c r="A3610" s="2">
        <v>2692623</v>
      </c>
      <c r="B3610" s="2">
        <f>HYPERLINK("https://platform.v2.vetology.net/cases/2692623/screening-report/1?type=pdf&amp;v=v6&amp;scorecard=1&amp;secret_key=BX%25IJ%24%2F65ieZ%29f6", 2692623)</f>
        <v>2692623</v>
      </c>
      <c r="C3610" s="2">
        <f>HYPERLINK("https://platform.v2.vetology.net/report/v/final/"&amp;2692623, 2692623)</f>
        <v>2692623</v>
      </c>
      <c r="D3610" s="2" t="s">
        <v>11427</v>
      </c>
      <c r="E3610" s="2" t="s">
        <v>1091</v>
      </c>
      <c r="F3610" s="2" t="s">
        <v>787</v>
      </c>
      <c r="G3610" s="2" t="s">
        <v>100</v>
      </c>
      <c r="H3610" s="2" t="s">
        <v>11428</v>
      </c>
      <c r="I3610" s="2" t="s">
        <v>129</v>
      </c>
      <c r="J3610" s="2" t="s">
        <v>74</v>
      </c>
      <c r="K3610" s="2" t="s">
        <v>39</v>
      </c>
      <c r="L3610" s="2" t="s">
        <v>38</v>
      </c>
      <c r="M3610" s="2" t="s">
        <v>39</v>
      </c>
      <c r="N3610" s="2" t="s">
        <v>38</v>
      </c>
      <c r="O3610" s="2" t="s">
        <v>38</v>
      </c>
      <c r="P3610" s="2" t="s">
        <v>38</v>
      </c>
      <c r="Q3610" s="2" t="s">
        <v>38</v>
      </c>
      <c r="R3610" s="2" t="s">
        <v>38</v>
      </c>
      <c r="S3610" s="2" t="s">
        <v>38</v>
      </c>
      <c r="T3610" s="2" t="s">
        <v>38</v>
      </c>
      <c r="U3610" s="2" t="s">
        <v>38</v>
      </c>
      <c r="V3610" s="2" t="s">
        <v>39</v>
      </c>
      <c r="W3610" s="2" t="s">
        <v>38</v>
      </c>
      <c r="X3610" s="2" t="s">
        <v>38</v>
      </c>
      <c r="Y3610" s="2" t="s">
        <v>38</v>
      </c>
      <c r="Z3610" s="2" t="s">
        <v>38</v>
      </c>
      <c r="AA3610" s="2" t="s">
        <v>38</v>
      </c>
      <c r="AB3610" s="2" t="s">
        <v>38</v>
      </c>
      <c r="AC3610" s="2" t="s">
        <v>38</v>
      </c>
      <c r="AD3610" s="2" t="s">
        <v>38</v>
      </c>
      <c r="AE3610" s="2" t="s">
        <v>40</v>
      </c>
    </row>
    <row r="3611" spans="1:31" ht="409.5">
      <c r="A3611" s="2">
        <v>2692621</v>
      </c>
      <c r="B3611" s="2">
        <f>HYPERLINK("https://platform.v2.vetology.net/cases/2692621/screening-report/1?type=pdf&amp;v=v6&amp;scorecard=1&amp;secret_key=BX%25IJ%24%2F65ieZ%29f6", 2692621)</f>
        <v>2692621</v>
      </c>
      <c r="C3611" s="2">
        <f>HYPERLINK("https://platform.v2.vetology.net/report/v/final/"&amp;2692621, 2692621)</f>
        <v>2692621</v>
      </c>
      <c r="D3611" s="2" t="s">
        <v>11429</v>
      </c>
      <c r="E3611" s="2" t="s">
        <v>11430</v>
      </c>
      <c r="F3611" s="2" t="s">
        <v>5960</v>
      </c>
      <c r="G3611" s="2" t="s">
        <v>170</v>
      </c>
      <c r="H3611" s="2" t="s">
        <v>10838</v>
      </c>
      <c r="I3611" s="2" t="s">
        <v>36</v>
      </c>
      <c r="J3611" s="2" t="s">
        <v>37</v>
      </c>
      <c r="K3611" s="2" t="s">
        <v>39</v>
      </c>
      <c r="L3611" s="2" t="s">
        <v>38</v>
      </c>
      <c r="M3611" s="2" t="s">
        <v>39</v>
      </c>
      <c r="N3611" s="2" t="s">
        <v>38</v>
      </c>
      <c r="O3611" s="2" t="s">
        <v>38</v>
      </c>
      <c r="P3611" s="2" t="s">
        <v>39</v>
      </c>
      <c r="Q3611" s="2" t="s">
        <v>39</v>
      </c>
      <c r="R3611" s="2" t="s">
        <v>39</v>
      </c>
      <c r="S3611" s="2" t="s">
        <v>38</v>
      </c>
      <c r="T3611" s="2" t="s">
        <v>38</v>
      </c>
      <c r="U3611" s="2" t="s">
        <v>39</v>
      </c>
      <c r="V3611" s="2" t="s">
        <v>39</v>
      </c>
      <c r="W3611" s="2" t="s">
        <v>38</v>
      </c>
      <c r="X3611" s="2" t="s">
        <v>39</v>
      </c>
      <c r="Y3611" s="2" t="s">
        <v>39</v>
      </c>
      <c r="Z3611" s="2" t="s">
        <v>38</v>
      </c>
      <c r="AA3611" s="2" t="s">
        <v>38</v>
      </c>
      <c r="AB3611" s="2" t="s">
        <v>39</v>
      </c>
      <c r="AC3611" s="2" t="s">
        <v>38</v>
      </c>
      <c r="AD3611" s="2" t="s">
        <v>38</v>
      </c>
      <c r="AE3611" s="2" t="s">
        <v>39</v>
      </c>
    </row>
    <row r="3612" spans="1:31" ht="409.5">
      <c r="A3612" s="2">
        <v>2692592</v>
      </c>
      <c r="B3612" s="2">
        <f>HYPERLINK("https://platform.v2.vetology.net/cases/2692592/screening-report/1?type=pdf&amp;v=v6&amp;scorecard=1&amp;secret_key=BX%25IJ%24%2F65ieZ%29f6", 2692592)</f>
        <v>2692592</v>
      </c>
      <c r="C3612" s="2">
        <f>HYPERLINK("https://platform.v2.vetology.net/report/v/final/"&amp;2692592, 2692592)</f>
        <v>2692592</v>
      </c>
      <c r="D3612" s="2" t="s">
        <v>11431</v>
      </c>
      <c r="E3612" s="2" t="s">
        <v>11432</v>
      </c>
      <c r="F3612" s="2" t="s">
        <v>5288</v>
      </c>
      <c r="G3612" s="2" t="s">
        <v>170</v>
      </c>
      <c r="H3612" s="2" t="s">
        <v>11433</v>
      </c>
      <c r="I3612" s="2" t="s">
        <v>73</v>
      </c>
      <c r="J3612" s="2" t="s">
        <v>74</v>
      </c>
      <c r="K3612" s="2" t="s">
        <v>38</v>
      </c>
      <c r="L3612" s="2" t="s">
        <v>38</v>
      </c>
      <c r="M3612" s="2" t="s">
        <v>38</v>
      </c>
      <c r="N3612" s="2" t="s">
        <v>38</v>
      </c>
      <c r="O3612" s="2" t="s">
        <v>38</v>
      </c>
      <c r="P3612" s="2" t="s">
        <v>38</v>
      </c>
      <c r="Q3612" s="2" t="s">
        <v>38</v>
      </c>
      <c r="R3612" s="2" t="s">
        <v>38</v>
      </c>
      <c r="S3612" s="2" t="s">
        <v>38</v>
      </c>
      <c r="T3612" s="2" t="s">
        <v>38</v>
      </c>
      <c r="U3612" s="2" t="s">
        <v>39</v>
      </c>
      <c r="V3612" s="2" t="s">
        <v>38</v>
      </c>
      <c r="W3612" s="2" t="s">
        <v>38</v>
      </c>
      <c r="X3612" s="2" t="s">
        <v>38</v>
      </c>
      <c r="Y3612" s="2" t="s">
        <v>39</v>
      </c>
      <c r="Z3612" s="2" t="s">
        <v>38</v>
      </c>
      <c r="AA3612" s="2" t="s">
        <v>38</v>
      </c>
      <c r="AB3612" s="2" t="s">
        <v>38</v>
      </c>
      <c r="AC3612" s="2" t="s">
        <v>38</v>
      </c>
      <c r="AD3612" s="2" t="s">
        <v>38</v>
      </c>
      <c r="AE3612" s="2" t="s">
        <v>39</v>
      </c>
    </row>
    <row r="3613" spans="1:31" ht="409.5">
      <c r="A3613" s="2">
        <v>2692577</v>
      </c>
      <c r="B3613" s="2">
        <f>HYPERLINK("https://platform.v2.vetology.net/cases/2692577/screening-report/1?type=pdf&amp;v=v6&amp;scorecard=1&amp;secret_key=BX%25IJ%24%2F65ieZ%29f6", 2692577)</f>
        <v>2692577</v>
      </c>
      <c r="C3613" s="2">
        <f>HYPERLINK("https://platform.v2.vetology.net/report/v/final/"&amp;2692577, 2692577)</f>
        <v>2692577</v>
      </c>
      <c r="D3613" s="2" t="s">
        <v>11434</v>
      </c>
      <c r="E3613" s="2" t="s">
        <v>11435</v>
      </c>
      <c r="F3613" s="2" t="s">
        <v>11436</v>
      </c>
      <c r="G3613" s="2" t="s">
        <v>170</v>
      </c>
      <c r="H3613" s="2" t="s">
        <v>11437</v>
      </c>
      <c r="I3613" s="2" t="s">
        <v>73</v>
      </c>
      <c r="J3613" s="2" t="s">
        <v>74</v>
      </c>
      <c r="K3613" s="2" t="s">
        <v>38</v>
      </c>
      <c r="L3613" s="2" t="s">
        <v>38</v>
      </c>
      <c r="M3613" s="2" t="s">
        <v>39</v>
      </c>
      <c r="N3613" s="2" t="s">
        <v>38</v>
      </c>
      <c r="O3613" s="2" t="s">
        <v>38</v>
      </c>
      <c r="P3613" s="2" t="s">
        <v>38</v>
      </c>
      <c r="Q3613" s="2" t="s">
        <v>38</v>
      </c>
      <c r="R3613" s="2" t="s">
        <v>39</v>
      </c>
      <c r="S3613" s="2" t="s">
        <v>38</v>
      </c>
      <c r="T3613" s="2" t="s">
        <v>38</v>
      </c>
      <c r="U3613" s="2" t="s">
        <v>38</v>
      </c>
      <c r="V3613" s="2" t="s">
        <v>38</v>
      </c>
      <c r="W3613" s="2" t="s">
        <v>38</v>
      </c>
      <c r="X3613" s="2" t="s">
        <v>38</v>
      </c>
      <c r="Y3613" s="2" t="s">
        <v>39</v>
      </c>
      <c r="Z3613" s="2" t="s">
        <v>39</v>
      </c>
      <c r="AA3613" s="2" t="s">
        <v>38</v>
      </c>
      <c r="AB3613" s="2" t="s">
        <v>38</v>
      </c>
      <c r="AC3613" s="2" t="s">
        <v>39</v>
      </c>
      <c r="AD3613" s="2" t="s">
        <v>39</v>
      </c>
      <c r="AE3613" s="2" t="s">
        <v>39</v>
      </c>
    </row>
    <row r="3614" spans="1:31" ht="409.5">
      <c r="A3614" s="2">
        <v>2692566</v>
      </c>
      <c r="B3614" s="2">
        <f>HYPERLINK("https://platform.v2.vetology.net/cases/2692566/screening-report/1?type=pdf&amp;v=v6&amp;scorecard=1&amp;secret_key=BX%25IJ%24%2F65ieZ%29f6", 2692566)</f>
        <v>2692566</v>
      </c>
      <c r="C3614" s="2">
        <f>HYPERLINK("https://platform.v2.vetology.net/report/v/final/"&amp;2692566, 2692566)</f>
        <v>2692566</v>
      </c>
      <c r="D3614" s="2" t="s">
        <v>11438</v>
      </c>
      <c r="E3614" s="2" t="s">
        <v>11439</v>
      </c>
      <c r="F3614" s="2" t="s">
        <v>11440</v>
      </c>
      <c r="G3614" s="2" t="s">
        <v>170</v>
      </c>
      <c r="H3614" s="2" t="s">
        <v>11441</v>
      </c>
      <c r="I3614" s="2" t="s">
        <v>36</v>
      </c>
      <c r="J3614" s="2" t="s">
        <v>37</v>
      </c>
      <c r="K3614" s="2" t="s">
        <v>38</v>
      </c>
      <c r="L3614" s="2" t="s">
        <v>38</v>
      </c>
      <c r="M3614" s="2" t="s">
        <v>38</v>
      </c>
      <c r="N3614" s="2" t="s">
        <v>38</v>
      </c>
      <c r="O3614" s="2" t="s">
        <v>38</v>
      </c>
      <c r="P3614" s="2" t="s">
        <v>39</v>
      </c>
      <c r="Q3614" s="2" t="s">
        <v>38</v>
      </c>
      <c r="R3614" s="2" t="s">
        <v>38</v>
      </c>
      <c r="S3614" s="2" t="s">
        <v>38</v>
      </c>
      <c r="T3614" s="2" t="s">
        <v>38</v>
      </c>
      <c r="U3614" s="2" t="s">
        <v>38</v>
      </c>
      <c r="V3614" s="2" t="s">
        <v>38</v>
      </c>
      <c r="W3614" s="2" t="s">
        <v>38</v>
      </c>
      <c r="X3614" s="2" t="s">
        <v>38</v>
      </c>
      <c r="Y3614" s="2" t="s">
        <v>39</v>
      </c>
      <c r="Z3614" s="2" t="s">
        <v>38</v>
      </c>
      <c r="AA3614" s="2" t="s">
        <v>38</v>
      </c>
      <c r="AB3614" s="2" t="s">
        <v>38</v>
      </c>
      <c r="AC3614" s="2" t="s">
        <v>38</v>
      </c>
      <c r="AD3614" s="2" t="s">
        <v>38</v>
      </c>
      <c r="AE3614" s="2" t="s">
        <v>39</v>
      </c>
    </row>
    <row r="3615" spans="1:31" ht="409.5">
      <c r="A3615" s="2">
        <v>2692517</v>
      </c>
      <c r="B3615" s="2">
        <f>HYPERLINK("https://platform.v2.vetology.net/cases/2692517/screening-report/1?type=pdf&amp;v=v6&amp;scorecard=1&amp;secret_key=BX%25IJ%24%2F65ieZ%29f6", 2692517)</f>
        <v>2692517</v>
      </c>
      <c r="C3615" s="2">
        <f>HYPERLINK("https://platform.v2.vetology.net/report/v/final/"&amp;2692517, 2692517)</f>
        <v>2692517</v>
      </c>
      <c r="D3615" s="2" t="s">
        <v>11442</v>
      </c>
      <c r="E3615" s="2" t="s">
        <v>11443</v>
      </c>
      <c r="F3615" s="2" t="s">
        <v>11444</v>
      </c>
      <c r="G3615" s="2" t="s">
        <v>53</v>
      </c>
      <c r="H3615" s="2" t="s">
        <v>182</v>
      </c>
      <c r="I3615" s="2" t="s">
        <v>46</v>
      </c>
      <c r="J3615" s="2"/>
      <c r="K3615" s="2" t="s">
        <v>38</v>
      </c>
      <c r="L3615" s="2" t="s">
        <v>39</v>
      </c>
      <c r="M3615" s="2" t="s">
        <v>39</v>
      </c>
      <c r="N3615" s="2" t="s">
        <v>39</v>
      </c>
      <c r="O3615" s="2" t="s">
        <v>39</v>
      </c>
      <c r="P3615" s="2" t="s">
        <v>39</v>
      </c>
      <c r="Q3615" s="2" t="s">
        <v>39</v>
      </c>
      <c r="R3615" s="2" t="s">
        <v>38</v>
      </c>
      <c r="S3615" s="2" t="s">
        <v>39</v>
      </c>
      <c r="T3615" s="2" t="s">
        <v>39</v>
      </c>
      <c r="U3615" s="2" t="s">
        <v>38</v>
      </c>
      <c r="V3615" s="2" t="s">
        <v>38</v>
      </c>
      <c r="W3615" s="2" t="s">
        <v>39</v>
      </c>
      <c r="X3615" s="2" t="s">
        <v>39</v>
      </c>
      <c r="Y3615" s="2" t="s">
        <v>39</v>
      </c>
      <c r="Z3615" s="2" t="s">
        <v>39</v>
      </c>
      <c r="AA3615" s="2" t="s">
        <v>39</v>
      </c>
      <c r="AB3615" s="2" t="s">
        <v>39</v>
      </c>
      <c r="AC3615" s="2" t="s">
        <v>38</v>
      </c>
      <c r="AD3615" s="2" t="s">
        <v>38</v>
      </c>
      <c r="AE3615" s="2" t="s">
        <v>39</v>
      </c>
    </row>
    <row r="3616" spans="1:31" ht="409.5">
      <c r="A3616" s="2">
        <v>2692509</v>
      </c>
      <c r="B3616" s="2">
        <f>HYPERLINK("https://platform.v2.vetology.net/cases/2692509/screening-report/1?type=pdf&amp;v=v6&amp;scorecard=1&amp;secret_key=BX%25IJ%24%2F65ieZ%29f6", 2692509)</f>
        <v>2692509</v>
      </c>
      <c r="C3616" s="2">
        <f>HYPERLINK("https://platform.v2.vetology.net/report/v/final/"&amp;2692509, 2692509)</f>
        <v>2692509</v>
      </c>
      <c r="D3616" s="2" t="s">
        <v>11445</v>
      </c>
      <c r="E3616" s="2" t="s">
        <v>1091</v>
      </c>
      <c r="F3616" s="2" t="s">
        <v>787</v>
      </c>
      <c r="G3616" s="2" t="s">
        <v>100</v>
      </c>
      <c r="H3616" s="2" t="s">
        <v>3465</v>
      </c>
      <c r="I3616" s="2" t="s">
        <v>59</v>
      </c>
      <c r="J3616" s="2" t="s">
        <v>37</v>
      </c>
      <c r="K3616" s="2" t="s">
        <v>39</v>
      </c>
      <c r="L3616" s="2" t="s">
        <v>39</v>
      </c>
      <c r="M3616" s="2" t="s">
        <v>39</v>
      </c>
      <c r="N3616" s="2" t="s">
        <v>38</v>
      </c>
      <c r="O3616" s="2" t="s">
        <v>39</v>
      </c>
      <c r="P3616" s="2" t="s">
        <v>39</v>
      </c>
      <c r="Q3616" s="2" t="s">
        <v>39</v>
      </c>
      <c r="R3616" s="2" t="s">
        <v>38</v>
      </c>
      <c r="S3616" s="2" t="s">
        <v>38</v>
      </c>
      <c r="T3616" s="2" t="s">
        <v>39</v>
      </c>
      <c r="U3616" s="2" t="s">
        <v>39</v>
      </c>
      <c r="V3616" s="2" t="s">
        <v>39</v>
      </c>
      <c r="W3616" s="2" t="s">
        <v>38</v>
      </c>
      <c r="X3616" s="2" t="s">
        <v>39</v>
      </c>
      <c r="Y3616" s="2" t="s">
        <v>39</v>
      </c>
      <c r="Z3616" s="2" t="s">
        <v>38</v>
      </c>
      <c r="AA3616" s="2" t="s">
        <v>39</v>
      </c>
      <c r="AB3616" s="2" t="s">
        <v>39</v>
      </c>
      <c r="AC3616" s="2" t="s">
        <v>38</v>
      </c>
      <c r="AD3616" s="2" t="s">
        <v>38</v>
      </c>
      <c r="AE3616" s="2" t="s">
        <v>40</v>
      </c>
    </row>
    <row r="3617" spans="1:31" ht="409.5">
      <c r="A3617" s="2">
        <v>2692489</v>
      </c>
      <c r="B3617" s="2">
        <f>HYPERLINK("https://platform.v2.vetology.net/cases/2692489/screening-report/1?type=pdf&amp;v=v6&amp;scorecard=1&amp;secret_key=BX%25IJ%24%2F65ieZ%29f6", 2692489)</f>
        <v>2692489</v>
      </c>
      <c r="C3617" s="2">
        <f>HYPERLINK("https://platform.v2.vetology.net/report/v/final/"&amp;2692489, 2692489)</f>
        <v>2692489</v>
      </c>
      <c r="D3617" s="2" t="s">
        <v>11446</v>
      </c>
      <c r="E3617" s="2" t="s">
        <v>11447</v>
      </c>
      <c r="F3617" s="2" t="s">
        <v>11448</v>
      </c>
      <c r="G3617" s="2" t="s">
        <v>170</v>
      </c>
      <c r="H3617" s="2" t="s">
        <v>11449</v>
      </c>
      <c r="I3617" s="2" t="s">
        <v>36</v>
      </c>
      <c r="J3617" s="2" t="s">
        <v>37</v>
      </c>
      <c r="K3617" s="2" t="s">
        <v>39</v>
      </c>
      <c r="L3617" s="2" t="s">
        <v>39</v>
      </c>
      <c r="M3617" s="2" t="s">
        <v>38</v>
      </c>
      <c r="N3617" s="2" t="s">
        <v>38</v>
      </c>
      <c r="O3617" s="2" t="s">
        <v>38</v>
      </c>
      <c r="P3617" s="2" t="s">
        <v>38</v>
      </c>
      <c r="Q3617" s="2" t="s">
        <v>39</v>
      </c>
      <c r="R3617" s="2" t="s">
        <v>38</v>
      </c>
      <c r="S3617" s="2" t="s">
        <v>38</v>
      </c>
      <c r="T3617" s="2" t="s">
        <v>38</v>
      </c>
      <c r="U3617" s="2" t="s">
        <v>39</v>
      </c>
      <c r="V3617" s="2" t="s">
        <v>38</v>
      </c>
      <c r="W3617" s="2" t="s">
        <v>38</v>
      </c>
      <c r="X3617" s="2" t="s">
        <v>39</v>
      </c>
      <c r="Y3617" s="2" t="s">
        <v>39</v>
      </c>
      <c r="Z3617" s="2" t="s">
        <v>38</v>
      </c>
      <c r="AA3617" s="2" t="s">
        <v>39</v>
      </c>
      <c r="AB3617" s="2" t="s">
        <v>39</v>
      </c>
      <c r="AC3617" s="2" t="s">
        <v>38</v>
      </c>
      <c r="AD3617" s="2" t="s">
        <v>38</v>
      </c>
      <c r="AE3617" s="2" t="s">
        <v>40</v>
      </c>
    </row>
    <row r="3618" spans="1:31" ht="409.5">
      <c r="A3618" s="2">
        <v>2692390</v>
      </c>
      <c r="B3618" s="2">
        <f>HYPERLINK("https://platform.v2.vetology.net/cases/2692390/screening-report/1?type=pdf&amp;v=v6&amp;scorecard=1&amp;secret_key=BX%25IJ%24%2F65ieZ%29f6", 2692390)</f>
        <v>2692390</v>
      </c>
      <c r="C3618" s="2">
        <f>HYPERLINK("https://platform.v2.vetology.net/report/v/final/"&amp;2692390, 2692390)</f>
        <v>2692390</v>
      </c>
      <c r="D3618" s="2" t="s">
        <v>11450</v>
      </c>
      <c r="E3618" s="2" t="s">
        <v>11451</v>
      </c>
      <c r="F3618" s="2"/>
      <c r="G3618" s="2" t="s">
        <v>81</v>
      </c>
      <c r="H3618" s="2" t="s">
        <v>11452</v>
      </c>
      <c r="I3618" s="2" t="s">
        <v>73</v>
      </c>
      <c r="J3618" s="2" t="s">
        <v>74</v>
      </c>
      <c r="K3618" s="2" t="s">
        <v>38</v>
      </c>
      <c r="L3618" s="2" t="s">
        <v>38</v>
      </c>
      <c r="M3618" s="2" t="s">
        <v>38</v>
      </c>
      <c r="N3618" s="2" t="s">
        <v>38</v>
      </c>
      <c r="O3618" s="2" t="s">
        <v>38</v>
      </c>
      <c r="P3618" s="2" t="s">
        <v>38</v>
      </c>
      <c r="Q3618" s="2" t="s">
        <v>38</v>
      </c>
      <c r="R3618" s="2" t="s">
        <v>38</v>
      </c>
      <c r="S3618" s="2" t="s">
        <v>38</v>
      </c>
      <c r="T3618" s="2" t="s">
        <v>38</v>
      </c>
      <c r="U3618" s="2" t="s">
        <v>38</v>
      </c>
      <c r="V3618" s="2" t="s">
        <v>38</v>
      </c>
      <c r="W3618" s="2" t="s">
        <v>38</v>
      </c>
      <c r="X3618" s="2" t="s">
        <v>38</v>
      </c>
      <c r="Y3618" s="2" t="s">
        <v>39</v>
      </c>
      <c r="Z3618" s="2" t="s">
        <v>38</v>
      </c>
      <c r="AA3618" s="2" t="s">
        <v>38</v>
      </c>
      <c r="AB3618" s="2" t="s">
        <v>38</v>
      </c>
      <c r="AC3618" s="2" t="s">
        <v>38</v>
      </c>
      <c r="AD3618" s="2" t="s">
        <v>38</v>
      </c>
      <c r="AE3618" s="2" t="s">
        <v>40</v>
      </c>
    </row>
    <row r="3619" spans="1:31" ht="409.5">
      <c r="A3619" s="2">
        <v>2692373</v>
      </c>
      <c r="B3619" s="2">
        <f>HYPERLINK("https://platform.v2.vetology.net/cases/2692373/screening-report/1?type=pdf&amp;v=v6&amp;scorecard=1&amp;secret_key=BX%25IJ%24%2F65ieZ%29f6", 2692373)</f>
        <v>2692373</v>
      </c>
      <c r="C3619" s="2">
        <f>HYPERLINK("https://platform.v2.vetology.net/report/v/final/"&amp;2692373, 2692373)</f>
        <v>2692373</v>
      </c>
      <c r="D3619" s="2" t="s">
        <v>11453</v>
      </c>
      <c r="E3619" s="2" t="s">
        <v>11454</v>
      </c>
      <c r="F3619" s="2" t="s">
        <v>11455</v>
      </c>
      <c r="G3619" s="2" t="s">
        <v>53</v>
      </c>
      <c r="H3619" s="2" t="s">
        <v>11456</v>
      </c>
      <c r="I3619" s="2" t="s">
        <v>36</v>
      </c>
      <c r="J3619" s="2" t="s">
        <v>37</v>
      </c>
      <c r="K3619" s="2" t="s">
        <v>39</v>
      </c>
      <c r="L3619" s="2" t="s">
        <v>38</v>
      </c>
      <c r="M3619" s="2" t="s">
        <v>39</v>
      </c>
      <c r="N3619" s="2" t="s">
        <v>38</v>
      </c>
      <c r="O3619" s="2" t="s">
        <v>38</v>
      </c>
      <c r="P3619" s="2" t="s">
        <v>38</v>
      </c>
      <c r="Q3619" s="2" t="s">
        <v>39</v>
      </c>
      <c r="R3619" s="2" t="s">
        <v>39</v>
      </c>
      <c r="S3619" s="2" t="s">
        <v>39</v>
      </c>
      <c r="T3619" s="2" t="s">
        <v>38</v>
      </c>
      <c r="U3619" s="2" t="s">
        <v>38</v>
      </c>
      <c r="V3619" s="2" t="s">
        <v>38</v>
      </c>
      <c r="W3619" s="2" t="s">
        <v>38</v>
      </c>
      <c r="X3619" s="2" t="s">
        <v>39</v>
      </c>
      <c r="Y3619" s="2" t="s">
        <v>39</v>
      </c>
      <c r="Z3619" s="2" t="s">
        <v>39</v>
      </c>
      <c r="AA3619" s="2" t="s">
        <v>39</v>
      </c>
      <c r="AB3619" s="2" t="s">
        <v>39</v>
      </c>
      <c r="AC3619" s="2" t="s">
        <v>39</v>
      </c>
      <c r="AD3619" s="2" t="s">
        <v>38</v>
      </c>
      <c r="AE3619" s="2" t="s">
        <v>40</v>
      </c>
    </row>
    <row r="3620" spans="1:31" ht="409.5">
      <c r="A3620" s="2">
        <v>2692337</v>
      </c>
      <c r="B3620" s="2">
        <f>HYPERLINK("https://platform.v2.vetology.net/cases/2692337/screening-report/1?type=pdf&amp;v=v6&amp;scorecard=1&amp;secret_key=BX%25IJ%24%2F65ieZ%29f6", 2692337)</f>
        <v>2692337</v>
      </c>
      <c r="C3620" s="2">
        <f>HYPERLINK("https://platform.v2.vetology.net/report/v/final/"&amp;2692337, 2692337)</f>
        <v>2692337</v>
      </c>
      <c r="D3620" s="2" t="s">
        <v>11457</v>
      </c>
      <c r="E3620" s="2" t="s">
        <v>11458</v>
      </c>
      <c r="F3620" s="2" t="s">
        <v>11459</v>
      </c>
      <c r="G3620" s="2" t="s">
        <v>53</v>
      </c>
      <c r="H3620" s="2" t="s">
        <v>11460</v>
      </c>
      <c r="I3620" s="2" t="s">
        <v>73</v>
      </c>
      <c r="J3620" s="2" t="s">
        <v>74</v>
      </c>
      <c r="K3620" s="2" t="s">
        <v>38</v>
      </c>
      <c r="L3620" s="2" t="s">
        <v>38</v>
      </c>
      <c r="M3620" s="2" t="s">
        <v>38</v>
      </c>
      <c r="N3620" s="2" t="s">
        <v>38</v>
      </c>
      <c r="O3620" s="2" t="s">
        <v>38</v>
      </c>
      <c r="P3620" s="2" t="s">
        <v>38</v>
      </c>
      <c r="Q3620" s="2" t="s">
        <v>38</v>
      </c>
      <c r="R3620" s="2" t="s">
        <v>38</v>
      </c>
      <c r="S3620" s="2" t="s">
        <v>38</v>
      </c>
      <c r="T3620" s="2" t="s">
        <v>38</v>
      </c>
      <c r="U3620" s="2" t="s">
        <v>38</v>
      </c>
      <c r="V3620" s="2" t="s">
        <v>38</v>
      </c>
      <c r="W3620" s="2" t="s">
        <v>38</v>
      </c>
      <c r="X3620" s="2" t="s">
        <v>38</v>
      </c>
      <c r="Y3620" s="2" t="s">
        <v>39</v>
      </c>
      <c r="Z3620" s="2" t="s">
        <v>38</v>
      </c>
      <c r="AA3620" s="2" t="s">
        <v>38</v>
      </c>
      <c r="AB3620" s="2" t="s">
        <v>38</v>
      </c>
      <c r="AC3620" s="2" t="s">
        <v>38</v>
      </c>
      <c r="AD3620" s="2" t="s">
        <v>38</v>
      </c>
      <c r="AE3620" s="2" t="s">
        <v>40</v>
      </c>
    </row>
    <row r="3621" spans="1:31" ht="409.5">
      <c r="A3621" s="2">
        <v>2692332</v>
      </c>
      <c r="B3621" s="2">
        <f>HYPERLINK("https://platform.v2.vetology.net/cases/2692332/screening-report/1?type=pdf&amp;v=v6&amp;scorecard=1&amp;secret_key=BX%25IJ%24%2F65ieZ%29f6", 2692332)</f>
        <v>2692332</v>
      </c>
      <c r="C3621" s="2">
        <f>HYPERLINK("https://platform.v2.vetology.net/report/v/final/"&amp;2692332, 2692332)</f>
        <v>2692332</v>
      </c>
      <c r="D3621" s="2" t="s">
        <v>11461</v>
      </c>
      <c r="E3621" s="2" t="s">
        <v>11462</v>
      </c>
      <c r="F3621" s="2"/>
      <c r="G3621" s="2" t="s">
        <v>81</v>
      </c>
      <c r="H3621" s="2" t="s">
        <v>11463</v>
      </c>
      <c r="I3621" s="2" t="s">
        <v>129</v>
      </c>
      <c r="J3621" s="2" t="s">
        <v>74</v>
      </c>
      <c r="K3621" s="2" t="s">
        <v>38</v>
      </c>
      <c r="L3621" s="2" t="s">
        <v>39</v>
      </c>
      <c r="M3621" s="2" t="s">
        <v>39</v>
      </c>
      <c r="N3621" s="2" t="s">
        <v>38</v>
      </c>
      <c r="O3621" s="2" t="s">
        <v>38</v>
      </c>
      <c r="P3621" s="2" t="s">
        <v>38</v>
      </c>
      <c r="Q3621" s="2" t="s">
        <v>38</v>
      </c>
      <c r="R3621" s="2" t="s">
        <v>39</v>
      </c>
      <c r="S3621" s="2" t="s">
        <v>39</v>
      </c>
      <c r="T3621" s="2" t="s">
        <v>39</v>
      </c>
      <c r="U3621" s="2" t="s">
        <v>39</v>
      </c>
      <c r="V3621" s="2" t="s">
        <v>39</v>
      </c>
      <c r="W3621" s="2" t="s">
        <v>38</v>
      </c>
      <c r="X3621" s="2" t="s">
        <v>38</v>
      </c>
      <c r="Y3621" s="2" t="s">
        <v>38</v>
      </c>
      <c r="Z3621" s="2" t="s">
        <v>39</v>
      </c>
      <c r="AA3621" s="2" t="s">
        <v>39</v>
      </c>
      <c r="AB3621" s="2" t="s">
        <v>38</v>
      </c>
      <c r="AC3621" s="2" t="s">
        <v>38</v>
      </c>
      <c r="AD3621" s="2" t="s">
        <v>38</v>
      </c>
      <c r="AE3621" s="2" t="s">
        <v>39</v>
      </c>
    </row>
    <row r="3622" spans="1:31" ht="409.5">
      <c r="A3622" s="2">
        <v>2692318</v>
      </c>
      <c r="B3622" s="2">
        <f>HYPERLINK("https://platform.v2.vetology.net/cases/2692318/screening-report/1?type=pdf&amp;v=v6&amp;scorecard=1&amp;secret_key=BX%25IJ%24%2F65ieZ%29f6", 2692318)</f>
        <v>2692318</v>
      </c>
      <c r="C3622" s="2">
        <f>HYPERLINK("https://platform.v2.vetology.net/report/v/final/"&amp;2692318, 2692318)</f>
        <v>2692318</v>
      </c>
      <c r="D3622" s="2" t="s">
        <v>11464</v>
      </c>
      <c r="E3622" s="2" t="s">
        <v>11465</v>
      </c>
      <c r="F3622" s="2" t="s">
        <v>11466</v>
      </c>
      <c r="G3622" s="2" t="s">
        <v>53</v>
      </c>
      <c r="H3622" s="2" t="s">
        <v>11467</v>
      </c>
      <c r="I3622" s="2" t="s">
        <v>73</v>
      </c>
      <c r="J3622" s="2" t="s">
        <v>74</v>
      </c>
      <c r="K3622" s="2" t="s">
        <v>38</v>
      </c>
      <c r="L3622" s="2" t="s">
        <v>38</v>
      </c>
      <c r="M3622" s="2" t="s">
        <v>38</v>
      </c>
      <c r="N3622" s="2" t="s">
        <v>38</v>
      </c>
      <c r="O3622" s="2" t="s">
        <v>38</v>
      </c>
      <c r="P3622" s="2" t="s">
        <v>38</v>
      </c>
      <c r="Q3622" s="2" t="s">
        <v>38</v>
      </c>
      <c r="R3622" s="2" t="s">
        <v>39</v>
      </c>
      <c r="S3622" s="2" t="s">
        <v>38</v>
      </c>
      <c r="T3622" s="2" t="s">
        <v>38</v>
      </c>
      <c r="U3622" s="2" t="s">
        <v>39</v>
      </c>
      <c r="V3622" s="2" t="s">
        <v>38</v>
      </c>
      <c r="W3622" s="2" t="s">
        <v>38</v>
      </c>
      <c r="X3622" s="2" t="s">
        <v>38</v>
      </c>
      <c r="Y3622" s="2" t="s">
        <v>39</v>
      </c>
      <c r="Z3622" s="2" t="s">
        <v>38</v>
      </c>
      <c r="AA3622" s="2" t="s">
        <v>38</v>
      </c>
      <c r="AB3622" s="2" t="s">
        <v>38</v>
      </c>
      <c r="AC3622" s="2" t="s">
        <v>38</v>
      </c>
      <c r="AD3622" s="2" t="s">
        <v>39</v>
      </c>
      <c r="AE3622" s="2" t="s">
        <v>40</v>
      </c>
    </row>
    <row r="3623" spans="1:31" ht="409.5">
      <c r="A3623" s="2">
        <v>2692314</v>
      </c>
      <c r="B3623" s="2">
        <f>HYPERLINK("https://platform.v2.vetology.net/cases/2692314/screening-report/1?type=pdf&amp;v=v6&amp;scorecard=1&amp;secret_key=BX%25IJ%24%2F65ieZ%29f6", 2692314)</f>
        <v>2692314</v>
      </c>
      <c r="C3623" s="2">
        <f>HYPERLINK("https://platform.v2.vetology.net/report/v/final/"&amp;2692314, 2692314)</f>
        <v>2692314</v>
      </c>
      <c r="D3623" s="2" t="s">
        <v>5659</v>
      </c>
      <c r="E3623" s="2" t="s">
        <v>4821</v>
      </c>
      <c r="F3623" s="2" t="s">
        <v>4822</v>
      </c>
      <c r="G3623" s="2" t="s">
        <v>111</v>
      </c>
      <c r="H3623" s="2" t="s">
        <v>11468</v>
      </c>
      <c r="I3623" s="2" t="s">
        <v>73</v>
      </c>
      <c r="J3623" s="2" t="s">
        <v>74</v>
      </c>
      <c r="K3623" s="2" t="s">
        <v>38</v>
      </c>
      <c r="L3623" s="2" t="s">
        <v>38</v>
      </c>
      <c r="M3623" s="2" t="s">
        <v>38</v>
      </c>
      <c r="N3623" s="2" t="s">
        <v>38</v>
      </c>
      <c r="O3623" s="2" t="s">
        <v>38</v>
      </c>
      <c r="P3623" s="2" t="s">
        <v>38</v>
      </c>
      <c r="Q3623" s="2" t="s">
        <v>38</v>
      </c>
      <c r="R3623" s="2" t="s">
        <v>39</v>
      </c>
      <c r="S3623" s="2" t="s">
        <v>38</v>
      </c>
      <c r="T3623" s="2" t="s">
        <v>38</v>
      </c>
      <c r="U3623" s="2" t="s">
        <v>38</v>
      </c>
      <c r="V3623" s="2" t="s">
        <v>38</v>
      </c>
      <c r="W3623" s="2" t="s">
        <v>39</v>
      </c>
      <c r="X3623" s="2" t="s">
        <v>38</v>
      </c>
      <c r="Y3623" s="2" t="s">
        <v>39</v>
      </c>
      <c r="Z3623" s="2" t="s">
        <v>38</v>
      </c>
      <c r="AA3623" s="2" t="s">
        <v>38</v>
      </c>
      <c r="AB3623" s="2" t="s">
        <v>38</v>
      </c>
      <c r="AC3623" s="2" t="s">
        <v>38</v>
      </c>
      <c r="AD3623" s="2" t="s">
        <v>39</v>
      </c>
      <c r="AE3623" s="2" t="s">
        <v>39</v>
      </c>
    </row>
    <row r="3624" spans="1:31" ht="409.5">
      <c r="A3624" s="2">
        <v>2692277</v>
      </c>
      <c r="B3624" s="2">
        <f>HYPERLINK("https://platform.v2.vetology.net/cases/2692277/screening-report/1?type=pdf&amp;v=v6&amp;scorecard=1&amp;secret_key=BX%25IJ%24%2F65ieZ%29f6", 2692277)</f>
        <v>2692277</v>
      </c>
      <c r="C3624" s="2">
        <f>HYPERLINK("https://platform.v2.vetology.net/report/v/final/"&amp;2692277, 2692277)</f>
        <v>2692277</v>
      </c>
      <c r="D3624" s="2" t="s">
        <v>11469</v>
      </c>
      <c r="E3624" s="2" t="s">
        <v>11470</v>
      </c>
      <c r="F3624" s="2" t="s">
        <v>11471</v>
      </c>
      <c r="G3624" s="2" t="s">
        <v>251</v>
      </c>
      <c r="H3624" s="2" t="s">
        <v>2862</v>
      </c>
      <c r="I3624" s="2" t="s">
        <v>46</v>
      </c>
      <c r="J3624" s="2"/>
      <c r="K3624" s="2" t="s">
        <v>38</v>
      </c>
      <c r="L3624" s="2" t="s">
        <v>39</v>
      </c>
      <c r="M3624" s="2" t="s">
        <v>39</v>
      </c>
      <c r="N3624" s="2" t="s">
        <v>39</v>
      </c>
      <c r="O3624" s="2" t="s">
        <v>39</v>
      </c>
      <c r="P3624" s="2" t="s">
        <v>39</v>
      </c>
      <c r="Q3624" s="2" t="s">
        <v>39</v>
      </c>
      <c r="R3624" s="2" t="s">
        <v>38</v>
      </c>
      <c r="S3624" s="2" t="s">
        <v>38</v>
      </c>
      <c r="T3624" s="2" t="s">
        <v>38</v>
      </c>
      <c r="U3624" s="2" t="s">
        <v>39</v>
      </c>
      <c r="V3624" s="2" t="s">
        <v>39</v>
      </c>
      <c r="W3624" s="2" t="s">
        <v>39</v>
      </c>
      <c r="X3624" s="2" t="s">
        <v>39</v>
      </c>
      <c r="Y3624" s="2" t="s">
        <v>39</v>
      </c>
      <c r="Z3624" s="2" t="s">
        <v>38</v>
      </c>
      <c r="AA3624" s="2" t="s">
        <v>39</v>
      </c>
      <c r="AB3624" s="2" t="s">
        <v>39</v>
      </c>
      <c r="AC3624" s="2" t="s">
        <v>38</v>
      </c>
      <c r="AD3624" s="2" t="s">
        <v>39</v>
      </c>
      <c r="AE3624" s="2" t="s">
        <v>40</v>
      </c>
    </row>
    <row r="3625" spans="1:31" ht="409.5">
      <c r="A3625" s="2">
        <v>2692188</v>
      </c>
      <c r="B3625" s="2">
        <f>HYPERLINK("https://platform.v2.vetology.net/cases/2692188/screening-report/1?type=pdf&amp;v=v6&amp;scorecard=1&amp;secret_key=BX%25IJ%24%2F65ieZ%29f6", 2692188)</f>
        <v>2692188</v>
      </c>
      <c r="C3625" s="2">
        <f>HYPERLINK("https://platform.v2.vetology.net/report/v/final/"&amp;2692188, 2692188)</f>
        <v>2692188</v>
      </c>
      <c r="D3625" s="2" t="s">
        <v>11472</v>
      </c>
      <c r="E3625" s="2" t="s">
        <v>11473</v>
      </c>
      <c r="F3625" s="2" t="s">
        <v>11474</v>
      </c>
      <c r="G3625" s="2" t="s">
        <v>53</v>
      </c>
      <c r="H3625" s="2" t="s">
        <v>11475</v>
      </c>
      <c r="I3625" s="2" t="s">
        <v>36</v>
      </c>
      <c r="J3625" s="2" t="s">
        <v>37</v>
      </c>
      <c r="K3625" s="2" t="s">
        <v>38</v>
      </c>
      <c r="L3625" s="2" t="s">
        <v>38</v>
      </c>
      <c r="M3625" s="2" t="s">
        <v>38</v>
      </c>
      <c r="N3625" s="2" t="s">
        <v>38</v>
      </c>
      <c r="O3625" s="2" t="s">
        <v>38</v>
      </c>
      <c r="P3625" s="2" t="s">
        <v>38</v>
      </c>
      <c r="Q3625" s="2" t="s">
        <v>39</v>
      </c>
      <c r="R3625" s="2" t="s">
        <v>39</v>
      </c>
      <c r="S3625" s="2" t="s">
        <v>38</v>
      </c>
      <c r="T3625" s="2" t="s">
        <v>39</v>
      </c>
      <c r="U3625" s="2" t="s">
        <v>38</v>
      </c>
      <c r="V3625" s="2" t="s">
        <v>38</v>
      </c>
      <c r="W3625" s="2" t="s">
        <v>38</v>
      </c>
      <c r="X3625" s="2" t="s">
        <v>39</v>
      </c>
      <c r="Y3625" s="2" t="s">
        <v>39</v>
      </c>
      <c r="Z3625" s="2" t="s">
        <v>38</v>
      </c>
      <c r="AA3625" s="2" t="s">
        <v>38</v>
      </c>
      <c r="AB3625" s="2" t="s">
        <v>39</v>
      </c>
      <c r="AC3625" s="2" t="s">
        <v>38</v>
      </c>
      <c r="AD3625" s="2" t="s">
        <v>38</v>
      </c>
      <c r="AE3625" s="2" t="s">
        <v>40</v>
      </c>
    </row>
    <row r="3626" spans="1:31" ht="409.5">
      <c r="A3626" s="2">
        <v>2692184</v>
      </c>
      <c r="B3626" s="2">
        <f>HYPERLINK("https://platform.v2.vetology.net/cases/2692184/screening-report/1?type=pdf&amp;v=v6&amp;scorecard=1&amp;secret_key=BX%25IJ%24%2F65ieZ%29f6", 2692184)</f>
        <v>2692184</v>
      </c>
      <c r="C3626" s="2">
        <f>HYPERLINK("https://platform.v2.vetology.net/report/v/final/"&amp;2692184, 2692184)</f>
        <v>2692184</v>
      </c>
      <c r="D3626" s="2" t="s">
        <v>11476</v>
      </c>
      <c r="E3626" s="2" t="s">
        <v>11477</v>
      </c>
      <c r="F3626" s="2" t="s">
        <v>11478</v>
      </c>
      <c r="G3626" s="2" t="s">
        <v>170</v>
      </c>
      <c r="H3626" s="2" t="s">
        <v>69</v>
      </c>
      <c r="I3626" s="2" t="s">
        <v>46</v>
      </c>
      <c r="J3626" s="2"/>
      <c r="K3626" s="2" t="s">
        <v>39</v>
      </c>
      <c r="L3626" s="2" t="s">
        <v>39</v>
      </c>
      <c r="M3626" s="2" t="s">
        <v>39</v>
      </c>
      <c r="N3626" s="2" t="s">
        <v>39</v>
      </c>
      <c r="O3626" s="2" t="s">
        <v>39</v>
      </c>
      <c r="P3626" s="2" t="s">
        <v>39</v>
      </c>
      <c r="Q3626" s="2" t="s">
        <v>39</v>
      </c>
      <c r="R3626" s="2" t="s">
        <v>39</v>
      </c>
      <c r="S3626" s="2" t="s">
        <v>39</v>
      </c>
      <c r="T3626" s="2" t="s">
        <v>39</v>
      </c>
      <c r="U3626" s="2" t="s">
        <v>39</v>
      </c>
      <c r="V3626" s="2" t="s">
        <v>39</v>
      </c>
      <c r="W3626" s="2" t="s">
        <v>39</v>
      </c>
      <c r="X3626" s="2" t="s">
        <v>39</v>
      </c>
      <c r="Y3626" s="2" t="s">
        <v>39</v>
      </c>
      <c r="Z3626" s="2" t="s">
        <v>39</v>
      </c>
      <c r="AA3626" s="2" t="s">
        <v>39</v>
      </c>
      <c r="AB3626" s="2" t="s">
        <v>39</v>
      </c>
      <c r="AC3626" s="2" t="s">
        <v>39</v>
      </c>
      <c r="AD3626" s="2" t="s">
        <v>39</v>
      </c>
      <c r="AE3626" s="2" t="s">
        <v>39</v>
      </c>
    </row>
    <row r="3627" spans="1:31" ht="409.5">
      <c r="A3627" s="2">
        <v>2692170</v>
      </c>
      <c r="B3627" s="2">
        <f>HYPERLINK("https://platform.v2.vetology.net/cases/2692170/screening-report/1?type=pdf&amp;v=v6&amp;scorecard=1&amp;secret_key=BX%25IJ%24%2F65ieZ%29f6", 2692170)</f>
        <v>2692170</v>
      </c>
      <c r="C3627" s="2">
        <f>HYPERLINK("https://platform.v2.vetology.net/report/v/final/"&amp;2692170, 2692170)</f>
        <v>2692170</v>
      </c>
      <c r="D3627" s="2" t="s">
        <v>5659</v>
      </c>
      <c r="E3627" s="2" t="s">
        <v>4821</v>
      </c>
      <c r="F3627" s="2" t="s">
        <v>4822</v>
      </c>
      <c r="G3627" s="2" t="s">
        <v>111</v>
      </c>
      <c r="H3627" s="2" t="s">
        <v>11479</v>
      </c>
      <c r="I3627" s="2" t="s">
        <v>129</v>
      </c>
      <c r="J3627" s="2" t="s">
        <v>74</v>
      </c>
      <c r="K3627" s="2" t="s">
        <v>39</v>
      </c>
      <c r="L3627" s="2" t="s">
        <v>38</v>
      </c>
      <c r="M3627" s="2" t="s">
        <v>38</v>
      </c>
      <c r="N3627" s="2" t="s">
        <v>38</v>
      </c>
      <c r="O3627" s="2" t="s">
        <v>38</v>
      </c>
      <c r="P3627" s="2" t="s">
        <v>39</v>
      </c>
      <c r="Q3627" s="2" t="s">
        <v>38</v>
      </c>
      <c r="R3627" s="2" t="s">
        <v>39</v>
      </c>
      <c r="S3627" s="2" t="s">
        <v>38</v>
      </c>
      <c r="T3627" s="2" t="s">
        <v>39</v>
      </c>
      <c r="U3627" s="2" t="s">
        <v>39</v>
      </c>
      <c r="V3627" s="2" t="s">
        <v>39</v>
      </c>
      <c r="W3627" s="2" t="s">
        <v>38</v>
      </c>
      <c r="X3627" s="2" t="s">
        <v>38</v>
      </c>
      <c r="Y3627" s="2" t="s">
        <v>39</v>
      </c>
      <c r="Z3627" s="2" t="s">
        <v>38</v>
      </c>
      <c r="AA3627" s="2" t="s">
        <v>38</v>
      </c>
      <c r="AB3627" s="2" t="s">
        <v>39</v>
      </c>
      <c r="AC3627" s="2" t="s">
        <v>39</v>
      </c>
      <c r="AD3627" s="2" t="s">
        <v>39</v>
      </c>
      <c r="AE3627" s="2" t="s">
        <v>39</v>
      </c>
    </row>
    <row r="3628" spans="1:31" ht="409.5">
      <c r="A3628" s="2">
        <v>2692165</v>
      </c>
      <c r="B3628" s="2">
        <f>HYPERLINK("https://platform.v2.vetology.net/cases/2692165/screening-report/1?type=pdf&amp;v=v6&amp;scorecard=1&amp;secret_key=BX%25IJ%24%2F65ieZ%29f6", 2692165)</f>
        <v>2692165</v>
      </c>
      <c r="C3628" s="2">
        <f>HYPERLINK("https://platform.v2.vetology.net/report/v/final/"&amp;2692165, 2692165)</f>
        <v>2692165</v>
      </c>
      <c r="D3628" s="2" t="s">
        <v>11480</v>
      </c>
      <c r="E3628" s="2" t="s">
        <v>11481</v>
      </c>
      <c r="F3628" s="2" t="s">
        <v>11482</v>
      </c>
      <c r="G3628" s="2" t="s">
        <v>53</v>
      </c>
      <c r="H3628" s="2" t="s">
        <v>398</v>
      </c>
      <c r="I3628" s="2" t="s">
        <v>46</v>
      </c>
      <c r="J3628" s="2"/>
      <c r="K3628" s="2" t="s">
        <v>38</v>
      </c>
      <c r="L3628" s="2" t="s">
        <v>39</v>
      </c>
      <c r="M3628" s="2" t="s">
        <v>39</v>
      </c>
      <c r="N3628" s="2" t="s">
        <v>39</v>
      </c>
      <c r="O3628" s="2" t="s">
        <v>39</v>
      </c>
      <c r="P3628" s="2" t="s">
        <v>39</v>
      </c>
      <c r="Q3628" s="2" t="s">
        <v>39</v>
      </c>
      <c r="R3628" s="2" t="s">
        <v>39</v>
      </c>
      <c r="S3628" s="2" t="s">
        <v>39</v>
      </c>
      <c r="T3628" s="2" t="s">
        <v>39</v>
      </c>
      <c r="U3628" s="2" t="s">
        <v>39</v>
      </c>
      <c r="V3628" s="2" t="s">
        <v>38</v>
      </c>
      <c r="W3628" s="2" t="s">
        <v>39</v>
      </c>
      <c r="X3628" s="2" t="s">
        <v>39</v>
      </c>
      <c r="Y3628" s="2" t="s">
        <v>39</v>
      </c>
      <c r="Z3628" s="2" t="s">
        <v>39</v>
      </c>
      <c r="AA3628" s="2" t="s">
        <v>39</v>
      </c>
      <c r="AB3628" s="2" t="s">
        <v>39</v>
      </c>
      <c r="AC3628" s="2" t="s">
        <v>39</v>
      </c>
      <c r="AD3628" s="2" t="s">
        <v>39</v>
      </c>
      <c r="AE3628" s="2" t="s">
        <v>40</v>
      </c>
    </row>
    <row r="3629" spans="1:31" ht="409.5">
      <c r="A3629" s="2">
        <v>2692147</v>
      </c>
      <c r="B3629" s="2">
        <f>HYPERLINK("https://platform.v2.vetology.net/cases/2692147/screening-report/1?type=pdf&amp;v=v6&amp;scorecard=1&amp;secret_key=BX%25IJ%24%2F65ieZ%29f6", 2692147)</f>
        <v>2692147</v>
      </c>
      <c r="C3629" s="2">
        <f>HYPERLINK("https://platform.v2.vetology.net/report/v/final/"&amp;2692147, 2692147)</f>
        <v>2692147</v>
      </c>
      <c r="D3629" s="2" t="s">
        <v>11483</v>
      </c>
      <c r="E3629" s="2" t="s">
        <v>11484</v>
      </c>
      <c r="F3629" s="2" t="s">
        <v>11485</v>
      </c>
      <c r="G3629" s="2" t="s">
        <v>170</v>
      </c>
      <c r="H3629" s="2" t="s">
        <v>994</v>
      </c>
      <c r="I3629" s="2" t="s">
        <v>36</v>
      </c>
      <c r="J3629" s="2" t="s">
        <v>37</v>
      </c>
      <c r="K3629" s="2" t="s">
        <v>39</v>
      </c>
      <c r="L3629" s="2" t="s">
        <v>38</v>
      </c>
      <c r="M3629" s="2" t="s">
        <v>39</v>
      </c>
      <c r="N3629" s="2" t="s">
        <v>38</v>
      </c>
      <c r="O3629" s="2" t="s">
        <v>38</v>
      </c>
      <c r="P3629" s="2" t="s">
        <v>39</v>
      </c>
      <c r="Q3629" s="2" t="s">
        <v>39</v>
      </c>
      <c r="R3629" s="2" t="s">
        <v>38</v>
      </c>
      <c r="S3629" s="2" t="s">
        <v>39</v>
      </c>
      <c r="T3629" s="2" t="s">
        <v>39</v>
      </c>
      <c r="U3629" s="2" t="s">
        <v>38</v>
      </c>
      <c r="V3629" s="2" t="s">
        <v>39</v>
      </c>
      <c r="W3629" s="2" t="s">
        <v>38</v>
      </c>
      <c r="X3629" s="2" t="s">
        <v>39</v>
      </c>
      <c r="Y3629" s="2" t="s">
        <v>39</v>
      </c>
      <c r="Z3629" s="2" t="s">
        <v>38</v>
      </c>
      <c r="AA3629" s="2" t="s">
        <v>38</v>
      </c>
      <c r="AB3629" s="2" t="s">
        <v>39</v>
      </c>
      <c r="AC3629" s="2" t="s">
        <v>38</v>
      </c>
      <c r="AD3629" s="2" t="s">
        <v>38</v>
      </c>
      <c r="AE3629" s="2" t="s">
        <v>39</v>
      </c>
    </row>
    <row r="3630" spans="1:31" ht="409.5">
      <c r="A3630" s="2">
        <v>2692140</v>
      </c>
      <c r="B3630" s="2">
        <f>HYPERLINK("https://platform.v2.vetology.net/cases/2692140/screening-report/1?type=pdf&amp;v=v6&amp;scorecard=1&amp;secret_key=BX%25IJ%24%2F65ieZ%29f6", 2692140)</f>
        <v>2692140</v>
      </c>
      <c r="C3630" s="2">
        <f>HYPERLINK("https://platform.v2.vetology.net/report/v/final/"&amp;2692140, 2692140)</f>
        <v>2692140</v>
      </c>
      <c r="D3630" s="2" t="s">
        <v>10534</v>
      </c>
      <c r="E3630" s="2" t="s">
        <v>1091</v>
      </c>
      <c r="F3630" s="2" t="s">
        <v>787</v>
      </c>
      <c r="G3630" s="2" t="s">
        <v>100</v>
      </c>
      <c r="H3630" s="2" t="s">
        <v>5167</v>
      </c>
      <c r="I3630" s="2" t="s">
        <v>36</v>
      </c>
      <c r="J3630" s="2" t="s">
        <v>37</v>
      </c>
      <c r="K3630" s="2" t="s">
        <v>38</v>
      </c>
      <c r="L3630" s="2" t="s">
        <v>38</v>
      </c>
      <c r="M3630" s="2" t="s">
        <v>38</v>
      </c>
      <c r="N3630" s="2" t="s">
        <v>39</v>
      </c>
      <c r="O3630" s="2" t="s">
        <v>38</v>
      </c>
      <c r="P3630" s="2" t="s">
        <v>39</v>
      </c>
      <c r="Q3630" s="2" t="s">
        <v>39</v>
      </c>
      <c r="R3630" s="2" t="s">
        <v>38</v>
      </c>
      <c r="S3630" s="2" t="s">
        <v>38</v>
      </c>
      <c r="T3630" s="2" t="s">
        <v>39</v>
      </c>
      <c r="U3630" s="2" t="s">
        <v>38</v>
      </c>
      <c r="V3630" s="2" t="s">
        <v>38</v>
      </c>
      <c r="W3630" s="2" t="s">
        <v>38</v>
      </c>
      <c r="X3630" s="2" t="s">
        <v>39</v>
      </c>
      <c r="Y3630" s="2" t="s">
        <v>39</v>
      </c>
      <c r="Z3630" s="2" t="s">
        <v>38</v>
      </c>
      <c r="AA3630" s="2" t="s">
        <v>38</v>
      </c>
      <c r="AB3630" s="2" t="s">
        <v>39</v>
      </c>
      <c r="AC3630" s="2" t="s">
        <v>38</v>
      </c>
      <c r="AD3630" s="2" t="s">
        <v>38</v>
      </c>
      <c r="AE3630" s="2" t="s">
        <v>39</v>
      </c>
    </row>
    <row r="3631" spans="1:31" ht="409.5">
      <c r="A3631" s="2">
        <v>2692139</v>
      </c>
      <c r="B3631" s="2">
        <f>HYPERLINK("https://platform.v2.vetology.net/cases/2692139/screening-report/1?type=pdf&amp;v=v6&amp;scorecard=1&amp;secret_key=BX%25IJ%24%2F65ieZ%29f6", 2692139)</f>
        <v>2692139</v>
      </c>
      <c r="C3631" s="2">
        <f>HYPERLINK("https://platform.v2.vetology.net/report/v/final/"&amp;2692139, 2692139)</f>
        <v>2692139</v>
      </c>
      <c r="D3631" s="2" t="s">
        <v>11486</v>
      </c>
      <c r="E3631" s="2" t="s">
        <v>11487</v>
      </c>
      <c r="F3631" s="2" t="s">
        <v>1929</v>
      </c>
      <c r="G3631" s="2" t="s">
        <v>111</v>
      </c>
      <c r="H3631" s="2" t="s">
        <v>11488</v>
      </c>
      <c r="I3631" s="2" t="s">
        <v>36</v>
      </c>
      <c r="J3631" s="2" t="s">
        <v>37</v>
      </c>
      <c r="K3631" s="2" t="s">
        <v>38</v>
      </c>
      <c r="L3631" s="2" t="s">
        <v>39</v>
      </c>
      <c r="M3631" s="2" t="s">
        <v>38</v>
      </c>
      <c r="N3631" s="2" t="s">
        <v>39</v>
      </c>
      <c r="O3631" s="2" t="s">
        <v>39</v>
      </c>
      <c r="P3631" s="2" t="s">
        <v>39</v>
      </c>
      <c r="Q3631" s="2" t="s">
        <v>39</v>
      </c>
      <c r="R3631" s="2" t="s">
        <v>39</v>
      </c>
      <c r="S3631" s="2" t="s">
        <v>39</v>
      </c>
      <c r="T3631" s="2" t="s">
        <v>39</v>
      </c>
      <c r="U3631" s="2" t="s">
        <v>38</v>
      </c>
      <c r="V3631" s="2" t="s">
        <v>38</v>
      </c>
      <c r="W3631" s="2" t="s">
        <v>39</v>
      </c>
      <c r="X3631" s="2" t="s">
        <v>39</v>
      </c>
      <c r="Y3631" s="2" t="s">
        <v>39</v>
      </c>
      <c r="Z3631" s="2" t="s">
        <v>39</v>
      </c>
      <c r="AA3631" s="2" t="s">
        <v>39</v>
      </c>
      <c r="AB3631" s="2" t="s">
        <v>39</v>
      </c>
      <c r="AC3631" s="2" t="s">
        <v>38</v>
      </c>
      <c r="AD3631" s="2" t="s">
        <v>38</v>
      </c>
      <c r="AE3631" s="2" t="s">
        <v>40</v>
      </c>
    </row>
    <row r="3632" spans="1:31" ht="409.5">
      <c r="A3632" s="2">
        <v>2692137</v>
      </c>
      <c r="B3632" s="2">
        <f>HYPERLINK("https://platform.v2.vetology.net/cases/2692137/screening-report/1?type=pdf&amp;v=v6&amp;scorecard=1&amp;secret_key=BX%25IJ%24%2F65ieZ%29f6", 2692137)</f>
        <v>2692137</v>
      </c>
      <c r="C3632" s="2">
        <f>HYPERLINK("https://platform.v2.vetology.net/report/v/final/"&amp;2692137, 2692137)</f>
        <v>2692137</v>
      </c>
      <c r="D3632" s="2" t="s">
        <v>11489</v>
      </c>
      <c r="E3632" s="2" t="s">
        <v>11490</v>
      </c>
      <c r="F3632" s="2" t="s">
        <v>43</v>
      </c>
      <c r="G3632" s="2" t="s">
        <v>100</v>
      </c>
      <c r="H3632" s="2" t="s">
        <v>45</v>
      </c>
      <c r="I3632" s="2" t="s">
        <v>46</v>
      </c>
      <c r="J3632" s="2"/>
      <c r="K3632" s="2" t="s">
        <v>39</v>
      </c>
      <c r="L3632" s="2" t="s">
        <v>39</v>
      </c>
      <c r="M3632" s="2" t="s">
        <v>39</v>
      </c>
      <c r="N3632" s="2" t="s">
        <v>39</v>
      </c>
      <c r="O3632" s="2" t="s">
        <v>39</v>
      </c>
      <c r="P3632" s="2" t="s">
        <v>39</v>
      </c>
      <c r="Q3632" s="2" t="s">
        <v>39</v>
      </c>
      <c r="R3632" s="2" t="s">
        <v>38</v>
      </c>
      <c r="S3632" s="2" t="s">
        <v>39</v>
      </c>
      <c r="T3632" s="2" t="s">
        <v>38</v>
      </c>
      <c r="U3632" s="2" t="s">
        <v>38</v>
      </c>
      <c r="V3632" s="2" t="s">
        <v>38</v>
      </c>
      <c r="W3632" s="2" t="s">
        <v>39</v>
      </c>
      <c r="X3632" s="2" t="s">
        <v>39</v>
      </c>
      <c r="Y3632" s="2" t="s">
        <v>39</v>
      </c>
      <c r="Z3632" s="2" t="s">
        <v>39</v>
      </c>
      <c r="AA3632" s="2" t="s">
        <v>38</v>
      </c>
      <c r="AB3632" s="2" t="s">
        <v>39</v>
      </c>
      <c r="AC3632" s="2" t="s">
        <v>38</v>
      </c>
      <c r="AD3632" s="2" t="s">
        <v>38</v>
      </c>
      <c r="AE3632" s="2" t="s">
        <v>39</v>
      </c>
    </row>
    <row r="3633" spans="1:31" ht="409.5">
      <c r="A3633" s="2">
        <v>2692136</v>
      </c>
      <c r="B3633" s="2">
        <f>HYPERLINK("https://platform.v2.vetology.net/cases/2692136/screening-report/1?type=pdf&amp;v=v6&amp;scorecard=1&amp;secret_key=BX%25IJ%24%2F65ieZ%29f6", 2692136)</f>
        <v>2692136</v>
      </c>
      <c r="C3633" s="2">
        <f>HYPERLINK("https://platform.v2.vetology.net/report/v/final/"&amp;2692136, 2692136)</f>
        <v>2692136</v>
      </c>
      <c r="D3633" s="2" t="s">
        <v>11491</v>
      </c>
      <c r="E3633" s="2" t="s">
        <v>11492</v>
      </c>
      <c r="F3633" s="2" t="s">
        <v>11493</v>
      </c>
      <c r="G3633" s="2" t="s">
        <v>127</v>
      </c>
      <c r="H3633" s="2" t="s">
        <v>11494</v>
      </c>
      <c r="I3633" s="2" t="s">
        <v>257</v>
      </c>
      <c r="J3633" s="2" t="s">
        <v>74</v>
      </c>
      <c r="K3633" s="2" t="s">
        <v>38</v>
      </c>
      <c r="L3633" s="2" t="s">
        <v>38</v>
      </c>
      <c r="M3633" s="2" t="s">
        <v>38</v>
      </c>
      <c r="N3633" s="2" t="s">
        <v>38</v>
      </c>
      <c r="O3633" s="2" t="s">
        <v>38</v>
      </c>
      <c r="P3633" s="2" t="s">
        <v>38</v>
      </c>
      <c r="Q3633" s="2" t="s">
        <v>38</v>
      </c>
      <c r="R3633" s="2" t="s">
        <v>38</v>
      </c>
      <c r="S3633" s="2" t="s">
        <v>38</v>
      </c>
      <c r="T3633" s="2" t="s">
        <v>38</v>
      </c>
      <c r="U3633" s="2" t="s">
        <v>38</v>
      </c>
      <c r="V3633" s="2" t="s">
        <v>38</v>
      </c>
      <c r="W3633" s="2" t="s">
        <v>38</v>
      </c>
      <c r="X3633" s="2" t="s">
        <v>38</v>
      </c>
      <c r="Y3633" s="2" t="s">
        <v>38</v>
      </c>
      <c r="Z3633" s="2" t="s">
        <v>38</v>
      </c>
      <c r="AA3633" s="2" t="s">
        <v>38</v>
      </c>
      <c r="AB3633" s="2" t="s">
        <v>38</v>
      </c>
      <c r="AC3633" s="2" t="s">
        <v>38</v>
      </c>
      <c r="AD3633" s="2" t="s">
        <v>38</v>
      </c>
      <c r="AE3633" s="2" t="s">
        <v>40</v>
      </c>
    </row>
    <row r="3634" spans="1:31" ht="409.5">
      <c r="A3634" s="2">
        <v>2692124</v>
      </c>
      <c r="B3634" s="2">
        <f>HYPERLINK("https://platform.v2.vetology.net/cases/2692124/screening-report/1?type=pdf&amp;v=v6&amp;scorecard=1&amp;secret_key=BX%25IJ%24%2F65ieZ%29f6", 2692124)</f>
        <v>2692124</v>
      </c>
      <c r="C3634" s="2">
        <f>HYPERLINK("https://platform.v2.vetology.net/report/v/final/"&amp;2692124, 2692124)</f>
        <v>2692124</v>
      </c>
      <c r="D3634" s="2" t="s">
        <v>11495</v>
      </c>
      <c r="E3634" s="2" t="s">
        <v>11496</v>
      </c>
      <c r="F3634" s="2" t="s">
        <v>43</v>
      </c>
      <c r="G3634" s="2" t="s">
        <v>100</v>
      </c>
      <c r="H3634" s="2" t="s">
        <v>7597</v>
      </c>
      <c r="I3634" s="2" t="s">
        <v>36</v>
      </c>
      <c r="J3634" s="2" t="s">
        <v>37</v>
      </c>
      <c r="K3634" s="2" t="s">
        <v>38</v>
      </c>
      <c r="L3634" s="2" t="s">
        <v>38</v>
      </c>
      <c r="M3634" s="2" t="s">
        <v>38</v>
      </c>
      <c r="N3634" s="2" t="s">
        <v>38</v>
      </c>
      <c r="O3634" s="2" t="s">
        <v>38</v>
      </c>
      <c r="P3634" s="2" t="s">
        <v>39</v>
      </c>
      <c r="Q3634" s="2" t="s">
        <v>39</v>
      </c>
      <c r="R3634" s="2" t="s">
        <v>38</v>
      </c>
      <c r="S3634" s="2" t="s">
        <v>38</v>
      </c>
      <c r="T3634" s="2" t="s">
        <v>38</v>
      </c>
      <c r="U3634" s="2" t="s">
        <v>39</v>
      </c>
      <c r="V3634" s="2" t="s">
        <v>38</v>
      </c>
      <c r="W3634" s="2" t="s">
        <v>38</v>
      </c>
      <c r="X3634" s="2" t="s">
        <v>39</v>
      </c>
      <c r="Y3634" s="2" t="s">
        <v>39</v>
      </c>
      <c r="Z3634" s="2" t="s">
        <v>38</v>
      </c>
      <c r="AA3634" s="2" t="s">
        <v>38</v>
      </c>
      <c r="AB3634" s="2" t="s">
        <v>39</v>
      </c>
      <c r="AC3634" s="2" t="s">
        <v>38</v>
      </c>
      <c r="AD3634" s="2" t="s">
        <v>38</v>
      </c>
      <c r="AE3634" s="2" t="s">
        <v>40</v>
      </c>
    </row>
    <row r="3635" spans="1:31" ht="409.5">
      <c r="A3635" s="2">
        <v>2692107</v>
      </c>
      <c r="B3635" s="2">
        <f>HYPERLINK("https://platform.v2.vetology.net/cases/2692107/screening-report/1?type=pdf&amp;v=v6&amp;scorecard=1&amp;secret_key=BX%25IJ%24%2F65ieZ%29f6", 2692107)</f>
        <v>2692107</v>
      </c>
      <c r="C3635" s="2">
        <f>HYPERLINK("https://platform.v2.vetology.net/report/v/final/"&amp;2692107, 2692107)</f>
        <v>2692107</v>
      </c>
      <c r="D3635" s="2" t="s">
        <v>2629</v>
      </c>
      <c r="E3635" s="2" t="s">
        <v>1928</v>
      </c>
      <c r="F3635" s="2" t="s">
        <v>11497</v>
      </c>
      <c r="G3635" s="2" t="s">
        <v>111</v>
      </c>
      <c r="H3635" s="2" t="s">
        <v>11498</v>
      </c>
      <c r="I3635" s="2" t="s">
        <v>36</v>
      </c>
      <c r="J3635" s="2" t="s">
        <v>37</v>
      </c>
      <c r="K3635" s="2" t="s">
        <v>39</v>
      </c>
      <c r="L3635" s="2" t="s">
        <v>38</v>
      </c>
      <c r="M3635" s="2" t="s">
        <v>38</v>
      </c>
      <c r="N3635" s="2" t="s">
        <v>39</v>
      </c>
      <c r="O3635" s="2" t="s">
        <v>39</v>
      </c>
      <c r="P3635" s="2" t="s">
        <v>39</v>
      </c>
      <c r="Q3635" s="2" t="s">
        <v>39</v>
      </c>
      <c r="R3635" s="2" t="s">
        <v>38</v>
      </c>
      <c r="S3635" s="2" t="s">
        <v>38</v>
      </c>
      <c r="T3635" s="2" t="s">
        <v>39</v>
      </c>
      <c r="U3635" s="2" t="s">
        <v>39</v>
      </c>
      <c r="V3635" s="2" t="s">
        <v>38</v>
      </c>
      <c r="W3635" s="2" t="s">
        <v>38</v>
      </c>
      <c r="X3635" s="2" t="s">
        <v>39</v>
      </c>
      <c r="Y3635" s="2" t="s">
        <v>39</v>
      </c>
      <c r="Z3635" s="2" t="s">
        <v>38</v>
      </c>
      <c r="AA3635" s="2" t="s">
        <v>38</v>
      </c>
      <c r="AB3635" s="2" t="s">
        <v>39</v>
      </c>
      <c r="AC3635" s="2" t="s">
        <v>38</v>
      </c>
      <c r="AD3635" s="2" t="s">
        <v>38</v>
      </c>
      <c r="AE3635" s="2" t="s">
        <v>39</v>
      </c>
    </row>
    <row r="3636" spans="1:31" ht="409.5">
      <c r="A3636" s="2">
        <v>2692056</v>
      </c>
      <c r="B3636" s="2">
        <f>HYPERLINK("https://platform.v2.vetology.net/cases/2692056/screening-report/1?type=pdf&amp;v=v6&amp;scorecard=1&amp;secret_key=BX%25IJ%24%2F65ieZ%29f6", 2692056)</f>
        <v>2692056</v>
      </c>
      <c r="C3636" s="2">
        <f>HYPERLINK("https://platform.v2.vetology.net/report/v/final/"&amp;2692056, 2692056)</f>
        <v>2692056</v>
      </c>
      <c r="D3636" s="2" t="s">
        <v>11499</v>
      </c>
      <c r="E3636" s="2" t="s">
        <v>11500</v>
      </c>
      <c r="F3636" s="2" t="s">
        <v>11501</v>
      </c>
      <c r="G3636" s="2" t="s">
        <v>53</v>
      </c>
      <c r="H3636" s="2" t="s">
        <v>11502</v>
      </c>
      <c r="I3636" s="2" t="s">
        <v>684</v>
      </c>
      <c r="J3636" s="2" t="s">
        <v>74</v>
      </c>
      <c r="K3636" s="2" t="s">
        <v>38</v>
      </c>
      <c r="L3636" s="2" t="s">
        <v>39</v>
      </c>
      <c r="M3636" s="2" t="s">
        <v>39</v>
      </c>
      <c r="N3636" s="2" t="s">
        <v>38</v>
      </c>
      <c r="O3636" s="2" t="s">
        <v>39</v>
      </c>
      <c r="P3636" s="2" t="s">
        <v>39</v>
      </c>
      <c r="Q3636" s="2" t="s">
        <v>38</v>
      </c>
      <c r="R3636" s="2" t="s">
        <v>38</v>
      </c>
      <c r="S3636" s="2" t="s">
        <v>39</v>
      </c>
      <c r="T3636" s="2" t="s">
        <v>38</v>
      </c>
      <c r="U3636" s="2" t="s">
        <v>39</v>
      </c>
      <c r="V3636" s="2" t="s">
        <v>38</v>
      </c>
      <c r="W3636" s="2" t="s">
        <v>38</v>
      </c>
      <c r="X3636" s="2" t="s">
        <v>38</v>
      </c>
      <c r="Y3636" s="2" t="s">
        <v>39</v>
      </c>
      <c r="Z3636" s="2" t="s">
        <v>39</v>
      </c>
      <c r="AA3636" s="2" t="s">
        <v>38</v>
      </c>
      <c r="AB3636" s="2" t="s">
        <v>38</v>
      </c>
      <c r="AC3636" s="2" t="s">
        <v>38</v>
      </c>
      <c r="AD3636" s="2" t="s">
        <v>38</v>
      </c>
      <c r="AE3636" s="2" t="s">
        <v>39</v>
      </c>
    </row>
    <row r="3637" spans="1:31" ht="409.5">
      <c r="A3637" s="2">
        <v>2692055</v>
      </c>
      <c r="B3637" s="2">
        <f>HYPERLINK("https://platform.v2.vetology.net/cases/2692055/screening-report/1?type=pdf&amp;v=v6&amp;scorecard=1&amp;secret_key=BX%25IJ%24%2F65ieZ%29f6", 2692055)</f>
        <v>2692055</v>
      </c>
      <c r="C3637" s="2">
        <f>HYPERLINK("https://platform.v2.vetology.net/report/v/final/"&amp;2692055, 2692055)</f>
        <v>2692055</v>
      </c>
      <c r="D3637" s="2" t="s">
        <v>11503</v>
      </c>
      <c r="E3637" s="2" t="s">
        <v>11504</v>
      </c>
      <c r="F3637" s="2" t="s">
        <v>11505</v>
      </c>
      <c r="G3637" s="2" t="s">
        <v>100</v>
      </c>
      <c r="H3637" s="2" t="s">
        <v>11506</v>
      </c>
      <c r="I3637" s="2" t="s">
        <v>73</v>
      </c>
      <c r="J3637" s="2" t="s">
        <v>74</v>
      </c>
      <c r="K3637" s="2" t="s">
        <v>38</v>
      </c>
      <c r="L3637" s="2" t="s">
        <v>38</v>
      </c>
      <c r="M3637" s="2" t="s">
        <v>38</v>
      </c>
      <c r="N3637" s="2" t="s">
        <v>38</v>
      </c>
      <c r="O3637" s="2" t="s">
        <v>38</v>
      </c>
      <c r="P3637" s="2" t="s">
        <v>38</v>
      </c>
      <c r="Q3637" s="2" t="s">
        <v>38</v>
      </c>
      <c r="R3637" s="2" t="s">
        <v>38</v>
      </c>
      <c r="S3637" s="2" t="s">
        <v>38</v>
      </c>
      <c r="T3637" s="2" t="s">
        <v>38</v>
      </c>
      <c r="U3637" s="2" t="s">
        <v>38</v>
      </c>
      <c r="V3637" s="2" t="s">
        <v>38</v>
      </c>
      <c r="W3637" s="2" t="s">
        <v>38</v>
      </c>
      <c r="X3637" s="2" t="s">
        <v>38</v>
      </c>
      <c r="Y3637" s="2" t="s">
        <v>38</v>
      </c>
      <c r="Z3637" s="2" t="s">
        <v>38</v>
      </c>
      <c r="AA3637" s="2" t="s">
        <v>38</v>
      </c>
      <c r="AB3637" s="2" t="s">
        <v>38</v>
      </c>
      <c r="AC3637" s="2" t="s">
        <v>38</v>
      </c>
      <c r="AD3637" s="2" t="s">
        <v>38</v>
      </c>
      <c r="AE3637" s="2" t="s">
        <v>40</v>
      </c>
    </row>
    <row r="3638" spans="1:31" ht="409.5">
      <c r="A3638" s="2">
        <v>2692027</v>
      </c>
      <c r="B3638" s="2">
        <f>HYPERLINK("https://platform.v2.vetology.net/cases/2692027/screening-report/1?type=pdf&amp;v=v6&amp;scorecard=1&amp;secret_key=BX%25IJ%24%2F65ieZ%29f6", 2692027)</f>
        <v>2692027</v>
      </c>
      <c r="C3638" s="2">
        <f>HYPERLINK("https://platform.v2.vetology.net/report/v/final/"&amp;2692027, 2692027)</f>
        <v>2692027</v>
      </c>
      <c r="D3638" s="2" t="s">
        <v>11507</v>
      </c>
      <c r="E3638" s="2" t="s">
        <v>11508</v>
      </c>
      <c r="F3638" s="2" t="s">
        <v>10261</v>
      </c>
      <c r="G3638" s="2" t="s">
        <v>170</v>
      </c>
      <c r="H3638" s="2" t="s">
        <v>515</v>
      </c>
      <c r="I3638" s="2" t="s">
        <v>36</v>
      </c>
      <c r="J3638" s="2" t="s">
        <v>37</v>
      </c>
      <c r="K3638" s="2" t="s">
        <v>39</v>
      </c>
      <c r="L3638" s="2" t="s">
        <v>39</v>
      </c>
      <c r="M3638" s="2" t="s">
        <v>38</v>
      </c>
      <c r="N3638" s="2" t="s">
        <v>39</v>
      </c>
      <c r="O3638" s="2" t="s">
        <v>38</v>
      </c>
      <c r="P3638" s="2" t="s">
        <v>39</v>
      </c>
      <c r="Q3638" s="2" t="s">
        <v>39</v>
      </c>
      <c r="R3638" s="2" t="s">
        <v>39</v>
      </c>
      <c r="S3638" s="2" t="s">
        <v>39</v>
      </c>
      <c r="T3638" s="2" t="s">
        <v>39</v>
      </c>
      <c r="U3638" s="2" t="s">
        <v>39</v>
      </c>
      <c r="V3638" s="2" t="s">
        <v>39</v>
      </c>
      <c r="W3638" s="2" t="s">
        <v>39</v>
      </c>
      <c r="X3638" s="2" t="s">
        <v>39</v>
      </c>
      <c r="Y3638" s="2" t="s">
        <v>39</v>
      </c>
      <c r="Z3638" s="2" t="s">
        <v>39</v>
      </c>
      <c r="AA3638" s="2" t="s">
        <v>39</v>
      </c>
      <c r="AB3638" s="2" t="s">
        <v>39</v>
      </c>
      <c r="AC3638" s="2" t="s">
        <v>39</v>
      </c>
      <c r="AD3638" s="2" t="s">
        <v>39</v>
      </c>
      <c r="AE3638" s="2" t="s">
        <v>39</v>
      </c>
    </row>
    <row r="3639" spans="1:31" ht="409.5">
      <c r="A3639" s="2">
        <v>2692020</v>
      </c>
      <c r="B3639" s="2">
        <f>HYPERLINK("https://platform.v2.vetology.net/cases/2692020/screening-report/1?type=pdf&amp;v=v6&amp;scorecard=1&amp;secret_key=BX%25IJ%24%2F65ieZ%29f6", 2692020)</f>
        <v>2692020</v>
      </c>
      <c r="C3639" s="2">
        <f>HYPERLINK("https://platform.v2.vetology.net/report/v/final/"&amp;2692020, 2692020)</f>
        <v>2692020</v>
      </c>
      <c r="D3639" s="2" t="s">
        <v>11509</v>
      </c>
      <c r="E3639" s="2" t="s">
        <v>11510</v>
      </c>
      <c r="F3639" s="2" t="s">
        <v>11511</v>
      </c>
      <c r="G3639" s="2" t="s">
        <v>53</v>
      </c>
      <c r="H3639" s="2" t="s">
        <v>11512</v>
      </c>
      <c r="I3639" s="2" t="s">
        <v>36</v>
      </c>
      <c r="J3639" s="2" t="s">
        <v>37</v>
      </c>
      <c r="K3639" s="2" t="s">
        <v>38</v>
      </c>
      <c r="L3639" s="2" t="s">
        <v>38</v>
      </c>
      <c r="M3639" s="2" t="s">
        <v>38</v>
      </c>
      <c r="N3639" s="2" t="s">
        <v>38</v>
      </c>
      <c r="O3639" s="2" t="s">
        <v>38</v>
      </c>
      <c r="P3639" s="2" t="s">
        <v>39</v>
      </c>
      <c r="Q3639" s="2" t="s">
        <v>39</v>
      </c>
      <c r="R3639" s="2" t="s">
        <v>38</v>
      </c>
      <c r="S3639" s="2" t="s">
        <v>38</v>
      </c>
      <c r="T3639" s="2" t="s">
        <v>39</v>
      </c>
      <c r="U3639" s="2" t="s">
        <v>38</v>
      </c>
      <c r="V3639" s="2" t="s">
        <v>38</v>
      </c>
      <c r="W3639" s="2" t="s">
        <v>38</v>
      </c>
      <c r="X3639" s="2" t="s">
        <v>39</v>
      </c>
      <c r="Y3639" s="2" t="s">
        <v>39</v>
      </c>
      <c r="Z3639" s="2" t="s">
        <v>38</v>
      </c>
      <c r="AA3639" s="2" t="s">
        <v>38</v>
      </c>
      <c r="AB3639" s="2" t="s">
        <v>39</v>
      </c>
      <c r="AC3639" s="2" t="s">
        <v>38</v>
      </c>
      <c r="AD3639" s="2" t="s">
        <v>38</v>
      </c>
      <c r="AE3639" s="2" t="s">
        <v>40</v>
      </c>
    </row>
    <row r="3640" spans="1:31" ht="409.5">
      <c r="A3640" s="2">
        <v>2691989</v>
      </c>
      <c r="B3640" s="2">
        <f>HYPERLINK("https://platform.v2.vetology.net/cases/2691989/screening-report/1?type=pdf&amp;v=v6&amp;scorecard=1&amp;secret_key=BX%25IJ%24%2F65ieZ%29f6", 2691989)</f>
        <v>2691989</v>
      </c>
      <c r="C3640" s="2">
        <f>HYPERLINK("https://platform.v2.vetology.net/report/v/final/"&amp;2691989, 2691989)</f>
        <v>2691989</v>
      </c>
      <c r="D3640" s="2" t="s">
        <v>11513</v>
      </c>
      <c r="E3640" s="2" t="s">
        <v>11514</v>
      </c>
      <c r="F3640" s="2" t="s">
        <v>43</v>
      </c>
      <c r="G3640" s="2" t="s">
        <v>100</v>
      </c>
      <c r="H3640" s="2" t="s">
        <v>69</v>
      </c>
      <c r="I3640" s="2" t="s">
        <v>46</v>
      </c>
      <c r="J3640" s="2"/>
      <c r="K3640" s="2" t="s">
        <v>39</v>
      </c>
      <c r="L3640" s="2" t="s">
        <v>39</v>
      </c>
      <c r="M3640" s="2" t="s">
        <v>39</v>
      </c>
      <c r="N3640" s="2" t="s">
        <v>39</v>
      </c>
      <c r="O3640" s="2" t="s">
        <v>39</v>
      </c>
      <c r="P3640" s="2" t="s">
        <v>39</v>
      </c>
      <c r="Q3640" s="2" t="s">
        <v>39</v>
      </c>
      <c r="R3640" s="2" t="s">
        <v>39</v>
      </c>
      <c r="S3640" s="2" t="s">
        <v>39</v>
      </c>
      <c r="T3640" s="2" t="s">
        <v>39</v>
      </c>
      <c r="U3640" s="2" t="s">
        <v>39</v>
      </c>
      <c r="V3640" s="2" t="s">
        <v>39</v>
      </c>
      <c r="W3640" s="2" t="s">
        <v>38</v>
      </c>
      <c r="X3640" s="2" t="s">
        <v>39</v>
      </c>
      <c r="Y3640" s="2" t="s">
        <v>39</v>
      </c>
      <c r="Z3640" s="2" t="s">
        <v>39</v>
      </c>
      <c r="AA3640" s="2" t="s">
        <v>39</v>
      </c>
      <c r="AB3640" s="2" t="s">
        <v>39</v>
      </c>
      <c r="AC3640" s="2" t="s">
        <v>38</v>
      </c>
      <c r="AD3640" s="2" t="s">
        <v>38</v>
      </c>
      <c r="AE3640" s="2" t="s">
        <v>39</v>
      </c>
    </row>
    <row r="3641" spans="1:31" ht="409.5">
      <c r="A3641" s="2">
        <v>2691984</v>
      </c>
      <c r="B3641" s="2">
        <f>HYPERLINK("https://platform.v2.vetology.net/cases/2691984/screening-report/1?type=pdf&amp;v=v6&amp;scorecard=1&amp;secret_key=BX%25IJ%24%2F65ieZ%29f6", 2691984)</f>
        <v>2691984</v>
      </c>
      <c r="C3641" s="2">
        <f>HYPERLINK("https://platform.v2.vetology.net/report/v/final/"&amp;2691984, 2691984)</f>
        <v>2691984</v>
      </c>
      <c r="D3641" s="2" t="s">
        <v>11515</v>
      </c>
      <c r="E3641" s="2" t="s">
        <v>11516</v>
      </c>
      <c r="F3641" s="2" t="s">
        <v>43</v>
      </c>
      <c r="G3641" s="2" t="s">
        <v>100</v>
      </c>
      <c r="H3641" s="2" t="s">
        <v>10925</v>
      </c>
      <c r="I3641" s="2" t="s">
        <v>36</v>
      </c>
      <c r="J3641" s="2" t="s">
        <v>37</v>
      </c>
      <c r="K3641" s="2" t="s">
        <v>38</v>
      </c>
      <c r="L3641" s="2" t="s">
        <v>38</v>
      </c>
      <c r="M3641" s="2" t="s">
        <v>39</v>
      </c>
      <c r="N3641" s="2" t="s">
        <v>39</v>
      </c>
      <c r="O3641" s="2" t="s">
        <v>39</v>
      </c>
      <c r="P3641" s="2" t="s">
        <v>39</v>
      </c>
      <c r="Q3641" s="2" t="s">
        <v>39</v>
      </c>
      <c r="R3641" s="2" t="s">
        <v>38</v>
      </c>
      <c r="S3641" s="2" t="s">
        <v>39</v>
      </c>
      <c r="T3641" s="2" t="s">
        <v>39</v>
      </c>
      <c r="U3641" s="2" t="s">
        <v>38</v>
      </c>
      <c r="V3641" s="2" t="s">
        <v>38</v>
      </c>
      <c r="W3641" s="2" t="s">
        <v>39</v>
      </c>
      <c r="X3641" s="2" t="s">
        <v>39</v>
      </c>
      <c r="Y3641" s="2" t="s">
        <v>39</v>
      </c>
      <c r="Z3641" s="2" t="s">
        <v>39</v>
      </c>
      <c r="AA3641" s="2" t="s">
        <v>38</v>
      </c>
      <c r="AB3641" s="2" t="s">
        <v>39</v>
      </c>
      <c r="AC3641" s="2" t="s">
        <v>38</v>
      </c>
      <c r="AD3641" s="2" t="s">
        <v>39</v>
      </c>
      <c r="AE3641" s="2" t="s">
        <v>39</v>
      </c>
    </row>
    <row r="3642" spans="1:31" ht="409.5">
      <c r="A3642" s="2">
        <v>2691975</v>
      </c>
      <c r="B3642" s="2">
        <f>HYPERLINK("https://platform.v2.vetology.net/cases/2691975/screening-report/1?type=pdf&amp;v=v6&amp;scorecard=1&amp;secret_key=BX%25IJ%24%2F65ieZ%29f6", 2691975)</f>
        <v>2691975</v>
      </c>
      <c r="C3642" s="2">
        <f>HYPERLINK("https://platform.v2.vetology.net/report/v/final/"&amp;2691975, 2691975)</f>
        <v>2691975</v>
      </c>
      <c r="D3642" s="2" t="s">
        <v>11517</v>
      </c>
      <c r="E3642" s="2" t="s">
        <v>11518</v>
      </c>
      <c r="F3642" s="2" t="s">
        <v>11519</v>
      </c>
      <c r="G3642" s="2" t="s">
        <v>53</v>
      </c>
      <c r="H3642" s="2" t="s">
        <v>11520</v>
      </c>
      <c r="I3642" s="2" t="s">
        <v>257</v>
      </c>
      <c r="J3642" s="2" t="s">
        <v>74</v>
      </c>
      <c r="K3642" s="2" t="s">
        <v>38</v>
      </c>
      <c r="L3642" s="2" t="s">
        <v>38</v>
      </c>
      <c r="M3642" s="2" t="s">
        <v>38</v>
      </c>
      <c r="N3642" s="2" t="s">
        <v>38</v>
      </c>
      <c r="O3642" s="2" t="s">
        <v>38</v>
      </c>
      <c r="P3642" s="2" t="s">
        <v>38</v>
      </c>
      <c r="Q3642" s="2" t="s">
        <v>38</v>
      </c>
      <c r="R3642" s="2" t="s">
        <v>38</v>
      </c>
      <c r="S3642" s="2" t="s">
        <v>38</v>
      </c>
      <c r="T3642" s="2" t="s">
        <v>38</v>
      </c>
      <c r="U3642" s="2" t="s">
        <v>38</v>
      </c>
      <c r="V3642" s="2" t="s">
        <v>38</v>
      </c>
      <c r="W3642" s="2" t="s">
        <v>38</v>
      </c>
      <c r="X3642" s="2" t="s">
        <v>38</v>
      </c>
      <c r="Y3642" s="2" t="s">
        <v>38</v>
      </c>
      <c r="Z3642" s="2" t="s">
        <v>38</v>
      </c>
      <c r="AA3642" s="2" t="s">
        <v>38</v>
      </c>
      <c r="AB3642" s="2" t="s">
        <v>38</v>
      </c>
      <c r="AC3642" s="2" t="s">
        <v>38</v>
      </c>
      <c r="AD3642" s="2" t="s">
        <v>38</v>
      </c>
      <c r="AE3642" s="2" t="s">
        <v>39</v>
      </c>
    </row>
    <row r="3643" spans="1:31" ht="409.5">
      <c r="A3643" s="2">
        <v>2691971</v>
      </c>
      <c r="B3643" s="2">
        <f>HYPERLINK("https://platform.v2.vetology.net/cases/2691971/screening-report/1?type=pdf&amp;v=v6&amp;scorecard=1&amp;secret_key=BX%25IJ%24%2F65ieZ%29f6", 2691971)</f>
        <v>2691971</v>
      </c>
      <c r="C3643" s="2">
        <f>HYPERLINK("https://platform.v2.vetology.net/report/v/final/"&amp;2691971, 2691971)</f>
        <v>2691971</v>
      </c>
      <c r="D3643" s="2" t="s">
        <v>11521</v>
      </c>
      <c r="E3643" s="2" t="s">
        <v>11522</v>
      </c>
      <c r="F3643" s="2" t="s">
        <v>11523</v>
      </c>
      <c r="G3643" s="2" t="s">
        <v>53</v>
      </c>
      <c r="H3643" s="2" t="s">
        <v>11524</v>
      </c>
      <c r="I3643" s="2" t="s">
        <v>36</v>
      </c>
      <c r="J3643" s="2" t="s">
        <v>37</v>
      </c>
      <c r="K3643" s="2" t="s">
        <v>38</v>
      </c>
      <c r="L3643" s="2" t="s">
        <v>38</v>
      </c>
      <c r="M3643" s="2" t="s">
        <v>38</v>
      </c>
      <c r="N3643" s="2" t="s">
        <v>38</v>
      </c>
      <c r="O3643" s="2" t="s">
        <v>38</v>
      </c>
      <c r="P3643" s="2" t="s">
        <v>38</v>
      </c>
      <c r="Q3643" s="2" t="s">
        <v>38</v>
      </c>
      <c r="R3643" s="2" t="s">
        <v>38</v>
      </c>
      <c r="S3643" s="2" t="s">
        <v>38</v>
      </c>
      <c r="T3643" s="2" t="s">
        <v>38</v>
      </c>
      <c r="U3643" s="2" t="s">
        <v>39</v>
      </c>
      <c r="V3643" s="2" t="s">
        <v>38</v>
      </c>
      <c r="W3643" s="2" t="s">
        <v>38</v>
      </c>
      <c r="X3643" s="2" t="s">
        <v>39</v>
      </c>
      <c r="Y3643" s="2" t="s">
        <v>38</v>
      </c>
      <c r="Z3643" s="2" t="s">
        <v>38</v>
      </c>
      <c r="AA3643" s="2" t="s">
        <v>38</v>
      </c>
      <c r="AB3643" s="2" t="s">
        <v>39</v>
      </c>
      <c r="AC3643" s="2" t="s">
        <v>38</v>
      </c>
      <c r="AD3643" s="2" t="s">
        <v>38</v>
      </c>
      <c r="AE3643" s="2" t="s">
        <v>40</v>
      </c>
    </row>
    <row r="3644" spans="1:31" ht="409.5">
      <c r="A3644" s="2">
        <v>2691940</v>
      </c>
      <c r="B3644" s="2">
        <f>HYPERLINK("https://platform.v2.vetology.net/cases/2691940/screening-report/1?type=pdf&amp;v=v6&amp;scorecard=1&amp;secret_key=BX%25IJ%24%2F65ieZ%29f6", 2691940)</f>
        <v>2691940</v>
      </c>
      <c r="C3644" s="2">
        <f>HYPERLINK("https://platform.v2.vetology.net/report/v/final/"&amp;2691940, 2691940)</f>
        <v>2691940</v>
      </c>
      <c r="D3644" s="2" t="s">
        <v>11525</v>
      </c>
      <c r="E3644" s="2" t="s">
        <v>11526</v>
      </c>
      <c r="F3644" s="2" t="s">
        <v>11527</v>
      </c>
      <c r="G3644" s="2" t="s">
        <v>415</v>
      </c>
      <c r="H3644" s="2" t="s">
        <v>11528</v>
      </c>
      <c r="I3644" s="2" t="s">
        <v>36</v>
      </c>
      <c r="J3644" s="2" t="s">
        <v>37</v>
      </c>
      <c r="K3644" s="2" t="s">
        <v>38</v>
      </c>
      <c r="L3644" s="2" t="s">
        <v>38</v>
      </c>
      <c r="M3644" s="2" t="s">
        <v>38</v>
      </c>
      <c r="N3644" s="2" t="s">
        <v>38</v>
      </c>
      <c r="O3644" s="2" t="s">
        <v>38</v>
      </c>
      <c r="P3644" s="2" t="s">
        <v>39</v>
      </c>
      <c r="Q3644" s="2" t="s">
        <v>39</v>
      </c>
      <c r="R3644" s="2" t="s">
        <v>38</v>
      </c>
      <c r="S3644" s="2" t="s">
        <v>38</v>
      </c>
      <c r="T3644" s="2" t="s">
        <v>39</v>
      </c>
      <c r="U3644" s="2" t="s">
        <v>38</v>
      </c>
      <c r="V3644" s="2" t="s">
        <v>38</v>
      </c>
      <c r="W3644" s="2" t="s">
        <v>38</v>
      </c>
      <c r="X3644" s="2" t="s">
        <v>38</v>
      </c>
      <c r="Y3644" s="2" t="s">
        <v>38</v>
      </c>
      <c r="Z3644" s="2" t="s">
        <v>38</v>
      </c>
      <c r="AA3644" s="2" t="s">
        <v>38</v>
      </c>
      <c r="AB3644" s="2" t="s">
        <v>38</v>
      </c>
      <c r="AC3644" s="2" t="s">
        <v>38</v>
      </c>
      <c r="AD3644" s="2" t="s">
        <v>38</v>
      </c>
      <c r="AE3644" s="2" t="s">
        <v>39</v>
      </c>
    </row>
    <row r="3645" spans="1:31" ht="409.5">
      <c r="A3645" s="2">
        <v>2691938</v>
      </c>
      <c r="B3645" s="2">
        <f>HYPERLINK("https://platform.v2.vetology.net/cases/2691938/screening-report/1?type=pdf&amp;v=v6&amp;scorecard=1&amp;secret_key=BX%25IJ%24%2F65ieZ%29f6", 2691938)</f>
        <v>2691938</v>
      </c>
      <c r="C3645" s="2">
        <f>HYPERLINK("https://platform.v2.vetology.net/report/v/final/"&amp;2691938, 2691938)</f>
        <v>2691938</v>
      </c>
      <c r="D3645" s="2" t="s">
        <v>2249</v>
      </c>
      <c r="E3645" s="2" t="s">
        <v>1457</v>
      </c>
      <c r="F3645" s="2"/>
      <c r="G3645" s="2" t="s">
        <v>100</v>
      </c>
      <c r="H3645" s="2" t="s">
        <v>11529</v>
      </c>
      <c r="I3645" s="2" t="s">
        <v>129</v>
      </c>
      <c r="J3645" s="2" t="s">
        <v>74</v>
      </c>
      <c r="K3645" s="2" t="s">
        <v>38</v>
      </c>
      <c r="L3645" s="2" t="s">
        <v>38</v>
      </c>
      <c r="M3645" s="2" t="s">
        <v>38</v>
      </c>
      <c r="N3645" s="2" t="s">
        <v>38</v>
      </c>
      <c r="O3645" s="2" t="s">
        <v>38</v>
      </c>
      <c r="P3645" s="2" t="s">
        <v>38</v>
      </c>
      <c r="Q3645" s="2" t="s">
        <v>38</v>
      </c>
      <c r="R3645" s="2" t="s">
        <v>38</v>
      </c>
      <c r="S3645" s="2" t="s">
        <v>38</v>
      </c>
      <c r="T3645" s="2" t="s">
        <v>38</v>
      </c>
      <c r="U3645" s="2" t="s">
        <v>39</v>
      </c>
      <c r="V3645" s="2" t="s">
        <v>39</v>
      </c>
      <c r="W3645" s="2" t="s">
        <v>38</v>
      </c>
      <c r="X3645" s="2" t="s">
        <v>39</v>
      </c>
      <c r="Y3645" s="2" t="s">
        <v>39</v>
      </c>
      <c r="Z3645" s="2" t="s">
        <v>38</v>
      </c>
      <c r="AA3645" s="2" t="s">
        <v>38</v>
      </c>
      <c r="AB3645" s="2" t="s">
        <v>38</v>
      </c>
      <c r="AC3645" s="2" t="s">
        <v>38</v>
      </c>
      <c r="AD3645" s="2" t="s">
        <v>38</v>
      </c>
      <c r="AE3645" s="2" t="s">
        <v>40</v>
      </c>
    </row>
    <row r="3646" spans="1:31" ht="409.5">
      <c r="A3646" s="2">
        <v>2691921</v>
      </c>
      <c r="B3646" s="2">
        <f>HYPERLINK("https://platform.v2.vetology.net/cases/2691921/screening-report/1?type=pdf&amp;v=v6&amp;scorecard=1&amp;secret_key=BX%25IJ%24%2F65ieZ%29f6", 2691921)</f>
        <v>2691921</v>
      </c>
      <c r="C3646" s="2">
        <f>HYPERLINK("https://platform.v2.vetology.net/report/v/final/"&amp;2691921, 2691921)</f>
        <v>2691921</v>
      </c>
      <c r="D3646" s="2" t="s">
        <v>11530</v>
      </c>
      <c r="E3646" s="2" t="s">
        <v>11531</v>
      </c>
      <c r="F3646" s="2" t="s">
        <v>43</v>
      </c>
      <c r="G3646" s="2" t="s">
        <v>100</v>
      </c>
      <c r="H3646" s="2" t="s">
        <v>1681</v>
      </c>
      <c r="I3646" s="2" t="s">
        <v>59</v>
      </c>
      <c r="J3646" s="2" t="s">
        <v>37</v>
      </c>
      <c r="K3646" s="2" t="s">
        <v>38</v>
      </c>
      <c r="L3646" s="2" t="s">
        <v>39</v>
      </c>
      <c r="M3646" s="2" t="s">
        <v>39</v>
      </c>
      <c r="N3646" s="2" t="s">
        <v>39</v>
      </c>
      <c r="O3646" s="2" t="s">
        <v>39</v>
      </c>
      <c r="P3646" s="2" t="s">
        <v>39</v>
      </c>
      <c r="Q3646" s="2" t="s">
        <v>39</v>
      </c>
      <c r="R3646" s="2" t="s">
        <v>39</v>
      </c>
      <c r="S3646" s="2" t="s">
        <v>38</v>
      </c>
      <c r="T3646" s="2" t="s">
        <v>39</v>
      </c>
      <c r="U3646" s="2" t="s">
        <v>39</v>
      </c>
      <c r="V3646" s="2" t="s">
        <v>39</v>
      </c>
      <c r="W3646" s="2" t="s">
        <v>38</v>
      </c>
      <c r="X3646" s="2" t="s">
        <v>39</v>
      </c>
      <c r="Y3646" s="2" t="s">
        <v>39</v>
      </c>
      <c r="Z3646" s="2" t="s">
        <v>39</v>
      </c>
      <c r="AA3646" s="2" t="s">
        <v>38</v>
      </c>
      <c r="AB3646" s="2" t="s">
        <v>39</v>
      </c>
      <c r="AC3646" s="2" t="s">
        <v>38</v>
      </c>
      <c r="AD3646" s="2" t="s">
        <v>39</v>
      </c>
      <c r="AE3646" s="2" t="s">
        <v>39</v>
      </c>
    </row>
    <row r="3647" spans="1:31" ht="409.5">
      <c r="A3647" s="2">
        <v>2691903</v>
      </c>
      <c r="B3647" s="2">
        <f>HYPERLINK("https://platform.v2.vetology.net/cases/2691903/screening-report/1?type=pdf&amp;v=v6&amp;scorecard=1&amp;secret_key=BX%25IJ%24%2F65ieZ%29f6", 2691903)</f>
        <v>2691903</v>
      </c>
      <c r="C3647" s="2">
        <f>HYPERLINK("https://platform.v2.vetology.net/report/v/final/"&amp;2691903, 2691903)</f>
        <v>2691903</v>
      </c>
      <c r="D3647" s="2" t="s">
        <v>11532</v>
      </c>
      <c r="E3647" s="2" t="s">
        <v>11533</v>
      </c>
      <c r="F3647" s="2" t="s">
        <v>11534</v>
      </c>
      <c r="G3647" s="2" t="s">
        <v>127</v>
      </c>
      <c r="H3647" s="2" t="s">
        <v>11535</v>
      </c>
      <c r="I3647" s="2" t="s">
        <v>73</v>
      </c>
      <c r="J3647" s="2" t="s">
        <v>74</v>
      </c>
      <c r="K3647" s="2" t="s">
        <v>38</v>
      </c>
      <c r="L3647" s="2" t="s">
        <v>38</v>
      </c>
      <c r="M3647" s="2" t="s">
        <v>39</v>
      </c>
      <c r="N3647" s="2" t="s">
        <v>38</v>
      </c>
      <c r="O3647" s="2" t="s">
        <v>38</v>
      </c>
      <c r="P3647" s="2" t="s">
        <v>39</v>
      </c>
      <c r="Q3647" s="2" t="s">
        <v>38</v>
      </c>
      <c r="R3647" s="2" t="s">
        <v>38</v>
      </c>
      <c r="S3647" s="2" t="s">
        <v>38</v>
      </c>
      <c r="T3647" s="2" t="s">
        <v>38</v>
      </c>
      <c r="U3647" s="2" t="s">
        <v>38</v>
      </c>
      <c r="V3647" s="2" t="s">
        <v>38</v>
      </c>
      <c r="W3647" s="2" t="s">
        <v>38</v>
      </c>
      <c r="X3647" s="2" t="s">
        <v>39</v>
      </c>
      <c r="Y3647" s="2" t="s">
        <v>39</v>
      </c>
      <c r="Z3647" s="2" t="s">
        <v>38</v>
      </c>
      <c r="AA3647" s="2" t="s">
        <v>38</v>
      </c>
      <c r="AB3647" s="2" t="s">
        <v>38</v>
      </c>
      <c r="AC3647" s="2" t="s">
        <v>38</v>
      </c>
      <c r="AD3647" s="2" t="s">
        <v>38</v>
      </c>
      <c r="AE3647" s="2" t="s">
        <v>39</v>
      </c>
    </row>
    <row r="3648" spans="1:31" ht="409.5">
      <c r="A3648" s="2">
        <v>2691891</v>
      </c>
      <c r="B3648" s="2">
        <f>HYPERLINK("https://platform.v2.vetology.net/cases/2691891/screening-report/1?type=pdf&amp;v=v6&amp;scorecard=1&amp;secret_key=BX%25IJ%24%2F65ieZ%29f6", 2691891)</f>
        <v>2691891</v>
      </c>
      <c r="C3648" s="2">
        <f>HYPERLINK("https://platform.v2.vetology.net/report/v/final/"&amp;2691891, 2691891)</f>
        <v>2691891</v>
      </c>
      <c r="D3648" s="2" t="s">
        <v>11536</v>
      </c>
      <c r="E3648" s="2" t="s">
        <v>11537</v>
      </c>
      <c r="F3648" s="2"/>
      <c r="G3648" s="2" t="s">
        <v>100</v>
      </c>
      <c r="H3648" s="2" t="s">
        <v>45</v>
      </c>
      <c r="I3648" s="2" t="s">
        <v>46</v>
      </c>
      <c r="J3648" s="2"/>
      <c r="K3648" s="2" t="s">
        <v>39</v>
      </c>
      <c r="L3648" s="2" t="s">
        <v>39</v>
      </c>
      <c r="M3648" s="2" t="s">
        <v>39</v>
      </c>
      <c r="N3648" s="2" t="s">
        <v>39</v>
      </c>
      <c r="O3648" s="2" t="s">
        <v>39</v>
      </c>
      <c r="P3648" s="2" t="s">
        <v>39</v>
      </c>
      <c r="Q3648" s="2" t="s">
        <v>39</v>
      </c>
      <c r="R3648" s="2" t="s">
        <v>38</v>
      </c>
      <c r="S3648" s="2" t="s">
        <v>39</v>
      </c>
      <c r="T3648" s="2" t="s">
        <v>39</v>
      </c>
      <c r="U3648" s="2" t="s">
        <v>39</v>
      </c>
      <c r="V3648" s="2" t="s">
        <v>39</v>
      </c>
      <c r="W3648" s="2" t="s">
        <v>38</v>
      </c>
      <c r="X3648" s="2" t="s">
        <v>39</v>
      </c>
      <c r="Y3648" s="2" t="s">
        <v>39</v>
      </c>
      <c r="Z3648" s="2" t="s">
        <v>39</v>
      </c>
      <c r="AA3648" s="2" t="s">
        <v>39</v>
      </c>
      <c r="AB3648" s="2" t="s">
        <v>39</v>
      </c>
      <c r="AC3648" s="2" t="s">
        <v>38</v>
      </c>
      <c r="AD3648" s="2" t="s">
        <v>39</v>
      </c>
      <c r="AE3648" s="2" t="s">
        <v>40</v>
      </c>
    </row>
    <row r="3649" spans="1:31" ht="409.5">
      <c r="A3649" s="2">
        <v>2691868</v>
      </c>
      <c r="B3649" s="2">
        <f>HYPERLINK("https://platform.v2.vetology.net/cases/2691868/screening-report/1?type=pdf&amp;v=v6&amp;scorecard=1&amp;secret_key=BX%25IJ%24%2F65ieZ%29f6", 2691868)</f>
        <v>2691868</v>
      </c>
      <c r="C3649" s="2">
        <f>HYPERLINK("https://platform.v2.vetology.net/report/v/final/"&amp;2691868, 2691868)</f>
        <v>2691868</v>
      </c>
      <c r="D3649" s="2" t="s">
        <v>11538</v>
      </c>
      <c r="E3649" s="2" t="s">
        <v>5729</v>
      </c>
      <c r="F3649" s="2" t="s">
        <v>11539</v>
      </c>
      <c r="G3649" s="2" t="s">
        <v>111</v>
      </c>
      <c r="H3649" s="2" t="s">
        <v>11540</v>
      </c>
      <c r="I3649" s="2" t="s">
        <v>129</v>
      </c>
      <c r="J3649" s="2" t="s">
        <v>74</v>
      </c>
      <c r="K3649" s="2" t="s">
        <v>38</v>
      </c>
      <c r="L3649" s="2" t="s">
        <v>38</v>
      </c>
      <c r="M3649" s="2" t="s">
        <v>38</v>
      </c>
      <c r="N3649" s="2" t="s">
        <v>38</v>
      </c>
      <c r="O3649" s="2" t="s">
        <v>38</v>
      </c>
      <c r="P3649" s="2" t="s">
        <v>38</v>
      </c>
      <c r="Q3649" s="2" t="s">
        <v>38</v>
      </c>
      <c r="R3649" s="2" t="s">
        <v>38</v>
      </c>
      <c r="S3649" s="2" t="s">
        <v>38</v>
      </c>
      <c r="T3649" s="2" t="s">
        <v>38</v>
      </c>
      <c r="U3649" s="2" t="s">
        <v>38</v>
      </c>
      <c r="V3649" s="2" t="s">
        <v>38</v>
      </c>
      <c r="W3649" s="2" t="s">
        <v>38</v>
      </c>
      <c r="X3649" s="2" t="s">
        <v>38</v>
      </c>
      <c r="Y3649" s="2" t="s">
        <v>38</v>
      </c>
      <c r="Z3649" s="2" t="s">
        <v>38</v>
      </c>
      <c r="AA3649" s="2" t="s">
        <v>38</v>
      </c>
      <c r="AB3649" s="2" t="s">
        <v>39</v>
      </c>
      <c r="AC3649" s="2" t="s">
        <v>38</v>
      </c>
      <c r="AD3649" s="2" t="s">
        <v>38</v>
      </c>
      <c r="AE3649" s="2" t="s">
        <v>39</v>
      </c>
    </row>
    <row r="3650" spans="1:31" ht="409.5">
      <c r="A3650" s="2">
        <v>2691865</v>
      </c>
      <c r="B3650" s="2">
        <f>HYPERLINK("https://platform.v2.vetology.net/cases/2691865/screening-report/1?type=pdf&amp;v=v6&amp;scorecard=1&amp;secret_key=BX%25IJ%24%2F65ieZ%29f6", 2691865)</f>
        <v>2691865</v>
      </c>
      <c r="C3650" s="2">
        <f>HYPERLINK("https://platform.v2.vetology.net/report/v/final/"&amp;2691865, 2691865)</f>
        <v>2691865</v>
      </c>
      <c r="D3650" s="2" t="s">
        <v>11541</v>
      </c>
      <c r="E3650" s="2" t="s">
        <v>11542</v>
      </c>
      <c r="F3650" s="2" t="s">
        <v>11543</v>
      </c>
      <c r="G3650" s="2" t="s">
        <v>170</v>
      </c>
      <c r="H3650" s="2" t="s">
        <v>11544</v>
      </c>
      <c r="I3650" s="2" t="s">
        <v>36</v>
      </c>
      <c r="J3650" s="2" t="s">
        <v>37</v>
      </c>
      <c r="K3650" s="2" t="s">
        <v>39</v>
      </c>
      <c r="L3650" s="2" t="s">
        <v>38</v>
      </c>
      <c r="M3650" s="2" t="s">
        <v>38</v>
      </c>
      <c r="N3650" s="2" t="s">
        <v>38</v>
      </c>
      <c r="O3650" s="2" t="s">
        <v>38</v>
      </c>
      <c r="P3650" s="2" t="s">
        <v>39</v>
      </c>
      <c r="Q3650" s="2" t="s">
        <v>39</v>
      </c>
      <c r="R3650" s="2" t="s">
        <v>38</v>
      </c>
      <c r="S3650" s="2" t="s">
        <v>38</v>
      </c>
      <c r="T3650" s="2" t="s">
        <v>38</v>
      </c>
      <c r="U3650" s="2" t="s">
        <v>39</v>
      </c>
      <c r="V3650" s="2" t="s">
        <v>38</v>
      </c>
      <c r="W3650" s="2" t="s">
        <v>38</v>
      </c>
      <c r="X3650" s="2" t="s">
        <v>39</v>
      </c>
      <c r="Y3650" s="2" t="s">
        <v>38</v>
      </c>
      <c r="Z3650" s="2" t="s">
        <v>38</v>
      </c>
      <c r="AA3650" s="2" t="s">
        <v>38</v>
      </c>
      <c r="AB3650" s="2" t="s">
        <v>39</v>
      </c>
      <c r="AC3650" s="2" t="s">
        <v>38</v>
      </c>
      <c r="AD3650" s="2" t="s">
        <v>38</v>
      </c>
      <c r="AE3650" s="2" t="s">
        <v>39</v>
      </c>
    </row>
    <row r="3651" spans="1:31" ht="409.5">
      <c r="A3651" s="2">
        <v>2691860</v>
      </c>
      <c r="B3651" s="2">
        <f>HYPERLINK("https://platform.v2.vetology.net/cases/2691860/screening-report/1?type=pdf&amp;v=v6&amp;scorecard=1&amp;secret_key=BX%25IJ%24%2F65ieZ%29f6", 2691860)</f>
        <v>2691860</v>
      </c>
      <c r="C3651" s="2">
        <f>HYPERLINK("https://platform.v2.vetology.net/report/v/final/"&amp;2691860, 2691860)</f>
        <v>2691860</v>
      </c>
      <c r="D3651" s="2" t="s">
        <v>11545</v>
      </c>
      <c r="E3651" s="2" t="s">
        <v>11546</v>
      </c>
      <c r="F3651" s="2" t="s">
        <v>11547</v>
      </c>
      <c r="G3651" s="2" t="s">
        <v>44</v>
      </c>
      <c r="H3651" s="2" t="s">
        <v>11548</v>
      </c>
      <c r="I3651" s="2" t="s">
        <v>36</v>
      </c>
      <c r="J3651" s="2" t="s">
        <v>37</v>
      </c>
      <c r="K3651" s="2" t="s">
        <v>39</v>
      </c>
      <c r="L3651" s="2" t="s">
        <v>38</v>
      </c>
      <c r="M3651" s="2" t="s">
        <v>39</v>
      </c>
      <c r="N3651" s="2" t="s">
        <v>38</v>
      </c>
      <c r="O3651" s="2" t="s">
        <v>38</v>
      </c>
      <c r="P3651" s="2" t="s">
        <v>39</v>
      </c>
      <c r="Q3651" s="2" t="s">
        <v>39</v>
      </c>
      <c r="R3651" s="2" t="s">
        <v>38</v>
      </c>
      <c r="S3651" s="2" t="s">
        <v>39</v>
      </c>
      <c r="T3651" s="2" t="s">
        <v>39</v>
      </c>
      <c r="U3651" s="2" t="s">
        <v>39</v>
      </c>
      <c r="V3651" s="2" t="s">
        <v>39</v>
      </c>
      <c r="W3651" s="2" t="s">
        <v>38</v>
      </c>
      <c r="X3651" s="2" t="s">
        <v>39</v>
      </c>
      <c r="Y3651" s="2" t="s">
        <v>39</v>
      </c>
      <c r="Z3651" s="2" t="s">
        <v>39</v>
      </c>
      <c r="AA3651" s="2" t="s">
        <v>39</v>
      </c>
      <c r="AB3651" s="2" t="s">
        <v>39</v>
      </c>
      <c r="AC3651" s="2" t="s">
        <v>38</v>
      </c>
      <c r="AD3651" s="2" t="s">
        <v>39</v>
      </c>
      <c r="AE3651" s="2"/>
    </row>
    <row r="3652" spans="1:31" ht="409.5">
      <c r="A3652" s="2">
        <v>2691858</v>
      </c>
      <c r="B3652" s="2">
        <f>HYPERLINK("https://platform.v2.vetology.net/cases/2691858/screening-report/1?type=pdf&amp;v=v6&amp;scorecard=1&amp;secret_key=BX%25IJ%24%2F65ieZ%29f6", 2691858)</f>
        <v>2691858</v>
      </c>
      <c r="C3652" s="2">
        <f>HYPERLINK("https://platform.v2.vetology.net/report/v/final/"&amp;2691858, 2691858)</f>
        <v>2691858</v>
      </c>
      <c r="D3652" s="2" t="s">
        <v>11549</v>
      </c>
      <c r="E3652" s="2" t="s">
        <v>11550</v>
      </c>
      <c r="F3652" s="2" t="s">
        <v>11551</v>
      </c>
      <c r="G3652" s="2" t="s">
        <v>53</v>
      </c>
      <c r="H3652" s="2" t="s">
        <v>11552</v>
      </c>
      <c r="I3652" s="2" t="s">
        <v>36</v>
      </c>
      <c r="J3652" s="2" t="s">
        <v>37</v>
      </c>
      <c r="K3652" s="2" t="s">
        <v>38</v>
      </c>
      <c r="L3652" s="2" t="s">
        <v>38</v>
      </c>
      <c r="M3652" s="2" t="s">
        <v>39</v>
      </c>
      <c r="N3652" s="2" t="s">
        <v>38</v>
      </c>
      <c r="O3652" s="2" t="s">
        <v>39</v>
      </c>
      <c r="P3652" s="2" t="s">
        <v>39</v>
      </c>
      <c r="Q3652" s="2" t="s">
        <v>39</v>
      </c>
      <c r="R3652" s="2" t="s">
        <v>39</v>
      </c>
      <c r="S3652" s="2" t="s">
        <v>39</v>
      </c>
      <c r="T3652" s="2" t="s">
        <v>39</v>
      </c>
      <c r="U3652" s="2" t="s">
        <v>39</v>
      </c>
      <c r="V3652" s="2" t="s">
        <v>39</v>
      </c>
      <c r="W3652" s="2" t="s">
        <v>39</v>
      </c>
      <c r="X3652" s="2" t="s">
        <v>39</v>
      </c>
      <c r="Y3652" s="2" t="s">
        <v>39</v>
      </c>
      <c r="Z3652" s="2" t="s">
        <v>39</v>
      </c>
      <c r="AA3652" s="2" t="s">
        <v>39</v>
      </c>
      <c r="AB3652" s="2" t="s">
        <v>39</v>
      </c>
      <c r="AC3652" s="2" t="s">
        <v>38</v>
      </c>
      <c r="AD3652" s="2" t="s">
        <v>38</v>
      </c>
      <c r="AE3652" s="2" t="s">
        <v>39</v>
      </c>
    </row>
    <row r="3653" spans="1:31" ht="409.5">
      <c r="A3653" s="2">
        <v>2691823</v>
      </c>
      <c r="B3653" s="2">
        <f>HYPERLINK("https://platform.v2.vetology.net/cases/2691823/screening-report/1?type=pdf&amp;v=v6&amp;scorecard=1&amp;secret_key=BX%25IJ%24%2F65ieZ%29f6", 2691823)</f>
        <v>2691823</v>
      </c>
      <c r="C3653" s="2">
        <f>HYPERLINK("https://platform.v2.vetology.net/report/v/final/"&amp;2691823, 2691823)</f>
        <v>2691823</v>
      </c>
      <c r="D3653" s="2" t="s">
        <v>11553</v>
      </c>
      <c r="E3653" s="2" t="s">
        <v>11554</v>
      </c>
      <c r="F3653" s="2" t="s">
        <v>11555</v>
      </c>
      <c r="G3653" s="2" t="s">
        <v>53</v>
      </c>
      <c r="H3653" s="2" t="s">
        <v>166</v>
      </c>
      <c r="I3653" s="2" t="s">
        <v>36</v>
      </c>
      <c r="J3653" s="2" t="s">
        <v>37</v>
      </c>
      <c r="K3653" s="2" t="s">
        <v>39</v>
      </c>
      <c r="L3653" s="2" t="s">
        <v>39</v>
      </c>
      <c r="M3653" s="2" t="s">
        <v>38</v>
      </c>
      <c r="N3653" s="2" t="s">
        <v>39</v>
      </c>
      <c r="O3653" s="2" t="s">
        <v>39</v>
      </c>
      <c r="P3653" s="2" t="s">
        <v>39</v>
      </c>
      <c r="Q3653" s="2" t="s">
        <v>39</v>
      </c>
      <c r="R3653" s="2" t="s">
        <v>38</v>
      </c>
      <c r="S3653" s="2" t="s">
        <v>38</v>
      </c>
      <c r="T3653" s="2" t="s">
        <v>39</v>
      </c>
      <c r="U3653" s="2" t="s">
        <v>39</v>
      </c>
      <c r="V3653" s="2" t="s">
        <v>39</v>
      </c>
      <c r="W3653" s="2" t="s">
        <v>38</v>
      </c>
      <c r="X3653" s="2" t="s">
        <v>39</v>
      </c>
      <c r="Y3653" s="2" t="s">
        <v>39</v>
      </c>
      <c r="Z3653" s="2" t="s">
        <v>38</v>
      </c>
      <c r="AA3653" s="2" t="s">
        <v>39</v>
      </c>
      <c r="AB3653" s="2" t="s">
        <v>39</v>
      </c>
      <c r="AC3653" s="2" t="s">
        <v>38</v>
      </c>
      <c r="AD3653" s="2" t="s">
        <v>38</v>
      </c>
      <c r="AE3653" s="2" t="s">
        <v>39</v>
      </c>
    </row>
    <row r="3654" spans="1:31" ht="409.5">
      <c r="A3654" s="2">
        <v>2691815</v>
      </c>
      <c r="B3654" s="2">
        <f>HYPERLINK("https://platform.v2.vetology.net/cases/2691815/screening-report/1?type=pdf&amp;v=v6&amp;scorecard=1&amp;secret_key=BX%25IJ%24%2F65ieZ%29f6", 2691815)</f>
        <v>2691815</v>
      </c>
      <c r="C3654" s="2">
        <f>HYPERLINK("https://platform.v2.vetology.net/report/v/final/"&amp;2691815, 2691815)</f>
        <v>2691815</v>
      </c>
      <c r="D3654" s="2" t="s">
        <v>11556</v>
      </c>
      <c r="E3654" s="2" t="s">
        <v>11557</v>
      </c>
      <c r="F3654" s="2" t="s">
        <v>11558</v>
      </c>
      <c r="G3654" s="2" t="s">
        <v>100</v>
      </c>
      <c r="H3654" s="2" t="s">
        <v>11559</v>
      </c>
      <c r="I3654" s="2" t="s">
        <v>73</v>
      </c>
      <c r="J3654" s="2" t="s">
        <v>74</v>
      </c>
      <c r="K3654" s="2" t="s">
        <v>38</v>
      </c>
      <c r="L3654" s="2" t="s">
        <v>38</v>
      </c>
      <c r="M3654" s="2" t="s">
        <v>38</v>
      </c>
      <c r="N3654" s="2" t="s">
        <v>38</v>
      </c>
      <c r="O3654" s="2" t="s">
        <v>38</v>
      </c>
      <c r="P3654" s="2" t="s">
        <v>38</v>
      </c>
      <c r="Q3654" s="2" t="s">
        <v>38</v>
      </c>
      <c r="R3654" s="2" t="s">
        <v>38</v>
      </c>
      <c r="S3654" s="2" t="s">
        <v>38</v>
      </c>
      <c r="T3654" s="2" t="s">
        <v>38</v>
      </c>
      <c r="U3654" s="2" t="s">
        <v>38</v>
      </c>
      <c r="V3654" s="2" t="s">
        <v>38</v>
      </c>
      <c r="W3654" s="2" t="s">
        <v>38</v>
      </c>
      <c r="X3654" s="2" t="s">
        <v>38</v>
      </c>
      <c r="Y3654" s="2" t="s">
        <v>38</v>
      </c>
      <c r="Z3654" s="2" t="s">
        <v>38</v>
      </c>
      <c r="AA3654" s="2" t="s">
        <v>38</v>
      </c>
      <c r="AB3654" s="2" t="s">
        <v>38</v>
      </c>
      <c r="AC3654" s="2" t="s">
        <v>38</v>
      </c>
      <c r="AD3654" s="2" t="s">
        <v>38</v>
      </c>
      <c r="AE3654" s="2" t="s">
        <v>40</v>
      </c>
    </row>
    <row r="3655" spans="1:31" ht="409.5">
      <c r="A3655" s="2">
        <v>2691809</v>
      </c>
      <c r="B3655" s="2">
        <f>HYPERLINK("https://platform.v2.vetology.net/cases/2691809/screening-report/1?type=pdf&amp;v=v6&amp;scorecard=1&amp;secret_key=BX%25IJ%24%2F65ieZ%29f6", 2691809)</f>
        <v>2691809</v>
      </c>
      <c r="C3655" s="2">
        <f>HYPERLINK("https://platform.v2.vetology.net/report/v/final/"&amp;2691809, 2691809)</f>
        <v>2691809</v>
      </c>
      <c r="D3655" s="2" t="s">
        <v>11560</v>
      </c>
      <c r="E3655" s="2" t="s">
        <v>6935</v>
      </c>
      <c r="F3655" s="2" t="s">
        <v>11561</v>
      </c>
      <c r="G3655" s="2" t="s">
        <v>44</v>
      </c>
      <c r="H3655" s="2" t="s">
        <v>394</v>
      </c>
      <c r="I3655" s="2" t="s">
        <v>59</v>
      </c>
      <c r="J3655" s="2" t="s">
        <v>37</v>
      </c>
      <c r="K3655" s="2" t="s">
        <v>38</v>
      </c>
      <c r="L3655" s="2" t="s">
        <v>39</v>
      </c>
      <c r="M3655" s="2" t="s">
        <v>39</v>
      </c>
      <c r="N3655" s="2" t="s">
        <v>39</v>
      </c>
      <c r="O3655" s="2" t="s">
        <v>39</v>
      </c>
      <c r="P3655" s="2" t="s">
        <v>39</v>
      </c>
      <c r="Q3655" s="2" t="s">
        <v>39</v>
      </c>
      <c r="R3655" s="2" t="s">
        <v>39</v>
      </c>
      <c r="S3655" s="2" t="s">
        <v>39</v>
      </c>
      <c r="T3655" s="2" t="s">
        <v>39</v>
      </c>
      <c r="U3655" s="2" t="s">
        <v>39</v>
      </c>
      <c r="V3655" s="2" t="s">
        <v>38</v>
      </c>
      <c r="W3655" s="2" t="s">
        <v>39</v>
      </c>
      <c r="X3655" s="2" t="s">
        <v>39</v>
      </c>
      <c r="Y3655" s="2" t="s">
        <v>39</v>
      </c>
      <c r="Z3655" s="2" t="s">
        <v>39</v>
      </c>
      <c r="AA3655" s="2" t="s">
        <v>39</v>
      </c>
      <c r="AB3655" s="2" t="s">
        <v>39</v>
      </c>
      <c r="AC3655" s="2" t="s">
        <v>39</v>
      </c>
      <c r="AD3655" s="2" t="s">
        <v>38</v>
      </c>
      <c r="AE3655" s="2" t="s">
        <v>40</v>
      </c>
    </row>
    <row r="3656" spans="1:31" ht="409.5">
      <c r="A3656" s="2">
        <v>2691789</v>
      </c>
      <c r="B3656" s="2">
        <f>HYPERLINK("https://platform.v2.vetology.net/cases/2691789/screening-report/1?type=pdf&amp;v=v6&amp;scorecard=1&amp;secret_key=BX%25IJ%24%2F65ieZ%29f6", 2691789)</f>
        <v>2691789</v>
      </c>
      <c r="C3656" s="2">
        <f>HYPERLINK("https://platform.v2.vetology.net/report/v/final/"&amp;2691789, 2691789)</f>
        <v>2691789</v>
      </c>
      <c r="D3656" s="2" t="s">
        <v>11562</v>
      </c>
      <c r="E3656" s="2" t="s">
        <v>11563</v>
      </c>
      <c r="F3656" s="2" t="s">
        <v>11564</v>
      </c>
      <c r="G3656" s="2" t="s">
        <v>53</v>
      </c>
      <c r="H3656" s="2" t="s">
        <v>6821</v>
      </c>
      <c r="I3656" s="2" t="s">
        <v>73</v>
      </c>
      <c r="J3656" s="2" t="s">
        <v>74</v>
      </c>
      <c r="K3656" s="2" t="s">
        <v>38</v>
      </c>
      <c r="L3656" s="2" t="s">
        <v>38</v>
      </c>
      <c r="M3656" s="2" t="s">
        <v>38</v>
      </c>
      <c r="N3656" s="2" t="s">
        <v>38</v>
      </c>
      <c r="O3656" s="2" t="s">
        <v>38</v>
      </c>
      <c r="P3656" s="2" t="s">
        <v>38</v>
      </c>
      <c r="Q3656" s="2" t="s">
        <v>38</v>
      </c>
      <c r="R3656" s="2" t="s">
        <v>38</v>
      </c>
      <c r="S3656" s="2" t="s">
        <v>38</v>
      </c>
      <c r="T3656" s="2" t="s">
        <v>39</v>
      </c>
      <c r="U3656" s="2" t="s">
        <v>38</v>
      </c>
      <c r="V3656" s="2" t="s">
        <v>38</v>
      </c>
      <c r="W3656" s="2" t="s">
        <v>38</v>
      </c>
      <c r="X3656" s="2" t="s">
        <v>38</v>
      </c>
      <c r="Y3656" s="2" t="s">
        <v>38</v>
      </c>
      <c r="Z3656" s="2" t="s">
        <v>38</v>
      </c>
      <c r="AA3656" s="2" t="s">
        <v>38</v>
      </c>
      <c r="AB3656" s="2" t="s">
        <v>39</v>
      </c>
      <c r="AC3656" s="2" t="s">
        <v>38</v>
      </c>
      <c r="AD3656" s="2" t="s">
        <v>38</v>
      </c>
      <c r="AE3656" s="2" t="s">
        <v>40</v>
      </c>
    </row>
    <row r="3657" spans="1:31" ht="409.5">
      <c r="A3657" s="2">
        <v>2691774</v>
      </c>
      <c r="B3657" s="2">
        <f>HYPERLINK("https://platform.v2.vetology.net/cases/2691774/screening-report/1?type=pdf&amp;v=v6&amp;scorecard=1&amp;secret_key=BX%25IJ%24%2F65ieZ%29f6", 2691774)</f>
        <v>2691774</v>
      </c>
      <c r="C3657" s="2">
        <f>HYPERLINK("https://platform.v2.vetology.net/report/v/final/"&amp;2691774, 2691774)</f>
        <v>2691774</v>
      </c>
      <c r="D3657" s="2" t="s">
        <v>11565</v>
      </c>
      <c r="E3657" s="2" t="s">
        <v>11566</v>
      </c>
      <c r="F3657" s="2" t="s">
        <v>11567</v>
      </c>
      <c r="G3657" s="2" t="s">
        <v>111</v>
      </c>
      <c r="H3657" s="2" t="s">
        <v>11568</v>
      </c>
      <c r="I3657" s="2" t="s">
        <v>36</v>
      </c>
      <c r="J3657" s="2" t="s">
        <v>37</v>
      </c>
      <c r="K3657" s="2" t="s">
        <v>38</v>
      </c>
      <c r="L3657" s="2" t="s">
        <v>38</v>
      </c>
      <c r="M3657" s="2" t="s">
        <v>39</v>
      </c>
      <c r="N3657" s="2" t="s">
        <v>38</v>
      </c>
      <c r="O3657" s="2" t="s">
        <v>38</v>
      </c>
      <c r="P3657" s="2" t="s">
        <v>38</v>
      </c>
      <c r="Q3657" s="2" t="s">
        <v>39</v>
      </c>
      <c r="R3657" s="2" t="s">
        <v>39</v>
      </c>
      <c r="S3657" s="2" t="s">
        <v>39</v>
      </c>
      <c r="T3657" s="2" t="s">
        <v>39</v>
      </c>
      <c r="U3657" s="2" t="s">
        <v>38</v>
      </c>
      <c r="V3657" s="2" t="s">
        <v>38</v>
      </c>
      <c r="W3657" s="2" t="s">
        <v>38</v>
      </c>
      <c r="X3657" s="2" t="s">
        <v>38</v>
      </c>
      <c r="Y3657" s="2" t="s">
        <v>39</v>
      </c>
      <c r="Z3657" s="2" t="s">
        <v>38</v>
      </c>
      <c r="AA3657" s="2" t="s">
        <v>38</v>
      </c>
      <c r="AB3657" s="2" t="s">
        <v>39</v>
      </c>
      <c r="AC3657" s="2" t="s">
        <v>38</v>
      </c>
      <c r="AD3657" s="2" t="s">
        <v>38</v>
      </c>
      <c r="AE3657" s="2" t="s">
        <v>39</v>
      </c>
    </row>
    <row r="3658" spans="1:31" ht="409.5">
      <c r="A3658" s="2">
        <v>2691750</v>
      </c>
      <c r="B3658" s="2">
        <f>HYPERLINK("https://platform.v2.vetology.net/cases/2691750/screening-report/1?type=pdf&amp;v=v6&amp;scorecard=1&amp;secret_key=BX%25IJ%24%2F65ieZ%29f6", 2691750)</f>
        <v>2691750</v>
      </c>
      <c r="C3658" s="2">
        <f>HYPERLINK("https://platform.v2.vetology.net/report/v/final/"&amp;2691750, 2691750)</f>
        <v>2691750</v>
      </c>
      <c r="D3658" s="2" t="s">
        <v>11569</v>
      </c>
      <c r="E3658" s="2" t="s">
        <v>11570</v>
      </c>
      <c r="F3658" s="2" t="s">
        <v>43</v>
      </c>
      <c r="G3658" s="2" t="s">
        <v>44</v>
      </c>
      <c r="H3658" s="2" t="s">
        <v>561</v>
      </c>
      <c r="I3658" s="2" t="s">
        <v>36</v>
      </c>
      <c r="J3658" s="2" t="s">
        <v>37</v>
      </c>
      <c r="K3658" s="2" t="s">
        <v>39</v>
      </c>
      <c r="L3658" s="2" t="s">
        <v>38</v>
      </c>
      <c r="M3658" s="2" t="s">
        <v>38</v>
      </c>
      <c r="N3658" s="2" t="s">
        <v>38</v>
      </c>
      <c r="O3658" s="2" t="s">
        <v>38</v>
      </c>
      <c r="P3658" s="2" t="s">
        <v>39</v>
      </c>
      <c r="Q3658" s="2" t="s">
        <v>38</v>
      </c>
      <c r="R3658" s="2" t="s">
        <v>38</v>
      </c>
      <c r="S3658" s="2" t="s">
        <v>38</v>
      </c>
      <c r="T3658" s="2" t="s">
        <v>38</v>
      </c>
      <c r="U3658" s="2" t="s">
        <v>39</v>
      </c>
      <c r="V3658" s="2" t="s">
        <v>38</v>
      </c>
      <c r="W3658" s="2" t="s">
        <v>38</v>
      </c>
      <c r="X3658" s="2" t="s">
        <v>39</v>
      </c>
      <c r="Y3658" s="2" t="s">
        <v>39</v>
      </c>
      <c r="Z3658" s="2" t="s">
        <v>38</v>
      </c>
      <c r="AA3658" s="2" t="s">
        <v>39</v>
      </c>
      <c r="AB3658" s="2" t="s">
        <v>39</v>
      </c>
      <c r="AC3658" s="2" t="s">
        <v>38</v>
      </c>
      <c r="AD3658" s="2" t="s">
        <v>39</v>
      </c>
      <c r="AE3658" s="2" t="s">
        <v>40</v>
      </c>
    </row>
    <row r="3659" spans="1:31" ht="409.5">
      <c r="A3659" s="2">
        <v>2691745</v>
      </c>
      <c r="B3659" s="2">
        <f>HYPERLINK("https://platform.v2.vetology.net/cases/2691745/screening-report/1?type=pdf&amp;v=v6&amp;scorecard=1&amp;secret_key=BX%25IJ%24%2F65ieZ%29f6", 2691745)</f>
        <v>2691745</v>
      </c>
      <c r="C3659" s="2">
        <f>HYPERLINK("https://platform.v2.vetology.net/report/v/final/"&amp;2691745, 2691745)</f>
        <v>2691745</v>
      </c>
      <c r="D3659" s="2" t="s">
        <v>11571</v>
      </c>
      <c r="E3659" s="2" t="s">
        <v>11572</v>
      </c>
      <c r="F3659" s="2" t="s">
        <v>11573</v>
      </c>
      <c r="G3659" s="2" t="s">
        <v>53</v>
      </c>
      <c r="H3659" s="2" t="s">
        <v>11574</v>
      </c>
      <c r="I3659" s="2" t="s">
        <v>73</v>
      </c>
      <c r="J3659" s="2" t="s">
        <v>74</v>
      </c>
      <c r="K3659" s="2" t="s">
        <v>38</v>
      </c>
      <c r="L3659" s="2" t="s">
        <v>38</v>
      </c>
      <c r="M3659" s="2" t="s">
        <v>38</v>
      </c>
      <c r="N3659" s="2" t="s">
        <v>38</v>
      </c>
      <c r="O3659" s="2" t="s">
        <v>38</v>
      </c>
      <c r="P3659" s="2" t="s">
        <v>38</v>
      </c>
      <c r="Q3659" s="2" t="s">
        <v>38</v>
      </c>
      <c r="R3659" s="2" t="s">
        <v>38</v>
      </c>
      <c r="S3659" s="2" t="s">
        <v>38</v>
      </c>
      <c r="T3659" s="2" t="s">
        <v>38</v>
      </c>
      <c r="U3659" s="2" t="s">
        <v>38</v>
      </c>
      <c r="V3659" s="2" t="s">
        <v>38</v>
      </c>
      <c r="W3659" s="2" t="s">
        <v>38</v>
      </c>
      <c r="X3659" s="2" t="s">
        <v>38</v>
      </c>
      <c r="Y3659" s="2" t="s">
        <v>38</v>
      </c>
      <c r="Z3659" s="2" t="s">
        <v>38</v>
      </c>
      <c r="AA3659" s="2" t="s">
        <v>38</v>
      </c>
      <c r="AB3659" s="2" t="s">
        <v>38</v>
      </c>
      <c r="AC3659" s="2" t="s">
        <v>38</v>
      </c>
      <c r="AD3659" s="2" t="s">
        <v>38</v>
      </c>
      <c r="AE3659" s="2" t="s">
        <v>40</v>
      </c>
    </row>
    <row r="3660" spans="1:31" ht="409.5">
      <c r="A3660" s="2">
        <v>2691744</v>
      </c>
      <c r="B3660" s="2">
        <f>HYPERLINK("https://platform.v2.vetology.net/cases/2691744/screening-report/1?type=pdf&amp;v=v6&amp;scorecard=1&amp;secret_key=BX%25IJ%24%2F65ieZ%29f6", 2691744)</f>
        <v>2691744</v>
      </c>
      <c r="C3660" s="2">
        <f>HYPERLINK("https://platform.v2.vetology.net/report/v/final/"&amp;2691744, 2691744)</f>
        <v>2691744</v>
      </c>
      <c r="D3660" s="2" t="s">
        <v>11575</v>
      </c>
      <c r="E3660" s="2" t="s">
        <v>11576</v>
      </c>
      <c r="F3660" s="2" t="s">
        <v>43</v>
      </c>
      <c r="G3660" s="2" t="s">
        <v>44</v>
      </c>
      <c r="H3660" s="2" t="s">
        <v>69</v>
      </c>
      <c r="I3660" s="2" t="s">
        <v>46</v>
      </c>
      <c r="J3660" s="2"/>
      <c r="K3660" s="2" t="s">
        <v>39</v>
      </c>
      <c r="L3660" s="2" t="s">
        <v>39</v>
      </c>
      <c r="M3660" s="2" t="s">
        <v>39</v>
      </c>
      <c r="N3660" s="2" t="s">
        <v>39</v>
      </c>
      <c r="O3660" s="2" t="s">
        <v>38</v>
      </c>
      <c r="P3660" s="2" t="s">
        <v>39</v>
      </c>
      <c r="Q3660" s="2" t="s">
        <v>39</v>
      </c>
      <c r="R3660" s="2" t="s">
        <v>39</v>
      </c>
      <c r="S3660" s="2" t="s">
        <v>39</v>
      </c>
      <c r="T3660" s="2" t="s">
        <v>39</v>
      </c>
      <c r="U3660" s="2" t="s">
        <v>39</v>
      </c>
      <c r="V3660" s="2" t="s">
        <v>39</v>
      </c>
      <c r="W3660" s="2" t="s">
        <v>39</v>
      </c>
      <c r="X3660" s="2" t="s">
        <v>39</v>
      </c>
      <c r="Y3660" s="2" t="s">
        <v>39</v>
      </c>
      <c r="Z3660" s="2" t="s">
        <v>39</v>
      </c>
      <c r="AA3660" s="2" t="s">
        <v>39</v>
      </c>
      <c r="AB3660" s="2" t="s">
        <v>38</v>
      </c>
      <c r="AC3660" s="2" t="s">
        <v>38</v>
      </c>
      <c r="AD3660" s="2" t="s">
        <v>39</v>
      </c>
      <c r="AE3660" s="2" t="s">
        <v>40</v>
      </c>
    </row>
    <row r="3661" spans="1:31" ht="409.5">
      <c r="A3661" s="2">
        <v>2691743</v>
      </c>
      <c r="B3661" s="2">
        <f>HYPERLINK("https://platform.v2.vetology.net/cases/2691743/screening-report/1?type=pdf&amp;v=v6&amp;scorecard=1&amp;secret_key=BX%25IJ%24%2F65ieZ%29f6", 2691743)</f>
        <v>2691743</v>
      </c>
      <c r="C3661" s="2">
        <f>HYPERLINK("https://platform.v2.vetology.net/report/v/final/"&amp;2691743, 2691743)</f>
        <v>2691743</v>
      </c>
      <c r="D3661" s="2" t="s">
        <v>11577</v>
      </c>
      <c r="E3661" s="2" t="s">
        <v>11578</v>
      </c>
      <c r="F3661" s="2" t="s">
        <v>43</v>
      </c>
      <c r="G3661" s="2" t="s">
        <v>44</v>
      </c>
      <c r="H3661" s="2" t="s">
        <v>11579</v>
      </c>
      <c r="I3661" s="2" t="s">
        <v>73</v>
      </c>
      <c r="J3661" s="2" t="s">
        <v>74</v>
      </c>
      <c r="K3661" s="2" t="s">
        <v>38</v>
      </c>
      <c r="L3661" s="2" t="s">
        <v>38</v>
      </c>
      <c r="M3661" s="2" t="s">
        <v>38</v>
      </c>
      <c r="N3661" s="2" t="s">
        <v>38</v>
      </c>
      <c r="O3661" s="2" t="s">
        <v>38</v>
      </c>
      <c r="P3661" s="2" t="s">
        <v>38</v>
      </c>
      <c r="Q3661" s="2" t="s">
        <v>38</v>
      </c>
      <c r="R3661" s="2" t="s">
        <v>38</v>
      </c>
      <c r="S3661" s="2" t="s">
        <v>38</v>
      </c>
      <c r="T3661" s="2" t="s">
        <v>38</v>
      </c>
      <c r="U3661" s="2" t="s">
        <v>39</v>
      </c>
      <c r="V3661" s="2" t="s">
        <v>38</v>
      </c>
      <c r="W3661" s="2" t="s">
        <v>38</v>
      </c>
      <c r="X3661" s="2" t="s">
        <v>38</v>
      </c>
      <c r="Y3661" s="2" t="s">
        <v>39</v>
      </c>
      <c r="Z3661" s="2" t="s">
        <v>38</v>
      </c>
      <c r="AA3661" s="2" t="s">
        <v>38</v>
      </c>
      <c r="AB3661" s="2" t="s">
        <v>38</v>
      </c>
      <c r="AC3661" s="2" t="s">
        <v>38</v>
      </c>
      <c r="AD3661" s="2" t="s">
        <v>39</v>
      </c>
      <c r="AE3661" s="2" t="s">
        <v>39</v>
      </c>
    </row>
    <row r="3662" spans="1:31" ht="409.5">
      <c r="A3662" s="2">
        <v>2691723</v>
      </c>
      <c r="B3662" s="2">
        <f>HYPERLINK("https://platform.v2.vetology.net/cases/2691723/screening-report/1?type=pdf&amp;v=v6&amp;scorecard=1&amp;secret_key=BX%25IJ%24%2F65ieZ%29f6", 2691723)</f>
        <v>2691723</v>
      </c>
      <c r="C3662" s="2">
        <f>HYPERLINK("https://platform.v2.vetology.net/report/v/final/"&amp;2691723, 2691723)</f>
        <v>2691723</v>
      </c>
      <c r="D3662" s="2" t="s">
        <v>11580</v>
      </c>
      <c r="E3662" s="2" t="s">
        <v>5126</v>
      </c>
      <c r="F3662" s="2" t="s">
        <v>3931</v>
      </c>
      <c r="G3662" s="2" t="s">
        <v>44</v>
      </c>
      <c r="H3662" s="2" t="s">
        <v>45</v>
      </c>
      <c r="I3662" s="2" t="s">
        <v>46</v>
      </c>
      <c r="J3662" s="2"/>
      <c r="K3662" s="2" t="s">
        <v>39</v>
      </c>
      <c r="L3662" s="2" t="s">
        <v>39</v>
      </c>
      <c r="M3662" s="2" t="s">
        <v>39</v>
      </c>
      <c r="N3662" s="2" t="s">
        <v>39</v>
      </c>
      <c r="O3662" s="2" t="s">
        <v>38</v>
      </c>
      <c r="P3662" s="2" t="s">
        <v>39</v>
      </c>
      <c r="Q3662" s="2" t="s">
        <v>39</v>
      </c>
      <c r="R3662" s="2" t="s">
        <v>38</v>
      </c>
      <c r="S3662" s="2" t="s">
        <v>39</v>
      </c>
      <c r="T3662" s="2" t="s">
        <v>39</v>
      </c>
      <c r="U3662" s="2" t="s">
        <v>39</v>
      </c>
      <c r="V3662" s="2" t="s">
        <v>38</v>
      </c>
      <c r="W3662" s="2" t="s">
        <v>38</v>
      </c>
      <c r="X3662" s="2" t="s">
        <v>39</v>
      </c>
      <c r="Y3662" s="2" t="s">
        <v>39</v>
      </c>
      <c r="Z3662" s="2" t="s">
        <v>38</v>
      </c>
      <c r="AA3662" s="2" t="s">
        <v>39</v>
      </c>
      <c r="AB3662" s="2" t="s">
        <v>39</v>
      </c>
      <c r="AC3662" s="2" t="s">
        <v>38</v>
      </c>
      <c r="AD3662" s="2" t="s">
        <v>38</v>
      </c>
      <c r="AE3662" s="2" t="s">
        <v>40</v>
      </c>
    </row>
    <row r="3663" spans="1:31" ht="409.5">
      <c r="A3663" s="2">
        <v>2691722</v>
      </c>
      <c r="B3663" s="2">
        <f>HYPERLINK("https://platform.v2.vetology.net/cases/2691722/screening-report/1?type=pdf&amp;v=v6&amp;scorecard=1&amp;secret_key=BX%25IJ%24%2F65ieZ%29f6", 2691722)</f>
        <v>2691722</v>
      </c>
      <c r="C3663" s="2">
        <f>HYPERLINK("https://platform.v2.vetology.net/report/v/final/"&amp;2691722, 2691722)</f>
        <v>2691722</v>
      </c>
      <c r="D3663" s="2" t="s">
        <v>11581</v>
      </c>
      <c r="E3663" s="2" t="s">
        <v>11582</v>
      </c>
      <c r="F3663" s="2" t="s">
        <v>11583</v>
      </c>
      <c r="G3663" s="2" t="s">
        <v>53</v>
      </c>
      <c r="H3663" s="2" t="s">
        <v>5101</v>
      </c>
      <c r="I3663" s="2" t="s">
        <v>36</v>
      </c>
      <c r="J3663" s="2" t="s">
        <v>37</v>
      </c>
      <c r="K3663" s="2" t="s">
        <v>39</v>
      </c>
      <c r="L3663" s="2" t="s">
        <v>38</v>
      </c>
      <c r="M3663" s="2" t="s">
        <v>39</v>
      </c>
      <c r="N3663" s="2" t="s">
        <v>39</v>
      </c>
      <c r="O3663" s="2" t="s">
        <v>38</v>
      </c>
      <c r="P3663" s="2" t="s">
        <v>39</v>
      </c>
      <c r="Q3663" s="2" t="s">
        <v>39</v>
      </c>
      <c r="R3663" s="2" t="s">
        <v>38</v>
      </c>
      <c r="S3663" s="2" t="s">
        <v>38</v>
      </c>
      <c r="T3663" s="2" t="s">
        <v>39</v>
      </c>
      <c r="U3663" s="2" t="s">
        <v>39</v>
      </c>
      <c r="V3663" s="2" t="s">
        <v>39</v>
      </c>
      <c r="W3663" s="2" t="s">
        <v>38</v>
      </c>
      <c r="X3663" s="2" t="s">
        <v>39</v>
      </c>
      <c r="Y3663" s="2" t="s">
        <v>39</v>
      </c>
      <c r="Z3663" s="2" t="s">
        <v>38</v>
      </c>
      <c r="AA3663" s="2" t="s">
        <v>38</v>
      </c>
      <c r="AB3663" s="2" t="s">
        <v>39</v>
      </c>
      <c r="AC3663" s="2" t="s">
        <v>38</v>
      </c>
      <c r="AD3663" s="2" t="s">
        <v>39</v>
      </c>
      <c r="AE3663" s="2" t="s">
        <v>39</v>
      </c>
    </row>
    <row r="3664" spans="1:31" ht="409.5">
      <c r="A3664" s="2">
        <v>2691716</v>
      </c>
      <c r="B3664" s="2">
        <f>HYPERLINK("https://platform.v2.vetology.net/cases/2691716/screening-report/1?type=pdf&amp;v=v6&amp;scorecard=1&amp;secret_key=BX%25IJ%24%2F65ieZ%29f6", 2691716)</f>
        <v>2691716</v>
      </c>
      <c r="C3664" s="2">
        <f>HYPERLINK("https://platform.v2.vetology.net/report/v/final/"&amp;2691716, 2691716)</f>
        <v>2691716</v>
      </c>
      <c r="D3664" s="2" t="s">
        <v>11584</v>
      </c>
      <c r="E3664" s="2" t="s">
        <v>11585</v>
      </c>
      <c r="F3664" s="2" t="s">
        <v>11586</v>
      </c>
      <c r="G3664" s="2" t="s">
        <v>53</v>
      </c>
      <c r="H3664" s="2" t="s">
        <v>45</v>
      </c>
      <c r="I3664" s="2" t="s">
        <v>46</v>
      </c>
      <c r="J3664" s="2"/>
      <c r="K3664" s="2" t="s">
        <v>39</v>
      </c>
      <c r="L3664" s="2" t="s">
        <v>39</v>
      </c>
      <c r="M3664" s="2" t="s">
        <v>39</v>
      </c>
      <c r="N3664" s="2" t="s">
        <v>39</v>
      </c>
      <c r="O3664" s="2" t="s">
        <v>38</v>
      </c>
      <c r="P3664" s="2" t="s">
        <v>39</v>
      </c>
      <c r="Q3664" s="2" t="s">
        <v>39</v>
      </c>
      <c r="R3664" s="2" t="s">
        <v>38</v>
      </c>
      <c r="S3664" s="2" t="s">
        <v>39</v>
      </c>
      <c r="T3664" s="2" t="s">
        <v>39</v>
      </c>
      <c r="U3664" s="2" t="s">
        <v>39</v>
      </c>
      <c r="V3664" s="2" t="s">
        <v>39</v>
      </c>
      <c r="W3664" s="2" t="s">
        <v>39</v>
      </c>
      <c r="X3664" s="2" t="s">
        <v>39</v>
      </c>
      <c r="Y3664" s="2" t="s">
        <v>39</v>
      </c>
      <c r="Z3664" s="2" t="s">
        <v>39</v>
      </c>
      <c r="AA3664" s="2" t="s">
        <v>39</v>
      </c>
      <c r="AB3664" s="2" t="s">
        <v>39</v>
      </c>
      <c r="AC3664" s="2" t="s">
        <v>38</v>
      </c>
      <c r="AD3664" s="2" t="s">
        <v>39</v>
      </c>
      <c r="AE3664" s="2" t="s">
        <v>39</v>
      </c>
    </row>
    <row r="3665" spans="1:31" ht="409.5">
      <c r="A3665" s="2">
        <v>2691715</v>
      </c>
      <c r="B3665" s="2">
        <f>HYPERLINK("https://platform.v2.vetology.net/cases/2691715/screening-report/1?type=pdf&amp;v=v6&amp;scorecard=1&amp;secret_key=BX%25IJ%24%2F65ieZ%29f6", 2691715)</f>
        <v>2691715</v>
      </c>
      <c r="C3665" s="2">
        <f>HYPERLINK("https://platform.v2.vetology.net/report/v/final/"&amp;2691715, 2691715)</f>
        <v>2691715</v>
      </c>
      <c r="D3665" s="2" t="s">
        <v>11587</v>
      </c>
      <c r="E3665" s="2" t="s">
        <v>11588</v>
      </c>
      <c r="F3665" s="2" t="s">
        <v>11589</v>
      </c>
      <c r="G3665" s="2" t="s">
        <v>53</v>
      </c>
      <c r="H3665" s="2" t="s">
        <v>69</v>
      </c>
      <c r="I3665" s="2" t="s">
        <v>46</v>
      </c>
      <c r="J3665" s="2"/>
      <c r="K3665" s="2" t="s">
        <v>39</v>
      </c>
      <c r="L3665" s="2" t="s">
        <v>39</v>
      </c>
      <c r="M3665" s="2" t="s">
        <v>39</v>
      </c>
      <c r="N3665" s="2" t="s">
        <v>39</v>
      </c>
      <c r="O3665" s="2" t="s">
        <v>39</v>
      </c>
      <c r="P3665" s="2" t="s">
        <v>39</v>
      </c>
      <c r="Q3665" s="2" t="s">
        <v>39</v>
      </c>
      <c r="R3665" s="2" t="s">
        <v>39</v>
      </c>
      <c r="S3665" s="2" t="s">
        <v>39</v>
      </c>
      <c r="T3665" s="2" t="s">
        <v>38</v>
      </c>
      <c r="U3665" s="2" t="s">
        <v>39</v>
      </c>
      <c r="V3665" s="2" t="s">
        <v>39</v>
      </c>
      <c r="W3665" s="2" t="s">
        <v>38</v>
      </c>
      <c r="X3665" s="2" t="s">
        <v>39</v>
      </c>
      <c r="Y3665" s="2" t="s">
        <v>39</v>
      </c>
      <c r="Z3665" s="2" t="s">
        <v>38</v>
      </c>
      <c r="AA3665" s="2" t="s">
        <v>39</v>
      </c>
      <c r="AB3665" s="2" t="s">
        <v>39</v>
      </c>
      <c r="AC3665" s="2" t="s">
        <v>39</v>
      </c>
      <c r="AD3665" s="2" t="s">
        <v>38</v>
      </c>
      <c r="AE3665" s="2" t="s">
        <v>39</v>
      </c>
    </row>
    <row r="3666" spans="1:31" ht="409.5">
      <c r="A3666" s="2">
        <v>2691700</v>
      </c>
      <c r="B3666" s="2">
        <f>HYPERLINK("https://platform.v2.vetology.net/cases/2691700/screening-report/1?type=pdf&amp;v=v6&amp;scorecard=1&amp;secret_key=BX%25IJ%24%2F65ieZ%29f6", 2691700)</f>
        <v>2691700</v>
      </c>
      <c r="C3666" s="2">
        <f>HYPERLINK("https://platform.v2.vetology.net/report/v/final/"&amp;2691700, 2691700)</f>
        <v>2691700</v>
      </c>
      <c r="D3666" s="2" t="s">
        <v>11590</v>
      </c>
      <c r="E3666" s="2" t="s">
        <v>11591</v>
      </c>
      <c r="F3666" s="2" t="s">
        <v>11592</v>
      </c>
      <c r="G3666" s="2" t="s">
        <v>170</v>
      </c>
      <c r="H3666" s="2" t="s">
        <v>3263</v>
      </c>
      <c r="I3666" s="2" t="s">
        <v>36</v>
      </c>
      <c r="J3666" s="2" t="s">
        <v>37</v>
      </c>
      <c r="K3666" s="2" t="s">
        <v>38</v>
      </c>
      <c r="L3666" s="2" t="s">
        <v>38</v>
      </c>
      <c r="M3666" s="2" t="s">
        <v>39</v>
      </c>
      <c r="N3666" s="2" t="s">
        <v>38</v>
      </c>
      <c r="O3666" s="2" t="s">
        <v>38</v>
      </c>
      <c r="P3666" s="2" t="s">
        <v>39</v>
      </c>
      <c r="Q3666" s="2" t="s">
        <v>39</v>
      </c>
      <c r="R3666" s="2" t="s">
        <v>38</v>
      </c>
      <c r="S3666" s="2" t="s">
        <v>38</v>
      </c>
      <c r="T3666" s="2" t="s">
        <v>39</v>
      </c>
      <c r="U3666" s="2" t="s">
        <v>38</v>
      </c>
      <c r="V3666" s="2" t="s">
        <v>38</v>
      </c>
      <c r="W3666" s="2" t="s">
        <v>38</v>
      </c>
      <c r="X3666" s="2" t="s">
        <v>39</v>
      </c>
      <c r="Y3666" s="2" t="s">
        <v>39</v>
      </c>
      <c r="Z3666" s="2" t="s">
        <v>38</v>
      </c>
      <c r="AA3666" s="2" t="s">
        <v>38</v>
      </c>
      <c r="AB3666" s="2" t="s">
        <v>39</v>
      </c>
      <c r="AC3666" s="2" t="s">
        <v>38</v>
      </c>
      <c r="AD3666" s="2" t="s">
        <v>38</v>
      </c>
      <c r="AE3666" s="2" t="s">
        <v>40</v>
      </c>
    </row>
    <row r="3667" spans="1:31" ht="409.5">
      <c r="A3667" s="2">
        <v>2691661</v>
      </c>
      <c r="B3667" s="2">
        <f>HYPERLINK("https://platform.v2.vetology.net/cases/2691661/screening-report/1?type=pdf&amp;v=v6&amp;scorecard=1&amp;secret_key=BX%25IJ%24%2F65ieZ%29f6", 2691661)</f>
        <v>2691661</v>
      </c>
      <c r="C3667" s="2">
        <f>HYPERLINK("https://platform.v2.vetology.net/report/v/final/"&amp;2691661, 2691661)</f>
        <v>2691661</v>
      </c>
      <c r="D3667" s="2" t="s">
        <v>11593</v>
      </c>
      <c r="E3667" s="2" t="s">
        <v>11594</v>
      </c>
      <c r="F3667" s="2" t="s">
        <v>11595</v>
      </c>
      <c r="G3667" s="2" t="s">
        <v>170</v>
      </c>
      <c r="H3667" s="2" t="s">
        <v>3928</v>
      </c>
      <c r="I3667" s="2" t="s">
        <v>36</v>
      </c>
      <c r="J3667" s="2" t="s">
        <v>37</v>
      </c>
      <c r="K3667" s="2" t="s">
        <v>39</v>
      </c>
      <c r="L3667" s="2" t="s">
        <v>38</v>
      </c>
      <c r="M3667" s="2" t="s">
        <v>39</v>
      </c>
      <c r="N3667" s="2" t="s">
        <v>39</v>
      </c>
      <c r="O3667" s="2" t="s">
        <v>38</v>
      </c>
      <c r="P3667" s="2" t="s">
        <v>39</v>
      </c>
      <c r="Q3667" s="2" t="s">
        <v>39</v>
      </c>
      <c r="R3667" s="2" t="s">
        <v>38</v>
      </c>
      <c r="S3667" s="2" t="s">
        <v>38</v>
      </c>
      <c r="T3667" s="2" t="s">
        <v>39</v>
      </c>
      <c r="U3667" s="2" t="s">
        <v>39</v>
      </c>
      <c r="V3667" s="2" t="s">
        <v>39</v>
      </c>
      <c r="W3667" s="2" t="s">
        <v>39</v>
      </c>
      <c r="X3667" s="2" t="s">
        <v>39</v>
      </c>
      <c r="Y3667" s="2" t="s">
        <v>39</v>
      </c>
      <c r="Z3667" s="2" t="s">
        <v>38</v>
      </c>
      <c r="AA3667" s="2" t="s">
        <v>39</v>
      </c>
      <c r="AB3667" s="2" t="s">
        <v>39</v>
      </c>
      <c r="AC3667" s="2" t="s">
        <v>38</v>
      </c>
      <c r="AD3667" s="2" t="s">
        <v>38</v>
      </c>
      <c r="AE3667" s="2" t="s">
        <v>40</v>
      </c>
    </row>
    <row r="3668" spans="1:31" ht="409.5">
      <c r="A3668" s="2">
        <v>2691623</v>
      </c>
      <c r="B3668" s="2">
        <f>HYPERLINK("https://platform.v2.vetology.net/cases/2691623/screening-report/1?type=pdf&amp;v=v6&amp;scorecard=1&amp;secret_key=BX%25IJ%24%2F65ieZ%29f6", 2691623)</f>
        <v>2691623</v>
      </c>
      <c r="C3668" s="2">
        <f>HYPERLINK("https://platform.v2.vetology.net/report/v/final/"&amp;2691623, 2691623)</f>
        <v>2691623</v>
      </c>
      <c r="D3668" s="2" t="s">
        <v>11596</v>
      </c>
      <c r="E3668" s="2" t="s">
        <v>4319</v>
      </c>
      <c r="F3668" s="2" t="s">
        <v>11597</v>
      </c>
      <c r="G3668" s="2" t="s">
        <v>170</v>
      </c>
      <c r="H3668" s="2" t="s">
        <v>69</v>
      </c>
      <c r="I3668" s="2" t="s">
        <v>46</v>
      </c>
      <c r="J3668" s="2"/>
      <c r="K3668" s="2" t="s">
        <v>39</v>
      </c>
      <c r="L3668" s="2" t="s">
        <v>39</v>
      </c>
      <c r="M3668" s="2" t="s">
        <v>39</v>
      </c>
      <c r="N3668" s="2" t="s">
        <v>39</v>
      </c>
      <c r="O3668" s="2" t="s">
        <v>39</v>
      </c>
      <c r="P3668" s="2" t="s">
        <v>39</v>
      </c>
      <c r="Q3668" s="2" t="s">
        <v>39</v>
      </c>
      <c r="R3668" s="2" t="s">
        <v>39</v>
      </c>
      <c r="S3668" s="2" t="s">
        <v>39</v>
      </c>
      <c r="T3668" s="2" t="s">
        <v>39</v>
      </c>
      <c r="U3668" s="2" t="s">
        <v>39</v>
      </c>
      <c r="V3668" s="2" t="s">
        <v>39</v>
      </c>
      <c r="W3668" s="2" t="s">
        <v>39</v>
      </c>
      <c r="X3668" s="2" t="s">
        <v>39</v>
      </c>
      <c r="Y3668" s="2" t="s">
        <v>39</v>
      </c>
      <c r="Z3668" s="2" t="s">
        <v>39</v>
      </c>
      <c r="AA3668" s="2" t="s">
        <v>39</v>
      </c>
      <c r="AB3668" s="2" t="s">
        <v>39</v>
      </c>
      <c r="AC3668" s="2" t="s">
        <v>38</v>
      </c>
      <c r="AD3668" s="2" t="s">
        <v>39</v>
      </c>
      <c r="AE3668" s="2" t="s">
        <v>39</v>
      </c>
    </row>
    <row r="3669" spans="1:31" ht="409.5">
      <c r="A3669" s="2">
        <v>2691576</v>
      </c>
      <c r="B3669" s="2">
        <f>HYPERLINK("https://platform.v2.vetology.net/cases/2691576/screening-report/1?type=pdf&amp;v=v6&amp;scorecard=1&amp;secret_key=BX%25IJ%24%2F65ieZ%29f6", 2691576)</f>
        <v>2691576</v>
      </c>
      <c r="C3669" s="2">
        <f>HYPERLINK("https://platform.v2.vetology.net/report/v/final/"&amp;2691576, 2691576)</f>
        <v>2691576</v>
      </c>
      <c r="D3669" s="2" t="s">
        <v>11598</v>
      </c>
      <c r="E3669" s="2" t="s">
        <v>11599</v>
      </c>
      <c r="F3669" s="2" t="s">
        <v>11600</v>
      </c>
      <c r="G3669" s="2" t="s">
        <v>53</v>
      </c>
      <c r="H3669" s="2" t="s">
        <v>7601</v>
      </c>
      <c r="I3669" s="2" t="s">
        <v>36</v>
      </c>
      <c r="J3669" s="2" t="s">
        <v>37</v>
      </c>
      <c r="K3669" s="2" t="s">
        <v>39</v>
      </c>
      <c r="L3669" s="2" t="s">
        <v>38</v>
      </c>
      <c r="M3669" s="2" t="s">
        <v>38</v>
      </c>
      <c r="N3669" s="2" t="s">
        <v>38</v>
      </c>
      <c r="O3669" s="2" t="s">
        <v>38</v>
      </c>
      <c r="P3669" s="2" t="s">
        <v>38</v>
      </c>
      <c r="Q3669" s="2" t="s">
        <v>39</v>
      </c>
      <c r="R3669" s="2" t="s">
        <v>38</v>
      </c>
      <c r="S3669" s="2" t="s">
        <v>38</v>
      </c>
      <c r="T3669" s="2" t="s">
        <v>38</v>
      </c>
      <c r="U3669" s="2" t="s">
        <v>39</v>
      </c>
      <c r="V3669" s="2" t="s">
        <v>38</v>
      </c>
      <c r="W3669" s="2" t="s">
        <v>38</v>
      </c>
      <c r="X3669" s="2" t="s">
        <v>39</v>
      </c>
      <c r="Y3669" s="2" t="s">
        <v>39</v>
      </c>
      <c r="Z3669" s="2" t="s">
        <v>38</v>
      </c>
      <c r="AA3669" s="2" t="s">
        <v>38</v>
      </c>
      <c r="AB3669" s="2" t="s">
        <v>39</v>
      </c>
      <c r="AC3669" s="2" t="s">
        <v>38</v>
      </c>
      <c r="AD3669" s="2" t="s">
        <v>38</v>
      </c>
      <c r="AE3669" s="2" t="s">
        <v>40</v>
      </c>
    </row>
    <row r="3670" spans="1:31" ht="409.5">
      <c r="A3670" s="2">
        <v>2691551</v>
      </c>
      <c r="B3670" s="2">
        <f>HYPERLINK("https://platform.v2.vetology.net/cases/2691551/screening-report/1?type=pdf&amp;v=v6&amp;scorecard=1&amp;secret_key=BX%25IJ%24%2F65ieZ%29f6", 2691551)</f>
        <v>2691551</v>
      </c>
      <c r="C3670" s="2">
        <f>HYPERLINK("https://platform.v2.vetology.net/report/v/final/"&amp;2691551, 2691551)</f>
        <v>2691551</v>
      </c>
      <c r="D3670" s="2" t="s">
        <v>11601</v>
      </c>
      <c r="E3670" s="2" t="s">
        <v>11602</v>
      </c>
      <c r="F3670" s="2" t="s">
        <v>11603</v>
      </c>
      <c r="G3670" s="2" t="s">
        <v>170</v>
      </c>
      <c r="H3670" s="2" t="s">
        <v>11604</v>
      </c>
      <c r="I3670" s="2" t="s">
        <v>73</v>
      </c>
      <c r="J3670" s="2" t="s">
        <v>74</v>
      </c>
      <c r="K3670" s="2" t="s">
        <v>38</v>
      </c>
      <c r="L3670" s="2" t="s">
        <v>38</v>
      </c>
      <c r="M3670" s="2" t="s">
        <v>38</v>
      </c>
      <c r="N3670" s="2" t="s">
        <v>38</v>
      </c>
      <c r="O3670" s="2" t="s">
        <v>38</v>
      </c>
      <c r="P3670" s="2" t="s">
        <v>38</v>
      </c>
      <c r="Q3670" s="2" t="s">
        <v>38</v>
      </c>
      <c r="R3670" s="2" t="s">
        <v>38</v>
      </c>
      <c r="S3670" s="2" t="s">
        <v>38</v>
      </c>
      <c r="T3670" s="2" t="s">
        <v>38</v>
      </c>
      <c r="U3670" s="2" t="s">
        <v>38</v>
      </c>
      <c r="V3670" s="2" t="s">
        <v>38</v>
      </c>
      <c r="W3670" s="2" t="s">
        <v>38</v>
      </c>
      <c r="X3670" s="2" t="s">
        <v>38</v>
      </c>
      <c r="Y3670" s="2" t="s">
        <v>39</v>
      </c>
      <c r="Z3670" s="2" t="s">
        <v>38</v>
      </c>
      <c r="AA3670" s="2" t="s">
        <v>38</v>
      </c>
      <c r="AB3670" s="2" t="s">
        <v>38</v>
      </c>
      <c r="AC3670" s="2" t="s">
        <v>38</v>
      </c>
      <c r="AD3670" s="2" t="s">
        <v>39</v>
      </c>
      <c r="AE3670" s="2" t="s">
        <v>39</v>
      </c>
    </row>
    <row r="3671" spans="1:31" ht="409.5">
      <c r="A3671" s="2">
        <v>2691515</v>
      </c>
      <c r="B3671" s="2">
        <f>HYPERLINK("https://platform.v2.vetology.net/cases/2691515/screening-report/1?type=pdf&amp;v=v6&amp;scorecard=1&amp;secret_key=BX%25IJ%24%2F65ieZ%29f6", 2691515)</f>
        <v>2691515</v>
      </c>
      <c r="C3671" s="2">
        <f>HYPERLINK("https://platform.v2.vetology.net/report/v/final/"&amp;2691515, 2691515)</f>
        <v>2691515</v>
      </c>
      <c r="D3671" s="2" t="s">
        <v>11605</v>
      </c>
      <c r="E3671" s="2" t="s">
        <v>11605</v>
      </c>
      <c r="F3671" s="2" t="s">
        <v>11605</v>
      </c>
      <c r="G3671" s="2" t="s">
        <v>11606</v>
      </c>
      <c r="H3671" s="2" t="s">
        <v>66</v>
      </c>
      <c r="I3671" s="2" t="s">
        <v>36</v>
      </c>
      <c r="J3671" s="2" t="s">
        <v>37</v>
      </c>
      <c r="K3671" s="2" t="s">
        <v>39</v>
      </c>
      <c r="L3671" s="2" t="s">
        <v>39</v>
      </c>
      <c r="M3671" s="2" t="s">
        <v>38</v>
      </c>
      <c r="N3671" s="2" t="s">
        <v>39</v>
      </c>
      <c r="O3671" s="2" t="s">
        <v>38</v>
      </c>
      <c r="P3671" s="2" t="s">
        <v>39</v>
      </c>
      <c r="Q3671" s="2" t="s">
        <v>39</v>
      </c>
      <c r="R3671" s="2" t="s">
        <v>39</v>
      </c>
      <c r="S3671" s="2" t="s">
        <v>39</v>
      </c>
      <c r="T3671" s="2" t="s">
        <v>39</v>
      </c>
      <c r="U3671" s="2" t="s">
        <v>38</v>
      </c>
      <c r="V3671" s="2" t="s">
        <v>39</v>
      </c>
      <c r="W3671" s="2" t="s">
        <v>39</v>
      </c>
      <c r="X3671" s="2" t="s">
        <v>39</v>
      </c>
      <c r="Y3671" s="2" t="s">
        <v>39</v>
      </c>
      <c r="Z3671" s="2" t="s">
        <v>39</v>
      </c>
      <c r="AA3671" s="2" t="s">
        <v>39</v>
      </c>
      <c r="AB3671" s="2" t="s">
        <v>39</v>
      </c>
      <c r="AC3671" s="2" t="s">
        <v>38</v>
      </c>
      <c r="AD3671" s="2" t="s">
        <v>39</v>
      </c>
      <c r="AE3671" s="2"/>
    </row>
    <row r="3672" spans="1:31" ht="409.5">
      <c r="A3672" s="2">
        <v>2691508</v>
      </c>
      <c r="B3672" s="2">
        <f>HYPERLINK("https://platform.v2.vetology.net/cases/2691508/screening-report/1?type=pdf&amp;v=v6&amp;scorecard=1&amp;secret_key=BX%25IJ%24%2F65ieZ%29f6", 2691508)</f>
        <v>2691508</v>
      </c>
      <c r="C3672" s="2">
        <f>HYPERLINK("https://platform.v2.vetology.net/report/v/final/"&amp;2691508, 2691508)</f>
        <v>2691508</v>
      </c>
      <c r="D3672" s="2" t="s">
        <v>11607</v>
      </c>
      <c r="E3672" s="2" t="s">
        <v>11608</v>
      </c>
      <c r="F3672" s="2" t="s">
        <v>11609</v>
      </c>
      <c r="G3672" s="2" t="s">
        <v>1460</v>
      </c>
      <c r="H3672" s="2" t="s">
        <v>11610</v>
      </c>
      <c r="I3672" s="2" t="s">
        <v>36</v>
      </c>
      <c r="J3672" s="2" t="s">
        <v>37</v>
      </c>
      <c r="K3672" s="2" t="s">
        <v>39</v>
      </c>
      <c r="L3672" s="2" t="s">
        <v>39</v>
      </c>
      <c r="M3672" s="2" t="s">
        <v>38</v>
      </c>
      <c r="N3672" s="2" t="s">
        <v>38</v>
      </c>
      <c r="O3672" s="2" t="s">
        <v>38</v>
      </c>
      <c r="P3672" s="2" t="s">
        <v>39</v>
      </c>
      <c r="Q3672" s="2" t="s">
        <v>39</v>
      </c>
      <c r="R3672" s="2" t="s">
        <v>38</v>
      </c>
      <c r="S3672" s="2" t="s">
        <v>38</v>
      </c>
      <c r="T3672" s="2" t="s">
        <v>38</v>
      </c>
      <c r="U3672" s="2" t="s">
        <v>39</v>
      </c>
      <c r="V3672" s="2" t="s">
        <v>39</v>
      </c>
      <c r="W3672" s="2" t="s">
        <v>38</v>
      </c>
      <c r="X3672" s="2" t="s">
        <v>39</v>
      </c>
      <c r="Y3672" s="2" t="s">
        <v>39</v>
      </c>
      <c r="Z3672" s="2" t="s">
        <v>38</v>
      </c>
      <c r="AA3672" s="2" t="s">
        <v>38</v>
      </c>
      <c r="AB3672" s="2" t="s">
        <v>39</v>
      </c>
      <c r="AC3672" s="2" t="s">
        <v>38</v>
      </c>
      <c r="AD3672" s="2" t="s">
        <v>38</v>
      </c>
      <c r="AE3672" s="2" t="s">
        <v>39</v>
      </c>
    </row>
    <row r="3673" spans="1:31" ht="409.5">
      <c r="A3673" s="2">
        <v>2691483</v>
      </c>
      <c r="B3673" s="2">
        <f>HYPERLINK("https://platform.v2.vetology.net/cases/2691483/screening-report/1?type=pdf&amp;v=v6&amp;scorecard=1&amp;secret_key=BX%25IJ%24%2F65ieZ%29f6", 2691483)</f>
        <v>2691483</v>
      </c>
      <c r="C3673" s="2">
        <f>HYPERLINK("https://platform.v2.vetology.net/report/v/final/"&amp;2691483, 2691483)</f>
        <v>2691483</v>
      </c>
      <c r="D3673" s="2" t="s">
        <v>11611</v>
      </c>
      <c r="E3673" s="2" t="s">
        <v>11612</v>
      </c>
      <c r="F3673" s="2" t="s">
        <v>11613</v>
      </c>
      <c r="G3673" s="2" t="s">
        <v>53</v>
      </c>
      <c r="H3673" s="2" t="s">
        <v>11614</v>
      </c>
      <c r="I3673" s="2" t="s">
        <v>36</v>
      </c>
      <c r="J3673" s="2" t="s">
        <v>37</v>
      </c>
      <c r="K3673" s="2" t="s">
        <v>39</v>
      </c>
      <c r="L3673" s="2" t="s">
        <v>38</v>
      </c>
      <c r="M3673" s="2" t="s">
        <v>38</v>
      </c>
      <c r="N3673" s="2" t="s">
        <v>39</v>
      </c>
      <c r="O3673" s="2" t="s">
        <v>38</v>
      </c>
      <c r="P3673" s="2" t="s">
        <v>39</v>
      </c>
      <c r="Q3673" s="2" t="s">
        <v>39</v>
      </c>
      <c r="R3673" s="2" t="s">
        <v>39</v>
      </c>
      <c r="S3673" s="2" t="s">
        <v>39</v>
      </c>
      <c r="T3673" s="2" t="s">
        <v>39</v>
      </c>
      <c r="U3673" s="2" t="s">
        <v>39</v>
      </c>
      <c r="V3673" s="2" t="s">
        <v>39</v>
      </c>
      <c r="W3673" s="2" t="s">
        <v>38</v>
      </c>
      <c r="X3673" s="2" t="s">
        <v>39</v>
      </c>
      <c r="Y3673" s="2" t="s">
        <v>39</v>
      </c>
      <c r="Z3673" s="2" t="s">
        <v>39</v>
      </c>
      <c r="AA3673" s="2" t="s">
        <v>39</v>
      </c>
      <c r="AB3673" s="2" t="s">
        <v>39</v>
      </c>
      <c r="AC3673" s="2" t="s">
        <v>39</v>
      </c>
      <c r="AD3673" s="2" t="s">
        <v>38</v>
      </c>
      <c r="AE3673" s="2" t="s">
        <v>39</v>
      </c>
    </row>
    <row r="3674" spans="1:31" ht="409.5">
      <c r="A3674" s="2">
        <v>2691472</v>
      </c>
      <c r="B3674" s="2">
        <f>HYPERLINK("https://platform.v2.vetology.net/cases/2691472/screening-report/1?type=pdf&amp;v=v6&amp;scorecard=1&amp;secret_key=BX%25IJ%24%2F65ieZ%29f6", 2691472)</f>
        <v>2691472</v>
      </c>
      <c r="C3674" s="2">
        <f>HYPERLINK("https://platform.v2.vetology.net/report/v/final/"&amp;2691472, 2691472)</f>
        <v>2691472</v>
      </c>
      <c r="D3674" s="2" t="s">
        <v>11615</v>
      </c>
      <c r="E3674" s="2" t="s">
        <v>11616</v>
      </c>
      <c r="F3674" s="2" t="s">
        <v>11617</v>
      </c>
      <c r="G3674" s="2" t="s">
        <v>11618</v>
      </c>
      <c r="H3674" s="2" t="s">
        <v>62</v>
      </c>
      <c r="I3674" s="2" t="s">
        <v>46</v>
      </c>
      <c r="J3674" s="2"/>
      <c r="K3674" s="2" t="s">
        <v>39</v>
      </c>
      <c r="L3674" s="2" t="s">
        <v>39</v>
      </c>
      <c r="M3674" s="2" t="s">
        <v>39</v>
      </c>
      <c r="N3674" s="2" t="s">
        <v>39</v>
      </c>
      <c r="O3674" s="2" t="s">
        <v>39</v>
      </c>
      <c r="P3674" s="2" t="s">
        <v>39</v>
      </c>
      <c r="Q3674" s="2" t="s">
        <v>39</v>
      </c>
      <c r="R3674" s="2" t="s">
        <v>38</v>
      </c>
      <c r="S3674" s="2" t="s">
        <v>38</v>
      </c>
      <c r="T3674" s="2" t="s">
        <v>38</v>
      </c>
      <c r="U3674" s="2" t="s">
        <v>39</v>
      </c>
      <c r="V3674" s="2" t="s">
        <v>38</v>
      </c>
      <c r="W3674" s="2" t="s">
        <v>38</v>
      </c>
      <c r="X3674" s="2" t="s">
        <v>39</v>
      </c>
      <c r="Y3674" s="2" t="s">
        <v>39</v>
      </c>
      <c r="Z3674" s="2" t="s">
        <v>38</v>
      </c>
      <c r="AA3674" s="2" t="s">
        <v>38</v>
      </c>
      <c r="AB3674" s="2" t="s">
        <v>39</v>
      </c>
      <c r="AC3674" s="2" t="s">
        <v>38</v>
      </c>
      <c r="AD3674" s="2" t="s">
        <v>38</v>
      </c>
      <c r="AE3674" s="2" t="s">
        <v>40</v>
      </c>
    </row>
    <row r="3675" spans="1:31" ht="409.5">
      <c r="A3675" s="2">
        <v>2691441</v>
      </c>
      <c r="B3675" s="2">
        <f>HYPERLINK("https://platform.v2.vetology.net/cases/2691441/screening-report/1?type=pdf&amp;v=v6&amp;scorecard=1&amp;secret_key=BX%25IJ%24%2F65ieZ%29f6", 2691441)</f>
        <v>2691441</v>
      </c>
      <c r="C3675" s="2">
        <f>HYPERLINK("https://platform.v2.vetology.net/report/v/final/"&amp;2691441, 2691441)</f>
        <v>2691441</v>
      </c>
      <c r="D3675" s="2" t="s">
        <v>11619</v>
      </c>
      <c r="E3675" s="2" t="s">
        <v>11620</v>
      </c>
      <c r="F3675" s="2" t="s">
        <v>43</v>
      </c>
      <c r="G3675" s="2" t="s">
        <v>44</v>
      </c>
      <c r="H3675" s="2" t="s">
        <v>1685</v>
      </c>
      <c r="I3675" s="2" t="s">
        <v>59</v>
      </c>
      <c r="J3675" s="2" t="s">
        <v>37</v>
      </c>
      <c r="K3675" s="2" t="s">
        <v>38</v>
      </c>
      <c r="L3675" s="2" t="s">
        <v>39</v>
      </c>
      <c r="M3675" s="2" t="s">
        <v>39</v>
      </c>
      <c r="N3675" s="2" t="s">
        <v>39</v>
      </c>
      <c r="O3675" s="2" t="s">
        <v>39</v>
      </c>
      <c r="P3675" s="2" t="s">
        <v>39</v>
      </c>
      <c r="Q3675" s="2" t="s">
        <v>39</v>
      </c>
      <c r="R3675" s="2" t="s">
        <v>38</v>
      </c>
      <c r="S3675" s="2" t="s">
        <v>39</v>
      </c>
      <c r="T3675" s="2" t="s">
        <v>39</v>
      </c>
      <c r="U3675" s="2" t="s">
        <v>38</v>
      </c>
      <c r="V3675" s="2" t="s">
        <v>39</v>
      </c>
      <c r="W3675" s="2" t="s">
        <v>39</v>
      </c>
      <c r="X3675" s="2" t="s">
        <v>39</v>
      </c>
      <c r="Y3675" s="2" t="s">
        <v>39</v>
      </c>
      <c r="Z3675" s="2" t="s">
        <v>38</v>
      </c>
      <c r="AA3675" s="2" t="s">
        <v>39</v>
      </c>
      <c r="AB3675" s="2" t="s">
        <v>39</v>
      </c>
      <c r="AC3675" s="2" t="s">
        <v>38</v>
      </c>
      <c r="AD3675" s="2" t="s">
        <v>38</v>
      </c>
      <c r="AE3675" s="2" t="s">
        <v>40</v>
      </c>
    </row>
    <row r="3676" spans="1:31" ht="409.5">
      <c r="A3676" s="2">
        <v>2691435</v>
      </c>
      <c r="B3676" s="2">
        <f>HYPERLINK("https://platform.v2.vetology.net/cases/2691435/screening-report/1?type=pdf&amp;v=v6&amp;scorecard=1&amp;secret_key=BX%25IJ%24%2F65ieZ%29f6", 2691435)</f>
        <v>2691435</v>
      </c>
      <c r="C3676" s="2">
        <f>HYPERLINK("https://platform.v2.vetology.net/report/v/final/"&amp;2691435, 2691435)</f>
        <v>2691435</v>
      </c>
      <c r="D3676" s="2" t="s">
        <v>11621</v>
      </c>
      <c r="E3676" s="2" t="s">
        <v>11622</v>
      </c>
      <c r="F3676" s="2" t="s">
        <v>11623</v>
      </c>
      <c r="G3676" s="2" t="s">
        <v>127</v>
      </c>
      <c r="H3676" s="2" t="s">
        <v>11624</v>
      </c>
      <c r="I3676" s="2" t="s">
        <v>129</v>
      </c>
      <c r="J3676" s="2" t="s">
        <v>74</v>
      </c>
      <c r="K3676" s="2" t="s">
        <v>38</v>
      </c>
      <c r="L3676" s="2" t="s">
        <v>39</v>
      </c>
      <c r="M3676" s="2" t="s">
        <v>39</v>
      </c>
      <c r="N3676" s="2" t="s">
        <v>38</v>
      </c>
      <c r="O3676" s="2" t="s">
        <v>38</v>
      </c>
      <c r="P3676" s="2" t="s">
        <v>39</v>
      </c>
      <c r="Q3676" s="2" t="s">
        <v>38</v>
      </c>
      <c r="R3676" s="2" t="s">
        <v>39</v>
      </c>
      <c r="S3676" s="2" t="s">
        <v>38</v>
      </c>
      <c r="T3676" s="2" t="s">
        <v>39</v>
      </c>
      <c r="U3676" s="2" t="s">
        <v>38</v>
      </c>
      <c r="V3676" s="2" t="s">
        <v>39</v>
      </c>
      <c r="W3676" s="2" t="s">
        <v>39</v>
      </c>
      <c r="X3676" s="2" t="s">
        <v>38</v>
      </c>
      <c r="Y3676" s="2" t="s">
        <v>39</v>
      </c>
      <c r="Z3676" s="2" t="s">
        <v>39</v>
      </c>
      <c r="AA3676" s="2" t="s">
        <v>39</v>
      </c>
      <c r="AB3676" s="2" t="s">
        <v>38</v>
      </c>
      <c r="AC3676" s="2" t="s">
        <v>39</v>
      </c>
      <c r="AD3676" s="2" t="s">
        <v>38</v>
      </c>
      <c r="AE3676" s="2" t="s">
        <v>39</v>
      </c>
    </row>
    <row r="3677" spans="1:31" ht="409.5">
      <c r="A3677" s="2">
        <v>2691402</v>
      </c>
      <c r="B3677" s="2">
        <f>HYPERLINK("https://platform.v2.vetology.net/cases/2691402/screening-report/1?type=pdf&amp;v=v6&amp;scorecard=1&amp;secret_key=BX%25IJ%24%2F65ieZ%29f6", 2691402)</f>
        <v>2691402</v>
      </c>
      <c r="C3677" s="2">
        <f>HYPERLINK("https://platform.v2.vetology.net/report/v/final/"&amp;2691402, 2691402)</f>
        <v>2691402</v>
      </c>
      <c r="D3677" s="2" t="s">
        <v>11625</v>
      </c>
      <c r="E3677" s="2" t="s">
        <v>11626</v>
      </c>
      <c r="F3677" s="2" t="s">
        <v>43</v>
      </c>
      <c r="G3677" s="2" t="s">
        <v>44</v>
      </c>
      <c r="H3677" s="2" t="s">
        <v>11627</v>
      </c>
      <c r="I3677" s="2" t="s">
        <v>59</v>
      </c>
      <c r="J3677" s="2" t="s">
        <v>37</v>
      </c>
      <c r="K3677" s="2" t="s">
        <v>39</v>
      </c>
      <c r="L3677" s="2" t="s">
        <v>39</v>
      </c>
      <c r="M3677" s="2" t="s">
        <v>39</v>
      </c>
      <c r="N3677" s="2" t="s">
        <v>38</v>
      </c>
      <c r="O3677" s="2" t="s">
        <v>38</v>
      </c>
      <c r="P3677" s="2" t="s">
        <v>39</v>
      </c>
      <c r="Q3677" s="2" t="s">
        <v>39</v>
      </c>
      <c r="R3677" s="2" t="s">
        <v>39</v>
      </c>
      <c r="S3677" s="2" t="s">
        <v>39</v>
      </c>
      <c r="T3677" s="2" t="s">
        <v>38</v>
      </c>
      <c r="U3677" s="2" t="s">
        <v>39</v>
      </c>
      <c r="V3677" s="2" t="s">
        <v>39</v>
      </c>
      <c r="W3677" s="2" t="s">
        <v>39</v>
      </c>
      <c r="X3677" s="2" t="s">
        <v>39</v>
      </c>
      <c r="Y3677" s="2" t="s">
        <v>39</v>
      </c>
      <c r="Z3677" s="2" t="s">
        <v>38</v>
      </c>
      <c r="AA3677" s="2" t="s">
        <v>39</v>
      </c>
      <c r="AB3677" s="2" t="s">
        <v>39</v>
      </c>
      <c r="AC3677" s="2" t="s">
        <v>38</v>
      </c>
      <c r="AD3677" s="2" t="s">
        <v>39</v>
      </c>
      <c r="AE3677" s="2" t="s">
        <v>39</v>
      </c>
    </row>
    <row r="3678" spans="1:31" ht="409.5">
      <c r="A3678" s="2">
        <v>2691352</v>
      </c>
      <c r="B3678" s="2">
        <f>HYPERLINK("https://platform.v2.vetology.net/cases/2691352/screening-report/1?type=pdf&amp;v=v6&amp;scorecard=1&amp;secret_key=BX%25IJ%24%2F65ieZ%29f6", 2691352)</f>
        <v>2691352</v>
      </c>
      <c r="C3678" s="2">
        <f>HYPERLINK("https://platform.v2.vetology.net/report/v/final/"&amp;2691352, 2691352)</f>
        <v>2691352</v>
      </c>
      <c r="D3678" s="2" t="s">
        <v>11628</v>
      </c>
      <c r="E3678" s="2" t="s">
        <v>11629</v>
      </c>
      <c r="F3678" s="2" t="s">
        <v>11630</v>
      </c>
      <c r="G3678" s="2" t="s">
        <v>34</v>
      </c>
      <c r="H3678" s="2" t="s">
        <v>11631</v>
      </c>
      <c r="I3678" s="2" t="s">
        <v>73</v>
      </c>
      <c r="J3678" s="2" t="s">
        <v>74</v>
      </c>
      <c r="K3678" s="2" t="s">
        <v>38</v>
      </c>
      <c r="L3678" s="2" t="s">
        <v>38</v>
      </c>
      <c r="M3678" s="2" t="s">
        <v>38</v>
      </c>
      <c r="N3678" s="2" t="s">
        <v>38</v>
      </c>
      <c r="O3678" s="2" t="s">
        <v>38</v>
      </c>
      <c r="P3678" s="2" t="s">
        <v>38</v>
      </c>
      <c r="Q3678" s="2" t="s">
        <v>38</v>
      </c>
      <c r="R3678" s="2" t="s">
        <v>38</v>
      </c>
      <c r="S3678" s="2" t="s">
        <v>38</v>
      </c>
      <c r="T3678" s="2" t="s">
        <v>38</v>
      </c>
      <c r="U3678" s="2" t="s">
        <v>39</v>
      </c>
      <c r="V3678" s="2" t="s">
        <v>38</v>
      </c>
      <c r="W3678" s="2" t="s">
        <v>38</v>
      </c>
      <c r="X3678" s="2" t="s">
        <v>38</v>
      </c>
      <c r="Y3678" s="2" t="s">
        <v>38</v>
      </c>
      <c r="Z3678" s="2" t="s">
        <v>38</v>
      </c>
      <c r="AA3678" s="2" t="s">
        <v>38</v>
      </c>
      <c r="AB3678" s="2" t="s">
        <v>38</v>
      </c>
      <c r="AC3678" s="2" t="s">
        <v>38</v>
      </c>
      <c r="AD3678" s="2" t="s">
        <v>38</v>
      </c>
      <c r="AE3678" s="2" t="s">
        <v>40</v>
      </c>
    </row>
    <row r="3679" spans="1:31" ht="409.5">
      <c r="A3679" s="2">
        <v>2691317</v>
      </c>
      <c r="B3679" s="2">
        <f>HYPERLINK("https://platform.v2.vetology.net/cases/2691317/screening-report/1?type=pdf&amp;v=v6&amp;scorecard=1&amp;secret_key=BX%25IJ%24%2F65ieZ%29f6", 2691317)</f>
        <v>2691317</v>
      </c>
      <c r="C3679" s="2">
        <f>HYPERLINK("https://platform.v2.vetology.net/report/v/final/"&amp;2691317, 2691317)</f>
        <v>2691317</v>
      </c>
      <c r="D3679" s="2" t="s">
        <v>11632</v>
      </c>
      <c r="E3679" s="2" t="s">
        <v>11633</v>
      </c>
      <c r="F3679" s="2" t="s">
        <v>11634</v>
      </c>
      <c r="G3679" s="2" t="s">
        <v>44</v>
      </c>
      <c r="H3679" s="2" t="s">
        <v>11635</v>
      </c>
      <c r="I3679" s="2" t="s">
        <v>129</v>
      </c>
      <c r="J3679" s="2" t="s">
        <v>74</v>
      </c>
      <c r="K3679" s="2" t="s">
        <v>39</v>
      </c>
      <c r="L3679" s="2" t="s">
        <v>39</v>
      </c>
      <c r="M3679" s="2" t="s">
        <v>38</v>
      </c>
      <c r="N3679" s="2" t="s">
        <v>39</v>
      </c>
      <c r="O3679" s="2" t="s">
        <v>38</v>
      </c>
      <c r="P3679" s="2" t="s">
        <v>38</v>
      </c>
      <c r="Q3679" s="2" t="s">
        <v>38</v>
      </c>
      <c r="R3679" s="2" t="s">
        <v>39</v>
      </c>
      <c r="S3679" s="2" t="s">
        <v>39</v>
      </c>
      <c r="T3679" s="2" t="s">
        <v>38</v>
      </c>
      <c r="U3679" s="2" t="s">
        <v>39</v>
      </c>
      <c r="V3679" s="2" t="s">
        <v>39</v>
      </c>
      <c r="W3679" s="2" t="s">
        <v>38</v>
      </c>
      <c r="X3679" s="2" t="s">
        <v>38</v>
      </c>
      <c r="Y3679" s="2" t="s">
        <v>39</v>
      </c>
      <c r="Z3679" s="2" t="s">
        <v>38</v>
      </c>
      <c r="AA3679" s="2" t="s">
        <v>38</v>
      </c>
      <c r="AB3679" s="2" t="s">
        <v>38</v>
      </c>
      <c r="AC3679" s="2" t="s">
        <v>38</v>
      </c>
      <c r="AD3679" s="2" t="s">
        <v>39</v>
      </c>
      <c r="AE3679" s="2" t="s">
        <v>39</v>
      </c>
    </row>
    <row r="3680" spans="1:31" ht="409.5">
      <c r="A3680" s="2">
        <v>2691311</v>
      </c>
      <c r="B3680" s="2">
        <f>HYPERLINK("https://platform.v2.vetology.net/cases/2691311/screening-report/1?type=pdf&amp;v=v6&amp;scorecard=1&amp;secret_key=BX%25IJ%24%2F65ieZ%29f6", 2691311)</f>
        <v>2691311</v>
      </c>
      <c r="C3680" s="2">
        <f>HYPERLINK("https://platform.v2.vetology.net/report/v/final/"&amp;2691311, 2691311)</f>
        <v>2691311</v>
      </c>
      <c r="D3680" s="2" t="s">
        <v>11636</v>
      </c>
      <c r="E3680" s="2" t="s">
        <v>11637</v>
      </c>
      <c r="F3680" s="2" t="s">
        <v>610</v>
      </c>
      <c r="G3680" s="2" t="s">
        <v>251</v>
      </c>
      <c r="H3680" s="2" t="s">
        <v>69</v>
      </c>
      <c r="I3680" s="2" t="s">
        <v>46</v>
      </c>
      <c r="J3680" s="2"/>
      <c r="K3680" s="2" t="s">
        <v>39</v>
      </c>
      <c r="L3680" s="2" t="s">
        <v>39</v>
      </c>
      <c r="M3680" s="2" t="s">
        <v>39</v>
      </c>
      <c r="N3680" s="2" t="s">
        <v>39</v>
      </c>
      <c r="O3680" s="2" t="s">
        <v>39</v>
      </c>
      <c r="P3680" s="2" t="s">
        <v>39</v>
      </c>
      <c r="Q3680" s="2" t="s">
        <v>39</v>
      </c>
      <c r="R3680" s="2" t="s">
        <v>39</v>
      </c>
      <c r="S3680" s="2" t="s">
        <v>39</v>
      </c>
      <c r="T3680" s="2" t="s">
        <v>39</v>
      </c>
      <c r="U3680" s="2" t="s">
        <v>39</v>
      </c>
      <c r="V3680" s="2" t="s">
        <v>39</v>
      </c>
      <c r="W3680" s="2" t="s">
        <v>39</v>
      </c>
      <c r="X3680" s="2" t="s">
        <v>39</v>
      </c>
      <c r="Y3680" s="2" t="s">
        <v>39</v>
      </c>
      <c r="Z3680" s="2" t="s">
        <v>39</v>
      </c>
      <c r="AA3680" s="2" t="s">
        <v>39</v>
      </c>
      <c r="AB3680" s="2" t="s">
        <v>39</v>
      </c>
      <c r="AC3680" s="2" t="s">
        <v>39</v>
      </c>
      <c r="AD3680" s="2" t="s">
        <v>38</v>
      </c>
      <c r="AE3680" s="2" t="s">
        <v>39</v>
      </c>
    </row>
    <row r="3681" spans="1:31" ht="409.5">
      <c r="A3681" s="2">
        <v>2691305</v>
      </c>
      <c r="B3681" s="2">
        <f>HYPERLINK("https://platform.v2.vetology.net/cases/2691305/screening-report/1?type=pdf&amp;v=v6&amp;scorecard=1&amp;secret_key=BX%25IJ%24%2F65ieZ%29f6", 2691305)</f>
        <v>2691305</v>
      </c>
      <c r="C3681" s="2">
        <f>HYPERLINK("https://platform.v2.vetology.net/report/v/final/"&amp;2691305, 2691305)</f>
        <v>2691305</v>
      </c>
      <c r="D3681" s="2" t="s">
        <v>11638</v>
      </c>
      <c r="E3681" s="2" t="s">
        <v>11639</v>
      </c>
      <c r="F3681" s="2" t="s">
        <v>11640</v>
      </c>
      <c r="G3681" s="2" t="s">
        <v>53</v>
      </c>
      <c r="H3681" s="2" t="s">
        <v>5445</v>
      </c>
      <c r="I3681" s="2" t="s">
        <v>36</v>
      </c>
      <c r="J3681" s="2" t="s">
        <v>37</v>
      </c>
      <c r="K3681" s="2" t="s">
        <v>38</v>
      </c>
      <c r="L3681" s="2" t="s">
        <v>39</v>
      </c>
      <c r="M3681" s="2" t="s">
        <v>38</v>
      </c>
      <c r="N3681" s="2" t="s">
        <v>39</v>
      </c>
      <c r="O3681" s="2" t="s">
        <v>38</v>
      </c>
      <c r="P3681" s="2" t="s">
        <v>39</v>
      </c>
      <c r="Q3681" s="2" t="s">
        <v>39</v>
      </c>
      <c r="R3681" s="2" t="s">
        <v>39</v>
      </c>
      <c r="S3681" s="2" t="s">
        <v>39</v>
      </c>
      <c r="T3681" s="2" t="s">
        <v>39</v>
      </c>
      <c r="U3681" s="2" t="s">
        <v>39</v>
      </c>
      <c r="V3681" s="2" t="s">
        <v>38</v>
      </c>
      <c r="W3681" s="2" t="s">
        <v>39</v>
      </c>
      <c r="X3681" s="2" t="s">
        <v>39</v>
      </c>
      <c r="Y3681" s="2" t="s">
        <v>39</v>
      </c>
      <c r="Z3681" s="2" t="s">
        <v>38</v>
      </c>
      <c r="AA3681" s="2" t="s">
        <v>39</v>
      </c>
      <c r="AB3681" s="2" t="s">
        <v>39</v>
      </c>
      <c r="AC3681" s="2" t="s">
        <v>38</v>
      </c>
      <c r="AD3681" s="2" t="s">
        <v>39</v>
      </c>
      <c r="AE3681" s="2" t="s">
        <v>40</v>
      </c>
    </row>
    <row r="3682" spans="1:31" ht="409.5">
      <c r="A3682" s="2">
        <v>2691290</v>
      </c>
      <c r="B3682" s="2">
        <f>HYPERLINK("https://platform.v2.vetology.net/cases/2691290/screening-report/1?type=pdf&amp;v=v6&amp;scorecard=1&amp;secret_key=BX%25IJ%24%2F65ieZ%29f6", 2691290)</f>
        <v>2691290</v>
      </c>
      <c r="C3682" s="2">
        <f>HYPERLINK("https://platform.v2.vetology.net/report/v/final/"&amp;2691290, 2691290)</f>
        <v>2691290</v>
      </c>
      <c r="D3682" s="2" t="s">
        <v>11641</v>
      </c>
      <c r="E3682" s="2" t="s">
        <v>11642</v>
      </c>
      <c r="F3682" s="2" t="s">
        <v>43</v>
      </c>
      <c r="G3682" s="2" t="s">
        <v>44</v>
      </c>
      <c r="H3682" s="2" t="s">
        <v>11643</v>
      </c>
      <c r="I3682" s="2" t="s">
        <v>129</v>
      </c>
      <c r="J3682" s="2" t="s">
        <v>74</v>
      </c>
      <c r="K3682" s="2" t="s">
        <v>38</v>
      </c>
      <c r="L3682" s="2" t="s">
        <v>39</v>
      </c>
      <c r="M3682" s="2" t="s">
        <v>38</v>
      </c>
      <c r="N3682" s="2" t="s">
        <v>39</v>
      </c>
      <c r="O3682" s="2" t="s">
        <v>38</v>
      </c>
      <c r="P3682" s="2" t="s">
        <v>38</v>
      </c>
      <c r="Q3682" s="2" t="s">
        <v>38</v>
      </c>
      <c r="R3682" s="2" t="s">
        <v>39</v>
      </c>
      <c r="S3682" s="2" t="s">
        <v>39</v>
      </c>
      <c r="T3682" s="2" t="s">
        <v>38</v>
      </c>
      <c r="U3682" s="2" t="s">
        <v>39</v>
      </c>
      <c r="V3682" s="2" t="s">
        <v>38</v>
      </c>
      <c r="W3682" s="2" t="s">
        <v>38</v>
      </c>
      <c r="X3682" s="2" t="s">
        <v>38</v>
      </c>
      <c r="Y3682" s="2" t="s">
        <v>39</v>
      </c>
      <c r="Z3682" s="2" t="s">
        <v>39</v>
      </c>
      <c r="AA3682" s="2" t="s">
        <v>39</v>
      </c>
      <c r="AB3682" s="2" t="s">
        <v>38</v>
      </c>
      <c r="AC3682" s="2" t="s">
        <v>38</v>
      </c>
      <c r="AD3682" s="2" t="s">
        <v>38</v>
      </c>
      <c r="AE3682" s="2" t="s">
        <v>40</v>
      </c>
    </row>
    <row r="3683" spans="1:31" ht="409.5">
      <c r="A3683" s="2">
        <v>2691289</v>
      </c>
      <c r="B3683" s="2">
        <f>HYPERLINK("https://platform.v2.vetology.net/cases/2691289/screening-report/1?type=pdf&amp;v=v6&amp;scorecard=1&amp;secret_key=BX%25IJ%24%2F65ieZ%29f6", 2691289)</f>
        <v>2691289</v>
      </c>
      <c r="C3683" s="2">
        <f>HYPERLINK("https://platform.v2.vetology.net/report/v/final/"&amp;2691289, 2691289)</f>
        <v>2691289</v>
      </c>
      <c r="D3683" s="2" t="s">
        <v>11644</v>
      </c>
      <c r="E3683" s="2" t="s">
        <v>11645</v>
      </c>
      <c r="F3683" s="2" t="s">
        <v>43</v>
      </c>
      <c r="G3683" s="2" t="s">
        <v>100</v>
      </c>
      <c r="H3683" s="2" t="s">
        <v>277</v>
      </c>
      <c r="I3683" s="2" t="s">
        <v>46</v>
      </c>
      <c r="J3683" s="2"/>
      <c r="K3683" s="2" t="s">
        <v>39</v>
      </c>
      <c r="L3683" s="2" t="s">
        <v>38</v>
      </c>
      <c r="M3683" s="2" t="s">
        <v>39</v>
      </c>
      <c r="N3683" s="2" t="s">
        <v>39</v>
      </c>
      <c r="O3683" s="2" t="s">
        <v>39</v>
      </c>
      <c r="P3683" s="2" t="s">
        <v>39</v>
      </c>
      <c r="Q3683" s="2" t="s">
        <v>39</v>
      </c>
      <c r="R3683" s="2" t="s">
        <v>39</v>
      </c>
      <c r="S3683" s="2" t="s">
        <v>39</v>
      </c>
      <c r="T3683" s="2" t="s">
        <v>39</v>
      </c>
      <c r="U3683" s="2" t="s">
        <v>39</v>
      </c>
      <c r="V3683" s="2" t="s">
        <v>39</v>
      </c>
      <c r="W3683" s="2" t="s">
        <v>38</v>
      </c>
      <c r="X3683" s="2" t="s">
        <v>39</v>
      </c>
      <c r="Y3683" s="2" t="s">
        <v>39</v>
      </c>
      <c r="Z3683" s="2" t="s">
        <v>38</v>
      </c>
      <c r="AA3683" s="2" t="s">
        <v>39</v>
      </c>
      <c r="AB3683" s="2" t="s">
        <v>39</v>
      </c>
      <c r="AC3683" s="2" t="s">
        <v>38</v>
      </c>
      <c r="AD3683" s="2" t="s">
        <v>39</v>
      </c>
      <c r="AE3683" s="2"/>
    </row>
    <row r="3684" spans="1:31" ht="409.5">
      <c r="A3684" s="2">
        <v>2691286</v>
      </c>
      <c r="B3684" s="2">
        <f>HYPERLINK("https://platform.v2.vetology.net/cases/2691286/screening-report/1?type=pdf&amp;v=v6&amp;scorecard=1&amp;secret_key=BX%25IJ%24%2F65ieZ%29f6", 2691286)</f>
        <v>2691286</v>
      </c>
      <c r="C3684" s="2">
        <f>HYPERLINK("https://platform.v2.vetology.net/report/v/final/"&amp;2691286, 2691286)</f>
        <v>2691286</v>
      </c>
      <c r="D3684" s="2" t="s">
        <v>11646</v>
      </c>
      <c r="E3684" s="2" t="s">
        <v>11647</v>
      </c>
      <c r="F3684" s="2" t="s">
        <v>43</v>
      </c>
      <c r="G3684" s="2" t="s">
        <v>44</v>
      </c>
      <c r="H3684" s="2" t="s">
        <v>69</v>
      </c>
      <c r="I3684" s="2" t="s">
        <v>46</v>
      </c>
      <c r="J3684" s="2"/>
      <c r="K3684" s="2" t="s">
        <v>39</v>
      </c>
      <c r="L3684" s="2" t="s">
        <v>39</v>
      </c>
      <c r="M3684" s="2" t="s">
        <v>39</v>
      </c>
      <c r="N3684" s="2" t="s">
        <v>39</v>
      </c>
      <c r="O3684" s="2" t="s">
        <v>39</v>
      </c>
      <c r="P3684" s="2" t="s">
        <v>39</v>
      </c>
      <c r="Q3684" s="2" t="s">
        <v>39</v>
      </c>
      <c r="R3684" s="2" t="s">
        <v>39</v>
      </c>
      <c r="S3684" s="2" t="s">
        <v>39</v>
      </c>
      <c r="T3684" s="2" t="s">
        <v>38</v>
      </c>
      <c r="U3684" s="2" t="s">
        <v>39</v>
      </c>
      <c r="V3684" s="2" t="s">
        <v>39</v>
      </c>
      <c r="W3684" s="2" t="s">
        <v>38</v>
      </c>
      <c r="X3684" s="2" t="s">
        <v>39</v>
      </c>
      <c r="Y3684" s="2" t="s">
        <v>39</v>
      </c>
      <c r="Z3684" s="2" t="s">
        <v>38</v>
      </c>
      <c r="AA3684" s="2" t="s">
        <v>39</v>
      </c>
      <c r="AB3684" s="2" t="s">
        <v>39</v>
      </c>
      <c r="AC3684" s="2" t="s">
        <v>38</v>
      </c>
      <c r="AD3684" s="2" t="s">
        <v>39</v>
      </c>
      <c r="AE3684" s="2" t="s">
        <v>39</v>
      </c>
    </row>
    <row r="3685" spans="1:31" ht="409.5">
      <c r="A3685" s="2">
        <v>2691278</v>
      </c>
      <c r="B3685" s="2">
        <f>HYPERLINK("https://platform.v2.vetology.net/cases/2691278/screening-report/1?type=pdf&amp;v=v6&amp;scorecard=1&amp;secret_key=BX%25IJ%24%2F65ieZ%29f6", 2691278)</f>
        <v>2691278</v>
      </c>
      <c r="C3685" s="2">
        <f>HYPERLINK("https://platform.v2.vetology.net/report/v/final/"&amp;2691278, 2691278)</f>
        <v>2691278</v>
      </c>
      <c r="D3685" s="2" t="s">
        <v>11648</v>
      </c>
      <c r="E3685" s="2" t="s">
        <v>11649</v>
      </c>
      <c r="F3685" s="2" t="s">
        <v>11650</v>
      </c>
      <c r="G3685" s="2" t="s">
        <v>170</v>
      </c>
      <c r="H3685" s="2" t="s">
        <v>11651</v>
      </c>
      <c r="I3685" s="2" t="s">
        <v>73</v>
      </c>
      <c r="J3685" s="2" t="s">
        <v>74</v>
      </c>
      <c r="K3685" s="2" t="s">
        <v>38</v>
      </c>
      <c r="L3685" s="2" t="s">
        <v>38</v>
      </c>
      <c r="M3685" s="2" t="s">
        <v>38</v>
      </c>
      <c r="N3685" s="2" t="s">
        <v>38</v>
      </c>
      <c r="O3685" s="2" t="s">
        <v>38</v>
      </c>
      <c r="P3685" s="2" t="s">
        <v>38</v>
      </c>
      <c r="Q3685" s="2" t="s">
        <v>38</v>
      </c>
      <c r="R3685" s="2" t="s">
        <v>38</v>
      </c>
      <c r="S3685" s="2" t="s">
        <v>38</v>
      </c>
      <c r="T3685" s="2" t="s">
        <v>38</v>
      </c>
      <c r="U3685" s="2" t="s">
        <v>38</v>
      </c>
      <c r="V3685" s="2" t="s">
        <v>38</v>
      </c>
      <c r="W3685" s="2" t="s">
        <v>38</v>
      </c>
      <c r="X3685" s="2" t="s">
        <v>38</v>
      </c>
      <c r="Y3685" s="2" t="s">
        <v>38</v>
      </c>
      <c r="Z3685" s="2" t="s">
        <v>38</v>
      </c>
      <c r="AA3685" s="2" t="s">
        <v>38</v>
      </c>
      <c r="AB3685" s="2" t="s">
        <v>38</v>
      </c>
      <c r="AC3685" s="2" t="s">
        <v>38</v>
      </c>
      <c r="AD3685" s="2" t="s">
        <v>38</v>
      </c>
      <c r="AE3685" s="2" t="s">
        <v>39</v>
      </c>
    </row>
    <row r="3686" spans="1:31" ht="409.5">
      <c r="A3686" s="2">
        <v>2691227</v>
      </c>
      <c r="B3686" s="2">
        <f>HYPERLINK("https://platform.v2.vetology.net/cases/2691227/screening-report/1?type=pdf&amp;v=v6&amp;scorecard=1&amp;secret_key=BX%25IJ%24%2F65ieZ%29f6", 2691227)</f>
        <v>2691227</v>
      </c>
      <c r="C3686" s="2">
        <f>HYPERLINK("https://platform.v2.vetology.net/report/v/final/"&amp;2691227, 2691227)</f>
        <v>2691227</v>
      </c>
      <c r="D3686" s="2" t="s">
        <v>11652</v>
      </c>
      <c r="E3686" s="2" t="s">
        <v>11653</v>
      </c>
      <c r="F3686" s="2" t="s">
        <v>43</v>
      </c>
      <c r="G3686" s="2" t="s">
        <v>44</v>
      </c>
      <c r="H3686" s="2" t="s">
        <v>11654</v>
      </c>
      <c r="I3686" s="2" t="s">
        <v>129</v>
      </c>
      <c r="J3686" s="2" t="s">
        <v>74</v>
      </c>
      <c r="K3686" s="2" t="s">
        <v>38</v>
      </c>
      <c r="L3686" s="2" t="s">
        <v>38</v>
      </c>
      <c r="M3686" s="2" t="s">
        <v>38</v>
      </c>
      <c r="N3686" s="2" t="s">
        <v>38</v>
      </c>
      <c r="O3686" s="2" t="s">
        <v>38</v>
      </c>
      <c r="P3686" s="2" t="s">
        <v>38</v>
      </c>
      <c r="Q3686" s="2" t="s">
        <v>38</v>
      </c>
      <c r="R3686" s="2" t="s">
        <v>38</v>
      </c>
      <c r="S3686" s="2" t="s">
        <v>38</v>
      </c>
      <c r="T3686" s="2" t="s">
        <v>38</v>
      </c>
      <c r="U3686" s="2" t="s">
        <v>38</v>
      </c>
      <c r="V3686" s="2" t="s">
        <v>38</v>
      </c>
      <c r="W3686" s="2" t="s">
        <v>38</v>
      </c>
      <c r="X3686" s="2" t="s">
        <v>39</v>
      </c>
      <c r="Y3686" s="2" t="s">
        <v>39</v>
      </c>
      <c r="Z3686" s="2" t="s">
        <v>38</v>
      </c>
      <c r="AA3686" s="2" t="s">
        <v>38</v>
      </c>
      <c r="AB3686" s="2" t="s">
        <v>38</v>
      </c>
      <c r="AC3686" s="2" t="s">
        <v>38</v>
      </c>
      <c r="AD3686" s="2" t="s">
        <v>38</v>
      </c>
      <c r="AE3686" s="2" t="s">
        <v>39</v>
      </c>
    </row>
    <row r="3687" spans="1:31" ht="409.5">
      <c r="A3687" s="2">
        <v>2691223</v>
      </c>
      <c r="B3687" s="2">
        <f>HYPERLINK("https://platform.v2.vetology.net/cases/2691223/screening-report/1?type=pdf&amp;v=v6&amp;scorecard=1&amp;secret_key=BX%25IJ%24%2F65ieZ%29f6", 2691223)</f>
        <v>2691223</v>
      </c>
      <c r="C3687" s="2">
        <f>HYPERLINK("https://platform.v2.vetology.net/report/v/final/"&amp;2691223, 2691223)</f>
        <v>2691223</v>
      </c>
      <c r="D3687" s="2" t="s">
        <v>11655</v>
      </c>
      <c r="E3687" s="2" t="s">
        <v>11656</v>
      </c>
      <c r="F3687" s="2" t="s">
        <v>11657</v>
      </c>
      <c r="G3687" s="2" t="s">
        <v>53</v>
      </c>
      <c r="H3687" s="2" t="s">
        <v>11658</v>
      </c>
      <c r="I3687" s="2" t="s">
        <v>36</v>
      </c>
      <c r="J3687" s="2" t="s">
        <v>37</v>
      </c>
      <c r="K3687" s="2" t="s">
        <v>38</v>
      </c>
      <c r="L3687" s="2" t="s">
        <v>38</v>
      </c>
      <c r="M3687" s="2" t="s">
        <v>39</v>
      </c>
      <c r="N3687" s="2" t="s">
        <v>38</v>
      </c>
      <c r="O3687" s="2" t="s">
        <v>38</v>
      </c>
      <c r="P3687" s="2" t="s">
        <v>39</v>
      </c>
      <c r="Q3687" s="2" t="s">
        <v>39</v>
      </c>
      <c r="R3687" s="2" t="s">
        <v>38</v>
      </c>
      <c r="S3687" s="2" t="s">
        <v>38</v>
      </c>
      <c r="T3687" s="2" t="s">
        <v>38</v>
      </c>
      <c r="U3687" s="2" t="s">
        <v>38</v>
      </c>
      <c r="V3687" s="2" t="s">
        <v>39</v>
      </c>
      <c r="W3687" s="2" t="s">
        <v>38</v>
      </c>
      <c r="X3687" s="2" t="s">
        <v>39</v>
      </c>
      <c r="Y3687" s="2" t="s">
        <v>39</v>
      </c>
      <c r="Z3687" s="2" t="s">
        <v>38</v>
      </c>
      <c r="AA3687" s="2" t="s">
        <v>38</v>
      </c>
      <c r="AB3687" s="2" t="s">
        <v>39</v>
      </c>
      <c r="AC3687" s="2" t="s">
        <v>38</v>
      </c>
      <c r="AD3687" s="2" t="s">
        <v>38</v>
      </c>
      <c r="AE3687" s="2" t="s">
        <v>39</v>
      </c>
    </row>
    <row r="3688" spans="1:31" ht="409.5">
      <c r="A3688" s="2">
        <v>2691196</v>
      </c>
      <c r="B3688" s="2">
        <f>HYPERLINK("https://platform.v2.vetology.net/cases/2691196/screening-report/1?type=pdf&amp;v=v6&amp;scorecard=1&amp;secret_key=BX%25IJ%24%2F65ieZ%29f6", 2691196)</f>
        <v>2691196</v>
      </c>
      <c r="C3688" s="2">
        <f>HYPERLINK("https://platform.v2.vetology.net/report/v/final/"&amp;2691196, 2691196)</f>
        <v>2691196</v>
      </c>
      <c r="D3688" s="2" t="s">
        <v>11659</v>
      </c>
      <c r="E3688" s="2" t="s">
        <v>11660</v>
      </c>
      <c r="F3688" s="2" t="s">
        <v>11661</v>
      </c>
      <c r="G3688" s="2" t="s">
        <v>53</v>
      </c>
      <c r="H3688" s="2" t="s">
        <v>530</v>
      </c>
      <c r="I3688" s="2" t="s">
        <v>59</v>
      </c>
      <c r="J3688" s="2" t="s">
        <v>37</v>
      </c>
      <c r="K3688" s="2" t="s">
        <v>38</v>
      </c>
      <c r="L3688" s="2" t="s">
        <v>39</v>
      </c>
      <c r="M3688" s="2" t="s">
        <v>39</v>
      </c>
      <c r="N3688" s="2" t="s">
        <v>39</v>
      </c>
      <c r="O3688" s="2" t="s">
        <v>39</v>
      </c>
      <c r="P3688" s="2" t="s">
        <v>39</v>
      </c>
      <c r="Q3688" s="2" t="s">
        <v>39</v>
      </c>
      <c r="R3688" s="2" t="s">
        <v>39</v>
      </c>
      <c r="S3688" s="2" t="s">
        <v>39</v>
      </c>
      <c r="T3688" s="2" t="s">
        <v>39</v>
      </c>
      <c r="U3688" s="2" t="s">
        <v>38</v>
      </c>
      <c r="V3688" s="2" t="s">
        <v>38</v>
      </c>
      <c r="W3688" s="2" t="s">
        <v>39</v>
      </c>
      <c r="X3688" s="2" t="s">
        <v>39</v>
      </c>
      <c r="Y3688" s="2" t="s">
        <v>39</v>
      </c>
      <c r="Z3688" s="2" t="s">
        <v>38</v>
      </c>
      <c r="AA3688" s="2" t="s">
        <v>39</v>
      </c>
      <c r="AB3688" s="2" t="s">
        <v>39</v>
      </c>
      <c r="AC3688" s="2" t="s">
        <v>38</v>
      </c>
      <c r="AD3688" s="2" t="s">
        <v>39</v>
      </c>
      <c r="AE3688" s="2" t="s">
        <v>39</v>
      </c>
    </row>
    <row r="3689" spans="1:31" ht="409.5">
      <c r="A3689" s="2">
        <v>2691192</v>
      </c>
      <c r="B3689" s="2">
        <f>HYPERLINK("https://platform.v2.vetology.net/cases/2691192/screening-report/1?type=pdf&amp;v=v6&amp;scorecard=1&amp;secret_key=BX%25IJ%24%2F65ieZ%29f6", 2691192)</f>
        <v>2691192</v>
      </c>
      <c r="C3689" s="2">
        <f>HYPERLINK("https://platform.v2.vetology.net/report/v/final/"&amp;2691192, 2691192)</f>
        <v>2691192</v>
      </c>
      <c r="D3689" s="2" t="s">
        <v>11662</v>
      </c>
      <c r="E3689" s="2" t="s">
        <v>11663</v>
      </c>
      <c r="F3689" s="2" t="s">
        <v>5055</v>
      </c>
      <c r="G3689" s="2" t="s">
        <v>53</v>
      </c>
      <c r="H3689" s="2" t="s">
        <v>537</v>
      </c>
      <c r="I3689" s="2" t="s">
        <v>59</v>
      </c>
      <c r="J3689" s="2" t="s">
        <v>37</v>
      </c>
      <c r="K3689" s="2" t="s">
        <v>38</v>
      </c>
      <c r="L3689" s="2" t="s">
        <v>39</v>
      </c>
      <c r="M3689" s="2" t="s">
        <v>39</v>
      </c>
      <c r="N3689" s="2" t="s">
        <v>39</v>
      </c>
      <c r="O3689" s="2" t="s">
        <v>39</v>
      </c>
      <c r="P3689" s="2" t="s">
        <v>39</v>
      </c>
      <c r="Q3689" s="2" t="s">
        <v>39</v>
      </c>
      <c r="R3689" s="2" t="s">
        <v>39</v>
      </c>
      <c r="S3689" s="2" t="s">
        <v>39</v>
      </c>
      <c r="T3689" s="2" t="s">
        <v>39</v>
      </c>
      <c r="U3689" s="2" t="s">
        <v>38</v>
      </c>
      <c r="V3689" s="2" t="s">
        <v>38</v>
      </c>
      <c r="W3689" s="2" t="s">
        <v>39</v>
      </c>
      <c r="X3689" s="2" t="s">
        <v>39</v>
      </c>
      <c r="Y3689" s="2" t="s">
        <v>39</v>
      </c>
      <c r="Z3689" s="2" t="s">
        <v>39</v>
      </c>
      <c r="AA3689" s="2" t="s">
        <v>39</v>
      </c>
      <c r="AB3689" s="2" t="s">
        <v>39</v>
      </c>
      <c r="AC3689" s="2" t="s">
        <v>39</v>
      </c>
      <c r="AD3689" s="2" t="s">
        <v>39</v>
      </c>
      <c r="AE3689" s="2" t="s">
        <v>39</v>
      </c>
    </row>
    <row r="3690" spans="1:31" ht="409.5">
      <c r="A3690" s="2">
        <v>2691191</v>
      </c>
      <c r="B3690" s="2">
        <f>HYPERLINK("https://platform.v2.vetology.net/cases/2691191/screening-report/1?type=pdf&amp;v=v6&amp;scorecard=1&amp;secret_key=BX%25IJ%24%2F65ieZ%29f6", 2691191)</f>
        <v>2691191</v>
      </c>
      <c r="C3690" s="2">
        <f>HYPERLINK("https://platform.v2.vetology.net/report/v/final/"&amp;2691191, 2691191)</f>
        <v>2691191</v>
      </c>
      <c r="D3690" s="2" t="s">
        <v>11664</v>
      </c>
      <c r="E3690" s="2" t="s">
        <v>11665</v>
      </c>
      <c r="F3690" s="2" t="s">
        <v>43</v>
      </c>
      <c r="G3690" s="2" t="s">
        <v>44</v>
      </c>
      <c r="H3690" s="2" t="s">
        <v>11666</v>
      </c>
      <c r="I3690" s="2" t="s">
        <v>36</v>
      </c>
      <c r="J3690" s="2" t="s">
        <v>37</v>
      </c>
      <c r="K3690" s="2" t="s">
        <v>39</v>
      </c>
      <c r="L3690" s="2" t="s">
        <v>38</v>
      </c>
      <c r="M3690" s="2" t="s">
        <v>38</v>
      </c>
      <c r="N3690" s="2" t="s">
        <v>38</v>
      </c>
      <c r="O3690" s="2" t="s">
        <v>38</v>
      </c>
      <c r="P3690" s="2" t="s">
        <v>39</v>
      </c>
      <c r="Q3690" s="2" t="s">
        <v>39</v>
      </c>
      <c r="R3690" s="2" t="s">
        <v>39</v>
      </c>
      <c r="S3690" s="2" t="s">
        <v>39</v>
      </c>
      <c r="T3690" s="2" t="s">
        <v>38</v>
      </c>
      <c r="U3690" s="2" t="s">
        <v>38</v>
      </c>
      <c r="V3690" s="2" t="s">
        <v>38</v>
      </c>
      <c r="W3690" s="2" t="s">
        <v>38</v>
      </c>
      <c r="X3690" s="2" t="s">
        <v>39</v>
      </c>
      <c r="Y3690" s="2" t="s">
        <v>39</v>
      </c>
      <c r="Z3690" s="2" t="s">
        <v>38</v>
      </c>
      <c r="AA3690" s="2" t="s">
        <v>39</v>
      </c>
      <c r="AB3690" s="2" t="s">
        <v>39</v>
      </c>
      <c r="AC3690" s="2" t="s">
        <v>39</v>
      </c>
      <c r="AD3690" s="2" t="s">
        <v>38</v>
      </c>
      <c r="AE3690" s="2"/>
    </row>
    <row r="3691" spans="1:31" ht="409.5">
      <c r="A3691" s="2">
        <v>2691183</v>
      </c>
      <c r="B3691" s="2">
        <f>HYPERLINK("https://platform.v2.vetology.net/cases/2691183/screening-report/1?type=pdf&amp;v=v6&amp;scorecard=1&amp;secret_key=BX%25IJ%24%2F65ieZ%29f6", 2691183)</f>
        <v>2691183</v>
      </c>
      <c r="C3691" s="2">
        <f>HYPERLINK("https://platform.v2.vetology.net/report/v/final/"&amp;2691183, 2691183)</f>
        <v>2691183</v>
      </c>
      <c r="D3691" s="2" t="s">
        <v>11667</v>
      </c>
      <c r="E3691" s="2" t="s">
        <v>11668</v>
      </c>
      <c r="F3691" s="2" t="s">
        <v>11669</v>
      </c>
      <c r="G3691" s="2" t="s">
        <v>127</v>
      </c>
      <c r="H3691" s="2" t="s">
        <v>4213</v>
      </c>
      <c r="I3691" s="2" t="s">
        <v>36</v>
      </c>
      <c r="J3691" s="2" t="s">
        <v>37</v>
      </c>
      <c r="K3691" s="2" t="s">
        <v>38</v>
      </c>
      <c r="L3691" s="2" t="s">
        <v>38</v>
      </c>
      <c r="M3691" s="2" t="s">
        <v>39</v>
      </c>
      <c r="N3691" s="2" t="s">
        <v>38</v>
      </c>
      <c r="O3691" s="2" t="s">
        <v>39</v>
      </c>
      <c r="P3691" s="2" t="s">
        <v>39</v>
      </c>
      <c r="Q3691" s="2" t="s">
        <v>39</v>
      </c>
      <c r="R3691" s="2" t="s">
        <v>39</v>
      </c>
      <c r="S3691" s="2" t="s">
        <v>39</v>
      </c>
      <c r="T3691" s="2" t="s">
        <v>39</v>
      </c>
      <c r="U3691" s="2" t="s">
        <v>38</v>
      </c>
      <c r="V3691" s="2" t="s">
        <v>38</v>
      </c>
      <c r="W3691" s="2" t="s">
        <v>39</v>
      </c>
      <c r="X3691" s="2" t="s">
        <v>39</v>
      </c>
      <c r="Y3691" s="2" t="s">
        <v>39</v>
      </c>
      <c r="Z3691" s="2" t="s">
        <v>39</v>
      </c>
      <c r="AA3691" s="2" t="s">
        <v>38</v>
      </c>
      <c r="AB3691" s="2" t="s">
        <v>39</v>
      </c>
      <c r="AC3691" s="2" t="s">
        <v>39</v>
      </c>
      <c r="AD3691" s="2" t="s">
        <v>38</v>
      </c>
      <c r="AE3691" s="2" t="s">
        <v>39</v>
      </c>
    </row>
    <row r="3692" spans="1:31" ht="409.5">
      <c r="A3692" s="2">
        <v>2691157</v>
      </c>
      <c r="B3692" s="2">
        <f>HYPERLINK("https://platform.v2.vetology.net/cases/2691157/screening-report/1?type=pdf&amp;v=v6&amp;scorecard=1&amp;secret_key=BX%25IJ%24%2F65ieZ%29f6", 2691157)</f>
        <v>2691157</v>
      </c>
      <c r="C3692" s="2">
        <f>HYPERLINK("https://platform.v2.vetology.net/report/v/final/"&amp;2691157, 2691157)</f>
        <v>2691157</v>
      </c>
      <c r="D3692" s="2" t="s">
        <v>11670</v>
      </c>
      <c r="E3692" s="2" t="s">
        <v>11671</v>
      </c>
      <c r="F3692" s="2"/>
      <c r="G3692" s="2" t="s">
        <v>44</v>
      </c>
      <c r="H3692" s="2" t="s">
        <v>419</v>
      </c>
      <c r="I3692" s="2" t="s">
        <v>36</v>
      </c>
      <c r="J3692" s="2" t="s">
        <v>37</v>
      </c>
      <c r="K3692" s="2" t="s">
        <v>39</v>
      </c>
      <c r="L3692" s="2" t="s">
        <v>39</v>
      </c>
      <c r="M3692" s="2" t="s">
        <v>38</v>
      </c>
      <c r="N3692" s="2" t="s">
        <v>39</v>
      </c>
      <c r="O3692" s="2" t="s">
        <v>38</v>
      </c>
      <c r="P3692" s="2" t="s">
        <v>39</v>
      </c>
      <c r="Q3692" s="2" t="s">
        <v>39</v>
      </c>
      <c r="R3692" s="2" t="s">
        <v>38</v>
      </c>
      <c r="S3692" s="2" t="s">
        <v>39</v>
      </c>
      <c r="T3692" s="2" t="s">
        <v>39</v>
      </c>
      <c r="U3692" s="2" t="s">
        <v>39</v>
      </c>
      <c r="V3692" s="2" t="s">
        <v>39</v>
      </c>
      <c r="W3692" s="2" t="s">
        <v>38</v>
      </c>
      <c r="X3692" s="2" t="s">
        <v>39</v>
      </c>
      <c r="Y3692" s="2" t="s">
        <v>39</v>
      </c>
      <c r="Z3692" s="2" t="s">
        <v>39</v>
      </c>
      <c r="AA3692" s="2" t="s">
        <v>39</v>
      </c>
      <c r="AB3692" s="2" t="s">
        <v>39</v>
      </c>
      <c r="AC3692" s="2" t="s">
        <v>38</v>
      </c>
      <c r="AD3692" s="2" t="s">
        <v>39</v>
      </c>
      <c r="AE3692" s="2" t="s">
        <v>39</v>
      </c>
    </row>
    <row r="3693" spans="1:31" ht="409.5">
      <c r="A3693" s="2">
        <v>2691153</v>
      </c>
      <c r="B3693" s="2">
        <f>HYPERLINK("https://platform.v2.vetology.net/cases/2691153/screening-report/1?type=pdf&amp;v=v6&amp;scorecard=1&amp;secret_key=BX%25IJ%24%2F65ieZ%29f6", 2691153)</f>
        <v>2691153</v>
      </c>
      <c r="C3693" s="2">
        <f>HYPERLINK("https://platform.v2.vetology.net/report/v/final/"&amp;2691153, 2691153)</f>
        <v>2691153</v>
      </c>
      <c r="D3693" s="2" t="s">
        <v>11672</v>
      </c>
      <c r="E3693" s="2" t="s">
        <v>11673</v>
      </c>
      <c r="F3693" s="2" t="s">
        <v>11674</v>
      </c>
      <c r="G3693" s="2" t="s">
        <v>127</v>
      </c>
      <c r="H3693" s="2" t="s">
        <v>11675</v>
      </c>
      <c r="I3693" s="2" t="s">
        <v>129</v>
      </c>
      <c r="J3693" s="2" t="s">
        <v>74</v>
      </c>
      <c r="K3693" s="2" t="s">
        <v>39</v>
      </c>
      <c r="L3693" s="2" t="s">
        <v>39</v>
      </c>
      <c r="M3693" s="2" t="s">
        <v>38</v>
      </c>
      <c r="N3693" s="2" t="s">
        <v>38</v>
      </c>
      <c r="O3693" s="2" t="s">
        <v>38</v>
      </c>
      <c r="P3693" s="2" t="s">
        <v>38</v>
      </c>
      <c r="Q3693" s="2" t="s">
        <v>38</v>
      </c>
      <c r="R3693" s="2" t="s">
        <v>39</v>
      </c>
      <c r="S3693" s="2" t="s">
        <v>39</v>
      </c>
      <c r="T3693" s="2" t="s">
        <v>38</v>
      </c>
      <c r="U3693" s="2" t="s">
        <v>39</v>
      </c>
      <c r="V3693" s="2" t="s">
        <v>39</v>
      </c>
      <c r="W3693" s="2" t="s">
        <v>38</v>
      </c>
      <c r="X3693" s="2" t="s">
        <v>38</v>
      </c>
      <c r="Y3693" s="2" t="s">
        <v>39</v>
      </c>
      <c r="Z3693" s="2" t="s">
        <v>38</v>
      </c>
      <c r="AA3693" s="2" t="s">
        <v>39</v>
      </c>
      <c r="AB3693" s="2" t="s">
        <v>38</v>
      </c>
      <c r="AC3693" s="2" t="s">
        <v>39</v>
      </c>
      <c r="AD3693" s="2" t="s">
        <v>39</v>
      </c>
      <c r="AE3693" s="2" t="s">
        <v>39</v>
      </c>
    </row>
    <row r="3694" spans="1:31" ht="409.5">
      <c r="A3694" s="2">
        <v>2691150</v>
      </c>
      <c r="B3694" s="2">
        <f>HYPERLINK("https://platform.v2.vetology.net/cases/2691150/screening-report/1?type=pdf&amp;v=v6&amp;scorecard=1&amp;secret_key=BX%25IJ%24%2F65ieZ%29f6", 2691150)</f>
        <v>2691150</v>
      </c>
      <c r="C3694" s="2">
        <f>HYPERLINK("https://platform.v2.vetology.net/report/v/final/"&amp;2691150, 2691150)</f>
        <v>2691150</v>
      </c>
      <c r="D3694" s="2" t="s">
        <v>11676</v>
      </c>
      <c r="E3694" s="2" t="s">
        <v>11677</v>
      </c>
      <c r="F3694" s="2"/>
      <c r="G3694" s="2" t="s">
        <v>81</v>
      </c>
      <c r="H3694" s="2" t="s">
        <v>11678</v>
      </c>
      <c r="I3694" s="2" t="s">
        <v>36</v>
      </c>
      <c r="J3694" s="2" t="s">
        <v>37</v>
      </c>
      <c r="K3694" s="2" t="s">
        <v>38</v>
      </c>
      <c r="L3694" s="2" t="s">
        <v>38</v>
      </c>
      <c r="M3694" s="2" t="s">
        <v>38</v>
      </c>
      <c r="N3694" s="2" t="s">
        <v>39</v>
      </c>
      <c r="O3694" s="2" t="s">
        <v>38</v>
      </c>
      <c r="P3694" s="2" t="s">
        <v>38</v>
      </c>
      <c r="Q3694" s="2" t="s">
        <v>39</v>
      </c>
      <c r="R3694" s="2" t="s">
        <v>38</v>
      </c>
      <c r="S3694" s="2" t="s">
        <v>38</v>
      </c>
      <c r="T3694" s="2" t="s">
        <v>38</v>
      </c>
      <c r="U3694" s="2" t="s">
        <v>38</v>
      </c>
      <c r="V3694" s="2" t="s">
        <v>38</v>
      </c>
      <c r="W3694" s="2" t="s">
        <v>38</v>
      </c>
      <c r="X3694" s="2" t="s">
        <v>39</v>
      </c>
      <c r="Y3694" s="2" t="s">
        <v>39</v>
      </c>
      <c r="Z3694" s="2" t="s">
        <v>38</v>
      </c>
      <c r="AA3694" s="2" t="s">
        <v>38</v>
      </c>
      <c r="AB3694" s="2" t="s">
        <v>39</v>
      </c>
      <c r="AC3694" s="2" t="s">
        <v>38</v>
      </c>
      <c r="AD3694" s="2" t="s">
        <v>38</v>
      </c>
      <c r="AE3694" s="2" t="s">
        <v>39</v>
      </c>
    </row>
    <row r="3695" spans="1:31" ht="409.5">
      <c r="A3695" s="2">
        <v>2691146</v>
      </c>
      <c r="B3695" s="2">
        <f>HYPERLINK("https://platform.v2.vetology.net/cases/2691146/screening-report/1?type=pdf&amp;v=v6&amp;scorecard=1&amp;secret_key=BX%25IJ%24%2F65ieZ%29f6", 2691146)</f>
        <v>2691146</v>
      </c>
      <c r="C3695" s="2">
        <f>HYPERLINK("https://platform.v2.vetology.net/report/v/final/"&amp;2691146, 2691146)</f>
        <v>2691146</v>
      </c>
      <c r="D3695" s="2" t="s">
        <v>11679</v>
      </c>
      <c r="E3695" s="2" t="s">
        <v>11680</v>
      </c>
      <c r="F3695" s="2" t="s">
        <v>931</v>
      </c>
      <c r="G3695" s="2" t="s">
        <v>53</v>
      </c>
      <c r="H3695" s="2" t="s">
        <v>69</v>
      </c>
      <c r="I3695" s="2" t="s">
        <v>46</v>
      </c>
      <c r="J3695" s="2"/>
      <c r="K3695" s="2" t="s">
        <v>39</v>
      </c>
      <c r="L3695" s="2" t="s">
        <v>39</v>
      </c>
      <c r="M3695" s="2" t="s">
        <v>39</v>
      </c>
      <c r="N3695" s="2" t="s">
        <v>39</v>
      </c>
      <c r="O3695" s="2" t="s">
        <v>39</v>
      </c>
      <c r="P3695" s="2" t="s">
        <v>39</v>
      </c>
      <c r="Q3695" s="2" t="s">
        <v>39</v>
      </c>
      <c r="R3695" s="2" t="s">
        <v>39</v>
      </c>
      <c r="S3695" s="2" t="s">
        <v>39</v>
      </c>
      <c r="T3695" s="2" t="s">
        <v>39</v>
      </c>
      <c r="U3695" s="2" t="s">
        <v>39</v>
      </c>
      <c r="V3695" s="2" t="s">
        <v>39</v>
      </c>
      <c r="W3695" s="2" t="s">
        <v>39</v>
      </c>
      <c r="X3695" s="2" t="s">
        <v>39</v>
      </c>
      <c r="Y3695" s="2" t="s">
        <v>39</v>
      </c>
      <c r="Z3695" s="2" t="s">
        <v>39</v>
      </c>
      <c r="AA3695" s="2" t="s">
        <v>39</v>
      </c>
      <c r="AB3695" s="2" t="s">
        <v>39</v>
      </c>
      <c r="AC3695" s="2" t="s">
        <v>38</v>
      </c>
      <c r="AD3695" s="2" t="s">
        <v>39</v>
      </c>
      <c r="AE3695" s="2" t="s">
        <v>39</v>
      </c>
    </row>
    <row r="3696" spans="1:31" ht="409.5">
      <c r="A3696" s="2">
        <v>2691142</v>
      </c>
      <c r="B3696" s="2">
        <f>HYPERLINK("https://platform.v2.vetology.net/cases/2691142/screening-report/1?type=pdf&amp;v=v6&amp;scorecard=1&amp;secret_key=BX%25IJ%24%2F65ieZ%29f6", 2691142)</f>
        <v>2691142</v>
      </c>
      <c r="C3696" s="2">
        <f>HYPERLINK("https://platform.v2.vetology.net/report/v/final/"&amp;2691142, 2691142)</f>
        <v>2691142</v>
      </c>
      <c r="D3696" s="2" t="s">
        <v>11681</v>
      </c>
      <c r="E3696" s="2" t="s">
        <v>11682</v>
      </c>
      <c r="F3696" s="2" t="s">
        <v>11683</v>
      </c>
      <c r="G3696" s="2" t="s">
        <v>44</v>
      </c>
      <c r="H3696" s="2" t="s">
        <v>11684</v>
      </c>
      <c r="I3696" s="2" t="s">
        <v>36</v>
      </c>
      <c r="J3696" s="2" t="s">
        <v>37</v>
      </c>
      <c r="K3696" s="2" t="s">
        <v>39</v>
      </c>
      <c r="L3696" s="2" t="s">
        <v>39</v>
      </c>
      <c r="M3696" s="2" t="s">
        <v>38</v>
      </c>
      <c r="N3696" s="2" t="s">
        <v>38</v>
      </c>
      <c r="O3696" s="2" t="s">
        <v>38</v>
      </c>
      <c r="P3696" s="2" t="s">
        <v>38</v>
      </c>
      <c r="Q3696" s="2" t="s">
        <v>39</v>
      </c>
      <c r="R3696" s="2" t="s">
        <v>38</v>
      </c>
      <c r="S3696" s="2" t="s">
        <v>38</v>
      </c>
      <c r="T3696" s="2" t="s">
        <v>38</v>
      </c>
      <c r="U3696" s="2" t="s">
        <v>39</v>
      </c>
      <c r="V3696" s="2" t="s">
        <v>39</v>
      </c>
      <c r="W3696" s="2" t="s">
        <v>38</v>
      </c>
      <c r="X3696" s="2" t="s">
        <v>39</v>
      </c>
      <c r="Y3696" s="2" t="s">
        <v>38</v>
      </c>
      <c r="Z3696" s="2" t="s">
        <v>38</v>
      </c>
      <c r="AA3696" s="2" t="s">
        <v>38</v>
      </c>
      <c r="AB3696" s="2" t="s">
        <v>38</v>
      </c>
      <c r="AC3696" s="2" t="s">
        <v>38</v>
      </c>
      <c r="AD3696" s="2" t="s">
        <v>38</v>
      </c>
      <c r="AE3696" s="2" t="s">
        <v>40</v>
      </c>
    </row>
    <row r="3697" spans="1:31" ht="409.5">
      <c r="A3697" s="2">
        <v>2691115</v>
      </c>
      <c r="B3697" s="2">
        <f>HYPERLINK("https://platform.v2.vetology.net/cases/2691115/screening-report/1?type=pdf&amp;v=v6&amp;scorecard=1&amp;secret_key=BX%25IJ%24%2F65ieZ%29f6", 2691115)</f>
        <v>2691115</v>
      </c>
      <c r="C3697" s="2">
        <f>HYPERLINK("https://platform.v2.vetology.net/report/v/final/"&amp;2691115, 2691115)</f>
        <v>2691115</v>
      </c>
      <c r="D3697" s="2" t="s">
        <v>11685</v>
      </c>
      <c r="E3697" s="2" t="s">
        <v>11686</v>
      </c>
      <c r="F3697" s="2" t="s">
        <v>11687</v>
      </c>
      <c r="G3697" s="2" t="s">
        <v>44</v>
      </c>
      <c r="H3697" s="2" t="s">
        <v>4527</v>
      </c>
      <c r="I3697" s="2" t="s">
        <v>36</v>
      </c>
      <c r="J3697" s="2" t="s">
        <v>37</v>
      </c>
      <c r="K3697" s="2" t="s">
        <v>38</v>
      </c>
      <c r="L3697" s="2" t="s">
        <v>38</v>
      </c>
      <c r="M3697" s="2" t="s">
        <v>38</v>
      </c>
      <c r="N3697" s="2" t="s">
        <v>38</v>
      </c>
      <c r="O3697" s="2" t="s">
        <v>38</v>
      </c>
      <c r="P3697" s="2" t="s">
        <v>39</v>
      </c>
      <c r="Q3697" s="2" t="s">
        <v>39</v>
      </c>
      <c r="R3697" s="2" t="s">
        <v>38</v>
      </c>
      <c r="S3697" s="2" t="s">
        <v>38</v>
      </c>
      <c r="T3697" s="2" t="s">
        <v>39</v>
      </c>
      <c r="U3697" s="2" t="s">
        <v>38</v>
      </c>
      <c r="V3697" s="2" t="s">
        <v>38</v>
      </c>
      <c r="W3697" s="2" t="s">
        <v>39</v>
      </c>
      <c r="X3697" s="2" t="s">
        <v>39</v>
      </c>
      <c r="Y3697" s="2" t="s">
        <v>39</v>
      </c>
      <c r="Z3697" s="2" t="s">
        <v>39</v>
      </c>
      <c r="AA3697" s="2" t="s">
        <v>38</v>
      </c>
      <c r="AB3697" s="2" t="s">
        <v>39</v>
      </c>
      <c r="AC3697" s="2" t="s">
        <v>38</v>
      </c>
      <c r="AD3697" s="2" t="s">
        <v>38</v>
      </c>
      <c r="AE3697" s="2" t="s">
        <v>39</v>
      </c>
    </row>
    <row r="3698" spans="1:31" ht="409.5">
      <c r="A3698" s="2">
        <v>2691063</v>
      </c>
      <c r="B3698" s="2">
        <f>HYPERLINK("https://platform.v2.vetology.net/cases/2691063/screening-report/1?type=pdf&amp;v=v6&amp;scorecard=1&amp;secret_key=BX%25IJ%24%2F65ieZ%29f6", 2691063)</f>
        <v>2691063</v>
      </c>
      <c r="C3698" s="2">
        <f>HYPERLINK("https://platform.v2.vetology.net/report/v/final/"&amp;2691063, 2691063)</f>
        <v>2691063</v>
      </c>
      <c r="D3698" s="2" t="s">
        <v>11688</v>
      </c>
      <c r="E3698" s="2" t="s">
        <v>11689</v>
      </c>
      <c r="F3698" s="2" t="s">
        <v>11690</v>
      </c>
      <c r="G3698" s="2" t="s">
        <v>170</v>
      </c>
      <c r="H3698" s="2" t="s">
        <v>561</v>
      </c>
      <c r="I3698" s="2" t="s">
        <v>36</v>
      </c>
      <c r="J3698" s="2" t="s">
        <v>37</v>
      </c>
      <c r="K3698" s="2" t="s">
        <v>39</v>
      </c>
      <c r="L3698" s="2" t="s">
        <v>38</v>
      </c>
      <c r="M3698" s="2" t="s">
        <v>38</v>
      </c>
      <c r="N3698" s="2" t="s">
        <v>38</v>
      </c>
      <c r="O3698" s="2" t="s">
        <v>39</v>
      </c>
      <c r="P3698" s="2" t="s">
        <v>39</v>
      </c>
      <c r="Q3698" s="2" t="s">
        <v>39</v>
      </c>
      <c r="R3698" s="2" t="s">
        <v>38</v>
      </c>
      <c r="S3698" s="2" t="s">
        <v>38</v>
      </c>
      <c r="T3698" s="2" t="s">
        <v>38</v>
      </c>
      <c r="U3698" s="2" t="s">
        <v>39</v>
      </c>
      <c r="V3698" s="2" t="s">
        <v>39</v>
      </c>
      <c r="W3698" s="2" t="s">
        <v>38</v>
      </c>
      <c r="X3698" s="2" t="s">
        <v>39</v>
      </c>
      <c r="Y3698" s="2" t="s">
        <v>39</v>
      </c>
      <c r="Z3698" s="2" t="s">
        <v>38</v>
      </c>
      <c r="AA3698" s="2" t="s">
        <v>39</v>
      </c>
      <c r="AB3698" s="2" t="s">
        <v>39</v>
      </c>
      <c r="AC3698" s="2" t="s">
        <v>39</v>
      </c>
      <c r="AD3698" s="2" t="s">
        <v>38</v>
      </c>
      <c r="AE3698" s="2" t="s">
        <v>39</v>
      </c>
    </row>
    <row r="3699" spans="1:31" ht="409.5">
      <c r="A3699" s="2">
        <v>2691039</v>
      </c>
      <c r="B3699" s="2">
        <f>HYPERLINK("https://platform.v2.vetology.net/cases/2691039/screening-report/1?type=pdf&amp;v=v6&amp;scorecard=1&amp;secret_key=BX%25IJ%24%2F65ieZ%29f6", 2691039)</f>
        <v>2691039</v>
      </c>
      <c r="C3699" s="2">
        <f>HYPERLINK("https://platform.v2.vetology.net/report/v/final/"&amp;2691039, 2691039)</f>
        <v>2691039</v>
      </c>
      <c r="D3699" s="2" t="s">
        <v>11691</v>
      </c>
      <c r="E3699" s="2" t="s">
        <v>11692</v>
      </c>
      <c r="F3699" s="2" t="s">
        <v>43</v>
      </c>
      <c r="G3699" s="2" t="s">
        <v>44</v>
      </c>
      <c r="H3699" s="2" t="s">
        <v>11693</v>
      </c>
      <c r="I3699" s="2" t="s">
        <v>73</v>
      </c>
      <c r="J3699" s="2" t="s">
        <v>74</v>
      </c>
      <c r="K3699" s="2" t="s">
        <v>38</v>
      </c>
      <c r="L3699" s="2" t="s">
        <v>38</v>
      </c>
      <c r="M3699" s="2" t="s">
        <v>38</v>
      </c>
      <c r="N3699" s="2" t="s">
        <v>38</v>
      </c>
      <c r="O3699" s="2" t="s">
        <v>38</v>
      </c>
      <c r="P3699" s="2" t="s">
        <v>38</v>
      </c>
      <c r="Q3699" s="2" t="s">
        <v>38</v>
      </c>
      <c r="R3699" s="2" t="s">
        <v>38</v>
      </c>
      <c r="S3699" s="2" t="s">
        <v>38</v>
      </c>
      <c r="T3699" s="2" t="s">
        <v>38</v>
      </c>
      <c r="U3699" s="2" t="s">
        <v>38</v>
      </c>
      <c r="V3699" s="2" t="s">
        <v>38</v>
      </c>
      <c r="W3699" s="2" t="s">
        <v>38</v>
      </c>
      <c r="X3699" s="2" t="s">
        <v>38</v>
      </c>
      <c r="Y3699" s="2" t="s">
        <v>39</v>
      </c>
      <c r="Z3699" s="2" t="s">
        <v>38</v>
      </c>
      <c r="AA3699" s="2" t="s">
        <v>38</v>
      </c>
      <c r="AB3699" s="2" t="s">
        <v>38</v>
      </c>
      <c r="AC3699" s="2" t="s">
        <v>39</v>
      </c>
      <c r="AD3699" s="2" t="s">
        <v>39</v>
      </c>
      <c r="AE3699" s="2" t="s">
        <v>39</v>
      </c>
    </row>
    <row r="3700" spans="1:31" ht="409.5">
      <c r="A3700" s="2">
        <v>2691017</v>
      </c>
      <c r="B3700" s="2">
        <f>HYPERLINK("https://platform.v2.vetology.net/cases/2691017/screening-report/1?type=pdf&amp;v=v6&amp;scorecard=1&amp;secret_key=BX%25IJ%24%2F65ieZ%29f6", 2691017)</f>
        <v>2691017</v>
      </c>
      <c r="C3700" s="2">
        <f>HYPERLINK("https://platform.v2.vetology.net/report/v/final/"&amp;2691017, 2691017)</f>
        <v>2691017</v>
      </c>
      <c r="D3700" s="2" t="s">
        <v>11694</v>
      </c>
      <c r="E3700" s="2" t="s">
        <v>11695</v>
      </c>
      <c r="F3700" s="2" t="s">
        <v>11696</v>
      </c>
      <c r="G3700" s="2" t="s">
        <v>127</v>
      </c>
      <c r="H3700" s="2" t="s">
        <v>1818</v>
      </c>
      <c r="I3700" s="2" t="s">
        <v>36</v>
      </c>
      <c r="J3700" s="2" t="s">
        <v>37</v>
      </c>
      <c r="K3700" s="2" t="s">
        <v>38</v>
      </c>
      <c r="L3700" s="2" t="s">
        <v>38</v>
      </c>
      <c r="M3700" s="2" t="s">
        <v>38</v>
      </c>
      <c r="N3700" s="2" t="s">
        <v>38</v>
      </c>
      <c r="O3700" s="2" t="s">
        <v>38</v>
      </c>
      <c r="P3700" s="2" t="s">
        <v>39</v>
      </c>
      <c r="Q3700" s="2" t="s">
        <v>39</v>
      </c>
      <c r="R3700" s="2" t="s">
        <v>38</v>
      </c>
      <c r="S3700" s="2" t="s">
        <v>38</v>
      </c>
      <c r="T3700" s="2" t="s">
        <v>39</v>
      </c>
      <c r="U3700" s="2" t="s">
        <v>38</v>
      </c>
      <c r="V3700" s="2" t="s">
        <v>38</v>
      </c>
      <c r="W3700" s="2" t="s">
        <v>38</v>
      </c>
      <c r="X3700" s="2" t="s">
        <v>38</v>
      </c>
      <c r="Y3700" s="2" t="s">
        <v>39</v>
      </c>
      <c r="Z3700" s="2" t="s">
        <v>38</v>
      </c>
      <c r="AA3700" s="2" t="s">
        <v>39</v>
      </c>
      <c r="AB3700" s="2" t="s">
        <v>39</v>
      </c>
      <c r="AC3700" s="2" t="s">
        <v>38</v>
      </c>
      <c r="AD3700" s="2" t="s">
        <v>39</v>
      </c>
      <c r="AE3700" s="2" t="s">
        <v>39</v>
      </c>
    </row>
    <row r="3701" spans="1:31" ht="409.5">
      <c r="A3701" s="2">
        <v>2691008</v>
      </c>
      <c r="B3701" s="2">
        <f>HYPERLINK("https://platform.v2.vetology.net/cases/2691008/screening-report/1?type=pdf&amp;v=v6&amp;scorecard=1&amp;secret_key=BX%25IJ%24%2F65ieZ%29f6", 2691008)</f>
        <v>2691008</v>
      </c>
      <c r="C3701" s="2">
        <f>HYPERLINK("https://platform.v2.vetology.net/report/v/final/"&amp;2691008, 2691008)</f>
        <v>2691008</v>
      </c>
      <c r="D3701" s="2" t="s">
        <v>11697</v>
      </c>
      <c r="E3701" s="2" t="s">
        <v>11698</v>
      </c>
      <c r="F3701" s="2" t="s">
        <v>43</v>
      </c>
      <c r="G3701" s="2" t="s">
        <v>44</v>
      </c>
      <c r="H3701" s="2" t="s">
        <v>11699</v>
      </c>
      <c r="I3701" s="2" t="s">
        <v>36</v>
      </c>
      <c r="J3701" s="2" t="s">
        <v>37</v>
      </c>
      <c r="K3701" s="2" t="s">
        <v>38</v>
      </c>
      <c r="L3701" s="2" t="s">
        <v>38</v>
      </c>
      <c r="M3701" s="2" t="s">
        <v>38</v>
      </c>
      <c r="N3701" s="2" t="s">
        <v>39</v>
      </c>
      <c r="O3701" s="2" t="s">
        <v>39</v>
      </c>
      <c r="P3701" s="2" t="s">
        <v>39</v>
      </c>
      <c r="Q3701" s="2" t="s">
        <v>39</v>
      </c>
      <c r="R3701" s="2" t="s">
        <v>39</v>
      </c>
      <c r="S3701" s="2" t="s">
        <v>39</v>
      </c>
      <c r="T3701" s="2" t="s">
        <v>39</v>
      </c>
      <c r="U3701" s="2" t="s">
        <v>39</v>
      </c>
      <c r="V3701" s="2" t="s">
        <v>38</v>
      </c>
      <c r="W3701" s="2" t="s">
        <v>39</v>
      </c>
      <c r="X3701" s="2" t="s">
        <v>39</v>
      </c>
      <c r="Y3701" s="2" t="s">
        <v>39</v>
      </c>
      <c r="Z3701" s="2" t="s">
        <v>39</v>
      </c>
      <c r="AA3701" s="2" t="s">
        <v>39</v>
      </c>
      <c r="AB3701" s="2" t="s">
        <v>39</v>
      </c>
      <c r="AC3701" s="2" t="s">
        <v>38</v>
      </c>
      <c r="AD3701" s="2" t="s">
        <v>38</v>
      </c>
      <c r="AE3701" s="2" t="s">
        <v>39</v>
      </c>
    </row>
    <row r="3702" spans="1:31" ht="409.5">
      <c r="A3702" s="2">
        <v>2691001</v>
      </c>
      <c r="B3702" s="2">
        <f>HYPERLINK("https://platform.v2.vetology.net/cases/2691001/screening-report/1?type=pdf&amp;v=v6&amp;scorecard=1&amp;secret_key=BX%25IJ%24%2F65ieZ%29f6", 2691001)</f>
        <v>2691001</v>
      </c>
      <c r="C3702" s="2">
        <f>HYPERLINK("https://platform.v2.vetology.net/report/v/final/"&amp;2691001, 2691001)</f>
        <v>2691001</v>
      </c>
      <c r="D3702" s="2" t="s">
        <v>11700</v>
      </c>
      <c r="E3702" s="2" t="s">
        <v>11701</v>
      </c>
      <c r="F3702" s="2" t="s">
        <v>11702</v>
      </c>
      <c r="G3702" s="2" t="s">
        <v>127</v>
      </c>
      <c r="H3702" s="2" t="s">
        <v>69</v>
      </c>
      <c r="I3702" s="2" t="s">
        <v>46</v>
      </c>
      <c r="J3702" s="2"/>
      <c r="K3702" s="2" t="s">
        <v>39</v>
      </c>
      <c r="L3702" s="2" t="s">
        <v>39</v>
      </c>
      <c r="M3702" s="2" t="s">
        <v>39</v>
      </c>
      <c r="N3702" s="2" t="s">
        <v>39</v>
      </c>
      <c r="O3702" s="2" t="s">
        <v>39</v>
      </c>
      <c r="P3702" s="2" t="s">
        <v>39</v>
      </c>
      <c r="Q3702" s="2" t="s">
        <v>39</v>
      </c>
      <c r="R3702" s="2" t="s">
        <v>39</v>
      </c>
      <c r="S3702" s="2" t="s">
        <v>39</v>
      </c>
      <c r="T3702" s="2" t="s">
        <v>39</v>
      </c>
      <c r="U3702" s="2" t="s">
        <v>39</v>
      </c>
      <c r="V3702" s="2" t="s">
        <v>38</v>
      </c>
      <c r="W3702" s="2" t="s">
        <v>39</v>
      </c>
      <c r="X3702" s="2" t="s">
        <v>39</v>
      </c>
      <c r="Y3702" s="2" t="s">
        <v>39</v>
      </c>
      <c r="Z3702" s="2" t="s">
        <v>39</v>
      </c>
      <c r="AA3702" s="2" t="s">
        <v>39</v>
      </c>
      <c r="AB3702" s="2" t="s">
        <v>39</v>
      </c>
      <c r="AC3702" s="2" t="s">
        <v>38</v>
      </c>
      <c r="AD3702" s="2" t="s">
        <v>38</v>
      </c>
      <c r="AE3702" s="2"/>
    </row>
    <row r="3703" spans="1:31" ht="409.5">
      <c r="A3703" s="2">
        <v>2690994</v>
      </c>
      <c r="B3703" s="2">
        <f>HYPERLINK("https://platform.v2.vetology.net/cases/2690994/screening-report/1?type=pdf&amp;v=v6&amp;scorecard=1&amp;secret_key=BX%25IJ%24%2F65ieZ%29f6", 2690994)</f>
        <v>2690994</v>
      </c>
      <c r="C3703" s="2">
        <f>HYPERLINK("https://platform.v2.vetology.net/report/v/final/"&amp;2690994, 2690994)</f>
        <v>2690994</v>
      </c>
      <c r="D3703" s="2" t="s">
        <v>11703</v>
      </c>
      <c r="E3703" s="2" t="s">
        <v>11704</v>
      </c>
      <c r="F3703" s="2" t="s">
        <v>8978</v>
      </c>
      <c r="G3703" s="2" t="s">
        <v>170</v>
      </c>
      <c r="H3703" s="2" t="s">
        <v>69</v>
      </c>
      <c r="I3703" s="2" t="s">
        <v>46</v>
      </c>
      <c r="J3703" s="2"/>
      <c r="K3703" s="2" t="s">
        <v>39</v>
      </c>
      <c r="L3703" s="2" t="s">
        <v>39</v>
      </c>
      <c r="M3703" s="2" t="s">
        <v>39</v>
      </c>
      <c r="N3703" s="2" t="s">
        <v>39</v>
      </c>
      <c r="O3703" s="2" t="s">
        <v>39</v>
      </c>
      <c r="P3703" s="2" t="s">
        <v>39</v>
      </c>
      <c r="Q3703" s="2" t="s">
        <v>39</v>
      </c>
      <c r="R3703" s="2" t="s">
        <v>39</v>
      </c>
      <c r="S3703" s="2" t="s">
        <v>39</v>
      </c>
      <c r="T3703" s="2" t="s">
        <v>39</v>
      </c>
      <c r="U3703" s="2" t="s">
        <v>39</v>
      </c>
      <c r="V3703" s="2" t="s">
        <v>39</v>
      </c>
      <c r="W3703" s="2" t="s">
        <v>39</v>
      </c>
      <c r="X3703" s="2" t="s">
        <v>39</v>
      </c>
      <c r="Y3703" s="2" t="s">
        <v>39</v>
      </c>
      <c r="Z3703" s="2" t="s">
        <v>39</v>
      </c>
      <c r="AA3703" s="2" t="s">
        <v>39</v>
      </c>
      <c r="AB3703" s="2" t="s">
        <v>39</v>
      </c>
      <c r="AC3703" s="2" t="s">
        <v>38</v>
      </c>
      <c r="AD3703" s="2" t="s">
        <v>39</v>
      </c>
      <c r="AE3703" s="2" t="s">
        <v>39</v>
      </c>
    </row>
    <row r="3704" spans="1:31" ht="409.5">
      <c r="A3704" s="2">
        <v>2690957</v>
      </c>
      <c r="B3704" s="2">
        <f>HYPERLINK("https://platform.v2.vetology.net/cases/2690957/screening-report/1?type=pdf&amp;v=v6&amp;scorecard=1&amp;secret_key=BX%25IJ%24%2F65ieZ%29f6", 2690957)</f>
        <v>2690957</v>
      </c>
      <c r="C3704" s="2">
        <f>HYPERLINK("https://platform.v2.vetology.net/report/v/final/"&amp;2690957, 2690957)</f>
        <v>2690957</v>
      </c>
      <c r="D3704" s="2" t="s">
        <v>3346</v>
      </c>
      <c r="E3704" s="2" t="s">
        <v>4028</v>
      </c>
      <c r="F3704" s="2" t="s">
        <v>4029</v>
      </c>
      <c r="G3704" s="2" t="s">
        <v>111</v>
      </c>
      <c r="H3704" s="2" t="s">
        <v>11705</v>
      </c>
      <c r="I3704" s="2" t="s">
        <v>129</v>
      </c>
      <c r="J3704" s="2" t="s">
        <v>74</v>
      </c>
      <c r="K3704" s="2" t="s">
        <v>39</v>
      </c>
      <c r="L3704" s="2" t="s">
        <v>38</v>
      </c>
      <c r="M3704" s="2" t="s">
        <v>38</v>
      </c>
      <c r="N3704" s="2" t="s">
        <v>38</v>
      </c>
      <c r="O3704" s="2" t="s">
        <v>38</v>
      </c>
      <c r="P3704" s="2" t="s">
        <v>38</v>
      </c>
      <c r="Q3704" s="2" t="s">
        <v>38</v>
      </c>
      <c r="R3704" s="2" t="s">
        <v>39</v>
      </c>
      <c r="S3704" s="2" t="s">
        <v>39</v>
      </c>
      <c r="T3704" s="2" t="s">
        <v>39</v>
      </c>
      <c r="U3704" s="2" t="s">
        <v>39</v>
      </c>
      <c r="V3704" s="2" t="s">
        <v>39</v>
      </c>
      <c r="W3704" s="2" t="s">
        <v>39</v>
      </c>
      <c r="X3704" s="2" t="s">
        <v>38</v>
      </c>
      <c r="Y3704" s="2" t="s">
        <v>39</v>
      </c>
      <c r="Z3704" s="2" t="s">
        <v>38</v>
      </c>
      <c r="AA3704" s="2" t="s">
        <v>39</v>
      </c>
      <c r="AB3704" s="2" t="s">
        <v>38</v>
      </c>
      <c r="AC3704" s="2" t="s">
        <v>38</v>
      </c>
      <c r="AD3704" s="2" t="s">
        <v>39</v>
      </c>
      <c r="AE3704" s="2" t="s">
        <v>39</v>
      </c>
    </row>
    <row r="3705" spans="1:31" ht="409.5">
      <c r="A3705" s="2">
        <v>2690934</v>
      </c>
      <c r="B3705" s="2">
        <f>HYPERLINK("https://platform.v2.vetology.net/cases/2690934/screening-report/1?type=pdf&amp;v=v6&amp;scorecard=1&amp;secret_key=BX%25IJ%24%2F65ieZ%29f6", 2690934)</f>
        <v>2690934</v>
      </c>
      <c r="C3705" s="2">
        <f>HYPERLINK("https://platform.v2.vetology.net/report/v/final/"&amp;2690934, 2690934)</f>
        <v>2690934</v>
      </c>
      <c r="D3705" s="2" t="s">
        <v>11706</v>
      </c>
      <c r="E3705" s="2" t="s">
        <v>11707</v>
      </c>
      <c r="F3705" s="2" t="s">
        <v>11708</v>
      </c>
      <c r="G3705" s="2" t="s">
        <v>251</v>
      </c>
      <c r="H3705" s="2" t="s">
        <v>4254</v>
      </c>
      <c r="I3705" s="2" t="s">
        <v>36</v>
      </c>
      <c r="J3705" s="2" t="s">
        <v>37</v>
      </c>
      <c r="K3705" s="2" t="s">
        <v>38</v>
      </c>
      <c r="L3705" s="2" t="s">
        <v>38</v>
      </c>
      <c r="M3705" s="2" t="s">
        <v>39</v>
      </c>
      <c r="N3705" s="2" t="s">
        <v>38</v>
      </c>
      <c r="O3705" s="2" t="s">
        <v>38</v>
      </c>
      <c r="P3705" s="2" t="s">
        <v>39</v>
      </c>
      <c r="Q3705" s="2" t="s">
        <v>39</v>
      </c>
      <c r="R3705" s="2" t="s">
        <v>38</v>
      </c>
      <c r="S3705" s="2" t="s">
        <v>38</v>
      </c>
      <c r="T3705" s="2" t="s">
        <v>39</v>
      </c>
      <c r="U3705" s="2" t="s">
        <v>39</v>
      </c>
      <c r="V3705" s="2" t="s">
        <v>39</v>
      </c>
      <c r="W3705" s="2" t="s">
        <v>38</v>
      </c>
      <c r="X3705" s="2" t="s">
        <v>39</v>
      </c>
      <c r="Y3705" s="2" t="s">
        <v>39</v>
      </c>
      <c r="Z3705" s="2" t="s">
        <v>38</v>
      </c>
      <c r="AA3705" s="2" t="s">
        <v>39</v>
      </c>
      <c r="AB3705" s="2" t="s">
        <v>39</v>
      </c>
      <c r="AC3705" s="2" t="s">
        <v>38</v>
      </c>
      <c r="AD3705" s="2" t="s">
        <v>38</v>
      </c>
      <c r="AE3705" s="2" t="s">
        <v>39</v>
      </c>
    </row>
    <row r="3706" spans="1:31" ht="409.5">
      <c r="A3706" s="2">
        <v>2690918</v>
      </c>
      <c r="B3706" s="2">
        <f>HYPERLINK("https://platform.v2.vetology.net/cases/2690918/screening-report/1?type=pdf&amp;v=v6&amp;scorecard=1&amp;secret_key=BX%25IJ%24%2F65ieZ%29f6", 2690918)</f>
        <v>2690918</v>
      </c>
      <c r="C3706" s="2">
        <f>HYPERLINK("https://platform.v2.vetology.net/report/v/final/"&amp;2690918, 2690918)</f>
        <v>2690918</v>
      </c>
      <c r="D3706" s="2" t="s">
        <v>11709</v>
      </c>
      <c r="E3706" s="2" t="s">
        <v>8276</v>
      </c>
      <c r="F3706" s="2" t="s">
        <v>10841</v>
      </c>
      <c r="G3706" s="2" t="s">
        <v>251</v>
      </c>
      <c r="H3706" s="2" t="s">
        <v>11710</v>
      </c>
      <c r="I3706" s="2" t="s">
        <v>59</v>
      </c>
      <c r="J3706" s="2" t="s">
        <v>37</v>
      </c>
      <c r="K3706" s="2" t="s">
        <v>38</v>
      </c>
      <c r="L3706" s="2" t="s">
        <v>39</v>
      </c>
      <c r="M3706" s="2" t="s">
        <v>39</v>
      </c>
      <c r="N3706" s="2" t="s">
        <v>39</v>
      </c>
      <c r="O3706" s="2" t="s">
        <v>39</v>
      </c>
      <c r="P3706" s="2" t="s">
        <v>39</v>
      </c>
      <c r="Q3706" s="2" t="s">
        <v>39</v>
      </c>
      <c r="R3706" s="2" t="s">
        <v>39</v>
      </c>
      <c r="S3706" s="2" t="s">
        <v>39</v>
      </c>
      <c r="T3706" s="2" t="s">
        <v>39</v>
      </c>
      <c r="U3706" s="2" t="s">
        <v>38</v>
      </c>
      <c r="V3706" s="2" t="s">
        <v>38</v>
      </c>
      <c r="W3706" s="2" t="s">
        <v>39</v>
      </c>
      <c r="X3706" s="2" t="s">
        <v>39</v>
      </c>
      <c r="Y3706" s="2" t="s">
        <v>39</v>
      </c>
      <c r="Z3706" s="2" t="s">
        <v>39</v>
      </c>
      <c r="AA3706" s="2" t="s">
        <v>39</v>
      </c>
      <c r="AB3706" s="2" t="s">
        <v>39</v>
      </c>
      <c r="AC3706" s="2" t="s">
        <v>39</v>
      </c>
      <c r="AD3706" s="2" t="s">
        <v>39</v>
      </c>
      <c r="AE3706" s="2" t="s">
        <v>39</v>
      </c>
    </row>
    <row r="3707" spans="1:31" ht="409.5">
      <c r="A3707" s="2">
        <v>2690858</v>
      </c>
      <c r="B3707" s="2">
        <f>HYPERLINK("https://platform.v2.vetology.net/cases/2690858/screening-report/1?type=pdf&amp;v=v6&amp;scorecard=1&amp;secret_key=BX%25IJ%24%2F65ieZ%29f6", 2690858)</f>
        <v>2690858</v>
      </c>
      <c r="C3707" s="2">
        <f>HYPERLINK("https://platform.v2.vetology.net/report/v/final/"&amp;2690858, 2690858)</f>
        <v>2690858</v>
      </c>
      <c r="D3707" s="2" t="s">
        <v>10613</v>
      </c>
      <c r="E3707" s="2" t="s">
        <v>99</v>
      </c>
      <c r="F3707" s="2"/>
      <c r="G3707" s="2" t="s">
        <v>100</v>
      </c>
      <c r="H3707" s="2" t="s">
        <v>11711</v>
      </c>
      <c r="I3707" s="2" t="s">
        <v>36</v>
      </c>
      <c r="J3707" s="2" t="s">
        <v>37</v>
      </c>
      <c r="K3707" s="2" t="s">
        <v>38</v>
      </c>
      <c r="L3707" s="2" t="s">
        <v>38</v>
      </c>
      <c r="M3707" s="2" t="s">
        <v>39</v>
      </c>
      <c r="N3707" s="2" t="s">
        <v>38</v>
      </c>
      <c r="O3707" s="2" t="s">
        <v>38</v>
      </c>
      <c r="P3707" s="2" t="s">
        <v>39</v>
      </c>
      <c r="Q3707" s="2" t="s">
        <v>39</v>
      </c>
      <c r="R3707" s="2" t="s">
        <v>38</v>
      </c>
      <c r="S3707" s="2" t="s">
        <v>38</v>
      </c>
      <c r="T3707" s="2" t="s">
        <v>39</v>
      </c>
      <c r="U3707" s="2" t="s">
        <v>38</v>
      </c>
      <c r="V3707" s="2" t="s">
        <v>38</v>
      </c>
      <c r="W3707" s="2" t="s">
        <v>38</v>
      </c>
      <c r="X3707" s="2" t="s">
        <v>39</v>
      </c>
      <c r="Y3707" s="2" t="s">
        <v>38</v>
      </c>
      <c r="Z3707" s="2" t="s">
        <v>39</v>
      </c>
      <c r="AA3707" s="2" t="s">
        <v>38</v>
      </c>
      <c r="AB3707" s="2" t="s">
        <v>39</v>
      </c>
      <c r="AC3707" s="2" t="s">
        <v>38</v>
      </c>
      <c r="AD3707" s="2" t="s">
        <v>38</v>
      </c>
      <c r="AE3707" s="2" t="s">
        <v>39</v>
      </c>
    </row>
    <row r="3708" spans="1:31" ht="409.5">
      <c r="A3708" s="2">
        <v>2690854</v>
      </c>
      <c r="B3708" s="2">
        <f>HYPERLINK("https://platform.v2.vetology.net/cases/2690854/screening-report/1?type=pdf&amp;v=v6&amp;scorecard=1&amp;secret_key=BX%25IJ%24%2F65ieZ%29f6", 2690854)</f>
        <v>2690854</v>
      </c>
      <c r="C3708" s="2">
        <f>HYPERLINK("https://platform.v2.vetology.net/report/v/final/"&amp;2690854, 2690854)</f>
        <v>2690854</v>
      </c>
      <c r="D3708" s="2" t="s">
        <v>11712</v>
      </c>
      <c r="E3708" s="2" t="s">
        <v>11713</v>
      </c>
      <c r="F3708" s="2" t="s">
        <v>11714</v>
      </c>
      <c r="G3708" s="2" t="s">
        <v>34</v>
      </c>
      <c r="H3708" s="2" t="s">
        <v>11715</v>
      </c>
      <c r="I3708" s="2" t="s">
        <v>73</v>
      </c>
      <c r="J3708" s="2" t="s">
        <v>74</v>
      </c>
      <c r="K3708" s="2" t="s">
        <v>38</v>
      </c>
      <c r="L3708" s="2" t="s">
        <v>38</v>
      </c>
      <c r="M3708" s="2" t="s">
        <v>38</v>
      </c>
      <c r="N3708" s="2" t="s">
        <v>38</v>
      </c>
      <c r="O3708" s="2" t="s">
        <v>38</v>
      </c>
      <c r="P3708" s="2" t="s">
        <v>38</v>
      </c>
      <c r="Q3708" s="2" t="s">
        <v>38</v>
      </c>
      <c r="R3708" s="2" t="s">
        <v>38</v>
      </c>
      <c r="S3708" s="2" t="s">
        <v>38</v>
      </c>
      <c r="T3708" s="2" t="s">
        <v>38</v>
      </c>
      <c r="U3708" s="2" t="s">
        <v>38</v>
      </c>
      <c r="V3708" s="2" t="s">
        <v>38</v>
      </c>
      <c r="W3708" s="2" t="s">
        <v>38</v>
      </c>
      <c r="X3708" s="2" t="s">
        <v>38</v>
      </c>
      <c r="Y3708" s="2" t="s">
        <v>38</v>
      </c>
      <c r="Z3708" s="2" t="s">
        <v>39</v>
      </c>
      <c r="AA3708" s="2" t="s">
        <v>38</v>
      </c>
      <c r="AB3708" s="2" t="s">
        <v>38</v>
      </c>
      <c r="AC3708" s="2" t="s">
        <v>38</v>
      </c>
      <c r="AD3708" s="2" t="s">
        <v>39</v>
      </c>
      <c r="AE3708" s="2" t="s">
        <v>39</v>
      </c>
    </row>
    <row r="3709" spans="1:31" ht="409.5">
      <c r="A3709" s="2">
        <v>2690823</v>
      </c>
      <c r="B3709" s="2">
        <f>HYPERLINK("https://platform.v2.vetology.net/cases/2690823/screening-report/1?type=pdf&amp;v=v6&amp;scorecard=1&amp;secret_key=BX%25IJ%24%2F65ieZ%29f6", 2690823)</f>
        <v>2690823</v>
      </c>
      <c r="C3709" s="2">
        <f>HYPERLINK("https://platform.v2.vetology.net/report/v/final/"&amp;2690823, 2690823)</f>
        <v>2690823</v>
      </c>
      <c r="D3709" s="2" t="s">
        <v>11716</v>
      </c>
      <c r="E3709" s="2" t="s">
        <v>11717</v>
      </c>
      <c r="F3709" s="2" t="s">
        <v>11718</v>
      </c>
      <c r="G3709" s="2" t="s">
        <v>34</v>
      </c>
      <c r="H3709" s="2" t="s">
        <v>69</v>
      </c>
      <c r="I3709" s="2" t="s">
        <v>46</v>
      </c>
      <c r="J3709" s="2"/>
      <c r="K3709" s="2" t="s">
        <v>39</v>
      </c>
      <c r="L3709" s="2" t="s">
        <v>39</v>
      </c>
      <c r="M3709" s="2" t="s">
        <v>39</v>
      </c>
      <c r="N3709" s="2" t="s">
        <v>39</v>
      </c>
      <c r="O3709" s="2" t="s">
        <v>39</v>
      </c>
      <c r="P3709" s="2" t="s">
        <v>39</v>
      </c>
      <c r="Q3709" s="2" t="s">
        <v>39</v>
      </c>
      <c r="R3709" s="2" t="s">
        <v>39</v>
      </c>
      <c r="S3709" s="2" t="s">
        <v>39</v>
      </c>
      <c r="T3709" s="2" t="s">
        <v>39</v>
      </c>
      <c r="U3709" s="2" t="s">
        <v>39</v>
      </c>
      <c r="V3709" s="2" t="s">
        <v>39</v>
      </c>
      <c r="W3709" s="2" t="s">
        <v>39</v>
      </c>
      <c r="X3709" s="2" t="s">
        <v>39</v>
      </c>
      <c r="Y3709" s="2" t="s">
        <v>39</v>
      </c>
      <c r="Z3709" s="2" t="s">
        <v>39</v>
      </c>
      <c r="AA3709" s="2" t="s">
        <v>39</v>
      </c>
      <c r="AB3709" s="2" t="s">
        <v>39</v>
      </c>
      <c r="AC3709" s="2" t="s">
        <v>38</v>
      </c>
      <c r="AD3709" s="2" t="s">
        <v>39</v>
      </c>
      <c r="AE3709" s="2" t="s">
        <v>39</v>
      </c>
    </row>
    <row r="3710" spans="1:31" ht="409.5">
      <c r="A3710" s="2">
        <v>2690821</v>
      </c>
      <c r="B3710" s="2">
        <f>HYPERLINK("https://platform.v2.vetology.net/cases/2690821/screening-report/1?type=pdf&amp;v=v6&amp;scorecard=1&amp;secret_key=BX%25IJ%24%2F65ieZ%29f6", 2690821)</f>
        <v>2690821</v>
      </c>
      <c r="C3710" s="2">
        <f>HYPERLINK("https://platform.v2.vetology.net/report/v/final/"&amp;2690821, 2690821)</f>
        <v>2690821</v>
      </c>
      <c r="D3710" s="2" t="s">
        <v>11719</v>
      </c>
      <c r="E3710" s="2" t="s">
        <v>11720</v>
      </c>
      <c r="F3710" s="2" t="s">
        <v>11721</v>
      </c>
      <c r="G3710" s="2" t="s">
        <v>415</v>
      </c>
      <c r="H3710" s="2" t="s">
        <v>107</v>
      </c>
      <c r="I3710" s="2" t="s">
        <v>36</v>
      </c>
      <c r="J3710" s="2" t="s">
        <v>37</v>
      </c>
      <c r="K3710" s="2" t="s">
        <v>39</v>
      </c>
      <c r="L3710" s="2" t="s">
        <v>38</v>
      </c>
      <c r="M3710" s="2" t="s">
        <v>38</v>
      </c>
      <c r="N3710" s="2" t="s">
        <v>38</v>
      </c>
      <c r="O3710" s="2" t="s">
        <v>38</v>
      </c>
      <c r="P3710" s="2" t="s">
        <v>39</v>
      </c>
      <c r="Q3710" s="2" t="s">
        <v>39</v>
      </c>
      <c r="R3710" s="2" t="s">
        <v>38</v>
      </c>
      <c r="S3710" s="2" t="s">
        <v>38</v>
      </c>
      <c r="T3710" s="2" t="s">
        <v>39</v>
      </c>
      <c r="U3710" s="2" t="s">
        <v>39</v>
      </c>
      <c r="V3710" s="2" t="s">
        <v>38</v>
      </c>
      <c r="W3710" s="2" t="s">
        <v>38</v>
      </c>
      <c r="X3710" s="2" t="s">
        <v>39</v>
      </c>
      <c r="Y3710" s="2" t="s">
        <v>39</v>
      </c>
      <c r="Z3710" s="2" t="s">
        <v>38</v>
      </c>
      <c r="AA3710" s="2" t="s">
        <v>38</v>
      </c>
      <c r="AB3710" s="2" t="s">
        <v>39</v>
      </c>
      <c r="AC3710" s="2" t="s">
        <v>39</v>
      </c>
      <c r="AD3710" s="2" t="s">
        <v>38</v>
      </c>
      <c r="AE3710" s="2" t="s">
        <v>39</v>
      </c>
    </row>
    <row r="3711" spans="1:31" ht="409.5">
      <c r="A3711" s="2">
        <v>2690803</v>
      </c>
      <c r="B3711" s="2">
        <f>HYPERLINK("https://platform.v2.vetology.net/cases/2690803/screening-report/1?type=pdf&amp;v=v6&amp;scorecard=1&amp;secret_key=BX%25IJ%24%2F65ieZ%29f6", 2690803)</f>
        <v>2690803</v>
      </c>
      <c r="C3711" s="2">
        <f>HYPERLINK("https://platform.v2.vetology.net/report/v/final/"&amp;2690803, 2690803)</f>
        <v>2690803</v>
      </c>
      <c r="D3711" s="2" t="s">
        <v>11722</v>
      </c>
      <c r="E3711" s="2" t="s">
        <v>11723</v>
      </c>
      <c r="F3711" s="2" t="s">
        <v>11724</v>
      </c>
      <c r="G3711" s="2" t="s">
        <v>415</v>
      </c>
      <c r="H3711" s="2" t="s">
        <v>11725</v>
      </c>
      <c r="I3711" s="2" t="s">
        <v>684</v>
      </c>
      <c r="J3711" s="2" t="s">
        <v>74</v>
      </c>
      <c r="K3711" s="2" t="s">
        <v>39</v>
      </c>
      <c r="L3711" s="2" t="s">
        <v>38</v>
      </c>
      <c r="M3711" s="2" t="s">
        <v>39</v>
      </c>
      <c r="N3711" s="2" t="s">
        <v>39</v>
      </c>
      <c r="O3711" s="2" t="s">
        <v>39</v>
      </c>
      <c r="P3711" s="2" t="s">
        <v>39</v>
      </c>
      <c r="Q3711" s="2" t="s">
        <v>38</v>
      </c>
      <c r="R3711" s="2" t="s">
        <v>39</v>
      </c>
      <c r="S3711" s="2" t="s">
        <v>39</v>
      </c>
      <c r="T3711" s="2" t="s">
        <v>39</v>
      </c>
      <c r="U3711" s="2" t="s">
        <v>39</v>
      </c>
      <c r="V3711" s="2" t="s">
        <v>39</v>
      </c>
      <c r="W3711" s="2" t="s">
        <v>38</v>
      </c>
      <c r="X3711" s="2" t="s">
        <v>38</v>
      </c>
      <c r="Y3711" s="2" t="s">
        <v>39</v>
      </c>
      <c r="Z3711" s="2" t="s">
        <v>39</v>
      </c>
      <c r="AA3711" s="2" t="s">
        <v>39</v>
      </c>
      <c r="AB3711" s="2" t="s">
        <v>38</v>
      </c>
      <c r="AC3711" s="2" t="s">
        <v>38</v>
      </c>
      <c r="AD3711" s="2" t="s">
        <v>39</v>
      </c>
      <c r="AE3711" s="2" t="s">
        <v>39</v>
      </c>
    </row>
    <row r="3712" spans="1:31" ht="409.5">
      <c r="A3712" s="2">
        <v>2690801</v>
      </c>
      <c r="B3712" s="2">
        <f>HYPERLINK("https://platform.v2.vetology.net/cases/2690801/screening-report/1?type=pdf&amp;v=v6&amp;scorecard=1&amp;secret_key=BX%25IJ%24%2F65ieZ%29f6", 2690801)</f>
        <v>2690801</v>
      </c>
      <c r="C3712" s="2">
        <f>HYPERLINK("https://platform.v2.vetology.net/report/v/final/"&amp;2690801, 2690801)</f>
        <v>2690801</v>
      </c>
      <c r="D3712" s="2" t="s">
        <v>11726</v>
      </c>
      <c r="E3712" s="2" t="s">
        <v>11727</v>
      </c>
      <c r="F3712" s="2" t="s">
        <v>11728</v>
      </c>
      <c r="G3712" s="2" t="s">
        <v>170</v>
      </c>
      <c r="H3712" s="2" t="s">
        <v>69</v>
      </c>
      <c r="I3712" s="2" t="s">
        <v>46</v>
      </c>
      <c r="J3712" s="2"/>
      <c r="K3712" s="2" t="s">
        <v>39</v>
      </c>
      <c r="L3712" s="2" t="s">
        <v>39</v>
      </c>
      <c r="M3712" s="2" t="s">
        <v>39</v>
      </c>
      <c r="N3712" s="2" t="s">
        <v>39</v>
      </c>
      <c r="O3712" s="2" t="s">
        <v>39</v>
      </c>
      <c r="P3712" s="2" t="s">
        <v>39</v>
      </c>
      <c r="Q3712" s="2" t="s">
        <v>39</v>
      </c>
      <c r="R3712" s="2" t="s">
        <v>39</v>
      </c>
      <c r="S3712" s="2" t="s">
        <v>39</v>
      </c>
      <c r="T3712" s="2" t="s">
        <v>39</v>
      </c>
      <c r="U3712" s="2" t="s">
        <v>39</v>
      </c>
      <c r="V3712" s="2" t="s">
        <v>39</v>
      </c>
      <c r="W3712" s="2" t="s">
        <v>39</v>
      </c>
      <c r="X3712" s="2" t="s">
        <v>39</v>
      </c>
      <c r="Y3712" s="2" t="s">
        <v>39</v>
      </c>
      <c r="Z3712" s="2" t="s">
        <v>39</v>
      </c>
      <c r="AA3712" s="2" t="s">
        <v>39</v>
      </c>
      <c r="AB3712" s="2" t="s">
        <v>39</v>
      </c>
      <c r="AC3712" s="2" t="s">
        <v>39</v>
      </c>
      <c r="AD3712" s="2" t="s">
        <v>39</v>
      </c>
      <c r="AE3712" s="2" t="s">
        <v>40</v>
      </c>
    </row>
    <row r="3713" spans="1:31" ht="409.5">
      <c r="A3713" s="2">
        <v>2690789</v>
      </c>
      <c r="B3713" s="2">
        <f>HYPERLINK("https://platform.v2.vetology.net/cases/2690789/screening-report/1?type=pdf&amp;v=v6&amp;scorecard=1&amp;secret_key=BX%25IJ%24%2F65ieZ%29f6", 2690789)</f>
        <v>2690789</v>
      </c>
      <c r="C3713" s="2">
        <f>HYPERLINK("https://platform.v2.vetology.net/report/v/final/"&amp;2690789, 2690789)</f>
        <v>2690789</v>
      </c>
      <c r="D3713" s="2" t="s">
        <v>1044</v>
      </c>
      <c r="E3713" s="2" t="s">
        <v>99</v>
      </c>
      <c r="F3713" s="2"/>
      <c r="G3713" s="2" t="s">
        <v>100</v>
      </c>
      <c r="H3713" s="2" t="s">
        <v>631</v>
      </c>
      <c r="I3713" s="2" t="s">
        <v>59</v>
      </c>
      <c r="J3713" s="2" t="s">
        <v>37</v>
      </c>
      <c r="K3713" s="2" t="s">
        <v>38</v>
      </c>
      <c r="L3713" s="2" t="s">
        <v>39</v>
      </c>
      <c r="M3713" s="2" t="s">
        <v>39</v>
      </c>
      <c r="N3713" s="2" t="s">
        <v>38</v>
      </c>
      <c r="O3713" s="2" t="s">
        <v>39</v>
      </c>
      <c r="P3713" s="2" t="s">
        <v>39</v>
      </c>
      <c r="Q3713" s="2" t="s">
        <v>39</v>
      </c>
      <c r="R3713" s="2" t="s">
        <v>38</v>
      </c>
      <c r="S3713" s="2" t="s">
        <v>38</v>
      </c>
      <c r="T3713" s="2" t="s">
        <v>39</v>
      </c>
      <c r="U3713" s="2" t="s">
        <v>38</v>
      </c>
      <c r="V3713" s="2" t="s">
        <v>38</v>
      </c>
      <c r="W3713" s="2" t="s">
        <v>38</v>
      </c>
      <c r="X3713" s="2" t="s">
        <v>39</v>
      </c>
      <c r="Y3713" s="2" t="s">
        <v>39</v>
      </c>
      <c r="Z3713" s="2" t="s">
        <v>39</v>
      </c>
      <c r="AA3713" s="2" t="s">
        <v>39</v>
      </c>
      <c r="AB3713" s="2" t="s">
        <v>39</v>
      </c>
      <c r="AC3713" s="2" t="s">
        <v>38</v>
      </c>
      <c r="AD3713" s="2" t="s">
        <v>38</v>
      </c>
      <c r="AE3713" s="2" t="s">
        <v>40</v>
      </c>
    </row>
    <row r="3714" spans="1:31" ht="409.5">
      <c r="A3714" s="2">
        <v>2690775</v>
      </c>
      <c r="B3714" s="2">
        <f>HYPERLINK("https://platform.v2.vetology.net/cases/2690775/screening-report/1?type=pdf&amp;v=v6&amp;scorecard=1&amp;secret_key=BX%25IJ%24%2F65ieZ%29f6", 2690775)</f>
        <v>2690775</v>
      </c>
      <c r="C3714" s="2">
        <f>HYPERLINK("https://platform.v2.vetology.net/report/v/final/"&amp;2690775, 2690775)</f>
        <v>2690775</v>
      </c>
      <c r="D3714" s="2" t="s">
        <v>11729</v>
      </c>
      <c r="E3714" s="2" t="s">
        <v>4067</v>
      </c>
      <c r="F3714" s="2" t="s">
        <v>356</v>
      </c>
      <c r="G3714" s="2" t="s">
        <v>100</v>
      </c>
      <c r="H3714" s="2" t="s">
        <v>11730</v>
      </c>
      <c r="I3714" s="2" t="s">
        <v>36</v>
      </c>
      <c r="J3714" s="2" t="s">
        <v>37</v>
      </c>
      <c r="K3714" s="2" t="s">
        <v>39</v>
      </c>
      <c r="L3714" s="2" t="s">
        <v>38</v>
      </c>
      <c r="M3714" s="2" t="s">
        <v>38</v>
      </c>
      <c r="N3714" s="2" t="s">
        <v>39</v>
      </c>
      <c r="O3714" s="2" t="s">
        <v>39</v>
      </c>
      <c r="P3714" s="2" t="s">
        <v>39</v>
      </c>
      <c r="Q3714" s="2" t="s">
        <v>39</v>
      </c>
      <c r="R3714" s="2" t="s">
        <v>38</v>
      </c>
      <c r="S3714" s="2" t="s">
        <v>38</v>
      </c>
      <c r="T3714" s="2" t="s">
        <v>38</v>
      </c>
      <c r="U3714" s="2" t="s">
        <v>39</v>
      </c>
      <c r="V3714" s="2" t="s">
        <v>39</v>
      </c>
      <c r="W3714" s="2" t="s">
        <v>38</v>
      </c>
      <c r="X3714" s="2" t="s">
        <v>38</v>
      </c>
      <c r="Y3714" s="2" t="s">
        <v>39</v>
      </c>
      <c r="Z3714" s="2" t="s">
        <v>38</v>
      </c>
      <c r="AA3714" s="2" t="s">
        <v>39</v>
      </c>
      <c r="AB3714" s="2" t="s">
        <v>38</v>
      </c>
      <c r="AC3714" s="2" t="s">
        <v>39</v>
      </c>
      <c r="AD3714" s="2" t="s">
        <v>38</v>
      </c>
      <c r="AE3714" s="2" t="s">
        <v>39</v>
      </c>
    </row>
    <row r="3715" spans="1:31" ht="409.5">
      <c r="A3715" s="2">
        <v>2690753</v>
      </c>
      <c r="B3715" s="2">
        <f>HYPERLINK("https://platform.v2.vetology.net/cases/2690753/screening-report/1?type=pdf&amp;v=v6&amp;scorecard=1&amp;secret_key=BX%25IJ%24%2F65ieZ%29f6", 2690753)</f>
        <v>2690753</v>
      </c>
      <c r="C3715" s="2">
        <f>HYPERLINK("https://platform.v2.vetology.net/report/v/final/"&amp;2690753, 2690753)</f>
        <v>2690753</v>
      </c>
      <c r="D3715" s="2" t="s">
        <v>302</v>
      </c>
      <c r="E3715" s="2" t="s">
        <v>99</v>
      </c>
      <c r="F3715" s="2"/>
      <c r="G3715" s="2" t="s">
        <v>100</v>
      </c>
      <c r="H3715" s="2" t="s">
        <v>69</v>
      </c>
      <c r="I3715" s="2" t="s">
        <v>46</v>
      </c>
      <c r="J3715" s="2"/>
      <c r="K3715" s="2" t="s">
        <v>39</v>
      </c>
      <c r="L3715" s="2" t="s">
        <v>39</v>
      </c>
      <c r="M3715" s="2" t="s">
        <v>39</v>
      </c>
      <c r="N3715" s="2" t="s">
        <v>39</v>
      </c>
      <c r="O3715" s="2" t="s">
        <v>39</v>
      </c>
      <c r="P3715" s="2" t="s">
        <v>39</v>
      </c>
      <c r="Q3715" s="2" t="s">
        <v>39</v>
      </c>
      <c r="R3715" s="2" t="s">
        <v>39</v>
      </c>
      <c r="S3715" s="2" t="s">
        <v>39</v>
      </c>
      <c r="T3715" s="2" t="s">
        <v>39</v>
      </c>
      <c r="U3715" s="2" t="s">
        <v>39</v>
      </c>
      <c r="V3715" s="2" t="s">
        <v>39</v>
      </c>
      <c r="W3715" s="2" t="s">
        <v>39</v>
      </c>
      <c r="X3715" s="2" t="s">
        <v>39</v>
      </c>
      <c r="Y3715" s="2" t="s">
        <v>39</v>
      </c>
      <c r="Z3715" s="2" t="s">
        <v>39</v>
      </c>
      <c r="AA3715" s="2" t="s">
        <v>39</v>
      </c>
      <c r="AB3715" s="2" t="s">
        <v>39</v>
      </c>
      <c r="AC3715" s="2" t="s">
        <v>38</v>
      </c>
      <c r="AD3715" s="2" t="s">
        <v>38</v>
      </c>
      <c r="AE3715" s="2" t="s">
        <v>39</v>
      </c>
    </row>
    <row r="3716" spans="1:31" ht="409.5">
      <c r="A3716" s="2">
        <v>2690752</v>
      </c>
      <c r="B3716" s="2">
        <f>HYPERLINK("https://platform.v2.vetology.net/cases/2690752/screening-report/1?type=pdf&amp;v=v6&amp;scorecard=1&amp;secret_key=BX%25IJ%24%2F65ieZ%29f6", 2690752)</f>
        <v>2690752</v>
      </c>
      <c r="C3716" s="2">
        <f>HYPERLINK("https://platform.v2.vetology.net/report/v/final/"&amp;2690752, 2690752)</f>
        <v>2690752</v>
      </c>
      <c r="D3716" s="2" t="s">
        <v>11731</v>
      </c>
      <c r="E3716" s="2" t="s">
        <v>11732</v>
      </c>
      <c r="F3716" s="2" t="s">
        <v>43</v>
      </c>
      <c r="G3716" s="2" t="s">
        <v>100</v>
      </c>
      <c r="H3716" s="2" t="s">
        <v>10513</v>
      </c>
      <c r="I3716" s="2" t="s">
        <v>73</v>
      </c>
      <c r="J3716" s="2" t="s">
        <v>74</v>
      </c>
      <c r="K3716" s="2" t="s">
        <v>38</v>
      </c>
      <c r="L3716" s="2" t="s">
        <v>38</v>
      </c>
      <c r="M3716" s="2" t="s">
        <v>38</v>
      </c>
      <c r="N3716" s="2" t="s">
        <v>38</v>
      </c>
      <c r="O3716" s="2" t="s">
        <v>38</v>
      </c>
      <c r="P3716" s="2" t="s">
        <v>38</v>
      </c>
      <c r="Q3716" s="2" t="s">
        <v>38</v>
      </c>
      <c r="R3716" s="2" t="s">
        <v>38</v>
      </c>
      <c r="S3716" s="2" t="s">
        <v>38</v>
      </c>
      <c r="T3716" s="2" t="s">
        <v>38</v>
      </c>
      <c r="U3716" s="2" t="s">
        <v>38</v>
      </c>
      <c r="V3716" s="2" t="s">
        <v>38</v>
      </c>
      <c r="W3716" s="2" t="s">
        <v>38</v>
      </c>
      <c r="X3716" s="2" t="s">
        <v>38</v>
      </c>
      <c r="Y3716" s="2" t="s">
        <v>39</v>
      </c>
      <c r="Z3716" s="2" t="s">
        <v>38</v>
      </c>
      <c r="AA3716" s="2" t="s">
        <v>38</v>
      </c>
      <c r="AB3716" s="2" t="s">
        <v>38</v>
      </c>
      <c r="AC3716" s="2" t="s">
        <v>38</v>
      </c>
      <c r="AD3716" s="2" t="s">
        <v>39</v>
      </c>
      <c r="AE3716" s="2" t="s">
        <v>39</v>
      </c>
    </row>
    <row r="3717" spans="1:31" ht="409.5">
      <c r="A3717" s="2">
        <v>2690747</v>
      </c>
      <c r="B3717" s="2">
        <f>HYPERLINK("https://platform.v2.vetology.net/cases/2690747/screening-report/1?type=pdf&amp;v=v6&amp;scorecard=1&amp;secret_key=BX%25IJ%24%2F65ieZ%29f6", 2690747)</f>
        <v>2690747</v>
      </c>
      <c r="C3717" s="2">
        <f>HYPERLINK("https://platform.v2.vetology.net/report/v/final/"&amp;2690747, 2690747)</f>
        <v>2690747</v>
      </c>
      <c r="D3717" s="2" t="s">
        <v>11733</v>
      </c>
      <c r="E3717" s="2" t="s">
        <v>11734</v>
      </c>
      <c r="F3717" s="2" t="s">
        <v>7477</v>
      </c>
      <c r="G3717" s="2" t="s">
        <v>44</v>
      </c>
      <c r="H3717" s="2" t="s">
        <v>1032</v>
      </c>
      <c r="I3717" s="2" t="s">
        <v>59</v>
      </c>
      <c r="J3717" s="2" t="s">
        <v>37</v>
      </c>
      <c r="K3717" s="2" t="s">
        <v>39</v>
      </c>
      <c r="L3717" s="2" t="s">
        <v>39</v>
      </c>
      <c r="M3717" s="2" t="s">
        <v>39</v>
      </c>
      <c r="N3717" s="2" t="s">
        <v>38</v>
      </c>
      <c r="O3717" s="2" t="s">
        <v>39</v>
      </c>
      <c r="P3717" s="2" t="s">
        <v>39</v>
      </c>
      <c r="Q3717" s="2" t="s">
        <v>39</v>
      </c>
      <c r="R3717" s="2" t="s">
        <v>39</v>
      </c>
      <c r="S3717" s="2" t="s">
        <v>39</v>
      </c>
      <c r="T3717" s="2" t="s">
        <v>39</v>
      </c>
      <c r="U3717" s="2" t="s">
        <v>39</v>
      </c>
      <c r="V3717" s="2" t="s">
        <v>38</v>
      </c>
      <c r="W3717" s="2" t="s">
        <v>38</v>
      </c>
      <c r="X3717" s="2" t="s">
        <v>39</v>
      </c>
      <c r="Y3717" s="2" t="s">
        <v>39</v>
      </c>
      <c r="Z3717" s="2" t="s">
        <v>39</v>
      </c>
      <c r="AA3717" s="2" t="s">
        <v>39</v>
      </c>
      <c r="AB3717" s="2" t="s">
        <v>39</v>
      </c>
      <c r="AC3717" s="2" t="s">
        <v>38</v>
      </c>
      <c r="AD3717" s="2" t="s">
        <v>39</v>
      </c>
      <c r="AE3717" s="2" t="s">
        <v>40</v>
      </c>
    </row>
    <row r="3718" spans="1:31" ht="409.5">
      <c r="A3718" s="2">
        <v>2690729</v>
      </c>
      <c r="B3718" s="2">
        <f>HYPERLINK("https://platform.v2.vetology.net/cases/2690729/screening-report/1?type=pdf&amp;v=v6&amp;scorecard=1&amp;secret_key=BX%25IJ%24%2F65ieZ%29f6", 2690729)</f>
        <v>2690729</v>
      </c>
      <c r="C3718" s="2">
        <f>HYPERLINK("https://platform.v2.vetology.net/report/v/final/"&amp;2690729, 2690729)</f>
        <v>2690729</v>
      </c>
      <c r="D3718" s="2" t="s">
        <v>11735</v>
      </c>
      <c r="E3718" s="2" t="s">
        <v>11736</v>
      </c>
      <c r="F3718" s="2" t="s">
        <v>11737</v>
      </c>
      <c r="G3718" s="2" t="s">
        <v>53</v>
      </c>
      <c r="H3718" s="2" t="s">
        <v>45</v>
      </c>
      <c r="I3718" s="2" t="s">
        <v>46</v>
      </c>
      <c r="J3718" s="2"/>
      <c r="K3718" s="2" t="s">
        <v>39</v>
      </c>
      <c r="L3718" s="2" t="s">
        <v>39</v>
      </c>
      <c r="M3718" s="2" t="s">
        <v>39</v>
      </c>
      <c r="N3718" s="2" t="s">
        <v>39</v>
      </c>
      <c r="O3718" s="2" t="s">
        <v>39</v>
      </c>
      <c r="P3718" s="2" t="s">
        <v>39</v>
      </c>
      <c r="Q3718" s="2" t="s">
        <v>39</v>
      </c>
      <c r="R3718" s="2" t="s">
        <v>38</v>
      </c>
      <c r="S3718" s="2" t="s">
        <v>39</v>
      </c>
      <c r="T3718" s="2" t="s">
        <v>39</v>
      </c>
      <c r="U3718" s="2" t="s">
        <v>39</v>
      </c>
      <c r="V3718" s="2" t="s">
        <v>39</v>
      </c>
      <c r="W3718" s="2" t="s">
        <v>38</v>
      </c>
      <c r="X3718" s="2" t="s">
        <v>39</v>
      </c>
      <c r="Y3718" s="2" t="s">
        <v>39</v>
      </c>
      <c r="Z3718" s="2" t="s">
        <v>39</v>
      </c>
      <c r="AA3718" s="2" t="s">
        <v>39</v>
      </c>
      <c r="AB3718" s="2" t="s">
        <v>39</v>
      </c>
      <c r="AC3718" s="2" t="s">
        <v>38</v>
      </c>
      <c r="AD3718" s="2" t="s">
        <v>39</v>
      </c>
      <c r="AE3718" s="2" t="s">
        <v>40</v>
      </c>
    </row>
    <row r="3719" spans="1:31" ht="409.5">
      <c r="A3719" s="2">
        <v>2690726</v>
      </c>
      <c r="B3719" s="2">
        <f>HYPERLINK("https://platform.v2.vetology.net/cases/2690726/screening-report/1?type=pdf&amp;v=v6&amp;scorecard=1&amp;secret_key=BX%25IJ%24%2F65ieZ%29f6", 2690726)</f>
        <v>2690726</v>
      </c>
      <c r="C3719" s="2">
        <f>HYPERLINK("https://platform.v2.vetology.net/report/v/final/"&amp;2690726, 2690726)</f>
        <v>2690726</v>
      </c>
      <c r="D3719" s="2" t="s">
        <v>11738</v>
      </c>
      <c r="E3719" s="2" t="s">
        <v>11739</v>
      </c>
      <c r="F3719" s="2" t="s">
        <v>8978</v>
      </c>
      <c r="G3719" s="2" t="s">
        <v>170</v>
      </c>
      <c r="H3719" s="2" t="s">
        <v>11740</v>
      </c>
      <c r="I3719" s="2" t="s">
        <v>73</v>
      </c>
      <c r="J3719" s="2" t="s">
        <v>74</v>
      </c>
      <c r="K3719" s="2" t="s">
        <v>38</v>
      </c>
      <c r="L3719" s="2" t="s">
        <v>38</v>
      </c>
      <c r="M3719" s="2" t="s">
        <v>38</v>
      </c>
      <c r="N3719" s="2" t="s">
        <v>38</v>
      </c>
      <c r="O3719" s="2" t="s">
        <v>38</v>
      </c>
      <c r="P3719" s="2" t="s">
        <v>38</v>
      </c>
      <c r="Q3719" s="2" t="s">
        <v>38</v>
      </c>
      <c r="R3719" s="2" t="s">
        <v>39</v>
      </c>
      <c r="S3719" s="2" t="s">
        <v>38</v>
      </c>
      <c r="T3719" s="2" t="s">
        <v>38</v>
      </c>
      <c r="U3719" s="2" t="s">
        <v>38</v>
      </c>
      <c r="V3719" s="2" t="s">
        <v>38</v>
      </c>
      <c r="W3719" s="2" t="s">
        <v>38</v>
      </c>
      <c r="X3719" s="2" t="s">
        <v>38</v>
      </c>
      <c r="Y3719" s="2" t="s">
        <v>38</v>
      </c>
      <c r="Z3719" s="2" t="s">
        <v>38</v>
      </c>
      <c r="AA3719" s="2" t="s">
        <v>38</v>
      </c>
      <c r="AB3719" s="2" t="s">
        <v>38</v>
      </c>
      <c r="AC3719" s="2" t="s">
        <v>38</v>
      </c>
      <c r="AD3719" s="2" t="s">
        <v>39</v>
      </c>
      <c r="AE3719" s="2" t="s">
        <v>40</v>
      </c>
    </row>
    <row r="3720" spans="1:31" ht="409.5">
      <c r="A3720" s="2">
        <v>2690720</v>
      </c>
      <c r="B3720" s="2">
        <f>HYPERLINK("https://platform.v2.vetology.net/cases/2690720/screening-report/1?type=pdf&amp;v=v6&amp;scorecard=1&amp;secret_key=BX%25IJ%24%2F65ieZ%29f6", 2690720)</f>
        <v>2690720</v>
      </c>
      <c r="C3720" s="2">
        <f>HYPERLINK("https://platform.v2.vetology.net/report/v/final/"&amp;2690720, 2690720)</f>
        <v>2690720</v>
      </c>
      <c r="D3720" s="2" t="s">
        <v>11741</v>
      </c>
      <c r="E3720" s="2" t="s">
        <v>11742</v>
      </c>
      <c r="F3720" s="2" t="s">
        <v>11743</v>
      </c>
      <c r="G3720" s="2" t="s">
        <v>415</v>
      </c>
      <c r="H3720" s="2" t="s">
        <v>1248</v>
      </c>
      <c r="I3720" s="2" t="s">
        <v>813</v>
      </c>
      <c r="J3720" s="2" t="s">
        <v>37</v>
      </c>
      <c r="K3720" s="2" t="s">
        <v>39</v>
      </c>
      <c r="L3720" s="2" t="s">
        <v>39</v>
      </c>
      <c r="M3720" s="2" t="s">
        <v>39</v>
      </c>
      <c r="N3720" s="2" t="s">
        <v>39</v>
      </c>
      <c r="O3720" s="2" t="s">
        <v>39</v>
      </c>
      <c r="P3720" s="2" t="s">
        <v>39</v>
      </c>
      <c r="Q3720" s="2" t="s">
        <v>39</v>
      </c>
      <c r="R3720" s="2" t="s">
        <v>38</v>
      </c>
      <c r="S3720" s="2" t="s">
        <v>39</v>
      </c>
      <c r="T3720" s="2" t="s">
        <v>39</v>
      </c>
      <c r="U3720" s="2" t="s">
        <v>39</v>
      </c>
      <c r="V3720" s="2" t="s">
        <v>39</v>
      </c>
      <c r="W3720" s="2" t="s">
        <v>38</v>
      </c>
      <c r="X3720" s="2" t="s">
        <v>39</v>
      </c>
      <c r="Y3720" s="2" t="s">
        <v>39</v>
      </c>
      <c r="Z3720" s="2" t="s">
        <v>39</v>
      </c>
      <c r="AA3720" s="2" t="s">
        <v>39</v>
      </c>
      <c r="AB3720" s="2" t="s">
        <v>39</v>
      </c>
      <c r="AC3720" s="2" t="s">
        <v>38</v>
      </c>
      <c r="AD3720" s="2" t="s">
        <v>39</v>
      </c>
      <c r="AE3720" s="2"/>
    </row>
    <row r="3721" spans="1:31" ht="409.5">
      <c r="A3721" s="2">
        <v>2690664</v>
      </c>
      <c r="B3721" s="2">
        <f>HYPERLINK("https://platform.v2.vetology.net/cases/2690664/screening-report/1?type=pdf&amp;v=v6&amp;scorecard=1&amp;secret_key=BX%25IJ%24%2F65ieZ%29f6", 2690664)</f>
        <v>2690664</v>
      </c>
      <c r="C3721" s="2">
        <f>HYPERLINK("https://platform.v2.vetology.net/report/v/final/"&amp;2690664, 2690664)</f>
        <v>2690664</v>
      </c>
      <c r="D3721" s="2" t="s">
        <v>11744</v>
      </c>
      <c r="E3721" s="2" t="s">
        <v>11745</v>
      </c>
      <c r="F3721" s="2" t="s">
        <v>11746</v>
      </c>
      <c r="G3721" s="2" t="s">
        <v>170</v>
      </c>
      <c r="H3721" s="2" t="s">
        <v>11747</v>
      </c>
      <c r="I3721" s="2" t="s">
        <v>36</v>
      </c>
      <c r="J3721" s="2" t="s">
        <v>37</v>
      </c>
      <c r="K3721" s="2" t="s">
        <v>38</v>
      </c>
      <c r="L3721" s="2" t="s">
        <v>38</v>
      </c>
      <c r="M3721" s="2" t="s">
        <v>38</v>
      </c>
      <c r="N3721" s="2" t="s">
        <v>38</v>
      </c>
      <c r="O3721" s="2" t="s">
        <v>38</v>
      </c>
      <c r="P3721" s="2" t="s">
        <v>38</v>
      </c>
      <c r="Q3721" s="2" t="s">
        <v>39</v>
      </c>
      <c r="R3721" s="2" t="s">
        <v>38</v>
      </c>
      <c r="S3721" s="2" t="s">
        <v>38</v>
      </c>
      <c r="T3721" s="2" t="s">
        <v>38</v>
      </c>
      <c r="U3721" s="2" t="s">
        <v>38</v>
      </c>
      <c r="V3721" s="2" t="s">
        <v>38</v>
      </c>
      <c r="W3721" s="2" t="s">
        <v>38</v>
      </c>
      <c r="X3721" s="2" t="s">
        <v>38</v>
      </c>
      <c r="Y3721" s="2" t="s">
        <v>38</v>
      </c>
      <c r="Z3721" s="2" t="s">
        <v>38</v>
      </c>
      <c r="AA3721" s="2" t="s">
        <v>38</v>
      </c>
      <c r="AB3721" s="2" t="s">
        <v>38</v>
      </c>
      <c r="AC3721" s="2" t="s">
        <v>38</v>
      </c>
      <c r="AD3721" s="2" t="s">
        <v>38</v>
      </c>
      <c r="AE3721" s="2" t="s">
        <v>39</v>
      </c>
    </row>
    <row r="3722" spans="1:31" ht="409.5">
      <c r="A3722" s="2">
        <v>2690661</v>
      </c>
      <c r="B3722" s="2">
        <f>HYPERLINK("https://platform.v2.vetology.net/cases/2690661/screening-report/1?type=pdf&amp;v=v6&amp;scorecard=1&amp;secret_key=BX%25IJ%24%2F65ieZ%29f6", 2690661)</f>
        <v>2690661</v>
      </c>
      <c r="C3722" s="2">
        <f>HYPERLINK("https://platform.v2.vetology.net/report/v/final/"&amp;2690661, 2690661)</f>
        <v>2690661</v>
      </c>
      <c r="D3722" s="2" t="s">
        <v>11748</v>
      </c>
      <c r="E3722" s="2" t="s">
        <v>11749</v>
      </c>
      <c r="F3722" s="2" t="s">
        <v>787</v>
      </c>
      <c r="G3722" s="2" t="s">
        <v>100</v>
      </c>
      <c r="H3722" s="2" t="s">
        <v>11750</v>
      </c>
      <c r="I3722" s="2" t="s">
        <v>36</v>
      </c>
      <c r="J3722" s="2" t="s">
        <v>37</v>
      </c>
      <c r="K3722" s="2" t="s">
        <v>38</v>
      </c>
      <c r="L3722" s="2" t="s">
        <v>38</v>
      </c>
      <c r="M3722" s="2" t="s">
        <v>38</v>
      </c>
      <c r="N3722" s="2" t="s">
        <v>38</v>
      </c>
      <c r="O3722" s="2" t="s">
        <v>38</v>
      </c>
      <c r="P3722" s="2" t="s">
        <v>38</v>
      </c>
      <c r="Q3722" s="2" t="s">
        <v>39</v>
      </c>
      <c r="R3722" s="2" t="s">
        <v>38</v>
      </c>
      <c r="S3722" s="2" t="s">
        <v>38</v>
      </c>
      <c r="T3722" s="2" t="s">
        <v>38</v>
      </c>
      <c r="U3722" s="2" t="s">
        <v>38</v>
      </c>
      <c r="V3722" s="2" t="s">
        <v>38</v>
      </c>
      <c r="W3722" s="2" t="s">
        <v>39</v>
      </c>
      <c r="X3722" s="2" t="s">
        <v>39</v>
      </c>
      <c r="Y3722" s="2" t="s">
        <v>39</v>
      </c>
      <c r="Z3722" s="2" t="s">
        <v>38</v>
      </c>
      <c r="AA3722" s="2" t="s">
        <v>38</v>
      </c>
      <c r="AB3722" s="2" t="s">
        <v>39</v>
      </c>
      <c r="AC3722" s="2" t="s">
        <v>38</v>
      </c>
      <c r="AD3722" s="2" t="s">
        <v>39</v>
      </c>
      <c r="AE3722" s="2" t="s">
        <v>40</v>
      </c>
    </row>
    <row r="3723" spans="1:31" ht="409.5">
      <c r="A3723" s="2">
        <v>2690656</v>
      </c>
      <c r="B3723" s="2">
        <f>HYPERLINK("https://platform.v2.vetology.net/cases/2690656/screening-report/1?type=pdf&amp;v=v6&amp;scorecard=1&amp;secret_key=BX%25IJ%24%2F65ieZ%29f6", 2690656)</f>
        <v>2690656</v>
      </c>
      <c r="C3723" s="2">
        <f>HYPERLINK("https://platform.v2.vetology.net/report/v/final/"&amp;2690656, 2690656)</f>
        <v>2690656</v>
      </c>
      <c r="D3723" s="2" t="s">
        <v>11751</v>
      </c>
      <c r="E3723" s="2" t="s">
        <v>11752</v>
      </c>
      <c r="F3723" s="2" t="s">
        <v>11753</v>
      </c>
      <c r="G3723" s="2" t="s">
        <v>170</v>
      </c>
      <c r="H3723" s="2" t="s">
        <v>11754</v>
      </c>
      <c r="I3723" s="2" t="s">
        <v>73</v>
      </c>
      <c r="J3723" s="2" t="s">
        <v>74</v>
      </c>
      <c r="K3723" s="2" t="s">
        <v>38</v>
      </c>
      <c r="L3723" s="2" t="s">
        <v>38</v>
      </c>
      <c r="M3723" s="2" t="s">
        <v>38</v>
      </c>
      <c r="N3723" s="2" t="s">
        <v>38</v>
      </c>
      <c r="O3723" s="2" t="s">
        <v>38</v>
      </c>
      <c r="P3723" s="2" t="s">
        <v>38</v>
      </c>
      <c r="Q3723" s="2" t="s">
        <v>38</v>
      </c>
      <c r="R3723" s="2" t="s">
        <v>38</v>
      </c>
      <c r="S3723" s="2" t="s">
        <v>38</v>
      </c>
      <c r="T3723" s="2" t="s">
        <v>38</v>
      </c>
      <c r="U3723" s="2" t="s">
        <v>38</v>
      </c>
      <c r="V3723" s="2" t="s">
        <v>38</v>
      </c>
      <c r="W3723" s="2" t="s">
        <v>38</v>
      </c>
      <c r="X3723" s="2" t="s">
        <v>38</v>
      </c>
      <c r="Y3723" s="2" t="s">
        <v>38</v>
      </c>
      <c r="Z3723" s="2" t="s">
        <v>38</v>
      </c>
      <c r="AA3723" s="2" t="s">
        <v>38</v>
      </c>
      <c r="AB3723" s="2" t="s">
        <v>38</v>
      </c>
      <c r="AC3723" s="2" t="s">
        <v>38</v>
      </c>
      <c r="AD3723" s="2" t="s">
        <v>38</v>
      </c>
      <c r="AE3723" s="2" t="s">
        <v>39</v>
      </c>
    </row>
    <row r="3724" spans="1:31" ht="409.5">
      <c r="A3724" s="2">
        <v>2690642</v>
      </c>
      <c r="B3724" s="2">
        <f>HYPERLINK("https://platform.v2.vetology.net/cases/2690642/screening-report/1?type=pdf&amp;v=v6&amp;scorecard=1&amp;secret_key=BX%25IJ%24%2F65ieZ%29f6", 2690642)</f>
        <v>2690642</v>
      </c>
      <c r="C3724" s="2">
        <f>HYPERLINK("https://platform.v2.vetology.net/report/v/final/"&amp;2690642, 2690642)</f>
        <v>2690642</v>
      </c>
      <c r="D3724" s="2" t="s">
        <v>11755</v>
      </c>
      <c r="E3724" s="2" t="s">
        <v>11756</v>
      </c>
      <c r="F3724" s="2" t="s">
        <v>174</v>
      </c>
      <c r="G3724" s="2" t="s">
        <v>170</v>
      </c>
      <c r="H3724" s="2" t="s">
        <v>158</v>
      </c>
      <c r="I3724" s="2" t="s">
        <v>59</v>
      </c>
      <c r="J3724" s="2" t="s">
        <v>37</v>
      </c>
      <c r="K3724" s="2" t="s">
        <v>38</v>
      </c>
      <c r="L3724" s="2" t="s">
        <v>39</v>
      </c>
      <c r="M3724" s="2" t="s">
        <v>39</v>
      </c>
      <c r="N3724" s="2" t="s">
        <v>39</v>
      </c>
      <c r="O3724" s="2" t="s">
        <v>39</v>
      </c>
      <c r="P3724" s="2" t="s">
        <v>39</v>
      </c>
      <c r="Q3724" s="2" t="s">
        <v>39</v>
      </c>
      <c r="R3724" s="2" t="s">
        <v>39</v>
      </c>
      <c r="S3724" s="2" t="s">
        <v>39</v>
      </c>
      <c r="T3724" s="2" t="s">
        <v>39</v>
      </c>
      <c r="U3724" s="2" t="s">
        <v>38</v>
      </c>
      <c r="V3724" s="2" t="s">
        <v>38</v>
      </c>
      <c r="W3724" s="2" t="s">
        <v>39</v>
      </c>
      <c r="X3724" s="2" t="s">
        <v>39</v>
      </c>
      <c r="Y3724" s="2" t="s">
        <v>39</v>
      </c>
      <c r="Z3724" s="2" t="s">
        <v>39</v>
      </c>
      <c r="AA3724" s="2" t="s">
        <v>39</v>
      </c>
      <c r="AB3724" s="2" t="s">
        <v>39</v>
      </c>
      <c r="AC3724" s="2" t="s">
        <v>39</v>
      </c>
      <c r="AD3724" s="2" t="s">
        <v>39</v>
      </c>
      <c r="AE3724" s="2" t="s">
        <v>39</v>
      </c>
    </row>
    <row r="3725" spans="1:31" ht="409.5">
      <c r="A3725" s="2">
        <v>2690607</v>
      </c>
      <c r="B3725" s="2">
        <f>HYPERLINK("https://platform.v2.vetology.net/cases/2690607/screening-report/1?type=pdf&amp;v=v6&amp;scorecard=1&amp;secret_key=BX%25IJ%24%2F65ieZ%29f6", 2690607)</f>
        <v>2690607</v>
      </c>
      <c r="C3725" s="2">
        <f>HYPERLINK("https://platform.v2.vetology.net/report/v/final/"&amp;2690607, 2690607)</f>
        <v>2690607</v>
      </c>
      <c r="D3725" s="2" t="s">
        <v>11757</v>
      </c>
      <c r="E3725" s="2" t="s">
        <v>11758</v>
      </c>
      <c r="F3725" s="2" t="s">
        <v>4088</v>
      </c>
      <c r="G3725" s="2" t="s">
        <v>170</v>
      </c>
      <c r="H3725" s="2" t="s">
        <v>1821</v>
      </c>
      <c r="I3725" s="2" t="s">
        <v>36</v>
      </c>
      <c r="J3725" s="2" t="s">
        <v>37</v>
      </c>
      <c r="K3725" s="2" t="s">
        <v>39</v>
      </c>
      <c r="L3725" s="2" t="s">
        <v>38</v>
      </c>
      <c r="M3725" s="2" t="s">
        <v>39</v>
      </c>
      <c r="N3725" s="2" t="s">
        <v>39</v>
      </c>
      <c r="O3725" s="2" t="s">
        <v>39</v>
      </c>
      <c r="P3725" s="2" t="s">
        <v>39</v>
      </c>
      <c r="Q3725" s="2" t="s">
        <v>39</v>
      </c>
      <c r="R3725" s="2" t="s">
        <v>39</v>
      </c>
      <c r="S3725" s="2" t="s">
        <v>38</v>
      </c>
      <c r="T3725" s="2" t="s">
        <v>39</v>
      </c>
      <c r="U3725" s="2" t="s">
        <v>39</v>
      </c>
      <c r="V3725" s="2" t="s">
        <v>39</v>
      </c>
      <c r="W3725" s="2" t="s">
        <v>39</v>
      </c>
      <c r="X3725" s="2" t="s">
        <v>39</v>
      </c>
      <c r="Y3725" s="2" t="s">
        <v>39</v>
      </c>
      <c r="Z3725" s="2" t="s">
        <v>39</v>
      </c>
      <c r="AA3725" s="2" t="s">
        <v>39</v>
      </c>
      <c r="AB3725" s="2" t="s">
        <v>39</v>
      </c>
      <c r="AC3725" s="2" t="s">
        <v>38</v>
      </c>
      <c r="AD3725" s="2" t="s">
        <v>38</v>
      </c>
      <c r="AE3725" s="2"/>
    </row>
    <row r="3726" spans="1:31" ht="409.5">
      <c r="A3726" s="2">
        <v>2690595</v>
      </c>
      <c r="B3726" s="2">
        <f>HYPERLINK("https://platform.v2.vetology.net/cases/2690595/screening-report/1?type=pdf&amp;v=v6&amp;scorecard=1&amp;secret_key=BX%25IJ%24%2F65ieZ%29f6", 2690595)</f>
        <v>2690595</v>
      </c>
      <c r="C3726" s="2">
        <f>HYPERLINK("https://platform.v2.vetology.net/report/v/final/"&amp;2690595, 2690595)</f>
        <v>2690595</v>
      </c>
      <c r="D3726" s="2" t="s">
        <v>11759</v>
      </c>
      <c r="E3726" s="2" t="s">
        <v>11760</v>
      </c>
      <c r="F3726" s="2" t="s">
        <v>11761</v>
      </c>
      <c r="G3726" s="2" t="s">
        <v>127</v>
      </c>
      <c r="H3726" s="2" t="s">
        <v>11762</v>
      </c>
      <c r="I3726" s="2" t="s">
        <v>73</v>
      </c>
      <c r="J3726" s="2" t="s">
        <v>74</v>
      </c>
      <c r="K3726" s="2" t="s">
        <v>38</v>
      </c>
      <c r="L3726" s="2" t="s">
        <v>38</v>
      </c>
      <c r="M3726" s="2" t="s">
        <v>38</v>
      </c>
      <c r="N3726" s="2" t="s">
        <v>38</v>
      </c>
      <c r="O3726" s="2" t="s">
        <v>38</v>
      </c>
      <c r="P3726" s="2" t="s">
        <v>38</v>
      </c>
      <c r="Q3726" s="2" t="s">
        <v>38</v>
      </c>
      <c r="R3726" s="2" t="s">
        <v>38</v>
      </c>
      <c r="S3726" s="2" t="s">
        <v>38</v>
      </c>
      <c r="T3726" s="2" t="s">
        <v>38</v>
      </c>
      <c r="U3726" s="2" t="s">
        <v>38</v>
      </c>
      <c r="V3726" s="2" t="s">
        <v>38</v>
      </c>
      <c r="W3726" s="2" t="s">
        <v>38</v>
      </c>
      <c r="X3726" s="2" t="s">
        <v>38</v>
      </c>
      <c r="Y3726" s="2" t="s">
        <v>38</v>
      </c>
      <c r="Z3726" s="2" t="s">
        <v>38</v>
      </c>
      <c r="AA3726" s="2" t="s">
        <v>38</v>
      </c>
      <c r="AB3726" s="2" t="s">
        <v>38</v>
      </c>
      <c r="AC3726" s="2" t="s">
        <v>38</v>
      </c>
      <c r="AD3726" s="2" t="s">
        <v>38</v>
      </c>
      <c r="AE3726" s="2" t="s">
        <v>40</v>
      </c>
    </row>
    <row r="3727" spans="1:31" ht="409.5">
      <c r="A3727" s="2">
        <v>2690585</v>
      </c>
      <c r="B3727" s="2">
        <f>HYPERLINK("https://platform.v2.vetology.net/cases/2690585/screening-report/1?type=pdf&amp;v=v6&amp;scorecard=1&amp;secret_key=BX%25IJ%24%2F65ieZ%29f6", 2690585)</f>
        <v>2690585</v>
      </c>
      <c r="C3727" s="2">
        <f>HYPERLINK("https://platform.v2.vetology.net/report/v/final/"&amp;2690585, 2690585)</f>
        <v>2690585</v>
      </c>
      <c r="D3727" s="2" t="s">
        <v>11763</v>
      </c>
      <c r="E3727" s="2" t="s">
        <v>11764</v>
      </c>
      <c r="F3727" s="2" t="s">
        <v>11765</v>
      </c>
      <c r="G3727" s="2" t="s">
        <v>111</v>
      </c>
      <c r="H3727" s="2" t="s">
        <v>158</v>
      </c>
      <c r="I3727" s="2" t="s">
        <v>59</v>
      </c>
      <c r="J3727" s="2" t="s">
        <v>37</v>
      </c>
      <c r="K3727" s="2" t="s">
        <v>38</v>
      </c>
      <c r="L3727" s="2" t="s">
        <v>39</v>
      </c>
      <c r="M3727" s="2" t="s">
        <v>39</v>
      </c>
      <c r="N3727" s="2" t="s">
        <v>39</v>
      </c>
      <c r="O3727" s="2" t="s">
        <v>39</v>
      </c>
      <c r="P3727" s="2" t="s">
        <v>39</v>
      </c>
      <c r="Q3727" s="2" t="s">
        <v>39</v>
      </c>
      <c r="R3727" s="2" t="s">
        <v>39</v>
      </c>
      <c r="S3727" s="2" t="s">
        <v>39</v>
      </c>
      <c r="T3727" s="2" t="s">
        <v>39</v>
      </c>
      <c r="U3727" s="2" t="s">
        <v>39</v>
      </c>
      <c r="V3727" s="2" t="s">
        <v>38</v>
      </c>
      <c r="W3727" s="2" t="s">
        <v>39</v>
      </c>
      <c r="X3727" s="2" t="s">
        <v>39</v>
      </c>
      <c r="Y3727" s="2" t="s">
        <v>39</v>
      </c>
      <c r="Z3727" s="2" t="s">
        <v>39</v>
      </c>
      <c r="AA3727" s="2" t="s">
        <v>39</v>
      </c>
      <c r="AB3727" s="2" t="s">
        <v>39</v>
      </c>
      <c r="AC3727" s="2" t="s">
        <v>39</v>
      </c>
      <c r="AD3727" s="2" t="s">
        <v>38</v>
      </c>
      <c r="AE3727" s="2" t="s">
        <v>39</v>
      </c>
    </row>
    <row r="3728" spans="1:31" ht="409.5">
      <c r="A3728" s="2">
        <v>2690494</v>
      </c>
      <c r="B3728" s="2">
        <f>HYPERLINK("https://platform.v2.vetology.net/cases/2690494/screening-report/1?type=pdf&amp;v=v6&amp;scorecard=1&amp;secret_key=BX%25IJ%24%2F65ieZ%29f6", 2690494)</f>
        <v>2690494</v>
      </c>
      <c r="C3728" s="2">
        <f>HYPERLINK("https://platform.v2.vetology.net/report/v/final/"&amp;2690494, 2690494)</f>
        <v>2690494</v>
      </c>
      <c r="D3728" s="2" t="s">
        <v>11766</v>
      </c>
      <c r="E3728" s="2" t="s">
        <v>11767</v>
      </c>
      <c r="F3728" s="2" t="s">
        <v>43</v>
      </c>
      <c r="G3728" s="2" t="s">
        <v>44</v>
      </c>
      <c r="H3728" s="2" t="s">
        <v>69</v>
      </c>
      <c r="I3728" s="2" t="s">
        <v>46</v>
      </c>
      <c r="J3728" s="2"/>
      <c r="K3728" s="2" t="s">
        <v>39</v>
      </c>
      <c r="L3728" s="2" t="s">
        <v>39</v>
      </c>
      <c r="M3728" s="2" t="s">
        <v>39</v>
      </c>
      <c r="N3728" s="2" t="s">
        <v>39</v>
      </c>
      <c r="O3728" s="2" t="s">
        <v>39</v>
      </c>
      <c r="P3728" s="2" t="s">
        <v>39</v>
      </c>
      <c r="Q3728" s="2" t="s">
        <v>39</v>
      </c>
      <c r="R3728" s="2" t="s">
        <v>39</v>
      </c>
      <c r="S3728" s="2" t="s">
        <v>39</v>
      </c>
      <c r="T3728" s="2" t="s">
        <v>38</v>
      </c>
      <c r="U3728" s="2" t="s">
        <v>39</v>
      </c>
      <c r="V3728" s="2" t="s">
        <v>39</v>
      </c>
      <c r="W3728" s="2" t="s">
        <v>39</v>
      </c>
      <c r="X3728" s="2" t="s">
        <v>39</v>
      </c>
      <c r="Y3728" s="2" t="s">
        <v>39</v>
      </c>
      <c r="Z3728" s="2" t="s">
        <v>39</v>
      </c>
      <c r="AA3728" s="2" t="s">
        <v>39</v>
      </c>
      <c r="AB3728" s="2" t="s">
        <v>39</v>
      </c>
      <c r="AC3728" s="2" t="s">
        <v>38</v>
      </c>
      <c r="AD3728" s="2" t="s">
        <v>39</v>
      </c>
      <c r="AE3728" s="2" t="s">
        <v>39</v>
      </c>
    </row>
    <row r="3729" spans="1:31" ht="409.5">
      <c r="A3729" s="2">
        <v>2690478</v>
      </c>
      <c r="B3729" s="2">
        <f>HYPERLINK("https://platform.v2.vetology.net/cases/2690478/screening-report/1?type=pdf&amp;v=v6&amp;scorecard=1&amp;secret_key=BX%25IJ%24%2F65ieZ%29f6", 2690478)</f>
        <v>2690478</v>
      </c>
      <c r="C3729" s="2">
        <f>HYPERLINK("https://platform.v2.vetology.net/report/v/final/"&amp;2690478, 2690478)</f>
        <v>2690478</v>
      </c>
      <c r="D3729" s="2" t="s">
        <v>11768</v>
      </c>
      <c r="E3729" s="2" t="s">
        <v>11769</v>
      </c>
      <c r="F3729" s="2" t="s">
        <v>2226</v>
      </c>
      <c r="G3729" s="2" t="s">
        <v>100</v>
      </c>
      <c r="H3729" s="2" t="s">
        <v>265</v>
      </c>
      <c r="I3729" s="2" t="s">
        <v>36</v>
      </c>
      <c r="J3729" s="2" t="s">
        <v>37</v>
      </c>
      <c r="K3729" s="2" t="s">
        <v>39</v>
      </c>
      <c r="L3729" s="2" t="s">
        <v>39</v>
      </c>
      <c r="M3729" s="2" t="s">
        <v>38</v>
      </c>
      <c r="N3729" s="2" t="s">
        <v>39</v>
      </c>
      <c r="O3729" s="2" t="s">
        <v>38</v>
      </c>
      <c r="P3729" s="2" t="s">
        <v>39</v>
      </c>
      <c r="Q3729" s="2" t="s">
        <v>39</v>
      </c>
      <c r="R3729" s="2" t="s">
        <v>39</v>
      </c>
      <c r="S3729" s="2" t="s">
        <v>39</v>
      </c>
      <c r="T3729" s="2" t="s">
        <v>39</v>
      </c>
      <c r="U3729" s="2" t="s">
        <v>39</v>
      </c>
      <c r="V3729" s="2" t="s">
        <v>39</v>
      </c>
      <c r="W3729" s="2" t="s">
        <v>38</v>
      </c>
      <c r="X3729" s="2" t="s">
        <v>39</v>
      </c>
      <c r="Y3729" s="2" t="s">
        <v>39</v>
      </c>
      <c r="Z3729" s="2" t="s">
        <v>38</v>
      </c>
      <c r="AA3729" s="2" t="s">
        <v>39</v>
      </c>
      <c r="AB3729" s="2" t="s">
        <v>39</v>
      </c>
      <c r="AC3729" s="2" t="s">
        <v>39</v>
      </c>
      <c r="AD3729" s="2" t="s">
        <v>38</v>
      </c>
      <c r="AE3729" s="2" t="s">
        <v>40</v>
      </c>
    </row>
    <row r="3730" spans="1:31" ht="409.5">
      <c r="A3730" s="2">
        <v>2690474</v>
      </c>
      <c r="B3730" s="2">
        <f>HYPERLINK("https://platform.v2.vetology.net/cases/2690474/screening-report/1?type=pdf&amp;v=v6&amp;scorecard=1&amp;secret_key=BX%25IJ%24%2F65ieZ%29f6", 2690474)</f>
        <v>2690474</v>
      </c>
      <c r="C3730" s="2">
        <f>HYPERLINK("https://platform.v2.vetology.net/report/v/final/"&amp;2690474, 2690474)</f>
        <v>2690474</v>
      </c>
      <c r="D3730" s="2" t="s">
        <v>10534</v>
      </c>
      <c r="E3730" s="2" t="s">
        <v>1091</v>
      </c>
      <c r="F3730" s="2" t="s">
        <v>787</v>
      </c>
      <c r="G3730" s="2" t="s">
        <v>100</v>
      </c>
      <c r="H3730" s="2" t="s">
        <v>11770</v>
      </c>
      <c r="I3730" s="2" t="s">
        <v>129</v>
      </c>
      <c r="J3730" s="2" t="s">
        <v>74</v>
      </c>
      <c r="K3730" s="2" t="s">
        <v>38</v>
      </c>
      <c r="L3730" s="2" t="s">
        <v>38</v>
      </c>
      <c r="M3730" s="2" t="s">
        <v>38</v>
      </c>
      <c r="N3730" s="2" t="s">
        <v>38</v>
      </c>
      <c r="O3730" s="2" t="s">
        <v>38</v>
      </c>
      <c r="P3730" s="2" t="s">
        <v>38</v>
      </c>
      <c r="Q3730" s="2" t="s">
        <v>38</v>
      </c>
      <c r="R3730" s="2" t="s">
        <v>38</v>
      </c>
      <c r="S3730" s="2" t="s">
        <v>39</v>
      </c>
      <c r="T3730" s="2" t="s">
        <v>38</v>
      </c>
      <c r="U3730" s="2" t="s">
        <v>39</v>
      </c>
      <c r="V3730" s="2" t="s">
        <v>38</v>
      </c>
      <c r="W3730" s="2" t="s">
        <v>38</v>
      </c>
      <c r="X3730" s="2" t="s">
        <v>38</v>
      </c>
      <c r="Y3730" s="2" t="s">
        <v>39</v>
      </c>
      <c r="Z3730" s="2" t="s">
        <v>38</v>
      </c>
      <c r="AA3730" s="2" t="s">
        <v>38</v>
      </c>
      <c r="AB3730" s="2" t="s">
        <v>38</v>
      </c>
      <c r="AC3730" s="2" t="s">
        <v>38</v>
      </c>
      <c r="AD3730" s="2" t="s">
        <v>39</v>
      </c>
      <c r="AE3730" s="2" t="s">
        <v>40</v>
      </c>
    </row>
    <row r="3731" spans="1:31" ht="409.5">
      <c r="A3731" s="2">
        <v>2690469</v>
      </c>
      <c r="B3731" s="2">
        <f>HYPERLINK("https://platform.v2.vetology.net/cases/2690469/screening-report/1?type=pdf&amp;v=v6&amp;scorecard=1&amp;secret_key=BX%25IJ%24%2F65ieZ%29f6", 2690469)</f>
        <v>2690469</v>
      </c>
      <c r="C3731" s="2">
        <f>HYPERLINK("https://platform.v2.vetology.net/report/v/final/"&amp;2690469, 2690469)</f>
        <v>2690469</v>
      </c>
      <c r="D3731" s="2" t="s">
        <v>11771</v>
      </c>
      <c r="E3731" s="2" t="s">
        <v>11772</v>
      </c>
      <c r="F3731" s="2" t="s">
        <v>11773</v>
      </c>
      <c r="G3731" s="2" t="s">
        <v>127</v>
      </c>
      <c r="H3731" s="2" t="s">
        <v>10638</v>
      </c>
      <c r="I3731" s="2" t="s">
        <v>129</v>
      </c>
      <c r="J3731" s="2" t="s">
        <v>74</v>
      </c>
      <c r="K3731" s="2" t="s">
        <v>38</v>
      </c>
      <c r="L3731" s="2" t="s">
        <v>38</v>
      </c>
      <c r="M3731" s="2" t="s">
        <v>38</v>
      </c>
      <c r="N3731" s="2" t="s">
        <v>38</v>
      </c>
      <c r="O3731" s="2" t="s">
        <v>38</v>
      </c>
      <c r="P3731" s="2" t="s">
        <v>38</v>
      </c>
      <c r="Q3731" s="2" t="s">
        <v>38</v>
      </c>
      <c r="R3731" s="2" t="s">
        <v>38</v>
      </c>
      <c r="S3731" s="2" t="s">
        <v>38</v>
      </c>
      <c r="T3731" s="2" t="s">
        <v>38</v>
      </c>
      <c r="U3731" s="2" t="s">
        <v>38</v>
      </c>
      <c r="V3731" s="2" t="s">
        <v>38</v>
      </c>
      <c r="W3731" s="2" t="s">
        <v>38</v>
      </c>
      <c r="X3731" s="2" t="s">
        <v>38</v>
      </c>
      <c r="Y3731" s="2" t="s">
        <v>38</v>
      </c>
      <c r="Z3731" s="2" t="s">
        <v>38</v>
      </c>
      <c r="AA3731" s="2" t="s">
        <v>38</v>
      </c>
      <c r="AB3731" s="2" t="s">
        <v>38</v>
      </c>
      <c r="AC3731" s="2" t="s">
        <v>38</v>
      </c>
      <c r="AD3731" s="2" t="s">
        <v>38</v>
      </c>
      <c r="AE3731" s="2"/>
    </row>
    <row r="3732" spans="1:31" ht="409.5">
      <c r="A3732" s="2">
        <v>2690466</v>
      </c>
      <c r="B3732" s="2">
        <f>HYPERLINK("https://platform.v2.vetology.net/cases/2690466/screening-report/1?type=pdf&amp;v=v6&amp;scorecard=1&amp;secret_key=BX%25IJ%24%2F65ieZ%29f6", 2690466)</f>
        <v>2690466</v>
      </c>
      <c r="C3732" s="2">
        <f>HYPERLINK("https://platform.v2.vetology.net/report/v/final/"&amp;2690466, 2690466)</f>
        <v>2690466</v>
      </c>
      <c r="D3732" s="2" t="s">
        <v>11774</v>
      </c>
      <c r="E3732" s="2" t="s">
        <v>421</v>
      </c>
      <c r="F3732" s="2" t="s">
        <v>11129</v>
      </c>
      <c r="G3732" s="2" t="s">
        <v>34</v>
      </c>
      <c r="H3732" s="2" t="s">
        <v>11775</v>
      </c>
      <c r="I3732" s="2" t="s">
        <v>73</v>
      </c>
      <c r="J3732" s="2" t="s">
        <v>74</v>
      </c>
      <c r="K3732" s="2" t="s">
        <v>38</v>
      </c>
      <c r="L3732" s="2" t="s">
        <v>38</v>
      </c>
      <c r="M3732" s="2" t="s">
        <v>38</v>
      </c>
      <c r="N3732" s="2" t="s">
        <v>38</v>
      </c>
      <c r="O3732" s="2" t="s">
        <v>38</v>
      </c>
      <c r="P3732" s="2" t="s">
        <v>38</v>
      </c>
      <c r="Q3732" s="2" t="s">
        <v>38</v>
      </c>
      <c r="R3732" s="2" t="s">
        <v>38</v>
      </c>
      <c r="S3732" s="2" t="s">
        <v>38</v>
      </c>
      <c r="T3732" s="2" t="s">
        <v>38</v>
      </c>
      <c r="U3732" s="2" t="s">
        <v>38</v>
      </c>
      <c r="V3732" s="2" t="s">
        <v>38</v>
      </c>
      <c r="W3732" s="2" t="s">
        <v>38</v>
      </c>
      <c r="X3732" s="2" t="s">
        <v>38</v>
      </c>
      <c r="Y3732" s="2" t="s">
        <v>38</v>
      </c>
      <c r="Z3732" s="2" t="s">
        <v>38</v>
      </c>
      <c r="AA3732" s="2" t="s">
        <v>38</v>
      </c>
      <c r="AB3732" s="2" t="s">
        <v>38</v>
      </c>
      <c r="AC3732" s="2" t="s">
        <v>38</v>
      </c>
      <c r="AD3732" s="2" t="s">
        <v>38</v>
      </c>
      <c r="AE3732" s="2" t="s">
        <v>40</v>
      </c>
    </row>
    <row r="3733" spans="1:31" ht="409.5">
      <c r="A3733" s="2">
        <v>2690463</v>
      </c>
      <c r="B3733" s="2">
        <f>HYPERLINK("https://platform.v2.vetology.net/cases/2690463/screening-report/1?type=pdf&amp;v=v6&amp;scorecard=1&amp;secret_key=BX%25IJ%24%2F65ieZ%29f6", 2690463)</f>
        <v>2690463</v>
      </c>
      <c r="C3733" s="2">
        <f>HYPERLINK("https://platform.v2.vetology.net/report/v/final/"&amp;2690463, 2690463)</f>
        <v>2690463</v>
      </c>
      <c r="D3733" s="2" t="s">
        <v>11776</v>
      </c>
      <c r="E3733" s="2" t="s">
        <v>118</v>
      </c>
      <c r="F3733" s="2" t="s">
        <v>11777</v>
      </c>
      <c r="G3733" s="2" t="s">
        <v>111</v>
      </c>
      <c r="H3733" s="2" t="s">
        <v>2003</v>
      </c>
      <c r="I3733" s="2" t="s">
        <v>46</v>
      </c>
      <c r="J3733" s="2"/>
      <c r="K3733" s="2" t="s">
        <v>39</v>
      </c>
      <c r="L3733" s="2" t="s">
        <v>38</v>
      </c>
      <c r="M3733" s="2" t="s">
        <v>39</v>
      </c>
      <c r="N3733" s="2" t="s">
        <v>39</v>
      </c>
      <c r="O3733" s="2" t="s">
        <v>38</v>
      </c>
      <c r="P3733" s="2" t="s">
        <v>39</v>
      </c>
      <c r="Q3733" s="2" t="s">
        <v>39</v>
      </c>
      <c r="R3733" s="2" t="s">
        <v>38</v>
      </c>
      <c r="S3733" s="2" t="s">
        <v>39</v>
      </c>
      <c r="T3733" s="2" t="s">
        <v>39</v>
      </c>
      <c r="U3733" s="2" t="s">
        <v>39</v>
      </c>
      <c r="V3733" s="2" t="s">
        <v>38</v>
      </c>
      <c r="W3733" s="2" t="s">
        <v>38</v>
      </c>
      <c r="X3733" s="2" t="s">
        <v>39</v>
      </c>
      <c r="Y3733" s="2" t="s">
        <v>39</v>
      </c>
      <c r="Z3733" s="2" t="s">
        <v>38</v>
      </c>
      <c r="AA3733" s="2" t="s">
        <v>39</v>
      </c>
      <c r="AB3733" s="2" t="s">
        <v>39</v>
      </c>
      <c r="AC3733" s="2" t="s">
        <v>38</v>
      </c>
      <c r="AD3733" s="2" t="s">
        <v>38</v>
      </c>
      <c r="AE3733" s="2" t="s">
        <v>39</v>
      </c>
    </row>
    <row r="3734" spans="1:31" ht="409.5">
      <c r="A3734" s="2">
        <v>2690446</v>
      </c>
      <c r="B3734" s="2">
        <f>HYPERLINK("https://platform.v2.vetology.net/cases/2690446/screening-report/1?type=pdf&amp;v=v6&amp;scorecard=1&amp;secret_key=BX%25IJ%24%2F65ieZ%29f6", 2690446)</f>
        <v>2690446</v>
      </c>
      <c r="C3734" s="2">
        <f>HYPERLINK("https://platform.v2.vetology.net/report/v/final/"&amp;2690446, 2690446)</f>
        <v>2690446</v>
      </c>
      <c r="D3734" s="2" t="s">
        <v>302</v>
      </c>
      <c r="E3734" s="2" t="s">
        <v>99</v>
      </c>
      <c r="F3734" s="2"/>
      <c r="G3734" s="2" t="s">
        <v>100</v>
      </c>
      <c r="H3734" s="2" t="s">
        <v>1241</v>
      </c>
      <c r="I3734" s="2" t="s">
        <v>36</v>
      </c>
      <c r="J3734" s="2" t="s">
        <v>37</v>
      </c>
      <c r="K3734" s="2" t="s">
        <v>39</v>
      </c>
      <c r="L3734" s="2" t="s">
        <v>39</v>
      </c>
      <c r="M3734" s="2" t="s">
        <v>38</v>
      </c>
      <c r="N3734" s="2" t="s">
        <v>39</v>
      </c>
      <c r="O3734" s="2" t="s">
        <v>39</v>
      </c>
      <c r="P3734" s="2" t="s">
        <v>39</v>
      </c>
      <c r="Q3734" s="2" t="s">
        <v>39</v>
      </c>
      <c r="R3734" s="2" t="s">
        <v>39</v>
      </c>
      <c r="S3734" s="2" t="s">
        <v>39</v>
      </c>
      <c r="T3734" s="2" t="s">
        <v>39</v>
      </c>
      <c r="U3734" s="2" t="s">
        <v>39</v>
      </c>
      <c r="V3734" s="2" t="s">
        <v>38</v>
      </c>
      <c r="W3734" s="2" t="s">
        <v>39</v>
      </c>
      <c r="X3734" s="2" t="s">
        <v>39</v>
      </c>
      <c r="Y3734" s="2" t="s">
        <v>39</v>
      </c>
      <c r="Z3734" s="2" t="s">
        <v>39</v>
      </c>
      <c r="AA3734" s="2" t="s">
        <v>39</v>
      </c>
      <c r="AB3734" s="2" t="s">
        <v>39</v>
      </c>
      <c r="AC3734" s="2" t="s">
        <v>38</v>
      </c>
      <c r="AD3734" s="2" t="s">
        <v>39</v>
      </c>
      <c r="AE3734" s="2" t="s">
        <v>40</v>
      </c>
    </row>
    <row r="3735" spans="1:31" ht="409.5">
      <c r="A3735" s="2">
        <v>2690440</v>
      </c>
      <c r="B3735" s="2">
        <f>HYPERLINK("https://platform.v2.vetology.net/cases/2690440/screening-report/1?type=pdf&amp;v=v6&amp;scorecard=1&amp;secret_key=BX%25IJ%24%2F65ieZ%29f6", 2690440)</f>
        <v>2690440</v>
      </c>
      <c r="C3735" s="2">
        <f>HYPERLINK("https://platform.v2.vetology.net/report/v/final/"&amp;2690440, 2690440)</f>
        <v>2690440</v>
      </c>
      <c r="D3735" s="2" t="s">
        <v>11778</v>
      </c>
      <c r="E3735" s="2" t="s">
        <v>11779</v>
      </c>
      <c r="F3735" s="2" t="s">
        <v>43</v>
      </c>
      <c r="G3735" s="2" t="s">
        <v>44</v>
      </c>
      <c r="H3735" s="2" t="s">
        <v>11780</v>
      </c>
      <c r="I3735" s="2" t="s">
        <v>73</v>
      </c>
      <c r="J3735" s="2" t="s">
        <v>74</v>
      </c>
      <c r="K3735" s="2" t="s">
        <v>38</v>
      </c>
      <c r="L3735" s="2" t="s">
        <v>38</v>
      </c>
      <c r="M3735" s="2" t="s">
        <v>38</v>
      </c>
      <c r="N3735" s="2" t="s">
        <v>38</v>
      </c>
      <c r="O3735" s="2" t="s">
        <v>38</v>
      </c>
      <c r="P3735" s="2" t="s">
        <v>38</v>
      </c>
      <c r="Q3735" s="2" t="s">
        <v>38</v>
      </c>
      <c r="R3735" s="2" t="s">
        <v>38</v>
      </c>
      <c r="S3735" s="2" t="s">
        <v>38</v>
      </c>
      <c r="T3735" s="2" t="s">
        <v>38</v>
      </c>
      <c r="U3735" s="2" t="s">
        <v>38</v>
      </c>
      <c r="V3735" s="2" t="s">
        <v>38</v>
      </c>
      <c r="W3735" s="2" t="s">
        <v>38</v>
      </c>
      <c r="X3735" s="2" t="s">
        <v>38</v>
      </c>
      <c r="Y3735" s="2" t="s">
        <v>38</v>
      </c>
      <c r="Z3735" s="2" t="s">
        <v>38</v>
      </c>
      <c r="AA3735" s="2" t="s">
        <v>38</v>
      </c>
      <c r="AB3735" s="2" t="s">
        <v>38</v>
      </c>
      <c r="AC3735" s="2" t="s">
        <v>38</v>
      </c>
      <c r="AD3735" s="2" t="s">
        <v>38</v>
      </c>
      <c r="AE3735" s="2" t="s">
        <v>40</v>
      </c>
    </row>
    <row r="3736" spans="1:31" ht="409.5">
      <c r="A3736" s="2">
        <v>2690423</v>
      </c>
      <c r="B3736" s="2">
        <f>HYPERLINK("https://platform.v2.vetology.net/cases/2690423/screening-report/1?type=pdf&amp;v=v6&amp;scorecard=1&amp;secret_key=BX%25IJ%24%2F65ieZ%29f6", 2690423)</f>
        <v>2690423</v>
      </c>
      <c r="C3736" s="2">
        <f>HYPERLINK("https://platform.v2.vetology.net/report/v/final/"&amp;2690423, 2690423)</f>
        <v>2690423</v>
      </c>
      <c r="D3736" s="2" t="s">
        <v>11781</v>
      </c>
      <c r="E3736" s="2" t="s">
        <v>11782</v>
      </c>
      <c r="F3736" s="2" t="s">
        <v>11783</v>
      </c>
      <c r="G3736" s="2" t="s">
        <v>34</v>
      </c>
      <c r="H3736" s="2" t="s">
        <v>11784</v>
      </c>
      <c r="I3736" s="2" t="s">
        <v>73</v>
      </c>
      <c r="J3736" s="2" t="s">
        <v>74</v>
      </c>
      <c r="K3736" s="2" t="s">
        <v>38</v>
      </c>
      <c r="L3736" s="2" t="s">
        <v>38</v>
      </c>
      <c r="M3736" s="2" t="s">
        <v>38</v>
      </c>
      <c r="N3736" s="2" t="s">
        <v>38</v>
      </c>
      <c r="O3736" s="2" t="s">
        <v>38</v>
      </c>
      <c r="P3736" s="2" t="s">
        <v>38</v>
      </c>
      <c r="Q3736" s="2" t="s">
        <v>38</v>
      </c>
      <c r="R3736" s="2" t="s">
        <v>38</v>
      </c>
      <c r="S3736" s="2" t="s">
        <v>38</v>
      </c>
      <c r="T3736" s="2" t="s">
        <v>38</v>
      </c>
      <c r="U3736" s="2" t="s">
        <v>38</v>
      </c>
      <c r="V3736" s="2" t="s">
        <v>38</v>
      </c>
      <c r="W3736" s="2" t="s">
        <v>38</v>
      </c>
      <c r="X3736" s="2" t="s">
        <v>38</v>
      </c>
      <c r="Y3736" s="2" t="s">
        <v>38</v>
      </c>
      <c r="Z3736" s="2" t="s">
        <v>38</v>
      </c>
      <c r="AA3736" s="2" t="s">
        <v>38</v>
      </c>
      <c r="AB3736" s="2" t="s">
        <v>38</v>
      </c>
      <c r="AC3736" s="2" t="s">
        <v>38</v>
      </c>
      <c r="AD3736" s="2" t="s">
        <v>38</v>
      </c>
      <c r="AE3736" s="2" t="s">
        <v>40</v>
      </c>
    </row>
    <row r="3737" spans="1:31" ht="409.5">
      <c r="A3737" s="2">
        <v>2690418</v>
      </c>
      <c r="B3737" s="2">
        <f>HYPERLINK("https://platform.v2.vetology.net/cases/2690418/screening-report/1?type=pdf&amp;v=v6&amp;scorecard=1&amp;secret_key=BX%25IJ%24%2F65ieZ%29f6", 2690418)</f>
        <v>2690418</v>
      </c>
      <c r="C3737" s="2">
        <f>HYPERLINK("https://platform.v2.vetology.net/report/v/final/"&amp;2690418, 2690418)</f>
        <v>2690418</v>
      </c>
      <c r="D3737" s="2" t="s">
        <v>11785</v>
      </c>
      <c r="E3737" s="2" t="s">
        <v>11786</v>
      </c>
      <c r="F3737" s="2" t="s">
        <v>43</v>
      </c>
      <c r="G3737" s="2" t="s">
        <v>100</v>
      </c>
      <c r="H3737" s="2" t="s">
        <v>11787</v>
      </c>
      <c r="I3737" s="2" t="s">
        <v>36</v>
      </c>
      <c r="J3737" s="2" t="s">
        <v>37</v>
      </c>
      <c r="K3737" s="2" t="s">
        <v>38</v>
      </c>
      <c r="L3737" s="2" t="s">
        <v>38</v>
      </c>
      <c r="M3737" s="2" t="s">
        <v>39</v>
      </c>
      <c r="N3737" s="2" t="s">
        <v>38</v>
      </c>
      <c r="O3737" s="2" t="s">
        <v>38</v>
      </c>
      <c r="P3737" s="2" t="s">
        <v>38</v>
      </c>
      <c r="Q3737" s="2" t="s">
        <v>39</v>
      </c>
      <c r="R3737" s="2" t="s">
        <v>38</v>
      </c>
      <c r="S3737" s="2" t="s">
        <v>39</v>
      </c>
      <c r="T3737" s="2" t="s">
        <v>39</v>
      </c>
      <c r="U3737" s="2" t="s">
        <v>38</v>
      </c>
      <c r="V3737" s="2" t="s">
        <v>38</v>
      </c>
      <c r="W3737" s="2" t="s">
        <v>38</v>
      </c>
      <c r="X3737" s="2" t="s">
        <v>39</v>
      </c>
      <c r="Y3737" s="2" t="s">
        <v>39</v>
      </c>
      <c r="Z3737" s="2" t="s">
        <v>39</v>
      </c>
      <c r="AA3737" s="2" t="s">
        <v>38</v>
      </c>
      <c r="AB3737" s="2" t="s">
        <v>39</v>
      </c>
      <c r="AC3737" s="2" t="s">
        <v>38</v>
      </c>
      <c r="AD3737" s="2" t="s">
        <v>38</v>
      </c>
      <c r="AE3737" s="2"/>
    </row>
    <row r="3738" spans="1:31" ht="409.5">
      <c r="A3738" s="2">
        <v>2690377</v>
      </c>
      <c r="B3738" s="2">
        <f>HYPERLINK("https://platform.v2.vetology.net/cases/2690377/screening-report/1?type=pdf&amp;v=v6&amp;scorecard=1&amp;secret_key=BX%25IJ%24%2F65ieZ%29f6", 2690377)</f>
        <v>2690377</v>
      </c>
      <c r="C3738" s="2">
        <f>HYPERLINK("https://platform.v2.vetology.net/report/v/final/"&amp;2690377, 2690377)</f>
        <v>2690377</v>
      </c>
      <c r="D3738" s="2" t="s">
        <v>11788</v>
      </c>
      <c r="E3738" s="2" t="s">
        <v>11789</v>
      </c>
      <c r="F3738" s="2" t="s">
        <v>43</v>
      </c>
      <c r="G3738" s="2" t="s">
        <v>100</v>
      </c>
      <c r="H3738" s="2" t="s">
        <v>11790</v>
      </c>
      <c r="I3738" s="2" t="s">
        <v>36</v>
      </c>
      <c r="J3738" s="2" t="s">
        <v>37</v>
      </c>
      <c r="K3738" s="2" t="s">
        <v>38</v>
      </c>
      <c r="L3738" s="2" t="s">
        <v>38</v>
      </c>
      <c r="M3738" s="2" t="s">
        <v>38</v>
      </c>
      <c r="N3738" s="2" t="s">
        <v>38</v>
      </c>
      <c r="O3738" s="2" t="s">
        <v>38</v>
      </c>
      <c r="P3738" s="2" t="s">
        <v>38</v>
      </c>
      <c r="Q3738" s="2" t="s">
        <v>39</v>
      </c>
      <c r="R3738" s="2" t="s">
        <v>38</v>
      </c>
      <c r="S3738" s="2" t="s">
        <v>38</v>
      </c>
      <c r="T3738" s="2" t="s">
        <v>38</v>
      </c>
      <c r="U3738" s="2" t="s">
        <v>39</v>
      </c>
      <c r="V3738" s="2" t="s">
        <v>38</v>
      </c>
      <c r="W3738" s="2" t="s">
        <v>38</v>
      </c>
      <c r="X3738" s="2" t="s">
        <v>39</v>
      </c>
      <c r="Y3738" s="2" t="s">
        <v>38</v>
      </c>
      <c r="Z3738" s="2" t="s">
        <v>38</v>
      </c>
      <c r="AA3738" s="2" t="s">
        <v>38</v>
      </c>
      <c r="AB3738" s="2" t="s">
        <v>39</v>
      </c>
      <c r="AC3738" s="2" t="s">
        <v>38</v>
      </c>
      <c r="AD3738" s="2" t="s">
        <v>38</v>
      </c>
      <c r="AE3738" s="2" t="s">
        <v>39</v>
      </c>
    </row>
    <row r="3739" spans="1:31" ht="409.5">
      <c r="A3739" s="2">
        <v>2690331</v>
      </c>
      <c r="B3739" s="2">
        <f>HYPERLINK("https://platform.v2.vetology.net/cases/2690331/screening-report/1?type=pdf&amp;v=v6&amp;scorecard=1&amp;secret_key=BX%25IJ%24%2F65ieZ%29f6", 2690331)</f>
        <v>2690331</v>
      </c>
      <c r="C3739" s="2">
        <f>HYPERLINK("https://platform.v2.vetology.net/report/v/final/"&amp;2690331, 2690331)</f>
        <v>2690331</v>
      </c>
      <c r="D3739" s="2" t="s">
        <v>11791</v>
      </c>
      <c r="E3739" s="2" t="s">
        <v>1091</v>
      </c>
      <c r="F3739" s="2" t="s">
        <v>787</v>
      </c>
      <c r="G3739" s="2" t="s">
        <v>100</v>
      </c>
      <c r="H3739" s="2" t="s">
        <v>398</v>
      </c>
      <c r="I3739" s="2" t="s">
        <v>46</v>
      </c>
      <c r="J3739" s="2"/>
      <c r="K3739" s="2" t="s">
        <v>38</v>
      </c>
      <c r="L3739" s="2" t="s">
        <v>39</v>
      </c>
      <c r="M3739" s="2" t="s">
        <v>39</v>
      </c>
      <c r="N3739" s="2" t="s">
        <v>39</v>
      </c>
      <c r="O3739" s="2" t="s">
        <v>39</v>
      </c>
      <c r="P3739" s="2" t="s">
        <v>39</v>
      </c>
      <c r="Q3739" s="2" t="s">
        <v>39</v>
      </c>
      <c r="R3739" s="2" t="s">
        <v>39</v>
      </c>
      <c r="S3739" s="2" t="s">
        <v>39</v>
      </c>
      <c r="T3739" s="2" t="s">
        <v>39</v>
      </c>
      <c r="U3739" s="2" t="s">
        <v>38</v>
      </c>
      <c r="V3739" s="2" t="s">
        <v>38</v>
      </c>
      <c r="W3739" s="2" t="s">
        <v>38</v>
      </c>
      <c r="X3739" s="2" t="s">
        <v>39</v>
      </c>
      <c r="Y3739" s="2" t="s">
        <v>38</v>
      </c>
      <c r="Z3739" s="2" t="s">
        <v>38</v>
      </c>
      <c r="AA3739" s="2" t="s">
        <v>38</v>
      </c>
      <c r="AB3739" s="2" t="s">
        <v>39</v>
      </c>
      <c r="AC3739" s="2" t="s">
        <v>38</v>
      </c>
      <c r="AD3739" s="2" t="s">
        <v>38</v>
      </c>
      <c r="AE3739" s="2" t="s">
        <v>39</v>
      </c>
    </row>
    <row r="3740" spans="1:31" ht="409.5">
      <c r="A3740" s="2">
        <v>2690302</v>
      </c>
      <c r="B3740" s="2">
        <f>HYPERLINK("https://platform.v2.vetology.net/cases/2690302/screening-report/1?type=pdf&amp;v=v6&amp;scorecard=1&amp;secret_key=BX%25IJ%24%2F65ieZ%29f6", 2690302)</f>
        <v>2690302</v>
      </c>
      <c r="C3740" s="2">
        <f>HYPERLINK("https://platform.v2.vetology.net/report/v/final/"&amp;2690302, 2690302)</f>
        <v>2690302</v>
      </c>
      <c r="D3740" s="2" t="s">
        <v>11792</v>
      </c>
      <c r="E3740" s="2" t="s">
        <v>2735</v>
      </c>
      <c r="F3740" s="2" t="s">
        <v>787</v>
      </c>
      <c r="G3740" s="2" t="s">
        <v>100</v>
      </c>
      <c r="H3740" s="2" t="s">
        <v>1452</v>
      </c>
      <c r="I3740" s="2" t="s">
        <v>36</v>
      </c>
      <c r="J3740" s="2" t="s">
        <v>37</v>
      </c>
      <c r="K3740" s="2" t="s">
        <v>38</v>
      </c>
      <c r="L3740" s="2" t="s">
        <v>38</v>
      </c>
      <c r="M3740" s="2" t="s">
        <v>39</v>
      </c>
      <c r="N3740" s="2" t="s">
        <v>38</v>
      </c>
      <c r="O3740" s="2" t="s">
        <v>38</v>
      </c>
      <c r="P3740" s="2" t="s">
        <v>38</v>
      </c>
      <c r="Q3740" s="2" t="s">
        <v>39</v>
      </c>
      <c r="R3740" s="2" t="s">
        <v>38</v>
      </c>
      <c r="S3740" s="2" t="s">
        <v>38</v>
      </c>
      <c r="T3740" s="2" t="s">
        <v>38</v>
      </c>
      <c r="U3740" s="2" t="s">
        <v>38</v>
      </c>
      <c r="V3740" s="2" t="s">
        <v>38</v>
      </c>
      <c r="W3740" s="2" t="s">
        <v>38</v>
      </c>
      <c r="X3740" s="2" t="s">
        <v>39</v>
      </c>
      <c r="Y3740" s="2" t="s">
        <v>38</v>
      </c>
      <c r="Z3740" s="2" t="s">
        <v>38</v>
      </c>
      <c r="AA3740" s="2" t="s">
        <v>38</v>
      </c>
      <c r="AB3740" s="2" t="s">
        <v>39</v>
      </c>
      <c r="AC3740" s="2" t="s">
        <v>38</v>
      </c>
      <c r="AD3740" s="2" t="s">
        <v>38</v>
      </c>
      <c r="AE3740" s="2" t="s">
        <v>40</v>
      </c>
    </row>
    <row r="3741" spans="1:31" ht="409.5">
      <c r="A3741" s="2">
        <v>2690275</v>
      </c>
      <c r="B3741" s="2">
        <f>HYPERLINK("https://platform.v2.vetology.net/cases/2690275/screening-report/1?type=pdf&amp;v=v6&amp;scorecard=1&amp;secret_key=BX%25IJ%24%2F65ieZ%29f6", 2690275)</f>
        <v>2690275</v>
      </c>
      <c r="C3741" s="2">
        <f>HYPERLINK("https://platform.v2.vetology.net/report/v/final/"&amp;2690275, 2690275)</f>
        <v>2690275</v>
      </c>
      <c r="D3741" s="2" t="s">
        <v>11793</v>
      </c>
      <c r="E3741" s="2" t="s">
        <v>11794</v>
      </c>
      <c r="F3741" s="2" t="s">
        <v>11795</v>
      </c>
      <c r="G3741" s="2" t="s">
        <v>170</v>
      </c>
      <c r="H3741" s="2" t="s">
        <v>69</v>
      </c>
      <c r="I3741" s="2" t="s">
        <v>46</v>
      </c>
      <c r="J3741" s="2"/>
      <c r="K3741" s="2" t="s">
        <v>39</v>
      </c>
      <c r="L3741" s="2" t="s">
        <v>39</v>
      </c>
      <c r="M3741" s="2" t="s">
        <v>39</v>
      </c>
      <c r="N3741" s="2" t="s">
        <v>39</v>
      </c>
      <c r="O3741" s="2" t="s">
        <v>39</v>
      </c>
      <c r="P3741" s="2" t="s">
        <v>39</v>
      </c>
      <c r="Q3741" s="2" t="s">
        <v>39</v>
      </c>
      <c r="R3741" s="2" t="s">
        <v>39</v>
      </c>
      <c r="S3741" s="2" t="s">
        <v>39</v>
      </c>
      <c r="T3741" s="2" t="s">
        <v>39</v>
      </c>
      <c r="U3741" s="2" t="s">
        <v>38</v>
      </c>
      <c r="V3741" s="2" t="s">
        <v>38</v>
      </c>
      <c r="W3741" s="2" t="s">
        <v>39</v>
      </c>
      <c r="X3741" s="2" t="s">
        <v>39</v>
      </c>
      <c r="Y3741" s="2" t="s">
        <v>39</v>
      </c>
      <c r="Z3741" s="2" t="s">
        <v>39</v>
      </c>
      <c r="AA3741" s="2" t="s">
        <v>39</v>
      </c>
      <c r="AB3741" s="2" t="s">
        <v>39</v>
      </c>
      <c r="AC3741" s="2" t="s">
        <v>39</v>
      </c>
      <c r="AD3741" s="2" t="s">
        <v>38</v>
      </c>
      <c r="AE3741" s="2"/>
    </row>
    <row r="3742" spans="1:31" ht="409.5">
      <c r="A3742" s="2">
        <v>2690250</v>
      </c>
      <c r="B3742" s="2">
        <f>HYPERLINK("https://platform.v2.vetology.net/cases/2690250/screening-report/1?type=pdf&amp;v=v6&amp;scorecard=1&amp;secret_key=BX%25IJ%24%2F65ieZ%29f6", 2690250)</f>
        <v>2690250</v>
      </c>
      <c r="C3742" s="2">
        <f>HYPERLINK("https://platform.v2.vetology.net/report/v/final/"&amp;2690250, 2690250)</f>
        <v>2690250</v>
      </c>
      <c r="D3742" s="2" t="s">
        <v>11796</v>
      </c>
      <c r="E3742" s="2" t="s">
        <v>11797</v>
      </c>
      <c r="F3742" s="2" t="s">
        <v>11798</v>
      </c>
      <c r="G3742" s="2" t="s">
        <v>170</v>
      </c>
      <c r="H3742" s="2" t="s">
        <v>69</v>
      </c>
      <c r="I3742" s="2" t="s">
        <v>46</v>
      </c>
      <c r="J3742" s="2"/>
      <c r="K3742" s="2" t="s">
        <v>39</v>
      </c>
      <c r="L3742" s="2" t="s">
        <v>39</v>
      </c>
      <c r="M3742" s="2" t="s">
        <v>39</v>
      </c>
      <c r="N3742" s="2" t="s">
        <v>39</v>
      </c>
      <c r="O3742" s="2" t="s">
        <v>39</v>
      </c>
      <c r="P3742" s="2" t="s">
        <v>39</v>
      </c>
      <c r="Q3742" s="2" t="s">
        <v>39</v>
      </c>
      <c r="R3742" s="2" t="s">
        <v>39</v>
      </c>
      <c r="S3742" s="2" t="s">
        <v>39</v>
      </c>
      <c r="T3742" s="2" t="s">
        <v>39</v>
      </c>
      <c r="U3742" s="2" t="s">
        <v>39</v>
      </c>
      <c r="V3742" s="2" t="s">
        <v>39</v>
      </c>
      <c r="W3742" s="2" t="s">
        <v>39</v>
      </c>
      <c r="X3742" s="2" t="s">
        <v>39</v>
      </c>
      <c r="Y3742" s="2" t="s">
        <v>39</v>
      </c>
      <c r="Z3742" s="2" t="s">
        <v>39</v>
      </c>
      <c r="AA3742" s="2" t="s">
        <v>39</v>
      </c>
      <c r="AB3742" s="2" t="s">
        <v>39</v>
      </c>
      <c r="AC3742" s="2" t="s">
        <v>39</v>
      </c>
      <c r="AD3742" s="2" t="s">
        <v>39</v>
      </c>
      <c r="AE3742" s="2" t="s">
        <v>39</v>
      </c>
    </row>
    <row r="3743" spans="1:31" ht="409.5">
      <c r="A3743" s="2">
        <v>2690235</v>
      </c>
      <c r="B3743" s="2">
        <f>HYPERLINK("https://platform.v2.vetology.net/cases/2690235/screening-report/1?type=pdf&amp;v=v6&amp;scorecard=1&amp;secret_key=BX%25IJ%24%2F65ieZ%29f6", 2690235)</f>
        <v>2690235</v>
      </c>
      <c r="C3743" s="2">
        <f>HYPERLINK("https://platform.v2.vetology.net/report/v/final/"&amp;2690235, 2690235)</f>
        <v>2690235</v>
      </c>
      <c r="D3743" s="2" t="s">
        <v>11799</v>
      </c>
      <c r="E3743" s="2" t="s">
        <v>11800</v>
      </c>
      <c r="F3743" s="2" t="s">
        <v>11801</v>
      </c>
      <c r="G3743" s="2" t="s">
        <v>170</v>
      </c>
      <c r="H3743" s="2" t="s">
        <v>11802</v>
      </c>
      <c r="I3743" s="2" t="s">
        <v>257</v>
      </c>
      <c r="J3743" s="2" t="s">
        <v>74</v>
      </c>
      <c r="K3743" s="2" t="s">
        <v>38</v>
      </c>
      <c r="L3743" s="2" t="s">
        <v>38</v>
      </c>
      <c r="M3743" s="2" t="s">
        <v>38</v>
      </c>
      <c r="N3743" s="2" t="s">
        <v>38</v>
      </c>
      <c r="O3743" s="2" t="s">
        <v>38</v>
      </c>
      <c r="P3743" s="2" t="s">
        <v>38</v>
      </c>
      <c r="Q3743" s="2" t="s">
        <v>38</v>
      </c>
      <c r="R3743" s="2" t="s">
        <v>38</v>
      </c>
      <c r="S3743" s="2" t="s">
        <v>38</v>
      </c>
      <c r="T3743" s="2" t="s">
        <v>38</v>
      </c>
      <c r="U3743" s="2" t="s">
        <v>38</v>
      </c>
      <c r="V3743" s="2" t="s">
        <v>38</v>
      </c>
      <c r="W3743" s="2" t="s">
        <v>38</v>
      </c>
      <c r="X3743" s="2" t="s">
        <v>38</v>
      </c>
      <c r="Y3743" s="2" t="s">
        <v>39</v>
      </c>
      <c r="Z3743" s="2" t="s">
        <v>38</v>
      </c>
      <c r="AA3743" s="2" t="s">
        <v>38</v>
      </c>
      <c r="AB3743" s="2" t="s">
        <v>38</v>
      </c>
      <c r="AC3743" s="2" t="s">
        <v>38</v>
      </c>
      <c r="AD3743" s="2" t="s">
        <v>38</v>
      </c>
      <c r="AE3743" s="2" t="s">
        <v>40</v>
      </c>
    </row>
    <row r="3744" spans="1:31" ht="409.5">
      <c r="A3744" s="2">
        <v>2690192</v>
      </c>
      <c r="B3744" s="2">
        <f>HYPERLINK("https://platform.v2.vetology.net/cases/2690192/screening-report/1?type=pdf&amp;v=v6&amp;scorecard=1&amp;secret_key=BX%25IJ%24%2F65ieZ%29f6", 2690192)</f>
        <v>2690192</v>
      </c>
      <c r="C3744" s="2">
        <f>HYPERLINK("https://platform.v2.vetology.net/report/v/final/"&amp;2690192, 2690192)</f>
        <v>2690192</v>
      </c>
      <c r="D3744" s="2" t="s">
        <v>11803</v>
      </c>
      <c r="E3744" s="2" t="s">
        <v>11804</v>
      </c>
      <c r="F3744" s="2" t="s">
        <v>10516</v>
      </c>
      <c r="G3744" s="2" t="s">
        <v>100</v>
      </c>
      <c r="H3744" s="2" t="s">
        <v>273</v>
      </c>
      <c r="I3744" s="2" t="s">
        <v>46</v>
      </c>
      <c r="J3744" s="2"/>
      <c r="K3744" s="2" t="s">
        <v>39</v>
      </c>
      <c r="L3744" s="2" t="s">
        <v>39</v>
      </c>
      <c r="M3744" s="2" t="s">
        <v>39</v>
      </c>
      <c r="N3744" s="2" t="s">
        <v>39</v>
      </c>
      <c r="O3744" s="2" t="s">
        <v>39</v>
      </c>
      <c r="P3744" s="2" t="s">
        <v>39</v>
      </c>
      <c r="Q3744" s="2" t="s">
        <v>39</v>
      </c>
      <c r="R3744" s="2" t="s">
        <v>39</v>
      </c>
      <c r="S3744" s="2" t="s">
        <v>38</v>
      </c>
      <c r="T3744" s="2" t="s">
        <v>38</v>
      </c>
      <c r="U3744" s="2" t="s">
        <v>39</v>
      </c>
      <c r="V3744" s="2" t="s">
        <v>39</v>
      </c>
      <c r="W3744" s="2" t="s">
        <v>38</v>
      </c>
      <c r="X3744" s="2" t="s">
        <v>39</v>
      </c>
      <c r="Y3744" s="2" t="s">
        <v>39</v>
      </c>
      <c r="Z3744" s="2" t="s">
        <v>38</v>
      </c>
      <c r="AA3744" s="2" t="s">
        <v>39</v>
      </c>
      <c r="AB3744" s="2" t="s">
        <v>39</v>
      </c>
      <c r="AC3744" s="2" t="s">
        <v>39</v>
      </c>
      <c r="AD3744" s="2" t="s">
        <v>38</v>
      </c>
      <c r="AE3744" s="2" t="s">
        <v>39</v>
      </c>
    </row>
    <row r="3745" spans="1:31" ht="409.5">
      <c r="A3745" s="2">
        <v>2690188</v>
      </c>
      <c r="B3745" s="2">
        <f>HYPERLINK("https://platform.v2.vetology.net/cases/2690188/screening-report/1?type=pdf&amp;v=v6&amp;scorecard=1&amp;secret_key=BX%25IJ%24%2F65ieZ%29f6", 2690188)</f>
        <v>2690188</v>
      </c>
      <c r="C3745" s="2">
        <f>HYPERLINK("https://platform.v2.vetology.net/report/v/final/"&amp;2690188, 2690188)</f>
        <v>2690188</v>
      </c>
      <c r="D3745" s="2" t="s">
        <v>302</v>
      </c>
      <c r="E3745" s="2" t="s">
        <v>99</v>
      </c>
      <c r="F3745" s="2" t="s">
        <v>11805</v>
      </c>
      <c r="G3745" s="2" t="s">
        <v>100</v>
      </c>
      <c r="H3745" s="2" t="s">
        <v>69</v>
      </c>
      <c r="I3745" s="2" t="s">
        <v>46</v>
      </c>
      <c r="J3745" s="2"/>
      <c r="K3745" s="2" t="s">
        <v>39</v>
      </c>
      <c r="L3745" s="2" t="s">
        <v>39</v>
      </c>
      <c r="M3745" s="2" t="s">
        <v>39</v>
      </c>
      <c r="N3745" s="2" t="s">
        <v>39</v>
      </c>
      <c r="O3745" s="2" t="s">
        <v>38</v>
      </c>
      <c r="P3745" s="2" t="s">
        <v>39</v>
      </c>
      <c r="Q3745" s="2" t="s">
        <v>39</v>
      </c>
      <c r="R3745" s="2" t="s">
        <v>39</v>
      </c>
      <c r="S3745" s="2" t="s">
        <v>39</v>
      </c>
      <c r="T3745" s="2" t="s">
        <v>39</v>
      </c>
      <c r="U3745" s="2" t="s">
        <v>39</v>
      </c>
      <c r="V3745" s="2" t="s">
        <v>39</v>
      </c>
      <c r="W3745" s="2" t="s">
        <v>39</v>
      </c>
      <c r="X3745" s="2" t="s">
        <v>39</v>
      </c>
      <c r="Y3745" s="2" t="s">
        <v>39</v>
      </c>
      <c r="Z3745" s="2" t="s">
        <v>39</v>
      </c>
      <c r="AA3745" s="2" t="s">
        <v>39</v>
      </c>
      <c r="AB3745" s="2" t="s">
        <v>39</v>
      </c>
      <c r="AC3745" s="2" t="s">
        <v>38</v>
      </c>
      <c r="AD3745" s="2" t="s">
        <v>39</v>
      </c>
      <c r="AE3745" s="2" t="s">
        <v>39</v>
      </c>
    </row>
    <row r="3746" spans="1:31" ht="409.5">
      <c r="A3746" s="2">
        <v>2690150</v>
      </c>
      <c r="B3746" s="2">
        <f>HYPERLINK("https://platform.v2.vetology.net/cases/2690150/screening-report/1?type=pdf&amp;v=v6&amp;scorecard=1&amp;secret_key=BX%25IJ%24%2F65ieZ%29f6", 2690150)</f>
        <v>2690150</v>
      </c>
      <c r="C3746" s="2">
        <f>HYPERLINK("https://platform.v2.vetology.net/report/v/final/"&amp;2690150, 2690150)</f>
        <v>2690150</v>
      </c>
      <c r="D3746" s="2" t="s">
        <v>11806</v>
      </c>
      <c r="E3746" s="2" t="s">
        <v>11807</v>
      </c>
      <c r="F3746" s="2" t="s">
        <v>43</v>
      </c>
      <c r="G3746" s="2" t="s">
        <v>100</v>
      </c>
      <c r="H3746" s="2" t="s">
        <v>561</v>
      </c>
      <c r="I3746" s="2" t="s">
        <v>36</v>
      </c>
      <c r="J3746" s="2" t="s">
        <v>37</v>
      </c>
      <c r="K3746" s="2" t="s">
        <v>39</v>
      </c>
      <c r="L3746" s="2" t="s">
        <v>38</v>
      </c>
      <c r="M3746" s="2" t="s">
        <v>38</v>
      </c>
      <c r="N3746" s="2" t="s">
        <v>38</v>
      </c>
      <c r="O3746" s="2" t="s">
        <v>38</v>
      </c>
      <c r="P3746" s="2" t="s">
        <v>39</v>
      </c>
      <c r="Q3746" s="2" t="s">
        <v>39</v>
      </c>
      <c r="R3746" s="2" t="s">
        <v>38</v>
      </c>
      <c r="S3746" s="2" t="s">
        <v>38</v>
      </c>
      <c r="T3746" s="2" t="s">
        <v>39</v>
      </c>
      <c r="U3746" s="2" t="s">
        <v>39</v>
      </c>
      <c r="V3746" s="2" t="s">
        <v>38</v>
      </c>
      <c r="W3746" s="2" t="s">
        <v>38</v>
      </c>
      <c r="X3746" s="2" t="s">
        <v>39</v>
      </c>
      <c r="Y3746" s="2" t="s">
        <v>39</v>
      </c>
      <c r="Z3746" s="2" t="s">
        <v>38</v>
      </c>
      <c r="AA3746" s="2" t="s">
        <v>38</v>
      </c>
      <c r="AB3746" s="2" t="s">
        <v>39</v>
      </c>
      <c r="AC3746" s="2" t="s">
        <v>38</v>
      </c>
      <c r="AD3746" s="2" t="s">
        <v>39</v>
      </c>
      <c r="AE3746" s="2" t="s">
        <v>40</v>
      </c>
    </row>
    <row r="3747" spans="1:31" ht="409.5">
      <c r="A3747" s="2">
        <v>2690148</v>
      </c>
      <c r="B3747" s="2">
        <f>HYPERLINK("https://platform.v2.vetology.net/cases/2690148/screening-report/1?type=pdf&amp;v=v6&amp;scorecard=1&amp;secret_key=BX%25IJ%24%2F65ieZ%29f6", 2690148)</f>
        <v>2690148</v>
      </c>
      <c r="C3747" s="2">
        <f>HYPERLINK("https://platform.v2.vetology.net/report/v/final/"&amp;2690148, 2690148)</f>
        <v>2690148</v>
      </c>
      <c r="D3747" s="2" t="s">
        <v>11808</v>
      </c>
      <c r="E3747" s="2" t="s">
        <v>11809</v>
      </c>
      <c r="F3747" s="2" t="s">
        <v>1718</v>
      </c>
      <c r="G3747" s="2" t="s">
        <v>100</v>
      </c>
      <c r="H3747" s="2" t="s">
        <v>69</v>
      </c>
      <c r="I3747" s="2" t="s">
        <v>46</v>
      </c>
      <c r="J3747" s="2"/>
      <c r="K3747" s="2" t="s">
        <v>39</v>
      </c>
      <c r="L3747" s="2" t="s">
        <v>39</v>
      </c>
      <c r="M3747" s="2" t="s">
        <v>39</v>
      </c>
      <c r="N3747" s="2" t="s">
        <v>39</v>
      </c>
      <c r="O3747" s="2" t="s">
        <v>39</v>
      </c>
      <c r="P3747" s="2" t="s">
        <v>39</v>
      </c>
      <c r="Q3747" s="2" t="s">
        <v>39</v>
      </c>
      <c r="R3747" s="2" t="s">
        <v>39</v>
      </c>
      <c r="S3747" s="2" t="s">
        <v>39</v>
      </c>
      <c r="T3747" s="2" t="s">
        <v>39</v>
      </c>
      <c r="U3747" s="2" t="s">
        <v>39</v>
      </c>
      <c r="V3747" s="2" t="s">
        <v>39</v>
      </c>
      <c r="W3747" s="2" t="s">
        <v>39</v>
      </c>
      <c r="X3747" s="2" t="s">
        <v>39</v>
      </c>
      <c r="Y3747" s="2" t="s">
        <v>39</v>
      </c>
      <c r="Z3747" s="2" t="s">
        <v>39</v>
      </c>
      <c r="AA3747" s="2" t="s">
        <v>39</v>
      </c>
      <c r="AB3747" s="2" t="s">
        <v>39</v>
      </c>
      <c r="AC3747" s="2" t="s">
        <v>39</v>
      </c>
      <c r="AD3747" s="2" t="s">
        <v>39</v>
      </c>
      <c r="AE3747" s="2" t="s">
        <v>39</v>
      </c>
    </row>
    <row r="3748" spans="1:31" ht="409.5">
      <c r="A3748" s="2">
        <v>2690106</v>
      </c>
      <c r="B3748" s="2">
        <f>HYPERLINK("https://platform.v2.vetology.net/cases/2690106/screening-report/1?type=pdf&amp;v=v6&amp;scorecard=1&amp;secret_key=BX%25IJ%24%2F65ieZ%29f6", 2690106)</f>
        <v>2690106</v>
      </c>
      <c r="C3748" s="2">
        <f>HYPERLINK("https://platform.v2.vetology.net/report/v/final/"&amp;2690106, 2690106)</f>
        <v>2690106</v>
      </c>
      <c r="D3748" s="2" t="s">
        <v>11810</v>
      </c>
      <c r="E3748" s="2" t="s">
        <v>11811</v>
      </c>
      <c r="F3748" s="2" t="s">
        <v>11812</v>
      </c>
      <c r="G3748" s="2" t="s">
        <v>127</v>
      </c>
      <c r="H3748" s="2" t="s">
        <v>11813</v>
      </c>
      <c r="I3748" s="2" t="s">
        <v>129</v>
      </c>
      <c r="J3748" s="2" t="s">
        <v>74</v>
      </c>
      <c r="K3748" s="2" t="s">
        <v>38</v>
      </c>
      <c r="L3748" s="2" t="s">
        <v>38</v>
      </c>
      <c r="M3748" s="2" t="s">
        <v>38</v>
      </c>
      <c r="N3748" s="2" t="s">
        <v>38</v>
      </c>
      <c r="O3748" s="2" t="s">
        <v>38</v>
      </c>
      <c r="P3748" s="2" t="s">
        <v>38</v>
      </c>
      <c r="Q3748" s="2" t="s">
        <v>38</v>
      </c>
      <c r="R3748" s="2" t="s">
        <v>38</v>
      </c>
      <c r="S3748" s="2" t="s">
        <v>38</v>
      </c>
      <c r="T3748" s="2" t="s">
        <v>38</v>
      </c>
      <c r="U3748" s="2" t="s">
        <v>38</v>
      </c>
      <c r="V3748" s="2" t="s">
        <v>38</v>
      </c>
      <c r="W3748" s="2" t="s">
        <v>38</v>
      </c>
      <c r="X3748" s="2" t="s">
        <v>38</v>
      </c>
      <c r="Y3748" s="2" t="s">
        <v>39</v>
      </c>
      <c r="Z3748" s="2" t="s">
        <v>38</v>
      </c>
      <c r="AA3748" s="2" t="s">
        <v>38</v>
      </c>
      <c r="AB3748" s="2" t="s">
        <v>38</v>
      </c>
      <c r="AC3748" s="2" t="s">
        <v>38</v>
      </c>
      <c r="AD3748" s="2" t="s">
        <v>39</v>
      </c>
      <c r="AE3748" s="2" t="s">
        <v>39</v>
      </c>
    </row>
    <row r="3749" spans="1:31" ht="409.5">
      <c r="A3749" s="2">
        <v>2690101</v>
      </c>
      <c r="B3749" s="2">
        <f>HYPERLINK("https://platform.v2.vetology.net/cases/2690101/screening-report/1?type=pdf&amp;v=v6&amp;scorecard=1&amp;secret_key=BX%25IJ%24%2F65ieZ%29f6", 2690101)</f>
        <v>2690101</v>
      </c>
      <c r="C3749" s="2">
        <f>HYPERLINK("https://platform.v2.vetology.net/report/v/final/"&amp;2690101, 2690101)</f>
        <v>2690101</v>
      </c>
      <c r="D3749" s="2" t="s">
        <v>11814</v>
      </c>
      <c r="E3749" s="2" t="s">
        <v>11815</v>
      </c>
      <c r="F3749" s="2" t="s">
        <v>43</v>
      </c>
      <c r="G3749" s="2" t="s">
        <v>100</v>
      </c>
      <c r="H3749" s="2" t="s">
        <v>11816</v>
      </c>
      <c r="I3749" s="2" t="s">
        <v>36</v>
      </c>
      <c r="J3749" s="2" t="s">
        <v>37</v>
      </c>
      <c r="K3749" s="2" t="s">
        <v>38</v>
      </c>
      <c r="L3749" s="2" t="s">
        <v>38</v>
      </c>
      <c r="M3749" s="2" t="s">
        <v>38</v>
      </c>
      <c r="N3749" s="2" t="s">
        <v>38</v>
      </c>
      <c r="O3749" s="2" t="s">
        <v>38</v>
      </c>
      <c r="P3749" s="2" t="s">
        <v>39</v>
      </c>
      <c r="Q3749" s="2" t="s">
        <v>39</v>
      </c>
      <c r="R3749" s="2" t="s">
        <v>39</v>
      </c>
      <c r="S3749" s="2" t="s">
        <v>39</v>
      </c>
      <c r="T3749" s="2" t="s">
        <v>38</v>
      </c>
      <c r="U3749" s="2" t="s">
        <v>38</v>
      </c>
      <c r="V3749" s="2" t="s">
        <v>38</v>
      </c>
      <c r="W3749" s="2" t="s">
        <v>38</v>
      </c>
      <c r="X3749" s="2" t="s">
        <v>39</v>
      </c>
      <c r="Y3749" s="2" t="s">
        <v>39</v>
      </c>
      <c r="Z3749" s="2" t="s">
        <v>38</v>
      </c>
      <c r="AA3749" s="2" t="s">
        <v>39</v>
      </c>
      <c r="AB3749" s="2" t="s">
        <v>39</v>
      </c>
      <c r="AC3749" s="2" t="s">
        <v>38</v>
      </c>
      <c r="AD3749" s="2" t="s">
        <v>38</v>
      </c>
      <c r="AE3749" s="2" t="s">
        <v>39</v>
      </c>
    </row>
    <row r="3750" spans="1:31" ht="409.5">
      <c r="A3750" s="2">
        <v>2690077</v>
      </c>
      <c r="B3750" s="2">
        <f>HYPERLINK("https://platform.v2.vetology.net/cases/2690077/screening-report/1?type=pdf&amp;v=v6&amp;scorecard=1&amp;secret_key=BX%25IJ%24%2F65ieZ%29f6", 2690077)</f>
        <v>2690077</v>
      </c>
      <c r="C3750" s="2">
        <f>HYPERLINK("https://platform.v2.vetology.net/report/v/final/"&amp;2690077, 2690077)</f>
        <v>2690077</v>
      </c>
      <c r="D3750" s="2" t="s">
        <v>11817</v>
      </c>
      <c r="E3750" s="2" t="s">
        <v>11818</v>
      </c>
      <c r="F3750" s="2"/>
      <c r="G3750" s="2" t="s">
        <v>81</v>
      </c>
      <c r="H3750" s="2" t="s">
        <v>69</v>
      </c>
      <c r="I3750" s="2" t="s">
        <v>46</v>
      </c>
      <c r="J3750" s="2"/>
      <c r="K3750" s="2" t="s">
        <v>39</v>
      </c>
      <c r="L3750" s="2" t="s">
        <v>39</v>
      </c>
      <c r="M3750" s="2" t="s">
        <v>39</v>
      </c>
      <c r="N3750" s="2" t="s">
        <v>39</v>
      </c>
      <c r="O3750" s="2" t="s">
        <v>39</v>
      </c>
      <c r="P3750" s="2" t="s">
        <v>39</v>
      </c>
      <c r="Q3750" s="2" t="s">
        <v>39</v>
      </c>
      <c r="R3750" s="2" t="s">
        <v>39</v>
      </c>
      <c r="S3750" s="2" t="s">
        <v>39</v>
      </c>
      <c r="T3750" s="2" t="s">
        <v>39</v>
      </c>
      <c r="U3750" s="2" t="s">
        <v>39</v>
      </c>
      <c r="V3750" s="2" t="s">
        <v>39</v>
      </c>
      <c r="W3750" s="2" t="s">
        <v>39</v>
      </c>
      <c r="X3750" s="2" t="s">
        <v>39</v>
      </c>
      <c r="Y3750" s="2" t="s">
        <v>39</v>
      </c>
      <c r="Z3750" s="2" t="s">
        <v>39</v>
      </c>
      <c r="AA3750" s="2" t="s">
        <v>39</v>
      </c>
      <c r="AB3750" s="2" t="s">
        <v>39</v>
      </c>
      <c r="AC3750" s="2" t="s">
        <v>39</v>
      </c>
      <c r="AD3750" s="2" t="s">
        <v>39</v>
      </c>
      <c r="AE3750" s="2" t="s">
        <v>39</v>
      </c>
    </row>
    <row r="3751" spans="1:31" ht="409.5">
      <c r="A3751" s="2">
        <v>2690051</v>
      </c>
      <c r="B3751" s="2">
        <f>HYPERLINK("https://platform.v2.vetology.net/cases/2690051/screening-report/1?type=pdf&amp;v=v6&amp;scorecard=1&amp;secret_key=BX%25IJ%24%2F65ieZ%29f6", 2690051)</f>
        <v>2690051</v>
      </c>
      <c r="C3751" s="2">
        <f>HYPERLINK("https://platform.v2.vetology.net/report/v/final/"&amp;2690051, 2690051)</f>
        <v>2690051</v>
      </c>
      <c r="D3751" s="2" t="s">
        <v>11819</v>
      </c>
      <c r="E3751" s="2" t="s">
        <v>11820</v>
      </c>
      <c r="F3751" s="2" t="s">
        <v>4822</v>
      </c>
      <c r="G3751" s="2" t="s">
        <v>111</v>
      </c>
      <c r="H3751" s="2" t="s">
        <v>1241</v>
      </c>
      <c r="I3751" s="2" t="s">
        <v>36</v>
      </c>
      <c r="J3751" s="2" t="s">
        <v>37</v>
      </c>
      <c r="K3751" s="2" t="s">
        <v>39</v>
      </c>
      <c r="L3751" s="2" t="s">
        <v>39</v>
      </c>
      <c r="M3751" s="2" t="s">
        <v>38</v>
      </c>
      <c r="N3751" s="2" t="s">
        <v>39</v>
      </c>
      <c r="O3751" s="2" t="s">
        <v>39</v>
      </c>
      <c r="P3751" s="2" t="s">
        <v>39</v>
      </c>
      <c r="Q3751" s="2" t="s">
        <v>39</v>
      </c>
      <c r="R3751" s="2" t="s">
        <v>39</v>
      </c>
      <c r="S3751" s="2" t="s">
        <v>39</v>
      </c>
      <c r="T3751" s="2" t="s">
        <v>39</v>
      </c>
      <c r="U3751" s="2" t="s">
        <v>39</v>
      </c>
      <c r="V3751" s="2" t="s">
        <v>39</v>
      </c>
      <c r="W3751" s="2" t="s">
        <v>39</v>
      </c>
      <c r="X3751" s="2" t="s">
        <v>39</v>
      </c>
      <c r="Y3751" s="2" t="s">
        <v>39</v>
      </c>
      <c r="Z3751" s="2" t="s">
        <v>38</v>
      </c>
      <c r="AA3751" s="2" t="s">
        <v>39</v>
      </c>
      <c r="AB3751" s="2" t="s">
        <v>39</v>
      </c>
      <c r="AC3751" s="2" t="s">
        <v>38</v>
      </c>
      <c r="AD3751" s="2" t="s">
        <v>39</v>
      </c>
      <c r="AE3751" s="2" t="s">
        <v>39</v>
      </c>
    </row>
    <row r="3752" spans="1:31" ht="409.5">
      <c r="A3752" s="2">
        <v>2690045</v>
      </c>
      <c r="B3752" s="2">
        <f>HYPERLINK("https://platform.v2.vetology.net/cases/2690045/screening-report/1?type=pdf&amp;v=v6&amp;scorecard=1&amp;secret_key=BX%25IJ%24%2F65ieZ%29f6", 2690045)</f>
        <v>2690045</v>
      </c>
      <c r="C3752" s="2">
        <f>HYPERLINK("https://platform.v2.vetology.net/report/v/final/"&amp;2690045, 2690045)</f>
        <v>2690045</v>
      </c>
      <c r="D3752" s="2" t="s">
        <v>11821</v>
      </c>
      <c r="E3752" s="2" t="s">
        <v>2735</v>
      </c>
      <c r="F3752" s="2" t="s">
        <v>787</v>
      </c>
      <c r="G3752" s="2" t="s">
        <v>100</v>
      </c>
      <c r="H3752" s="2" t="s">
        <v>11822</v>
      </c>
      <c r="I3752" s="2" t="s">
        <v>36</v>
      </c>
      <c r="J3752" s="2" t="s">
        <v>37</v>
      </c>
      <c r="K3752" s="2" t="s">
        <v>38</v>
      </c>
      <c r="L3752" s="2" t="s">
        <v>38</v>
      </c>
      <c r="M3752" s="2" t="s">
        <v>38</v>
      </c>
      <c r="N3752" s="2" t="s">
        <v>38</v>
      </c>
      <c r="O3752" s="2" t="s">
        <v>38</v>
      </c>
      <c r="P3752" s="2" t="s">
        <v>39</v>
      </c>
      <c r="Q3752" s="2" t="s">
        <v>39</v>
      </c>
      <c r="R3752" s="2" t="s">
        <v>38</v>
      </c>
      <c r="S3752" s="2" t="s">
        <v>38</v>
      </c>
      <c r="T3752" s="2" t="s">
        <v>39</v>
      </c>
      <c r="U3752" s="2" t="s">
        <v>38</v>
      </c>
      <c r="V3752" s="2" t="s">
        <v>38</v>
      </c>
      <c r="W3752" s="2" t="s">
        <v>38</v>
      </c>
      <c r="X3752" s="2" t="s">
        <v>38</v>
      </c>
      <c r="Y3752" s="2" t="s">
        <v>38</v>
      </c>
      <c r="Z3752" s="2" t="s">
        <v>38</v>
      </c>
      <c r="AA3752" s="2" t="s">
        <v>38</v>
      </c>
      <c r="AB3752" s="2" t="s">
        <v>39</v>
      </c>
      <c r="AC3752" s="2" t="s">
        <v>38</v>
      </c>
      <c r="AD3752" s="2" t="s">
        <v>38</v>
      </c>
      <c r="AE3752" s="2" t="s">
        <v>40</v>
      </c>
    </row>
    <row r="3753" spans="1:31" ht="409.5">
      <c r="A3753" s="2">
        <v>2690035</v>
      </c>
      <c r="B3753" s="2">
        <f>HYPERLINK("https://platform.v2.vetology.net/cases/2690035/screening-report/1?type=pdf&amp;v=v6&amp;scorecard=1&amp;secret_key=BX%25IJ%24%2F65ieZ%29f6", 2690035)</f>
        <v>2690035</v>
      </c>
      <c r="C3753" s="2">
        <f>HYPERLINK("https://platform.v2.vetology.net/report/v/final/"&amp;2690035, 2690035)</f>
        <v>2690035</v>
      </c>
      <c r="D3753" s="2" t="s">
        <v>11823</v>
      </c>
      <c r="E3753" s="2" t="s">
        <v>11824</v>
      </c>
      <c r="F3753" s="2" t="s">
        <v>11825</v>
      </c>
      <c r="G3753" s="2" t="s">
        <v>81</v>
      </c>
      <c r="H3753" s="2" t="s">
        <v>11826</v>
      </c>
      <c r="I3753" s="2" t="s">
        <v>36</v>
      </c>
      <c r="J3753" s="2" t="s">
        <v>37</v>
      </c>
      <c r="K3753" s="2" t="s">
        <v>39</v>
      </c>
      <c r="L3753" s="2" t="s">
        <v>38</v>
      </c>
      <c r="M3753" s="2" t="s">
        <v>38</v>
      </c>
      <c r="N3753" s="2" t="s">
        <v>38</v>
      </c>
      <c r="O3753" s="2" t="s">
        <v>38</v>
      </c>
      <c r="P3753" s="2" t="s">
        <v>38</v>
      </c>
      <c r="Q3753" s="2" t="s">
        <v>39</v>
      </c>
      <c r="R3753" s="2" t="s">
        <v>38</v>
      </c>
      <c r="S3753" s="2" t="s">
        <v>38</v>
      </c>
      <c r="T3753" s="2" t="s">
        <v>38</v>
      </c>
      <c r="U3753" s="2" t="s">
        <v>39</v>
      </c>
      <c r="V3753" s="2" t="s">
        <v>39</v>
      </c>
      <c r="W3753" s="2" t="s">
        <v>38</v>
      </c>
      <c r="X3753" s="2" t="s">
        <v>39</v>
      </c>
      <c r="Y3753" s="2" t="s">
        <v>38</v>
      </c>
      <c r="Z3753" s="2" t="s">
        <v>38</v>
      </c>
      <c r="AA3753" s="2" t="s">
        <v>38</v>
      </c>
      <c r="AB3753" s="2" t="s">
        <v>39</v>
      </c>
      <c r="AC3753" s="2" t="s">
        <v>38</v>
      </c>
      <c r="AD3753" s="2" t="s">
        <v>38</v>
      </c>
      <c r="AE3753" s="2" t="s">
        <v>40</v>
      </c>
    </row>
    <row r="3754" spans="1:31" ht="409.5">
      <c r="A3754" s="2">
        <v>2690034</v>
      </c>
      <c r="B3754" s="2">
        <f>HYPERLINK("https://platform.v2.vetology.net/cases/2690034/screening-report/1?type=pdf&amp;v=v6&amp;scorecard=1&amp;secret_key=BX%25IJ%24%2F65ieZ%29f6", 2690034)</f>
        <v>2690034</v>
      </c>
      <c r="C3754" s="2">
        <f>HYPERLINK("https://platform.v2.vetology.net/report/v/final/"&amp;2690034, 2690034)</f>
        <v>2690034</v>
      </c>
      <c r="D3754" s="2" t="s">
        <v>11827</v>
      </c>
      <c r="E3754" s="2" t="s">
        <v>11828</v>
      </c>
      <c r="F3754" s="2" t="s">
        <v>8244</v>
      </c>
      <c r="G3754" s="2" t="s">
        <v>111</v>
      </c>
      <c r="H3754" s="2" t="s">
        <v>11829</v>
      </c>
      <c r="I3754" s="2" t="s">
        <v>73</v>
      </c>
      <c r="J3754" s="2" t="s">
        <v>74</v>
      </c>
      <c r="K3754" s="2" t="s">
        <v>38</v>
      </c>
      <c r="L3754" s="2" t="s">
        <v>38</v>
      </c>
      <c r="M3754" s="2" t="s">
        <v>38</v>
      </c>
      <c r="N3754" s="2" t="s">
        <v>38</v>
      </c>
      <c r="O3754" s="2" t="s">
        <v>38</v>
      </c>
      <c r="P3754" s="2" t="s">
        <v>38</v>
      </c>
      <c r="Q3754" s="2" t="s">
        <v>38</v>
      </c>
      <c r="R3754" s="2" t="s">
        <v>38</v>
      </c>
      <c r="S3754" s="2" t="s">
        <v>38</v>
      </c>
      <c r="T3754" s="2" t="s">
        <v>38</v>
      </c>
      <c r="U3754" s="2" t="s">
        <v>38</v>
      </c>
      <c r="V3754" s="2" t="s">
        <v>38</v>
      </c>
      <c r="W3754" s="2" t="s">
        <v>38</v>
      </c>
      <c r="X3754" s="2" t="s">
        <v>38</v>
      </c>
      <c r="Y3754" s="2" t="s">
        <v>38</v>
      </c>
      <c r="Z3754" s="2" t="s">
        <v>38</v>
      </c>
      <c r="AA3754" s="2" t="s">
        <v>38</v>
      </c>
      <c r="AB3754" s="2" t="s">
        <v>38</v>
      </c>
      <c r="AC3754" s="2" t="s">
        <v>38</v>
      </c>
      <c r="AD3754" s="2" t="s">
        <v>38</v>
      </c>
      <c r="AE3754" s="2" t="s">
        <v>39</v>
      </c>
    </row>
    <row r="3755" spans="1:31" ht="409.5">
      <c r="A3755" s="2">
        <v>2690003</v>
      </c>
      <c r="B3755" s="2">
        <f>HYPERLINK("https://platform.v2.vetology.net/cases/2690003/screening-report/1?type=pdf&amp;v=v6&amp;scorecard=1&amp;secret_key=BX%25IJ%24%2F65ieZ%29f6", 2690003)</f>
        <v>2690003</v>
      </c>
      <c r="C3755" s="2">
        <f>HYPERLINK("https://platform.v2.vetology.net/report/v/final/"&amp;2690003, 2690003)</f>
        <v>2690003</v>
      </c>
      <c r="D3755" s="2" t="s">
        <v>302</v>
      </c>
      <c r="E3755" s="2" t="s">
        <v>99</v>
      </c>
      <c r="F3755" s="2"/>
      <c r="G3755" s="2" t="s">
        <v>100</v>
      </c>
      <c r="H3755" s="2" t="s">
        <v>394</v>
      </c>
      <c r="I3755" s="2" t="s">
        <v>59</v>
      </c>
      <c r="J3755" s="2" t="s">
        <v>37</v>
      </c>
      <c r="K3755" s="2" t="s">
        <v>38</v>
      </c>
      <c r="L3755" s="2" t="s">
        <v>39</v>
      </c>
      <c r="M3755" s="2" t="s">
        <v>39</v>
      </c>
      <c r="N3755" s="2" t="s">
        <v>39</v>
      </c>
      <c r="O3755" s="2" t="s">
        <v>39</v>
      </c>
      <c r="P3755" s="2" t="s">
        <v>39</v>
      </c>
      <c r="Q3755" s="2" t="s">
        <v>39</v>
      </c>
      <c r="R3755" s="2" t="s">
        <v>39</v>
      </c>
      <c r="S3755" s="2" t="s">
        <v>39</v>
      </c>
      <c r="T3755" s="2" t="s">
        <v>39</v>
      </c>
      <c r="U3755" s="2" t="s">
        <v>38</v>
      </c>
      <c r="V3755" s="2" t="s">
        <v>38</v>
      </c>
      <c r="W3755" s="2" t="s">
        <v>39</v>
      </c>
      <c r="X3755" s="2" t="s">
        <v>39</v>
      </c>
      <c r="Y3755" s="2" t="s">
        <v>39</v>
      </c>
      <c r="Z3755" s="2" t="s">
        <v>39</v>
      </c>
      <c r="AA3755" s="2" t="s">
        <v>39</v>
      </c>
      <c r="AB3755" s="2" t="s">
        <v>39</v>
      </c>
      <c r="AC3755" s="2" t="s">
        <v>39</v>
      </c>
      <c r="AD3755" s="2" t="s">
        <v>39</v>
      </c>
      <c r="AE3755" s="2"/>
    </row>
    <row r="3756" spans="1:31" ht="409.5">
      <c r="A3756" s="2">
        <v>2690000</v>
      </c>
      <c r="B3756" s="2">
        <f>HYPERLINK("https://platform.v2.vetology.net/cases/2690000/screening-report/1?type=pdf&amp;v=v6&amp;scorecard=1&amp;secret_key=BX%25IJ%24%2F65ieZ%29f6", 2690000)</f>
        <v>2690000</v>
      </c>
      <c r="C3756" s="2">
        <f>HYPERLINK("https://platform.v2.vetology.net/report/v/final/"&amp;2690000, 2690000)</f>
        <v>2690000</v>
      </c>
      <c r="D3756" s="2" t="s">
        <v>11830</v>
      </c>
      <c r="E3756" s="2" t="s">
        <v>11831</v>
      </c>
      <c r="F3756" s="2" t="s">
        <v>787</v>
      </c>
      <c r="G3756" s="2" t="s">
        <v>100</v>
      </c>
      <c r="H3756" s="2" t="s">
        <v>394</v>
      </c>
      <c r="I3756" s="2" t="s">
        <v>59</v>
      </c>
      <c r="J3756" s="2" t="s">
        <v>37</v>
      </c>
      <c r="K3756" s="2" t="s">
        <v>38</v>
      </c>
      <c r="L3756" s="2" t="s">
        <v>39</v>
      </c>
      <c r="M3756" s="2" t="s">
        <v>39</v>
      </c>
      <c r="N3756" s="2" t="s">
        <v>39</v>
      </c>
      <c r="O3756" s="2" t="s">
        <v>39</v>
      </c>
      <c r="P3756" s="2" t="s">
        <v>39</v>
      </c>
      <c r="Q3756" s="2" t="s">
        <v>39</v>
      </c>
      <c r="R3756" s="2" t="s">
        <v>39</v>
      </c>
      <c r="S3756" s="2" t="s">
        <v>39</v>
      </c>
      <c r="T3756" s="2" t="s">
        <v>39</v>
      </c>
      <c r="U3756" s="2" t="s">
        <v>39</v>
      </c>
      <c r="V3756" s="2" t="s">
        <v>38</v>
      </c>
      <c r="W3756" s="2" t="s">
        <v>39</v>
      </c>
      <c r="X3756" s="2" t="s">
        <v>39</v>
      </c>
      <c r="Y3756" s="2" t="s">
        <v>39</v>
      </c>
      <c r="Z3756" s="2" t="s">
        <v>39</v>
      </c>
      <c r="AA3756" s="2" t="s">
        <v>39</v>
      </c>
      <c r="AB3756" s="2" t="s">
        <v>39</v>
      </c>
      <c r="AC3756" s="2" t="s">
        <v>38</v>
      </c>
      <c r="AD3756" s="2" t="s">
        <v>39</v>
      </c>
      <c r="AE3756" s="2" t="s">
        <v>39</v>
      </c>
    </row>
    <row r="3757" spans="1:31" ht="409.5">
      <c r="A3757" s="2">
        <v>2689990</v>
      </c>
      <c r="B3757" s="2">
        <f>HYPERLINK("https://platform.v2.vetology.net/cases/2689990/screening-report/1?type=pdf&amp;v=v6&amp;scorecard=1&amp;secret_key=BX%25IJ%24%2F65ieZ%29f6", 2689990)</f>
        <v>2689990</v>
      </c>
      <c r="C3757" s="2">
        <f>HYPERLINK("https://platform.v2.vetology.net/report/v/final/"&amp;2689990, 2689990)</f>
        <v>2689990</v>
      </c>
      <c r="D3757" s="2" t="s">
        <v>11832</v>
      </c>
      <c r="E3757" s="2" t="s">
        <v>11833</v>
      </c>
      <c r="F3757" s="2" t="s">
        <v>11834</v>
      </c>
      <c r="G3757" s="2" t="s">
        <v>100</v>
      </c>
      <c r="H3757" s="2" t="s">
        <v>11835</v>
      </c>
      <c r="I3757" s="2" t="s">
        <v>36</v>
      </c>
      <c r="J3757" s="2" t="s">
        <v>37</v>
      </c>
      <c r="K3757" s="2" t="s">
        <v>38</v>
      </c>
      <c r="L3757" s="2" t="s">
        <v>38</v>
      </c>
      <c r="M3757" s="2" t="s">
        <v>38</v>
      </c>
      <c r="N3757" s="2" t="s">
        <v>38</v>
      </c>
      <c r="O3757" s="2" t="s">
        <v>38</v>
      </c>
      <c r="P3757" s="2" t="s">
        <v>38</v>
      </c>
      <c r="Q3757" s="2" t="s">
        <v>39</v>
      </c>
      <c r="R3757" s="2" t="s">
        <v>38</v>
      </c>
      <c r="S3757" s="2" t="s">
        <v>38</v>
      </c>
      <c r="T3757" s="2" t="s">
        <v>39</v>
      </c>
      <c r="U3757" s="2" t="s">
        <v>39</v>
      </c>
      <c r="V3757" s="2" t="s">
        <v>38</v>
      </c>
      <c r="W3757" s="2" t="s">
        <v>38</v>
      </c>
      <c r="X3757" s="2" t="s">
        <v>39</v>
      </c>
      <c r="Y3757" s="2" t="s">
        <v>39</v>
      </c>
      <c r="Z3757" s="2" t="s">
        <v>38</v>
      </c>
      <c r="AA3757" s="2" t="s">
        <v>38</v>
      </c>
      <c r="AB3757" s="2" t="s">
        <v>38</v>
      </c>
      <c r="AC3757" s="2" t="s">
        <v>38</v>
      </c>
      <c r="AD3757" s="2" t="s">
        <v>38</v>
      </c>
      <c r="AE3757" s="2" t="s">
        <v>40</v>
      </c>
    </row>
    <row r="3758" spans="1:31" ht="409.5">
      <c r="A3758" s="2">
        <v>2689912</v>
      </c>
      <c r="B3758" s="2">
        <f>HYPERLINK("https://platform.v2.vetology.net/cases/2689912/screening-report/1?type=pdf&amp;v=v6&amp;scorecard=1&amp;secret_key=BX%25IJ%24%2F65ieZ%29f6", 2689912)</f>
        <v>2689912</v>
      </c>
      <c r="C3758" s="2">
        <f>HYPERLINK("https://platform.v2.vetology.net/report/v/final/"&amp;2689912, 2689912)</f>
        <v>2689912</v>
      </c>
      <c r="D3758" s="2" t="s">
        <v>11836</v>
      </c>
      <c r="E3758" s="2" t="s">
        <v>11837</v>
      </c>
      <c r="F3758" s="2"/>
      <c r="G3758" s="2" t="s">
        <v>100</v>
      </c>
      <c r="H3758" s="2" t="s">
        <v>11838</v>
      </c>
      <c r="I3758" s="2" t="s">
        <v>257</v>
      </c>
      <c r="J3758" s="2" t="s">
        <v>74</v>
      </c>
      <c r="K3758" s="2" t="s">
        <v>38</v>
      </c>
      <c r="L3758" s="2" t="s">
        <v>38</v>
      </c>
      <c r="M3758" s="2" t="s">
        <v>38</v>
      </c>
      <c r="N3758" s="2" t="s">
        <v>38</v>
      </c>
      <c r="O3758" s="2" t="s">
        <v>38</v>
      </c>
      <c r="P3758" s="2" t="s">
        <v>38</v>
      </c>
      <c r="Q3758" s="2" t="s">
        <v>38</v>
      </c>
      <c r="R3758" s="2" t="s">
        <v>38</v>
      </c>
      <c r="S3758" s="2" t="s">
        <v>38</v>
      </c>
      <c r="T3758" s="2" t="s">
        <v>38</v>
      </c>
      <c r="U3758" s="2" t="s">
        <v>38</v>
      </c>
      <c r="V3758" s="2" t="s">
        <v>38</v>
      </c>
      <c r="W3758" s="2" t="s">
        <v>38</v>
      </c>
      <c r="X3758" s="2" t="s">
        <v>38</v>
      </c>
      <c r="Y3758" s="2" t="s">
        <v>38</v>
      </c>
      <c r="Z3758" s="2" t="s">
        <v>38</v>
      </c>
      <c r="AA3758" s="2" t="s">
        <v>38</v>
      </c>
      <c r="AB3758" s="2" t="s">
        <v>38</v>
      </c>
      <c r="AC3758" s="2" t="s">
        <v>38</v>
      </c>
      <c r="AD3758" s="2" t="s">
        <v>38</v>
      </c>
      <c r="AE3758" s="2"/>
    </row>
    <row r="3759" spans="1:31" ht="409.5">
      <c r="A3759" s="2">
        <v>2689879</v>
      </c>
      <c r="B3759" s="2">
        <f>HYPERLINK("https://platform.v2.vetology.net/cases/2689879/screening-report/1?type=pdf&amp;v=v6&amp;scorecard=1&amp;secret_key=BX%25IJ%24%2F65ieZ%29f6", 2689879)</f>
        <v>2689879</v>
      </c>
      <c r="C3759" s="2">
        <f>HYPERLINK("https://platform.v2.vetology.net/report/v/final/"&amp;2689879, 2689879)</f>
        <v>2689879</v>
      </c>
      <c r="D3759" s="2" t="s">
        <v>11839</v>
      </c>
      <c r="E3759" s="2" t="s">
        <v>11840</v>
      </c>
      <c r="F3759" s="2" t="s">
        <v>2434</v>
      </c>
      <c r="G3759" s="2" t="s">
        <v>111</v>
      </c>
      <c r="H3759" s="2" t="s">
        <v>9345</v>
      </c>
      <c r="I3759" s="2" t="s">
        <v>36</v>
      </c>
      <c r="J3759" s="2" t="s">
        <v>37</v>
      </c>
      <c r="K3759" s="2" t="s">
        <v>38</v>
      </c>
      <c r="L3759" s="2" t="s">
        <v>38</v>
      </c>
      <c r="M3759" s="2" t="s">
        <v>38</v>
      </c>
      <c r="N3759" s="2" t="s">
        <v>39</v>
      </c>
      <c r="O3759" s="2" t="s">
        <v>38</v>
      </c>
      <c r="P3759" s="2" t="s">
        <v>39</v>
      </c>
      <c r="Q3759" s="2" t="s">
        <v>39</v>
      </c>
      <c r="R3759" s="2" t="s">
        <v>38</v>
      </c>
      <c r="S3759" s="2" t="s">
        <v>39</v>
      </c>
      <c r="T3759" s="2" t="s">
        <v>39</v>
      </c>
      <c r="U3759" s="2" t="s">
        <v>38</v>
      </c>
      <c r="V3759" s="2" t="s">
        <v>38</v>
      </c>
      <c r="W3759" s="2" t="s">
        <v>38</v>
      </c>
      <c r="X3759" s="2" t="s">
        <v>39</v>
      </c>
      <c r="Y3759" s="2" t="s">
        <v>39</v>
      </c>
      <c r="Z3759" s="2" t="s">
        <v>38</v>
      </c>
      <c r="AA3759" s="2" t="s">
        <v>38</v>
      </c>
      <c r="AB3759" s="2" t="s">
        <v>39</v>
      </c>
      <c r="AC3759" s="2" t="s">
        <v>38</v>
      </c>
      <c r="AD3759" s="2" t="s">
        <v>38</v>
      </c>
      <c r="AE3759" s="2" t="s">
        <v>39</v>
      </c>
    </row>
    <row r="3760" spans="1:31" ht="409.5">
      <c r="A3760" s="2">
        <v>2689865</v>
      </c>
      <c r="B3760" s="2">
        <f>HYPERLINK("https://platform.v2.vetology.net/cases/2689865/screening-report/1?type=pdf&amp;v=v6&amp;scorecard=1&amp;secret_key=BX%25IJ%24%2F65ieZ%29f6", 2689865)</f>
        <v>2689865</v>
      </c>
      <c r="C3760" s="2">
        <f>HYPERLINK("https://platform.v2.vetology.net/report/v/final/"&amp;2689865, 2689865)</f>
        <v>2689865</v>
      </c>
      <c r="D3760" s="2" t="s">
        <v>11841</v>
      </c>
      <c r="E3760" s="2" t="s">
        <v>11842</v>
      </c>
      <c r="F3760" s="2" t="s">
        <v>6366</v>
      </c>
      <c r="G3760" s="2" t="s">
        <v>170</v>
      </c>
      <c r="H3760" s="2" t="s">
        <v>2300</v>
      </c>
      <c r="I3760" s="2" t="s">
        <v>36</v>
      </c>
      <c r="J3760" s="2" t="s">
        <v>37</v>
      </c>
      <c r="K3760" s="2" t="s">
        <v>38</v>
      </c>
      <c r="L3760" s="2" t="s">
        <v>38</v>
      </c>
      <c r="M3760" s="2" t="s">
        <v>38</v>
      </c>
      <c r="N3760" s="2" t="s">
        <v>38</v>
      </c>
      <c r="O3760" s="2" t="s">
        <v>38</v>
      </c>
      <c r="P3760" s="2" t="s">
        <v>38</v>
      </c>
      <c r="Q3760" s="2" t="s">
        <v>38</v>
      </c>
      <c r="R3760" s="2" t="s">
        <v>38</v>
      </c>
      <c r="S3760" s="2" t="s">
        <v>38</v>
      </c>
      <c r="T3760" s="2" t="s">
        <v>38</v>
      </c>
      <c r="U3760" s="2" t="s">
        <v>38</v>
      </c>
      <c r="V3760" s="2" t="s">
        <v>38</v>
      </c>
      <c r="W3760" s="2" t="s">
        <v>38</v>
      </c>
      <c r="X3760" s="2" t="s">
        <v>39</v>
      </c>
      <c r="Y3760" s="2" t="s">
        <v>38</v>
      </c>
      <c r="Z3760" s="2" t="s">
        <v>38</v>
      </c>
      <c r="AA3760" s="2" t="s">
        <v>38</v>
      </c>
      <c r="AB3760" s="2" t="s">
        <v>38</v>
      </c>
      <c r="AC3760" s="2" t="s">
        <v>38</v>
      </c>
      <c r="AD3760" s="2" t="s">
        <v>38</v>
      </c>
      <c r="AE3760" s="2" t="s">
        <v>39</v>
      </c>
    </row>
    <row r="3761" spans="1:31" ht="409.5">
      <c r="A3761" s="2">
        <v>2689857</v>
      </c>
      <c r="B3761" s="2">
        <f>HYPERLINK("https://platform.v2.vetology.net/cases/2689857/screening-report/1?type=pdf&amp;v=v6&amp;scorecard=1&amp;secret_key=BX%25IJ%24%2F65ieZ%29f6", 2689857)</f>
        <v>2689857</v>
      </c>
      <c r="C3761" s="2">
        <f>HYPERLINK("https://platform.v2.vetology.net/report/v/final/"&amp;2689857, 2689857)</f>
        <v>2689857</v>
      </c>
      <c r="D3761" s="2" t="s">
        <v>11843</v>
      </c>
      <c r="E3761" s="2" t="s">
        <v>11844</v>
      </c>
      <c r="F3761" s="2" t="s">
        <v>11845</v>
      </c>
      <c r="G3761" s="2" t="s">
        <v>44</v>
      </c>
      <c r="H3761" s="2" t="s">
        <v>11846</v>
      </c>
      <c r="I3761" s="2" t="s">
        <v>36</v>
      </c>
      <c r="J3761" s="2" t="s">
        <v>37</v>
      </c>
      <c r="K3761" s="2" t="s">
        <v>39</v>
      </c>
      <c r="L3761" s="2" t="s">
        <v>38</v>
      </c>
      <c r="M3761" s="2" t="s">
        <v>38</v>
      </c>
      <c r="N3761" s="2" t="s">
        <v>39</v>
      </c>
      <c r="O3761" s="2" t="s">
        <v>39</v>
      </c>
      <c r="P3761" s="2" t="s">
        <v>39</v>
      </c>
      <c r="Q3761" s="2" t="s">
        <v>39</v>
      </c>
      <c r="R3761" s="2" t="s">
        <v>38</v>
      </c>
      <c r="S3761" s="2" t="s">
        <v>39</v>
      </c>
      <c r="T3761" s="2" t="s">
        <v>39</v>
      </c>
      <c r="U3761" s="2" t="s">
        <v>39</v>
      </c>
      <c r="V3761" s="2" t="s">
        <v>39</v>
      </c>
      <c r="W3761" s="2" t="s">
        <v>39</v>
      </c>
      <c r="X3761" s="2" t="s">
        <v>39</v>
      </c>
      <c r="Y3761" s="2" t="s">
        <v>39</v>
      </c>
      <c r="Z3761" s="2" t="s">
        <v>39</v>
      </c>
      <c r="AA3761" s="2" t="s">
        <v>39</v>
      </c>
      <c r="AB3761" s="2" t="s">
        <v>39</v>
      </c>
      <c r="AC3761" s="2" t="s">
        <v>38</v>
      </c>
      <c r="AD3761" s="2" t="s">
        <v>39</v>
      </c>
      <c r="AE3761" s="2" t="s">
        <v>39</v>
      </c>
    </row>
    <row r="3762" spans="1:31" ht="409.5">
      <c r="A3762" s="2">
        <v>2689845</v>
      </c>
      <c r="B3762" s="2">
        <f>HYPERLINK("https://platform.v2.vetology.net/cases/2689845/screening-report/1?type=pdf&amp;v=v6&amp;scorecard=1&amp;secret_key=BX%25IJ%24%2F65ieZ%29f6", 2689845)</f>
        <v>2689845</v>
      </c>
      <c r="C3762" s="2">
        <f>HYPERLINK("https://platform.v2.vetology.net/report/v/final/"&amp;2689845, 2689845)</f>
        <v>2689845</v>
      </c>
      <c r="D3762" s="2" t="s">
        <v>11847</v>
      </c>
      <c r="E3762" s="2" t="s">
        <v>11848</v>
      </c>
      <c r="F3762" s="2" t="s">
        <v>11849</v>
      </c>
      <c r="G3762" s="2" t="s">
        <v>100</v>
      </c>
      <c r="H3762" s="2" t="s">
        <v>11850</v>
      </c>
      <c r="I3762" s="2" t="s">
        <v>36</v>
      </c>
      <c r="J3762" s="2" t="s">
        <v>37</v>
      </c>
      <c r="K3762" s="2" t="s">
        <v>38</v>
      </c>
      <c r="L3762" s="2" t="s">
        <v>38</v>
      </c>
      <c r="M3762" s="2" t="s">
        <v>38</v>
      </c>
      <c r="N3762" s="2" t="s">
        <v>38</v>
      </c>
      <c r="O3762" s="2" t="s">
        <v>38</v>
      </c>
      <c r="P3762" s="2" t="s">
        <v>39</v>
      </c>
      <c r="Q3762" s="2" t="s">
        <v>39</v>
      </c>
      <c r="R3762" s="2" t="s">
        <v>38</v>
      </c>
      <c r="S3762" s="2" t="s">
        <v>38</v>
      </c>
      <c r="T3762" s="2" t="s">
        <v>38</v>
      </c>
      <c r="U3762" s="2" t="s">
        <v>38</v>
      </c>
      <c r="V3762" s="2" t="s">
        <v>38</v>
      </c>
      <c r="W3762" s="2" t="s">
        <v>38</v>
      </c>
      <c r="X3762" s="2" t="s">
        <v>38</v>
      </c>
      <c r="Y3762" s="2" t="s">
        <v>38</v>
      </c>
      <c r="Z3762" s="2" t="s">
        <v>38</v>
      </c>
      <c r="AA3762" s="2" t="s">
        <v>38</v>
      </c>
      <c r="AB3762" s="2" t="s">
        <v>39</v>
      </c>
      <c r="AC3762" s="2" t="s">
        <v>38</v>
      </c>
      <c r="AD3762" s="2" t="s">
        <v>38</v>
      </c>
      <c r="AE3762" s="2" t="s">
        <v>39</v>
      </c>
    </row>
    <row r="3763" spans="1:31" ht="409.5">
      <c r="A3763" s="2">
        <v>2689844</v>
      </c>
      <c r="B3763" s="2">
        <f>HYPERLINK("https://platform.v2.vetology.net/cases/2689844/screening-report/1?type=pdf&amp;v=v6&amp;scorecard=1&amp;secret_key=BX%25IJ%24%2F65ieZ%29f6", 2689844)</f>
        <v>2689844</v>
      </c>
      <c r="C3763" s="2">
        <f>HYPERLINK("https://platform.v2.vetology.net/report/v/final/"&amp;2689844, 2689844)</f>
        <v>2689844</v>
      </c>
      <c r="D3763" s="2" t="s">
        <v>11851</v>
      </c>
      <c r="E3763" s="2" t="s">
        <v>11852</v>
      </c>
      <c r="F3763" s="2" t="s">
        <v>11853</v>
      </c>
      <c r="G3763" s="2" t="s">
        <v>170</v>
      </c>
      <c r="H3763" s="2" t="s">
        <v>11854</v>
      </c>
      <c r="I3763" s="2" t="s">
        <v>73</v>
      </c>
      <c r="J3763" s="2" t="s">
        <v>74</v>
      </c>
      <c r="K3763" s="2" t="s">
        <v>38</v>
      </c>
      <c r="L3763" s="2" t="s">
        <v>38</v>
      </c>
      <c r="M3763" s="2" t="s">
        <v>38</v>
      </c>
      <c r="N3763" s="2" t="s">
        <v>38</v>
      </c>
      <c r="O3763" s="2" t="s">
        <v>38</v>
      </c>
      <c r="P3763" s="2" t="s">
        <v>38</v>
      </c>
      <c r="Q3763" s="2" t="s">
        <v>38</v>
      </c>
      <c r="R3763" s="2" t="s">
        <v>38</v>
      </c>
      <c r="S3763" s="2" t="s">
        <v>38</v>
      </c>
      <c r="T3763" s="2" t="s">
        <v>38</v>
      </c>
      <c r="U3763" s="2" t="s">
        <v>38</v>
      </c>
      <c r="V3763" s="2" t="s">
        <v>38</v>
      </c>
      <c r="W3763" s="2" t="s">
        <v>38</v>
      </c>
      <c r="X3763" s="2" t="s">
        <v>38</v>
      </c>
      <c r="Y3763" s="2" t="s">
        <v>38</v>
      </c>
      <c r="Z3763" s="2" t="s">
        <v>38</v>
      </c>
      <c r="AA3763" s="2" t="s">
        <v>38</v>
      </c>
      <c r="AB3763" s="2" t="s">
        <v>38</v>
      </c>
      <c r="AC3763" s="2" t="s">
        <v>38</v>
      </c>
      <c r="AD3763" s="2" t="s">
        <v>38</v>
      </c>
      <c r="AE3763" s="2" t="s">
        <v>40</v>
      </c>
    </row>
    <row r="3764" spans="1:31" ht="409.5">
      <c r="A3764" s="2">
        <v>2689840</v>
      </c>
      <c r="B3764" s="2">
        <f>HYPERLINK("https://platform.v2.vetology.net/cases/2689840/screening-report/1?type=pdf&amp;v=v6&amp;scorecard=1&amp;secret_key=BX%25IJ%24%2F65ieZ%29f6", 2689840)</f>
        <v>2689840</v>
      </c>
      <c r="C3764" s="2">
        <f>HYPERLINK("https://platform.v2.vetology.net/report/v/final/"&amp;2689840, 2689840)</f>
        <v>2689840</v>
      </c>
      <c r="D3764" s="2" t="s">
        <v>11855</v>
      </c>
      <c r="E3764" s="2" t="s">
        <v>11856</v>
      </c>
      <c r="F3764" s="2" t="s">
        <v>11857</v>
      </c>
      <c r="G3764" s="2" t="s">
        <v>81</v>
      </c>
      <c r="H3764" s="2" t="s">
        <v>1550</v>
      </c>
      <c r="I3764" s="2" t="s">
        <v>73</v>
      </c>
      <c r="J3764" s="2" t="s">
        <v>74</v>
      </c>
      <c r="K3764" s="2" t="s">
        <v>38</v>
      </c>
      <c r="L3764" s="2" t="s">
        <v>38</v>
      </c>
      <c r="M3764" s="2" t="s">
        <v>38</v>
      </c>
      <c r="N3764" s="2" t="s">
        <v>38</v>
      </c>
      <c r="O3764" s="2" t="s">
        <v>38</v>
      </c>
      <c r="P3764" s="2" t="s">
        <v>38</v>
      </c>
      <c r="Q3764" s="2" t="s">
        <v>38</v>
      </c>
      <c r="R3764" s="2" t="s">
        <v>38</v>
      </c>
      <c r="S3764" s="2" t="s">
        <v>38</v>
      </c>
      <c r="T3764" s="2" t="s">
        <v>38</v>
      </c>
      <c r="U3764" s="2" t="s">
        <v>38</v>
      </c>
      <c r="V3764" s="2" t="s">
        <v>38</v>
      </c>
      <c r="W3764" s="2" t="s">
        <v>38</v>
      </c>
      <c r="X3764" s="2" t="s">
        <v>38</v>
      </c>
      <c r="Y3764" s="2" t="s">
        <v>38</v>
      </c>
      <c r="Z3764" s="2" t="s">
        <v>38</v>
      </c>
      <c r="AA3764" s="2" t="s">
        <v>38</v>
      </c>
      <c r="AB3764" s="2" t="s">
        <v>38</v>
      </c>
      <c r="AC3764" s="2" t="s">
        <v>38</v>
      </c>
      <c r="AD3764" s="2" t="s">
        <v>38</v>
      </c>
      <c r="AE3764" s="2" t="s">
        <v>40</v>
      </c>
    </row>
    <row r="3765" spans="1:31" ht="409.5">
      <c r="A3765" s="2">
        <v>2689820</v>
      </c>
      <c r="B3765" s="2">
        <f>HYPERLINK("https://platform.v2.vetology.net/cases/2689820/screening-report/1?type=pdf&amp;v=v6&amp;scorecard=1&amp;secret_key=BX%25IJ%24%2F65ieZ%29f6", 2689820)</f>
        <v>2689820</v>
      </c>
      <c r="C3765" s="2">
        <f>HYPERLINK("https://platform.v2.vetology.net/report/v/final/"&amp;2689820, 2689820)</f>
        <v>2689820</v>
      </c>
      <c r="D3765" s="2" t="s">
        <v>11858</v>
      </c>
      <c r="E3765" s="2" t="s">
        <v>11859</v>
      </c>
      <c r="F3765" s="2"/>
      <c r="G3765" s="2" t="s">
        <v>100</v>
      </c>
      <c r="H3765" s="2" t="s">
        <v>500</v>
      </c>
      <c r="I3765" s="2" t="s">
        <v>36</v>
      </c>
      <c r="J3765" s="2" t="s">
        <v>37</v>
      </c>
      <c r="K3765" s="2" t="s">
        <v>39</v>
      </c>
      <c r="L3765" s="2" t="s">
        <v>38</v>
      </c>
      <c r="M3765" s="2" t="s">
        <v>38</v>
      </c>
      <c r="N3765" s="2" t="s">
        <v>38</v>
      </c>
      <c r="O3765" s="2" t="s">
        <v>38</v>
      </c>
      <c r="P3765" s="2" t="s">
        <v>38</v>
      </c>
      <c r="Q3765" s="2" t="s">
        <v>39</v>
      </c>
      <c r="R3765" s="2" t="s">
        <v>38</v>
      </c>
      <c r="S3765" s="2" t="s">
        <v>38</v>
      </c>
      <c r="T3765" s="2" t="s">
        <v>39</v>
      </c>
      <c r="U3765" s="2" t="s">
        <v>38</v>
      </c>
      <c r="V3765" s="2" t="s">
        <v>38</v>
      </c>
      <c r="W3765" s="2" t="s">
        <v>38</v>
      </c>
      <c r="X3765" s="2" t="s">
        <v>39</v>
      </c>
      <c r="Y3765" s="2" t="s">
        <v>39</v>
      </c>
      <c r="Z3765" s="2" t="s">
        <v>38</v>
      </c>
      <c r="AA3765" s="2" t="s">
        <v>38</v>
      </c>
      <c r="AB3765" s="2" t="s">
        <v>39</v>
      </c>
      <c r="AC3765" s="2" t="s">
        <v>38</v>
      </c>
      <c r="AD3765" s="2" t="s">
        <v>39</v>
      </c>
      <c r="AE3765" s="2"/>
    </row>
    <row r="3766" spans="1:31" ht="409.5">
      <c r="A3766" s="2">
        <v>2689795</v>
      </c>
      <c r="B3766" s="2">
        <f>HYPERLINK("https://platform.v2.vetology.net/cases/2689795/screening-report/1?type=pdf&amp;v=v6&amp;scorecard=1&amp;secret_key=BX%25IJ%24%2F65ieZ%29f6", 2689795)</f>
        <v>2689795</v>
      </c>
      <c r="C3766" s="2">
        <f>HYPERLINK("https://platform.v2.vetology.net/report/v/final/"&amp;2689795, 2689795)</f>
        <v>2689795</v>
      </c>
      <c r="D3766" s="2" t="s">
        <v>11860</v>
      </c>
      <c r="E3766" s="2" t="s">
        <v>11861</v>
      </c>
      <c r="F3766" s="2" t="s">
        <v>11862</v>
      </c>
      <c r="G3766" s="2" t="s">
        <v>100</v>
      </c>
      <c r="H3766" s="2" t="s">
        <v>11863</v>
      </c>
      <c r="I3766" s="2" t="s">
        <v>73</v>
      </c>
      <c r="J3766" s="2" t="s">
        <v>74</v>
      </c>
      <c r="K3766" s="2" t="s">
        <v>38</v>
      </c>
      <c r="L3766" s="2" t="s">
        <v>38</v>
      </c>
      <c r="M3766" s="2" t="s">
        <v>38</v>
      </c>
      <c r="N3766" s="2" t="s">
        <v>38</v>
      </c>
      <c r="O3766" s="2" t="s">
        <v>38</v>
      </c>
      <c r="P3766" s="2" t="s">
        <v>39</v>
      </c>
      <c r="Q3766" s="2" t="s">
        <v>38</v>
      </c>
      <c r="R3766" s="2" t="s">
        <v>38</v>
      </c>
      <c r="S3766" s="2" t="s">
        <v>38</v>
      </c>
      <c r="T3766" s="2" t="s">
        <v>38</v>
      </c>
      <c r="U3766" s="2" t="s">
        <v>38</v>
      </c>
      <c r="V3766" s="2" t="s">
        <v>38</v>
      </c>
      <c r="W3766" s="2" t="s">
        <v>38</v>
      </c>
      <c r="X3766" s="2" t="s">
        <v>39</v>
      </c>
      <c r="Y3766" s="2" t="s">
        <v>39</v>
      </c>
      <c r="Z3766" s="2" t="s">
        <v>38</v>
      </c>
      <c r="AA3766" s="2" t="s">
        <v>38</v>
      </c>
      <c r="AB3766" s="2" t="s">
        <v>39</v>
      </c>
      <c r="AC3766" s="2" t="s">
        <v>38</v>
      </c>
      <c r="AD3766" s="2" t="s">
        <v>39</v>
      </c>
      <c r="AE3766" s="2" t="s">
        <v>39</v>
      </c>
    </row>
    <row r="3767" spans="1:31" ht="409.5">
      <c r="A3767" s="2">
        <v>2689789</v>
      </c>
      <c r="B3767" s="2">
        <f>HYPERLINK("https://platform.v2.vetology.net/cases/2689789/screening-report/1?type=pdf&amp;v=v6&amp;scorecard=1&amp;secret_key=BX%25IJ%24%2F65ieZ%29f6", 2689789)</f>
        <v>2689789</v>
      </c>
      <c r="C3767" s="2">
        <f>HYPERLINK("https://platform.v2.vetology.net/report/v/final/"&amp;2689789, 2689789)</f>
        <v>2689789</v>
      </c>
      <c r="D3767" s="2" t="s">
        <v>11864</v>
      </c>
      <c r="E3767" s="2" t="s">
        <v>11865</v>
      </c>
      <c r="F3767" s="2" t="s">
        <v>11866</v>
      </c>
      <c r="G3767" s="2" t="s">
        <v>251</v>
      </c>
      <c r="H3767" s="2" t="s">
        <v>69</v>
      </c>
      <c r="I3767" s="2" t="s">
        <v>46</v>
      </c>
      <c r="J3767" s="2"/>
      <c r="K3767" s="2" t="s">
        <v>39</v>
      </c>
      <c r="L3767" s="2" t="s">
        <v>39</v>
      </c>
      <c r="M3767" s="2" t="s">
        <v>39</v>
      </c>
      <c r="N3767" s="2" t="s">
        <v>39</v>
      </c>
      <c r="O3767" s="2" t="s">
        <v>39</v>
      </c>
      <c r="P3767" s="2" t="s">
        <v>39</v>
      </c>
      <c r="Q3767" s="2" t="s">
        <v>39</v>
      </c>
      <c r="R3767" s="2" t="s">
        <v>39</v>
      </c>
      <c r="S3767" s="2" t="s">
        <v>39</v>
      </c>
      <c r="T3767" s="2" t="s">
        <v>39</v>
      </c>
      <c r="U3767" s="2" t="s">
        <v>39</v>
      </c>
      <c r="V3767" s="2" t="s">
        <v>39</v>
      </c>
      <c r="W3767" s="2" t="s">
        <v>39</v>
      </c>
      <c r="X3767" s="2" t="s">
        <v>39</v>
      </c>
      <c r="Y3767" s="2" t="s">
        <v>39</v>
      </c>
      <c r="Z3767" s="2" t="s">
        <v>39</v>
      </c>
      <c r="AA3767" s="2" t="s">
        <v>39</v>
      </c>
      <c r="AB3767" s="2" t="s">
        <v>39</v>
      </c>
      <c r="AC3767" s="2" t="s">
        <v>38</v>
      </c>
      <c r="AD3767" s="2" t="s">
        <v>39</v>
      </c>
      <c r="AE3767" s="2" t="s">
        <v>40</v>
      </c>
    </row>
    <row r="3768" spans="1:31" ht="409.5">
      <c r="A3768" s="2">
        <v>2689781</v>
      </c>
      <c r="B3768" s="2">
        <f>HYPERLINK("https://platform.v2.vetology.net/cases/2689781/screening-report/1?type=pdf&amp;v=v6&amp;scorecard=1&amp;secret_key=BX%25IJ%24%2F65ieZ%29f6", 2689781)</f>
        <v>2689781</v>
      </c>
      <c r="C3768" s="2">
        <f>HYPERLINK("https://platform.v2.vetology.net/report/v/final/"&amp;2689781, 2689781)</f>
        <v>2689781</v>
      </c>
      <c r="D3768" s="2" t="s">
        <v>11867</v>
      </c>
      <c r="E3768" s="2" t="s">
        <v>11868</v>
      </c>
      <c r="F3768" s="2" t="s">
        <v>174</v>
      </c>
      <c r="G3768" s="2" t="s">
        <v>170</v>
      </c>
      <c r="H3768" s="2" t="s">
        <v>11869</v>
      </c>
      <c r="I3768" s="2" t="s">
        <v>36</v>
      </c>
      <c r="J3768" s="2" t="s">
        <v>37</v>
      </c>
      <c r="K3768" s="2" t="s">
        <v>39</v>
      </c>
      <c r="L3768" s="2" t="s">
        <v>38</v>
      </c>
      <c r="M3768" s="2" t="s">
        <v>38</v>
      </c>
      <c r="N3768" s="2" t="s">
        <v>39</v>
      </c>
      <c r="O3768" s="2" t="s">
        <v>38</v>
      </c>
      <c r="P3768" s="2" t="s">
        <v>39</v>
      </c>
      <c r="Q3768" s="2" t="s">
        <v>39</v>
      </c>
      <c r="R3768" s="2" t="s">
        <v>38</v>
      </c>
      <c r="S3768" s="2" t="s">
        <v>38</v>
      </c>
      <c r="T3768" s="2" t="s">
        <v>39</v>
      </c>
      <c r="U3768" s="2" t="s">
        <v>39</v>
      </c>
      <c r="V3768" s="2" t="s">
        <v>38</v>
      </c>
      <c r="W3768" s="2" t="s">
        <v>38</v>
      </c>
      <c r="X3768" s="2" t="s">
        <v>38</v>
      </c>
      <c r="Y3768" s="2" t="s">
        <v>39</v>
      </c>
      <c r="Z3768" s="2" t="s">
        <v>38</v>
      </c>
      <c r="AA3768" s="2" t="s">
        <v>38</v>
      </c>
      <c r="AB3768" s="2" t="s">
        <v>39</v>
      </c>
      <c r="AC3768" s="2" t="s">
        <v>38</v>
      </c>
      <c r="AD3768" s="2" t="s">
        <v>38</v>
      </c>
      <c r="AE3768" s="2" t="s">
        <v>40</v>
      </c>
    </row>
    <row r="3769" spans="1:31" ht="409.5">
      <c r="A3769" s="2">
        <v>2689762</v>
      </c>
      <c r="B3769" s="2">
        <f>HYPERLINK("https://platform.v2.vetology.net/cases/2689762/screening-report/1?type=pdf&amp;v=v6&amp;scorecard=1&amp;secret_key=BX%25IJ%24%2F65ieZ%29f6", 2689762)</f>
        <v>2689762</v>
      </c>
      <c r="C3769" s="2">
        <f>HYPERLINK("https://platform.v2.vetology.net/report/v/final/"&amp;2689762, 2689762)</f>
        <v>2689762</v>
      </c>
      <c r="D3769" s="2" t="s">
        <v>11870</v>
      </c>
      <c r="E3769" s="2" t="s">
        <v>11871</v>
      </c>
      <c r="F3769" s="2" t="s">
        <v>43</v>
      </c>
      <c r="G3769" s="2" t="s">
        <v>44</v>
      </c>
      <c r="H3769" s="2" t="s">
        <v>11872</v>
      </c>
      <c r="I3769" s="2" t="s">
        <v>36</v>
      </c>
      <c r="J3769" s="2" t="s">
        <v>37</v>
      </c>
      <c r="K3769" s="2" t="s">
        <v>38</v>
      </c>
      <c r="L3769" s="2" t="s">
        <v>38</v>
      </c>
      <c r="M3769" s="2" t="s">
        <v>39</v>
      </c>
      <c r="N3769" s="2" t="s">
        <v>39</v>
      </c>
      <c r="O3769" s="2" t="s">
        <v>39</v>
      </c>
      <c r="P3769" s="2" t="s">
        <v>39</v>
      </c>
      <c r="Q3769" s="2" t="s">
        <v>39</v>
      </c>
      <c r="R3769" s="2" t="s">
        <v>39</v>
      </c>
      <c r="S3769" s="2" t="s">
        <v>38</v>
      </c>
      <c r="T3769" s="2" t="s">
        <v>38</v>
      </c>
      <c r="U3769" s="2" t="s">
        <v>38</v>
      </c>
      <c r="V3769" s="2" t="s">
        <v>38</v>
      </c>
      <c r="W3769" s="2" t="s">
        <v>38</v>
      </c>
      <c r="X3769" s="2" t="s">
        <v>39</v>
      </c>
      <c r="Y3769" s="2" t="s">
        <v>39</v>
      </c>
      <c r="Z3769" s="2" t="s">
        <v>38</v>
      </c>
      <c r="AA3769" s="2" t="s">
        <v>38</v>
      </c>
      <c r="AB3769" s="2" t="s">
        <v>39</v>
      </c>
      <c r="AC3769" s="2" t="s">
        <v>38</v>
      </c>
      <c r="AD3769" s="2" t="s">
        <v>38</v>
      </c>
      <c r="AE3769" s="2" t="s">
        <v>39</v>
      </c>
    </row>
    <row r="3770" spans="1:31" ht="409.5">
      <c r="A3770" s="2">
        <v>2689714</v>
      </c>
      <c r="B3770" s="2">
        <f>HYPERLINK("https://platform.v2.vetology.net/cases/2689714/screening-report/1?type=pdf&amp;v=v6&amp;scorecard=1&amp;secret_key=BX%25IJ%24%2F65ieZ%29f6", 2689714)</f>
        <v>2689714</v>
      </c>
      <c r="C3770" s="2">
        <f>HYPERLINK("https://platform.v2.vetology.net/report/v/final/"&amp;2689714, 2689714)</f>
        <v>2689714</v>
      </c>
      <c r="D3770" s="2" t="s">
        <v>302</v>
      </c>
      <c r="E3770" s="2" t="s">
        <v>99</v>
      </c>
      <c r="F3770" s="2"/>
      <c r="G3770" s="2" t="s">
        <v>100</v>
      </c>
      <c r="H3770" s="2" t="s">
        <v>69</v>
      </c>
      <c r="I3770" s="2" t="s">
        <v>46</v>
      </c>
      <c r="J3770" s="2"/>
      <c r="K3770" s="2" t="s">
        <v>39</v>
      </c>
      <c r="L3770" s="2" t="s">
        <v>39</v>
      </c>
      <c r="M3770" s="2" t="s">
        <v>39</v>
      </c>
      <c r="N3770" s="2" t="s">
        <v>39</v>
      </c>
      <c r="O3770" s="2" t="s">
        <v>39</v>
      </c>
      <c r="P3770" s="2" t="s">
        <v>39</v>
      </c>
      <c r="Q3770" s="2" t="s">
        <v>39</v>
      </c>
      <c r="R3770" s="2" t="s">
        <v>39</v>
      </c>
      <c r="S3770" s="2" t="s">
        <v>39</v>
      </c>
      <c r="T3770" s="2" t="s">
        <v>39</v>
      </c>
      <c r="U3770" s="2" t="s">
        <v>39</v>
      </c>
      <c r="V3770" s="2" t="s">
        <v>39</v>
      </c>
      <c r="W3770" s="2" t="s">
        <v>38</v>
      </c>
      <c r="X3770" s="2" t="s">
        <v>39</v>
      </c>
      <c r="Y3770" s="2" t="s">
        <v>39</v>
      </c>
      <c r="Z3770" s="2" t="s">
        <v>39</v>
      </c>
      <c r="AA3770" s="2" t="s">
        <v>39</v>
      </c>
      <c r="AB3770" s="2" t="s">
        <v>39</v>
      </c>
      <c r="AC3770" s="2" t="s">
        <v>38</v>
      </c>
      <c r="AD3770" s="2" t="s">
        <v>38</v>
      </c>
      <c r="AE3770" s="2" t="s">
        <v>40</v>
      </c>
    </row>
    <row r="3771" spans="1:31" ht="409.5">
      <c r="A3771" s="2">
        <v>2689709</v>
      </c>
      <c r="B3771" s="2">
        <f>HYPERLINK("https://platform.v2.vetology.net/cases/2689709/screening-report/1?type=pdf&amp;v=v6&amp;scorecard=1&amp;secret_key=BX%25IJ%24%2F65ieZ%29f6", 2689709)</f>
        <v>2689709</v>
      </c>
      <c r="C3771" s="2">
        <f>HYPERLINK("https://platform.v2.vetology.net/report/v/final/"&amp;2689709, 2689709)</f>
        <v>2689709</v>
      </c>
      <c r="D3771" s="2" t="s">
        <v>11873</v>
      </c>
      <c r="E3771" s="2" t="s">
        <v>11874</v>
      </c>
      <c r="F3771" s="2" t="s">
        <v>11875</v>
      </c>
      <c r="G3771" s="2" t="s">
        <v>170</v>
      </c>
      <c r="H3771" s="2" t="s">
        <v>11876</v>
      </c>
      <c r="I3771" s="2" t="s">
        <v>59</v>
      </c>
      <c r="J3771" s="2" t="s">
        <v>37</v>
      </c>
      <c r="K3771" s="2" t="s">
        <v>38</v>
      </c>
      <c r="L3771" s="2" t="s">
        <v>38</v>
      </c>
      <c r="M3771" s="2" t="s">
        <v>39</v>
      </c>
      <c r="N3771" s="2" t="s">
        <v>39</v>
      </c>
      <c r="O3771" s="2" t="s">
        <v>39</v>
      </c>
      <c r="P3771" s="2" t="s">
        <v>39</v>
      </c>
      <c r="Q3771" s="2" t="s">
        <v>38</v>
      </c>
      <c r="R3771" s="2" t="s">
        <v>38</v>
      </c>
      <c r="S3771" s="2" t="s">
        <v>39</v>
      </c>
      <c r="T3771" s="2" t="s">
        <v>39</v>
      </c>
      <c r="U3771" s="2" t="s">
        <v>38</v>
      </c>
      <c r="V3771" s="2" t="s">
        <v>38</v>
      </c>
      <c r="W3771" s="2" t="s">
        <v>39</v>
      </c>
      <c r="X3771" s="2" t="s">
        <v>39</v>
      </c>
      <c r="Y3771" s="2" t="s">
        <v>39</v>
      </c>
      <c r="Z3771" s="2" t="s">
        <v>39</v>
      </c>
      <c r="AA3771" s="2" t="s">
        <v>39</v>
      </c>
      <c r="AB3771" s="2" t="s">
        <v>39</v>
      </c>
      <c r="AC3771" s="2" t="s">
        <v>39</v>
      </c>
      <c r="AD3771" s="2" t="s">
        <v>39</v>
      </c>
      <c r="AE3771" s="2" t="s">
        <v>40</v>
      </c>
    </row>
    <row r="3772" spans="1:31" ht="409.5">
      <c r="A3772" s="2">
        <v>2689706</v>
      </c>
      <c r="B3772" s="2">
        <f>HYPERLINK("https://platform.v2.vetology.net/cases/2689706/screening-report/1?type=pdf&amp;v=v6&amp;scorecard=1&amp;secret_key=BX%25IJ%24%2F65ieZ%29f6", 2689706)</f>
        <v>2689706</v>
      </c>
      <c r="C3772" s="2">
        <f>HYPERLINK("https://platform.v2.vetology.net/report/v/final/"&amp;2689706, 2689706)</f>
        <v>2689706</v>
      </c>
      <c r="D3772" s="2" t="s">
        <v>11877</v>
      </c>
      <c r="E3772" s="2" t="s">
        <v>11878</v>
      </c>
      <c r="F3772" s="2" t="s">
        <v>11879</v>
      </c>
      <c r="G3772" s="2" t="s">
        <v>251</v>
      </c>
      <c r="H3772" s="2" t="s">
        <v>265</v>
      </c>
      <c r="I3772" s="2" t="s">
        <v>36</v>
      </c>
      <c r="J3772" s="2" t="s">
        <v>37</v>
      </c>
      <c r="K3772" s="2" t="s">
        <v>39</v>
      </c>
      <c r="L3772" s="2" t="s">
        <v>39</v>
      </c>
      <c r="M3772" s="2" t="s">
        <v>38</v>
      </c>
      <c r="N3772" s="2" t="s">
        <v>39</v>
      </c>
      <c r="O3772" s="2" t="s">
        <v>39</v>
      </c>
      <c r="P3772" s="2" t="s">
        <v>39</v>
      </c>
      <c r="Q3772" s="2" t="s">
        <v>39</v>
      </c>
      <c r="R3772" s="2" t="s">
        <v>39</v>
      </c>
      <c r="S3772" s="2" t="s">
        <v>39</v>
      </c>
      <c r="T3772" s="2" t="s">
        <v>38</v>
      </c>
      <c r="U3772" s="2" t="s">
        <v>39</v>
      </c>
      <c r="V3772" s="2" t="s">
        <v>39</v>
      </c>
      <c r="W3772" s="2" t="s">
        <v>39</v>
      </c>
      <c r="X3772" s="2" t="s">
        <v>39</v>
      </c>
      <c r="Y3772" s="2" t="s">
        <v>39</v>
      </c>
      <c r="Z3772" s="2" t="s">
        <v>39</v>
      </c>
      <c r="AA3772" s="2" t="s">
        <v>39</v>
      </c>
      <c r="AB3772" s="2" t="s">
        <v>39</v>
      </c>
      <c r="AC3772" s="2" t="s">
        <v>39</v>
      </c>
      <c r="AD3772" s="2" t="s">
        <v>39</v>
      </c>
      <c r="AE3772" s="2" t="s">
        <v>40</v>
      </c>
    </row>
    <row r="3773" spans="1:31" ht="409.5">
      <c r="A3773" s="2">
        <v>2689690</v>
      </c>
      <c r="B3773" s="2">
        <f>HYPERLINK("https://platform.v2.vetology.net/cases/2689690/screening-report/1?type=pdf&amp;v=v6&amp;scorecard=1&amp;secret_key=BX%25IJ%24%2F65ieZ%29f6", 2689690)</f>
        <v>2689690</v>
      </c>
      <c r="C3773" s="2">
        <f>HYPERLINK("https://platform.v2.vetology.net/report/v/final/"&amp;2689690, 2689690)</f>
        <v>2689690</v>
      </c>
      <c r="D3773" s="2" t="s">
        <v>11880</v>
      </c>
      <c r="E3773" s="2" t="s">
        <v>11881</v>
      </c>
      <c r="F3773" s="2" t="s">
        <v>43</v>
      </c>
      <c r="G3773" s="2" t="s">
        <v>100</v>
      </c>
      <c r="H3773" s="2" t="s">
        <v>11882</v>
      </c>
      <c r="I3773" s="2" t="s">
        <v>36</v>
      </c>
      <c r="J3773" s="2" t="s">
        <v>37</v>
      </c>
      <c r="K3773" s="2" t="s">
        <v>38</v>
      </c>
      <c r="L3773" s="2" t="s">
        <v>38</v>
      </c>
      <c r="M3773" s="2" t="s">
        <v>38</v>
      </c>
      <c r="N3773" s="2" t="s">
        <v>38</v>
      </c>
      <c r="O3773" s="2" t="s">
        <v>38</v>
      </c>
      <c r="P3773" s="2" t="s">
        <v>38</v>
      </c>
      <c r="Q3773" s="2" t="s">
        <v>38</v>
      </c>
      <c r="R3773" s="2" t="s">
        <v>38</v>
      </c>
      <c r="S3773" s="2" t="s">
        <v>38</v>
      </c>
      <c r="T3773" s="2" t="s">
        <v>38</v>
      </c>
      <c r="U3773" s="2" t="s">
        <v>38</v>
      </c>
      <c r="V3773" s="2" t="s">
        <v>38</v>
      </c>
      <c r="W3773" s="2" t="s">
        <v>38</v>
      </c>
      <c r="X3773" s="2" t="s">
        <v>39</v>
      </c>
      <c r="Y3773" s="2" t="s">
        <v>38</v>
      </c>
      <c r="Z3773" s="2" t="s">
        <v>38</v>
      </c>
      <c r="AA3773" s="2" t="s">
        <v>38</v>
      </c>
      <c r="AB3773" s="2" t="s">
        <v>39</v>
      </c>
      <c r="AC3773" s="2" t="s">
        <v>38</v>
      </c>
      <c r="AD3773" s="2" t="s">
        <v>38</v>
      </c>
      <c r="AE3773" s="2" t="s">
        <v>39</v>
      </c>
    </row>
    <row r="3774" spans="1:31" ht="409.5">
      <c r="A3774" s="2">
        <v>2689687</v>
      </c>
      <c r="B3774" s="2">
        <f>HYPERLINK("https://platform.v2.vetology.net/cases/2689687/screening-report/1?type=pdf&amp;v=v6&amp;scorecard=1&amp;secret_key=BX%25IJ%24%2F65ieZ%29f6", 2689687)</f>
        <v>2689687</v>
      </c>
      <c r="C3774" s="2">
        <f>HYPERLINK("https://platform.v2.vetology.net/report/v/final/"&amp;2689687, 2689687)</f>
        <v>2689687</v>
      </c>
      <c r="D3774" s="2" t="s">
        <v>11883</v>
      </c>
      <c r="E3774" s="2" t="s">
        <v>11884</v>
      </c>
      <c r="F3774" s="2" t="s">
        <v>11885</v>
      </c>
      <c r="G3774" s="2" t="s">
        <v>111</v>
      </c>
      <c r="H3774" s="2" t="s">
        <v>11886</v>
      </c>
      <c r="I3774" s="2" t="s">
        <v>257</v>
      </c>
      <c r="J3774" s="2" t="s">
        <v>74</v>
      </c>
      <c r="K3774" s="2" t="s">
        <v>38</v>
      </c>
      <c r="L3774" s="2" t="s">
        <v>38</v>
      </c>
      <c r="M3774" s="2" t="s">
        <v>38</v>
      </c>
      <c r="N3774" s="2" t="s">
        <v>38</v>
      </c>
      <c r="O3774" s="2" t="s">
        <v>38</v>
      </c>
      <c r="P3774" s="2" t="s">
        <v>38</v>
      </c>
      <c r="Q3774" s="2" t="s">
        <v>38</v>
      </c>
      <c r="R3774" s="2" t="s">
        <v>38</v>
      </c>
      <c r="S3774" s="2" t="s">
        <v>38</v>
      </c>
      <c r="T3774" s="2" t="s">
        <v>38</v>
      </c>
      <c r="U3774" s="2" t="s">
        <v>38</v>
      </c>
      <c r="V3774" s="2" t="s">
        <v>38</v>
      </c>
      <c r="W3774" s="2" t="s">
        <v>38</v>
      </c>
      <c r="X3774" s="2" t="s">
        <v>38</v>
      </c>
      <c r="Y3774" s="2" t="s">
        <v>38</v>
      </c>
      <c r="Z3774" s="2" t="s">
        <v>38</v>
      </c>
      <c r="AA3774" s="2" t="s">
        <v>38</v>
      </c>
      <c r="AB3774" s="2" t="s">
        <v>38</v>
      </c>
      <c r="AC3774" s="2" t="s">
        <v>38</v>
      </c>
      <c r="AD3774" s="2" t="s">
        <v>38</v>
      </c>
      <c r="AE3774" s="2" t="s">
        <v>39</v>
      </c>
    </row>
    <row r="3775" spans="1:31" ht="409.5">
      <c r="A3775" s="2">
        <v>2689685</v>
      </c>
      <c r="B3775" s="2">
        <f>HYPERLINK("https://platform.v2.vetology.net/cases/2689685/screening-report/1?type=pdf&amp;v=v6&amp;scorecard=1&amp;secret_key=BX%25IJ%24%2F65ieZ%29f6", 2689685)</f>
        <v>2689685</v>
      </c>
      <c r="C3775" s="2">
        <f>HYPERLINK("https://platform.v2.vetology.net/report/v/final/"&amp;2689685, 2689685)</f>
        <v>2689685</v>
      </c>
      <c r="D3775" s="2" t="s">
        <v>11887</v>
      </c>
      <c r="E3775" s="2" t="s">
        <v>4802</v>
      </c>
      <c r="F3775" s="2" t="s">
        <v>11888</v>
      </c>
      <c r="G3775" s="2" t="s">
        <v>111</v>
      </c>
      <c r="H3775" s="2" t="s">
        <v>11889</v>
      </c>
      <c r="I3775" s="2" t="s">
        <v>129</v>
      </c>
      <c r="J3775" s="2" t="s">
        <v>74</v>
      </c>
      <c r="K3775" s="2" t="s">
        <v>38</v>
      </c>
      <c r="L3775" s="2" t="s">
        <v>38</v>
      </c>
      <c r="M3775" s="2" t="s">
        <v>38</v>
      </c>
      <c r="N3775" s="2" t="s">
        <v>38</v>
      </c>
      <c r="O3775" s="2" t="s">
        <v>38</v>
      </c>
      <c r="P3775" s="2" t="s">
        <v>38</v>
      </c>
      <c r="Q3775" s="2" t="s">
        <v>38</v>
      </c>
      <c r="R3775" s="2" t="s">
        <v>38</v>
      </c>
      <c r="S3775" s="2" t="s">
        <v>38</v>
      </c>
      <c r="T3775" s="2" t="s">
        <v>38</v>
      </c>
      <c r="U3775" s="2" t="s">
        <v>39</v>
      </c>
      <c r="V3775" s="2" t="s">
        <v>38</v>
      </c>
      <c r="W3775" s="2" t="s">
        <v>38</v>
      </c>
      <c r="X3775" s="2" t="s">
        <v>38</v>
      </c>
      <c r="Y3775" s="2" t="s">
        <v>38</v>
      </c>
      <c r="Z3775" s="2" t="s">
        <v>38</v>
      </c>
      <c r="AA3775" s="2" t="s">
        <v>38</v>
      </c>
      <c r="AB3775" s="2" t="s">
        <v>38</v>
      </c>
      <c r="AC3775" s="2" t="s">
        <v>38</v>
      </c>
      <c r="AD3775" s="2" t="s">
        <v>38</v>
      </c>
      <c r="AE3775" s="2" t="s">
        <v>39</v>
      </c>
    </row>
    <row r="3776" spans="1:31" ht="409.5">
      <c r="A3776" s="2">
        <v>2689676</v>
      </c>
      <c r="B3776" s="2">
        <f>HYPERLINK("https://platform.v2.vetology.net/cases/2689676/screening-report/1?type=pdf&amp;v=v6&amp;scorecard=1&amp;secret_key=BX%25IJ%24%2F65ieZ%29f6", 2689676)</f>
        <v>2689676</v>
      </c>
      <c r="C3776" s="2">
        <f>HYPERLINK("https://platform.v2.vetology.net/report/v/final/"&amp;2689676, 2689676)</f>
        <v>2689676</v>
      </c>
      <c r="D3776" s="2" t="s">
        <v>11890</v>
      </c>
      <c r="E3776" s="2" t="s">
        <v>11891</v>
      </c>
      <c r="F3776" s="2" t="s">
        <v>43</v>
      </c>
      <c r="G3776" s="2" t="s">
        <v>100</v>
      </c>
      <c r="H3776" s="2" t="s">
        <v>11892</v>
      </c>
      <c r="I3776" s="2" t="s">
        <v>36</v>
      </c>
      <c r="J3776" s="2" t="s">
        <v>37</v>
      </c>
      <c r="K3776" s="2" t="s">
        <v>38</v>
      </c>
      <c r="L3776" s="2" t="s">
        <v>39</v>
      </c>
      <c r="M3776" s="2" t="s">
        <v>39</v>
      </c>
      <c r="N3776" s="2" t="s">
        <v>38</v>
      </c>
      <c r="O3776" s="2" t="s">
        <v>38</v>
      </c>
      <c r="P3776" s="2" t="s">
        <v>38</v>
      </c>
      <c r="Q3776" s="2" t="s">
        <v>39</v>
      </c>
      <c r="R3776" s="2" t="s">
        <v>39</v>
      </c>
      <c r="S3776" s="2" t="s">
        <v>39</v>
      </c>
      <c r="T3776" s="2" t="s">
        <v>39</v>
      </c>
      <c r="U3776" s="2" t="s">
        <v>39</v>
      </c>
      <c r="V3776" s="2" t="s">
        <v>39</v>
      </c>
      <c r="W3776" s="2" t="s">
        <v>39</v>
      </c>
      <c r="X3776" s="2" t="s">
        <v>38</v>
      </c>
      <c r="Y3776" s="2" t="s">
        <v>39</v>
      </c>
      <c r="Z3776" s="2" t="s">
        <v>39</v>
      </c>
      <c r="AA3776" s="2" t="s">
        <v>38</v>
      </c>
      <c r="AB3776" s="2" t="s">
        <v>38</v>
      </c>
      <c r="AC3776" s="2" t="s">
        <v>38</v>
      </c>
      <c r="AD3776" s="2" t="s">
        <v>39</v>
      </c>
      <c r="AE3776" s="2"/>
    </row>
    <row r="3777" spans="1:31" ht="409.5">
      <c r="A3777" s="2">
        <v>2689673</v>
      </c>
      <c r="B3777" s="2">
        <f>HYPERLINK("https://platform.v2.vetology.net/cases/2689673/screening-report/1?type=pdf&amp;v=v6&amp;scorecard=1&amp;secret_key=BX%25IJ%24%2F65ieZ%29f6", 2689673)</f>
        <v>2689673</v>
      </c>
      <c r="C3777" s="2">
        <f>HYPERLINK("https://platform.v2.vetology.net/report/v/final/"&amp;2689673, 2689673)</f>
        <v>2689673</v>
      </c>
      <c r="D3777" s="2" t="s">
        <v>11893</v>
      </c>
      <c r="E3777" s="2" t="s">
        <v>11894</v>
      </c>
      <c r="F3777" s="2" t="s">
        <v>11895</v>
      </c>
      <c r="G3777" s="2" t="s">
        <v>100</v>
      </c>
      <c r="H3777" s="2" t="s">
        <v>6999</v>
      </c>
      <c r="I3777" s="2" t="s">
        <v>36</v>
      </c>
      <c r="J3777" s="2" t="s">
        <v>37</v>
      </c>
      <c r="K3777" s="2" t="s">
        <v>38</v>
      </c>
      <c r="L3777" s="2" t="s">
        <v>38</v>
      </c>
      <c r="M3777" s="2" t="s">
        <v>39</v>
      </c>
      <c r="N3777" s="2" t="s">
        <v>39</v>
      </c>
      <c r="O3777" s="2" t="s">
        <v>38</v>
      </c>
      <c r="P3777" s="2" t="s">
        <v>39</v>
      </c>
      <c r="Q3777" s="2" t="s">
        <v>39</v>
      </c>
      <c r="R3777" s="2" t="s">
        <v>38</v>
      </c>
      <c r="S3777" s="2" t="s">
        <v>38</v>
      </c>
      <c r="T3777" s="2" t="s">
        <v>39</v>
      </c>
      <c r="U3777" s="2" t="s">
        <v>38</v>
      </c>
      <c r="V3777" s="2" t="s">
        <v>38</v>
      </c>
      <c r="W3777" s="2" t="s">
        <v>39</v>
      </c>
      <c r="X3777" s="2" t="s">
        <v>39</v>
      </c>
      <c r="Y3777" s="2" t="s">
        <v>39</v>
      </c>
      <c r="Z3777" s="2" t="s">
        <v>39</v>
      </c>
      <c r="AA3777" s="2" t="s">
        <v>39</v>
      </c>
      <c r="AB3777" s="2" t="s">
        <v>39</v>
      </c>
      <c r="AC3777" s="2" t="s">
        <v>38</v>
      </c>
      <c r="AD3777" s="2" t="s">
        <v>39</v>
      </c>
      <c r="AE3777" s="2" t="s">
        <v>39</v>
      </c>
    </row>
    <row r="3778" spans="1:31" ht="409.5">
      <c r="A3778" s="2">
        <v>2689598</v>
      </c>
      <c r="B3778" s="2">
        <f>HYPERLINK("https://platform.v2.vetology.net/cases/2689598/screening-report/1?type=pdf&amp;v=v6&amp;scorecard=1&amp;secret_key=BX%25IJ%24%2F65ieZ%29f6", 2689598)</f>
        <v>2689598</v>
      </c>
      <c r="C3778" s="2">
        <f>HYPERLINK("https://platform.v2.vetology.net/report/v/final/"&amp;2689598, 2689598)</f>
        <v>2689598</v>
      </c>
      <c r="D3778" s="2" t="s">
        <v>11896</v>
      </c>
      <c r="E3778" s="2" t="s">
        <v>11897</v>
      </c>
      <c r="F3778" s="2" t="s">
        <v>11898</v>
      </c>
      <c r="G3778" s="2" t="s">
        <v>111</v>
      </c>
      <c r="H3778" s="2" t="s">
        <v>3996</v>
      </c>
      <c r="I3778" s="2" t="s">
        <v>36</v>
      </c>
      <c r="J3778" s="2" t="s">
        <v>37</v>
      </c>
      <c r="K3778" s="2" t="s">
        <v>39</v>
      </c>
      <c r="L3778" s="2" t="s">
        <v>38</v>
      </c>
      <c r="M3778" s="2" t="s">
        <v>38</v>
      </c>
      <c r="N3778" s="2" t="s">
        <v>38</v>
      </c>
      <c r="O3778" s="2" t="s">
        <v>38</v>
      </c>
      <c r="P3778" s="2" t="s">
        <v>39</v>
      </c>
      <c r="Q3778" s="2" t="s">
        <v>39</v>
      </c>
      <c r="R3778" s="2" t="s">
        <v>38</v>
      </c>
      <c r="S3778" s="2" t="s">
        <v>38</v>
      </c>
      <c r="T3778" s="2" t="s">
        <v>38</v>
      </c>
      <c r="U3778" s="2" t="s">
        <v>39</v>
      </c>
      <c r="V3778" s="2" t="s">
        <v>38</v>
      </c>
      <c r="W3778" s="2" t="s">
        <v>38</v>
      </c>
      <c r="X3778" s="2" t="s">
        <v>38</v>
      </c>
      <c r="Y3778" s="2" t="s">
        <v>38</v>
      </c>
      <c r="Z3778" s="2" t="s">
        <v>38</v>
      </c>
      <c r="AA3778" s="2" t="s">
        <v>38</v>
      </c>
      <c r="AB3778" s="2" t="s">
        <v>38</v>
      </c>
      <c r="AC3778" s="2" t="s">
        <v>38</v>
      </c>
      <c r="AD3778" s="2" t="s">
        <v>38</v>
      </c>
      <c r="AE3778" s="2" t="s">
        <v>40</v>
      </c>
    </row>
    <row r="3779" spans="1:31" ht="409.5">
      <c r="A3779" s="2">
        <v>2689479</v>
      </c>
      <c r="B3779" s="2">
        <f>HYPERLINK("https://platform.v2.vetology.net/cases/2689479/screening-report/1?type=pdf&amp;v=v6&amp;scorecard=1&amp;secret_key=BX%25IJ%24%2F65ieZ%29f6", 2689479)</f>
        <v>2689479</v>
      </c>
      <c r="C3779" s="2">
        <f>HYPERLINK("https://platform.v2.vetology.net/report/v/final/"&amp;2689479, 2689479)</f>
        <v>2689479</v>
      </c>
      <c r="D3779" s="2" t="s">
        <v>11899</v>
      </c>
      <c r="E3779" s="2" t="s">
        <v>11900</v>
      </c>
      <c r="F3779" s="2" t="s">
        <v>11901</v>
      </c>
      <c r="G3779" s="2" t="s">
        <v>53</v>
      </c>
      <c r="H3779" s="2" t="s">
        <v>11902</v>
      </c>
      <c r="I3779" s="2" t="s">
        <v>73</v>
      </c>
      <c r="J3779" s="2" t="s">
        <v>74</v>
      </c>
      <c r="K3779" s="2" t="s">
        <v>38</v>
      </c>
      <c r="L3779" s="2" t="s">
        <v>38</v>
      </c>
      <c r="M3779" s="2" t="s">
        <v>38</v>
      </c>
      <c r="N3779" s="2" t="s">
        <v>38</v>
      </c>
      <c r="O3779" s="2" t="s">
        <v>38</v>
      </c>
      <c r="P3779" s="2" t="s">
        <v>39</v>
      </c>
      <c r="Q3779" s="2" t="s">
        <v>38</v>
      </c>
      <c r="R3779" s="2" t="s">
        <v>38</v>
      </c>
      <c r="S3779" s="2" t="s">
        <v>38</v>
      </c>
      <c r="T3779" s="2" t="s">
        <v>38</v>
      </c>
      <c r="U3779" s="2" t="s">
        <v>38</v>
      </c>
      <c r="V3779" s="2" t="s">
        <v>38</v>
      </c>
      <c r="W3779" s="2" t="s">
        <v>39</v>
      </c>
      <c r="X3779" s="2" t="s">
        <v>38</v>
      </c>
      <c r="Y3779" s="2" t="s">
        <v>39</v>
      </c>
      <c r="Z3779" s="2" t="s">
        <v>38</v>
      </c>
      <c r="AA3779" s="2" t="s">
        <v>38</v>
      </c>
      <c r="AB3779" s="2" t="s">
        <v>39</v>
      </c>
      <c r="AC3779" s="2" t="s">
        <v>38</v>
      </c>
      <c r="AD3779" s="2" t="s">
        <v>38</v>
      </c>
      <c r="AE3779" s="2" t="s">
        <v>40</v>
      </c>
    </row>
    <row r="3780" spans="1:31" ht="409.5">
      <c r="A3780" s="2">
        <v>2689467</v>
      </c>
      <c r="B3780" s="2">
        <f>HYPERLINK("https://platform.v2.vetology.net/cases/2689467/screening-report/1?type=pdf&amp;v=v6&amp;scorecard=1&amp;secret_key=BX%25IJ%24%2F65ieZ%29f6", 2689467)</f>
        <v>2689467</v>
      </c>
      <c r="C3780" s="2">
        <f>HYPERLINK("https://platform.v2.vetology.net/report/v/final/"&amp;2689467, 2689467)</f>
        <v>2689467</v>
      </c>
      <c r="D3780" s="2" t="s">
        <v>11903</v>
      </c>
      <c r="E3780" s="2" t="s">
        <v>11904</v>
      </c>
      <c r="F3780" s="2" t="s">
        <v>11905</v>
      </c>
      <c r="G3780" s="2" t="s">
        <v>127</v>
      </c>
      <c r="H3780" s="2" t="s">
        <v>62</v>
      </c>
      <c r="I3780" s="2" t="s">
        <v>46</v>
      </c>
      <c r="J3780" s="2"/>
      <c r="K3780" s="2" t="s">
        <v>39</v>
      </c>
      <c r="L3780" s="2" t="s">
        <v>39</v>
      </c>
      <c r="M3780" s="2" t="s">
        <v>39</v>
      </c>
      <c r="N3780" s="2" t="s">
        <v>39</v>
      </c>
      <c r="O3780" s="2" t="s">
        <v>39</v>
      </c>
      <c r="P3780" s="2" t="s">
        <v>39</v>
      </c>
      <c r="Q3780" s="2" t="s">
        <v>39</v>
      </c>
      <c r="R3780" s="2" t="s">
        <v>38</v>
      </c>
      <c r="S3780" s="2" t="s">
        <v>38</v>
      </c>
      <c r="T3780" s="2" t="s">
        <v>39</v>
      </c>
      <c r="U3780" s="2" t="s">
        <v>39</v>
      </c>
      <c r="V3780" s="2" t="s">
        <v>39</v>
      </c>
      <c r="W3780" s="2" t="s">
        <v>39</v>
      </c>
      <c r="X3780" s="2" t="s">
        <v>39</v>
      </c>
      <c r="Y3780" s="2" t="s">
        <v>39</v>
      </c>
      <c r="Z3780" s="2" t="s">
        <v>39</v>
      </c>
      <c r="AA3780" s="2" t="s">
        <v>39</v>
      </c>
      <c r="AB3780" s="2" t="s">
        <v>39</v>
      </c>
      <c r="AC3780" s="2" t="s">
        <v>39</v>
      </c>
      <c r="AD3780" s="2" t="s">
        <v>38</v>
      </c>
      <c r="AE3780" s="2" t="s">
        <v>39</v>
      </c>
    </row>
    <row r="3781" spans="1:31" ht="409.5">
      <c r="A3781" s="2">
        <v>2689466</v>
      </c>
      <c r="B3781" s="2">
        <f>HYPERLINK("https://platform.v2.vetology.net/cases/2689466/screening-report/1?type=pdf&amp;v=v6&amp;scorecard=1&amp;secret_key=BX%25IJ%24%2F65ieZ%29f6", 2689466)</f>
        <v>2689466</v>
      </c>
      <c r="C3781" s="2">
        <f>HYPERLINK("https://platform.v2.vetology.net/report/v/final/"&amp;2689466, 2689466)</f>
        <v>2689466</v>
      </c>
      <c r="D3781" s="2" t="s">
        <v>11906</v>
      </c>
      <c r="E3781" s="2" t="s">
        <v>11907</v>
      </c>
      <c r="F3781" s="2" t="s">
        <v>43</v>
      </c>
      <c r="G3781" s="2" t="s">
        <v>44</v>
      </c>
      <c r="H3781" s="2" t="s">
        <v>398</v>
      </c>
      <c r="I3781" s="2" t="s">
        <v>46</v>
      </c>
      <c r="J3781" s="2"/>
      <c r="K3781" s="2" t="s">
        <v>38</v>
      </c>
      <c r="L3781" s="2" t="s">
        <v>39</v>
      </c>
      <c r="M3781" s="2" t="s">
        <v>39</v>
      </c>
      <c r="N3781" s="2" t="s">
        <v>39</v>
      </c>
      <c r="O3781" s="2" t="s">
        <v>38</v>
      </c>
      <c r="P3781" s="2" t="s">
        <v>39</v>
      </c>
      <c r="Q3781" s="2" t="s">
        <v>39</v>
      </c>
      <c r="R3781" s="2" t="s">
        <v>39</v>
      </c>
      <c r="S3781" s="2" t="s">
        <v>39</v>
      </c>
      <c r="T3781" s="2" t="s">
        <v>39</v>
      </c>
      <c r="U3781" s="2" t="s">
        <v>39</v>
      </c>
      <c r="V3781" s="2" t="s">
        <v>38</v>
      </c>
      <c r="W3781" s="2" t="s">
        <v>38</v>
      </c>
      <c r="X3781" s="2" t="s">
        <v>39</v>
      </c>
      <c r="Y3781" s="2" t="s">
        <v>39</v>
      </c>
      <c r="Z3781" s="2" t="s">
        <v>38</v>
      </c>
      <c r="AA3781" s="2" t="s">
        <v>38</v>
      </c>
      <c r="AB3781" s="2" t="s">
        <v>39</v>
      </c>
      <c r="AC3781" s="2" t="s">
        <v>38</v>
      </c>
      <c r="AD3781" s="2" t="s">
        <v>38</v>
      </c>
      <c r="AE3781" s="2" t="s">
        <v>39</v>
      </c>
    </row>
    <row r="3782" spans="1:31" ht="409.5">
      <c r="A3782" s="2">
        <v>2689456</v>
      </c>
      <c r="B3782" s="2">
        <f>HYPERLINK("https://platform.v2.vetology.net/cases/2689456/screening-report/1?type=pdf&amp;v=v6&amp;scorecard=1&amp;secret_key=BX%25IJ%24%2F65ieZ%29f6", 2689456)</f>
        <v>2689456</v>
      </c>
      <c r="C3782" s="2">
        <f>HYPERLINK("https://platform.v2.vetology.net/report/v/final/"&amp;2689456, 2689456)</f>
        <v>2689456</v>
      </c>
      <c r="D3782" s="2" t="s">
        <v>11908</v>
      </c>
      <c r="E3782" s="2" t="s">
        <v>11909</v>
      </c>
      <c r="F3782" s="2"/>
      <c r="G3782" s="2" t="s">
        <v>81</v>
      </c>
      <c r="H3782" s="2" t="s">
        <v>11910</v>
      </c>
      <c r="I3782" s="2" t="s">
        <v>36</v>
      </c>
      <c r="J3782" s="2" t="s">
        <v>37</v>
      </c>
      <c r="K3782" s="2" t="s">
        <v>38</v>
      </c>
      <c r="L3782" s="2" t="s">
        <v>38</v>
      </c>
      <c r="M3782" s="2" t="s">
        <v>39</v>
      </c>
      <c r="N3782" s="2" t="s">
        <v>38</v>
      </c>
      <c r="O3782" s="2" t="s">
        <v>39</v>
      </c>
      <c r="P3782" s="2" t="s">
        <v>39</v>
      </c>
      <c r="Q3782" s="2" t="s">
        <v>39</v>
      </c>
      <c r="R3782" s="2" t="s">
        <v>38</v>
      </c>
      <c r="S3782" s="2" t="s">
        <v>38</v>
      </c>
      <c r="T3782" s="2" t="s">
        <v>39</v>
      </c>
      <c r="U3782" s="2" t="s">
        <v>38</v>
      </c>
      <c r="V3782" s="2" t="s">
        <v>38</v>
      </c>
      <c r="W3782" s="2" t="s">
        <v>38</v>
      </c>
      <c r="X3782" s="2" t="s">
        <v>39</v>
      </c>
      <c r="Y3782" s="2" t="s">
        <v>39</v>
      </c>
      <c r="Z3782" s="2" t="s">
        <v>38</v>
      </c>
      <c r="AA3782" s="2" t="s">
        <v>38</v>
      </c>
      <c r="AB3782" s="2" t="s">
        <v>39</v>
      </c>
      <c r="AC3782" s="2" t="s">
        <v>38</v>
      </c>
      <c r="AD3782" s="2" t="s">
        <v>39</v>
      </c>
      <c r="AE3782" s="2" t="s">
        <v>39</v>
      </c>
    </row>
    <row r="3783" spans="1:31" ht="409.5">
      <c r="A3783" s="2">
        <v>2689447</v>
      </c>
      <c r="B3783" s="2">
        <f>HYPERLINK("https://platform.v2.vetology.net/cases/2689447/screening-report/1?type=pdf&amp;v=v6&amp;scorecard=1&amp;secret_key=BX%25IJ%24%2F65ieZ%29f6", 2689447)</f>
        <v>2689447</v>
      </c>
      <c r="C3783" s="2">
        <f>HYPERLINK("https://platform.v2.vetology.net/report/v/final/"&amp;2689447, 2689447)</f>
        <v>2689447</v>
      </c>
      <c r="D3783" s="2" t="s">
        <v>11911</v>
      </c>
      <c r="E3783" s="2" t="s">
        <v>11912</v>
      </c>
      <c r="F3783" s="2" t="s">
        <v>43</v>
      </c>
      <c r="G3783" s="2" t="s">
        <v>44</v>
      </c>
      <c r="H3783" s="2" t="s">
        <v>11913</v>
      </c>
      <c r="I3783" s="2" t="s">
        <v>36</v>
      </c>
      <c r="J3783" s="2" t="s">
        <v>37</v>
      </c>
      <c r="K3783" s="2" t="s">
        <v>38</v>
      </c>
      <c r="L3783" s="2" t="s">
        <v>38</v>
      </c>
      <c r="M3783" s="2" t="s">
        <v>39</v>
      </c>
      <c r="N3783" s="2" t="s">
        <v>38</v>
      </c>
      <c r="O3783" s="2" t="s">
        <v>39</v>
      </c>
      <c r="P3783" s="2" t="s">
        <v>39</v>
      </c>
      <c r="Q3783" s="2" t="s">
        <v>39</v>
      </c>
      <c r="R3783" s="2" t="s">
        <v>38</v>
      </c>
      <c r="S3783" s="2" t="s">
        <v>38</v>
      </c>
      <c r="T3783" s="2" t="s">
        <v>39</v>
      </c>
      <c r="U3783" s="2" t="s">
        <v>38</v>
      </c>
      <c r="V3783" s="2" t="s">
        <v>38</v>
      </c>
      <c r="W3783" s="2" t="s">
        <v>39</v>
      </c>
      <c r="X3783" s="2" t="s">
        <v>39</v>
      </c>
      <c r="Y3783" s="2" t="s">
        <v>39</v>
      </c>
      <c r="Z3783" s="2" t="s">
        <v>38</v>
      </c>
      <c r="AA3783" s="2" t="s">
        <v>39</v>
      </c>
      <c r="AB3783" s="2" t="s">
        <v>39</v>
      </c>
      <c r="AC3783" s="2" t="s">
        <v>39</v>
      </c>
      <c r="AD3783" s="2" t="s">
        <v>38</v>
      </c>
      <c r="AE3783" s="2" t="s">
        <v>39</v>
      </c>
    </row>
    <row r="3784" spans="1:31" ht="409.5">
      <c r="A3784" s="2">
        <v>2689445</v>
      </c>
      <c r="B3784" s="2">
        <f>HYPERLINK("https://platform.v2.vetology.net/cases/2689445/screening-report/1?type=pdf&amp;v=v6&amp;scorecard=1&amp;secret_key=BX%25IJ%24%2F65ieZ%29f6", 2689445)</f>
        <v>2689445</v>
      </c>
      <c r="C3784" s="2">
        <f>HYPERLINK("https://platform.v2.vetology.net/report/v/final/"&amp;2689445, 2689445)</f>
        <v>2689445</v>
      </c>
      <c r="D3784" s="2" t="s">
        <v>11914</v>
      </c>
      <c r="E3784" s="2" t="s">
        <v>11915</v>
      </c>
      <c r="F3784" s="2" t="s">
        <v>11916</v>
      </c>
      <c r="G3784" s="2" t="s">
        <v>53</v>
      </c>
      <c r="H3784" s="2" t="s">
        <v>10833</v>
      </c>
      <c r="I3784" s="2" t="s">
        <v>36</v>
      </c>
      <c r="J3784" s="2" t="s">
        <v>37</v>
      </c>
      <c r="K3784" s="2" t="s">
        <v>38</v>
      </c>
      <c r="L3784" s="2" t="s">
        <v>38</v>
      </c>
      <c r="M3784" s="2" t="s">
        <v>38</v>
      </c>
      <c r="N3784" s="2" t="s">
        <v>38</v>
      </c>
      <c r="O3784" s="2" t="s">
        <v>38</v>
      </c>
      <c r="P3784" s="2" t="s">
        <v>39</v>
      </c>
      <c r="Q3784" s="2" t="s">
        <v>39</v>
      </c>
      <c r="R3784" s="2" t="s">
        <v>39</v>
      </c>
      <c r="S3784" s="2" t="s">
        <v>38</v>
      </c>
      <c r="T3784" s="2" t="s">
        <v>39</v>
      </c>
      <c r="U3784" s="2" t="s">
        <v>38</v>
      </c>
      <c r="V3784" s="2" t="s">
        <v>38</v>
      </c>
      <c r="W3784" s="2" t="s">
        <v>38</v>
      </c>
      <c r="X3784" s="2" t="s">
        <v>39</v>
      </c>
      <c r="Y3784" s="2" t="s">
        <v>39</v>
      </c>
      <c r="Z3784" s="2" t="s">
        <v>38</v>
      </c>
      <c r="AA3784" s="2" t="s">
        <v>38</v>
      </c>
      <c r="AB3784" s="2" t="s">
        <v>39</v>
      </c>
      <c r="AC3784" s="2" t="s">
        <v>38</v>
      </c>
      <c r="AD3784" s="2" t="s">
        <v>39</v>
      </c>
      <c r="AE3784" s="2" t="s">
        <v>40</v>
      </c>
    </row>
    <row r="3785" spans="1:31" ht="409.5">
      <c r="A3785" s="2">
        <v>2689434</v>
      </c>
      <c r="B3785" s="2">
        <f>HYPERLINK("https://platform.v2.vetology.net/cases/2689434/screening-report/1?type=pdf&amp;v=v6&amp;scorecard=1&amp;secret_key=BX%25IJ%24%2F65ieZ%29f6", 2689434)</f>
        <v>2689434</v>
      </c>
      <c r="C3785" s="2">
        <f>HYPERLINK("https://platform.v2.vetology.net/report/v/final/"&amp;2689434, 2689434)</f>
        <v>2689434</v>
      </c>
      <c r="D3785" s="2" t="s">
        <v>11917</v>
      </c>
      <c r="E3785" s="2" t="s">
        <v>11918</v>
      </c>
      <c r="F3785" s="2" t="s">
        <v>43</v>
      </c>
      <c r="G3785" s="2" t="s">
        <v>44</v>
      </c>
      <c r="H3785" s="2" t="s">
        <v>1446</v>
      </c>
      <c r="I3785" s="2" t="s">
        <v>36</v>
      </c>
      <c r="J3785" s="2" t="s">
        <v>37</v>
      </c>
      <c r="K3785" s="2" t="s">
        <v>39</v>
      </c>
      <c r="L3785" s="2" t="s">
        <v>39</v>
      </c>
      <c r="M3785" s="2" t="s">
        <v>38</v>
      </c>
      <c r="N3785" s="2" t="s">
        <v>39</v>
      </c>
      <c r="O3785" s="2" t="s">
        <v>39</v>
      </c>
      <c r="P3785" s="2" t="s">
        <v>39</v>
      </c>
      <c r="Q3785" s="2" t="s">
        <v>39</v>
      </c>
      <c r="R3785" s="2" t="s">
        <v>38</v>
      </c>
      <c r="S3785" s="2" t="s">
        <v>39</v>
      </c>
      <c r="T3785" s="2" t="s">
        <v>39</v>
      </c>
      <c r="U3785" s="2" t="s">
        <v>39</v>
      </c>
      <c r="V3785" s="2" t="s">
        <v>39</v>
      </c>
      <c r="W3785" s="2" t="s">
        <v>39</v>
      </c>
      <c r="X3785" s="2" t="s">
        <v>39</v>
      </c>
      <c r="Y3785" s="2" t="s">
        <v>39</v>
      </c>
      <c r="Z3785" s="2" t="s">
        <v>38</v>
      </c>
      <c r="AA3785" s="2" t="s">
        <v>39</v>
      </c>
      <c r="AB3785" s="2" t="s">
        <v>39</v>
      </c>
      <c r="AC3785" s="2" t="s">
        <v>38</v>
      </c>
      <c r="AD3785" s="2" t="s">
        <v>38</v>
      </c>
      <c r="AE3785" s="2" t="s">
        <v>39</v>
      </c>
    </row>
    <row r="3786" spans="1:31" ht="409.5">
      <c r="A3786" s="2">
        <v>2689374</v>
      </c>
      <c r="B3786" s="2">
        <f>HYPERLINK("https://platform.v2.vetology.net/cases/2689374/screening-report/1?type=pdf&amp;v=v6&amp;scorecard=1&amp;secret_key=BX%25IJ%24%2F65ieZ%29f6", 2689374)</f>
        <v>2689374</v>
      </c>
      <c r="C3786" s="2">
        <f>HYPERLINK("https://platform.v2.vetology.net/report/v/final/"&amp;2689374, 2689374)</f>
        <v>2689374</v>
      </c>
      <c r="D3786" s="2" t="s">
        <v>11919</v>
      </c>
      <c r="E3786" s="2" t="s">
        <v>11920</v>
      </c>
      <c r="F3786" s="2"/>
      <c r="G3786" s="2" t="s">
        <v>100</v>
      </c>
      <c r="H3786" s="2" t="s">
        <v>11921</v>
      </c>
      <c r="I3786" s="2" t="s">
        <v>36</v>
      </c>
      <c r="J3786" s="2" t="s">
        <v>37</v>
      </c>
      <c r="K3786" s="2" t="s">
        <v>38</v>
      </c>
      <c r="L3786" s="2" t="s">
        <v>38</v>
      </c>
      <c r="M3786" s="2" t="s">
        <v>39</v>
      </c>
      <c r="N3786" s="2" t="s">
        <v>38</v>
      </c>
      <c r="O3786" s="2" t="s">
        <v>38</v>
      </c>
      <c r="P3786" s="2" t="s">
        <v>39</v>
      </c>
      <c r="Q3786" s="2" t="s">
        <v>39</v>
      </c>
      <c r="R3786" s="2" t="s">
        <v>38</v>
      </c>
      <c r="S3786" s="2" t="s">
        <v>39</v>
      </c>
      <c r="T3786" s="2" t="s">
        <v>39</v>
      </c>
      <c r="U3786" s="2" t="s">
        <v>38</v>
      </c>
      <c r="V3786" s="2" t="s">
        <v>38</v>
      </c>
      <c r="W3786" s="2" t="s">
        <v>38</v>
      </c>
      <c r="X3786" s="2" t="s">
        <v>39</v>
      </c>
      <c r="Y3786" s="2" t="s">
        <v>39</v>
      </c>
      <c r="Z3786" s="2" t="s">
        <v>38</v>
      </c>
      <c r="AA3786" s="2" t="s">
        <v>38</v>
      </c>
      <c r="AB3786" s="2" t="s">
        <v>39</v>
      </c>
      <c r="AC3786" s="2" t="s">
        <v>38</v>
      </c>
      <c r="AD3786" s="2" t="s">
        <v>39</v>
      </c>
      <c r="AE3786" s="2" t="s">
        <v>39</v>
      </c>
    </row>
    <row r="3787" spans="1:31" ht="409.5">
      <c r="A3787" s="2">
        <v>2689365</v>
      </c>
      <c r="B3787" s="2">
        <f>HYPERLINK("https://platform.v2.vetology.net/cases/2689365/screening-report/1?type=pdf&amp;v=v6&amp;scorecard=1&amp;secret_key=BX%25IJ%24%2F65ieZ%29f6", 2689365)</f>
        <v>2689365</v>
      </c>
      <c r="C3787" s="2">
        <f>HYPERLINK("https://platform.v2.vetology.net/report/v/final/"&amp;2689365, 2689365)</f>
        <v>2689365</v>
      </c>
      <c r="D3787" s="2" t="s">
        <v>11922</v>
      </c>
      <c r="E3787" s="2" t="s">
        <v>11923</v>
      </c>
      <c r="F3787" s="2" t="s">
        <v>11924</v>
      </c>
      <c r="G3787" s="2" t="s">
        <v>127</v>
      </c>
      <c r="H3787" s="2" t="s">
        <v>11925</v>
      </c>
      <c r="I3787" s="2" t="s">
        <v>36</v>
      </c>
      <c r="J3787" s="2" t="s">
        <v>37</v>
      </c>
      <c r="K3787" s="2" t="s">
        <v>38</v>
      </c>
      <c r="L3787" s="2" t="s">
        <v>38</v>
      </c>
      <c r="M3787" s="2" t="s">
        <v>38</v>
      </c>
      <c r="N3787" s="2" t="s">
        <v>38</v>
      </c>
      <c r="O3787" s="2" t="s">
        <v>38</v>
      </c>
      <c r="P3787" s="2" t="s">
        <v>39</v>
      </c>
      <c r="Q3787" s="2" t="s">
        <v>39</v>
      </c>
      <c r="R3787" s="2" t="s">
        <v>38</v>
      </c>
      <c r="S3787" s="2" t="s">
        <v>38</v>
      </c>
      <c r="T3787" s="2" t="s">
        <v>38</v>
      </c>
      <c r="U3787" s="2" t="s">
        <v>39</v>
      </c>
      <c r="V3787" s="2" t="s">
        <v>38</v>
      </c>
      <c r="W3787" s="2" t="s">
        <v>38</v>
      </c>
      <c r="X3787" s="2" t="s">
        <v>39</v>
      </c>
      <c r="Y3787" s="2" t="s">
        <v>39</v>
      </c>
      <c r="Z3787" s="2" t="s">
        <v>38</v>
      </c>
      <c r="AA3787" s="2" t="s">
        <v>38</v>
      </c>
      <c r="AB3787" s="2" t="s">
        <v>39</v>
      </c>
      <c r="AC3787" s="2" t="s">
        <v>38</v>
      </c>
      <c r="AD3787" s="2" t="s">
        <v>38</v>
      </c>
      <c r="AE3787" s="2" t="s">
        <v>39</v>
      </c>
    </row>
    <row r="3788" spans="1:31" ht="409.5">
      <c r="A3788" s="2">
        <v>2689357</v>
      </c>
      <c r="B3788" s="2">
        <f>HYPERLINK("https://platform.v2.vetology.net/cases/2689357/screening-report/1?type=pdf&amp;v=v6&amp;scorecard=1&amp;secret_key=BX%25IJ%24%2F65ieZ%29f6", 2689357)</f>
        <v>2689357</v>
      </c>
      <c r="C3788" s="2">
        <f>HYPERLINK("https://platform.v2.vetology.net/report/v/final/"&amp;2689357, 2689357)</f>
        <v>2689357</v>
      </c>
      <c r="D3788" s="2" t="s">
        <v>11926</v>
      </c>
      <c r="E3788" s="2" t="s">
        <v>11927</v>
      </c>
      <c r="F3788" s="2" t="s">
        <v>11928</v>
      </c>
      <c r="G3788" s="2" t="s">
        <v>53</v>
      </c>
      <c r="H3788" s="2" t="s">
        <v>2555</v>
      </c>
      <c r="I3788" s="2" t="s">
        <v>59</v>
      </c>
      <c r="J3788" s="2" t="s">
        <v>37</v>
      </c>
      <c r="K3788" s="2" t="s">
        <v>38</v>
      </c>
      <c r="L3788" s="2" t="s">
        <v>38</v>
      </c>
      <c r="M3788" s="2" t="s">
        <v>39</v>
      </c>
      <c r="N3788" s="2" t="s">
        <v>39</v>
      </c>
      <c r="O3788" s="2" t="s">
        <v>39</v>
      </c>
      <c r="P3788" s="2" t="s">
        <v>39</v>
      </c>
      <c r="Q3788" s="2" t="s">
        <v>39</v>
      </c>
      <c r="R3788" s="2" t="s">
        <v>39</v>
      </c>
      <c r="S3788" s="2" t="s">
        <v>39</v>
      </c>
      <c r="T3788" s="2" t="s">
        <v>39</v>
      </c>
      <c r="U3788" s="2" t="s">
        <v>38</v>
      </c>
      <c r="V3788" s="2" t="s">
        <v>38</v>
      </c>
      <c r="W3788" s="2" t="s">
        <v>39</v>
      </c>
      <c r="X3788" s="2" t="s">
        <v>39</v>
      </c>
      <c r="Y3788" s="2" t="s">
        <v>39</v>
      </c>
      <c r="Z3788" s="2" t="s">
        <v>39</v>
      </c>
      <c r="AA3788" s="2" t="s">
        <v>39</v>
      </c>
      <c r="AB3788" s="2" t="s">
        <v>39</v>
      </c>
      <c r="AC3788" s="2" t="s">
        <v>38</v>
      </c>
      <c r="AD3788" s="2" t="s">
        <v>39</v>
      </c>
      <c r="AE3788" s="2" t="s">
        <v>39</v>
      </c>
    </row>
    <row r="3789" spans="1:31" ht="409.5">
      <c r="A3789" s="2">
        <v>2689351</v>
      </c>
      <c r="B3789" s="2">
        <f>HYPERLINK("https://platform.v2.vetology.net/cases/2689351/screening-report/1?type=pdf&amp;v=v6&amp;scorecard=1&amp;secret_key=BX%25IJ%24%2F65ieZ%29f6", 2689351)</f>
        <v>2689351</v>
      </c>
      <c r="C3789" s="2">
        <f>HYPERLINK("https://platform.v2.vetology.net/report/v/final/"&amp;2689351, 2689351)</f>
        <v>2689351</v>
      </c>
      <c r="D3789" s="2" t="s">
        <v>11929</v>
      </c>
      <c r="E3789" s="2" t="s">
        <v>11930</v>
      </c>
      <c r="F3789" s="2" t="s">
        <v>11931</v>
      </c>
      <c r="G3789" s="2" t="s">
        <v>34</v>
      </c>
      <c r="H3789" s="2" t="s">
        <v>158</v>
      </c>
      <c r="I3789" s="2" t="s">
        <v>59</v>
      </c>
      <c r="J3789" s="2" t="s">
        <v>37</v>
      </c>
      <c r="K3789" s="2" t="s">
        <v>38</v>
      </c>
      <c r="L3789" s="2" t="s">
        <v>39</v>
      </c>
      <c r="M3789" s="2" t="s">
        <v>39</v>
      </c>
      <c r="N3789" s="2" t="s">
        <v>39</v>
      </c>
      <c r="O3789" s="2" t="s">
        <v>39</v>
      </c>
      <c r="P3789" s="2" t="s">
        <v>39</v>
      </c>
      <c r="Q3789" s="2" t="s">
        <v>39</v>
      </c>
      <c r="R3789" s="2" t="s">
        <v>39</v>
      </c>
      <c r="S3789" s="2" t="s">
        <v>39</v>
      </c>
      <c r="T3789" s="2" t="s">
        <v>39</v>
      </c>
      <c r="U3789" s="2" t="s">
        <v>38</v>
      </c>
      <c r="V3789" s="2" t="s">
        <v>38</v>
      </c>
      <c r="W3789" s="2" t="s">
        <v>39</v>
      </c>
      <c r="X3789" s="2" t="s">
        <v>39</v>
      </c>
      <c r="Y3789" s="2" t="s">
        <v>39</v>
      </c>
      <c r="Z3789" s="2" t="s">
        <v>39</v>
      </c>
      <c r="AA3789" s="2" t="s">
        <v>39</v>
      </c>
      <c r="AB3789" s="2" t="s">
        <v>39</v>
      </c>
      <c r="AC3789" s="2" t="s">
        <v>39</v>
      </c>
      <c r="AD3789" s="2" t="s">
        <v>39</v>
      </c>
      <c r="AE3789" s="2" t="s">
        <v>39</v>
      </c>
    </row>
    <row r="3790" spans="1:31" ht="409.5">
      <c r="A3790" s="2">
        <v>2689237</v>
      </c>
      <c r="B3790" s="2">
        <f>HYPERLINK("https://platform.v2.vetology.net/cases/2689237/screening-report/1?type=pdf&amp;v=v6&amp;scorecard=1&amp;secret_key=BX%25IJ%24%2F65ieZ%29f6", 2689237)</f>
        <v>2689237</v>
      </c>
      <c r="C3790" s="2">
        <f>HYPERLINK("https://platform.v2.vetology.net/report/v/final/"&amp;2689237, 2689237)</f>
        <v>2689237</v>
      </c>
      <c r="D3790" s="2" t="s">
        <v>11932</v>
      </c>
      <c r="E3790" s="2" t="s">
        <v>11933</v>
      </c>
      <c r="F3790" s="2" t="s">
        <v>11934</v>
      </c>
      <c r="G3790" s="2" t="s">
        <v>556</v>
      </c>
      <c r="H3790" s="2" t="s">
        <v>378</v>
      </c>
      <c r="I3790" s="2" t="s">
        <v>36</v>
      </c>
      <c r="J3790" s="2" t="s">
        <v>37</v>
      </c>
      <c r="K3790" s="2" t="s">
        <v>39</v>
      </c>
      <c r="L3790" s="2" t="s">
        <v>39</v>
      </c>
      <c r="M3790" s="2" t="s">
        <v>38</v>
      </c>
      <c r="N3790" s="2" t="s">
        <v>39</v>
      </c>
      <c r="O3790" s="2" t="s">
        <v>39</v>
      </c>
      <c r="P3790" s="2" t="s">
        <v>39</v>
      </c>
      <c r="Q3790" s="2" t="s">
        <v>38</v>
      </c>
      <c r="R3790" s="2" t="s">
        <v>39</v>
      </c>
      <c r="S3790" s="2" t="s">
        <v>38</v>
      </c>
      <c r="T3790" s="2" t="s">
        <v>38</v>
      </c>
      <c r="U3790" s="2" t="s">
        <v>39</v>
      </c>
      <c r="V3790" s="2" t="s">
        <v>39</v>
      </c>
      <c r="W3790" s="2" t="s">
        <v>38</v>
      </c>
      <c r="X3790" s="2" t="s">
        <v>39</v>
      </c>
      <c r="Y3790" s="2" t="s">
        <v>39</v>
      </c>
      <c r="Z3790" s="2" t="s">
        <v>38</v>
      </c>
      <c r="AA3790" s="2" t="s">
        <v>39</v>
      </c>
      <c r="AB3790" s="2" t="s">
        <v>38</v>
      </c>
      <c r="AC3790" s="2" t="s">
        <v>39</v>
      </c>
      <c r="AD3790" s="2" t="s">
        <v>39</v>
      </c>
      <c r="AE3790" s="2" t="s">
        <v>39</v>
      </c>
    </row>
    <row r="3791" spans="1:31" ht="409.5">
      <c r="A3791" s="2">
        <v>2689227</v>
      </c>
      <c r="B3791" s="2">
        <f>HYPERLINK("https://platform.v2.vetology.net/cases/2689227/screening-report/1?type=pdf&amp;v=v6&amp;scorecard=1&amp;secret_key=BX%25IJ%24%2F65ieZ%29f6", 2689227)</f>
        <v>2689227</v>
      </c>
      <c r="C3791" s="2">
        <f>HYPERLINK("https://platform.v2.vetology.net/report/v/final/"&amp;2689227, 2689227)</f>
        <v>2689227</v>
      </c>
      <c r="D3791" s="2" t="s">
        <v>11935</v>
      </c>
      <c r="E3791" s="2" t="s">
        <v>11936</v>
      </c>
      <c r="F3791" s="2" t="s">
        <v>11937</v>
      </c>
      <c r="G3791" s="2" t="s">
        <v>53</v>
      </c>
      <c r="H3791" s="2" t="s">
        <v>11938</v>
      </c>
      <c r="I3791" s="2" t="s">
        <v>129</v>
      </c>
      <c r="J3791" s="2" t="s">
        <v>74</v>
      </c>
      <c r="K3791" s="2" t="s">
        <v>38</v>
      </c>
      <c r="L3791" s="2" t="s">
        <v>38</v>
      </c>
      <c r="M3791" s="2" t="s">
        <v>38</v>
      </c>
      <c r="N3791" s="2" t="s">
        <v>38</v>
      </c>
      <c r="O3791" s="2" t="s">
        <v>38</v>
      </c>
      <c r="P3791" s="2" t="s">
        <v>38</v>
      </c>
      <c r="Q3791" s="2" t="s">
        <v>38</v>
      </c>
      <c r="R3791" s="2" t="s">
        <v>38</v>
      </c>
      <c r="S3791" s="2" t="s">
        <v>38</v>
      </c>
      <c r="T3791" s="2" t="s">
        <v>38</v>
      </c>
      <c r="U3791" s="2" t="s">
        <v>39</v>
      </c>
      <c r="V3791" s="2" t="s">
        <v>38</v>
      </c>
      <c r="W3791" s="2" t="s">
        <v>38</v>
      </c>
      <c r="X3791" s="2" t="s">
        <v>39</v>
      </c>
      <c r="Y3791" s="2" t="s">
        <v>39</v>
      </c>
      <c r="Z3791" s="2" t="s">
        <v>38</v>
      </c>
      <c r="AA3791" s="2" t="s">
        <v>38</v>
      </c>
      <c r="AB3791" s="2" t="s">
        <v>38</v>
      </c>
      <c r="AC3791" s="2" t="s">
        <v>39</v>
      </c>
      <c r="AD3791" s="2" t="s">
        <v>38</v>
      </c>
      <c r="AE3791" s="2" t="s">
        <v>39</v>
      </c>
    </row>
    <row r="3792" spans="1:31" ht="409.5">
      <c r="A3792" s="2">
        <v>2689221</v>
      </c>
      <c r="B3792" s="2">
        <f>HYPERLINK("https://platform.v2.vetology.net/cases/2689221/screening-report/1?type=pdf&amp;v=v6&amp;scorecard=1&amp;secret_key=BX%25IJ%24%2F65ieZ%29f6", 2689221)</f>
        <v>2689221</v>
      </c>
      <c r="C3792" s="2">
        <f>HYPERLINK("https://platform.v2.vetology.net/report/v/final/"&amp;2689221, 2689221)</f>
        <v>2689221</v>
      </c>
      <c r="D3792" s="2" t="s">
        <v>11939</v>
      </c>
      <c r="E3792" s="2" t="s">
        <v>11940</v>
      </c>
      <c r="F3792" s="2" t="s">
        <v>43</v>
      </c>
      <c r="G3792" s="2" t="s">
        <v>44</v>
      </c>
      <c r="H3792" s="2" t="s">
        <v>11941</v>
      </c>
      <c r="I3792" s="2" t="s">
        <v>73</v>
      </c>
      <c r="J3792" s="2" t="s">
        <v>74</v>
      </c>
      <c r="K3792" s="2" t="s">
        <v>38</v>
      </c>
      <c r="L3792" s="2" t="s">
        <v>38</v>
      </c>
      <c r="M3792" s="2" t="s">
        <v>38</v>
      </c>
      <c r="N3792" s="2" t="s">
        <v>38</v>
      </c>
      <c r="O3792" s="2" t="s">
        <v>38</v>
      </c>
      <c r="P3792" s="2" t="s">
        <v>38</v>
      </c>
      <c r="Q3792" s="2" t="s">
        <v>38</v>
      </c>
      <c r="R3792" s="2" t="s">
        <v>38</v>
      </c>
      <c r="S3792" s="2" t="s">
        <v>38</v>
      </c>
      <c r="T3792" s="2" t="s">
        <v>38</v>
      </c>
      <c r="U3792" s="2" t="s">
        <v>39</v>
      </c>
      <c r="V3792" s="2" t="s">
        <v>38</v>
      </c>
      <c r="W3792" s="2" t="s">
        <v>38</v>
      </c>
      <c r="X3792" s="2" t="s">
        <v>38</v>
      </c>
      <c r="Y3792" s="2" t="s">
        <v>38</v>
      </c>
      <c r="Z3792" s="2" t="s">
        <v>38</v>
      </c>
      <c r="AA3792" s="2" t="s">
        <v>39</v>
      </c>
      <c r="AB3792" s="2" t="s">
        <v>38</v>
      </c>
      <c r="AC3792" s="2" t="s">
        <v>38</v>
      </c>
      <c r="AD3792" s="2" t="s">
        <v>38</v>
      </c>
      <c r="AE3792" s="2" t="s">
        <v>40</v>
      </c>
    </row>
    <row r="3793" spans="1:31" ht="409.5">
      <c r="A3793" s="2">
        <v>2689213</v>
      </c>
      <c r="B3793" s="2">
        <f>HYPERLINK("https://platform.v2.vetology.net/cases/2689213/screening-report/1?type=pdf&amp;v=v6&amp;scorecard=1&amp;secret_key=BX%25IJ%24%2F65ieZ%29f6", 2689213)</f>
        <v>2689213</v>
      </c>
      <c r="C3793" s="2">
        <f>HYPERLINK("https://platform.v2.vetology.net/report/v/final/"&amp;2689213, 2689213)</f>
        <v>2689213</v>
      </c>
      <c r="D3793" s="2" t="s">
        <v>11942</v>
      </c>
      <c r="E3793" s="2" t="s">
        <v>11943</v>
      </c>
      <c r="F3793" s="2" t="s">
        <v>2845</v>
      </c>
      <c r="G3793" s="2" t="s">
        <v>170</v>
      </c>
      <c r="H3793" s="2" t="s">
        <v>2625</v>
      </c>
      <c r="I3793" s="2" t="s">
        <v>129</v>
      </c>
      <c r="J3793" s="2" t="s">
        <v>74</v>
      </c>
      <c r="K3793" s="2" t="s">
        <v>39</v>
      </c>
      <c r="L3793" s="2" t="s">
        <v>39</v>
      </c>
      <c r="M3793" s="2" t="s">
        <v>39</v>
      </c>
      <c r="N3793" s="2" t="s">
        <v>39</v>
      </c>
      <c r="O3793" s="2" t="s">
        <v>39</v>
      </c>
      <c r="P3793" s="2" t="s">
        <v>38</v>
      </c>
      <c r="Q3793" s="2" t="s">
        <v>38</v>
      </c>
      <c r="R3793" s="2" t="s">
        <v>39</v>
      </c>
      <c r="S3793" s="2" t="s">
        <v>39</v>
      </c>
      <c r="T3793" s="2" t="s">
        <v>38</v>
      </c>
      <c r="U3793" s="2" t="s">
        <v>39</v>
      </c>
      <c r="V3793" s="2" t="s">
        <v>39</v>
      </c>
      <c r="W3793" s="2" t="s">
        <v>38</v>
      </c>
      <c r="X3793" s="2" t="s">
        <v>38</v>
      </c>
      <c r="Y3793" s="2" t="s">
        <v>39</v>
      </c>
      <c r="Z3793" s="2" t="s">
        <v>38</v>
      </c>
      <c r="AA3793" s="2" t="s">
        <v>38</v>
      </c>
      <c r="AB3793" s="2" t="s">
        <v>39</v>
      </c>
      <c r="AC3793" s="2" t="s">
        <v>38</v>
      </c>
      <c r="AD3793" s="2" t="s">
        <v>38</v>
      </c>
      <c r="AE3793" s="2"/>
    </row>
    <row r="3794" spans="1:31" ht="409.5">
      <c r="A3794" s="2">
        <v>2689207</v>
      </c>
      <c r="B3794" s="2">
        <f>HYPERLINK("https://platform.v2.vetology.net/cases/2689207/screening-report/1?type=pdf&amp;v=v6&amp;scorecard=1&amp;secret_key=BX%25IJ%24%2F65ieZ%29f6", 2689207)</f>
        <v>2689207</v>
      </c>
      <c r="C3794" s="2">
        <f>HYPERLINK("https://platform.v2.vetology.net/report/v/final/"&amp;2689207, 2689207)</f>
        <v>2689207</v>
      </c>
      <c r="D3794" s="2" t="s">
        <v>11944</v>
      </c>
      <c r="E3794" s="2" t="s">
        <v>2576</v>
      </c>
      <c r="F3794" s="2" t="s">
        <v>787</v>
      </c>
      <c r="G3794" s="2" t="s">
        <v>100</v>
      </c>
      <c r="H3794" s="2" t="s">
        <v>10833</v>
      </c>
      <c r="I3794" s="2" t="s">
        <v>36</v>
      </c>
      <c r="J3794" s="2" t="s">
        <v>37</v>
      </c>
      <c r="K3794" s="2" t="s">
        <v>38</v>
      </c>
      <c r="L3794" s="2" t="s">
        <v>38</v>
      </c>
      <c r="M3794" s="2" t="s">
        <v>38</v>
      </c>
      <c r="N3794" s="2" t="s">
        <v>38</v>
      </c>
      <c r="O3794" s="2" t="s">
        <v>39</v>
      </c>
      <c r="P3794" s="2" t="s">
        <v>39</v>
      </c>
      <c r="Q3794" s="2" t="s">
        <v>39</v>
      </c>
      <c r="R3794" s="2" t="s">
        <v>39</v>
      </c>
      <c r="S3794" s="2" t="s">
        <v>38</v>
      </c>
      <c r="T3794" s="2" t="s">
        <v>39</v>
      </c>
      <c r="U3794" s="2" t="s">
        <v>39</v>
      </c>
      <c r="V3794" s="2" t="s">
        <v>38</v>
      </c>
      <c r="W3794" s="2" t="s">
        <v>38</v>
      </c>
      <c r="X3794" s="2" t="s">
        <v>38</v>
      </c>
      <c r="Y3794" s="2" t="s">
        <v>39</v>
      </c>
      <c r="Z3794" s="2" t="s">
        <v>39</v>
      </c>
      <c r="AA3794" s="2" t="s">
        <v>38</v>
      </c>
      <c r="AB3794" s="2" t="s">
        <v>39</v>
      </c>
      <c r="AC3794" s="2" t="s">
        <v>38</v>
      </c>
      <c r="AD3794" s="2" t="s">
        <v>38</v>
      </c>
      <c r="AE3794" s="2" t="s">
        <v>40</v>
      </c>
    </row>
    <row r="3795" spans="1:31" ht="409.5">
      <c r="A3795" s="2">
        <v>2689201</v>
      </c>
      <c r="B3795" s="2">
        <f>HYPERLINK("https://platform.v2.vetology.net/cases/2689201/screening-report/1?type=pdf&amp;v=v6&amp;scorecard=1&amp;secret_key=BX%25IJ%24%2F65ieZ%29f6", 2689201)</f>
        <v>2689201</v>
      </c>
      <c r="C3795" s="2">
        <f>HYPERLINK("https://platform.v2.vetology.net/report/v/final/"&amp;2689201, 2689201)</f>
        <v>2689201</v>
      </c>
      <c r="D3795" s="2" t="s">
        <v>11945</v>
      </c>
      <c r="E3795" s="2" t="s">
        <v>11946</v>
      </c>
      <c r="F3795" s="2" t="s">
        <v>11947</v>
      </c>
      <c r="G3795" s="2" t="s">
        <v>170</v>
      </c>
      <c r="H3795" s="2" t="s">
        <v>11948</v>
      </c>
      <c r="I3795" s="2" t="s">
        <v>36</v>
      </c>
      <c r="J3795" s="2" t="s">
        <v>37</v>
      </c>
      <c r="K3795" s="2" t="s">
        <v>38</v>
      </c>
      <c r="L3795" s="2" t="s">
        <v>38</v>
      </c>
      <c r="M3795" s="2" t="s">
        <v>38</v>
      </c>
      <c r="N3795" s="2" t="s">
        <v>38</v>
      </c>
      <c r="O3795" s="2" t="s">
        <v>38</v>
      </c>
      <c r="P3795" s="2" t="s">
        <v>39</v>
      </c>
      <c r="Q3795" s="2" t="s">
        <v>39</v>
      </c>
      <c r="R3795" s="2" t="s">
        <v>38</v>
      </c>
      <c r="S3795" s="2" t="s">
        <v>38</v>
      </c>
      <c r="T3795" s="2" t="s">
        <v>39</v>
      </c>
      <c r="U3795" s="2" t="s">
        <v>38</v>
      </c>
      <c r="V3795" s="2" t="s">
        <v>38</v>
      </c>
      <c r="W3795" s="2" t="s">
        <v>39</v>
      </c>
      <c r="X3795" s="2" t="s">
        <v>39</v>
      </c>
      <c r="Y3795" s="2" t="s">
        <v>39</v>
      </c>
      <c r="Z3795" s="2" t="s">
        <v>38</v>
      </c>
      <c r="AA3795" s="2" t="s">
        <v>38</v>
      </c>
      <c r="AB3795" s="2" t="s">
        <v>39</v>
      </c>
      <c r="AC3795" s="2" t="s">
        <v>38</v>
      </c>
      <c r="AD3795" s="2" t="s">
        <v>38</v>
      </c>
      <c r="AE3795" s="2" t="s">
        <v>39</v>
      </c>
    </row>
    <row r="3796" spans="1:31" ht="409.5">
      <c r="A3796" s="2">
        <v>2689135</v>
      </c>
      <c r="B3796" s="2">
        <f>HYPERLINK("https://platform.v2.vetology.net/cases/2689135/screening-report/1?type=pdf&amp;v=v6&amp;scorecard=1&amp;secret_key=BX%25IJ%24%2F65ieZ%29f6", 2689135)</f>
        <v>2689135</v>
      </c>
      <c r="C3796" s="2">
        <f>HYPERLINK("https://platform.v2.vetology.net/report/v/final/"&amp;2689135, 2689135)</f>
        <v>2689135</v>
      </c>
      <c r="D3796" s="2" t="s">
        <v>11949</v>
      </c>
      <c r="E3796" s="2" t="s">
        <v>11950</v>
      </c>
      <c r="F3796" s="2" t="s">
        <v>11951</v>
      </c>
      <c r="G3796" s="2" t="s">
        <v>111</v>
      </c>
      <c r="H3796" s="2" t="s">
        <v>11952</v>
      </c>
      <c r="I3796" s="2" t="s">
        <v>129</v>
      </c>
      <c r="J3796" s="2" t="s">
        <v>74</v>
      </c>
      <c r="K3796" s="2" t="s">
        <v>39</v>
      </c>
      <c r="L3796" s="2" t="s">
        <v>38</v>
      </c>
      <c r="M3796" s="2" t="s">
        <v>38</v>
      </c>
      <c r="N3796" s="2" t="s">
        <v>38</v>
      </c>
      <c r="O3796" s="2" t="s">
        <v>38</v>
      </c>
      <c r="P3796" s="2" t="s">
        <v>39</v>
      </c>
      <c r="Q3796" s="2" t="s">
        <v>38</v>
      </c>
      <c r="R3796" s="2" t="s">
        <v>38</v>
      </c>
      <c r="S3796" s="2" t="s">
        <v>38</v>
      </c>
      <c r="T3796" s="2" t="s">
        <v>39</v>
      </c>
      <c r="U3796" s="2" t="s">
        <v>39</v>
      </c>
      <c r="V3796" s="2" t="s">
        <v>39</v>
      </c>
      <c r="W3796" s="2" t="s">
        <v>38</v>
      </c>
      <c r="X3796" s="2" t="s">
        <v>38</v>
      </c>
      <c r="Y3796" s="2" t="s">
        <v>39</v>
      </c>
      <c r="Z3796" s="2" t="s">
        <v>38</v>
      </c>
      <c r="AA3796" s="2" t="s">
        <v>38</v>
      </c>
      <c r="AB3796" s="2" t="s">
        <v>39</v>
      </c>
      <c r="AC3796" s="2" t="s">
        <v>38</v>
      </c>
      <c r="AD3796" s="2" t="s">
        <v>39</v>
      </c>
      <c r="AE3796" s="2" t="s">
        <v>39</v>
      </c>
    </row>
    <row r="3797" spans="1:31" ht="409.5">
      <c r="A3797" s="2">
        <v>2689124</v>
      </c>
      <c r="B3797" s="2">
        <f>HYPERLINK("https://platform.v2.vetology.net/cases/2689124/screening-report/1?type=pdf&amp;v=v6&amp;scorecard=1&amp;secret_key=BX%25IJ%24%2F65ieZ%29f6", 2689124)</f>
        <v>2689124</v>
      </c>
      <c r="C3797" s="2">
        <f>HYPERLINK("https://platform.v2.vetology.net/report/v/final/"&amp;2689124, 2689124)</f>
        <v>2689124</v>
      </c>
      <c r="D3797" s="2" t="s">
        <v>11953</v>
      </c>
      <c r="E3797" s="2" t="s">
        <v>11954</v>
      </c>
      <c r="F3797" s="2" t="s">
        <v>3605</v>
      </c>
      <c r="G3797" s="2" t="s">
        <v>170</v>
      </c>
      <c r="H3797" s="2" t="s">
        <v>11955</v>
      </c>
      <c r="I3797" s="2" t="s">
        <v>129</v>
      </c>
      <c r="J3797" s="2" t="s">
        <v>74</v>
      </c>
      <c r="K3797" s="2" t="s">
        <v>39</v>
      </c>
      <c r="L3797" s="2" t="s">
        <v>39</v>
      </c>
      <c r="M3797" s="2" t="s">
        <v>38</v>
      </c>
      <c r="N3797" s="2" t="s">
        <v>39</v>
      </c>
      <c r="O3797" s="2" t="s">
        <v>38</v>
      </c>
      <c r="P3797" s="2" t="s">
        <v>39</v>
      </c>
      <c r="Q3797" s="2" t="s">
        <v>38</v>
      </c>
      <c r="R3797" s="2" t="s">
        <v>38</v>
      </c>
      <c r="S3797" s="2" t="s">
        <v>39</v>
      </c>
      <c r="T3797" s="2" t="s">
        <v>39</v>
      </c>
      <c r="U3797" s="2" t="s">
        <v>39</v>
      </c>
      <c r="V3797" s="2" t="s">
        <v>39</v>
      </c>
      <c r="W3797" s="2" t="s">
        <v>39</v>
      </c>
      <c r="X3797" s="2" t="s">
        <v>38</v>
      </c>
      <c r="Y3797" s="2" t="s">
        <v>39</v>
      </c>
      <c r="Z3797" s="2" t="s">
        <v>39</v>
      </c>
      <c r="AA3797" s="2" t="s">
        <v>39</v>
      </c>
      <c r="AB3797" s="2" t="s">
        <v>38</v>
      </c>
      <c r="AC3797" s="2" t="s">
        <v>39</v>
      </c>
      <c r="AD3797" s="2" t="s">
        <v>39</v>
      </c>
      <c r="AE3797" s="2" t="s">
        <v>40</v>
      </c>
    </row>
    <row r="3798" spans="1:31" ht="409.5">
      <c r="A3798" s="2">
        <v>2689117</v>
      </c>
      <c r="B3798" s="2">
        <f>HYPERLINK("https://platform.v2.vetology.net/cases/2689117/screening-report/1?type=pdf&amp;v=v6&amp;scorecard=1&amp;secret_key=BX%25IJ%24%2F65ieZ%29f6", 2689117)</f>
        <v>2689117</v>
      </c>
      <c r="C3798" s="2">
        <f>HYPERLINK("https://platform.v2.vetology.net/report/v/final/"&amp;2689117, 2689117)</f>
        <v>2689117</v>
      </c>
      <c r="D3798" s="2" t="s">
        <v>11956</v>
      </c>
      <c r="E3798" s="2" t="s">
        <v>11957</v>
      </c>
      <c r="F3798" s="2" t="s">
        <v>11958</v>
      </c>
      <c r="G3798" s="2" t="s">
        <v>556</v>
      </c>
      <c r="H3798" s="2" t="s">
        <v>398</v>
      </c>
      <c r="I3798" s="2" t="s">
        <v>46</v>
      </c>
      <c r="J3798" s="2"/>
      <c r="K3798" s="2" t="s">
        <v>38</v>
      </c>
      <c r="L3798" s="2" t="s">
        <v>39</v>
      </c>
      <c r="M3798" s="2" t="s">
        <v>39</v>
      </c>
      <c r="N3798" s="2" t="s">
        <v>39</v>
      </c>
      <c r="O3798" s="2" t="s">
        <v>39</v>
      </c>
      <c r="P3798" s="2" t="s">
        <v>39</v>
      </c>
      <c r="Q3798" s="2" t="s">
        <v>39</v>
      </c>
      <c r="R3798" s="2" t="s">
        <v>39</v>
      </c>
      <c r="S3798" s="2" t="s">
        <v>39</v>
      </c>
      <c r="T3798" s="2" t="s">
        <v>39</v>
      </c>
      <c r="U3798" s="2" t="s">
        <v>39</v>
      </c>
      <c r="V3798" s="2" t="s">
        <v>39</v>
      </c>
      <c r="W3798" s="2" t="s">
        <v>39</v>
      </c>
      <c r="X3798" s="2" t="s">
        <v>39</v>
      </c>
      <c r="Y3798" s="2" t="s">
        <v>39</v>
      </c>
      <c r="Z3798" s="2" t="s">
        <v>39</v>
      </c>
      <c r="AA3798" s="2" t="s">
        <v>39</v>
      </c>
      <c r="AB3798" s="2" t="s">
        <v>39</v>
      </c>
      <c r="AC3798" s="2" t="s">
        <v>39</v>
      </c>
      <c r="AD3798" s="2" t="s">
        <v>39</v>
      </c>
      <c r="AE3798" s="2" t="s">
        <v>39</v>
      </c>
    </row>
    <row r="3799" spans="1:31" ht="409.5">
      <c r="A3799" s="2">
        <v>2689116</v>
      </c>
      <c r="B3799" s="2">
        <f>HYPERLINK("https://platform.v2.vetology.net/cases/2689116/screening-report/1?type=pdf&amp;v=v6&amp;scorecard=1&amp;secret_key=BX%25IJ%24%2F65ieZ%29f6", 2689116)</f>
        <v>2689116</v>
      </c>
      <c r="C3799" s="2">
        <f>HYPERLINK("https://platform.v2.vetology.net/report/v/final/"&amp;2689116, 2689116)</f>
        <v>2689116</v>
      </c>
      <c r="D3799" s="2" t="s">
        <v>11959</v>
      </c>
      <c r="E3799" s="2" t="s">
        <v>11960</v>
      </c>
      <c r="F3799" s="2" t="s">
        <v>11961</v>
      </c>
      <c r="G3799" s="2" t="s">
        <v>170</v>
      </c>
      <c r="H3799" s="2" t="s">
        <v>11962</v>
      </c>
      <c r="I3799" s="2" t="s">
        <v>73</v>
      </c>
      <c r="J3799" s="2" t="s">
        <v>74</v>
      </c>
      <c r="K3799" s="2" t="s">
        <v>38</v>
      </c>
      <c r="L3799" s="2" t="s">
        <v>39</v>
      </c>
      <c r="M3799" s="2" t="s">
        <v>38</v>
      </c>
      <c r="N3799" s="2" t="s">
        <v>38</v>
      </c>
      <c r="O3799" s="2" t="s">
        <v>38</v>
      </c>
      <c r="P3799" s="2" t="s">
        <v>38</v>
      </c>
      <c r="Q3799" s="2" t="s">
        <v>38</v>
      </c>
      <c r="R3799" s="2" t="s">
        <v>39</v>
      </c>
      <c r="S3799" s="2" t="s">
        <v>38</v>
      </c>
      <c r="T3799" s="2" t="s">
        <v>38</v>
      </c>
      <c r="U3799" s="2" t="s">
        <v>39</v>
      </c>
      <c r="V3799" s="2" t="s">
        <v>38</v>
      </c>
      <c r="W3799" s="2" t="s">
        <v>38</v>
      </c>
      <c r="X3799" s="2" t="s">
        <v>38</v>
      </c>
      <c r="Y3799" s="2" t="s">
        <v>39</v>
      </c>
      <c r="Z3799" s="2" t="s">
        <v>38</v>
      </c>
      <c r="AA3799" s="2" t="s">
        <v>38</v>
      </c>
      <c r="AB3799" s="2" t="s">
        <v>38</v>
      </c>
      <c r="AC3799" s="2" t="s">
        <v>38</v>
      </c>
      <c r="AD3799" s="2" t="s">
        <v>38</v>
      </c>
      <c r="AE3799" s="2" t="s">
        <v>39</v>
      </c>
    </row>
    <row r="3800" spans="1:31" ht="409.5">
      <c r="A3800" s="2">
        <v>2689109</v>
      </c>
      <c r="B3800" s="2">
        <f>HYPERLINK("https://platform.v2.vetology.net/cases/2689109/screening-report/1?type=pdf&amp;v=v6&amp;scorecard=1&amp;secret_key=BX%25IJ%24%2F65ieZ%29f6", 2689109)</f>
        <v>2689109</v>
      </c>
      <c r="C3800" s="2">
        <f>HYPERLINK("https://platform.v2.vetology.net/report/v/final/"&amp;2689109, 2689109)</f>
        <v>2689109</v>
      </c>
      <c r="D3800" s="2" t="s">
        <v>11963</v>
      </c>
      <c r="E3800" s="2" t="s">
        <v>11964</v>
      </c>
      <c r="F3800" s="2" t="s">
        <v>11965</v>
      </c>
      <c r="G3800" s="2" t="s">
        <v>127</v>
      </c>
      <c r="H3800" s="2" t="s">
        <v>11966</v>
      </c>
      <c r="I3800" s="2" t="s">
        <v>73</v>
      </c>
      <c r="J3800" s="2" t="s">
        <v>74</v>
      </c>
      <c r="K3800" s="2" t="s">
        <v>38</v>
      </c>
      <c r="L3800" s="2" t="s">
        <v>38</v>
      </c>
      <c r="M3800" s="2" t="s">
        <v>38</v>
      </c>
      <c r="N3800" s="2" t="s">
        <v>38</v>
      </c>
      <c r="O3800" s="2" t="s">
        <v>38</v>
      </c>
      <c r="P3800" s="2" t="s">
        <v>38</v>
      </c>
      <c r="Q3800" s="2" t="s">
        <v>38</v>
      </c>
      <c r="R3800" s="2" t="s">
        <v>38</v>
      </c>
      <c r="S3800" s="2" t="s">
        <v>38</v>
      </c>
      <c r="T3800" s="2" t="s">
        <v>38</v>
      </c>
      <c r="U3800" s="2" t="s">
        <v>38</v>
      </c>
      <c r="V3800" s="2" t="s">
        <v>38</v>
      </c>
      <c r="W3800" s="2" t="s">
        <v>38</v>
      </c>
      <c r="X3800" s="2" t="s">
        <v>38</v>
      </c>
      <c r="Y3800" s="2" t="s">
        <v>38</v>
      </c>
      <c r="Z3800" s="2" t="s">
        <v>38</v>
      </c>
      <c r="AA3800" s="2" t="s">
        <v>38</v>
      </c>
      <c r="AB3800" s="2" t="s">
        <v>38</v>
      </c>
      <c r="AC3800" s="2" t="s">
        <v>38</v>
      </c>
      <c r="AD3800" s="2" t="s">
        <v>38</v>
      </c>
      <c r="AE3800" s="2" t="s">
        <v>40</v>
      </c>
    </row>
    <row r="3801" spans="1:31" ht="409.5">
      <c r="A3801" s="2">
        <v>2689076</v>
      </c>
      <c r="B3801" s="2">
        <f>HYPERLINK("https://platform.v2.vetology.net/cases/2689076/screening-report/1?type=pdf&amp;v=v6&amp;scorecard=1&amp;secret_key=BX%25IJ%24%2F65ieZ%29f6", 2689076)</f>
        <v>2689076</v>
      </c>
      <c r="C3801" s="2">
        <f>HYPERLINK("https://platform.v2.vetology.net/report/v/final/"&amp;2689076, 2689076)</f>
        <v>2689076</v>
      </c>
      <c r="D3801" s="2" t="s">
        <v>11967</v>
      </c>
      <c r="E3801" s="2" t="s">
        <v>11968</v>
      </c>
      <c r="F3801" s="2" t="s">
        <v>43</v>
      </c>
      <c r="G3801" s="2" t="s">
        <v>44</v>
      </c>
      <c r="H3801" s="2" t="s">
        <v>9004</v>
      </c>
      <c r="I3801" s="2" t="s">
        <v>36</v>
      </c>
      <c r="J3801" s="2" t="s">
        <v>37</v>
      </c>
      <c r="K3801" s="2" t="s">
        <v>38</v>
      </c>
      <c r="L3801" s="2" t="s">
        <v>39</v>
      </c>
      <c r="M3801" s="2" t="s">
        <v>38</v>
      </c>
      <c r="N3801" s="2" t="s">
        <v>38</v>
      </c>
      <c r="O3801" s="2" t="s">
        <v>38</v>
      </c>
      <c r="P3801" s="2" t="s">
        <v>39</v>
      </c>
      <c r="Q3801" s="2" t="s">
        <v>39</v>
      </c>
      <c r="R3801" s="2" t="s">
        <v>39</v>
      </c>
      <c r="S3801" s="2" t="s">
        <v>39</v>
      </c>
      <c r="T3801" s="2" t="s">
        <v>38</v>
      </c>
      <c r="U3801" s="2" t="s">
        <v>39</v>
      </c>
      <c r="V3801" s="2" t="s">
        <v>38</v>
      </c>
      <c r="W3801" s="2" t="s">
        <v>38</v>
      </c>
      <c r="X3801" s="2" t="s">
        <v>38</v>
      </c>
      <c r="Y3801" s="2" t="s">
        <v>39</v>
      </c>
      <c r="Z3801" s="2" t="s">
        <v>38</v>
      </c>
      <c r="AA3801" s="2" t="s">
        <v>38</v>
      </c>
      <c r="AB3801" s="2" t="s">
        <v>38</v>
      </c>
      <c r="AC3801" s="2" t="s">
        <v>38</v>
      </c>
      <c r="AD3801" s="2" t="s">
        <v>38</v>
      </c>
      <c r="AE3801" s="2" t="s">
        <v>39</v>
      </c>
    </row>
    <row r="3802" spans="1:31" ht="409.5">
      <c r="A3802" s="2">
        <v>2689062</v>
      </c>
      <c r="B3802" s="2">
        <f>HYPERLINK("https://platform.v2.vetology.net/cases/2689062/screening-report/1?type=pdf&amp;v=v6&amp;scorecard=1&amp;secret_key=BX%25IJ%24%2F65ieZ%29f6", 2689062)</f>
        <v>2689062</v>
      </c>
      <c r="C3802" s="2">
        <f>HYPERLINK("https://platform.v2.vetology.net/report/v/final/"&amp;2689062, 2689062)</f>
        <v>2689062</v>
      </c>
      <c r="D3802" s="2" t="s">
        <v>11969</v>
      </c>
      <c r="E3802" s="2" t="s">
        <v>11970</v>
      </c>
      <c r="F3802" s="2" t="s">
        <v>11971</v>
      </c>
      <c r="G3802" s="2" t="s">
        <v>44</v>
      </c>
      <c r="H3802" s="2" t="s">
        <v>11972</v>
      </c>
      <c r="I3802" s="2" t="s">
        <v>36</v>
      </c>
      <c r="J3802" s="2" t="s">
        <v>37</v>
      </c>
      <c r="K3802" s="2" t="s">
        <v>38</v>
      </c>
      <c r="L3802" s="2" t="s">
        <v>39</v>
      </c>
      <c r="M3802" s="2" t="s">
        <v>38</v>
      </c>
      <c r="N3802" s="2" t="s">
        <v>38</v>
      </c>
      <c r="O3802" s="2" t="s">
        <v>38</v>
      </c>
      <c r="P3802" s="2" t="s">
        <v>38</v>
      </c>
      <c r="Q3802" s="2" t="s">
        <v>39</v>
      </c>
      <c r="R3802" s="2" t="s">
        <v>39</v>
      </c>
      <c r="S3802" s="2" t="s">
        <v>38</v>
      </c>
      <c r="T3802" s="2" t="s">
        <v>38</v>
      </c>
      <c r="U3802" s="2" t="s">
        <v>39</v>
      </c>
      <c r="V3802" s="2" t="s">
        <v>38</v>
      </c>
      <c r="W3802" s="2" t="s">
        <v>38</v>
      </c>
      <c r="X3802" s="2" t="s">
        <v>38</v>
      </c>
      <c r="Y3802" s="2" t="s">
        <v>39</v>
      </c>
      <c r="Z3802" s="2" t="s">
        <v>38</v>
      </c>
      <c r="AA3802" s="2" t="s">
        <v>38</v>
      </c>
      <c r="AB3802" s="2" t="s">
        <v>39</v>
      </c>
      <c r="AC3802" s="2" t="s">
        <v>38</v>
      </c>
      <c r="AD3802" s="2" t="s">
        <v>38</v>
      </c>
      <c r="AE3802" s="2" t="s">
        <v>40</v>
      </c>
    </row>
    <row r="3803" spans="1:31" ht="409.5">
      <c r="A3803" s="2">
        <v>2689056</v>
      </c>
      <c r="B3803" s="2">
        <f>HYPERLINK("https://platform.v2.vetology.net/cases/2689056/screening-report/1?type=pdf&amp;v=v6&amp;scorecard=1&amp;secret_key=BX%25IJ%24%2F65ieZ%29f6", 2689056)</f>
        <v>2689056</v>
      </c>
      <c r="C3803" s="2">
        <f>HYPERLINK("https://platform.v2.vetology.net/report/v/final/"&amp;2689056, 2689056)</f>
        <v>2689056</v>
      </c>
      <c r="D3803" s="2" t="s">
        <v>2629</v>
      </c>
      <c r="E3803" s="2" t="s">
        <v>1928</v>
      </c>
      <c r="F3803" s="2" t="s">
        <v>1929</v>
      </c>
      <c r="G3803" s="2" t="s">
        <v>111</v>
      </c>
      <c r="H3803" s="2" t="s">
        <v>3697</v>
      </c>
      <c r="I3803" s="2" t="s">
        <v>36</v>
      </c>
      <c r="J3803" s="2" t="s">
        <v>37</v>
      </c>
      <c r="K3803" s="2" t="s">
        <v>38</v>
      </c>
      <c r="L3803" s="2" t="s">
        <v>39</v>
      </c>
      <c r="M3803" s="2" t="s">
        <v>38</v>
      </c>
      <c r="N3803" s="2" t="s">
        <v>39</v>
      </c>
      <c r="O3803" s="2" t="s">
        <v>38</v>
      </c>
      <c r="P3803" s="2" t="s">
        <v>39</v>
      </c>
      <c r="Q3803" s="2" t="s">
        <v>39</v>
      </c>
      <c r="R3803" s="2" t="s">
        <v>39</v>
      </c>
      <c r="S3803" s="2" t="s">
        <v>39</v>
      </c>
      <c r="T3803" s="2" t="s">
        <v>39</v>
      </c>
      <c r="U3803" s="2" t="s">
        <v>39</v>
      </c>
      <c r="V3803" s="2" t="s">
        <v>38</v>
      </c>
      <c r="W3803" s="2" t="s">
        <v>39</v>
      </c>
      <c r="X3803" s="2" t="s">
        <v>38</v>
      </c>
      <c r="Y3803" s="2" t="s">
        <v>39</v>
      </c>
      <c r="Z3803" s="2" t="s">
        <v>38</v>
      </c>
      <c r="AA3803" s="2" t="s">
        <v>38</v>
      </c>
      <c r="AB3803" s="2" t="s">
        <v>39</v>
      </c>
      <c r="AC3803" s="2" t="s">
        <v>38</v>
      </c>
      <c r="AD3803" s="2" t="s">
        <v>39</v>
      </c>
      <c r="AE3803" s="2" t="s">
        <v>40</v>
      </c>
    </row>
    <row r="3804" spans="1:31" ht="409.5">
      <c r="A3804" s="2">
        <v>2688994</v>
      </c>
      <c r="B3804" s="2">
        <f>HYPERLINK("https://platform.v2.vetology.net/cases/2688994/screening-report/1?type=pdf&amp;v=v6&amp;scorecard=1&amp;secret_key=BX%25IJ%24%2F65ieZ%29f6", 2688994)</f>
        <v>2688994</v>
      </c>
      <c r="C3804" s="2">
        <f>HYPERLINK("https://platform.v2.vetology.net/report/v/final/"&amp;2688994, 2688994)</f>
        <v>2688994</v>
      </c>
      <c r="D3804" s="2" t="s">
        <v>11973</v>
      </c>
      <c r="E3804" s="2" t="s">
        <v>11974</v>
      </c>
      <c r="F3804" s="2" t="s">
        <v>11975</v>
      </c>
      <c r="G3804" s="2" t="s">
        <v>415</v>
      </c>
      <c r="H3804" s="2" t="s">
        <v>69</v>
      </c>
      <c r="I3804" s="2" t="s">
        <v>46</v>
      </c>
      <c r="J3804" s="2"/>
      <c r="K3804" s="2" t="s">
        <v>39</v>
      </c>
      <c r="L3804" s="2" t="s">
        <v>39</v>
      </c>
      <c r="M3804" s="2" t="s">
        <v>39</v>
      </c>
      <c r="N3804" s="2" t="s">
        <v>39</v>
      </c>
      <c r="O3804" s="2" t="s">
        <v>39</v>
      </c>
      <c r="P3804" s="2" t="s">
        <v>39</v>
      </c>
      <c r="Q3804" s="2" t="s">
        <v>39</v>
      </c>
      <c r="R3804" s="2" t="s">
        <v>39</v>
      </c>
      <c r="S3804" s="2" t="s">
        <v>39</v>
      </c>
      <c r="T3804" s="2" t="s">
        <v>39</v>
      </c>
      <c r="U3804" s="2" t="s">
        <v>39</v>
      </c>
      <c r="V3804" s="2" t="s">
        <v>39</v>
      </c>
      <c r="W3804" s="2" t="s">
        <v>39</v>
      </c>
      <c r="X3804" s="2" t="s">
        <v>39</v>
      </c>
      <c r="Y3804" s="2" t="s">
        <v>39</v>
      </c>
      <c r="Z3804" s="2" t="s">
        <v>39</v>
      </c>
      <c r="AA3804" s="2" t="s">
        <v>39</v>
      </c>
      <c r="AB3804" s="2" t="s">
        <v>39</v>
      </c>
      <c r="AC3804" s="2" t="s">
        <v>39</v>
      </c>
      <c r="AD3804" s="2" t="s">
        <v>39</v>
      </c>
      <c r="AE3804" s="2" t="s">
        <v>39</v>
      </c>
    </row>
    <row r="3805" spans="1:31" ht="409.5">
      <c r="A3805" s="2">
        <v>2688966</v>
      </c>
      <c r="B3805" s="2">
        <f>HYPERLINK("https://platform.v2.vetology.net/cases/2688966/screening-report/1?type=pdf&amp;v=v6&amp;scorecard=1&amp;secret_key=BX%25IJ%24%2F65ieZ%29f6", 2688966)</f>
        <v>2688966</v>
      </c>
      <c r="C3805" s="2">
        <f>HYPERLINK("https://platform.v2.vetology.net/report/v/final/"&amp;2688966, 2688966)</f>
        <v>2688966</v>
      </c>
      <c r="D3805" s="2" t="s">
        <v>11976</v>
      </c>
      <c r="E3805" s="2" t="s">
        <v>11977</v>
      </c>
      <c r="F3805" s="2" t="s">
        <v>3797</v>
      </c>
      <c r="G3805" s="2" t="s">
        <v>170</v>
      </c>
      <c r="H3805" s="2" t="s">
        <v>11978</v>
      </c>
      <c r="I3805" s="2" t="s">
        <v>36</v>
      </c>
      <c r="J3805" s="2" t="s">
        <v>37</v>
      </c>
      <c r="K3805" s="2" t="s">
        <v>39</v>
      </c>
      <c r="L3805" s="2" t="s">
        <v>39</v>
      </c>
      <c r="M3805" s="2" t="s">
        <v>38</v>
      </c>
      <c r="N3805" s="2" t="s">
        <v>39</v>
      </c>
      <c r="O3805" s="2" t="s">
        <v>39</v>
      </c>
      <c r="P3805" s="2" t="s">
        <v>39</v>
      </c>
      <c r="Q3805" s="2" t="s">
        <v>39</v>
      </c>
      <c r="R3805" s="2" t="s">
        <v>38</v>
      </c>
      <c r="S3805" s="2" t="s">
        <v>38</v>
      </c>
      <c r="T3805" s="2" t="s">
        <v>38</v>
      </c>
      <c r="U3805" s="2" t="s">
        <v>39</v>
      </c>
      <c r="V3805" s="2" t="s">
        <v>39</v>
      </c>
      <c r="W3805" s="2" t="s">
        <v>38</v>
      </c>
      <c r="X3805" s="2" t="s">
        <v>39</v>
      </c>
      <c r="Y3805" s="2" t="s">
        <v>39</v>
      </c>
      <c r="Z3805" s="2" t="s">
        <v>38</v>
      </c>
      <c r="AA3805" s="2" t="s">
        <v>39</v>
      </c>
      <c r="AB3805" s="2" t="s">
        <v>39</v>
      </c>
      <c r="AC3805" s="2" t="s">
        <v>38</v>
      </c>
      <c r="AD3805" s="2" t="s">
        <v>38</v>
      </c>
      <c r="AE3805" s="2" t="s">
        <v>40</v>
      </c>
    </row>
    <row r="3806" spans="1:31" ht="409.5">
      <c r="A3806" s="2">
        <v>2688950</v>
      </c>
      <c r="B3806" s="2">
        <f>HYPERLINK("https://platform.v2.vetology.net/cases/2688950/screening-report/1?type=pdf&amp;v=v6&amp;scorecard=1&amp;secret_key=BX%25IJ%24%2F65ieZ%29f6", 2688950)</f>
        <v>2688950</v>
      </c>
      <c r="C3806" s="2">
        <f>HYPERLINK("https://platform.v2.vetology.net/report/v/final/"&amp;2688950, 2688950)</f>
        <v>2688950</v>
      </c>
      <c r="D3806" s="2" t="s">
        <v>11979</v>
      </c>
      <c r="E3806" s="2" t="s">
        <v>99</v>
      </c>
      <c r="F3806" s="2"/>
      <c r="G3806" s="2" t="s">
        <v>100</v>
      </c>
      <c r="H3806" s="2" t="s">
        <v>419</v>
      </c>
      <c r="I3806" s="2" t="s">
        <v>36</v>
      </c>
      <c r="J3806" s="2" t="s">
        <v>37</v>
      </c>
      <c r="K3806" s="2" t="s">
        <v>39</v>
      </c>
      <c r="L3806" s="2" t="s">
        <v>39</v>
      </c>
      <c r="M3806" s="2" t="s">
        <v>38</v>
      </c>
      <c r="N3806" s="2" t="s">
        <v>39</v>
      </c>
      <c r="O3806" s="2" t="s">
        <v>39</v>
      </c>
      <c r="P3806" s="2" t="s">
        <v>39</v>
      </c>
      <c r="Q3806" s="2" t="s">
        <v>39</v>
      </c>
      <c r="R3806" s="2" t="s">
        <v>38</v>
      </c>
      <c r="S3806" s="2" t="s">
        <v>39</v>
      </c>
      <c r="T3806" s="2" t="s">
        <v>39</v>
      </c>
      <c r="U3806" s="2" t="s">
        <v>39</v>
      </c>
      <c r="V3806" s="2" t="s">
        <v>39</v>
      </c>
      <c r="W3806" s="2" t="s">
        <v>39</v>
      </c>
      <c r="X3806" s="2" t="s">
        <v>39</v>
      </c>
      <c r="Y3806" s="2" t="s">
        <v>39</v>
      </c>
      <c r="Z3806" s="2" t="s">
        <v>38</v>
      </c>
      <c r="AA3806" s="2" t="s">
        <v>39</v>
      </c>
      <c r="AB3806" s="2" t="s">
        <v>39</v>
      </c>
      <c r="AC3806" s="2" t="s">
        <v>38</v>
      </c>
      <c r="AD3806" s="2" t="s">
        <v>38</v>
      </c>
      <c r="AE3806" s="2" t="s">
        <v>39</v>
      </c>
    </row>
    <row r="3807" spans="1:31" ht="409.5">
      <c r="A3807" s="2">
        <v>2688949</v>
      </c>
      <c r="B3807" s="2">
        <f>HYPERLINK("https://platform.v2.vetology.net/cases/2688949/screening-report/1?type=pdf&amp;v=v6&amp;scorecard=1&amp;secret_key=BX%25IJ%24%2F65ieZ%29f6", 2688949)</f>
        <v>2688949</v>
      </c>
      <c r="C3807" s="2">
        <f>HYPERLINK("https://platform.v2.vetology.net/report/v/final/"&amp;2688949, 2688949)</f>
        <v>2688949</v>
      </c>
      <c r="D3807" s="2" t="s">
        <v>11980</v>
      </c>
      <c r="E3807" s="2" t="s">
        <v>11981</v>
      </c>
      <c r="F3807" s="2" t="s">
        <v>11982</v>
      </c>
      <c r="G3807" s="2" t="s">
        <v>44</v>
      </c>
      <c r="H3807" s="2" t="s">
        <v>611</v>
      </c>
      <c r="I3807" s="2" t="s">
        <v>46</v>
      </c>
      <c r="J3807" s="2"/>
      <c r="K3807" s="2" t="s">
        <v>39</v>
      </c>
      <c r="L3807" s="2" t="s">
        <v>39</v>
      </c>
      <c r="M3807" s="2" t="s">
        <v>39</v>
      </c>
      <c r="N3807" s="2" t="s">
        <v>39</v>
      </c>
      <c r="O3807" s="2" t="s">
        <v>39</v>
      </c>
      <c r="P3807" s="2" t="s">
        <v>39</v>
      </c>
      <c r="Q3807" s="2" t="s">
        <v>39</v>
      </c>
      <c r="R3807" s="2" t="s">
        <v>39</v>
      </c>
      <c r="S3807" s="2" t="s">
        <v>39</v>
      </c>
      <c r="T3807" s="2" t="s">
        <v>39</v>
      </c>
      <c r="U3807" s="2" t="s">
        <v>39</v>
      </c>
      <c r="V3807" s="2" t="s">
        <v>39</v>
      </c>
      <c r="W3807" s="2" t="s">
        <v>39</v>
      </c>
      <c r="X3807" s="2" t="s">
        <v>39</v>
      </c>
      <c r="Y3807" s="2" t="s">
        <v>39</v>
      </c>
      <c r="Z3807" s="2" t="s">
        <v>39</v>
      </c>
      <c r="AA3807" s="2" t="s">
        <v>39</v>
      </c>
      <c r="AB3807" s="2" t="s">
        <v>39</v>
      </c>
      <c r="AC3807" s="2" t="s">
        <v>39</v>
      </c>
      <c r="AD3807" s="2" t="s">
        <v>38</v>
      </c>
      <c r="AE3807" s="2" t="s">
        <v>39</v>
      </c>
    </row>
    <row r="3808" spans="1:31" ht="409.5">
      <c r="A3808" s="2">
        <v>2688945</v>
      </c>
      <c r="B3808" s="2">
        <f>HYPERLINK("https://platform.v2.vetology.net/cases/2688945/screening-report/1?type=pdf&amp;v=v6&amp;scorecard=1&amp;secret_key=BX%25IJ%24%2F65ieZ%29f6", 2688945)</f>
        <v>2688945</v>
      </c>
      <c r="C3808" s="2">
        <f>HYPERLINK("https://platform.v2.vetology.net/report/v/final/"&amp;2688945, 2688945)</f>
        <v>2688945</v>
      </c>
      <c r="D3808" s="2" t="s">
        <v>11983</v>
      </c>
      <c r="E3808" s="2" t="s">
        <v>11984</v>
      </c>
      <c r="F3808" s="2" t="s">
        <v>11985</v>
      </c>
      <c r="G3808" s="2" t="s">
        <v>53</v>
      </c>
      <c r="H3808" s="2" t="s">
        <v>394</v>
      </c>
      <c r="I3808" s="2" t="s">
        <v>59</v>
      </c>
      <c r="J3808" s="2" t="s">
        <v>37</v>
      </c>
      <c r="K3808" s="2" t="s">
        <v>38</v>
      </c>
      <c r="L3808" s="2" t="s">
        <v>39</v>
      </c>
      <c r="M3808" s="2" t="s">
        <v>39</v>
      </c>
      <c r="N3808" s="2" t="s">
        <v>39</v>
      </c>
      <c r="O3808" s="2" t="s">
        <v>39</v>
      </c>
      <c r="P3808" s="2" t="s">
        <v>39</v>
      </c>
      <c r="Q3808" s="2" t="s">
        <v>39</v>
      </c>
      <c r="R3808" s="2" t="s">
        <v>39</v>
      </c>
      <c r="S3808" s="2" t="s">
        <v>39</v>
      </c>
      <c r="T3808" s="2" t="s">
        <v>39</v>
      </c>
      <c r="U3808" s="2" t="s">
        <v>38</v>
      </c>
      <c r="V3808" s="2" t="s">
        <v>38</v>
      </c>
      <c r="W3808" s="2" t="s">
        <v>39</v>
      </c>
      <c r="X3808" s="2" t="s">
        <v>39</v>
      </c>
      <c r="Y3808" s="2" t="s">
        <v>39</v>
      </c>
      <c r="Z3808" s="2" t="s">
        <v>39</v>
      </c>
      <c r="AA3808" s="2" t="s">
        <v>39</v>
      </c>
      <c r="AB3808" s="2" t="s">
        <v>39</v>
      </c>
      <c r="AC3808" s="2" t="s">
        <v>39</v>
      </c>
      <c r="AD3808" s="2" t="s">
        <v>38</v>
      </c>
      <c r="AE3808" s="2" t="s">
        <v>39</v>
      </c>
    </row>
    <row r="3809" spans="1:31" ht="409.5">
      <c r="A3809" s="2">
        <v>2688925</v>
      </c>
      <c r="B3809" s="2">
        <f>HYPERLINK("https://platform.v2.vetology.net/cases/2688925/screening-report/1?type=pdf&amp;v=v6&amp;scorecard=1&amp;secret_key=BX%25IJ%24%2F65ieZ%29f6", 2688925)</f>
        <v>2688925</v>
      </c>
      <c r="C3809" s="2">
        <f>HYPERLINK("https://platform.v2.vetology.net/report/v/final/"&amp;2688925, 2688925)</f>
        <v>2688925</v>
      </c>
      <c r="D3809" s="2" t="s">
        <v>11986</v>
      </c>
      <c r="E3809" s="2" t="s">
        <v>11987</v>
      </c>
      <c r="F3809" s="2" t="s">
        <v>11988</v>
      </c>
      <c r="G3809" s="2" t="s">
        <v>44</v>
      </c>
      <c r="H3809" s="2" t="s">
        <v>11989</v>
      </c>
      <c r="I3809" s="2" t="s">
        <v>129</v>
      </c>
      <c r="J3809" s="2" t="s">
        <v>74</v>
      </c>
      <c r="K3809" s="2" t="s">
        <v>38</v>
      </c>
      <c r="L3809" s="2" t="s">
        <v>38</v>
      </c>
      <c r="M3809" s="2" t="s">
        <v>38</v>
      </c>
      <c r="N3809" s="2" t="s">
        <v>39</v>
      </c>
      <c r="O3809" s="2" t="s">
        <v>38</v>
      </c>
      <c r="P3809" s="2" t="s">
        <v>39</v>
      </c>
      <c r="Q3809" s="2" t="s">
        <v>38</v>
      </c>
      <c r="R3809" s="2" t="s">
        <v>38</v>
      </c>
      <c r="S3809" s="2" t="s">
        <v>39</v>
      </c>
      <c r="T3809" s="2" t="s">
        <v>38</v>
      </c>
      <c r="U3809" s="2" t="s">
        <v>39</v>
      </c>
      <c r="V3809" s="2" t="s">
        <v>39</v>
      </c>
      <c r="W3809" s="2" t="s">
        <v>38</v>
      </c>
      <c r="X3809" s="2" t="s">
        <v>39</v>
      </c>
      <c r="Y3809" s="2" t="s">
        <v>39</v>
      </c>
      <c r="Z3809" s="2" t="s">
        <v>38</v>
      </c>
      <c r="AA3809" s="2" t="s">
        <v>38</v>
      </c>
      <c r="AB3809" s="2" t="s">
        <v>39</v>
      </c>
      <c r="AC3809" s="2" t="s">
        <v>39</v>
      </c>
      <c r="AD3809" s="2" t="s">
        <v>39</v>
      </c>
      <c r="AE3809" s="2"/>
    </row>
    <row r="3810" spans="1:31" ht="409.5">
      <c r="A3810" s="2">
        <v>2688924</v>
      </c>
      <c r="B3810" s="2">
        <f>HYPERLINK("https://platform.v2.vetology.net/cases/2688924/screening-report/1?type=pdf&amp;v=v6&amp;scorecard=1&amp;secret_key=BX%25IJ%24%2F65ieZ%29f6", 2688924)</f>
        <v>2688924</v>
      </c>
      <c r="C3810" s="2">
        <f>HYPERLINK("https://platform.v2.vetology.net/report/v/final/"&amp;2688924, 2688924)</f>
        <v>2688924</v>
      </c>
      <c r="D3810" s="2" t="s">
        <v>11990</v>
      </c>
      <c r="E3810" s="2" t="s">
        <v>11991</v>
      </c>
      <c r="F3810" s="2" t="s">
        <v>11992</v>
      </c>
      <c r="G3810" s="2" t="s">
        <v>145</v>
      </c>
      <c r="H3810" s="2" t="s">
        <v>11993</v>
      </c>
      <c r="I3810" s="2" t="s">
        <v>36</v>
      </c>
      <c r="J3810" s="2" t="s">
        <v>37</v>
      </c>
      <c r="K3810" s="2" t="s">
        <v>39</v>
      </c>
      <c r="L3810" s="2" t="s">
        <v>38</v>
      </c>
      <c r="M3810" s="2" t="s">
        <v>38</v>
      </c>
      <c r="N3810" s="2" t="s">
        <v>38</v>
      </c>
      <c r="O3810" s="2" t="s">
        <v>38</v>
      </c>
      <c r="P3810" s="2" t="s">
        <v>39</v>
      </c>
      <c r="Q3810" s="2" t="s">
        <v>39</v>
      </c>
      <c r="R3810" s="2" t="s">
        <v>38</v>
      </c>
      <c r="S3810" s="2" t="s">
        <v>38</v>
      </c>
      <c r="T3810" s="2" t="s">
        <v>38</v>
      </c>
      <c r="U3810" s="2" t="s">
        <v>39</v>
      </c>
      <c r="V3810" s="2" t="s">
        <v>39</v>
      </c>
      <c r="W3810" s="2" t="s">
        <v>38</v>
      </c>
      <c r="X3810" s="2" t="s">
        <v>39</v>
      </c>
      <c r="Y3810" s="2" t="s">
        <v>39</v>
      </c>
      <c r="Z3810" s="2" t="s">
        <v>38</v>
      </c>
      <c r="AA3810" s="2" t="s">
        <v>38</v>
      </c>
      <c r="AB3810" s="2" t="s">
        <v>39</v>
      </c>
      <c r="AC3810" s="2" t="s">
        <v>38</v>
      </c>
      <c r="AD3810" s="2" t="s">
        <v>38</v>
      </c>
      <c r="AE3810" s="2" t="s">
        <v>40</v>
      </c>
    </row>
    <row r="3811" spans="1:31" ht="409.5">
      <c r="A3811" s="2">
        <v>2688852</v>
      </c>
      <c r="B3811" s="2">
        <f>HYPERLINK("https://platform.v2.vetology.net/cases/2688852/screening-report/1?type=pdf&amp;v=v6&amp;scorecard=1&amp;secret_key=BX%25IJ%24%2F65ieZ%29f6", 2688852)</f>
        <v>2688852</v>
      </c>
      <c r="C3811" s="2">
        <f>HYPERLINK("https://platform.v2.vetology.net/report/v/final/"&amp;2688852, 2688852)</f>
        <v>2688852</v>
      </c>
      <c r="D3811" s="2" t="s">
        <v>11994</v>
      </c>
      <c r="E3811" s="2" t="s">
        <v>11995</v>
      </c>
      <c r="F3811" s="2" t="s">
        <v>43</v>
      </c>
      <c r="G3811" s="2" t="s">
        <v>44</v>
      </c>
      <c r="H3811" s="2" t="s">
        <v>11996</v>
      </c>
      <c r="I3811" s="2" t="s">
        <v>257</v>
      </c>
      <c r="J3811" s="2" t="s">
        <v>74</v>
      </c>
      <c r="K3811" s="2" t="s">
        <v>38</v>
      </c>
      <c r="L3811" s="2" t="s">
        <v>38</v>
      </c>
      <c r="M3811" s="2" t="s">
        <v>38</v>
      </c>
      <c r="N3811" s="2" t="s">
        <v>38</v>
      </c>
      <c r="O3811" s="2" t="s">
        <v>38</v>
      </c>
      <c r="P3811" s="2" t="s">
        <v>38</v>
      </c>
      <c r="Q3811" s="2" t="s">
        <v>38</v>
      </c>
      <c r="R3811" s="2" t="s">
        <v>38</v>
      </c>
      <c r="S3811" s="2" t="s">
        <v>38</v>
      </c>
      <c r="T3811" s="2" t="s">
        <v>38</v>
      </c>
      <c r="U3811" s="2" t="s">
        <v>38</v>
      </c>
      <c r="V3811" s="2" t="s">
        <v>38</v>
      </c>
      <c r="W3811" s="2" t="s">
        <v>38</v>
      </c>
      <c r="X3811" s="2" t="s">
        <v>38</v>
      </c>
      <c r="Y3811" s="2" t="s">
        <v>38</v>
      </c>
      <c r="Z3811" s="2" t="s">
        <v>38</v>
      </c>
      <c r="AA3811" s="2" t="s">
        <v>38</v>
      </c>
      <c r="AB3811" s="2" t="s">
        <v>38</v>
      </c>
      <c r="AC3811" s="2" t="s">
        <v>38</v>
      </c>
      <c r="AD3811" s="2" t="s">
        <v>38</v>
      </c>
      <c r="AE3811" s="2"/>
    </row>
    <row r="3812" spans="1:31" ht="409.5">
      <c r="A3812" s="2">
        <v>2688842</v>
      </c>
      <c r="B3812" s="2">
        <f>HYPERLINK("https://platform.v2.vetology.net/cases/2688842/screening-report/1?type=pdf&amp;v=v6&amp;scorecard=1&amp;secret_key=BX%25IJ%24%2F65ieZ%29f6", 2688842)</f>
        <v>2688842</v>
      </c>
      <c r="C3812" s="2">
        <f>HYPERLINK("https://platform.v2.vetology.net/report/v/final/"&amp;2688842, 2688842)</f>
        <v>2688842</v>
      </c>
      <c r="D3812" s="2" t="s">
        <v>11997</v>
      </c>
      <c r="E3812" s="2" t="s">
        <v>11998</v>
      </c>
      <c r="F3812" s="2" t="s">
        <v>119</v>
      </c>
      <c r="G3812" s="2" t="s">
        <v>111</v>
      </c>
      <c r="H3812" s="2" t="s">
        <v>11010</v>
      </c>
      <c r="I3812" s="2" t="s">
        <v>36</v>
      </c>
      <c r="J3812" s="2" t="s">
        <v>37</v>
      </c>
      <c r="K3812" s="2" t="s">
        <v>39</v>
      </c>
      <c r="L3812" s="2" t="s">
        <v>38</v>
      </c>
      <c r="M3812" s="2" t="s">
        <v>39</v>
      </c>
      <c r="N3812" s="2" t="s">
        <v>38</v>
      </c>
      <c r="O3812" s="2" t="s">
        <v>38</v>
      </c>
      <c r="P3812" s="2" t="s">
        <v>39</v>
      </c>
      <c r="Q3812" s="2" t="s">
        <v>39</v>
      </c>
      <c r="R3812" s="2" t="s">
        <v>39</v>
      </c>
      <c r="S3812" s="2" t="s">
        <v>38</v>
      </c>
      <c r="T3812" s="2" t="s">
        <v>39</v>
      </c>
      <c r="U3812" s="2" t="s">
        <v>39</v>
      </c>
      <c r="V3812" s="2" t="s">
        <v>39</v>
      </c>
      <c r="W3812" s="2" t="s">
        <v>39</v>
      </c>
      <c r="X3812" s="2" t="s">
        <v>39</v>
      </c>
      <c r="Y3812" s="2" t="s">
        <v>39</v>
      </c>
      <c r="Z3812" s="2" t="s">
        <v>38</v>
      </c>
      <c r="AA3812" s="2" t="s">
        <v>38</v>
      </c>
      <c r="AB3812" s="2" t="s">
        <v>39</v>
      </c>
      <c r="AC3812" s="2" t="s">
        <v>39</v>
      </c>
      <c r="AD3812" s="2" t="s">
        <v>38</v>
      </c>
      <c r="AE3812" s="2"/>
    </row>
    <row r="3813" spans="1:31" ht="409.5">
      <c r="A3813" s="2">
        <v>2688839</v>
      </c>
      <c r="B3813" s="2">
        <f>HYPERLINK("https://platform.v2.vetology.net/cases/2688839/screening-report/1?type=pdf&amp;v=v6&amp;scorecard=1&amp;secret_key=BX%25IJ%24%2F65ieZ%29f6", 2688839)</f>
        <v>2688839</v>
      </c>
      <c r="C3813" s="2">
        <f>HYPERLINK("https://platform.v2.vetology.net/report/v/final/"&amp;2688839, 2688839)</f>
        <v>2688839</v>
      </c>
      <c r="D3813" s="2" t="s">
        <v>11999</v>
      </c>
      <c r="E3813" s="2" t="s">
        <v>12000</v>
      </c>
      <c r="F3813" s="2" t="s">
        <v>12001</v>
      </c>
      <c r="G3813" s="2" t="s">
        <v>170</v>
      </c>
      <c r="H3813" s="2" t="s">
        <v>69</v>
      </c>
      <c r="I3813" s="2" t="s">
        <v>46</v>
      </c>
      <c r="J3813" s="2"/>
      <c r="K3813" s="2" t="s">
        <v>39</v>
      </c>
      <c r="L3813" s="2" t="s">
        <v>39</v>
      </c>
      <c r="M3813" s="2" t="s">
        <v>39</v>
      </c>
      <c r="N3813" s="2" t="s">
        <v>39</v>
      </c>
      <c r="O3813" s="2" t="s">
        <v>39</v>
      </c>
      <c r="P3813" s="2" t="s">
        <v>39</v>
      </c>
      <c r="Q3813" s="2" t="s">
        <v>39</v>
      </c>
      <c r="R3813" s="2" t="s">
        <v>39</v>
      </c>
      <c r="S3813" s="2" t="s">
        <v>39</v>
      </c>
      <c r="T3813" s="2" t="s">
        <v>39</v>
      </c>
      <c r="U3813" s="2" t="s">
        <v>39</v>
      </c>
      <c r="V3813" s="2" t="s">
        <v>39</v>
      </c>
      <c r="W3813" s="2" t="s">
        <v>39</v>
      </c>
      <c r="X3813" s="2" t="s">
        <v>39</v>
      </c>
      <c r="Y3813" s="2" t="s">
        <v>39</v>
      </c>
      <c r="Z3813" s="2" t="s">
        <v>39</v>
      </c>
      <c r="AA3813" s="2" t="s">
        <v>39</v>
      </c>
      <c r="AB3813" s="2" t="s">
        <v>39</v>
      </c>
      <c r="AC3813" s="2" t="s">
        <v>39</v>
      </c>
      <c r="AD3813" s="2" t="s">
        <v>39</v>
      </c>
      <c r="AE3813" s="2" t="s">
        <v>39</v>
      </c>
    </row>
    <row r="3814" spans="1:31" ht="409.5">
      <c r="A3814" s="2">
        <v>2688837</v>
      </c>
      <c r="B3814" s="2">
        <f>HYPERLINK("https://platform.v2.vetology.net/cases/2688837/screening-report/1?type=pdf&amp;v=v6&amp;scorecard=1&amp;secret_key=BX%25IJ%24%2F65ieZ%29f6", 2688837)</f>
        <v>2688837</v>
      </c>
      <c r="C3814" s="2">
        <f>HYPERLINK("https://platform.v2.vetology.net/report/v/final/"&amp;2688837, 2688837)</f>
        <v>2688837</v>
      </c>
      <c r="D3814" s="2" t="s">
        <v>12002</v>
      </c>
      <c r="E3814" s="2" t="s">
        <v>12003</v>
      </c>
      <c r="F3814" s="2"/>
      <c r="G3814" s="2" t="s">
        <v>100</v>
      </c>
      <c r="H3814" s="2" t="s">
        <v>537</v>
      </c>
      <c r="I3814" s="2" t="s">
        <v>59</v>
      </c>
      <c r="J3814" s="2" t="s">
        <v>37</v>
      </c>
      <c r="K3814" s="2" t="s">
        <v>38</v>
      </c>
      <c r="L3814" s="2" t="s">
        <v>39</v>
      </c>
      <c r="M3814" s="2" t="s">
        <v>39</v>
      </c>
      <c r="N3814" s="2" t="s">
        <v>39</v>
      </c>
      <c r="O3814" s="2" t="s">
        <v>39</v>
      </c>
      <c r="P3814" s="2" t="s">
        <v>39</v>
      </c>
      <c r="Q3814" s="2" t="s">
        <v>39</v>
      </c>
      <c r="R3814" s="2" t="s">
        <v>39</v>
      </c>
      <c r="S3814" s="2" t="s">
        <v>39</v>
      </c>
      <c r="T3814" s="2" t="s">
        <v>39</v>
      </c>
      <c r="U3814" s="2" t="s">
        <v>38</v>
      </c>
      <c r="V3814" s="2" t="s">
        <v>38</v>
      </c>
      <c r="W3814" s="2" t="s">
        <v>39</v>
      </c>
      <c r="X3814" s="2" t="s">
        <v>39</v>
      </c>
      <c r="Y3814" s="2" t="s">
        <v>39</v>
      </c>
      <c r="Z3814" s="2" t="s">
        <v>39</v>
      </c>
      <c r="AA3814" s="2" t="s">
        <v>39</v>
      </c>
      <c r="AB3814" s="2" t="s">
        <v>39</v>
      </c>
      <c r="AC3814" s="2" t="s">
        <v>39</v>
      </c>
      <c r="AD3814" s="2" t="s">
        <v>39</v>
      </c>
      <c r="AE3814" s="2" t="s">
        <v>39</v>
      </c>
    </row>
    <row r="3815" spans="1:31" ht="409.5">
      <c r="A3815" s="2">
        <v>2688799</v>
      </c>
      <c r="B3815" s="2">
        <f>HYPERLINK("https://platform.v2.vetology.net/cases/2688799/screening-report/1?type=pdf&amp;v=v6&amp;scorecard=1&amp;secret_key=BX%25IJ%24%2F65ieZ%29f6", 2688799)</f>
        <v>2688799</v>
      </c>
      <c r="C3815" s="2">
        <f>HYPERLINK("https://platform.v2.vetology.net/report/v/final/"&amp;2688799, 2688799)</f>
        <v>2688799</v>
      </c>
      <c r="D3815" s="2" t="s">
        <v>12004</v>
      </c>
      <c r="E3815" s="2" t="s">
        <v>12005</v>
      </c>
      <c r="F3815" s="2" t="s">
        <v>43</v>
      </c>
      <c r="G3815" s="2" t="s">
        <v>100</v>
      </c>
      <c r="H3815" s="2" t="s">
        <v>12006</v>
      </c>
      <c r="I3815" s="2" t="s">
        <v>36</v>
      </c>
      <c r="J3815" s="2" t="s">
        <v>37</v>
      </c>
      <c r="K3815" s="2" t="s">
        <v>38</v>
      </c>
      <c r="L3815" s="2" t="s">
        <v>38</v>
      </c>
      <c r="M3815" s="2" t="s">
        <v>39</v>
      </c>
      <c r="N3815" s="2" t="s">
        <v>38</v>
      </c>
      <c r="O3815" s="2" t="s">
        <v>38</v>
      </c>
      <c r="P3815" s="2" t="s">
        <v>39</v>
      </c>
      <c r="Q3815" s="2" t="s">
        <v>39</v>
      </c>
      <c r="R3815" s="2" t="s">
        <v>38</v>
      </c>
      <c r="S3815" s="2" t="s">
        <v>38</v>
      </c>
      <c r="T3815" s="2" t="s">
        <v>39</v>
      </c>
      <c r="U3815" s="2" t="s">
        <v>38</v>
      </c>
      <c r="V3815" s="2" t="s">
        <v>38</v>
      </c>
      <c r="W3815" s="2" t="s">
        <v>39</v>
      </c>
      <c r="X3815" s="2" t="s">
        <v>39</v>
      </c>
      <c r="Y3815" s="2" t="s">
        <v>39</v>
      </c>
      <c r="Z3815" s="2" t="s">
        <v>39</v>
      </c>
      <c r="AA3815" s="2" t="s">
        <v>38</v>
      </c>
      <c r="AB3815" s="2" t="s">
        <v>39</v>
      </c>
      <c r="AC3815" s="2" t="s">
        <v>38</v>
      </c>
      <c r="AD3815" s="2" t="s">
        <v>38</v>
      </c>
      <c r="AE3815" s="2" t="s">
        <v>39</v>
      </c>
    </row>
    <row r="3816" spans="1:31" ht="409.5">
      <c r="A3816" s="2">
        <v>2688784</v>
      </c>
      <c r="B3816" s="2">
        <f>HYPERLINK("https://platform.v2.vetology.net/cases/2688784/screening-report/1?type=pdf&amp;v=v6&amp;scorecard=1&amp;secret_key=BX%25IJ%24%2F65ieZ%29f6", 2688784)</f>
        <v>2688784</v>
      </c>
      <c r="C3816" s="2">
        <f>HYPERLINK("https://platform.v2.vetology.net/report/v/final/"&amp;2688784, 2688784)</f>
        <v>2688784</v>
      </c>
      <c r="D3816" s="2" t="s">
        <v>12007</v>
      </c>
      <c r="E3816" s="2" t="s">
        <v>12008</v>
      </c>
      <c r="F3816" s="2" t="s">
        <v>43</v>
      </c>
      <c r="G3816" s="2" t="s">
        <v>100</v>
      </c>
      <c r="H3816" s="2" t="s">
        <v>12009</v>
      </c>
      <c r="I3816" s="2" t="s">
        <v>73</v>
      </c>
      <c r="J3816" s="2" t="s">
        <v>74</v>
      </c>
      <c r="K3816" s="2" t="s">
        <v>38</v>
      </c>
      <c r="L3816" s="2" t="s">
        <v>38</v>
      </c>
      <c r="M3816" s="2" t="s">
        <v>38</v>
      </c>
      <c r="N3816" s="2" t="s">
        <v>38</v>
      </c>
      <c r="O3816" s="2" t="s">
        <v>38</v>
      </c>
      <c r="P3816" s="2" t="s">
        <v>38</v>
      </c>
      <c r="Q3816" s="2" t="s">
        <v>38</v>
      </c>
      <c r="R3816" s="2" t="s">
        <v>39</v>
      </c>
      <c r="S3816" s="2" t="s">
        <v>38</v>
      </c>
      <c r="T3816" s="2" t="s">
        <v>38</v>
      </c>
      <c r="U3816" s="2" t="s">
        <v>38</v>
      </c>
      <c r="V3816" s="2" t="s">
        <v>38</v>
      </c>
      <c r="W3816" s="2" t="s">
        <v>38</v>
      </c>
      <c r="X3816" s="2" t="s">
        <v>38</v>
      </c>
      <c r="Y3816" s="2" t="s">
        <v>38</v>
      </c>
      <c r="Z3816" s="2" t="s">
        <v>38</v>
      </c>
      <c r="AA3816" s="2" t="s">
        <v>38</v>
      </c>
      <c r="AB3816" s="2" t="s">
        <v>38</v>
      </c>
      <c r="AC3816" s="2" t="s">
        <v>38</v>
      </c>
      <c r="AD3816" s="2" t="s">
        <v>39</v>
      </c>
      <c r="AE3816" s="2" t="s">
        <v>40</v>
      </c>
    </row>
    <row r="3817" spans="1:31" ht="409.5">
      <c r="A3817" s="2">
        <v>2688773</v>
      </c>
      <c r="B3817" s="2">
        <f>HYPERLINK("https://platform.v2.vetology.net/cases/2688773/screening-report/1?type=pdf&amp;v=v6&amp;scorecard=1&amp;secret_key=BX%25IJ%24%2F65ieZ%29f6", 2688773)</f>
        <v>2688773</v>
      </c>
      <c r="C3817" s="2">
        <f>HYPERLINK("https://platform.v2.vetology.net/report/v/final/"&amp;2688773, 2688773)</f>
        <v>2688773</v>
      </c>
      <c r="D3817" s="2" t="s">
        <v>12010</v>
      </c>
      <c r="E3817" s="2" t="s">
        <v>12011</v>
      </c>
      <c r="F3817" s="2" t="s">
        <v>12012</v>
      </c>
      <c r="G3817" s="2" t="s">
        <v>170</v>
      </c>
      <c r="H3817" s="2" t="s">
        <v>12013</v>
      </c>
      <c r="I3817" s="2" t="s">
        <v>36</v>
      </c>
      <c r="J3817" s="2" t="s">
        <v>37</v>
      </c>
      <c r="K3817" s="2" t="s">
        <v>39</v>
      </c>
      <c r="L3817" s="2" t="s">
        <v>38</v>
      </c>
      <c r="M3817" s="2" t="s">
        <v>39</v>
      </c>
      <c r="N3817" s="2" t="s">
        <v>39</v>
      </c>
      <c r="O3817" s="2" t="s">
        <v>38</v>
      </c>
      <c r="P3817" s="2" t="s">
        <v>38</v>
      </c>
      <c r="Q3817" s="2" t="s">
        <v>39</v>
      </c>
      <c r="R3817" s="2" t="s">
        <v>39</v>
      </c>
      <c r="S3817" s="2" t="s">
        <v>38</v>
      </c>
      <c r="T3817" s="2" t="s">
        <v>38</v>
      </c>
      <c r="U3817" s="2" t="s">
        <v>39</v>
      </c>
      <c r="V3817" s="2" t="s">
        <v>39</v>
      </c>
      <c r="W3817" s="2" t="s">
        <v>38</v>
      </c>
      <c r="X3817" s="2" t="s">
        <v>39</v>
      </c>
      <c r="Y3817" s="2" t="s">
        <v>39</v>
      </c>
      <c r="Z3817" s="2" t="s">
        <v>39</v>
      </c>
      <c r="AA3817" s="2" t="s">
        <v>38</v>
      </c>
      <c r="AB3817" s="2" t="s">
        <v>39</v>
      </c>
      <c r="AC3817" s="2" t="s">
        <v>38</v>
      </c>
      <c r="AD3817" s="2" t="s">
        <v>39</v>
      </c>
      <c r="AE3817" s="2" t="s">
        <v>39</v>
      </c>
    </row>
    <row r="3818" spans="1:31" ht="409.5">
      <c r="A3818" s="2">
        <v>2688766</v>
      </c>
      <c r="B3818" s="2">
        <f>HYPERLINK("https://platform.v2.vetology.net/cases/2688766/screening-report/1?type=pdf&amp;v=v6&amp;scorecard=1&amp;secret_key=BX%25IJ%24%2F65ieZ%29f6", 2688766)</f>
        <v>2688766</v>
      </c>
      <c r="C3818" s="2">
        <f>HYPERLINK("https://platform.v2.vetology.net/report/v/final/"&amp;2688766, 2688766)</f>
        <v>2688766</v>
      </c>
      <c r="D3818" s="2" t="s">
        <v>12014</v>
      </c>
      <c r="E3818" s="2" t="s">
        <v>12015</v>
      </c>
      <c r="F3818" s="2" t="s">
        <v>12016</v>
      </c>
      <c r="G3818" s="2" t="s">
        <v>44</v>
      </c>
      <c r="H3818" s="2" t="s">
        <v>3447</v>
      </c>
      <c r="I3818" s="2" t="s">
        <v>36</v>
      </c>
      <c r="J3818" s="2" t="s">
        <v>37</v>
      </c>
      <c r="K3818" s="2" t="s">
        <v>38</v>
      </c>
      <c r="L3818" s="2" t="s">
        <v>38</v>
      </c>
      <c r="M3818" s="2" t="s">
        <v>39</v>
      </c>
      <c r="N3818" s="2" t="s">
        <v>38</v>
      </c>
      <c r="O3818" s="2" t="s">
        <v>38</v>
      </c>
      <c r="P3818" s="2" t="s">
        <v>39</v>
      </c>
      <c r="Q3818" s="2" t="s">
        <v>39</v>
      </c>
      <c r="R3818" s="2" t="s">
        <v>38</v>
      </c>
      <c r="S3818" s="2" t="s">
        <v>38</v>
      </c>
      <c r="T3818" s="2" t="s">
        <v>39</v>
      </c>
      <c r="U3818" s="2" t="s">
        <v>38</v>
      </c>
      <c r="V3818" s="2" t="s">
        <v>38</v>
      </c>
      <c r="W3818" s="2" t="s">
        <v>38</v>
      </c>
      <c r="X3818" s="2" t="s">
        <v>39</v>
      </c>
      <c r="Y3818" s="2" t="s">
        <v>38</v>
      </c>
      <c r="Z3818" s="2" t="s">
        <v>38</v>
      </c>
      <c r="AA3818" s="2" t="s">
        <v>38</v>
      </c>
      <c r="AB3818" s="2" t="s">
        <v>39</v>
      </c>
      <c r="AC3818" s="2" t="s">
        <v>38</v>
      </c>
      <c r="AD3818" s="2" t="s">
        <v>39</v>
      </c>
      <c r="AE3818" s="2" t="s">
        <v>39</v>
      </c>
    </row>
    <row r="3819" spans="1:31" ht="409.5">
      <c r="A3819" s="2">
        <v>2688762</v>
      </c>
      <c r="B3819" s="2">
        <f>HYPERLINK("https://platform.v2.vetology.net/cases/2688762/screening-report/1?type=pdf&amp;v=v6&amp;scorecard=1&amp;secret_key=BX%25IJ%24%2F65ieZ%29f6", 2688762)</f>
        <v>2688762</v>
      </c>
      <c r="C3819" s="2">
        <f>HYPERLINK("https://platform.v2.vetology.net/report/v/final/"&amp;2688762, 2688762)</f>
        <v>2688762</v>
      </c>
      <c r="D3819" s="2" t="s">
        <v>12017</v>
      </c>
      <c r="E3819" s="2" t="s">
        <v>12018</v>
      </c>
      <c r="F3819" s="2" t="s">
        <v>12019</v>
      </c>
      <c r="G3819" s="2" t="s">
        <v>415</v>
      </c>
      <c r="H3819" s="2" t="s">
        <v>1155</v>
      </c>
      <c r="I3819" s="2" t="s">
        <v>36</v>
      </c>
      <c r="J3819" s="2" t="s">
        <v>37</v>
      </c>
      <c r="K3819" s="2" t="s">
        <v>39</v>
      </c>
      <c r="L3819" s="2" t="s">
        <v>39</v>
      </c>
      <c r="M3819" s="2" t="s">
        <v>38</v>
      </c>
      <c r="N3819" s="2" t="s">
        <v>38</v>
      </c>
      <c r="O3819" s="2" t="s">
        <v>39</v>
      </c>
      <c r="P3819" s="2" t="s">
        <v>39</v>
      </c>
      <c r="Q3819" s="2" t="s">
        <v>39</v>
      </c>
      <c r="R3819" s="2" t="s">
        <v>39</v>
      </c>
      <c r="S3819" s="2" t="s">
        <v>39</v>
      </c>
      <c r="T3819" s="2" t="s">
        <v>39</v>
      </c>
      <c r="U3819" s="2" t="s">
        <v>39</v>
      </c>
      <c r="V3819" s="2" t="s">
        <v>39</v>
      </c>
      <c r="W3819" s="2" t="s">
        <v>39</v>
      </c>
      <c r="X3819" s="2" t="s">
        <v>39</v>
      </c>
      <c r="Y3819" s="2" t="s">
        <v>39</v>
      </c>
      <c r="Z3819" s="2" t="s">
        <v>38</v>
      </c>
      <c r="AA3819" s="2" t="s">
        <v>39</v>
      </c>
      <c r="AB3819" s="2" t="s">
        <v>39</v>
      </c>
      <c r="AC3819" s="2" t="s">
        <v>38</v>
      </c>
      <c r="AD3819" s="2" t="s">
        <v>38</v>
      </c>
      <c r="AE3819" s="2" t="s">
        <v>40</v>
      </c>
    </row>
    <row r="3820" spans="1:31" ht="409.5">
      <c r="A3820" s="2">
        <v>2688751</v>
      </c>
      <c r="B3820" s="2">
        <f>HYPERLINK("https://platform.v2.vetology.net/cases/2688751/screening-report/1?type=pdf&amp;v=v6&amp;scorecard=1&amp;secret_key=BX%25IJ%24%2F65ieZ%29f6", 2688751)</f>
        <v>2688751</v>
      </c>
      <c r="C3820" s="2">
        <f>HYPERLINK("https://platform.v2.vetology.net/report/v/final/"&amp;2688751, 2688751)</f>
        <v>2688751</v>
      </c>
      <c r="D3820" s="2" t="s">
        <v>12020</v>
      </c>
      <c r="E3820" s="2" t="s">
        <v>12021</v>
      </c>
      <c r="F3820" s="2" t="s">
        <v>12022</v>
      </c>
      <c r="G3820" s="2" t="s">
        <v>170</v>
      </c>
      <c r="H3820" s="2" t="s">
        <v>69</v>
      </c>
      <c r="I3820" s="2" t="s">
        <v>46</v>
      </c>
      <c r="J3820" s="2"/>
      <c r="K3820" s="2" t="s">
        <v>39</v>
      </c>
      <c r="L3820" s="2" t="s">
        <v>39</v>
      </c>
      <c r="M3820" s="2" t="s">
        <v>39</v>
      </c>
      <c r="N3820" s="2" t="s">
        <v>39</v>
      </c>
      <c r="O3820" s="2" t="s">
        <v>39</v>
      </c>
      <c r="P3820" s="2" t="s">
        <v>39</v>
      </c>
      <c r="Q3820" s="2" t="s">
        <v>39</v>
      </c>
      <c r="R3820" s="2" t="s">
        <v>39</v>
      </c>
      <c r="S3820" s="2" t="s">
        <v>39</v>
      </c>
      <c r="T3820" s="2" t="s">
        <v>39</v>
      </c>
      <c r="U3820" s="2" t="s">
        <v>39</v>
      </c>
      <c r="V3820" s="2" t="s">
        <v>39</v>
      </c>
      <c r="W3820" s="2" t="s">
        <v>39</v>
      </c>
      <c r="X3820" s="2" t="s">
        <v>39</v>
      </c>
      <c r="Y3820" s="2" t="s">
        <v>39</v>
      </c>
      <c r="Z3820" s="2" t="s">
        <v>39</v>
      </c>
      <c r="AA3820" s="2" t="s">
        <v>39</v>
      </c>
      <c r="AB3820" s="2" t="s">
        <v>39</v>
      </c>
      <c r="AC3820" s="2" t="s">
        <v>39</v>
      </c>
      <c r="AD3820" s="2" t="s">
        <v>39</v>
      </c>
      <c r="AE3820" s="2" t="s">
        <v>40</v>
      </c>
    </row>
    <row r="3821" spans="1:31" ht="409.5">
      <c r="A3821" s="2">
        <v>2688748</v>
      </c>
      <c r="B3821" s="2">
        <f>HYPERLINK("https://platform.v2.vetology.net/cases/2688748/screening-report/1?type=pdf&amp;v=v6&amp;scorecard=1&amp;secret_key=BX%25IJ%24%2F65ieZ%29f6", 2688748)</f>
        <v>2688748</v>
      </c>
      <c r="C3821" s="2">
        <f>HYPERLINK("https://platform.v2.vetology.net/report/v/final/"&amp;2688748, 2688748)</f>
        <v>2688748</v>
      </c>
      <c r="D3821" s="2" t="s">
        <v>12023</v>
      </c>
      <c r="E3821" s="2" t="s">
        <v>12024</v>
      </c>
      <c r="F3821" s="2"/>
      <c r="G3821" s="2" t="s">
        <v>100</v>
      </c>
      <c r="H3821" s="2" t="s">
        <v>12025</v>
      </c>
      <c r="I3821" s="2" t="s">
        <v>36</v>
      </c>
      <c r="J3821" s="2" t="s">
        <v>37</v>
      </c>
      <c r="K3821" s="2" t="s">
        <v>39</v>
      </c>
      <c r="L3821" s="2" t="s">
        <v>38</v>
      </c>
      <c r="M3821" s="2" t="s">
        <v>39</v>
      </c>
      <c r="N3821" s="2" t="s">
        <v>39</v>
      </c>
      <c r="O3821" s="2" t="s">
        <v>38</v>
      </c>
      <c r="P3821" s="2" t="s">
        <v>38</v>
      </c>
      <c r="Q3821" s="2" t="s">
        <v>39</v>
      </c>
      <c r="R3821" s="2" t="s">
        <v>39</v>
      </c>
      <c r="S3821" s="2" t="s">
        <v>38</v>
      </c>
      <c r="T3821" s="2" t="s">
        <v>39</v>
      </c>
      <c r="U3821" s="2" t="s">
        <v>39</v>
      </c>
      <c r="V3821" s="2" t="s">
        <v>38</v>
      </c>
      <c r="W3821" s="2" t="s">
        <v>39</v>
      </c>
      <c r="X3821" s="2" t="s">
        <v>38</v>
      </c>
      <c r="Y3821" s="2" t="s">
        <v>39</v>
      </c>
      <c r="Z3821" s="2" t="s">
        <v>38</v>
      </c>
      <c r="AA3821" s="2" t="s">
        <v>39</v>
      </c>
      <c r="AB3821" s="2" t="s">
        <v>39</v>
      </c>
      <c r="AC3821" s="2" t="s">
        <v>38</v>
      </c>
      <c r="AD3821" s="2" t="s">
        <v>38</v>
      </c>
      <c r="AE3821" s="2" t="s">
        <v>39</v>
      </c>
    </row>
    <row r="3822" spans="1:31" ht="409.5">
      <c r="A3822" s="2">
        <v>2688745</v>
      </c>
      <c r="B3822" s="2">
        <f>HYPERLINK("https://platform.v2.vetology.net/cases/2688745/screening-report/1?type=pdf&amp;v=v6&amp;scorecard=1&amp;secret_key=BX%25IJ%24%2F65ieZ%29f6", 2688745)</f>
        <v>2688745</v>
      </c>
      <c r="C3822" s="2">
        <f>HYPERLINK("https://platform.v2.vetology.net/report/v/final/"&amp;2688745, 2688745)</f>
        <v>2688745</v>
      </c>
      <c r="D3822" s="2" t="s">
        <v>12026</v>
      </c>
      <c r="E3822" s="2" t="s">
        <v>12027</v>
      </c>
      <c r="F3822" s="2" t="s">
        <v>12028</v>
      </c>
      <c r="G3822" s="2" t="s">
        <v>53</v>
      </c>
      <c r="H3822" s="2" t="s">
        <v>4932</v>
      </c>
      <c r="I3822" s="2" t="s">
        <v>36</v>
      </c>
      <c r="J3822" s="2" t="s">
        <v>37</v>
      </c>
      <c r="K3822" s="2" t="s">
        <v>39</v>
      </c>
      <c r="L3822" s="2" t="s">
        <v>38</v>
      </c>
      <c r="M3822" s="2" t="s">
        <v>38</v>
      </c>
      <c r="N3822" s="2" t="s">
        <v>39</v>
      </c>
      <c r="O3822" s="2" t="s">
        <v>39</v>
      </c>
      <c r="P3822" s="2" t="s">
        <v>39</v>
      </c>
      <c r="Q3822" s="2" t="s">
        <v>39</v>
      </c>
      <c r="R3822" s="2" t="s">
        <v>38</v>
      </c>
      <c r="S3822" s="2" t="s">
        <v>38</v>
      </c>
      <c r="T3822" s="2" t="s">
        <v>39</v>
      </c>
      <c r="U3822" s="2" t="s">
        <v>39</v>
      </c>
      <c r="V3822" s="2" t="s">
        <v>39</v>
      </c>
      <c r="W3822" s="2" t="s">
        <v>39</v>
      </c>
      <c r="X3822" s="2" t="s">
        <v>39</v>
      </c>
      <c r="Y3822" s="2" t="s">
        <v>39</v>
      </c>
      <c r="Z3822" s="2" t="s">
        <v>39</v>
      </c>
      <c r="AA3822" s="2" t="s">
        <v>38</v>
      </c>
      <c r="AB3822" s="2" t="s">
        <v>39</v>
      </c>
      <c r="AC3822" s="2" t="s">
        <v>38</v>
      </c>
      <c r="AD3822" s="2" t="s">
        <v>38</v>
      </c>
      <c r="AE3822" s="2" t="s">
        <v>40</v>
      </c>
    </row>
    <row r="3823" spans="1:31" ht="409.5">
      <c r="A3823" s="2">
        <v>2688723</v>
      </c>
      <c r="B3823" s="2">
        <f>HYPERLINK("https://platform.v2.vetology.net/cases/2688723/screening-report/1?type=pdf&amp;v=v6&amp;scorecard=1&amp;secret_key=BX%25IJ%24%2F65ieZ%29f6", 2688723)</f>
        <v>2688723</v>
      </c>
      <c r="C3823" s="2">
        <f>HYPERLINK("https://platform.v2.vetology.net/report/v/final/"&amp;2688723, 2688723)</f>
        <v>2688723</v>
      </c>
      <c r="D3823" s="2" t="s">
        <v>12029</v>
      </c>
      <c r="E3823" s="2" t="s">
        <v>12030</v>
      </c>
      <c r="F3823" s="2" t="s">
        <v>12031</v>
      </c>
      <c r="G3823" s="2" t="s">
        <v>415</v>
      </c>
      <c r="H3823" s="2" t="s">
        <v>12032</v>
      </c>
      <c r="I3823" s="2" t="s">
        <v>36</v>
      </c>
      <c r="J3823" s="2" t="s">
        <v>37</v>
      </c>
      <c r="K3823" s="2" t="s">
        <v>38</v>
      </c>
      <c r="L3823" s="2" t="s">
        <v>39</v>
      </c>
      <c r="M3823" s="2" t="s">
        <v>38</v>
      </c>
      <c r="N3823" s="2" t="s">
        <v>38</v>
      </c>
      <c r="O3823" s="2" t="s">
        <v>38</v>
      </c>
      <c r="P3823" s="2" t="s">
        <v>39</v>
      </c>
      <c r="Q3823" s="2" t="s">
        <v>39</v>
      </c>
      <c r="R3823" s="2" t="s">
        <v>38</v>
      </c>
      <c r="S3823" s="2" t="s">
        <v>38</v>
      </c>
      <c r="T3823" s="2" t="s">
        <v>38</v>
      </c>
      <c r="U3823" s="2" t="s">
        <v>38</v>
      </c>
      <c r="V3823" s="2" t="s">
        <v>38</v>
      </c>
      <c r="W3823" s="2" t="s">
        <v>38</v>
      </c>
      <c r="X3823" s="2" t="s">
        <v>39</v>
      </c>
      <c r="Y3823" s="2" t="s">
        <v>39</v>
      </c>
      <c r="Z3823" s="2" t="s">
        <v>38</v>
      </c>
      <c r="AA3823" s="2" t="s">
        <v>38</v>
      </c>
      <c r="AB3823" s="2" t="s">
        <v>39</v>
      </c>
      <c r="AC3823" s="2" t="s">
        <v>38</v>
      </c>
      <c r="AD3823" s="2" t="s">
        <v>38</v>
      </c>
      <c r="AE3823" s="2" t="s">
        <v>39</v>
      </c>
    </row>
    <row r="3824" spans="1:31" ht="409.5">
      <c r="A3824" s="2">
        <v>2688719</v>
      </c>
      <c r="B3824" s="2">
        <f>HYPERLINK("https://platform.v2.vetology.net/cases/2688719/screening-report/1?type=pdf&amp;v=v6&amp;scorecard=1&amp;secret_key=BX%25IJ%24%2F65ieZ%29f6", 2688719)</f>
        <v>2688719</v>
      </c>
      <c r="C3824" s="2">
        <f>HYPERLINK("https://platform.v2.vetology.net/report/v/final/"&amp;2688719, 2688719)</f>
        <v>2688719</v>
      </c>
      <c r="D3824" s="2" t="s">
        <v>12033</v>
      </c>
      <c r="E3824" s="2" t="s">
        <v>12034</v>
      </c>
      <c r="F3824" s="2" t="s">
        <v>12035</v>
      </c>
      <c r="G3824" s="2" t="s">
        <v>34</v>
      </c>
      <c r="H3824" s="2" t="s">
        <v>12036</v>
      </c>
      <c r="I3824" s="2" t="s">
        <v>129</v>
      </c>
      <c r="J3824" s="2" t="s">
        <v>74</v>
      </c>
      <c r="K3824" s="2" t="s">
        <v>39</v>
      </c>
      <c r="L3824" s="2" t="s">
        <v>39</v>
      </c>
      <c r="M3824" s="2" t="s">
        <v>38</v>
      </c>
      <c r="N3824" s="2" t="s">
        <v>39</v>
      </c>
      <c r="O3824" s="2" t="s">
        <v>39</v>
      </c>
      <c r="P3824" s="2" t="s">
        <v>38</v>
      </c>
      <c r="Q3824" s="2" t="s">
        <v>38</v>
      </c>
      <c r="R3824" s="2" t="s">
        <v>38</v>
      </c>
      <c r="S3824" s="2" t="s">
        <v>38</v>
      </c>
      <c r="T3824" s="2" t="s">
        <v>38</v>
      </c>
      <c r="U3824" s="2" t="s">
        <v>39</v>
      </c>
      <c r="V3824" s="2" t="s">
        <v>39</v>
      </c>
      <c r="W3824" s="2" t="s">
        <v>38</v>
      </c>
      <c r="X3824" s="2" t="s">
        <v>38</v>
      </c>
      <c r="Y3824" s="2" t="s">
        <v>38</v>
      </c>
      <c r="Z3824" s="2" t="s">
        <v>38</v>
      </c>
      <c r="AA3824" s="2" t="s">
        <v>39</v>
      </c>
      <c r="AB3824" s="2" t="s">
        <v>38</v>
      </c>
      <c r="AC3824" s="2" t="s">
        <v>38</v>
      </c>
      <c r="AD3824" s="2" t="s">
        <v>39</v>
      </c>
      <c r="AE3824" s="2"/>
    </row>
    <row r="3825" spans="1:31" ht="409.5">
      <c r="A3825" s="2">
        <v>2688670</v>
      </c>
      <c r="B3825" s="2">
        <f>HYPERLINK("https://platform.v2.vetology.net/cases/2688670/screening-report/1?type=pdf&amp;v=v6&amp;scorecard=1&amp;secret_key=BX%25IJ%24%2F65ieZ%29f6", 2688670)</f>
        <v>2688670</v>
      </c>
      <c r="C3825" s="2">
        <f>HYPERLINK("https://platform.v2.vetology.net/report/v/final/"&amp;2688670, 2688670)</f>
        <v>2688670</v>
      </c>
      <c r="D3825" s="2" t="s">
        <v>12037</v>
      </c>
      <c r="E3825" s="2" t="s">
        <v>12038</v>
      </c>
      <c r="F3825" s="2" t="s">
        <v>12039</v>
      </c>
      <c r="G3825" s="2" t="s">
        <v>556</v>
      </c>
      <c r="H3825" s="2" t="s">
        <v>12040</v>
      </c>
      <c r="I3825" s="2" t="s">
        <v>73</v>
      </c>
      <c r="J3825" s="2" t="s">
        <v>74</v>
      </c>
      <c r="K3825" s="2" t="s">
        <v>38</v>
      </c>
      <c r="L3825" s="2" t="s">
        <v>38</v>
      </c>
      <c r="M3825" s="2" t="s">
        <v>38</v>
      </c>
      <c r="N3825" s="2" t="s">
        <v>38</v>
      </c>
      <c r="O3825" s="2" t="s">
        <v>38</v>
      </c>
      <c r="P3825" s="2" t="s">
        <v>38</v>
      </c>
      <c r="Q3825" s="2" t="s">
        <v>38</v>
      </c>
      <c r="R3825" s="2" t="s">
        <v>38</v>
      </c>
      <c r="S3825" s="2" t="s">
        <v>38</v>
      </c>
      <c r="T3825" s="2" t="s">
        <v>38</v>
      </c>
      <c r="U3825" s="2" t="s">
        <v>38</v>
      </c>
      <c r="V3825" s="2" t="s">
        <v>38</v>
      </c>
      <c r="W3825" s="2" t="s">
        <v>38</v>
      </c>
      <c r="X3825" s="2" t="s">
        <v>38</v>
      </c>
      <c r="Y3825" s="2" t="s">
        <v>38</v>
      </c>
      <c r="Z3825" s="2" t="s">
        <v>38</v>
      </c>
      <c r="AA3825" s="2" t="s">
        <v>38</v>
      </c>
      <c r="AB3825" s="2" t="s">
        <v>38</v>
      </c>
      <c r="AC3825" s="2" t="s">
        <v>38</v>
      </c>
      <c r="AD3825" s="2" t="s">
        <v>38</v>
      </c>
      <c r="AE3825" s="2" t="s">
        <v>39</v>
      </c>
    </row>
    <row r="3826" spans="1:31" ht="409.5">
      <c r="A3826" s="2">
        <v>2688660</v>
      </c>
      <c r="B3826" s="2">
        <f>HYPERLINK("https://platform.v2.vetology.net/cases/2688660/screening-report/1?type=pdf&amp;v=v6&amp;scorecard=1&amp;secret_key=BX%25IJ%24%2F65ieZ%29f6", 2688660)</f>
        <v>2688660</v>
      </c>
      <c r="C3826" s="2">
        <f>HYPERLINK("https://platform.v2.vetology.net/report/v/final/"&amp;2688660, 2688660)</f>
        <v>2688660</v>
      </c>
      <c r="D3826" s="2" t="s">
        <v>12041</v>
      </c>
      <c r="E3826" s="2" t="s">
        <v>12042</v>
      </c>
      <c r="F3826" s="2" t="s">
        <v>12043</v>
      </c>
      <c r="G3826" s="2" t="s">
        <v>415</v>
      </c>
      <c r="H3826" s="2" t="s">
        <v>449</v>
      </c>
      <c r="I3826" s="2" t="s">
        <v>36</v>
      </c>
      <c r="J3826" s="2" t="s">
        <v>37</v>
      </c>
      <c r="K3826" s="2" t="s">
        <v>39</v>
      </c>
      <c r="L3826" s="2" t="s">
        <v>38</v>
      </c>
      <c r="M3826" s="2" t="s">
        <v>39</v>
      </c>
      <c r="N3826" s="2" t="s">
        <v>38</v>
      </c>
      <c r="O3826" s="2" t="s">
        <v>38</v>
      </c>
      <c r="P3826" s="2" t="s">
        <v>39</v>
      </c>
      <c r="Q3826" s="2" t="s">
        <v>39</v>
      </c>
      <c r="R3826" s="2" t="s">
        <v>38</v>
      </c>
      <c r="S3826" s="2" t="s">
        <v>38</v>
      </c>
      <c r="T3826" s="2" t="s">
        <v>39</v>
      </c>
      <c r="U3826" s="2" t="s">
        <v>39</v>
      </c>
      <c r="V3826" s="2" t="s">
        <v>39</v>
      </c>
      <c r="W3826" s="2" t="s">
        <v>38</v>
      </c>
      <c r="X3826" s="2" t="s">
        <v>39</v>
      </c>
      <c r="Y3826" s="2" t="s">
        <v>39</v>
      </c>
      <c r="Z3826" s="2" t="s">
        <v>38</v>
      </c>
      <c r="AA3826" s="2" t="s">
        <v>38</v>
      </c>
      <c r="AB3826" s="2" t="s">
        <v>39</v>
      </c>
      <c r="AC3826" s="2" t="s">
        <v>38</v>
      </c>
      <c r="AD3826" s="2" t="s">
        <v>38</v>
      </c>
      <c r="AE3826" s="2" t="s">
        <v>39</v>
      </c>
    </row>
    <row r="3827" spans="1:31" ht="409.5">
      <c r="A3827" s="2">
        <v>2688656</v>
      </c>
      <c r="B3827" s="2">
        <f>HYPERLINK("https://platform.v2.vetology.net/cases/2688656/screening-report/1?type=pdf&amp;v=v6&amp;scorecard=1&amp;secret_key=BX%25IJ%24%2F65ieZ%29f6", 2688656)</f>
        <v>2688656</v>
      </c>
      <c r="C3827" s="2">
        <f>HYPERLINK("https://platform.v2.vetology.net/report/v/final/"&amp;2688656, 2688656)</f>
        <v>2688656</v>
      </c>
      <c r="D3827" s="2" t="s">
        <v>12044</v>
      </c>
      <c r="E3827" s="2" t="s">
        <v>12045</v>
      </c>
      <c r="F3827" s="2" t="s">
        <v>43</v>
      </c>
      <c r="G3827" s="2" t="s">
        <v>100</v>
      </c>
      <c r="H3827" s="2" t="s">
        <v>12046</v>
      </c>
      <c r="I3827" s="2" t="s">
        <v>36</v>
      </c>
      <c r="J3827" s="2" t="s">
        <v>37</v>
      </c>
      <c r="K3827" s="2" t="s">
        <v>38</v>
      </c>
      <c r="L3827" s="2" t="s">
        <v>38</v>
      </c>
      <c r="M3827" s="2" t="s">
        <v>38</v>
      </c>
      <c r="N3827" s="2" t="s">
        <v>38</v>
      </c>
      <c r="O3827" s="2" t="s">
        <v>38</v>
      </c>
      <c r="P3827" s="2" t="s">
        <v>39</v>
      </c>
      <c r="Q3827" s="2" t="s">
        <v>39</v>
      </c>
      <c r="R3827" s="2" t="s">
        <v>38</v>
      </c>
      <c r="S3827" s="2" t="s">
        <v>38</v>
      </c>
      <c r="T3827" s="2" t="s">
        <v>38</v>
      </c>
      <c r="U3827" s="2" t="s">
        <v>39</v>
      </c>
      <c r="V3827" s="2" t="s">
        <v>38</v>
      </c>
      <c r="W3827" s="2" t="s">
        <v>38</v>
      </c>
      <c r="X3827" s="2" t="s">
        <v>39</v>
      </c>
      <c r="Y3827" s="2" t="s">
        <v>39</v>
      </c>
      <c r="Z3827" s="2" t="s">
        <v>38</v>
      </c>
      <c r="AA3827" s="2" t="s">
        <v>38</v>
      </c>
      <c r="AB3827" s="2" t="s">
        <v>39</v>
      </c>
      <c r="AC3827" s="2" t="s">
        <v>38</v>
      </c>
      <c r="AD3827" s="2" t="s">
        <v>38</v>
      </c>
      <c r="AE3827" s="2" t="s">
        <v>40</v>
      </c>
    </row>
    <row r="3828" spans="1:31" ht="409.5">
      <c r="A3828" s="2">
        <v>2688616</v>
      </c>
      <c r="B3828" s="2">
        <f>HYPERLINK("https://platform.v2.vetology.net/cases/2688616/screening-report/1?type=pdf&amp;v=v6&amp;scorecard=1&amp;secret_key=BX%25IJ%24%2F65ieZ%29f6", 2688616)</f>
        <v>2688616</v>
      </c>
      <c r="C3828" s="2">
        <f>HYPERLINK("https://platform.v2.vetology.net/report/v/final/"&amp;2688616, 2688616)</f>
        <v>2688616</v>
      </c>
      <c r="D3828" s="2" t="s">
        <v>12047</v>
      </c>
      <c r="E3828" s="2" t="s">
        <v>12048</v>
      </c>
      <c r="F3828" s="2" t="s">
        <v>43</v>
      </c>
      <c r="G3828" s="2" t="s">
        <v>100</v>
      </c>
      <c r="H3828" s="2" t="s">
        <v>12049</v>
      </c>
      <c r="I3828" s="2" t="s">
        <v>36</v>
      </c>
      <c r="J3828" s="2" t="s">
        <v>37</v>
      </c>
      <c r="K3828" s="2" t="s">
        <v>38</v>
      </c>
      <c r="L3828" s="2" t="s">
        <v>39</v>
      </c>
      <c r="M3828" s="2" t="s">
        <v>39</v>
      </c>
      <c r="N3828" s="2" t="s">
        <v>38</v>
      </c>
      <c r="O3828" s="2" t="s">
        <v>39</v>
      </c>
      <c r="P3828" s="2" t="s">
        <v>38</v>
      </c>
      <c r="Q3828" s="2" t="s">
        <v>39</v>
      </c>
      <c r="R3828" s="2" t="s">
        <v>39</v>
      </c>
      <c r="S3828" s="2" t="s">
        <v>39</v>
      </c>
      <c r="T3828" s="2" t="s">
        <v>38</v>
      </c>
      <c r="U3828" s="2" t="s">
        <v>38</v>
      </c>
      <c r="V3828" s="2" t="s">
        <v>38</v>
      </c>
      <c r="W3828" s="2" t="s">
        <v>39</v>
      </c>
      <c r="X3828" s="2" t="s">
        <v>39</v>
      </c>
      <c r="Y3828" s="2" t="s">
        <v>39</v>
      </c>
      <c r="Z3828" s="2" t="s">
        <v>39</v>
      </c>
      <c r="AA3828" s="2" t="s">
        <v>39</v>
      </c>
      <c r="AB3828" s="2" t="s">
        <v>39</v>
      </c>
      <c r="AC3828" s="2" t="s">
        <v>38</v>
      </c>
      <c r="AD3828" s="2" t="s">
        <v>39</v>
      </c>
      <c r="AE3828" s="2" t="s">
        <v>39</v>
      </c>
    </row>
    <row r="3829" spans="1:31" ht="409.5">
      <c r="A3829" s="2">
        <v>2688603</v>
      </c>
      <c r="B3829" s="2">
        <f>HYPERLINK("https://platform.v2.vetology.net/cases/2688603/screening-report/1?type=pdf&amp;v=v6&amp;scorecard=1&amp;secret_key=BX%25IJ%24%2F65ieZ%29f6", 2688603)</f>
        <v>2688603</v>
      </c>
      <c r="C3829" s="2">
        <f>HYPERLINK("https://platform.v2.vetology.net/report/v/final/"&amp;2688603, 2688603)</f>
        <v>2688603</v>
      </c>
      <c r="D3829" s="2" t="s">
        <v>12050</v>
      </c>
      <c r="E3829" s="2" t="s">
        <v>12051</v>
      </c>
      <c r="F3829" s="2" t="s">
        <v>12052</v>
      </c>
      <c r="G3829" s="2" t="s">
        <v>170</v>
      </c>
      <c r="H3829" s="2" t="s">
        <v>12053</v>
      </c>
      <c r="I3829" s="2" t="s">
        <v>129</v>
      </c>
      <c r="J3829" s="2" t="s">
        <v>74</v>
      </c>
      <c r="K3829" s="2" t="s">
        <v>39</v>
      </c>
      <c r="L3829" s="2" t="s">
        <v>39</v>
      </c>
      <c r="M3829" s="2" t="s">
        <v>38</v>
      </c>
      <c r="N3829" s="2" t="s">
        <v>38</v>
      </c>
      <c r="O3829" s="2" t="s">
        <v>38</v>
      </c>
      <c r="P3829" s="2" t="s">
        <v>38</v>
      </c>
      <c r="Q3829" s="2" t="s">
        <v>38</v>
      </c>
      <c r="R3829" s="2" t="s">
        <v>39</v>
      </c>
      <c r="S3829" s="2" t="s">
        <v>39</v>
      </c>
      <c r="T3829" s="2" t="s">
        <v>38</v>
      </c>
      <c r="U3829" s="2" t="s">
        <v>39</v>
      </c>
      <c r="V3829" s="2" t="s">
        <v>39</v>
      </c>
      <c r="W3829" s="2" t="s">
        <v>38</v>
      </c>
      <c r="X3829" s="2" t="s">
        <v>38</v>
      </c>
      <c r="Y3829" s="2" t="s">
        <v>39</v>
      </c>
      <c r="Z3829" s="2" t="s">
        <v>38</v>
      </c>
      <c r="AA3829" s="2" t="s">
        <v>38</v>
      </c>
      <c r="AB3829" s="2" t="s">
        <v>38</v>
      </c>
      <c r="AC3829" s="2" t="s">
        <v>38</v>
      </c>
      <c r="AD3829" s="2" t="s">
        <v>39</v>
      </c>
      <c r="AE3829" s="2" t="s">
        <v>39</v>
      </c>
    </row>
    <row r="3830" spans="1:31" ht="409.5">
      <c r="A3830" s="2">
        <v>2688523</v>
      </c>
      <c r="B3830" s="2">
        <f>HYPERLINK("https://platform.v2.vetology.net/cases/2688523/screening-report/1?type=pdf&amp;v=v6&amp;scorecard=1&amp;secret_key=BX%25IJ%24%2F65ieZ%29f6", 2688523)</f>
        <v>2688523</v>
      </c>
      <c r="C3830" s="2">
        <f>HYPERLINK("https://platform.v2.vetology.net/report/v/final/"&amp;2688523, 2688523)</f>
        <v>2688523</v>
      </c>
      <c r="D3830" s="2" t="s">
        <v>12054</v>
      </c>
      <c r="E3830" s="2" t="s">
        <v>12055</v>
      </c>
      <c r="F3830" s="2"/>
      <c r="G3830" s="2" t="s">
        <v>100</v>
      </c>
      <c r="H3830" s="2" t="s">
        <v>69</v>
      </c>
      <c r="I3830" s="2" t="s">
        <v>46</v>
      </c>
      <c r="J3830" s="2"/>
      <c r="K3830" s="2" t="s">
        <v>39</v>
      </c>
      <c r="L3830" s="2" t="s">
        <v>39</v>
      </c>
      <c r="M3830" s="2" t="s">
        <v>39</v>
      </c>
      <c r="N3830" s="2" t="s">
        <v>39</v>
      </c>
      <c r="O3830" s="2" t="s">
        <v>39</v>
      </c>
      <c r="P3830" s="2" t="s">
        <v>39</v>
      </c>
      <c r="Q3830" s="2" t="s">
        <v>39</v>
      </c>
      <c r="R3830" s="2" t="s">
        <v>39</v>
      </c>
      <c r="S3830" s="2" t="s">
        <v>39</v>
      </c>
      <c r="T3830" s="2" t="s">
        <v>39</v>
      </c>
      <c r="U3830" s="2" t="s">
        <v>39</v>
      </c>
      <c r="V3830" s="2" t="s">
        <v>39</v>
      </c>
      <c r="W3830" s="2" t="s">
        <v>39</v>
      </c>
      <c r="X3830" s="2" t="s">
        <v>39</v>
      </c>
      <c r="Y3830" s="2" t="s">
        <v>39</v>
      </c>
      <c r="Z3830" s="2" t="s">
        <v>39</v>
      </c>
      <c r="AA3830" s="2" t="s">
        <v>39</v>
      </c>
      <c r="AB3830" s="2" t="s">
        <v>39</v>
      </c>
      <c r="AC3830" s="2" t="s">
        <v>39</v>
      </c>
      <c r="AD3830" s="2" t="s">
        <v>38</v>
      </c>
      <c r="AE3830" s="2" t="s">
        <v>39</v>
      </c>
    </row>
    <row r="3831" spans="1:31" ht="409.5">
      <c r="A3831" s="2">
        <v>2688501</v>
      </c>
      <c r="B3831" s="2">
        <f>HYPERLINK("https://platform.v2.vetology.net/cases/2688501/screening-report/1?type=pdf&amp;v=v6&amp;scorecard=1&amp;secret_key=BX%25IJ%24%2F65ieZ%29f6", 2688501)</f>
        <v>2688501</v>
      </c>
      <c r="C3831" s="2">
        <f>HYPERLINK("https://platform.v2.vetology.net/report/v/final/"&amp;2688501, 2688501)</f>
        <v>2688501</v>
      </c>
      <c r="D3831" s="2" t="s">
        <v>12056</v>
      </c>
      <c r="E3831" s="2" t="s">
        <v>12057</v>
      </c>
      <c r="F3831" s="2" t="s">
        <v>43</v>
      </c>
      <c r="G3831" s="2" t="s">
        <v>44</v>
      </c>
      <c r="H3831" s="2" t="s">
        <v>12058</v>
      </c>
      <c r="I3831" s="2" t="s">
        <v>73</v>
      </c>
      <c r="J3831" s="2" t="s">
        <v>74</v>
      </c>
      <c r="K3831" s="2" t="s">
        <v>38</v>
      </c>
      <c r="L3831" s="2" t="s">
        <v>38</v>
      </c>
      <c r="M3831" s="2" t="s">
        <v>38</v>
      </c>
      <c r="N3831" s="2" t="s">
        <v>38</v>
      </c>
      <c r="O3831" s="2" t="s">
        <v>38</v>
      </c>
      <c r="P3831" s="2" t="s">
        <v>38</v>
      </c>
      <c r="Q3831" s="2" t="s">
        <v>38</v>
      </c>
      <c r="R3831" s="2" t="s">
        <v>38</v>
      </c>
      <c r="S3831" s="2" t="s">
        <v>38</v>
      </c>
      <c r="T3831" s="2" t="s">
        <v>38</v>
      </c>
      <c r="U3831" s="2" t="s">
        <v>38</v>
      </c>
      <c r="V3831" s="2" t="s">
        <v>38</v>
      </c>
      <c r="W3831" s="2" t="s">
        <v>38</v>
      </c>
      <c r="X3831" s="2" t="s">
        <v>38</v>
      </c>
      <c r="Y3831" s="2" t="s">
        <v>38</v>
      </c>
      <c r="Z3831" s="2" t="s">
        <v>38</v>
      </c>
      <c r="AA3831" s="2" t="s">
        <v>38</v>
      </c>
      <c r="AB3831" s="2" t="s">
        <v>38</v>
      </c>
      <c r="AC3831" s="2" t="s">
        <v>38</v>
      </c>
      <c r="AD3831" s="2" t="s">
        <v>38</v>
      </c>
      <c r="AE3831" s="2" t="s">
        <v>40</v>
      </c>
    </row>
    <row r="3832" spans="1:31" ht="409.5">
      <c r="A3832" s="2">
        <v>2688380</v>
      </c>
      <c r="B3832" s="2">
        <f>HYPERLINK("https://platform.v2.vetology.net/cases/2688380/screening-report/1?type=pdf&amp;v=v6&amp;scorecard=1&amp;secret_key=BX%25IJ%24%2F65ieZ%29f6", 2688380)</f>
        <v>2688380</v>
      </c>
      <c r="C3832" s="2">
        <f>HYPERLINK("https://platform.v2.vetology.net/report/v/final/"&amp;2688380, 2688380)</f>
        <v>2688380</v>
      </c>
      <c r="D3832" s="2" t="s">
        <v>12059</v>
      </c>
      <c r="E3832" s="2" t="s">
        <v>12060</v>
      </c>
      <c r="F3832" s="2" t="s">
        <v>43</v>
      </c>
      <c r="G3832" s="2" t="s">
        <v>100</v>
      </c>
      <c r="H3832" s="2" t="s">
        <v>69</v>
      </c>
      <c r="I3832" s="2" t="s">
        <v>46</v>
      </c>
      <c r="J3832" s="2"/>
      <c r="K3832" s="2" t="s">
        <v>39</v>
      </c>
      <c r="L3832" s="2" t="s">
        <v>39</v>
      </c>
      <c r="M3832" s="2" t="s">
        <v>39</v>
      </c>
      <c r="N3832" s="2" t="s">
        <v>39</v>
      </c>
      <c r="O3832" s="2" t="s">
        <v>39</v>
      </c>
      <c r="P3832" s="2" t="s">
        <v>39</v>
      </c>
      <c r="Q3832" s="2" t="s">
        <v>39</v>
      </c>
      <c r="R3832" s="2" t="s">
        <v>39</v>
      </c>
      <c r="S3832" s="2" t="s">
        <v>39</v>
      </c>
      <c r="T3832" s="2" t="s">
        <v>39</v>
      </c>
      <c r="U3832" s="2" t="s">
        <v>39</v>
      </c>
      <c r="V3832" s="2" t="s">
        <v>39</v>
      </c>
      <c r="W3832" s="2" t="s">
        <v>39</v>
      </c>
      <c r="X3832" s="2" t="s">
        <v>39</v>
      </c>
      <c r="Y3832" s="2" t="s">
        <v>39</v>
      </c>
      <c r="Z3832" s="2" t="s">
        <v>39</v>
      </c>
      <c r="AA3832" s="2" t="s">
        <v>39</v>
      </c>
      <c r="AB3832" s="2" t="s">
        <v>39</v>
      </c>
      <c r="AC3832" s="2" t="s">
        <v>39</v>
      </c>
      <c r="AD3832" s="2" t="s">
        <v>39</v>
      </c>
      <c r="AE3832" s="2" t="s">
        <v>40</v>
      </c>
    </row>
    <row r="3833" spans="1:31" ht="409.5">
      <c r="A3833" s="2">
        <v>2688364</v>
      </c>
      <c r="B3833" s="2">
        <f>HYPERLINK("https://platform.v2.vetology.net/cases/2688364/screening-report/1?type=pdf&amp;v=v6&amp;scorecard=1&amp;secret_key=BX%25IJ%24%2F65ieZ%29f6", 2688364)</f>
        <v>2688364</v>
      </c>
      <c r="C3833" s="2">
        <f>HYPERLINK("https://platform.v2.vetology.net/report/v/final/"&amp;2688364, 2688364)</f>
        <v>2688364</v>
      </c>
      <c r="D3833" s="2" t="s">
        <v>12061</v>
      </c>
      <c r="E3833" s="2" t="s">
        <v>12062</v>
      </c>
      <c r="F3833" s="2" t="s">
        <v>43</v>
      </c>
      <c r="G3833" s="2" t="s">
        <v>100</v>
      </c>
      <c r="H3833" s="2" t="s">
        <v>12063</v>
      </c>
      <c r="I3833" s="2" t="s">
        <v>73</v>
      </c>
      <c r="J3833" s="2" t="s">
        <v>74</v>
      </c>
      <c r="K3833" s="2" t="s">
        <v>38</v>
      </c>
      <c r="L3833" s="2" t="s">
        <v>38</v>
      </c>
      <c r="M3833" s="2" t="s">
        <v>39</v>
      </c>
      <c r="N3833" s="2" t="s">
        <v>38</v>
      </c>
      <c r="O3833" s="2" t="s">
        <v>38</v>
      </c>
      <c r="P3833" s="2" t="s">
        <v>38</v>
      </c>
      <c r="Q3833" s="2" t="s">
        <v>38</v>
      </c>
      <c r="R3833" s="2" t="s">
        <v>39</v>
      </c>
      <c r="S3833" s="2" t="s">
        <v>38</v>
      </c>
      <c r="T3833" s="2" t="s">
        <v>38</v>
      </c>
      <c r="U3833" s="2" t="s">
        <v>38</v>
      </c>
      <c r="V3833" s="2" t="s">
        <v>38</v>
      </c>
      <c r="W3833" s="2" t="s">
        <v>39</v>
      </c>
      <c r="X3833" s="2" t="s">
        <v>38</v>
      </c>
      <c r="Y3833" s="2" t="s">
        <v>39</v>
      </c>
      <c r="Z3833" s="2" t="s">
        <v>38</v>
      </c>
      <c r="AA3833" s="2" t="s">
        <v>38</v>
      </c>
      <c r="AB3833" s="2" t="s">
        <v>38</v>
      </c>
      <c r="AC3833" s="2" t="s">
        <v>39</v>
      </c>
      <c r="AD3833" s="2" t="s">
        <v>38</v>
      </c>
      <c r="AE3833" s="2" t="s">
        <v>40</v>
      </c>
    </row>
    <row r="3834" spans="1:31" ht="409.5">
      <c r="A3834" s="2">
        <v>2688333</v>
      </c>
      <c r="B3834" s="2">
        <f>HYPERLINK("https://platform.v2.vetology.net/cases/2688333/screening-report/1?type=pdf&amp;v=v6&amp;scorecard=1&amp;secret_key=BX%25IJ%24%2F65ieZ%29f6", 2688333)</f>
        <v>2688333</v>
      </c>
      <c r="C3834" s="2">
        <f>HYPERLINK("https://platform.v2.vetology.net/report/v/final/"&amp;2688333, 2688333)</f>
        <v>2688333</v>
      </c>
      <c r="D3834" s="2" t="s">
        <v>1090</v>
      </c>
      <c r="E3834" s="2" t="s">
        <v>8170</v>
      </c>
      <c r="F3834" s="2" t="s">
        <v>787</v>
      </c>
      <c r="G3834" s="2" t="s">
        <v>100</v>
      </c>
      <c r="H3834" s="2" t="s">
        <v>398</v>
      </c>
      <c r="I3834" s="2" t="s">
        <v>46</v>
      </c>
      <c r="J3834" s="2"/>
      <c r="K3834" s="2" t="s">
        <v>38</v>
      </c>
      <c r="L3834" s="2" t="s">
        <v>39</v>
      </c>
      <c r="M3834" s="2" t="s">
        <v>39</v>
      </c>
      <c r="N3834" s="2" t="s">
        <v>39</v>
      </c>
      <c r="O3834" s="2" t="s">
        <v>39</v>
      </c>
      <c r="P3834" s="2" t="s">
        <v>39</v>
      </c>
      <c r="Q3834" s="2" t="s">
        <v>39</v>
      </c>
      <c r="R3834" s="2" t="s">
        <v>39</v>
      </c>
      <c r="S3834" s="2" t="s">
        <v>39</v>
      </c>
      <c r="T3834" s="2" t="s">
        <v>39</v>
      </c>
      <c r="U3834" s="2" t="s">
        <v>39</v>
      </c>
      <c r="V3834" s="2" t="s">
        <v>38</v>
      </c>
      <c r="W3834" s="2" t="s">
        <v>39</v>
      </c>
      <c r="X3834" s="2" t="s">
        <v>39</v>
      </c>
      <c r="Y3834" s="2" t="s">
        <v>39</v>
      </c>
      <c r="Z3834" s="2" t="s">
        <v>39</v>
      </c>
      <c r="AA3834" s="2" t="s">
        <v>38</v>
      </c>
      <c r="AB3834" s="2" t="s">
        <v>39</v>
      </c>
      <c r="AC3834" s="2" t="s">
        <v>39</v>
      </c>
      <c r="AD3834" s="2" t="s">
        <v>39</v>
      </c>
      <c r="AE3834" s="2" t="s">
        <v>39</v>
      </c>
    </row>
    <row r="3835" spans="1:31" ht="409.5">
      <c r="A3835" s="2">
        <v>2688272</v>
      </c>
      <c r="B3835" s="2">
        <f>HYPERLINK("https://platform.v2.vetology.net/cases/2688272/screening-report/1?type=pdf&amp;v=v6&amp;scorecard=1&amp;secret_key=BX%25IJ%24%2F65ieZ%29f6", 2688272)</f>
        <v>2688272</v>
      </c>
      <c r="C3835" s="2">
        <f>HYPERLINK("https://platform.v2.vetology.net/report/v/final/"&amp;2688272, 2688272)</f>
        <v>2688272</v>
      </c>
      <c r="D3835" s="2" t="s">
        <v>12064</v>
      </c>
      <c r="E3835" s="2" t="s">
        <v>12065</v>
      </c>
      <c r="F3835" s="2" t="s">
        <v>2226</v>
      </c>
      <c r="G3835" s="2" t="s">
        <v>100</v>
      </c>
      <c r="H3835" s="2" t="s">
        <v>1056</v>
      </c>
      <c r="I3835" s="2" t="s">
        <v>59</v>
      </c>
      <c r="J3835" s="2" t="s">
        <v>37</v>
      </c>
      <c r="K3835" s="2" t="s">
        <v>39</v>
      </c>
      <c r="L3835" s="2" t="s">
        <v>39</v>
      </c>
      <c r="M3835" s="2" t="s">
        <v>39</v>
      </c>
      <c r="N3835" s="2" t="s">
        <v>38</v>
      </c>
      <c r="O3835" s="2" t="s">
        <v>39</v>
      </c>
      <c r="P3835" s="2" t="s">
        <v>39</v>
      </c>
      <c r="Q3835" s="2" t="s">
        <v>39</v>
      </c>
      <c r="R3835" s="2" t="s">
        <v>39</v>
      </c>
      <c r="S3835" s="2" t="s">
        <v>39</v>
      </c>
      <c r="T3835" s="2" t="s">
        <v>38</v>
      </c>
      <c r="U3835" s="2" t="s">
        <v>39</v>
      </c>
      <c r="V3835" s="2" t="s">
        <v>39</v>
      </c>
      <c r="W3835" s="2" t="s">
        <v>39</v>
      </c>
      <c r="X3835" s="2" t="s">
        <v>39</v>
      </c>
      <c r="Y3835" s="2" t="s">
        <v>39</v>
      </c>
      <c r="Z3835" s="2" t="s">
        <v>38</v>
      </c>
      <c r="AA3835" s="2" t="s">
        <v>39</v>
      </c>
      <c r="AB3835" s="2" t="s">
        <v>39</v>
      </c>
      <c r="AC3835" s="2" t="s">
        <v>38</v>
      </c>
      <c r="AD3835" s="2" t="s">
        <v>39</v>
      </c>
      <c r="AE3835" s="2" t="s">
        <v>39</v>
      </c>
    </row>
    <row r="3836" spans="1:31" ht="409.5">
      <c r="A3836" s="2">
        <v>2688269</v>
      </c>
      <c r="B3836" s="2">
        <f>HYPERLINK("https://platform.v2.vetology.net/cases/2688269/screening-report/1?type=pdf&amp;v=v6&amp;scorecard=1&amp;secret_key=BX%25IJ%24%2F65ieZ%29f6", 2688269)</f>
        <v>2688269</v>
      </c>
      <c r="C3836" s="2">
        <f>HYPERLINK("https://platform.v2.vetology.net/report/v/final/"&amp;2688269, 2688269)</f>
        <v>2688269</v>
      </c>
      <c r="D3836" s="2" t="s">
        <v>12066</v>
      </c>
      <c r="E3836" s="2" t="s">
        <v>12067</v>
      </c>
      <c r="F3836" s="2" t="s">
        <v>43</v>
      </c>
      <c r="G3836" s="2" t="s">
        <v>44</v>
      </c>
      <c r="H3836" s="2" t="s">
        <v>12068</v>
      </c>
      <c r="I3836" s="2" t="s">
        <v>73</v>
      </c>
      <c r="J3836" s="2" t="s">
        <v>74</v>
      </c>
      <c r="K3836" s="2" t="s">
        <v>38</v>
      </c>
      <c r="L3836" s="2" t="s">
        <v>38</v>
      </c>
      <c r="M3836" s="2" t="s">
        <v>38</v>
      </c>
      <c r="N3836" s="2" t="s">
        <v>38</v>
      </c>
      <c r="O3836" s="2" t="s">
        <v>38</v>
      </c>
      <c r="P3836" s="2" t="s">
        <v>38</v>
      </c>
      <c r="Q3836" s="2" t="s">
        <v>38</v>
      </c>
      <c r="R3836" s="2" t="s">
        <v>38</v>
      </c>
      <c r="S3836" s="2" t="s">
        <v>38</v>
      </c>
      <c r="T3836" s="2" t="s">
        <v>38</v>
      </c>
      <c r="U3836" s="2" t="s">
        <v>38</v>
      </c>
      <c r="V3836" s="2" t="s">
        <v>38</v>
      </c>
      <c r="W3836" s="2" t="s">
        <v>38</v>
      </c>
      <c r="X3836" s="2" t="s">
        <v>38</v>
      </c>
      <c r="Y3836" s="2" t="s">
        <v>38</v>
      </c>
      <c r="Z3836" s="2" t="s">
        <v>38</v>
      </c>
      <c r="AA3836" s="2" t="s">
        <v>38</v>
      </c>
      <c r="AB3836" s="2" t="s">
        <v>38</v>
      </c>
      <c r="AC3836" s="2" t="s">
        <v>38</v>
      </c>
      <c r="AD3836" s="2" t="s">
        <v>38</v>
      </c>
      <c r="AE3836" s="2" t="s">
        <v>40</v>
      </c>
    </row>
    <row r="3837" spans="1:31" ht="409.5">
      <c r="A3837" s="2">
        <v>2688238</v>
      </c>
      <c r="B3837" s="2">
        <f>HYPERLINK("https://platform.v2.vetology.net/cases/2688238/screening-report/1?type=pdf&amp;v=v6&amp;scorecard=1&amp;secret_key=BX%25IJ%24%2F65ieZ%29f6", 2688238)</f>
        <v>2688238</v>
      </c>
      <c r="C3837" s="2">
        <f>HYPERLINK("https://platform.v2.vetology.net/report/v/final/"&amp;2688238, 2688238)</f>
        <v>2688238</v>
      </c>
      <c r="D3837" s="2" t="s">
        <v>12069</v>
      </c>
      <c r="E3837" s="2" t="s">
        <v>12070</v>
      </c>
      <c r="F3837" s="2" t="s">
        <v>43</v>
      </c>
      <c r="G3837" s="2" t="s">
        <v>100</v>
      </c>
      <c r="H3837" s="2" t="s">
        <v>12071</v>
      </c>
      <c r="I3837" s="2" t="s">
        <v>73</v>
      </c>
      <c r="J3837" s="2" t="s">
        <v>74</v>
      </c>
      <c r="K3837" s="2" t="s">
        <v>38</v>
      </c>
      <c r="L3837" s="2" t="s">
        <v>38</v>
      </c>
      <c r="M3837" s="2" t="s">
        <v>38</v>
      </c>
      <c r="N3837" s="2" t="s">
        <v>38</v>
      </c>
      <c r="O3837" s="2" t="s">
        <v>38</v>
      </c>
      <c r="P3837" s="2" t="s">
        <v>38</v>
      </c>
      <c r="Q3837" s="2" t="s">
        <v>38</v>
      </c>
      <c r="R3837" s="2" t="s">
        <v>38</v>
      </c>
      <c r="S3837" s="2" t="s">
        <v>38</v>
      </c>
      <c r="T3837" s="2" t="s">
        <v>38</v>
      </c>
      <c r="U3837" s="2" t="s">
        <v>38</v>
      </c>
      <c r="V3837" s="2" t="s">
        <v>38</v>
      </c>
      <c r="W3837" s="2" t="s">
        <v>38</v>
      </c>
      <c r="X3837" s="2" t="s">
        <v>38</v>
      </c>
      <c r="Y3837" s="2" t="s">
        <v>39</v>
      </c>
      <c r="Z3837" s="2" t="s">
        <v>38</v>
      </c>
      <c r="AA3837" s="2" t="s">
        <v>38</v>
      </c>
      <c r="AB3837" s="2" t="s">
        <v>38</v>
      </c>
      <c r="AC3837" s="2" t="s">
        <v>38</v>
      </c>
      <c r="AD3837" s="2" t="s">
        <v>38</v>
      </c>
      <c r="AE3837" s="2" t="s">
        <v>40</v>
      </c>
    </row>
    <row r="3838" spans="1:31" ht="409.5">
      <c r="A3838" s="2">
        <v>2688172</v>
      </c>
      <c r="B3838" s="2">
        <f>HYPERLINK("https://platform.v2.vetology.net/cases/2688172/screening-report/1?type=pdf&amp;v=v6&amp;scorecard=1&amp;secret_key=BX%25IJ%24%2F65ieZ%29f6", 2688172)</f>
        <v>2688172</v>
      </c>
      <c r="C3838" s="2">
        <f>HYPERLINK("https://platform.v2.vetology.net/report/v/final/"&amp;2688172, 2688172)</f>
        <v>2688172</v>
      </c>
      <c r="D3838" s="2" t="s">
        <v>12072</v>
      </c>
      <c r="E3838" s="2" t="s">
        <v>12073</v>
      </c>
      <c r="F3838" s="2" t="s">
        <v>12074</v>
      </c>
      <c r="G3838" s="2" t="s">
        <v>34</v>
      </c>
      <c r="H3838" s="2" t="s">
        <v>797</v>
      </c>
      <c r="I3838" s="2" t="s">
        <v>59</v>
      </c>
      <c r="J3838" s="2" t="s">
        <v>37</v>
      </c>
      <c r="K3838" s="2" t="s">
        <v>38</v>
      </c>
      <c r="L3838" s="2" t="s">
        <v>39</v>
      </c>
      <c r="M3838" s="2" t="s">
        <v>39</v>
      </c>
      <c r="N3838" s="2" t="s">
        <v>39</v>
      </c>
      <c r="O3838" s="2" t="s">
        <v>39</v>
      </c>
      <c r="P3838" s="2" t="s">
        <v>39</v>
      </c>
      <c r="Q3838" s="2" t="s">
        <v>39</v>
      </c>
      <c r="R3838" s="2" t="s">
        <v>38</v>
      </c>
      <c r="S3838" s="2" t="s">
        <v>39</v>
      </c>
      <c r="T3838" s="2" t="s">
        <v>39</v>
      </c>
      <c r="U3838" s="2" t="s">
        <v>39</v>
      </c>
      <c r="V3838" s="2" t="s">
        <v>38</v>
      </c>
      <c r="W3838" s="2" t="s">
        <v>39</v>
      </c>
      <c r="X3838" s="2" t="s">
        <v>39</v>
      </c>
      <c r="Y3838" s="2" t="s">
        <v>39</v>
      </c>
      <c r="Z3838" s="2" t="s">
        <v>39</v>
      </c>
      <c r="AA3838" s="2" t="s">
        <v>39</v>
      </c>
      <c r="AB3838" s="2" t="s">
        <v>39</v>
      </c>
      <c r="AC3838" s="2" t="s">
        <v>38</v>
      </c>
      <c r="AD3838" s="2" t="s">
        <v>39</v>
      </c>
      <c r="AE3838" s="2" t="s">
        <v>40</v>
      </c>
    </row>
    <row r="3839" spans="1:31" ht="409.5">
      <c r="A3839" s="2">
        <v>2688118</v>
      </c>
      <c r="B3839" s="2">
        <f>HYPERLINK("https://platform.v2.vetology.net/cases/2688118/screening-report/1?type=pdf&amp;v=v6&amp;scorecard=1&amp;secret_key=BX%25IJ%24%2F65ieZ%29f6", 2688118)</f>
        <v>2688118</v>
      </c>
      <c r="C3839" s="2">
        <f>HYPERLINK("https://platform.v2.vetology.net/report/v/final/"&amp;2688118, 2688118)</f>
        <v>2688118</v>
      </c>
      <c r="D3839" s="2" t="s">
        <v>12075</v>
      </c>
      <c r="E3839" s="2" t="s">
        <v>12076</v>
      </c>
      <c r="F3839" s="2" t="s">
        <v>12077</v>
      </c>
      <c r="G3839" s="2" t="s">
        <v>100</v>
      </c>
      <c r="H3839" s="2" t="s">
        <v>45</v>
      </c>
      <c r="I3839" s="2" t="s">
        <v>46</v>
      </c>
      <c r="J3839" s="2"/>
      <c r="K3839" s="2" t="s">
        <v>39</v>
      </c>
      <c r="L3839" s="2" t="s">
        <v>39</v>
      </c>
      <c r="M3839" s="2" t="s">
        <v>39</v>
      </c>
      <c r="N3839" s="2" t="s">
        <v>39</v>
      </c>
      <c r="O3839" s="2" t="s">
        <v>38</v>
      </c>
      <c r="P3839" s="2" t="s">
        <v>39</v>
      </c>
      <c r="Q3839" s="2" t="s">
        <v>39</v>
      </c>
      <c r="R3839" s="2" t="s">
        <v>38</v>
      </c>
      <c r="S3839" s="2" t="s">
        <v>39</v>
      </c>
      <c r="T3839" s="2" t="s">
        <v>39</v>
      </c>
      <c r="U3839" s="2" t="s">
        <v>39</v>
      </c>
      <c r="V3839" s="2" t="s">
        <v>39</v>
      </c>
      <c r="W3839" s="2" t="s">
        <v>39</v>
      </c>
      <c r="X3839" s="2" t="s">
        <v>39</v>
      </c>
      <c r="Y3839" s="2" t="s">
        <v>39</v>
      </c>
      <c r="Z3839" s="2" t="s">
        <v>39</v>
      </c>
      <c r="AA3839" s="2" t="s">
        <v>39</v>
      </c>
      <c r="AB3839" s="2" t="s">
        <v>39</v>
      </c>
      <c r="AC3839" s="2" t="s">
        <v>38</v>
      </c>
      <c r="AD3839" s="2" t="s">
        <v>38</v>
      </c>
      <c r="AE3839" s="2" t="s">
        <v>39</v>
      </c>
    </row>
    <row r="3840" spans="1:31" ht="409.5">
      <c r="A3840" s="2">
        <v>2688115</v>
      </c>
      <c r="B3840" s="2">
        <f>HYPERLINK("https://platform.v2.vetology.net/cases/2688115/screening-report/1?type=pdf&amp;v=v6&amp;scorecard=1&amp;secret_key=BX%25IJ%24%2F65ieZ%29f6", 2688115)</f>
        <v>2688115</v>
      </c>
      <c r="C3840" s="2">
        <f>HYPERLINK("https://platform.v2.vetology.net/report/v/final/"&amp;2688115, 2688115)</f>
        <v>2688115</v>
      </c>
      <c r="D3840" s="2" t="s">
        <v>12078</v>
      </c>
      <c r="E3840" s="2" t="s">
        <v>12079</v>
      </c>
      <c r="F3840" s="2" t="s">
        <v>2086</v>
      </c>
      <c r="G3840" s="2" t="s">
        <v>100</v>
      </c>
      <c r="H3840" s="2" t="s">
        <v>1248</v>
      </c>
      <c r="I3840" s="2" t="s">
        <v>813</v>
      </c>
      <c r="J3840" s="2" t="s">
        <v>37</v>
      </c>
      <c r="K3840" s="2" t="s">
        <v>39</v>
      </c>
      <c r="L3840" s="2" t="s">
        <v>39</v>
      </c>
      <c r="M3840" s="2" t="s">
        <v>39</v>
      </c>
      <c r="N3840" s="2" t="s">
        <v>39</v>
      </c>
      <c r="O3840" s="2" t="s">
        <v>39</v>
      </c>
      <c r="P3840" s="2" t="s">
        <v>39</v>
      </c>
      <c r="Q3840" s="2" t="s">
        <v>39</v>
      </c>
      <c r="R3840" s="2" t="s">
        <v>38</v>
      </c>
      <c r="S3840" s="2" t="s">
        <v>39</v>
      </c>
      <c r="T3840" s="2" t="s">
        <v>38</v>
      </c>
      <c r="U3840" s="2" t="s">
        <v>39</v>
      </c>
      <c r="V3840" s="2" t="s">
        <v>39</v>
      </c>
      <c r="W3840" s="2" t="s">
        <v>39</v>
      </c>
      <c r="X3840" s="2" t="s">
        <v>39</v>
      </c>
      <c r="Y3840" s="2" t="s">
        <v>39</v>
      </c>
      <c r="Z3840" s="2" t="s">
        <v>38</v>
      </c>
      <c r="AA3840" s="2" t="s">
        <v>39</v>
      </c>
      <c r="AB3840" s="2" t="s">
        <v>39</v>
      </c>
      <c r="AC3840" s="2" t="s">
        <v>38</v>
      </c>
      <c r="AD3840" s="2" t="s">
        <v>39</v>
      </c>
      <c r="AE3840" s="2" t="s">
        <v>39</v>
      </c>
    </row>
    <row r="3841" spans="1:31" ht="409.5">
      <c r="A3841" s="2">
        <v>2688102</v>
      </c>
      <c r="B3841" s="2">
        <f>HYPERLINK("https://platform.v2.vetology.net/cases/2688102/screening-report/1?type=pdf&amp;v=v6&amp;scorecard=1&amp;secret_key=BX%25IJ%24%2F65ieZ%29f6", 2688102)</f>
        <v>2688102</v>
      </c>
      <c r="C3841" s="2">
        <f>HYPERLINK("https://platform.v2.vetology.net/report/v/final/"&amp;2688102, 2688102)</f>
        <v>2688102</v>
      </c>
      <c r="D3841" s="2" t="s">
        <v>12080</v>
      </c>
      <c r="E3841" s="2" t="s">
        <v>12081</v>
      </c>
      <c r="F3841" s="2"/>
      <c r="G3841" s="2" t="s">
        <v>100</v>
      </c>
      <c r="H3841" s="2" t="s">
        <v>69</v>
      </c>
      <c r="I3841" s="2" t="s">
        <v>46</v>
      </c>
      <c r="J3841" s="2"/>
      <c r="K3841" s="2" t="s">
        <v>39</v>
      </c>
      <c r="L3841" s="2" t="s">
        <v>39</v>
      </c>
      <c r="M3841" s="2" t="s">
        <v>39</v>
      </c>
      <c r="N3841" s="2" t="s">
        <v>39</v>
      </c>
      <c r="O3841" s="2" t="s">
        <v>39</v>
      </c>
      <c r="P3841" s="2" t="s">
        <v>39</v>
      </c>
      <c r="Q3841" s="2" t="s">
        <v>39</v>
      </c>
      <c r="R3841" s="2" t="s">
        <v>39</v>
      </c>
      <c r="S3841" s="2" t="s">
        <v>39</v>
      </c>
      <c r="T3841" s="2" t="s">
        <v>39</v>
      </c>
      <c r="U3841" s="2" t="s">
        <v>39</v>
      </c>
      <c r="V3841" s="2" t="s">
        <v>39</v>
      </c>
      <c r="W3841" s="2" t="s">
        <v>39</v>
      </c>
      <c r="X3841" s="2" t="s">
        <v>39</v>
      </c>
      <c r="Y3841" s="2" t="s">
        <v>39</v>
      </c>
      <c r="Z3841" s="2" t="s">
        <v>39</v>
      </c>
      <c r="AA3841" s="2" t="s">
        <v>39</v>
      </c>
      <c r="AB3841" s="2" t="s">
        <v>39</v>
      </c>
      <c r="AC3841" s="2" t="s">
        <v>39</v>
      </c>
      <c r="AD3841" s="2" t="s">
        <v>38</v>
      </c>
      <c r="AE3841" s="2" t="s">
        <v>39</v>
      </c>
    </row>
    <row r="3842" spans="1:31" ht="409.5">
      <c r="A3842" s="2">
        <v>2688093</v>
      </c>
      <c r="B3842" s="2">
        <f>HYPERLINK("https://platform.v2.vetology.net/cases/2688093/screening-report/1?type=pdf&amp;v=v6&amp;scorecard=1&amp;secret_key=BX%25IJ%24%2F65ieZ%29f6", 2688093)</f>
        <v>2688093</v>
      </c>
      <c r="C3842" s="2">
        <f>HYPERLINK("https://platform.v2.vetology.net/report/v/final/"&amp;2688093, 2688093)</f>
        <v>2688093</v>
      </c>
      <c r="D3842" s="2" t="s">
        <v>12082</v>
      </c>
      <c r="E3842" s="2" t="s">
        <v>12083</v>
      </c>
      <c r="F3842" s="2" t="s">
        <v>12084</v>
      </c>
      <c r="G3842" s="2" t="s">
        <v>34</v>
      </c>
      <c r="H3842" s="2" t="s">
        <v>12085</v>
      </c>
      <c r="I3842" s="2" t="s">
        <v>36</v>
      </c>
      <c r="J3842" s="2" t="s">
        <v>37</v>
      </c>
      <c r="K3842" s="2" t="s">
        <v>38</v>
      </c>
      <c r="L3842" s="2" t="s">
        <v>38</v>
      </c>
      <c r="M3842" s="2" t="s">
        <v>38</v>
      </c>
      <c r="N3842" s="2" t="s">
        <v>38</v>
      </c>
      <c r="O3842" s="2" t="s">
        <v>38</v>
      </c>
      <c r="P3842" s="2" t="s">
        <v>39</v>
      </c>
      <c r="Q3842" s="2" t="s">
        <v>39</v>
      </c>
      <c r="R3842" s="2" t="s">
        <v>39</v>
      </c>
      <c r="S3842" s="2" t="s">
        <v>38</v>
      </c>
      <c r="T3842" s="2" t="s">
        <v>38</v>
      </c>
      <c r="U3842" s="2" t="s">
        <v>38</v>
      </c>
      <c r="V3842" s="2" t="s">
        <v>38</v>
      </c>
      <c r="W3842" s="2" t="s">
        <v>38</v>
      </c>
      <c r="X3842" s="2" t="s">
        <v>39</v>
      </c>
      <c r="Y3842" s="2" t="s">
        <v>38</v>
      </c>
      <c r="Z3842" s="2" t="s">
        <v>38</v>
      </c>
      <c r="AA3842" s="2" t="s">
        <v>38</v>
      </c>
      <c r="AB3842" s="2" t="s">
        <v>39</v>
      </c>
      <c r="AC3842" s="2" t="s">
        <v>38</v>
      </c>
      <c r="AD3842" s="2" t="s">
        <v>38</v>
      </c>
      <c r="AE3842" s="2" t="s">
        <v>39</v>
      </c>
    </row>
    <row r="3843" spans="1:31" ht="409.5">
      <c r="A3843" s="2">
        <v>2688091</v>
      </c>
      <c r="B3843" s="2">
        <f>HYPERLINK("https://platform.v2.vetology.net/cases/2688091/screening-report/1?type=pdf&amp;v=v6&amp;scorecard=1&amp;secret_key=BX%25IJ%24%2F65ieZ%29f6", 2688091)</f>
        <v>2688091</v>
      </c>
      <c r="C3843" s="2">
        <f>HYPERLINK("https://platform.v2.vetology.net/report/v/final/"&amp;2688091, 2688091)</f>
        <v>2688091</v>
      </c>
      <c r="D3843" s="2" t="s">
        <v>1044</v>
      </c>
      <c r="E3843" s="2" t="s">
        <v>99</v>
      </c>
      <c r="F3843" s="2"/>
      <c r="G3843" s="2" t="s">
        <v>100</v>
      </c>
      <c r="H3843" s="2" t="s">
        <v>2217</v>
      </c>
      <c r="I3843" s="2" t="s">
        <v>36</v>
      </c>
      <c r="J3843" s="2" t="s">
        <v>37</v>
      </c>
      <c r="K3843" s="2" t="s">
        <v>39</v>
      </c>
      <c r="L3843" s="2" t="s">
        <v>38</v>
      </c>
      <c r="M3843" s="2" t="s">
        <v>38</v>
      </c>
      <c r="N3843" s="2" t="s">
        <v>39</v>
      </c>
      <c r="O3843" s="2" t="s">
        <v>38</v>
      </c>
      <c r="P3843" s="2" t="s">
        <v>39</v>
      </c>
      <c r="Q3843" s="2" t="s">
        <v>39</v>
      </c>
      <c r="R3843" s="2" t="s">
        <v>38</v>
      </c>
      <c r="S3843" s="2" t="s">
        <v>38</v>
      </c>
      <c r="T3843" s="2" t="s">
        <v>39</v>
      </c>
      <c r="U3843" s="2" t="s">
        <v>39</v>
      </c>
      <c r="V3843" s="2" t="s">
        <v>39</v>
      </c>
      <c r="W3843" s="2" t="s">
        <v>39</v>
      </c>
      <c r="X3843" s="2" t="s">
        <v>39</v>
      </c>
      <c r="Y3843" s="2" t="s">
        <v>39</v>
      </c>
      <c r="Z3843" s="2" t="s">
        <v>38</v>
      </c>
      <c r="AA3843" s="2" t="s">
        <v>39</v>
      </c>
      <c r="AB3843" s="2" t="s">
        <v>39</v>
      </c>
      <c r="AC3843" s="2" t="s">
        <v>38</v>
      </c>
      <c r="AD3843" s="2" t="s">
        <v>39</v>
      </c>
      <c r="AE3843" s="2" t="s">
        <v>39</v>
      </c>
    </row>
    <row r="3844" spans="1:31" ht="409.5">
      <c r="A3844" s="2">
        <v>2688070</v>
      </c>
      <c r="B3844" s="2">
        <f>HYPERLINK("https://platform.v2.vetology.net/cases/2688070/screening-report/1?type=pdf&amp;v=v6&amp;scorecard=1&amp;secret_key=BX%25IJ%24%2F65ieZ%29f6", 2688070)</f>
        <v>2688070</v>
      </c>
      <c r="C3844" s="2">
        <f>HYPERLINK("https://platform.v2.vetology.net/report/v/final/"&amp;2688070, 2688070)</f>
        <v>2688070</v>
      </c>
      <c r="D3844" s="2" t="s">
        <v>12086</v>
      </c>
      <c r="E3844" s="2" t="s">
        <v>12087</v>
      </c>
      <c r="F3844" s="2"/>
      <c r="G3844" s="2" t="s">
        <v>44</v>
      </c>
      <c r="H3844" s="2" t="s">
        <v>12088</v>
      </c>
      <c r="I3844" s="2" t="s">
        <v>73</v>
      </c>
      <c r="J3844" s="2" t="s">
        <v>74</v>
      </c>
      <c r="K3844" s="2" t="s">
        <v>38</v>
      </c>
      <c r="L3844" s="2" t="s">
        <v>38</v>
      </c>
      <c r="M3844" s="2" t="s">
        <v>38</v>
      </c>
      <c r="N3844" s="2" t="s">
        <v>38</v>
      </c>
      <c r="O3844" s="2" t="s">
        <v>38</v>
      </c>
      <c r="P3844" s="2" t="s">
        <v>39</v>
      </c>
      <c r="Q3844" s="2" t="s">
        <v>38</v>
      </c>
      <c r="R3844" s="2" t="s">
        <v>39</v>
      </c>
      <c r="S3844" s="2" t="s">
        <v>38</v>
      </c>
      <c r="T3844" s="2" t="s">
        <v>38</v>
      </c>
      <c r="U3844" s="2" t="s">
        <v>38</v>
      </c>
      <c r="V3844" s="2" t="s">
        <v>38</v>
      </c>
      <c r="W3844" s="2" t="s">
        <v>38</v>
      </c>
      <c r="X3844" s="2" t="s">
        <v>38</v>
      </c>
      <c r="Y3844" s="2" t="s">
        <v>39</v>
      </c>
      <c r="Z3844" s="2" t="s">
        <v>38</v>
      </c>
      <c r="AA3844" s="2" t="s">
        <v>38</v>
      </c>
      <c r="AB3844" s="2" t="s">
        <v>38</v>
      </c>
      <c r="AC3844" s="2" t="s">
        <v>38</v>
      </c>
      <c r="AD3844" s="2" t="s">
        <v>39</v>
      </c>
      <c r="AE3844" s="2" t="s">
        <v>39</v>
      </c>
    </row>
    <row r="3845" spans="1:31" ht="409.5">
      <c r="A3845" s="2">
        <v>2688049</v>
      </c>
      <c r="B3845" s="2">
        <f>HYPERLINK("https://platform.v2.vetology.net/cases/2688049/screening-report/1?type=pdf&amp;v=v6&amp;scorecard=1&amp;secret_key=BX%25IJ%24%2F65ieZ%29f6", 2688049)</f>
        <v>2688049</v>
      </c>
      <c r="C3845" s="2">
        <f>HYPERLINK("https://platform.v2.vetology.net/report/v/final/"&amp;2688049, 2688049)</f>
        <v>2688049</v>
      </c>
      <c r="D3845" s="2" t="s">
        <v>12089</v>
      </c>
      <c r="E3845" s="2" t="s">
        <v>12090</v>
      </c>
      <c r="F3845" s="2" t="s">
        <v>12091</v>
      </c>
      <c r="G3845" s="2" t="s">
        <v>251</v>
      </c>
      <c r="H3845" s="2" t="s">
        <v>12092</v>
      </c>
      <c r="I3845" s="2" t="s">
        <v>129</v>
      </c>
      <c r="J3845" s="2" t="s">
        <v>74</v>
      </c>
      <c r="K3845" s="2" t="s">
        <v>39</v>
      </c>
      <c r="L3845" s="2" t="s">
        <v>38</v>
      </c>
      <c r="M3845" s="2" t="s">
        <v>38</v>
      </c>
      <c r="N3845" s="2" t="s">
        <v>38</v>
      </c>
      <c r="O3845" s="2" t="s">
        <v>38</v>
      </c>
      <c r="P3845" s="2" t="s">
        <v>38</v>
      </c>
      <c r="Q3845" s="2" t="s">
        <v>38</v>
      </c>
      <c r="R3845" s="2" t="s">
        <v>38</v>
      </c>
      <c r="S3845" s="2" t="s">
        <v>38</v>
      </c>
      <c r="T3845" s="2" t="s">
        <v>38</v>
      </c>
      <c r="U3845" s="2" t="s">
        <v>38</v>
      </c>
      <c r="V3845" s="2" t="s">
        <v>39</v>
      </c>
      <c r="W3845" s="2" t="s">
        <v>38</v>
      </c>
      <c r="X3845" s="2" t="s">
        <v>38</v>
      </c>
      <c r="Y3845" s="2" t="s">
        <v>38</v>
      </c>
      <c r="Z3845" s="2" t="s">
        <v>38</v>
      </c>
      <c r="AA3845" s="2" t="s">
        <v>38</v>
      </c>
      <c r="AB3845" s="2" t="s">
        <v>38</v>
      </c>
      <c r="AC3845" s="2" t="s">
        <v>38</v>
      </c>
      <c r="AD3845" s="2" t="s">
        <v>38</v>
      </c>
      <c r="AE3845" s="2"/>
    </row>
    <row r="3846" spans="1:31" ht="409.5">
      <c r="A3846" s="2">
        <v>2688040</v>
      </c>
      <c r="B3846" s="2">
        <f>HYPERLINK("https://platform.v2.vetology.net/cases/2688040/screening-report/1?type=pdf&amp;v=v6&amp;scorecard=1&amp;secret_key=BX%25IJ%24%2F65ieZ%29f6", 2688040)</f>
        <v>2688040</v>
      </c>
      <c r="C3846" s="2">
        <f>HYPERLINK("https://platform.v2.vetology.net/report/v/final/"&amp;2688040, 2688040)</f>
        <v>2688040</v>
      </c>
      <c r="D3846" s="2" t="s">
        <v>12093</v>
      </c>
      <c r="E3846" s="2" t="s">
        <v>12094</v>
      </c>
      <c r="F3846" s="2" t="s">
        <v>12095</v>
      </c>
      <c r="G3846" s="2" t="s">
        <v>53</v>
      </c>
      <c r="H3846" s="2" t="s">
        <v>2760</v>
      </c>
      <c r="I3846" s="2" t="s">
        <v>59</v>
      </c>
      <c r="J3846" s="2" t="s">
        <v>37</v>
      </c>
      <c r="K3846" s="2" t="s">
        <v>39</v>
      </c>
      <c r="L3846" s="2" t="s">
        <v>39</v>
      </c>
      <c r="M3846" s="2" t="s">
        <v>39</v>
      </c>
      <c r="N3846" s="2" t="s">
        <v>38</v>
      </c>
      <c r="O3846" s="2" t="s">
        <v>38</v>
      </c>
      <c r="P3846" s="2" t="s">
        <v>39</v>
      </c>
      <c r="Q3846" s="2" t="s">
        <v>39</v>
      </c>
      <c r="R3846" s="2" t="s">
        <v>38</v>
      </c>
      <c r="S3846" s="2" t="s">
        <v>38</v>
      </c>
      <c r="T3846" s="2" t="s">
        <v>39</v>
      </c>
      <c r="U3846" s="2" t="s">
        <v>39</v>
      </c>
      <c r="V3846" s="2" t="s">
        <v>39</v>
      </c>
      <c r="W3846" s="2" t="s">
        <v>38</v>
      </c>
      <c r="X3846" s="2" t="s">
        <v>39</v>
      </c>
      <c r="Y3846" s="2" t="s">
        <v>39</v>
      </c>
      <c r="Z3846" s="2" t="s">
        <v>38</v>
      </c>
      <c r="AA3846" s="2" t="s">
        <v>39</v>
      </c>
      <c r="AB3846" s="2" t="s">
        <v>39</v>
      </c>
      <c r="AC3846" s="2" t="s">
        <v>38</v>
      </c>
      <c r="AD3846" s="2" t="s">
        <v>38</v>
      </c>
      <c r="AE3846" s="2" t="s">
        <v>39</v>
      </c>
    </row>
    <row r="3847" spans="1:31" ht="409.5">
      <c r="A3847" s="2">
        <v>2688016</v>
      </c>
      <c r="B3847" s="2">
        <f>HYPERLINK("https://platform.v2.vetology.net/cases/2688016/screening-report/1?type=pdf&amp;v=v6&amp;scorecard=1&amp;secret_key=BX%25IJ%24%2F65ieZ%29f6", 2688016)</f>
        <v>2688016</v>
      </c>
      <c r="C3847" s="2">
        <f>HYPERLINK("https://platform.v2.vetology.net/report/v/final/"&amp;2688016, 2688016)</f>
        <v>2688016</v>
      </c>
      <c r="D3847" s="2" t="s">
        <v>12096</v>
      </c>
      <c r="E3847" s="2" t="s">
        <v>12097</v>
      </c>
      <c r="F3847" s="2" t="s">
        <v>12098</v>
      </c>
      <c r="G3847" s="2" t="s">
        <v>34</v>
      </c>
      <c r="H3847" s="2" t="s">
        <v>12099</v>
      </c>
      <c r="I3847" s="2" t="s">
        <v>129</v>
      </c>
      <c r="J3847" s="2" t="s">
        <v>74</v>
      </c>
      <c r="K3847" s="2" t="s">
        <v>39</v>
      </c>
      <c r="L3847" s="2" t="s">
        <v>38</v>
      </c>
      <c r="M3847" s="2" t="s">
        <v>38</v>
      </c>
      <c r="N3847" s="2" t="s">
        <v>38</v>
      </c>
      <c r="O3847" s="2" t="s">
        <v>38</v>
      </c>
      <c r="P3847" s="2" t="s">
        <v>38</v>
      </c>
      <c r="Q3847" s="2" t="s">
        <v>38</v>
      </c>
      <c r="R3847" s="2" t="s">
        <v>38</v>
      </c>
      <c r="S3847" s="2" t="s">
        <v>38</v>
      </c>
      <c r="T3847" s="2" t="s">
        <v>38</v>
      </c>
      <c r="U3847" s="2" t="s">
        <v>39</v>
      </c>
      <c r="V3847" s="2" t="s">
        <v>39</v>
      </c>
      <c r="W3847" s="2" t="s">
        <v>38</v>
      </c>
      <c r="X3847" s="2" t="s">
        <v>39</v>
      </c>
      <c r="Y3847" s="2" t="s">
        <v>39</v>
      </c>
      <c r="Z3847" s="2" t="s">
        <v>38</v>
      </c>
      <c r="AA3847" s="2" t="s">
        <v>39</v>
      </c>
      <c r="AB3847" s="2" t="s">
        <v>39</v>
      </c>
      <c r="AC3847" s="2" t="s">
        <v>38</v>
      </c>
      <c r="AD3847" s="2" t="s">
        <v>38</v>
      </c>
      <c r="AE3847" s="2" t="s">
        <v>39</v>
      </c>
    </row>
    <row r="3848" spans="1:31" ht="409.5">
      <c r="A3848" s="2">
        <v>2687963</v>
      </c>
      <c r="B3848" s="2">
        <f>HYPERLINK("https://platform.v2.vetology.net/cases/2687963/screening-report/1?type=pdf&amp;v=v6&amp;scorecard=1&amp;secret_key=BX%25IJ%24%2F65ieZ%29f6", 2687963)</f>
        <v>2687963</v>
      </c>
      <c r="C3848" s="2">
        <f>HYPERLINK("https://platform.v2.vetology.net/report/v/final/"&amp;2687963, 2687963)</f>
        <v>2687963</v>
      </c>
      <c r="D3848" s="2" t="s">
        <v>12100</v>
      </c>
      <c r="E3848" s="2" t="s">
        <v>12101</v>
      </c>
      <c r="F3848" s="2" t="s">
        <v>43</v>
      </c>
      <c r="G3848" s="2" t="s">
        <v>507</v>
      </c>
      <c r="H3848" s="2" t="s">
        <v>201</v>
      </c>
      <c r="I3848" s="2" t="s">
        <v>36</v>
      </c>
      <c r="J3848" s="2" t="s">
        <v>37</v>
      </c>
      <c r="K3848" s="2" t="s">
        <v>39</v>
      </c>
      <c r="L3848" s="2" t="s">
        <v>39</v>
      </c>
      <c r="M3848" s="2" t="s">
        <v>38</v>
      </c>
      <c r="N3848" s="2" t="s">
        <v>38</v>
      </c>
      <c r="O3848" s="2" t="s">
        <v>38</v>
      </c>
      <c r="P3848" s="2" t="s">
        <v>39</v>
      </c>
      <c r="Q3848" s="2" t="s">
        <v>39</v>
      </c>
      <c r="R3848" s="2" t="s">
        <v>39</v>
      </c>
      <c r="S3848" s="2" t="s">
        <v>39</v>
      </c>
      <c r="T3848" s="2" t="s">
        <v>39</v>
      </c>
      <c r="U3848" s="2" t="s">
        <v>39</v>
      </c>
      <c r="V3848" s="2" t="s">
        <v>39</v>
      </c>
      <c r="W3848" s="2" t="s">
        <v>38</v>
      </c>
      <c r="X3848" s="2" t="s">
        <v>39</v>
      </c>
      <c r="Y3848" s="2" t="s">
        <v>39</v>
      </c>
      <c r="Z3848" s="2" t="s">
        <v>39</v>
      </c>
      <c r="AA3848" s="2" t="s">
        <v>39</v>
      </c>
      <c r="AB3848" s="2" t="s">
        <v>39</v>
      </c>
      <c r="AC3848" s="2" t="s">
        <v>38</v>
      </c>
      <c r="AD3848" s="2" t="s">
        <v>39</v>
      </c>
      <c r="AE3848" s="2" t="s">
        <v>40</v>
      </c>
    </row>
    <row r="3849" spans="1:31" ht="409.5">
      <c r="A3849" s="2">
        <v>2687952</v>
      </c>
      <c r="B3849" s="2">
        <f>HYPERLINK("https://platform.v2.vetology.net/cases/2687952/screening-report/1?type=pdf&amp;v=v6&amp;scorecard=1&amp;secret_key=BX%25IJ%24%2F65ieZ%29f6", 2687952)</f>
        <v>2687952</v>
      </c>
      <c r="C3849" s="2">
        <f>HYPERLINK("https://platform.v2.vetology.net/report/v/final/"&amp;2687952, 2687952)</f>
        <v>2687952</v>
      </c>
      <c r="D3849" s="2" t="s">
        <v>12102</v>
      </c>
      <c r="E3849" s="2" t="s">
        <v>12103</v>
      </c>
      <c r="F3849" s="2" t="s">
        <v>43</v>
      </c>
      <c r="G3849" s="2" t="s">
        <v>100</v>
      </c>
      <c r="H3849" s="2" t="s">
        <v>12104</v>
      </c>
      <c r="I3849" s="2" t="s">
        <v>73</v>
      </c>
      <c r="J3849" s="2" t="s">
        <v>74</v>
      </c>
      <c r="K3849" s="2" t="s">
        <v>38</v>
      </c>
      <c r="L3849" s="2" t="s">
        <v>38</v>
      </c>
      <c r="M3849" s="2" t="s">
        <v>38</v>
      </c>
      <c r="N3849" s="2" t="s">
        <v>38</v>
      </c>
      <c r="O3849" s="2" t="s">
        <v>38</v>
      </c>
      <c r="P3849" s="2" t="s">
        <v>38</v>
      </c>
      <c r="Q3849" s="2" t="s">
        <v>38</v>
      </c>
      <c r="R3849" s="2" t="s">
        <v>38</v>
      </c>
      <c r="S3849" s="2" t="s">
        <v>38</v>
      </c>
      <c r="T3849" s="2" t="s">
        <v>38</v>
      </c>
      <c r="U3849" s="2" t="s">
        <v>38</v>
      </c>
      <c r="V3849" s="2" t="s">
        <v>38</v>
      </c>
      <c r="W3849" s="2" t="s">
        <v>38</v>
      </c>
      <c r="X3849" s="2" t="s">
        <v>38</v>
      </c>
      <c r="Y3849" s="2" t="s">
        <v>38</v>
      </c>
      <c r="Z3849" s="2" t="s">
        <v>38</v>
      </c>
      <c r="AA3849" s="2" t="s">
        <v>38</v>
      </c>
      <c r="AB3849" s="2" t="s">
        <v>38</v>
      </c>
      <c r="AC3849" s="2" t="s">
        <v>38</v>
      </c>
      <c r="AD3849" s="2" t="s">
        <v>39</v>
      </c>
      <c r="AE3849" s="2" t="s">
        <v>40</v>
      </c>
    </row>
    <row r="3850" spans="1:31" ht="409.5">
      <c r="A3850" s="2">
        <v>2687913</v>
      </c>
      <c r="B3850" s="2">
        <f>HYPERLINK("https://platform.v2.vetology.net/cases/2687913/screening-report/1?type=pdf&amp;v=v6&amp;scorecard=1&amp;secret_key=BX%25IJ%24%2F65ieZ%29f6", 2687913)</f>
        <v>2687913</v>
      </c>
      <c r="C3850" s="2">
        <f>HYPERLINK("https://platform.v2.vetology.net/report/v/final/"&amp;2687913, 2687913)</f>
        <v>2687913</v>
      </c>
      <c r="D3850" s="2" t="s">
        <v>12105</v>
      </c>
      <c r="E3850" s="2" t="s">
        <v>12106</v>
      </c>
      <c r="F3850" s="2" t="s">
        <v>229</v>
      </c>
      <c r="G3850" s="2" t="s">
        <v>170</v>
      </c>
      <c r="H3850" s="2" t="s">
        <v>515</v>
      </c>
      <c r="I3850" s="2" t="s">
        <v>36</v>
      </c>
      <c r="J3850" s="2" t="s">
        <v>37</v>
      </c>
      <c r="K3850" s="2" t="s">
        <v>39</v>
      </c>
      <c r="L3850" s="2" t="s">
        <v>39</v>
      </c>
      <c r="M3850" s="2" t="s">
        <v>38</v>
      </c>
      <c r="N3850" s="2" t="s">
        <v>39</v>
      </c>
      <c r="O3850" s="2" t="s">
        <v>38</v>
      </c>
      <c r="P3850" s="2" t="s">
        <v>39</v>
      </c>
      <c r="Q3850" s="2" t="s">
        <v>39</v>
      </c>
      <c r="R3850" s="2" t="s">
        <v>39</v>
      </c>
      <c r="S3850" s="2" t="s">
        <v>39</v>
      </c>
      <c r="T3850" s="2" t="s">
        <v>38</v>
      </c>
      <c r="U3850" s="2" t="s">
        <v>39</v>
      </c>
      <c r="V3850" s="2" t="s">
        <v>39</v>
      </c>
      <c r="W3850" s="2" t="s">
        <v>39</v>
      </c>
      <c r="X3850" s="2" t="s">
        <v>39</v>
      </c>
      <c r="Y3850" s="2" t="s">
        <v>39</v>
      </c>
      <c r="Z3850" s="2" t="s">
        <v>38</v>
      </c>
      <c r="AA3850" s="2" t="s">
        <v>39</v>
      </c>
      <c r="AB3850" s="2" t="s">
        <v>39</v>
      </c>
      <c r="AC3850" s="2" t="s">
        <v>39</v>
      </c>
      <c r="AD3850" s="2" t="s">
        <v>39</v>
      </c>
      <c r="AE3850" s="2" t="s">
        <v>39</v>
      </c>
    </row>
    <row r="3851" spans="1:31" ht="409.5">
      <c r="A3851" s="2">
        <v>2687836</v>
      </c>
      <c r="B3851" s="2">
        <f>HYPERLINK("https://platform.v2.vetology.net/cases/2687836/screening-report/1?type=pdf&amp;v=v6&amp;scorecard=1&amp;secret_key=BX%25IJ%24%2F65ieZ%29f6", 2687836)</f>
        <v>2687836</v>
      </c>
      <c r="C3851" s="2">
        <f>HYPERLINK("https://platform.v2.vetology.net/report/v/final/"&amp;2687836, 2687836)</f>
        <v>2687836</v>
      </c>
      <c r="D3851" s="2" t="s">
        <v>12107</v>
      </c>
      <c r="E3851" s="2" t="s">
        <v>12108</v>
      </c>
      <c r="F3851" s="2" t="s">
        <v>12109</v>
      </c>
      <c r="G3851" s="2" t="s">
        <v>170</v>
      </c>
      <c r="H3851" s="2" t="s">
        <v>8045</v>
      </c>
      <c r="I3851" s="2" t="s">
        <v>73</v>
      </c>
      <c r="J3851" s="2" t="s">
        <v>74</v>
      </c>
      <c r="K3851" s="2" t="s">
        <v>38</v>
      </c>
      <c r="L3851" s="2" t="s">
        <v>38</v>
      </c>
      <c r="M3851" s="2" t="s">
        <v>38</v>
      </c>
      <c r="N3851" s="2" t="s">
        <v>38</v>
      </c>
      <c r="O3851" s="2" t="s">
        <v>38</v>
      </c>
      <c r="P3851" s="2" t="s">
        <v>38</v>
      </c>
      <c r="Q3851" s="2" t="s">
        <v>38</v>
      </c>
      <c r="R3851" s="2" t="s">
        <v>38</v>
      </c>
      <c r="S3851" s="2" t="s">
        <v>38</v>
      </c>
      <c r="T3851" s="2" t="s">
        <v>38</v>
      </c>
      <c r="U3851" s="2" t="s">
        <v>38</v>
      </c>
      <c r="V3851" s="2" t="s">
        <v>38</v>
      </c>
      <c r="W3851" s="2" t="s">
        <v>38</v>
      </c>
      <c r="X3851" s="2" t="s">
        <v>38</v>
      </c>
      <c r="Y3851" s="2" t="s">
        <v>38</v>
      </c>
      <c r="Z3851" s="2" t="s">
        <v>38</v>
      </c>
      <c r="AA3851" s="2" t="s">
        <v>38</v>
      </c>
      <c r="AB3851" s="2" t="s">
        <v>38</v>
      </c>
      <c r="AC3851" s="2" t="s">
        <v>38</v>
      </c>
      <c r="AD3851" s="2" t="s">
        <v>38</v>
      </c>
      <c r="AE3851" s="2" t="s">
        <v>40</v>
      </c>
    </row>
    <row r="3852" spans="1:31" ht="409.5">
      <c r="A3852" s="2">
        <v>2687813</v>
      </c>
      <c r="B3852" s="2">
        <f>HYPERLINK("https://platform.v2.vetology.net/cases/2687813/screening-report/1?type=pdf&amp;v=v6&amp;scorecard=1&amp;secret_key=BX%25IJ%24%2F65ieZ%29f6", 2687813)</f>
        <v>2687813</v>
      </c>
      <c r="C3852" s="2">
        <f>HYPERLINK("https://platform.v2.vetology.net/report/v/final/"&amp;2687813, 2687813)</f>
        <v>2687813</v>
      </c>
      <c r="D3852" s="2" t="s">
        <v>12110</v>
      </c>
      <c r="E3852" s="2" t="s">
        <v>12111</v>
      </c>
      <c r="F3852" s="2" t="s">
        <v>12112</v>
      </c>
      <c r="G3852" s="2" t="s">
        <v>824</v>
      </c>
      <c r="H3852" s="2" t="s">
        <v>12113</v>
      </c>
      <c r="I3852" s="2" t="s">
        <v>36</v>
      </c>
      <c r="J3852" s="2" t="s">
        <v>37</v>
      </c>
      <c r="K3852" s="2" t="s">
        <v>38</v>
      </c>
      <c r="L3852" s="2" t="s">
        <v>38</v>
      </c>
      <c r="M3852" s="2" t="s">
        <v>38</v>
      </c>
      <c r="N3852" s="2" t="s">
        <v>38</v>
      </c>
      <c r="O3852" s="2" t="s">
        <v>38</v>
      </c>
      <c r="P3852" s="2" t="s">
        <v>39</v>
      </c>
      <c r="Q3852" s="2" t="s">
        <v>39</v>
      </c>
      <c r="R3852" s="2" t="s">
        <v>38</v>
      </c>
      <c r="S3852" s="2" t="s">
        <v>38</v>
      </c>
      <c r="T3852" s="2" t="s">
        <v>38</v>
      </c>
      <c r="U3852" s="2" t="s">
        <v>38</v>
      </c>
      <c r="V3852" s="2" t="s">
        <v>38</v>
      </c>
      <c r="W3852" s="2" t="s">
        <v>38</v>
      </c>
      <c r="X3852" s="2" t="s">
        <v>39</v>
      </c>
      <c r="Y3852" s="2" t="s">
        <v>38</v>
      </c>
      <c r="Z3852" s="2" t="s">
        <v>38</v>
      </c>
      <c r="AA3852" s="2" t="s">
        <v>38</v>
      </c>
      <c r="AB3852" s="2" t="s">
        <v>39</v>
      </c>
      <c r="AC3852" s="2" t="s">
        <v>38</v>
      </c>
      <c r="AD3852" s="2" t="s">
        <v>38</v>
      </c>
      <c r="AE3852" s="2" t="s">
        <v>39</v>
      </c>
    </row>
    <row r="3853" spans="1:31" ht="409.5">
      <c r="A3853" s="2">
        <v>2687724</v>
      </c>
      <c r="B3853" s="2">
        <f>HYPERLINK("https://platform.v2.vetology.net/cases/2687724/screening-report/1?type=pdf&amp;v=v6&amp;scorecard=1&amp;secret_key=BX%25IJ%24%2F65ieZ%29f6", 2687724)</f>
        <v>2687724</v>
      </c>
      <c r="C3853" s="2">
        <f>HYPERLINK("https://platform.v2.vetology.net/report/v/final/"&amp;2687724, 2687724)</f>
        <v>2687724</v>
      </c>
      <c r="D3853" s="2" t="s">
        <v>12114</v>
      </c>
      <c r="E3853" s="2" t="s">
        <v>12115</v>
      </c>
      <c r="F3853" s="2"/>
      <c r="G3853" s="2" t="s">
        <v>81</v>
      </c>
      <c r="H3853" s="2" t="s">
        <v>12116</v>
      </c>
      <c r="I3853" s="2" t="s">
        <v>73</v>
      </c>
      <c r="J3853" s="2" t="s">
        <v>74</v>
      </c>
      <c r="K3853" s="2" t="s">
        <v>38</v>
      </c>
      <c r="L3853" s="2" t="s">
        <v>39</v>
      </c>
      <c r="M3853" s="2" t="s">
        <v>38</v>
      </c>
      <c r="N3853" s="2" t="s">
        <v>38</v>
      </c>
      <c r="O3853" s="2" t="s">
        <v>38</v>
      </c>
      <c r="P3853" s="2" t="s">
        <v>38</v>
      </c>
      <c r="Q3853" s="2" t="s">
        <v>38</v>
      </c>
      <c r="R3853" s="2" t="s">
        <v>39</v>
      </c>
      <c r="S3853" s="2" t="s">
        <v>38</v>
      </c>
      <c r="T3853" s="2" t="s">
        <v>38</v>
      </c>
      <c r="U3853" s="2" t="s">
        <v>38</v>
      </c>
      <c r="V3853" s="2" t="s">
        <v>38</v>
      </c>
      <c r="W3853" s="2" t="s">
        <v>38</v>
      </c>
      <c r="X3853" s="2" t="s">
        <v>38</v>
      </c>
      <c r="Y3853" s="2" t="s">
        <v>39</v>
      </c>
      <c r="Z3853" s="2" t="s">
        <v>39</v>
      </c>
      <c r="AA3853" s="2" t="s">
        <v>38</v>
      </c>
      <c r="AB3853" s="2" t="s">
        <v>38</v>
      </c>
      <c r="AC3853" s="2" t="s">
        <v>38</v>
      </c>
      <c r="AD3853" s="2" t="s">
        <v>39</v>
      </c>
      <c r="AE3853" s="2" t="s">
        <v>40</v>
      </c>
    </row>
    <row r="3854" spans="1:31" ht="409.5">
      <c r="A3854" s="2">
        <v>2687714</v>
      </c>
      <c r="B3854" s="2">
        <f>HYPERLINK("https://platform.v2.vetology.net/cases/2687714/screening-report/1?type=pdf&amp;v=v6&amp;scorecard=1&amp;secret_key=BX%25IJ%24%2F65ieZ%29f6", 2687714)</f>
        <v>2687714</v>
      </c>
      <c r="C3854" s="2">
        <f>HYPERLINK("https://platform.v2.vetology.net/report/v/final/"&amp;2687714, 2687714)</f>
        <v>2687714</v>
      </c>
      <c r="D3854" s="2" t="s">
        <v>12117</v>
      </c>
      <c r="E3854" s="2" t="s">
        <v>12118</v>
      </c>
      <c r="F3854" s="2" t="s">
        <v>12119</v>
      </c>
      <c r="G3854" s="2" t="s">
        <v>34</v>
      </c>
      <c r="H3854" s="2" t="s">
        <v>12120</v>
      </c>
      <c r="I3854" s="2" t="s">
        <v>36</v>
      </c>
      <c r="J3854" s="2" t="s">
        <v>37</v>
      </c>
      <c r="K3854" s="2" t="s">
        <v>39</v>
      </c>
      <c r="L3854" s="2" t="s">
        <v>38</v>
      </c>
      <c r="M3854" s="2" t="s">
        <v>38</v>
      </c>
      <c r="N3854" s="2" t="s">
        <v>38</v>
      </c>
      <c r="O3854" s="2" t="s">
        <v>38</v>
      </c>
      <c r="P3854" s="2" t="s">
        <v>39</v>
      </c>
      <c r="Q3854" s="2" t="s">
        <v>39</v>
      </c>
      <c r="R3854" s="2" t="s">
        <v>38</v>
      </c>
      <c r="S3854" s="2" t="s">
        <v>39</v>
      </c>
      <c r="T3854" s="2" t="s">
        <v>39</v>
      </c>
      <c r="U3854" s="2" t="s">
        <v>39</v>
      </c>
      <c r="V3854" s="2" t="s">
        <v>38</v>
      </c>
      <c r="W3854" s="2" t="s">
        <v>38</v>
      </c>
      <c r="X3854" s="2" t="s">
        <v>39</v>
      </c>
      <c r="Y3854" s="2" t="s">
        <v>39</v>
      </c>
      <c r="Z3854" s="2" t="s">
        <v>39</v>
      </c>
      <c r="AA3854" s="2" t="s">
        <v>39</v>
      </c>
      <c r="AB3854" s="2" t="s">
        <v>39</v>
      </c>
      <c r="AC3854" s="2" t="s">
        <v>38</v>
      </c>
      <c r="AD3854" s="2" t="s">
        <v>38</v>
      </c>
      <c r="AE3854" s="2" t="s">
        <v>39</v>
      </c>
    </row>
    <row r="3855" spans="1:31" ht="409.5">
      <c r="A3855" s="2">
        <v>2687679</v>
      </c>
      <c r="B3855" s="2">
        <f>HYPERLINK("https://platform.v2.vetology.net/cases/2687679/screening-report/1?type=pdf&amp;v=v6&amp;scorecard=1&amp;secret_key=BX%25IJ%24%2F65ieZ%29f6", 2687679)</f>
        <v>2687679</v>
      </c>
      <c r="C3855" s="2">
        <f>HYPERLINK("https://platform.v2.vetology.net/report/v/final/"&amp;2687679, 2687679)</f>
        <v>2687679</v>
      </c>
      <c r="D3855" s="2" t="s">
        <v>12121</v>
      </c>
      <c r="E3855" s="2" t="s">
        <v>12122</v>
      </c>
      <c r="F3855" s="2" t="s">
        <v>12123</v>
      </c>
      <c r="G3855" s="2" t="s">
        <v>34</v>
      </c>
      <c r="H3855" s="2" t="s">
        <v>12124</v>
      </c>
      <c r="I3855" s="2" t="s">
        <v>73</v>
      </c>
      <c r="J3855" s="2" t="s">
        <v>74</v>
      </c>
      <c r="K3855" s="2" t="s">
        <v>38</v>
      </c>
      <c r="L3855" s="2" t="s">
        <v>38</v>
      </c>
      <c r="M3855" s="2" t="s">
        <v>38</v>
      </c>
      <c r="N3855" s="2" t="s">
        <v>38</v>
      </c>
      <c r="O3855" s="2" t="s">
        <v>38</v>
      </c>
      <c r="P3855" s="2" t="s">
        <v>38</v>
      </c>
      <c r="Q3855" s="2" t="s">
        <v>38</v>
      </c>
      <c r="R3855" s="2" t="s">
        <v>39</v>
      </c>
      <c r="S3855" s="2" t="s">
        <v>38</v>
      </c>
      <c r="T3855" s="2" t="s">
        <v>38</v>
      </c>
      <c r="U3855" s="2" t="s">
        <v>38</v>
      </c>
      <c r="V3855" s="2" t="s">
        <v>38</v>
      </c>
      <c r="W3855" s="2" t="s">
        <v>38</v>
      </c>
      <c r="X3855" s="2" t="s">
        <v>38</v>
      </c>
      <c r="Y3855" s="2" t="s">
        <v>39</v>
      </c>
      <c r="Z3855" s="2" t="s">
        <v>38</v>
      </c>
      <c r="AA3855" s="2" t="s">
        <v>38</v>
      </c>
      <c r="AB3855" s="2" t="s">
        <v>38</v>
      </c>
      <c r="AC3855" s="2" t="s">
        <v>38</v>
      </c>
      <c r="AD3855" s="2" t="s">
        <v>39</v>
      </c>
      <c r="AE3855" s="2" t="s">
        <v>40</v>
      </c>
    </row>
    <row r="3856" spans="1:31" ht="409.5">
      <c r="A3856" s="2">
        <v>2687652</v>
      </c>
      <c r="B3856" s="2">
        <f>HYPERLINK("https://platform.v2.vetology.net/cases/2687652/screening-report/1?type=pdf&amp;v=v6&amp;scorecard=1&amp;secret_key=BX%25IJ%24%2F65ieZ%29f6", 2687652)</f>
        <v>2687652</v>
      </c>
      <c r="C3856" s="2">
        <f>HYPERLINK("https://platform.v2.vetology.net/report/v/final/"&amp;2687652, 2687652)</f>
        <v>2687652</v>
      </c>
      <c r="D3856" s="2" t="s">
        <v>12125</v>
      </c>
      <c r="E3856" s="2" t="s">
        <v>12126</v>
      </c>
      <c r="F3856" s="2" t="s">
        <v>43</v>
      </c>
      <c r="G3856" s="2" t="s">
        <v>100</v>
      </c>
      <c r="H3856" s="2" t="s">
        <v>12127</v>
      </c>
      <c r="I3856" s="2" t="s">
        <v>129</v>
      </c>
      <c r="J3856" s="2" t="s">
        <v>74</v>
      </c>
      <c r="K3856" s="2" t="s">
        <v>39</v>
      </c>
      <c r="L3856" s="2" t="s">
        <v>38</v>
      </c>
      <c r="M3856" s="2" t="s">
        <v>39</v>
      </c>
      <c r="N3856" s="2" t="s">
        <v>38</v>
      </c>
      <c r="O3856" s="2" t="s">
        <v>38</v>
      </c>
      <c r="P3856" s="2" t="s">
        <v>38</v>
      </c>
      <c r="Q3856" s="2" t="s">
        <v>38</v>
      </c>
      <c r="R3856" s="2" t="s">
        <v>39</v>
      </c>
      <c r="S3856" s="2" t="s">
        <v>39</v>
      </c>
      <c r="T3856" s="2" t="s">
        <v>39</v>
      </c>
      <c r="U3856" s="2" t="s">
        <v>39</v>
      </c>
      <c r="V3856" s="2" t="s">
        <v>39</v>
      </c>
      <c r="W3856" s="2" t="s">
        <v>38</v>
      </c>
      <c r="X3856" s="2" t="s">
        <v>38</v>
      </c>
      <c r="Y3856" s="2" t="s">
        <v>38</v>
      </c>
      <c r="Z3856" s="2" t="s">
        <v>39</v>
      </c>
      <c r="AA3856" s="2" t="s">
        <v>38</v>
      </c>
      <c r="AB3856" s="2" t="s">
        <v>39</v>
      </c>
      <c r="AC3856" s="2" t="s">
        <v>38</v>
      </c>
      <c r="AD3856" s="2" t="s">
        <v>39</v>
      </c>
      <c r="AE3856" s="2" t="s">
        <v>39</v>
      </c>
    </row>
    <row r="3857" spans="1:31" ht="409.5">
      <c r="A3857" s="2">
        <v>2687636</v>
      </c>
      <c r="B3857" s="2">
        <f>HYPERLINK("https://platform.v2.vetology.net/cases/2687636/screening-report/1?type=pdf&amp;v=v6&amp;scorecard=1&amp;secret_key=BX%25IJ%24%2F65ieZ%29f6", 2687636)</f>
        <v>2687636</v>
      </c>
      <c r="C3857" s="2">
        <f>HYPERLINK("https://platform.v2.vetology.net/report/v/final/"&amp;2687636, 2687636)</f>
        <v>2687636</v>
      </c>
      <c r="D3857" s="2" t="s">
        <v>12128</v>
      </c>
      <c r="E3857" s="2" t="s">
        <v>12129</v>
      </c>
      <c r="F3857" s="2" t="s">
        <v>332</v>
      </c>
      <c r="G3857" s="2" t="s">
        <v>100</v>
      </c>
      <c r="H3857" s="2" t="s">
        <v>12130</v>
      </c>
      <c r="I3857" s="2" t="s">
        <v>73</v>
      </c>
      <c r="J3857" s="2" t="s">
        <v>74</v>
      </c>
      <c r="K3857" s="2" t="s">
        <v>38</v>
      </c>
      <c r="L3857" s="2" t="s">
        <v>38</v>
      </c>
      <c r="M3857" s="2" t="s">
        <v>38</v>
      </c>
      <c r="N3857" s="2" t="s">
        <v>38</v>
      </c>
      <c r="O3857" s="2" t="s">
        <v>38</v>
      </c>
      <c r="P3857" s="2" t="s">
        <v>38</v>
      </c>
      <c r="Q3857" s="2" t="s">
        <v>38</v>
      </c>
      <c r="R3857" s="2" t="s">
        <v>38</v>
      </c>
      <c r="S3857" s="2" t="s">
        <v>38</v>
      </c>
      <c r="T3857" s="2" t="s">
        <v>38</v>
      </c>
      <c r="U3857" s="2" t="s">
        <v>38</v>
      </c>
      <c r="V3857" s="2" t="s">
        <v>38</v>
      </c>
      <c r="W3857" s="2" t="s">
        <v>38</v>
      </c>
      <c r="X3857" s="2" t="s">
        <v>38</v>
      </c>
      <c r="Y3857" s="2" t="s">
        <v>38</v>
      </c>
      <c r="Z3857" s="2" t="s">
        <v>38</v>
      </c>
      <c r="AA3857" s="2" t="s">
        <v>38</v>
      </c>
      <c r="AB3857" s="2" t="s">
        <v>38</v>
      </c>
      <c r="AC3857" s="2" t="s">
        <v>38</v>
      </c>
      <c r="AD3857" s="2" t="s">
        <v>38</v>
      </c>
      <c r="AE3857" s="2" t="s">
        <v>40</v>
      </c>
    </row>
    <row r="3858" spans="1:31" ht="409.5">
      <c r="A3858" s="2">
        <v>2687617</v>
      </c>
      <c r="B3858" s="2">
        <f>HYPERLINK("https://platform.v2.vetology.net/cases/2687617/screening-report/1?type=pdf&amp;v=v6&amp;scorecard=1&amp;secret_key=BX%25IJ%24%2F65ieZ%29f6", 2687617)</f>
        <v>2687617</v>
      </c>
      <c r="C3858" s="2">
        <f>HYPERLINK("https://platform.v2.vetology.net/report/v/final/"&amp;2687617, 2687617)</f>
        <v>2687617</v>
      </c>
      <c r="D3858" s="2" t="s">
        <v>12131</v>
      </c>
      <c r="E3858" s="2" t="s">
        <v>1091</v>
      </c>
      <c r="F3858" s="2" t="s">
        <v>787</v>
      </c>
      <c r="G3858" s="2" t="s">
        <v>100</v>
      </c>
      <c r="H3858" s="2" t="s">
        <v>69</v>
      </c>
      <c r="I3858" s="2" t="s">
        <v>46</v>
      </c>
      <c r="J3858" s="2"/>
      <c r="K3858" s="2" t="s">
        <v>39</v>
      </c>
      <c r="L3858" s="2" t="s">
        <v>39</v>
      </c>
      <c r="M3858" s="2" t="s">
        <v>39</v>
      </c>
      <c r="N3858" s="2" t="s">
        <v>39</v>
      </c>
      <c r="O3858" s="2" t="s">
        <v>39</v>
      </c>
      <c r="P3858" s="2" t="s">
        <v>39</v>
      </c>
      <c r="Q3858" s="2" t="s">
        <v>39</v>
      </c>
      <c r="R3858" s="2" t="s">
        <v>39</v>
      </c>
      <c r="S3858" s="2" t="s">
        <v>39</v>
      </c>
      <c r="T3858" s="2" t="s">
        <v>38</v>
      </c>
      <c r="U3858" s="2" t="s">
        <v>39</v>
      </c>
      <c r="V3858" s="2" t="s">
        <v>39</v>
      </c>
      <c r="W3858" s="2" t="s">
        <v>38</v>
      </c>
      <c r="X3858" s="2" t="s">
        <v>39</v>
      </c>
      <c r="Y3858" s="2" t="s">
        <v>39</v>
      </c>
      <c r="Z3858" s="2" t="s">
        <v>38</v>
      </c>
      <c r="AA3858" s="2" t="s">
        <v>39</v>
      </c>
      <c r="AB3858" s="2" t="s">
        <v>39</v>
      </c>
      <c r="AC3858" s="2" t="s">
        <v>39</v>
      </c>
      <c r="AD3858" s="2" t="s">
        <v>38</v>
      </c>
      <c r="AE3858" s="2" t="s">
        <v>39</v>
      </c>
    </row>
    <row r="3859" spans="1:31" ht="409.5">
      <c r="A3859" s="2">
        <v>2687566</v>
      </c>
      <c r="B3859" s="2">
        <f>HYPERLINK("https://platform.v2.vetology.net/cases/2687566/screening-report/1?type=pdf&amp;v=v6&amp;scorecard=1&amp;secret_key=BX%25IJ%24%2F65ieZ%29f6", 2687566)</f>
        <v>2687566</v>
      </c>
      <c r="C3859" s="2">
        <f>HYPERLINK("https://platform.v2.vetology.net/report/v/final/"&amp;2687566, 2687566)</f>
        <v>2687566</v>
      </c>
      <c r="D3859" s="2" t="s">
        <v>12132</v>
      </c>
      <c r="E3859" s="2" t="s">
        <v>12133</v>
      </c>
      <c r="F3859" s="2" t="s">
        <v>43</v>
      </c>
      <c r="G3859" s="2" t="s">
        <v>100</v>
      </c>
      <c r="H3859" s="2" t="s">
        <v>2953</v>
      </c>
      <c r="I3859" s="2" t="s">
        <v>36</v>
      </c>
      <c r="J3859" s="2" t="s">
        <v>37</v>
      </c>
      <c r="K3859" s="2" t="s">
        <v>38</v>
      </c>
      <c r="L3859" s="2" t="s">
        <v>39</v>
      </c>
      <c r="M3859" s="2" t="s">
        <v>38</v>
      </c>
      <c r="N3859" s="2" t="s">
        <v>39</v>
      </c>
      <c r="O3859" s="2" t="s">
        <v>39</v>
      </c>
      <c r="P3859" s="2" t="s">
        <v>39</v>
      </c>
      <c r="Q3859" s="2" t="s">
        <v>39</v>
      </c>
      <c r="R3859" s="2" t="s">
        <v>39</v>
      </c>
      <c r="S3859" s="2" t="s">
        <v>38</v>
      </c>
      <c r="T3859" s="2" t="s">
        <v>39</v>
      </c>
      <c r="U3859" s="2" t="s">
        <v>38</v>
      </c>
      <c r="V3859" s="2" t="s">
        <v>38</v>
      </c>
      <c r="W3859" s="2" t="s">
        <v>38</v>
      </c>
      <c r="X3859" s="2" t="s">
        <v>39</v>
      </c>
      <c r="Y3859" s="2" t="s">
        <v>39</v>
      </c>
      <c r="Z3859" s="2" t="s">
        <v>39</v>
      </c>
      <c r="AA3859" s="2" t="s">
        <v>39</v>
      </c>
      <c r="AB3859" s="2" t="s">
        <v>39</v>
      </c>
      <c r="AC3859" s="2" t="s">
        <v>38</v>
      </c>
      <c r="AD3859" s="2" t="s">
        <v>39</v>
      </c>
      <c r="AE3859" s="2" t="s">
        <v>40</v>
      </c>
    </row>
    <row r="3860" spans="1:31" ht="409.5">
      <c r="A3860" s="2">
        <v>2687555</v>
      </c>
      <c r="B3860" s="2">
        <f>HYPERLINK("https://platform.v2.vetology.net/cases/2687555/screening-report/1?type=pdf&amp;v=v6&amp;scorecard=1&amp;secret_key=BX%25IJ%24%2F65ieZ%29f6", 2687555)</f>
        <v>2687555</v>
      </c>
      <c r="C3860" s="2">
        <f>HYPERLINK("https://platform.v2.vetology.net/report/v/final/"&amp;2687555, 2687555)</f>
        <v>2687555</v>
      </c>
      <c r="D3860" s="2" t="s">
        <v>12134</v>
      </c>
      <c r="E3860" s="2" t="s">
        <v>12135</v>
      </c>
      <c r="F3860" s="2" t="s">
        <v>43</v>
      </c>
      <c r="G3860" s="2" t="s">
        <v>100</v>
      </c>
      <c r="H3860" s="2" t="s">
        <v>69</v>
      </c>
      <c r="I3860" s="2" t="s">
        <v>46</v>
      </c>
      <c r="J3860" s="2"/>
      <c r="K3860" s="2" t="s">
        <v>39</v>
      </c>
      <c r="L3860" s="2" t="s">
        <v>39</v>
      </c>
      <c r="M3860" s="2" t="s">
        <v>39</v>
      </c>
      <c r="N3860" s="2" t="s">
        <v>39</v>
      </c>
      <c r="O3860" s="2" t="s">
        <v>39</v>
      </c>
      <c r="P3860" s="2" t="s">
        <v>39</v>
      </c>
      <c r="Q3860" s="2" t="s">
        <v>39</v>
      </c>
      <c r="R3860" s="2" t="s">
        <v>39</v>
      </c>
      <c r="S3860" s="2" t="s">
        <v>39</v>
      </c>
      <c r="T3860" s="2" t="s">
        <v>39</v>
      </c>
      <c r="U3860" s="2" t="s">
        <v>39</v>
      </c>
      <c r="V3860" s="2" t="s">
        <v>39</v>
      </c>
      <c r="W3860" s="2" t="s">
        <v>39</v>
      </c>
      <c r="X3860" s="2" t="s">
        <v>39</v>
      </c>
      <c r="Y3860" s="2" t="s">
        <v>39</v>
      </c>
      <c r="Z3860" s="2" t="s">
        <v>38</v>
      </c>
      <c r="AA3860" s="2" t="s">
        <v>38</v>
      </c>
      <c r="AB3860" s="2" t="s">
        <v>39</v>
      </c>
      <c r="AC3860" s="2" t="s">
        <v>39</v>
      </c>
      <c r="AD3860" s="2" t="s">
        <v>39</v>
      </c>
      <c r="AE3860" s="2"/>
    </row>
    <row r="3861" spans="1:31" ht="409.5">
      <c r="A3861" s="2">
        <v>2687516</v>
      </c>
      <c r="B3861" s="2">
        <f>HYPERLINK("https://platform.v2.vetology.net/cases/2687516/screening-report/1?type=pdf&amp;v=v6&amp;scorecard=1&amp;secret_key=BX%25IJ%24%2F65ieZ%29f6", 2687516)</f>
        <v>2687516</v>
      </c>
      <c r="C3861" s="2">
        <f>HYPERLINK("https://platform.v2.vetology.net/report/v/final/"&amp;2687516, 2687516)</f>
        <v>2687516</v>
      </c>
      <c r="D3861" s="2" t="s">
        <v>12136</v>
      </c>
      <c r="E3861" s="2" t="s">
        <v>12137</v>
      </c>
      <c r="F3861" s="2" t="s">
        <v>12138</v>
      </c>
      <c r="G3861" s="2" t="s">
        <v>145</v>
      </c>
      <c r="H3861" s="2" t="s">
        <v>171</v>
      </c>
      <c r="I3861" s="2" t="s">
        <v>36</v>
      </c>
      <c r="J3861" s="2" t="s">
        <v>37</v>
      </c>
      <c r="K3861" s="2" t="s">
        <v>39</v>
      </c>
      <c r="L3861" s="2" t="s">
        <v>38</v>
      </c>
      <c r="M3861" s="2" t="s">
        <v>38</v>
      </c>
      <c r="N3861" s="2" t="s">
        <v>38</v>
      </c>
      <c r="O3861" s="2" t="s">
        <v>38</v>
      </c>
      <c r="P3861" s="2" t="s">
        <v>39</v>
      </c>
      <c r="Q3861" s="2" t="s">
        <v>39</v>
      </c>
      <c r="R3861" s="2" t="s">
        <v>38</v>
      </c>
      <c r="S3861" s="2" t="s">
        <v>38</v>
      </c>
      <c r="T3861" s="2" t="s">
        <v>39</v>
      </c>
      <c r="U3861" s="2" t="s">
        <v>39</v>
      </c>
      <c r="V3861" s="2" t="s">
        <v>39</v>
      </c>
      <c r="W3861" s="2" t="s">
        <v>39</v>
      </c>
      <c r="X3861" s="2" t="s">
        <v>39</v>
      </c>
      <c r="Y3861" s="2" t="s">
        <v>39</v>
      </c>
      <c r="Z3861" s="2" t="s">
        <v>39</v>
      </c>
      <c r="AA3861" s="2" t="s">
        <v>39</v>
      </c>
      <c r="AB3861" s="2" t="s">
        <v>39</v>
      </c>
      <c r="AC3861" s="2" t="s">
        <v>38</v>
      </c>
      <c r="AD3861" s="2" t="s">
        <v>38</v>
      </c>
      <c r="AE3861" s="2" t="s">
        <v>39</v>
      </c>
    </row>
    <row r="3862" spans="1:31" ht="409.5">
      <c r="A3862" s="2">
        <v>2687473</v>
      </c>
      <c r="B3862" s="2">
        <f>HYPERLINK("https://platform.v2.vetology.net/cases/2687473/screening-report/1?type=pdf&amp;v=v6&amp;scorecard=1&amp;secret_key=BX%25IJ%24%2F65ieZ%29f6", 2687473)</f>
        <v>2687473</v>
      </c>
      <c r="C3862" s="2">
        <f>HYPERLINK("https://platform.v2.vetology.net/report/v/final/"&amp;2687473, 2687473)</f>
        <v>2687473</v>
      </c>
      <c r="D3862" s="2" t="s">
        <v>12139</v>
      </c>
      <c r="E3862" s="2" t="s">
        <v>12140</v>
      </c>
      <c r="F3862" s="2" t="s">
        <v>12141</v>
      </c>
      <c r="G3862" s="2" t="s">
        <v>53</v>
      </c>
      <c r="H3862" s="2" t="s">
        <v>8880</v>
      </c>
      <c r="I3862" s="2" t="s">
        <v>36</v>
      </c>
      <c r="J3862" s="2" t="s">
        <v>37</v>
      </c>
      <c r="K3862" s="2" t="s">
        <v>39</v>
      </c>
      <c r="L3862" s="2" t="s">
        <v>39</v>
      </c>
      <c r="M3862" s="2" t="s">
        <v>38</v>
      </c>
      <c r="N3862" s="2" t="s">
        <v>38</v>
      </c>
      <c r="O3862" s="2" t="s">
        <v>38</v>
      </c>
      <c r="P3862" s="2" t="s">
        <v>38</v>
      </c>
      <c r="Q3862" s="2" t="s">
        <v>39</v>
      </c>
      <c r="R3862" s="2" t="s">
        <v>39</v>
      </c>
      <c r="S3862" s="2" t="s">
        <v>39</v>
      </c>
      <c r="T3862" s="2" t="s">
        <v>39</v>
      </c>
      <c r="U3862" s="2" t="s">
        <v>39</v>
      </c>
      <c r="V3862" s="2" t="s">
        <v>38</v>
      </c>
      <c r="W3862" s="2" t="s">
        <v>38</v>
      </c>
      <c r="X3862" s="2" t="s">
        <v>39</v>
      </c>
      <c r="Y3862" s="2" t="s">
        <v>39</v>
      </c>
      <c r="Z3862" s="2" t="s">
        <v>38</v>
      </c>
      <c r="AA3862" s="2" t="s">
        <v>38</v>
      </c>
      <c r="AB3862" s="2" t="s">
        <v>39</v>
      </c>
      <c r="AC3862" s="2" t="s">
        <v>38</v>
      </c>
      <c r="AD3862" s="2" t="s">
        <v>39</v>
      </c>
      <c r="AE3862" s="2" t="s">
        <v>40</v>
      </c>
    </row>
    <row r="3863" spans="1:31" ht="409.5">
      <c r="A3863" s="2">
        <v>2687459</v>
      </c>
      <c r="B3863" s="2">
        <f>HYPERLINK("https://platform.v2.vetology.net/cases/2687459/screening-report/1?type=pdf&amp;v=v6&amp;scorecard=1&amp;secret_key=BX%25IJ%24%2F65ieZ%29f6", 2687459)</f>
        <v>2687459</v>
      </c>
      <c r="C3863" s="2">
        <f>HYPERLINK("https://platform.v2.vetology.net/report/v/final/"&amp;2687459, 2687459)</f>
        <v>2687459</v>
      </c>
      <c r="D3863" s="2" t="s">
        <v>12142</v>
      </c>
      <c r="E3863" s="2" t="s">
        <v>1848</v>
      </c>
      <c r="F3863" s="2" t="s">
        <v>9438</v>
      </c>
      <c r="G3863" s="2" t="s">
        <v>111</v>
      </c>
      <c r="H3863" s="2" t="s">
        <v>12143</v>
      </c>
      <c r="I3863" s="2" t="s">
        <v>129</v>
      </c>
      <c r="J3863" s="2" t="s">
        <v>74</v>
      </c>
      <c r="K3863" s="2" t="s">
        <v>38</v>
      </c>
      <c r="L3863" s="2" t="s">
        <v>39</v>
      </c>
      <c r="M3863" s="2" t="s">
        <v>38</v>
      </c>
      <c r="N3863" s="2" t="s">
        <v>38</v>
      </c>
      <c r="O3863" s="2" t="s">
        <v>38</v>
      </c>
      <c r="P3863" s="2" t="s">
        <v>38</v>
      </c>
      <c r="Q3863" s="2" t="s">
        <v>38</v>
      </c>
      <c r="R3863" s="2" t="s">
        <v>39</v>
      </c>
      <c r="S3863" s="2" t="s">
        <v>39</v>
      </c>
      <c r="T3863" s="2" t="s">
        <v>38</v>
      </c>
      <c r="U3863" s="2" t="s">
        <v>39</v>
      </c>
      <c r="V3863" s="2" t="s">
        <v>38</v>
      </c>
      <c r="W3863" s="2" t="s">
        <v>38</v>
      </c>
      <c r="X3863" s="2" t="s">
        <v>38</v>
      </c>
      <c r="Y3863" s="2" t="s">
        <v>39</v>
      </c>
      <c r="Z3863" s="2" t="s">
        <v>38</v>
      </c>
      <c r="AA3863" s="2" t="s">
        <v>38</v>
      </c>
      <c r="AB3863" s="2" t="s">
        <v>38</v>
      </c>
      <c r="AC3863" s="2" t="s">
        <v>39</v>
      </c>
      <c r="AD3863" s="2" t="s">
        <v>39</v>
      </c>
      <c r="AE3863" s="2" t="s">
        <v>39</v>
      </c>
    </row>
    <row r="3864" spans="1:31" ht="409.5">
      <c r="A3864" s="2">
        <v>2687444</v>
      </c>
      <c r="B3864" s="2">
        <f>HYPERLINK("https://platform.v2.vetology.net/cases/2687444/screening-report/1?type=pdf&amp;v=v6&amp;scorecard=1&amp;secret_key=BX%25IJ%24%2F65ieZ%29f6", 2687444)</f>
        <v>2687444</v>
      </c>
      <c r="C3864" s="2">
        <f>HYPERLINK("https://platform.v2.vetology.net/report/v/final/"&amp;2687444, 2687444)</f>
        <v>2687444</v>
      </c>
      <c r="D3864" s="2" t="s">
        <v>12144</v>
      </c>
      <c r="E3864" s="2" t="s">
        <v>12145</v>
      </c>
      <c r="F3864" s="2" t="s">
        <v>12146</v>
      </c>
      <c r="G3864" s="2" t="s">
        <v>556</v>
      </c>
      <c r="H3864" s="2" t="s">
        <v>69</v>
      </c>
      <c r="I3864" s="2" t="s">
        <v>46</v>
      </c>
      <c r="J3864" s="2"/>
      <c r="K3864" s="2" t="s">
        <v>39</v>
      </c>
      <c r="L3864" s="2" t="s">
        <v>39</v>
      </c>
      <c r="M3864" s="2" t="s">
        <v>39</v>
      </c>
      <c r="N3864" s="2" t="s">
        <v>39</v>
      </c>
      <c r="O3864" s="2" t="s">
        <v>39</v>
      </c>
      <c r="P3864" s="2" t="s">
        <v>39</v>
      </c>
      <c r="Q3864" s="2" t="s">
        <v>39</v>
      </c>
      <c r="R3864" s="2" t="s">
        <v>39</v>
      </c>
      <c r="S3864" s="2" t="s">
        <v>39</v>
      </c>
      <c r="T3864" s="2" t="s">
        <v>39</v>
      </c>
      <c r="U3864" s="2" t="s">
        <v>39</v>
      </c>
      <c r="V3864" s="2" t="s">
        <v>39</v>
      </c>
      <c r="W3864" s="2" t="s">
        <v>39</v>
      </c>
      <c r="X3864" s="2" t="s">
        <v>39</v>
      </c>
      <c r="Y3864" s="2" t="s">
        <v>39</v>
      </c>
      <c r="Z3864" s="2" t="s">
        <v>38</v>
      </c>
      <c r="AA3864" s="2" t="s">
        <v>39</v>
      </c>
      <c r="AB3864" s="2" t="s">
        <v>39</v>
      </c>
      <c r="AC3864" s="2" t="s">
        <v>38</v>
      </c>
      <c r="AD3864" s="2" t="s">
        <v>39</v>
      </c>
      <c r="AE3864" s="2" t="s">
        <v>39</v>
      </c>
    </row>
    <row r="3865" spans="1:31" ht="409.5">
      <c r="A3865" s="2">
        <v>2687442</v>
      </c>
      <c r="B3865" s="2">
        <f>HYPERLINK("https://platform.v2.vetology.net/cases/2687442/screening-report/1?type=pdf&amp;v=v6&amp;scorecard=1&amp;secret_key=BX%25IJ%24%2F65ieZ%29f6", 2687442)</f>
        <v>2687442</v>
      </c>
      <c r="C3865" s="2">
        <f>HYPERLINK("https://platform.v2.vetology.net/report/v/final/"&amp;2687442, 2687442)</f>
        <v>2687442</v>
      </c>
      <c r="D3865" s="2" t="s">
        <v>12147</v>
      </c>
      <c r="E3865" s="2" t="s">
        <v>12148</v>
      </c>
      <c r="F3865" s="2" t="s">
        <v>12149</v>
      </c>
      <c r="G3865" s="2" t="s">
        <v>170</v>
      </c>
      <c r="H3865" s="2" t="s">
        <v>12150</v>
      </c>
      <c r="I3865" s="2" t="s">
        <v>73</v>
      </c>
      <c r="J3865" s="2" t="s">
        <v>74</v>
      </c>
      <c r="K3865" s="2" t="s">
        <v>38</v>
      </c>
      <c r="L3865" s="2" t="s">
        <v>38</v>
      </c>
      <c r="M3865" s="2" t="s">
        <v>38</v>
      </c>
      <c r="N3865" s="2" t="s">
        <v>38</v>
      </c>
      <c r="O3865" s="2" t="s">
        <v>38</v>
      </c>
      <c r="P3865" s="2" t="s">
        <v>39</v>
      </c>
      <c r="Q3865" s="2" t="s">
        <v>38</v>
      </c>
      <c r="R3865" s="2" t="s">
        <v>38</v>
      </c>
      <c r="S3865" s="2" t="s">
        <v>38</v>
      </c>
      <c r="T3865" s="2" t="s">
        <v>38</v>
      </c>
      <c r="U3865" s="2" t="s">
        <v>38</v>
      </c>
      <c r="V3865" s="2" t="s">
        <v>38</v>
      </c>
      <c r="W3865" s="2" t="s">
        <v>39</v>
      </c>
      <c r="X3865" s="2" t="s">
        <v>38</v>
      </c>
      <c r="Y3865" s="2" t="s">
        <v>39</v>
      </c>
      <c r="Z3865" s="2" t="s">
        <v>38</v>
      </c>
      <c r="AA3865" s="2" t="s">
        <v>38</v>
      </c>
      <c r="AB3865" s="2" t="s">
        <v>38</v>
      </c>
      <c r="AC3865" s="2" t="s">
        <v>38</v>
      </c>
      <c r="AD3865" s="2" t="s">
        <v>38</v>
      </c>
      <c r="AE3865" s="2" t="s">
        <v>40</v>
      </c>
    </row>
    <row r="3866" spans="1:31" ht="409.5">
      <c r="A3866" s="2">
        <v>2687433</v>
      </c>
      <c r="B3866" s="2">
        <f>HYPERLINK("https://platform.v2.vetology.net/cases/2687433/screening-report/1?type=pdf&amp;v=v6&amp;scorecard=1&amp;secret_key=BX%25IJ%24%2F65ieZ%29f6", 2687433)</f>
        <v>2687433</v>
      </c>
      <c r="C3866" s="2">
        <f>HYPERLINK("https://platform.v2.vetology.net/report/v/final/"&amp;2687433, 2687433)</f>
        <v>2687433</v>
      </c>
      <c r="D3866" s="2" t="s">
        <v>12151</v>
      </c>
      <c r="E3866" s="2" t="s">
        <v>12152</v>
      </c>
      <c r="F3866" s="2" t="s">
        <v>12153</v>
      </c>
      <c r="G3866" s="2" t="s">
        <v>170</v>
      </c>
      <c r="H3866" s="2" t="s">
        <v>12154</v>
      </c>
      <c r="I3866" s="2" t="s">
        <v>36</v>
      </c>
      <c r="J3866" s="2" t="s">
        <v>37</v>
      </c>
      <c r="K3866" s="2" t="s">
        <v>38</v>
      </c>
      <c r="L3866" s="2" t="s">
        <v>38</v>
      </c>
      <c r="M3866" s="2" t="s">
        <v>38</v>
      </c>
      <c r="N3866" s="2" t="s">
        <v>39</v>
      </c>
      <c r="O3866" s="2" t="s">
        <v>38</v>
      </c>
      <c r="P3866" s="2" t="s">
        <v>39</v>
      </c>
      <c r="Q3866" s="2" t="s">
        <v>39</v>
      </c>
      <c r="R3866" s="2" t="s">
        <v>39</v>
      </c>
      <c r="S3866" s="2" t="s">
        <v>39</v>
      </c>
      <c r="T3866" s="2" t="s">
        <v>39</v>
      </c>
      <c r="U3866" s="2" t="s">
        <v>38</v>
      </c>
      <c r="V3866" s="2" t="s">
        <v>38</v>
      </c>
      <c r="W3866" s="2" t="s">
        <v>39</v>
      </c>
      <c r="X3866" s="2" t="s">
        <v>39</v>
      </c>
      <c r="Y3866" s="2" t="s">
        <v>39</v>
      </c>
      <c r="Z3866" s="2" t="s">
        <v>38</v>
      </c>
      <c r="AA3866" s="2" t="s">
        <v>39</v>
      </c>
      <c r="AB3866" s="2" t="s">
        <v>39</v>
      </c>
      <c r="AC3866" s="2" t="s">
        <v>38</v>
      </c>
      <c r="AD3866" s="2" t="s">
        <v>38</v>
      </c>
      <c r="AE3866" s="2" t="s">
        <v>39</v>
      </c>
    </row>
    <row r="3867" spans="1:31" ht="409.5">
      <c r="A3867" s="2">
        <v>2687428</v>
      </c>
      <c r="B3867" s="2">
        <f>HYPERLINK("https://platform.v2.vetology.net/cases/2687428/screening-report/1?type=pdf&amp;v=v6&amp;scorecard=1&amp;secret_key=BX%25IJ%24%2F65ieZ%29f6", 2687428)</f>
        <v>2687428</v>
      </c>
      <c r="C3867" s="2">
        <f>HYPERLINK("https://platform.v2.vetology.net/report/v/final/"&amp;2687428, 2687428)</f>
        <v>2687428</v>
      </c>
      <c r="D3867" s="2" t="s">
        <v>12155</v>
      </c>
      <c r="E3867" s="2" t="s">
        <v>12156</v>
      </c>
      <c r="F3867" s="2" t="s">
        <v>12157</v>
      </c>
      <c r="G3867" s="2" t="s">
        <v>53</v>
      </c>
      <c r="H3867" s="2" t="s">
        <v>12158</v>
      </c>
      <c r="I3867" s="2" t="s">
        <v>36</v>
      </c>
      <c r="J3867" s="2" t="s">
        <v>37</v>
      </c>
      <c r="K3867" s="2" t="s">
        <v>38</v>
      </c>
      <c r="L3867" s="2" t="s">
        <v>38</v>
      </c>
      <c r="M3867" s="2" t="s">
        <v>39</v>
      </c>
      <c r="N3867" s="2" t="s">
        <v>39</v>
      </c>
      <c r="O3867" s="2" t="s">
        <v>38</v>
      </c>
      <c r="P3867" s="2" t="s">
        <v>39</v>
      </c>
      <c r="Q3867" s="2" t="s">
        <v>39</v>
      </c>
      <c r="R3867" s="2" t="s">
        <v>38</v>
      </c>
      <c r="S3867" s="2" t="s">
        <v>38</v>
      </c>
      <c r="T3867" s="2" t="s">
        <v>39</v>
      </c>
      <c r="U3867" s="2" t="s">
        <v>39</v>
      </c>
      <c r="V3867" s="2" t="s">
        <v>38</v>
      </c>
      <c r="W3867" s="2" t="s">
        <v>39</v>
      </c>
      <c r="X3867" s="2" t="s">
        <v>39</v>
      </c>
      <c r="Y3867" s="2" t="s">
        <v>39</v>
      </c>
      <c r="Z3867" s="2" t="s">
        <v>38</v>
      </c>
      <c r="AA3867" s="2" t="s">
        <v>38</v>
      </c>
      <c r="AB3867" s="2" t="s">
        <v>39</v>
      </c>
      <c r="AC3867" s="2" t="s">
        <v>38</v>
      </c>
      <c r="AD3867" s="2" t="s">
        <v>38</v>
      </c>
      <c r="AE3867" s="2" t="s">
        <v>39</v>
      </c>
    </row>
    <row r="3868" spans="1:31" ht="409.5">
      <c r="A3868" s="2">
        <v>2687404</v>
      </c>
      <c r="B3868" s="2">
        <f>HYPERLINK("https://platform.v2.vetology.net/cases/2687404/screening-report/1?type=pdf&amp;v=v6&amp;scorecard=1&amp;secret_key=BX%25IJ%24%2F65ieZ%29f6", 2687404)</f>
        <v>2687404</v>
      </c>
      <c r="C3868" s="2">
        <f>HYPERLINK("https://platform.v2.vetology.net/report/v/final/"&amp;2687404, 2687404)</f>
        <v>2687404</v>
      </c>
      <c r="D3868" s="2" t="s">
        <v>2629</v>
      </c>
      <c r="E3868" s="2" t="s">
        <v>118</v>
      </c>
      <c r="F3868" s="2" t="s">
        <v>12159</v>
      </c>
      <c r="G3868" s="2" t="s">
        <v>111</v>
      </c>
      <c r="H3868" s="2" t="s">
        <v>8026</v>
      </c>
      <c r="I3868" s="2" t="s">
        <v>813</v>
      </c>
      <c r="J3868" s="2" t="s">
        <v>37</v>
      </c>
      <c r="K3868" s="2" t="s">
        <v>39</v>
      </c>
      <c r="L3868" s="2" t="s">
        <v>39</v>
      </c>
      <c r="M3868" s="2" t="s">
        <v>39</v>
      </c>
      <c r="N3868" s="2" t="s">
        <v>39</v>
      </c>
      <c r="O3868" s="2" t="s">
        <v>39</v>
      </c>
      <c r="P3868" s="2" t="s">
        <v>39</v>
      </c>
      <c r="Q3868" s="2" t="s">
        <v>39</v>
      </c>
      <c r="R3868" s="2" t="s">
        <v>38</v>
      </c>
      <c r="S3868" s="2" t="s">
        <v>38</v>
      </c>
      <c r="T3868" s="2" t="s">
        <v>39</v>
      </c>
      <c r="U3868" s="2" t="s">
        <v>39</v>
      </c>
      <c r="V3868" s="2" t="s">
        <v>39</v>
      </c>
      <c r="W3868" s="2" t="s">
        <v>38</v>
      </c>
      <c r="X3868" s="2" t="s">
        <v>38</v>
      </c>
      <c r="Y3868" s="2" t="s">
        <v>38</v>
      </c>
      <c r="Z3868" s="2" t="s">
        <v>38</v>
      </c>
      <c r="AA3868" s="2" t="s">
        <v>38</v>
      </c>
      <c r="AB3868" s="2" t="s">
        <v>39</v>
      </c>
      <c r="AC3868" s="2" t="s">
        <v>38</v>
      </c>
      <c r="AD3868" s="2" t="s">
        <v>38</v>
      </c>
      <c r="AE3868" s="2" t="s">
        <v>40</v>
      </c>
    </row>
    <row r="3869" spans="1:31" ht="409.5">
      <c r="A3869" s="2">
        <v>2687382</v>
      </c>
      <c r="B3869" s="2">
        <f>HYPERLINK("https://platform.v2.vetology.net/cases/2687382/screening-report/1?type=pdf&amp;v=v6&amp;scorecard=1&amp;secret_key=BX%25IJ%24%2F65ieZ%29f6", 2687382)</f>
        <v>2687382</v>
      </c>
      <c r="C3869" s="2">
        <f>HYPERLINK("https://platform.v2.vetology.net/report/v/final/"&amp;2687382, 2687382)</f>
        <v>2687382</v>
      </c>
      <c r="D3869" s="2" t="s">
        <v>12160</v>
      </c>
      <c r="E3869" s="2" t="s">
        <v>12161</v>
      </c>
      <c r="F3869" s="2" t="s">
        <v>12162</v>
      </c>
      <c r="G3869" s="2" t="s">
        <v>34</v>
      </c>
      <c r="H3869" s="2" t="s">
        <v>2862</v>
      </c>
      <c r="I3869" s="2" t="s">
        <v>46</v>
      </c>
      <c r="J3869" s="2"/>
      <c r="K3869" s="2" t="s">
        <v>38</v>
      </c>
      <c r="L3869" s="2" t="s">
        <v>39</v>
      </c>
      <c r="M3869" s="2" t="s">
        <v>39</v>
      </c>
      <c r="N3869" s="2" t="s">
        <v>39</v>
      </c>
      <c r="O3869" s="2" t="s">
        <v>39</v>
      </c>
      <c r="P3869" s="2" t="s">
        <v>39</v>
      </c>
      <c r="Q3869" s="2" t="s">
        <v>39</v>
      </c>
      <c r="R3869" s="2" t="s">
        <v>38</v>
      </c>
      <c r="S3869" s="2" t="s">
        <v>38</v>
      </c>
      <c r="T3869" s="2" t="s">
        <v>39</v>
      </c>
      <c r="U3869" s="2" t="s">
        <v>38</v>
      </c>
      <c r="V3869" s="2" t="s">
        <v>38</v>
      </c>
      <c r="W3869" s="2" t="s">
        <v>38</v>
      </c>
      <c r="X3869" s="2" t="s">
        <v>39</v>
      </c>
      <c r="Y3869" s="2" t="s">
        <v>39</v>
      </c>
      <c r="Z3869" s="2" t="s">
        <v>38</v>
      </c>
      <c r="AA3869" s="2" t="s">
        <v>39</v>
      </c>
      <c r="AB3869" s="2" t="s">
        <v>39</v>
      </c>
      <c r="AC3869" s="2" t="s">
        <v>38</v>
      </c>
      <c r="AD3869" s="2" t="s">
        <v>38</v>
      </c>
      <c r="AE3869" s="2" t="s">
        <v>39</v>
      </c>
    </row>
    <row r="3870" spans="1:31" ht="409.5">
      <c r="A3870" s="2">
        <v>2687373</v>
      </c>
      <c r="B3870" s="2">
        <f>HYPERLINK("https://platform.v2.vetology.net/cases/2687373/screening-report/1?type=pdf&amp;v=v6&amp;scorecard=1&amp;secret_key=BX%25IJ%24%2F65ieZ%29f6", 2687373)</f>
        <v>2687373</v>
      </c>
      <c r="C3870" s="2">
        <f>HYPERLINK("https://platform.v2.vetology.net/report/v/final/"&amp;2687373, 2687373)</f>
        <v>2687373</v>
      </c>
      <c r="D3870" s="2" t="s">
        <v>12163</v>
      </c>
      <c r="E3870" s="2" t="s">
        <v>12164</v>
      </c>
      <c r="F3870" s="2" t="s">
        <v>12165</v>
      </c>
      <c r="G3870" s="2" t="s">
        <v>170</v>
      </c>
      <c r="H3870" s="2" t="s">
        <v>12166</v>
      </c>
      <c r="I3870" s="2" t="s">
        <v>73</v>
      </c>
      <c r="J3870" s="2" t="s">
        <v>74</v>
      </c>
      <c r="K3870" s="2" t="s">
        <v>38</v>
      </c>
      <c r="L3870" s="2" t="s">
        <v>38</v>
      </c>
      <c r="M3870" s="2" t="s">
        <v>38</v>
      </c>
      <c r="N3870" s="2" t="s">
        <v>38</v>
      </c>
      <c r="O3870" s="2" t="s">
        <v>38</v>
      </c>
      <c r="P3870" s="2" t="s">
        <v>38</v>
      </c>
      <c r="Q3870" s="2" t="s">
        <v>38</v>
      </c>
      <c r="R3870" s="2" t="s">
        <v>38</v>
      </c>
      <c r="S3870" s="2" t="s">
        <v>38</v>
      </c>
      <c r="T3870" s="2" t="s">
        <v>38</v>
      </c>
      <c r="U3870" s="2" t="s">
        <v>38</v>
      </c>
      <c r="V3870" s="2" t="s">
        <v>38</v>
      </c>
      <c r="W3870" s="2" t="s">
        <v>38</v>
      </c>
      <c r="X3870" s="2" t="s">
        <v>38</v>
      </c>
      <c r="Y3870" s="2" t="s">
        <v>38</v>
      </c>
      <c r="Z3870" s="2" t="s">
        <v>38</v>
      </c>
      <c r="AA3870" s="2" t="s">
        <v>38</v>
      </c>
      <c r="AB3870" s="2" t="s">
        <v>38</v>
      </c>
      <c r="AC3870" s="2" t="s">
        <v>38</v>
      </c>
      <c r="AD3870" s="2" t="s">
        <v>38</v>
      </c>
      <c r="AE3870" s="2" t="s">
        <v>40</v>
      </c>
    </row>
    <row r="3871" spans="1:31" ht="409.5">
      <c r="A3871" s="2">
        <v>2687368</v>
      </c>
      <c r="B3871" s="2">
        <f>HYPERLINK("https://platform.v2.vetology.net/cases/2687368/screening-report/1?type=pdf&amp;v=v6&amp;scorecard=1&amp;secret_key=BX%25IJ%24%2F65ieZ%29f6", 2687368)</f>
        <v>2687368</v>
      </c>
      <c r="C3871" s="2">
        <f>HYPERLINK("https://platform.v2.vetology.net/report/v/final/"&amp;2687368, 2687368)</f>
        <v>2687368</v>
      </c>
      <c r="D3871" s="2" t="s">
        <v>12167</v>
      </c>
      <c r="E3871" s="2" t="s">
        <v>12168</v>
      </c>
      <c r="F3871" s="2" t="s">
        <v>990</v>
      </c>
      <c r="G3871" s="2" t="s">
        <v>100</v>
      </c>
      <c r="H3871" s="2" t="s">
        <v>45</v>
      </c>
      <c r="I3871" s="2" t="s">
        <v>46</v>
      </c>
      <c r="J3871" s="2"/>
      <c r="K3871" s="2" t="s">
        <v>39</v>
      </c>
      <c r="L3871" s="2" t="s">
        <v>39</v>
      </c>
      <c r="M3871" s="2" t="s">
        <v>39</v>
      </c>
      <c r="N3871" s="2" t="s">
        <v>39</v>
      </c>
      <c r="O3871" s="2" t="s">
        <v>39</v>
      </c>
      <c r="P3871" s="2" t="s">
        <v>39</v>
      </c>
      <c r="Q3871" s="2" t="s">
        <v>39</v>
      </c>
      <c r="R3871" s="2" t="s">
        <v>38</v>
      </c>
      <c r="S3871" s="2" t="s">
        <v>39</v>
      </c>
      <c r="T3871" s="2" t="s">
        <v>39</v>
      </c>
      <c r="U3871" s="2" t="s">
        <v>39</v>
      </c>
      <c r="V3871" s="2" t="s">
        <v>39</v>
      </c>
      <c r="W3871" s="2" t="s">
        <v>39</v>
      </c>
      <c r="X3871" s="2" t="s">
        <v>39</v>
      </c>
      <c r="Y3871" s="2" t="s">
        <v>39</v>
      </c>
      <c r="Z3871" s="2" t="s">
        <v>39</v>
      </c>
      <c r="AA3871" s="2" t="s">
        <v>39</v>
      </c>
      <c r="AB3871" s="2" t="s">
        <v>39</v>
      </c>
      <c r="AC3871" s="2" t="s">
        <v>38</v>
      </c>
      <c r="AD3871" s="2" t="s">
        <v>38</v>
      </c>
      <c r="AE3871" s="2" t="s">
        <v>40</v>
      </c>
    </row>
    <row r="3872" spans="1:31" ht="409.5">
      <c r="A3872" s="2">
        <v>2687311</v>
      </c>
      <c r="B3872" s="2">
        <f>HYPERLINK("https://platform.v2.vetology.net/cases/2687311/screening-report/1?type=pdf&amp;v=v6&amp;scorecard=1&amp;secret_key=BX%25IJ%24%2F65ieZ%29f6", 2687311)</f>
        <v>2687311</v>
      </c>
      <c r="C3872" s="2">
        <f>HYPERLINK("https://platform.v2.vetology.net/report/v/final/"&amp;2687311, 2687311)</f>
        <v>2687311</v>
      </c>
      <c r="D3872" s="2" t="s">
        <v>12169</v>
      </c>
      <c r="E3872" s="2" t="s">
        <v>12170</v>
      </c>
      <c r="F3872" s="2" t="s">
        <v>12171</v>
      </c>
      <c r="G3872" s="2" t="s">
        <v>53</v>
      </c>
      <c r="H3872" s="2" t="s">
        <v>537</v>
      </c>
      <c r="I3872" s="2" t="s">
        <v>59</v>
      </c>
      <c r="J3872" s="2" t="s">
        <v>37</v>
      </c>
      <c r="K3872" s="2" t="s">
        <v>38</v>
      </c>
      <c r="L3872" s="2" t="s">
        <v>39</v>
      </c>
      <c r="M3872" s="2" t="s">
        <v>39</v>
      </c>
      <c r="N3872" s="2" t="s">
        <v>39</v>
      </c>
      <c r="O3872" s="2" t="s">
        <v>39</v>
      </c>
      <c r="P3872" s="2" t="s">
        <v>39</v>
      </c>
      <c r="Q3872" s="2" t="s">
        <v>39</v>
      </c>
      <c r="R3872" s="2" t="s">
        <v>39</v>
      </c>
      <c r="S3872" s="2" t="s">
        <v>39</v>
      </c>
      <c r="T3872" s="2" t="s">
        <v>39</v>
      </c>
      <c r="U3872" s="2" t="s">
        <v>38</v>
      </c>
      <c r="V3872" s="2" t="s">
        <v>38</v>
      </c>
      <c r="W3872" s="2" t="s">
        <v>39</v>
      </c>
      <c r="X3872" s="2" t="s">
        <v>39</v>
      </c>
      <c r="Y3872" s="2" t="s">
        <v>39</v>
      </c>
      <c r="Z3872" s="2" t="s">
        <v>39</v>
      </c>
      <c r="AA3872" s="2" t="s">
        <v>39</v>
      </c>
      <c r="AB3872" s="2" t="s">
        <v>39</v>
      </c>
      <c r="AC3872" s="2" t="s">
        <v>38</v>
      </c>
      <c r="AD3872" s="2" t="s">
        <v>38</v>
      </c>
      <c r="AE3872" s="2" t="s">
        <v>39</v>
      </c>
    </row>
    <row r="3873" spans="1:31" ht="409.5">
      <c r="A3873" s="2">
        <v>2687296</v>
      </c>
      <c r="B3873" s="2">
        <f>HYPERLINK("https://platform.v2.vetology.net/cases/2687296/screening-report/1?type=pdf&amp;v=v6&amp;scorecard=1&amp;secret_key=BX%25IJ%24%2F65ieZ%29f6", 2687296)</f>
        <v>2687296</v>
      </c>
      <c r="C3873" s="2">
        <f>HYPERLINK("https://platform.v2.vetology.net/report/v/final/"&amp;2687296, 2687296)</f>
        <v>2687296</v>
      </c>
      <c r="D3873" s="2" t="s">
        <v>12172</v>
      </c>
      <c r="E3873" s="2" t="s">
        <v>3783</v>
      </c>
      <c r="F3873" s="2" t="s">
        <v>1908</v>
      </c>
      <c r="G3873" s="2" t="s">
        <v>100</v>
      </c>
      <c r="H3873" s="2" t="s">
        <v>398</v>
      </c>
      <c r="I3873" s="2" t="s">
        <v>46</v>
      </c>
      <c r="J3873" s="2"/>
      <c r="K3873" s="2" t="s">
        <v>38</v>
      </c>
      <c r="L3873" s="2" t="s">
        <v>39</v>
      </c>
      <c r="M3873" s="2" t="s">
        <v>39</v>
      </c>
      <c r="N3873" s="2" t="s">
        <v>39</v>
      </c>
      <c r="O3873" s="2" t="s">
        <v>39</v>
      </c>
      <c r="P3873" s="2" t="s">
        <v>39</v>
      </c>
      <c r="Q3873" s="2" t="s">
        <v>39</v>
      </c>
      <c r="R3873" s="2" t="s">
        <v>39</v>
      </c>
      <c r="S3873" s="2" t="s">
        <v>39</v>
      </c>
      <c r="T3873" s="2" t="s">
        <v>39</v>
      </c>
      <c r="U3873" s="2" t="s">
        <v>39</v>
      </c>
      <c r="V3873" s="2" t="s">
        <v>39</v>
      </c>
      <c r="W3873" s="2" t="s">
        <v>39</v>
      </c>
      <c r="X3873" s="2" t="s">
        <v>39</v>
      </c>
      <c r="Y3873" s="2" t="s">
        <v>39</v>
      </c>
      <c r="Z3873" s="2" t="s">
        <v>39</v>
      </c>
      <c r="AA3873" s="2" t="s">
        <v>39</v>
      </c>
      <c r="AB3873" s="2" t="s">
        <v>39</v>
      </c>
      <c r="AC3873" s="2" t="s">
        <v>39</v>
      </c>
      <c r="AD3873" s="2" t="s">
        <v>38</v>
      </c>
      <c r="AE3873" s="2" t="s">
        <v>40</v>
      </c>
    </row>
    <row r="3874" spans="1:31" ht="409.5">
      <c r="A3874" s="2">
        <v>2687287</v>
      </c>
      <c r="B3874" s="2">
        <f>HYPERLINK("https://platform.v2.vetology.net/cases/2687287/screening-report/1?type=pdf&amp;v=v6&amp;scorecard=1&amp;secret_key=BX%25IJ%24%2F65ieZ%29f6", 2687287)</f>
        <v>2687287</v>
      </c>
      <c r="C3874" s="2">
        <f>HYPERLINK("https://platform.v2.vetology.net/report/v/final/"&amp;2687287, 2687287)</f>
        <v>2687287</v>
      </c>
      <c r="D3874" s="2" t="s">
        <v>12173</v>
      </c>
      <c r="E3874" s="2" t="s">
        <v>12174</v>
      </c>
      <c r="F3874" s="2" t="s">
        <v>12175</v>
      </c>
      <c r="G3874" s="2" t="s">
        <v>170</v>
      </c>
      <c r="H3874" s="2" t="s">
        <v>69</v>
      </c>
      <c r="I3874" s="2" t="s">
        <v>46</v>
      </c>
      <c r="J3874" s="2"/>
      <c r="K3874" s="2" t="s">
        <v>39</v>
      </c>
      <c r="L3874" s="2" t="s">
        <v>39</v>
      </c>
      <c r="M3874" s="2" t="s">
        <v>39</v>
      </c>
      <c r="N3874" s="2" t="s">
        <v>39</v>
      </c>
      <c r="O3874" s="2" t="s">
        <v>39</v>
      </c>
      <c r="P3874" s="2" t="s">
        <v>39</v>
      </c>
      <c r="Q3874" s="2" t="s">
        <v>39</v>
      </c>
      <c r="R3874" s="2" t="s">
        <v>39</v>
      </c>
      <c r="S3874" s="2" t="s">
        <v>39</v>
      </c>
      <c r="T3874" s="2" t="s">
        <v>39</v>
      </c>
      <c r="U3874" s="2" t="s">
        <v>39</v>
      </c>
      <c r="V3874" s="2" t="s">
        <v>39</v>
      </c>
      <c r="W3874" s="2" t="s">
        <v>39</v>
      </c>
      <c r="X3874" s="2" t="s">
        <v>39</v>
      </c>
      <c r="Y3874" s="2" t="s">
        <v>39</v>
      </c>
      <c r="Z3874" s="2" t="s">
        <v>39</v>
      </c>
      <c r="AA3874" s="2" t="s">
        <v>39</v>
      </c>
      <c r="AB3874" s="2" t="s">
        <v>39</v>
      </c>
      <c r="AC3874" s="2" t="s">
        <v>39</v>
      </c>
      <c r="AD3874" s="2" t="s">
        <v>38</v>
      </c>
      <c r="AE3874" s="2" t="s">
        <v>39</v>
      </c>
    </row>
    <row r="3875" spans="1:31" ht="409.5">
      <c r="A3875" s="2">
        <v>2687277</v>
      </c>
      <c r="B3875" s="2">
        <f>HYPERLINK("https://platform.v2.vetology.net/cases/2687277/screening-report/1?type=pdf&amp;v=v6&amp;scorecard=1&amp;secret_key=BX%25IJ%24%2F65ieZ%29f6", 2687277)</f>
        <v>2687277</v>
      </c>
      <c r="C3875" s="2">
        <f>HYPERLINK("https://platform.v2.vetology.net/report/v/final/"&amp;2687277, 2687277)</f>
        <v>2687277</v>
      </c>
      <c r="D3875" s="2" t="s">
        <v>12176</v>
      </c>
      <c r="E3875" s="2" t="s">
        <v>12177</v>
      </c>
      <c r="F3875" s="2" t="s">
        <v>12178</v>
      </c>
      <c r="G3875" s="2" t="s">
        <v>556</v>
      </c>
      <c r="H3875" s="2" t="s">
        <v>12179</v>
      </c>
      <c r="I3875" s="2" t="s">
        <v>36</v>
      </c>
      <c r="J3875" s="2" t="s">
        <v>37</v>
      </c>
      <c r="K3875" s="2" t="s">
        <v>39</v>
      </c>
      <c r="L3875" s="2" t="s">
        <v>38</v>
      </c>
      <c r="M3875" s="2" t="s">
        <v>38</v>
      </c>
      <c r="N3875" s="2" t="s">
        <v>38</v>
      </c>
      <c r="O3875" s="2" t="s">
        <v>38</v>
      </c>
      <c r="P3875" s="2" t="s">
        <v>39</v>
      </c>
      <c r="Q3875" s="2" t="s">
        <v>39</v>
      </c>
      <c r="R3875" s="2" t="s">
        <v>38</v>
      </c>
      <c r="S3875" s="2" t="s">
        <v>38</v>
      </c>
      <c r="T3875" s="2" t="s">
        <v>38</v>
      </c>
      <c r="U3875" s="2" t="s">
        <v>39</v>
      </c>
      <c r="V3875" s="2" t="s">
        <v>39</v>
      </c>
      <c r="W3875" s="2" t="s">
        <v>39</v>
      </c>
      <c r="X3875" s="2" t="s">
        <v>39</v>
      </c>
      <c r="Y3875" s="2" t="s">
        <v>38</v>
      </c>
      <c r="Z3875" s="2" t="s">
        <v>38</v>
      </c>
      <c r="AA3875" s="2" t="s">
        <v>39</v>
      </c>
      <c r="AB3875" s="2" t="s">
        <v>39</v>
      </c>
      <c r="AC3875" s="2" t="s">
        <v>38</v>
      </c>
      <c r="AD3875" s="2" t="s">
        <v>38</v>
      </c>
      <c r="AE3875" s="2" t="s">
        <v>39</v>
      </c>
    </row>
    <row r="3876" spans="1:31" ht="409.5">
      <c r="A3876" s="2">
        <v>2687267</v>
      </c>
      <c r="B3876" s="2">
        <f>HYPERLINK("https://platform.v2.vetology.net/cases/2687267/screening-report/1?type=pdf&amp;v=v6&amp;scorecard=1&amp;secret_key=BX%25IJ%24%2F65ieZ%29f6", 2687267)</f>
        <v>2687267</v>
      </c>
      <c r="C3876" s="2">
        <f>HYPERLINK("https://platform.v2.vetology.net/report/v/final/"&amp;2687267, 2687267)</f>
        <v>2687267</v>
      </c>
      <c r="D3876" s="2" t="s">
        <v>12180</v>
      </c>
      <c r="E3876" s="2" t="s">
        <v>12181</v>
      </c>
      <c r="F3876" s="2" t="s">
        <v>12182</v>
      </c>
      <c r="G3876" s="2" t="s">
        <v>111</v>
      </c>
      <c r="H3876" s="2" t="s">
        <v>69</v>
      </c>
      <c r="I3876" s="2" t="s">
        <v>46</v>
      </c>
      <c r="J3876" s="2"/>
      <c r="K3876" s="2" t="s">
        <v>39</v>
      </c>
      <c r="L3876" s="2" t="s">
        <v>39</v>
      </c>
      <c r="M3876" s="2" t="s">
        <v>39</v>
      </c>
      <c r="N3876" s="2" t="s">
        <v>39</v>
      </c>
      <c r="O3876" s="2" t="s">
        <v>39</v>
      </c>
      <c r="P3876" s="2" t="s">
        <v>39</v>
      </c>
      <c r="Q3876" s="2" t="s">
        <v>39</v>
      </c>
      <c r="R3876" s="2" t="s">
        <v>39</v>
      </c>
      <c r="S3876" s="2" t="s">
        <v>39</v>
      </c>
      <c r="T3876" s="2" t="s">
        <v>39</v>
      </c>
      <c r="U3876" s="2" t="s">
        <v>39</v>
      </c>
      <c r="V3876" s="2" t="s">
        <v>39</v>
      </c>
      <c r="W3876" s="2" t="s">
        <v>39</v>
      </c>
      <c r="X3876" s="2" t="s">
        <v>39</v>
      </c>
      <c r="Y3876" s="2" t="s">
        <v>39</v>
      </c>
      <c r="Z3876" s="2" t="s">
        <v>39</v>
      </c>
      <c r="AA3876" s="2" t="s">
        <v>39</v>
      </c>
      <c r="AB3876" s="2" t="s">
        <v>39</v>
      </c>
      <c r="AC3876" s="2" t="s">
        <v>39</v>
      </c>
      <c r="AD3876" s="2" t="s">
        <v>39</v>
      </c>
      <c r="AE3876" s="2" t="s">
        <v>39</v>
      </c>
    </row>
    <row r="3877" spans="1:31" ht="409.5">
      <c r="A3877" s="2">
        <v>2687253</v>
      </c>
      <c r="B3877" s="2">
        <f>HYPERLINK("https://platform.v2.vetology.net/cases/2687253/screening-report/1?type=pdf&amp;v=v6&amp;scorecard=1&amp;secret_key=BX%25IJ%24%2F65ieZ%29f6", 2687253)</f>
        <v>2687253</v>
      </c>
      <c r="C3877" s="2">
        <f>HYPERLINK("https://platform.v2.vetology.net/report/v/final/"&amp;2687253, 2687253)</f>
        <v>2687253</v>
      </c>
      <c r="D3877" s="2" t="s">
        <v>12183</v>
      </c>
      <c r="E3877" s="2" t="s">
        <v>12184</v>
      </c>
      <c r="F3877" s="2" t="s">
        <v>1225</v>
      </c>
      <c r="G3877" s="2" t="s">
        <v>44</v>
      </c>
      <c r="H3877" s="2" t="s">
        <v>66</v>
      </c>
      <c r="I3877" s="2" t="s">
        <v>36</v>
      </c>
      <c r="J3877" s="2" t="s">
        <v>37</v>
      </c>
      <c r="K3877" s="2" t="s">
        <v>39</v>
      </c>
      <c r="L3877" s="2" t="s">
        <v>39</v>
      </c>
      <c r="M3877" s="2" t="s">
        <v>38</v>
      </c>
      <c r="N3877" s="2" t="s">
        <v>39</v>
      </c>
      <c r="O3877" s="2" t="s">
        <v>39</v>
      </c>
      <c r="P3877" s="2" t="s">
        <v>39</v>
      </c>
      <c r="Q3877" s="2" t="s">
        <v>39</v>
      </c>
      <c r="R3877" s="2" t="s">
        <v>39</v>
      </c>
      <c r="S3877" s="2" t="s">
        <v>39</v>
      </c>
      <c r="T3877" s="2" t="s">
        <v>38</v>
      </c>
      <c r="U3877" s="2" t="s">
        <v>39</v>
      </c>
      <c r="V3877" s="2" t="s">
        <v>39</v>
      </c>
      <c r="W3877" s="2" t="s">
        <v>38</v>
      </c>
      <c r="X3877" s="2" t="s">
        <v>39</v>
      </c>
      <c r="Y3877" s="2" t="s">
        <v>39</v>
      </c>
      <c r="Z3877" s="2" t="s">
        <v>39</v>
      </c>
      <c r="AA3877" s="2" t="s">
        <v>39</v>
      </c>
      <c r="AB3877" s="2" t="s">
        <v>39</v>
      </c>
      <c r="AC3877" s="2" t="s">
        <v>38</v>
      </c>
      <c r="AD3877" s="2" t="s">
        <v>39</v>
      </c>
      <c r="AE3877" s="2" t="s">
        <v>40</v>
      </c>
    </row>
    <row r="3878" spans="1:31" ht="409.5">
      <c r="A3878" s="2">
        <v>2687209</v>
      </c>
      <c r="B3878" s="2">
        <f>HYPERLINK("https://platform.v2.vetology.net/cases/2687209/screening-report/1?type=pdf&amp;v=v6&amp;scorecard=1&amp;secret_key=BX%25IJ%24%2F65ieZ%29f6", 2687209)</f>
        <v>2687209</v>
      </c>
      <c r="C3878" s="2">
        <f>HYPERLINK("https://platform.v2.vetology.net/report/v/final/"&amp;2687209, 2687209)</f>
        <v>2687209</v>
      </c>
      <c r="D3878" s="2" t="s">
        <v>12185</v>
      </c>
      <c r="E3878" s="2" t="s">
        <v>12186</v>
      </c>
      <c r="F3878" s="2" t="s">
        <v>43</v>
      </c>
      <c r="G3878" s="2" t="s">
        <v>507</v>
      </c>
      <c r="H3878" s="2" t="s">
        <v>8894</v>
      </c>
      <c r="I3878" s="2" t="s">
        <v>59</v>
      </c>
      <c r="J3878" s="2" t="s">
        <v>37</v>
      </c>
      <c r="K3878" s="2" t="s">
        <v>38</v>
      </c>
      <c r="L3878" s="2" t="s">
        <v>39</v>
      </c>
      <c r="M3878" s="2" t="s">
        <v>39</v>
      </c>
      <c r="N3878" s="2" t="s">
        <v>39</v>
      </c>
      <c r="O3878" s="2" t="s">
        <v>39</v>
      </c>
      <c r="P3878" s="2" t="s">
        <v>38</v>
      </c>
      <c r="Q3878" s="2" t="s">
        <v>39</v>
      </c>
      <c r="R3878" s="2" t="s">
        <v>39</v>
      </c>
      <c r="S3878" s="2" t="s">
        <v>39</v>
      </c>
      <c r="T3878" s="2" t="s">
        <v>38</v>
      </c>
      <c r="U3878" s="2" t="s">
        <v>39</v>
      </c>
      <c r="V3878" s="2" t="s">
        <v>38</v>
      </c>
      <c r="W3878" s="2" t="s">
        <v>39</v>
      </c>
      <c r="X3878" s="2" t="s">
        <v>39</v>
      </c>
      <c r="Y3878" s="2" t="s">
        <v>39</v>
      </c>
      <c r="Z3878" s="2" t="s">
        <v>38</v>
      </c>
      <c r="AA3878" s="2" t="s">
        <v>39</v>
      </c>
      <c r="AB3878" s="2" t="s">
        <v>39</v>
      </c>
      <c r="AC3878" s="2" t="s">
        <v>39</v>
      </c>
      <c r="AD3878" s="2" t="s">
        <v>38</v>
      </c>
      <c r="AE3878" s="2" t="s">
        <v>39</v>
      </c>
    </row>
    <row r="3879" spans="1:31" ht="409.5">
      <c r="A3879" s="2">
        <v>2687200</v>
      </c>
      <c r="B3879" s="2">
        <f>HYPERLINK("https://platform.v2.vetology.net/cases/2687200/screening-report/1?type=pdf&amp;v=v6&amp;scorecard=1&amp;secret_key=BX%25IJ%24%2F65ieZ%29f6", 2687200)</f>
        <v>2687200</v>
      </c>
      <c r="C3879" s="2">
        <f>HYPERLINK("https://platform.v2.vetology.net/report/v/final/"&amp;2687200, 2687200)</f>
        <v>2687200</v>
      </c>
      <c r="D3879" s="2" t="s">
        <v>12187</v>
      </c>
      <c r="E3879" s="2" t="s">
        <v>12188</v>
      </c>
      <c r="F3879" s="2" t="s">
        <v>12189</v>
      </c>
      <c r="G3879" s="2" t="s">
        <v>556</v>
      </c>
      <c r="H3879" s="2" t="s">
        <v>3951</v>
      </c>
      <c r="I3879" s="2" t="s">
        <v>36</v>
      </c>
      <c r="J3879" s="2" t="s">
        <v>37</v>
      </c>
      <c r="K3879" s="2" t="s">
        <v>38</v>
      </c>
      <c r="L3879" s="2" t="s">
        <v>39</v>
      </c>
      <c r="M3879" s="2" t="s">
        <v>38</v>
      </c>
      <c r="N3879" s="2" t="s">
        <v>38</v>
      </c>
      <c r="O3879" s="2" t="s">
        <v>38</v>
      </c>
      <c r="P3879" s="2" t="s">
        <v>39</v>
      </c>
      <c r="Q3879" s="2" t="s">
        <v>39</v>
      </c>
      <c r="R3879" s="2" t="s">
        <v>39</v>
      </c>
      <c r="S3879" s="2" t="s">
        <v>39</v>
      </c>
      <c r="T3879" s="2" t="s">
        <v>39</v>
      </c>
      <c r="U3879" s="2" t="s">
        <v>39</v>
      </c>
      <c r="V3879" s="2" t="s">
        <v>38</v>
      </c>
      <c r="W3879" s="2" t="s">
        <v>39</v>
      </c>
      <c r="X3879" s="2" t="s">
        <v>39</v>
      </c>
      <c r="Y3879" s="2" t="s">
        <v>39</v>
      </c>
      <c r="Z3879" s="2" t="s">
        <v>39</v>
      </c>
      <c r="AA3879" s="2" t="s">
        <v>39</v>
      </c>
      <c r="AB3879" s="2" t="s">
        <v>39</v>
      </c>
      <c r="AC3879" s="2" t="s">
        <v>38</v>
      </c>
      <c r="AD3879" s="2" t="s">
        <v>39</v>
      </c>
      <c r="AE3879" s="2" t="s">
        <v>40</v>
      </c>
    </row>
    <row r="3880" spans="1:31" ht="409.5">
      <c r="A3880" s="2">
        <v>2687194</v>
      </c>
      <c r="B3880" s="2">
        <f>HYPERLINK("https://platform.v2.vetology.net/cases/2687194/screening-report/1?type=pdf&amp;v=v6&amp;scorecard=1&amp;secret_key=BX%25IJ%24%2F65ieZ%29f6", 2687194)</f>
        <v>2687194</v>
      </c>
      <c r="C3880" s="2">
        <f>HYPERLINK("https://platform.v2.vetology.net/report/v/final/"&amp;2687194, 2687194)</f>
        <v>2687194</v>
      </c>
      <c r="D3880" s="2" t="s">
        <v>12190</v>
      </c>
      <c r="E3880" s="2" t="s">
        <v>12191</v>
      </c>
      <c r="F3880" s="2" t="s">
        <v>12192</v>
      </c>
      <c r="G3880" s="2" t="s">
        <v>53</v>
      </c>
      <c r="H3880" s="2" t="s">
        <v>12193</v>
      </c>
      <c r="I3880" s="2" t="s">
        <v>36</v>
      </c>
      <c r="J3880" s="2" t="s">
        <v>37</v>
      </c>
      <c r="K3880" s="2" t="s">
        <v>38</v>
      </c>
      <c r="L3880" s="2" t="s">
        <v>38</v>
      </c>
      <c r="M3880" s="2" t="s">
        <v>39</v>
      </c>
      <c r="N3880" s="2" t="s">
        <v>38</v>
      </c>
      <c r="O3880" s="2" t="s">
        <v>38</v>
      </c>
      <c r="P3880" s="2" t="s">
        <v>39</v>
      </c>
      <c r="Q3880" s="2" t="s">
        <v>39</v>
      </c>
      <c r="R3880" s="2" t="s">
        <v>38</v>
      </c>
      <c r="S3880" s="2" t="s">
        <v>38</v>
      </c>
      <c r="T3880" s="2" t="s">
        <v>38</v>
      </c>
      <c r="U3880" s="2" t="s">
        <v>38</v>
      </c>
      <c r="V3880" s="2" t="s">
        <v>38</v>
      </c>
      <c r="W3880" s="2" t="s">
        <v>39</v>
      </c>
      <c r="X3880" s="2" t="s">
        <v>39</v>
      </c>
      <c r="Y3880" s="2" t="s">
        <v>38</v>
      </c>
      <c r="Z3880" s="2" t="s">
        <v>38</v>
      </c>
      <c r="AA3880" s="2" t="s">
        <v>39</v>
      </c>
      <c r="AB3880" s="2" t="s">
        <v>39</v>
      </c>
      <c r="AC3880" s="2" t="s">
        <v>38</v>
      </c>
      <c r="AD3880" s="2" t="s">
        <v>38</v>
      </c>
      <c r="AE3880" s="2" t="s">
        <v>40</v>
      </c>
    </row>
    <row r="3881" spans="1:31" ht="409.5">
      <c r="A3881" s="2">
        <v>2687188</v>
      </c>
      <c r="B3881" s="2">
        <f>HYPERLINK("https://platform.v2.vetology.net/cases/2687188/screening-report/1?type=pdf&amp;v=v6&amp;scorecard=1&amp;secret_key=BX%25IJ%24%2F65ieZ%29f6", 2687188)</f>
        <v>2687188</v>
      </c>
      <c r="C3881" s="2">
        <f>HYPERLINK("https://platform.v2.vetology.net/report/v/final/"&amp;2687188, 2687188)</f>
        <v>2687188</v>
      </c>
      <c r="D3881" s="2" t="s">
        <v>12194</v>
      </c>
      <c r="E3881" s="2" t="s">
        <v>12195</v>
      </c>
      <c r="F3881" s="2" t="s">
        <v>12196</v>
      </c>
      <c r="G3881" s="2" t="s">
        <v>170</v>
      </c>
      <c r="H3881" s="2" t="s">
        <v>12197</v>
      </c>
      <c r="I3881" s="2" t="s">
        <v>36</v>
      </c>
      <c r="J3881" s="2" t="s">
        <v>37</v>
      </c>
      <c r="K3881" s="2" t="s">
        <v>38</v>
      </c>
      <c r="L3881" s="2" t="s">
        <v>38</v>
      </c>
      <c r="M3881" s="2" t="s">
        <v>38</v>
      </c>
      <c r="N3881" s="2" t="s">
        <v>38</v>
      </c>
      <c r="O3881" s="2" t="s">
        <v>38</v>
      </c>
      <c r="P3881" s="2" t="s">
        <v>39</v>
      </c>
      <c r="Q3881" s="2" t="s">
        <v>39</v>
      </c>
      <c r="R3881" s="2" t="s">
        <v>38</v>
      </c>
      <c r="S3881" s="2" t="s">
        <v>38</v>
      </c>
      <c r="T3881" s="2" t="s">
        <v>38</v>
      </c>
      <c r="U3881" s="2" t="s">
        <v>38</v>
      </c>
      <c r="V3881" s="2" t="s">
        <v>38</v>
      </c>
      <c r="W3881" s="2" t="s">
        <v>38</v>
      </c>
      <c r="X3881" s="2" t="s">
        <v>39</v>
      </c>
      <c r="Y3881" s="2" t="s">
        <v>39</v>
      </c>
      <c r="Z3881" s="2" t="s">
        <v>38</v>
      </c>
      <c r="AA3881" s="2" t="s">
        <v>38</v>
      </c>
      <c r="AB3881" s="2" t="s">
        <v>39</v>
      </c>
      <c r="AC3881" s="2" t="s">
        <v>38</v>
      </c>
      <c r="AD3881" s="2" t="s">
        <v>39</v>
      </c>
      <c r="AE3881" s="2" t="s">
        <v>40</v>
      </c>
    </row>
    <row r="3882" spans="1:31" ht="409.5">
      <c r="A3882" s="2">
        <v>2687170</v>
      </c>
      <c r="B3882" s="2">
        <f>HYPERLINK("https://platform.v2.vetology.net/cases/2687170/screening-report/1?type=pdf&amp;v=v6&amp;scorecard=1&amp;secret_key=BX%25IJ%24%2F65ieZ%29f6", 2687170)</f>
        <v>2687170</v>
      </c>
      <c r="C3882" s="2">
        <f>HYPERLINK("https://platform.v2.vetology.net/report/v/final/"&amp;2687170, 2687170)</f>
        <v>2687170</v>
      </c>
      <c r="D3882" s="2" t="s">
        <v>12198</v>
      </c>
      <c r="E3882" s="2" t="s">
        <v>12199</v>
      </c>
      <c r="F3882" s="2" t="s">
        <v>2845</v>
      </c>
      <c r="G3882" s="2" t="s">
        <v>170</v>
      </c>
      <c r="H3882" s="2" t="s">
        <v>12200</v>
      </c>
      <c r="I3882" s="2" t="s">
        <v>36</v>
      </c>
      <c r="J3882" s="2" t="s">
        <v>37</v>
      </c>
      <c r="K3882" s="2" t="s">
        <v>39</v>
      </c>
      <c r="L3882" s="2" t="s">
        <v>39</v>
      </c>
      <c r="M3882" s="2" t="s">
        <v>38</v>
      </c>
      <c r="N3882" s="2" t="s">
        <v>39</v>
      </c>
      <c r="O3882" s="2" t="s">
        <v>38</v>
      </c>
      <c r="P3882" s="2" t="s">
        <v>38</v>
      </c>
      <c r="Q3882" s="2" t="s">
        <v>39</v>
      </c>
      <c r="R3882" s="2" t="s">
        <v>39</v>
      </c>
      <c r="S3882" s="2" t="s">
        <v>39</v>
      </c>
      <c r="T3882" s="2" t="s">
        <v>38</v>
      </c>
      <c r="U3882" s="2" t="s">
        <v>39</v>
      </c>
      <c r="V3882" s="2" t="s">
        <v>39</v>
      </c>
      <c r="W3882" s="2" t="s">
        <v>38</v>
      </c>
      <c r="X3882" s="2" t="s">
        <v>38</v>
      </c>
      <c r="Y3882" s="2" t="s">
        <v>39</v>
      </c>
      <c r="Z3882" s="2" t="s">
        <v>38</v>
      </c>
      <c r="AA3882" s="2" t="s">
        <v>39</v>
      </c>
      <c r="AB3882" s="2" t="s">
        <v>38</v>
      </c>
      <c r="AC3882" s="2" t="s">
        <v>38</v>
      </c>
      <c r="AD3882" s="2" t="s">
        <v>39</v>
      </c>
      <c r="AE3882" s="2" t="s">
        <v>40</v>
      </c>
    </row>
    <row r="3883" spans="1:31" ht="409.5">
      <c r="A3883" s="2">
        <v>2687168</v>
      </c>
      <c r="B3883" s="2">
        <f>HYPERLINK("https://platform.v2.vetology.net/cases/2687168/screening-report/1?type=pdf&amp;v=v6&amp;scorecard=1&amp;secret_key=BX%25IJ%24%2F65ieZ%29f6", 2687168)</f>
        <v>2687168</v>
      </c>
      <c r="C3883" s="2">
        <f>HYPERLINK("https://platform.v2.vetology.net/report/v/final/"&amp;2687168, 2687168)</f>
        <v>2687168</v>
      </c>
      <c r="D3883" s="2" t="s">
        <v>12201</v>
      </c>
      <c r="E3883" s="2" t="s">
        <v>12202</v>
      </c>
      <c r="F3883" s="2" t="s">
        <v>43</v>
      </c>
      <c r="G3883" s="2" t="s">
        <v>100</v>
      </c>
      <c r="H3883" s="2" t="s">
        <v>12203</v>
      </c>
      <c r="I3883" s="2" t="s">
        <v>257</v>
      </c>
      <c r="J3883" s="2" t="s">
        <v>74</v>
      </c>
      <c r="K3883" s="2" t="s">
        <v>38</v>
      </c>
      <c r="L3883" s="2" t="s">
        <v>38</v>
      </c>
      <c r="M3883" s="2" t="s">
        <v>38</v>
      </c>
      <c r="N3883" s="2" t="s">
        <v>38</v>
      </c>
      <c r="O3883" s="2" t="s">
        <v>38</v>
      </c>
      <c r="P3883" s="2" t="s">
        <v>38</v>
      </c>
      <c r="Q3883" s="2" t="s">
        <v>38</v>
      </c>
      <c r="R3883" s="2" t="s">
        <v>38</v>
      </c>
      <c r="S3883" s="2" t="s">
        <v>38</v>
      </c>
      <c r="T3883" s="2" t="s">
        <v>38</v>
      </c>
      <c r="U3883" s="2" t="s">
        <v>38</v>
      </c>
      <c r="V3883" s="2" t="s">
        <v>38</v>
      </c>
      <c r="W3883" s="2" t="s">
        <v>38</v>
      </c>
      <c r="X3883" s="2" t="s">
        <v>38</v>
      </c>
      <c r="Y3883" s="2" t="s">
        <v>39</v>
      </c>
      <c r="Z3883" s="2" t="s">
        <v>38</v>
      </c>
      <c r="AA3883" s="2" t="s">
        <v>38</v>
      </c>
      <c r="AB3883" s="2" t="s">
        <v>38</v>
      </c>
      <c r="AC3883" s="2" t="s">
        <v>38</v>
      </c>
      <c r="AD3883" s="2" t="s">
        <v>38</v>
      </c>
      <c r="AE3883" s="2"/>
    </row>
    <row r="3884" spans="1:31" ht="409.5">
      <c r="A3884" s="2">
        <v>2687158</v>
      </c>
      <c r="B3884" s="2">
        <f>HYPERLINK("https://platform.v2.vetology.net/cases/2687158/screening-report/1?type=pdf&amp;v=v6&amp;scorecard=1&amp;secret_key=BX%25IJ%24%2F65ieZ%29f6", 2687158)</f>
        <v>2687158</v>
      </c>
      <c r="C3884" s="2">
        <f>HYPERLINK("https://platform.v2.vetology.net/report/v/final/"&amp;2687158, 2687158)</f>
        <v>2687158</v>
      </c>
      <c r="D3884" s="2" t="s">
        <v>12204</v>
      </c>
      <c r="E3884" s="2" t="s">
        <v>12205</v>
      </c>
      <c r="F3884" s="2" t="s">
        <v>12206</v>
      </c>
      <c r="G3884" s="2" t="s">
        <v>34</v>
      </c>
      <c r="H3884" s="2" t="s">
        <v>4597</v>
      </c>
      <c r="I3884" s="2" t="s">
        <v>129</v>
      </c>
      <c r="J3884" s="2" t="s">
        <v>74</v>
      </c>
      <c r="K3884" s="2" t="s">
        <v>38</v>
      </c>
      <c r="L3884" s="2" t="s">
        <v>39</v>
      </c>
      <c r="M3884" s="2" t="s">
        <v>38</v>
      </c>
      <c r="N3884" s="2" t="s">
        <v>38</v>
      </c>
      <c r="O3884" s="2" t="s">
        <v>38</v>
      </c>
      <c r="P3884" s="2" t="s">
        <v>39</v>
      </c>
      <c r="Q3884" s="2" t="s">
        <v>38</v>
      </c>
      <c r="R3884" s="2" t="s">
        <v>39</v>
      </c>
      <c r="S3884" s="2" t="s">
        <v>39</v>
      </c>
      <c r="T3884" s="2" t="s">
        <v>38</v>
      </c>
      <c r="U3884" s="2" t="s">
        <v>39</v>
      </c>
      <c r="V3884" s="2" t="s">
        <v>39</v>
      </c>
      <c r="W3884" s="2" t="s">
        <v>38</v>
      </c>
      <c r="X3884" s="2" t="s">
        <v>38</v>
      </c>
      <c r="Y3884" s="2" t="s">
        <v>39</v>
      </c>
      <c r="Z3884" s="2" t="s">
        <v>39</v>
      </c>
      <c r="AA3884" s="2" t="s">
        <v>38</v>
      </c>
      <c r="AB3884" s="2" t="s">
        <v>38</v>
      </c>
      <c r="AC3884" s="2" t="s">
        <v>38</v>
      </c>
      <c r="AD3884" s="2" t="s">
        <v>38</v>
      </c>
      <c r="AE3884" s="2" t="s">
        <v>39</v>
      </c>
    </row>
    <row r="3885" spans="1:31" ht="409.5">
      <c r="A3885" s="2">
        <v>2687157</v>
      </c>
      <c r="B3885" s="2">
        <f>HYPERLINK("https://platform.v2.vetology.net/cases/2687157/screening-report/1?type=pdf&amp;v=v6&amp;scorecard=1&amp;secret_key=BX%25IJ%24%2F65ieZ%29f6", 2687157)</f>
        <v>2687157</v>
      </c>
      <c r="C3885" s="2">
        <f>HYPERLINK("https://platform.v2.vetology.net/report/v/final/"&amp;2687157, 2687157)</f>
        <v>2687157</v>
      </c>
      <c r="D3885" s="2" t="s">
        <v>12207</v>
      </c>
      <c r="E3885" s="2" t="s">
        <v>12208</v>
      </c>
      <c r="F3885" s="2" t="s">
        <v>43</v>
      </c>
      <c r="G3885" s="2" t="s">
        <v>507</v>
      </c>
      <c r="H3885" s="2" t="s">
        <v>12158</v>
      </c>
      <c r="I3885" s="2" t="s">
        <v>36</v>
      </c>
      <c r="J3885" s="2" t="s">
        <v>37</v>
      </c>
      <c r="K3885" s="2" t="s">
        <v>38</v>
      </c>
      <c r="L3885" s="2" t="s">
        <v>38</v>
      </c>
      <c r="M3885" s="2" t="s">
        <v>39</v>
      </c>
      <c r="N3885" s="2" t="s">
        <v>39</v>
      </c>
      <c r="O3885" s="2" t="s">
        <v>38</v>
      </c>
      <c r="P3885" s="2" t="s">
        <v>39</v>
      </c>
      <c r="Q3885" s="2" t="s">
        <v>39</v>
      </c>
      <c r="R3885" s="2" t="s">
        <v>38</v>
      </c>
      <c r="S3885" s="2" t="s">
        <v>38</v>
      </c>
      <c r="T3885" s="2" t="s">
        <v>39</v>
      </c>
      <c r="U3885" s="2" t="s">
        <v>39</v>
      </c>
      <c r="V3885" s="2" t="s">
        <v>38</v>
      </c>
      <c r="W3885" s="2" t="s">
        <v>38</v>
      </c>
      <c r="X3885" s="2" t="s">
        <v>39</v>
      </c>
      <c r="Y3885" s="2" t="s">
        <v>39</v>
      </c>
      <c r="Z3885" s="2" t="s">
        <v>38</v>
      </c>
      <c r="AA3885" s="2" t="s">
        <v>39</v>
      </c>
      <c r="AB3885" s="2" t="s">
        <v>39</v>
      </c>
      <c r="AC3885" s="2" t="s">
        <v>38</v>
      </c>
      <c r="AD3885" s="2" t="s">
        <v>38</v>
      </c>
      <c r="AE3885" s="2" t="s">
        <v>39</v>
      </c>
    </row>
    <row r="3886" spans="1:31" ht="409.5">
      <c r="A3886" s="2">
        <v>2687150</v>
      </c>
      <c r="B3886" s="2">
        <f>HYPERLINK("https://platform.v2.vetology.net/cases/2687150/screening-report/1?type=pdf&amp;v=v6&amp;scorecard=1&amp;secret_key=BX%25IJ%24%2F65ieZ%29f6", 2687150)</f>
        <v>2687150</v>
      </c>
      <c r="C3886" s="2">
        <f>HYPERLINK("https://platform.v2.vetology.net/report/v/final/"&amp;2687150, 2687150)</f>
        <v>2687150</v>
      </c>
      <c r="D3886" s="2" t="s">
        <v>12209</v>
      </c>
      <c r="E3886" s="2" t="s">
        <v>12210</v>
      </c>
      <c r="F3886" s="2" t="s">
        <v>12211</v>
      </c>
      <c r="G3886" s="2" t="s">
        <v>53</v>
      </c>
      <c r="H3886" s="2" t="s">
        <v>12212</v>
      </c>
      <c r="I3886" s="2" t="s">
        <v>36</v>
      </c>
      <c r="J3886" s="2" t="s">
        <v>37</v>
      </c>
      <c r="K3886" s="2" t="s">
        <v>38</v>
      </c>
      <c r="L3886" s="2" t="s">
        <v>38</v>
      </c>
      <c r="M3886" s="2" t="s">
        <v>38</v>
      </c>
      <c r="N3886" s="2" t="s">
        <v>39</v>
      </c>
      <c r="O3886" s="2" t="s">
        <v>38</v>
      </c>
      <c r="P3886" s="2" t="s">
        <v>39</v>
      </c>
      <c r="Q3886" s="2" t="s">
        <v>39</v>
      </c>
      <c r="R3886" s="2" t="s">
        <v>38</v>
      </c>
      <c r="S3886" s="2" t="s">
        <v>38</v>
      </c>
      <c r="T3886" s="2" t="s">
        <v>39</v>
      </c>
      <c r="U3886" s="2" t="s">
        <v>39</v>
      </c>
      <c r="V3886" s="2" t="s">
        <v>38</v>
      </c>
      <c r="W3886" s="2" t="s">
        <v>38</v>
      </c>
      <c r="X3886" s="2" t="s">
        <v>39</v>
      </c>
      <c r="Y3886" s="2" t="s">
        <v>39</v>
      </c>
      <c r="Z3886" s="2" t="s">
        <v>38</v>
      </c>
      <c r="AA3886" s="2" t="s">
        <v>38</v>
      </c>
      <c r="AB3886" s="2" t="s">
        <v>39</v>
      </c>
      <c r="AC3886" s="2" t="s">
        <v>38</v>
      </c>
      <c r="AD3886" s="2" t="s">
        <v>38</v>
      </c>
      <c r="AE3886" s="2" t="s">
        <v>39</v>
      </c>
    </row>
    <row r="3887" spans="1:31" ht="409.5">
      <c r="A3887" s="2">
        <v>2687143</v>
      </c>
      <c r="B3887" s="2">
        <f>HYPERLINK("https://platform.v2.vetology.net/cases/2687143/screening-report/1?type=pdf&amp;v=v6&amp;scorecard=1&amp;secret_key=BX%25IJ%24%2F65ieZ%29f6", 2687143)</f>
        <v>2687143</v>
      </c>
      <c r="C3887" s="2">
        <f>HYPERLINK("https://platform.v2.vetology.net/report/v/final/"&amp;2687143, 2687143)</f>
        <v>2687143</v>
      </c>
      <c r="D3887" s="2" t="s">
        <v>12213</v>
      </c>
      <c r="E3887" s="2" t="s">
        <v>12214</v>
      </c>
      <c r="F3887" s="2" t="s">
        <v>12215</v>
      </c>
      <c r="G3887" s="2" t="s">
        <v>824</v>
      </c>
      <c r="H3887" s="2" t="s">
        <v>6916</v>
      </c>
      <c r="I3887" s="2" t="s">
        <v>36</v>
      </c>
      <c r="J3887" s="2" t="s">
        <v>37</v>
      </c>
      <c r="K3887" s="2" t="s">
        <v>38</v>
      </c>
      <c r="L3887" s="2" t="s">
        <v>38</v>
      </c>
      <c r="M3887" s="2" t="s">
        <v>39</v>
      </c>
      <c r="N3887" s="2" t="s">
        <v>38</v>
      </c>
      <c r="O3887" s="2" t="s">
        <v>38</v>
      </c>
      <c r="P3887" s="2" t="s">
        <v>39</v>
      </c>
      <c r="Q3887" s="2" t="s">
        <v>39</v>
      </c>
      <c r="R3887" s="2" t="s">
        <v>38</v>
      </c>
      <c r="S3887" s="2" t="s">
        <v>38</v>
      </c>
      <c r="T3887" s="2" t="s">
        <v>39</v>
      </c>
      <c r="U3887" s="2" t="s">
        <v>38</v>
      </c>
      <c r="V3887" s="2" t="s">
        <v>38</v>
      </c>
      <c r="W3887" s="2" t="s">
        <v>38</v>
      </c>
      <c r="X3887" s="2" t="s">
        <v>39</v>
      </c>
      <c r="Y3887" s="2" t="s">
        <v>39</v>
      </c>
      <c r="Z3887" s="2" t="s">
        <v>38</v>
      </c>
      <c r="AA3887" s="2" t="s">
        <v>38</v>
      </c>
      <c r="AB3887" s="2" t="s">
        <v>39</v>
      </c>
      <c r="AC3887" s="2" t="s">
        <v>38</v>
      </c>
      <c r="AD3887" s="2" t="s">
        <v>38</v>
      </c>
      <c r="AE3887" s="2" t="s">
        <v>39</v>
      </c>
    </row>
    <row r="3888" spans="1:31" ht="409.5">
      <c r="A3888" s="2">
        <v>2687126</v>
      </c>
      <c r="B3888" s="2">
        <f>HYPERLINK("https://platform.v2.vetology.net/cases/2687126/screening-report/1?type=pdf&amp;v=v6&amp;scorecard=1&amp;secret_key=BX%25IJ%24%2F65ieZ%29f6", 2687126)</f>
        <v>2687126</v>
      </c>
      <c r="C3888" s="2">
        <f>HYPERLINK("https://platform.v2.vetology.net/report/v/final/"&amp;2687126, 2687126)</f>
        <v>2687126</v>
      </c>
      <c r="D3888" s="2" t="s">
        <v>12216</v>
      </c>
      <c r="E3888" s="2" t="s">
        <v>12217</v>
      </c>
      <c r="F3888" s="2" t="s">
        <v>43</v>
      </c>
      <c r="G3888" s="2" t="s">
        <v>100</v>
      </c>
      <c r="H3888" s="2" t="s">
        <v>12218</v>
      </c>
      <c r="I3888" s="2" t="s">
        <v>129</v>
      </c>
      <c r="J3888" s="2" t="s">
        <v>74</v>
      </c>
      <c r="K3888" s="2" t="s">
        <v>38</v>
      </c>
      <c r="L3888" s="2" t="s">
        <v>38</v>
      </c>
      <c r="M3888" s="2" t="s">
        <v>38</v>
      </c>
      <c r="N3888" s="2" t="s">
        <v>38</v>
      </c>
      <c r="O3888" s="2" t="s">
        <v>38</v>
      </c>
      <c r="P3888" s="2" t="s">
        <v>38</v>
      </c>
      <c r="Q3888" s="2" t="s">
        <v>38</v>
      </c>
      <c r="R3888" s="2" t="s">
        <v>38</v>
      </c>
      <c r="S3888" s="2" t="s">
        <v>38</v>
      </c>
      <c r="T3888" s="2" t="s">
        <v>38</v>
      </c>
      <c r="U3888" s="2" t="s">
        <v>39</v>
      </c>
      <c r="V3888" s="2" t="s">
        <v>38</v>
      </c>
      <c r="W3888" s="2" t="s">
        <v>38</v>
      </c>
      <c r="X3888" s="2" t="s">
        <v>38</v>
      </c>
      <c r="Y3888" s="2" t="s">
        <v>39</v>
      </c>
      <c r="Z3888" s="2" t="s">
        <v>38</v>
      </c>
      <c r="AA3888" s="2" t="s">
        <v>38</v>
      </c>
      <c r="AB3888" s="2" t="s">
        <v>38</v>
      </c>
      <c r="AC3888" s="2" t="s">
        <v>38</v>
      </c>
      <c r="AD3888" s="2" t="s">
        <v>38</v>
      </c>
      <c r="AE3888" s="2" t="s">
        <v>40</v>
      </c>
    </row>
    <row r="3889" spans="1:31" ht="409.5">
      <c r="A3889" s="2">
        <v>2687117</v>
      </c>
      <c r="B3889" s="2">
        <f>HYPERLINK("https://platform.v2.vetology.net/cases/2687117/screening-report/1?type=pdf&amp;v=v6&amp;scorecard=1&amp;secret_key=BX%25IJ%24%2F65ieZ%29f6", 2687117)</f>
        <v>2687117</v>
      </c>
      <c r="C3889" s="2">
        <f>HYPERLINK("https://platform.v2.vetology.net/report/v/final/"&amp;2687117, 2687117)</f>
        <v>2687117</v>
      </c>
      <c r="D3889" s="2" t="s">
        <v>12219</v>
      </c>
      <c r="E3889" s="2" t="s">
        <v>12220</v>
      </c>
      <c r="F3889" s="2" t="s">
        <v>5294</v>
      </c>
      <c r="G3889" s="2" t="s">
        <v>100</v>
      </c>
      <c r="H3889" s="2" t="s">
        <v>69</v>
      </c>
      <c r="I3889" s="2" t="s">
        <v>46</v>
      </c>
      <c r="J3889" s="2"/>
      <c r="K3889" s="2" t="s">
        <v>39</v>
      </c>
      <c r="L3889" s="2" t="s">
        <v>39</v>
      </c>
      <c r="M3889" s="2" t="s">
        <v>39</v>
      </c>
      <c r="N3889" s="2" t="s">
        <v>39</v>
      </c>
      <c r="O3889" s="2" t="s">
        <v>39</v>
      </c>
      <c r="P3889" s="2" t="s">
        <v>39</v>
      </c>
      <c r="Q3889" s="2" t="s">
        <v>39</v>
      </c>
      <c r="R3889" s="2" t="s">
        <v>39</v>
      </c>
      <c r="S3889" s="2" t="s">
        <v>39</v>
      </c>
      <c r="T3889" s="2" t="s">
        <v>39</v>
      </c>
      <c r="U3889" s="2" t="s">
        <v>39</v>
      </c>
      <c r="V3889" s="2" t="s">
        <v>39</v>
      </c>
      <c r="W3889" s="2" t="s">
        <v>38</v>
      </c>
      <c r="X3889" s="2" t="s">
        <v>39</v>
      </c>
      <c r="Y3889" s="2" t="s">
        <v>39</v>
      </c>
      <c r="Z3889" s="2" t="s">
        <v>38</v>
      </c>
      <c r="AA3889" s="2" t="s">
        <v>38</v>
      </c>
      <c r="AB3889" s="2" t="s">
        <v>39</v>
      </c>
      <c r="AC3889" s="2" t="s">
        <v>38</v>
      </c>
      <c r="AD3889" s="2" t="s">
        <v>39</v>
      </c>
      <c r="AE3889" s="2" t="s">
        <v>39</v>
      </c>
    </row>
    <row r="3890" spans="1:31" ht="409.5">
      <c r="A3890" s="2">
        <v>2687105</v>
      </c>
      <c r="B3890" s="2">
        <f>HYPERLINK("https://platform.v2.vetology.net/cases/2687105/screening-report/1?type=pdf&amp;v=v6&amp;scorecard=1&amp;secret_key=BX%25IJ%24%2F65ieZ%29f6", 2687105)</f>
        <v>2687105</v>
      </c>
      <c r="C3890" s="2">
        <f>HYPERLINK("https://platform.v2.vetology.net/report/v/final/"&amp;2687105, 2687105)</f>
        <v>2687105</v>
      </c>
      <c r="D3890" s="2" t="s">
        <v>12221</v>
      </c>
      <c r="E3890" s="2" t="s">
        <v>12222</v>
      </c>
      <c r="F3890" s="2" t="s">
        <v>2000</v>
      </c>
      <c r="G3890" s="2" t="s">
        <v>100</v>
      </c>
      <c r="H3890" s="2" t="s">
        <v>12223</v>
      </c>
      <c r="I3890" s="2" t="s">
        <v>36</v>
      </c>
      <c r="J3890" s="2" t="s">
        <v>37</v>
      </c>
      <c r="K3890" s="2" t="s">
        <v>39</v>
      </c>
      <c r="L3890" s="2" t="s">
        <v>38</v>
      </c>
      <c r="M3890" s="2" t="s">
        <v>38</v>
      </c>
      <c r="N3890" s="2" t="s">
        <v>38</v>
      </c>
      <c r="O3890" s="2" t="s">
        <v>38</v>
      </c>
      <c r="P3890" s="2" t="s">
        <v>39</v>
      </c>
      <c r="Q3890" s="2" t="s">
        <v>39</v>
      </c>
      <c r="R3890" s="2" t="s">
        <v>38</v>
      </c>
      <c r="S3890" s="2" t="s">
        <v>38</v>
      </c>
      <c r="T3890" s="2" t="s">
        <v>39</v>
      </c>
      <c r="U3890" s="2" t="s">
        <v>39</v>
      </c>
      <c r="V3890" s="2" t="s">
        <v>39</v>
      </c>
      <c r="W3890" s="2" t="s">
        <v>38</v>
      </c>
      <c r="X3890" s="2" t="s">
        <v>39</v>
      </c>
      <c r="Y3890" s="2" t="s">
        <v>39</v>
      </c>
      <c r="Z3890" s="2" t="s">
        <v>39</v>
      </c>
      <c r="AA3890" s="2" t="s">
        <v>38</v>
      </c>
      <c r="AB3890" s="2" t="s">
        <v>39</v>
      </c>
      <c r="AC3890" s="2" t="s">
        <v>38</v>
      </c>
      <c r="AD3890" s="2" t="s">
        <v>38</v>
      </c>
      <c r="AE3890" s="2"/>
    </row>
    <row r="3891" spans="1:31" ht="409.5">
      <c r="A3891" s="2">
        <v>2687103</v>
      </c>
      <c r="B3891" s="2">
        <f>HYPERLINK("https://platform.v2.vetology.net/cases/2687103/screening-report/1?type=pdf&amp;v=v6&amp;scorecard=1&amp;secret_key=BX%25IJ%24%2F65ieZ%29f6", 2687103)</f>
        <v>2687103</v>
      </c>
      <c r="C3891" s="2">
        <f>HYPERLINK("https://platform.v2.vetology.net/report/v/final/"&amp;2687103, 2687103)</f>
        <v>2687103</v>
      </c>
      <c r="D3891" s="2" t="s">
        <v>12224</v>
      </c>
      <c r="E3891" s="2" t="s">
        <v>12225</v>
      </c>
      <c r="F3891" s="2" t="s">
        <v>12226</v>
      </c>
      <c r="G3891" s="2" t="s">
        <v>100</v>
      </c>
      <c r="H3891" s="2" t="s">
        <v>728</v>
      </c>
      <c r="I3891" s="2" t="s">
        <v>36</v>
      </c>
      <c r="J3891" s="2" t="s">
        <v>37</v>
      </c>
      <c r="K3891" s="2" t="s">
        <v>39</v>
      </c>
      <c r="L3891" s="2" t="s">
        <v>39</v>
      </c>
      <c r="M3891" s="2" t="s">
        <v>38</v>
      </c>
      <c r="N3891" s="2" t="s">
        <v>39</v>
      </c>
      <c r="O3891" s="2" t="s">
        <v>39</v>
      </c>
      <c r="P3891" s="2" t="s">
        <v>39</v>
      </c>
      <c r="Q3891" s="2" t="s">
        <v>39</v>
      </c>
      <c r="R3891" s="2" t="s">
        <v>39</v>
      </c>
      <c r="S3891" s="2" t="s">
        <v>38</v>
      </c>
      <c r="T3891" s="2" t="s">
        <v>38</v>
      </c>
      <c r="U3891" s="2" t="s">
        <v>39</v>
      </c>
      <c r="V3891" s="2" t="s">
        <v>39</v>
      </c>
      <c r="W3891" s="2" t="s">
        <v>38</v>
      </c>
      <c r="X3891" s="2" t="s">
        <v>39</v>
      </c>
      <c r="Y3891" s="2" t="s">
        <v>39</v>
      </c>
      <c r="Z3891" s="2" t="s">
        <v>38</v>
      </c>
      <c r="AA3891" s="2" t="s">
        <v>38</v>
      </c>
      <c r="AB3891" s="2" t="s">
        <v>39</v>
      </c>
      <c r="AC3891" s="2" t="s">
        <v>39</v>
      </c>
      <c r="AD3891" s="2" t="s">
        <v>39</v>
      </c>
      <c r="AE3891" s="2" t="s">
        <v>39</v>
      </c>
    </row>
    <row r="3892" spans="1:31" ht="409.5">
      <c r="A3892" s="2">
        <v>2687093</v>
      </c>
      <c r="B3892" s="2">
        <f>HYPERLINK("https://platform.v2.vetology.net/cases/2687093/screening-report/1?type=pdf&amp;v=v6&amp;scorecard=1&amp;secret_key=BX%25IJ%24%2F65ieZ%29f6", 2687093)</f>
        <v>2687093</v>
      </c>
      <c r="C3892" s="2">
        <f>HYPERLINK("https://platform.v2.vetology.net/report/v/final/"&amp;2687093, 2687093)</f>
        <v>2687093</v>
      </c>
      <c r="D3892" s="2" t="s">
        <v>1090</v>
      </c>
      <c r="E3892" s="2" t="s">
        <v>1091</v>
      </c>
      <c r="F3892" s="2" t="s">
        <v>787</v>
      </c>
      <c r="G3892" s="2" t="s">
        <v>100</v>
      </c>
      <c r="H3892" s="2" t="s">
        <v>69</v>
      </c>
      <c r="I3892" s="2" t="s">
        <v>46</v>
      </c>
      <c r="J3892" s="2"/>
      <c r="K3892" s="2" t="s">
        <v>39</v>
      </c>
      <c r="L3892" s="2" t="s">
        <v>39</v>
      </c>
      <c r="M3892" s="2" t="s">
        <v>39</v>
      </c>
      <c r="N3892" s="2" t="s">
        <v>39</v>
      </c>
      <c r="O3892" s="2" t="s">
        <v>39</v>
      </c>
      <c r="P3892" s="2" t="s">
        <v>39</v>
      </c>
      <c r="Q3892" s="2" t="s">
        <v>39</v>
      </c>
      <c r="R3892" s="2" t="s">
        <v>39</v>
      </c>
      <c r="S3892" s="2" t="s">
        <v>39</v>
      </c>
      <c r="T3892" s="2" t="s">
        <v>39</v>
      </c>
      <c r="U3892" s="2" t="s">
        <v>39</v>
      </c>
      <c r="V3892" s="2" t="s">
        <v>39</v>
      </c>
      <c r="W3892" s="2" t="s">
        <v>39</v>
      </c>
      <c r="X3892" s="2" t="s">
        <v>39</v>
      </c>
      <c r="Y3892" s="2" t="s">
        <v>39</v>
      </c>
      <c r="Z3892" s="2" t="s">
        <v>39</v>
      </c>
      <c r="AA3892" s="2" t="s">
        <v>39</v>
      </c>
      <c r="AB3892" s="2" t="s">
        <v>39</v>
      </c>
      <c r="AC3892" s="2" t="s">
        <v>38</v>
      </c>
      <c r="AD3892" s="2" t="s">
        <v>38</v>
      </c>
      <c r="AE3892" s="2" t="s">
        <v>40</v>
      </c>
    </row>
    <row r="3893" spans="1:31" ht="409.5">
      <c r="A3893" s="2">
        <v>2687087</v>
      </c>
      <c r="B3893" s="2">
        <f>HYPERLINK("https://platform.v2.vetology.net/cases/2687087/screening-report/1?type=pdf&amp;v=v6&amp;scorecard=1&amp;secret_key=BX%25IJ%24%2F65ieZ%29f6", 2687087)</f>
        <v>2687087</v>
      </c>
      <c r="C3893" s="2">
        <f>HYPERLINK("https://platform.v2.vetology.net/report/v/final/"&amp;2687087, 2687087)</f>
        <v>2687087</v>
      </c>
      <c r="D3893" s="2" t="s">
        <v>12227</v>
      </c>
      <c r="E3893" s="2" t="s">
        <v>12228</v>
      </c>
      <c r="F3893" s="2" t="s">
        <v>43</v>
      </c>
      <c r="G3893" s="2" t="s">
        <v>100</v>
      </c>
      <c r="H3893" s="2" t="s">
        <v>12229</v>
      </c>
      <c r="I3893" s="2" t="s">
        <v>73</v>
      </c>
      <c r="J3893" s="2" t="s">
        <v>74</v>
      </c>
      <c r="K3893" s="2" t="s">
        <v>38</v>
      </c>
      <c r="L3893" s="2" t="s">
        <v>38</v>
      </c>
      <c r="M3893" s="2" t="s">
        <v>38</v>
      </c>
      <c r="N3893" s="2" t="s">
        <v>38</v>
      </c>
      <c r="O3893" s="2" t="s">
        <v>38</v>
      </c>
      <c r="P3893" s="2" t="s">
        <v>38</v>
      </c>
      <c r="Q3893" s="2" t="s">
        <v>38</v>
      </c>
      <c r="R3893" s="2" t="s">
        <v>39</v>
      </c>
      <c r="S3893" s="2" t="s">
        <v>38</v>
      </c>
      <c r="T3893" s="2" t="s">
        <v>38</v>
      </c>
      <c r="U3893" s="2" t="s">
        <v>38</v>
      </c>
      <c r="V3893" s="2" t="s">
        <v>38</v>
      </c>
      <c r="W3893" s="2" t="s">
        <v>38</v>
      </c>
      <c r="X3893" s="2" t="s">
        <v>38</v>
      </c>
      <c r="Y3893" s="2" t="s">
        <v>38</v>
      </c>
      <c r="Z3893" s="2" t="s">
        <v>38</v>
      </c>
      <c r="AA3893" s="2" t="s">
        <v>38</v>
      </c>
      <c r="AB3893" s="2" t="s">
        <v>38</v>
      </c>
      <c r="AC3893" s="2" t="s">
        <v>38</v>
      </c>
      <c r="AD3893" s="2" t="s">
        <v>38</v>
      </c>
      <c r="AE3893" s="2"/>
    </row>
    <row r="3894" spans="1:31" ht="409.5">
      <c r="A3894" s="2">
        <v>2687073</v>
      </c>
      <c r="B3894" s="2">
        <f>HYPERLINK("https://platform.v2.vetology.net/cases/2687073/screening-report/1?type=pdf&amp;v=v6&amp;scorecard=1&amp;secret_key=BX%25IJ%24%2F65ieZ%29f6", 2687073)</f>
        <v>2687073</v>
      </c>
      <c r="C3894" s="2">
        <f>HYPERLINK("https://platform.v2.vetology.net/report/v/final/"&amp;2687073, 2687073)</f>
        <v>2687073</v>
      </c>
      <c r="D3894" s="2" t="s">
        <v>12230</v>
      </c>
      <c r="E3894" s="2" t="s">
        <v>12231</v>
      </c>
      <c r="F3894" s="2" t="s">
        <v>12232</v>
      </c>
      <c r="G3894" s="2" t="s">
        <v>170</v>
      </c>
      <c r="H3894" s="2" t="s">
        <v>12233</v>
      </c>
      <c r="I3894" s="2" t="s">
        <v>36</v>
      </c>
      <c r="J3894" s="2" t="s">
        <v>37</v>
      </c>
      <c r="K3894" s="2" t="s">
        <v>39</v>
      </c>
      <c r="L3894" s="2" t="s">
        <v>38</v>
      </c>
      <c r="M3894" s="2" t="s">
        <v>39</v>
      </c>
      <c r="N3894" s="2" t="s">
        <v>39</v>
      </c>
      <c r="O3894" s="2" t="s">
        <v>39</v>
      </c>
      <c r="P3894" s="2" t="s">
        <v>39</v>
      </c>
      <c r="Q3894" s="2" t="s">
        <v>39</v>
      </c>
      <c r="R3894" s="2" t="s">
        <v>38</v>
      </c>
      <c r="S3894" s="2" t="s">
        <v>38</v>
      </c>
      <c r="T3894" s="2" t="s">
        <v>39</v>
      </c>
      <c r="U3894" s="2" t="s">
        <v>39</v>
      </c>
      <c r="V3894" s="2" t="s">
        <v>39</v>
      </c>
      <c r="W3894" s="2" t="s">
        <v>39</v>
      </c>
      <c r="X3894" s="2" t="s">
        <v>39</v>
      </c>
      <c r="Y3894" s="2" t="s">
        <v>39</v>
      </c>
      <c r="Z3894" s="2" t="s">
        <v>38</v>
      </c>
      <c r="AA3894" s="2" t="s">
        <v>39</v>
      </c>
      <c r="AB3894" s="2" t="s">
        <v>39</v>
      </c>
      <c r="AC3894" s="2" t="s">
        <v>38</v>
      </c>
      <c r="AD3894" s="2" t="s">
        <v>38</v>
      </c>
      <c r="AE3894" s="2" t="s">
        <v>39</v>
      </c>
    </row>
    <row r="3895" spans="1:31" ht="409.5">
      <c r="A3895" s="2">
        <v>2687067</v>
      </c>
      <c r="B3895" s="2">
        <f>HYPERLINK("https://platform.v2.vetology.net/cases/2687067/screening-report/1?type=pdf&amp;v=v6&amp;scorecard=1&amp;secret_key=BX%25IJ%24%2F65ieZ%29f6", 2687067)</f>
        <v>2687067</v>
      </c>
      <c r="C3895" s="2">
        <f>HYPERLINK("https://platform.v2.vetology.net/report/v/final/"&amp;2687067, 2687067)</f>
        <v>2687067</v>
      </c>
      <c r="D3895" s="2" t="s">
        <v>12234</v>
      </c>
      <c r="E3895" s="2" t="s">
        <v>12235</v>
      </c>
      <c r="F3895" s="2" t="s">
        <v>12236</v>
      </c>
      <c r="G3895" s="2" t="s">
        <v>170</v>
      </c>
      <c r="H3895" s="2" t="s">
        <v>2555</v>
      </c>
      <c r="I3895" s="2" t="s">
        <v>59</v>
      </c>
      <c r="J3895" s="2" t="s">
        <v>37</v>
      </c>
      <c r="K3895" s="2" t="s">
        <v>38</v>
      </c>
      <c r="L3895" s="2" t="s">
        <v>38</v>
      </c>
      <c r="M3895" s="2" t="s">
        <v>39</v>
      </c>
      <c r="N3895" s="2" t="s">
        <v>39</v>
      </c>
      <c r="O3895" s="2" t="s">
        <v>39</v>
      </c>
      <c r="P3895" s="2" t="s">
        <v>39</v>
      </c>
      <c r="Q3895" s="2" t="s">
        <v>39</v>
      </c>
      <c r="R3895" s="2" t="s">
        <v>39</v>
      </c>
      <c r="S3895" s="2" t="s">
        <v>39</v>
      </c>
      <c r="T3895" s="2" t="s">
        <v>39</v>
      </c>
      <c r="U3895" s="2" t="s">
        <v>39</v>
      </c>
      <c r="V3895" s="2" t="s">
        <v>38</v>
      </c>
      <c r="W3895" s="2" t="s">
        <v>39</v>
      </c>
      <c r="X3895" s="2" t="s">
        <v>39</v>
      </c>
      <c r="Y3895" s="2" t="s">
        <v>39</v>
      </c>
      <c r="Z3895" s="2" t="s">
        <v>38</v>
      </c>
      <c r="AA3895" s="2" t="s">
        <v>39</v>
      </c>
      <c r="AB3895" s="2" t="s">
        <v>39</v>
      </c>
      <c r="AC3895" s="2" t="s">
        <v>38</v>
      </c>
      <c r="AD3895" s="2" t="s">
        <v>39</v>
      </c>
      <c r="AE3895" s="2" t="s">
        <v>39</v>
      </c>
    </row>
    <row r="3896" spans="1:31" ht="409.5">
      <c r="A3896" s="2">
        <v>2687066</v>
      </c>
      <c r="B3896" s="2">
        <f>HYPERLINK("https://platform.v2.vetology.net/cases/2687066/screening-report/1?type=pdf&amp;v=v6&amp;scorecard=1&amp;secret_key=BX%25IJ%24%2F65ieZ%29f6", 2687066)</f>
        <v>2687066</v>
      </c>
      <c r="C3896" s="2">
        <f>HYPERLINK("https://platform.v2.vetology.net/report/v/final/"&amp;2687066, 2687066)</f>
        <v>2687066</v>
      </c>
      <c r="D3896" s="2" t="s">
        <v>12237</v>
      </c>
      <c r="E3896" s="2" t="s">
        <v>12238</v>
      </c>
      <c r="F3896" s="2" t="s">
        <v>12239</v>
      </c>
      <c r="G3896" s="2" t="s">
        <v>53</v>
      </c>
      <c r="H3896" s="2" t="s">
        <v>12240</v>
      </c>
      <c r="I3896" s="2" t="s">
        <v>73</v>
      </c>
      <c r="J3896" s="2" t="s">
        <v>74</v>
      </c>
      <c r="K3896" s="2" t="s">
        <v>38</v>
      </c>
      <c r="L3896" s="2" t="s">
        <v>38</v>
      </c>
      <c r="M3896" s="2" t="s">
        <v>38</v>
      </c>
      <c r="N3896" s="2" t="s">
        <v>38</v>
      </c>
      <c r="O3896" s="2" t="s">
        <v>38</v>
      </c>
      <c r="P3896" s="2" t="s">
        <v>38</v>
      </c>
      <c r="Q3896" s="2" t="s">
        <v>38</v>
      </c>
      <c r="R3896" s="2" t="s">
        <v>38</v>
      </c>
      <c r="S3896" s="2" t="s">
        <v>38</v>
      </c>
      <c r="T3896" s="2" t="s">
        <v>38</v>
      </c>
      <c r="U3896" s="2" t="s">
        <v>38</v>
      </c>
      <c r="V3896" s="2" t="s">
        <v>38</v>
      </c>
      <c r="W3896" s="2" t="s">
        <v>38</v>
      </c>
      <c r="X3896" s="2" t="s">
        <v>38</v>
      </c>
      <c r="Y3896" s="2" t="s">
        <v>39</v>
      </c>
      <c r="Z3896" s="2" t="s">
        <v>38</v>
      </c>
      <c r="AA3896" s="2" t="s">
        <v>38</v>
      </c>
      <c r="AB3896" s="2" t="s">
        <v>38</v>
      </c>
      <c r="AC3896" s="2" t="s">
        <v>38</v>
      </c>
      <c r="AD3896" s="2" t="s">
        <v>38</v>
      </c>
      <c r="AE3896" s="2" t="s">
        <v>40</v>
      </c>
    </row>
    <row r="3897" spans="1:31" ht="409.5">
      <c r="A3897" s="2">
        <v>2687003</v>
      </c>
      <c r="B3897" s="2">
        <f>HYPERLINK("https://platform.v2.vetology.net/cases/2687003/screening-report/1?type=pdf&amp;v=v6&amp;scorecard=1&amp;secret_key=BX%25IJ%24%2F65ieZ%29f6", 2687003)</f>
        <v>2687003</v>
      </c>
      <c r="C3897" s="2">
        <f>HYPERLINK("https://platform.v2.vetology.net/report/v/final/"&amp;2687003, 2687003)</f>
        <v>2687003</v>
      </c>
      <c r="D3897" s="2" t="s">
        <v>12241</v>
      </c>
      <c r="E3897" s="2" t="s">
        <v>12242</v>
      </c>
      <c r="F3897" s="2" t="s">
        <v>12243</v>
      </c>
      <c r="G3897" s="2" t="s">
        <v>170</v>
      </c>
      <c r="H3897" s="2" t="s">
        <v>11426</v>
      </c>
      <c r="I3897" s="2" t="s">
        <v>36</v>
      </c>
      <c r="J3897" s="2" t="s">
        <v>37</v>
      </c>
      <c r="K3897" s="2" t="s">
        <v>38</v>
      </c>
      <c r="L3897" s="2" t="s">
        <v>38</v>
      </c>
      <c r="M3897" s="2" t="s">
        <v>38</v>
      </c>
      <c r="N3897" s="2" t="s">
        <v>38</v>
      </c>
      <c r="O3897" s="2" t="s">
        <v>38</v>
      </c>
      <c r="P3897" s="2" t="s">
        <v>39</v>
      </c>
      <c r="Q3897" s="2" t="s">
        <v>39</v>
      </c>
      <c r="R3897" s="2" t="s">
        <v>38</v>
      </c>
      <c r="S3897" s="2" t="s">
        <v>38</v>
      </c>
      <c r="T3897" s="2" t="s">
        <v>38</v>
      </c>
      <c r="U3897" s="2" t="s">
        <v>39</v>
      </c>
      <c r="V3897" s="2" t="s">
        <v>38</v>
      </c>
      <c r="W3897" s="2" t="s">
        <v>38</v>
      </c>
      <c r="X3897" s="2" t="s">
        <v>39</v>
      </c>
      <c r="Y3897" s="2" t="s">
        <v>39</v>
      </c>
      <c r="Z3897" s="2" t="s">
        <v>38</v>
      </c>
      <c r="AA3897" s="2" t="s">
        <v>38</v>
      </c>
      <c r="AB3897" s="2" t="s">
        <v>39</v>
      </c>
      <c r="AC3897" s="2" t="s">
        <v>38</v>
      </c>
      <c r="AD3897" s="2" t="s">
        <v>39</v>
      </c>
      <c r="AE3897" s="2" t="s">
        <v>39</v>
      </c>
    </row>
    <row r="3898" spans="1:31" ht="409.5">
      <c r="A3898" s="2">
        <v>2686960</v>
      </c>
      <c r="B3898" s="2">
        <f>HYPERLINK("https://platform.v2.vetology.net/cases/2686960/screening-report/1?type=pdf&amp;v=v6&amp;scorecard=1&amp;secret_key=BX%25IJ%24%2F65ieZ%29f6", 2686960)</f>
        <v>2686960</v>
      </c>
      <c r="C3898" s="2">
        <f>HYPERLINK("https://platform.v2.vetology.net/report/v/final/"&amp;2686960, 2686960)</f>
        <v>2686960</v>
      </c>
      <c r="D3898" s="2" t="s">
        <v>12244</v>
      </c>
      <c r="E3898" s="2" t="s">
        <v>12245</v>
      </c>
      <c r="F3898" s="2" t="s">
        <v>12246</v>
      </c>
      <c r="G3898" s="2" t="s">
        <v>824</v>
      </c>
      <c r="H3898" s="2" t="s">
        <v>398</v>
      </c>
      <c r="I3898" s="2" t="s">
        <v>46</v>
      </c>
      <c r="J3898" s="2"/>
      <c r="K3898" s="2" t="s">
        <v>38</v>
      </c>
      <c r="L3898" s="2" t="s">
        <v>39</v>
      </c>
      <c r="M3898" s="2" t="s">
        <v>39</v>
      </c>
      <c r="N3898" s="2" t="s">
        <v>39</v>
      </c>
      <c r="O3898" s="2" t="s">
        <v>39</v>
      </c>
      <c r="P3898" s="2" t="s">
        <v>39</v>
      </c>
      <c r="Q3898" s="2" t="s">
        <v>39</v>
      </c>
      <c r="R3898" s="2" t="s">
        <v>39</v>
      </c>
      <c r="S3898" s="2" t="s">
        <v>39</v>
      </c>
      <c r="T3898" s="2" t="s">
        <v>39</v>
      </c>
      <c r="U3898" s="2" t="s">
        <v>39</v>
      </c>
      <c r="V3898" s="2" t="s">
        <v>38</v>
      </c>
      <c r="W3898" s="2" t="s">
        <v>38</v>
      </c>
      <c r="X3898" s="2" t="s">
        <v>39</v>
      </c>
      <c r="Y3898" s="2" t="s">
        <v>39</v>
      </c>
      <c r="Z3898" s="2" t="s">
        <v>39</v>
      </c>
      <c r="AA3898" s="2" t="s">
        <v>39</v>
      </c>
      <c r="AB3898" s="2" t="s">
        <v>39</v>
      </c>
      <c r="AC3898" s="2" t="s">
        <v>38</v>
      </c>
      <c r="AD3898" s="2" t="s">
        <v>39</v>
      </c>
      <c r="AE3898" s="2" t="s">
        <v>40</v>
      </c>
    </row>
    <row r="3899" spans="1:31" ht="409.5">
      <c r="A3899" s="2">
        <v>2686952</v>
      </c>
      <c r="B3899" s="2">
        <f>HYPERLINK("https://platform.v2.vetology.net/cases/2686952/screening-report/1?type=pdf&amp;v=v6&amp;scorecard=1&amp;secret_key=BX%25IJ%24%2F65ieZ%29f6", 2686952)</f>
        <v>2686952</v>
      </c>
      <c r="C3899" s="2">
        <f>HYPERLINK("https://platform.v2.vetology.net/report/v/final/"&amp;2686952, 2686952)</f>
        <v>2686952</v>
      </c>
      <c r="D3899" s="2" t="s">
        <v>12247</v>
      </c>
      <c r="E3899" s="2" t="s">
        <v>12248</v>
      </c>
      <c r="F3899" s="2" t="s">
        <v>12249</v>
      </c>
      <c r="G3899" s="2" t="s">
        <v>170</v>
      </c>
      <c r="H3899" s="2" t="s">
        <v>12250</v>
      </c>
      <c r="I3899" s="2" t="s">
        <v>73</v>
      </c>
      <c r="J3899" s="2" t="s">
        <v>74</v>
      </c>
      <c r="K3899" s="2" t="s">
        <v>38</v>
      </c>
      <c r="L3899" s="2" t="s">
        <v>38</v>
      </c>
      <c r="M3899" s="2" t="s">
        <v>38</v>
      </c>
      <c r="N3899" s="2" t="s">
        <v>38</v>
      </c>
      <c r="O3899" s="2" t="s">
        <v>38</v>
      </c>
      <c r="P3899" s="2" t="s">
        <v>38</v>
      </c>
      <c r="Q3899" s="2" t="s">
        <v>38</v>
      </c>
      <c r="R3899" s="2" t="s">
        <v>38</v>
      </c>
      <c r="S3899" s="2" t="s">
        <v>38</v>
      </c>
      <c r="T3899" s="2" t="s">
        <v>38</v>
      </c>
      <c r="U3899" s="2" t="s">
        <v>38</v>
      </c>
      <c r="V3899" s="2" t="s">
        <v>38</v>
      </c>
      <c r="W3899" s="2" t="s">
        <v>38</v>
      </c>
      <c r="X3899" s="2" t="s">
        <v>38</v>
      </c>
      <c r="Y3899" s="2" t="s">
        <v>38</v>
      </c>
      <c r="Z3899" s="2" t="s">
        <v>38</v>
      </c>
      <c r="AA3899" s="2" t="s">
        <v>38</v>
      </c>
      <c r="AB3899" s="2" t="s">
        <v>38</v>
      </c>
      <c r="AC3899" s="2" t="s">
        <v>38</v>
      </c>
      <c r="AD3899" s="2" t="s">
        <v>38</v>
      </c>
      <c r="AE3899" s="2" t="s">
        <v>40</v>
      </c>
    </row>
    <row r="3900" spans="1:31" ht="409.5">
      <c r="A3900" s="2">
        <v>2686812</v>
      </c>
      <c r="B3900" s="2">
        <f>HYPERLINK("https://platform.v2.vetology.net/cases/2686812/screening-report/1?type=pdf&amp;v=v6&amp;scorecard=1&amp;secret_key=BX%25IJ%24%2F65ieZ%29f6", 2686812)</f>
        <v>2686812</v>
      </c>
      <c r="C3900" s="2">
        <f>HYPERLINK("https://platform.v2.vetology.net/report/v/final/"&amp;2686812, 2686812)</f>
        <v>2686812</v>
      </c>
      <c r="D3900" s="2" t="s">
        <v>302</v>
      </c>
      <c r="E3900" s="2" t="s">
        <v>99</v>
      </c>
      <c r="F3900" s="2" t="s">
        <v>12251</v>
      </c>
      <c r="G3900" s="2" t="s">
        <v>100</v>
      </c>
      <c r="H3900" s="2" t="s">
        <v>62</v>
      </c>
      <c r="I3900" s="2" t="s">
        <v>46</v>
      </c>
      <c r="J3900" s="2"/>
      <c r="K3900" s="2" t="s">
        <v>39</v>
      </c>
      <c r="L3900" s="2" t="s">
        <v>39</v>
      </c>
      <c r="M3900" s="2" t="s">
        <v>39</v>
      </c>
      <c r="N3900" s="2" t="s">
        <v>39</v>
      </c>
      <c r="O3900" s="2" t="s">
        <v>39</v>
      </c>
      <c r="P3900" s="2" t="s">
        <v>39</v>
      </c>
      <c r="Q3900" s="2" t="s">
        <v>39</v>
      </c>
      <c r="R3900" s="2" t="s">
        <v>38</v>
      </c>
      <c r="S3900" s="2" t="s">
        <v>38</v>
      </c>
      <c r="T3900" s="2" t="s">
        <v>39</v>
      </c>
      <c r="U3900" s="2" t="s">
        <v>39</v>
      </c>
      <c r="V3900" s="2" t="s">
        <v>39</v>
      </c>
      <c r="W3900" s="2" t="s">
        <v>39</v>
      </c>
      <c r="X3900" s="2" t="s">
        <v>39</v>
      </c>
      <c r="Y3900" s="2" t="s">
        <v>39</v>
      </c>
      <c r="Z3900" s="2" t="s">
        <v>38</v>
      </c>
      <c r="AA3900" s="2" t="s">
        <v>39</v>
      </c>
      <c r="AB3900" s="2" t="s">
        <v>39</v>
      </c>
      <c r="AC3900" s="2" t="s">
        <v>39</v>
      </c>
      <c r="AD3900" s="2" t="s">
        <v>38</v>
      </c>
      <c r="AE3900" s="2" t="s">
        <v>39</v>
      </c>
    </row>
    <row r="3901" spans="1:31" ht="409.5">
      <c r="A3901" s="2">
        <v>2686729</v>
      </c>
      <c r="B3901" s="2">
        <f>HYPERLINK("https://platform.v2.vetology.net/cases/2686729/screening-report/1?type=pdf&amp;v=v6&amp;scorecard=1&amp;secret_key=BX%25IJ%24%2F65ieZ%29f6", 2686729)</f>
        <v>2686729</v>
      </c>
      <c r="C3901" s="2">
        <f>HYPERLINK("https://platform.v2.vetology.net/report/v/final/"&amp;2686729, 2686729)</f>
        <v>2686729</v>
      </c>
      <c r="D3901" s="2" t="s">
        <v>12252</v>
      </c>
      <c r="E3901" s="2" t="s">
        <v>12253</v>
      </c>
      <c r="F3901" s="2" t="s">
        <v>43</v>
      </c>
      <c r="G3901" s="2" t="s">
        <v>100</v>
      </c>
      <c r="H3901" s="2" t="s">
        <v>994</v>
      </c>
      <c r="I3901" s="2" t="s">
        <v>36</v>
      </c>
      <c r="J3901" s="2" t="s">
        <v>37</v>
      </c>
      <c r="K3901" s="2" t="s">
        <v>39</v>
      </c>
      <c r="L3901" s="2" t="s">
        <v>38</v>
      </c>
      <c r="M3901" s="2" t="s">
        <v>39</v>
      </c>
      <c r="N3901" s="2" t="s">
        <v>38</v>
      </c>
      <c r="O3901" s="2" t="s">
        <v>38</v>
      </c>
      <c r="P3901" s="2" t="s">
        <v>39</v>
      </c>
      <c r="Q3901" s="2" t="s">
        <v>39</v>
      </c>
      <c r="R3901" s="2" t="s">
        <v>38</v>
      </c>
      <c r="S3901" s="2" t="s">
        <v>39</v>
      </c>
      <c r="T3901" s="2" t="s">
        <v>38</v>
      </c>
      <c r="U3901" s="2" t="s">
        <v>39</v>
      </c>
      <c r="V3901" s="2" t="s">
        <v>39</v>
      </c>
      <c r="W3901" s="2" t="s">
        <v>39</v>
      </c>
      <c r="X3901" s="2" t="s">
        <v>39</v>
      </c>
      <c r="Y3901" s="2" t="s">
        <v>39</v>
      </c>
      <c r="Z3901" s="2" t="s">
        <v>39</v>
      </c>
      <c r="AA3901" s="2" t="s">
        <v>39</v>
      </c>
      <c r="AB3901" s="2" t="s">
        <v>39</v>
      </c>
      <c r="AC3901" s="2" t="s">
        <v>38</v>
      </c>
      <c r="AD3901" s="2" t="s">
        <v>38</v>
      </c>
      <c r="AE3901" s="2" t="s">
        <v>39</v>
      </c>
    </row>
    <row r="3902" spans="1:31" ht="409.5">
      <c r="A3902" s="2">
        <v>2686708</v>
      </c>
      <c r="B3902" s="2">
        <f>HYPERLINK("https://platform.v2.vetology.net/cases/2686708/screening-report/1?type=pdf&amp;v=v6&amp;scorecard=1&amp;secret_key=BX%25IJ%24%2F65ieZ%29f6", 2686708)</f>
        <v>2686708</v>
      </c>
      <c r="C3902" s="2">
        <f>HYPERLINK("https://platform.v2.vetology.net/report/v/final/"&amp;2686708, 2686708)</f>
        <v>2686708</v>
      </c>
      <c r="D3902" s="2" t="s">
        <v>12254</v>
      </c>
      <c r="E3902" s="2" t="s">
        <v>12255</v>
      </c>
      <c r="F3902" s="2" t="s">
        <v>356</v>
      </c>
      <c r="G3902" s="2" t="s">
        <v>100</v>
      </c>
      <c r="H3902" s="2" t="s">
        <v>12256</v>
      </c>
      <c r="I3902" s="2" t="s">
        <v>73</v>
      </c>
      <c r="J3902" s="2" t="s">
        <v>74</v>
      </c>
      <c r="K3902" s="2" t="s">
        <v>38</v>
      </c>
      <c r="L3902" s="2" t="s">
        <v>38</v>
      </c>
      <c r="M3902" s="2" t="s">
        <v>39</v>
      </c>
      <c r="N3902" s="2" t="s">
        <v>38</v>
      </c>
      <c r="O3902" s="2" t="s">
        <v>38</v>
      </c>
      <c r="P3902" s="2" t="s">
        <v>38</v>
      </c>
      <c r="Q3902" s="2" t="s">
        <v>38</v>
      </c>
      <c r="R3902" s="2" t="s">
        <v>39</v>
      </c>
      <c r="S3902" s="2" t="s">
        <v>38</v>
      </c>
      <c r="T3902" s="2" t="s">
        <v>38</v>
      </c>
      <c r="U3902" s="2" t="s">
        <v>38</v>
      </c>
      <c r="V3902" s="2" t="s">
        <v>38</v>
      </c>
      <c r="W3902" s="2" t="s">
        <v>39</v>
      </c>
      <c r="X3902" s="2" t="s">
        <v>38</v>
      </c>
      <c r="Y3902" s="2" t="s">
        <v>39</v>
      </c>
      <c r="Z3902" s="2" t="s">
        <v>38</v>
      </c>
      <c r="AA3902" s="2" t="s">
        <v>38</v>
      </c>
      <c r="AB3902" s="2" t="s">
        <v>38</v>
      </c>
      <c r="AC3902" s="2" t="s">
        <v>38</v>
      </c>
      <c r="AD3902" s="2" t="s">
        <v>38</v>
      </c>
      <c r="AE3902" s="2" t="s">
        <v>40</v>
      </c>
    </row>
    <row r="3903" spans="1:31" ht="409.5">
      <c r="A3903" s="2">
        <v>2686664</v>
      </c>
      <c r="B3903" s="2">
        <f>HYPERLINK("https://platform.v2.vetology.net/cases/2686664/screening-report/1?type=pdf&amp;v=v6&amp;scorecard=1&amp;secret_key=BX%25IJ%24%2F65ieZ%29f6", 2686664)</f>
        <v>2686664</v>
      </c>
      <c r="C3903" s="2">
        <f>HYPERLINK("https://platform.v2.vetology.net/report/v/final/"&amp;2686664, 2686664)</f>
        <v>2686664</v>
      </c>
      <c r="D3903" s="2" t="s">
        <v>12257</v>
      </c>
      <c r="E3903" s="2" t="s">
        <v>12258</v>
      </c>
      <c r="F3903" s="2" t="s">
        <v>12259</v>
      </c>
      <c r="G3903" s="2" t="s">
        <v>34</v>
      </c>
      <c r="H3903" s="2" t="s">
        <v>69</v>
      </c>
      <c r="I3903" s="2" t="s">
        <v>46</v>
      </c>
      <c r="J3903" s="2"/>
      <c r="K3903" s="2" t="s">
        <v>39</v>
      </c>
      <c r="L3903" s="2" t="s">
        <v>39</v>
      </c>
      <c r="M3903" s="2" t="s">
        <v>39</v>
      </c>
      <c r="N3903" s="2" t="s">
        <v>39</v>
      </c>
      <c r="O3903" s="2" t="s">
        <v>39</v>
      </c>
      <c r="P3903" s="2" t="s">
        <v>39</v>
      </c>
      <c r="Q3903" s="2" t="s">
        <v>39</v>
      </c>
      <c r="R3903" s="2" t="s">
        <v>39</v>
      </c>
      <c r="S3903" s="2" t="s">
        <v>39</v>
      </c>
      <c r="T3903" s="2" t="s">
        <v>39</v>
      </c>
      <c r="U3903" s="2" t="s">
        <v>39</v>
      </c>
      <c r="V3903" s="2" t="s">
        <v>39</v>
      </c>
      <c r="W3903" s="2" t="s">
        <v>39</v>
      </c>
      <c r="X3903" s="2" t="s">
        <v>39</v>
      </c>
      <c r="Y3903" s="2" t="s">
        <v>39</v>
      </c>
      <c r="Z3903" s="2" t="s">
        <v>39</v>
      </c>
      <c r="AA3903" s="2" t="s">
        <v>39</v>
      </c>
      <c r="AB3903" s="2" t="s">
        <v>39</v>
      </c>
      <c r="AC3903" s="2" t="s">
        <v>39</v>
      </c>
      <c r="AD3903" s="2" t="s">
        <v>39</v>
      </c>
      <c r="AE3903" s="2" t="s">
        <v>40</v>
      </c>
    </row>
    <row r="3904" spans="1:31" ht="409.5">
      <c r="A3904" s="2">
        <v>2686648</v>
      </c>
      <c r="B3904" s="2">
        <f>HYPERLINK("https://platform.v2.vetology.net/cases/2686648/screening-report/1?type=pdf&amp;v=v6&amp;scorecard=1&amp;secret_key=BX%25IJ%24%2F65ieZ%29f6", 2686648)</f>
        <v>2686648</v>
      </c>
      <c r="C3904" s="2">
        <f>HYPERLINK("https://platform.v2.vetology.net/report/v/final/"&amp;2686648, 2686648)</f>
        <v>2686648</v>
      </c>
      <c r="D3904" s="2" t="s">
        <v>12260</v>
      </c>
      <c r="E3904" s="2" t="s">
        <v>12261</v>
      </c>
      <c r="F3904" s="2" t="s">
        <v>43</v>
      </c>
      <c r="G3904" s="2" t="s">
        <v>100</v>
      </c>
      <c r="H3904" s="2" t="s">
        <v>12262</v>
      </c>
      <c r="I3904" s="2" t="s">
        <v>73</v>
      </c>
      <c r="J3904" s="2" t="s">
        <v>74</v>
      </c>
      <c r="K3904" s="2" t="s">
        <v>38</v>
      </c>
      <c r="L3904" s="2" t="s">
        <v>38</v>
      </c>
      <c r="M3904" s="2" t="s">
        <v>38</v>
      </c>
      <c r="N3904" s="2" t="s">
        <v>38</v>
      </c>
      <c r="O3904" s="2" t="s">
        <v>38</v>
      </c>
      <c r="P3904" s="2" t="s">
        <v>38</v>
      </c>
      <c r="Q3904" s="2" t="s">
        <v>38</v>
      </c>
      <c r="R3904" s="2" t="s">
        <v>38</v>
      </c>
      <c r="S3904" s="2" t="s">
        <v>38</v>
      </c>
      <c r="T3904" s="2" t="s">
        <v>38</v>
      </c>
      <c r="U3904" s="2" t="s">
        <v>38</v>
      </c>
      <c r="V3904" s="2" t="s">
        <v>38</v>
      </c>
      <c r="W3904" s="2" t="s">
        <v>38</v>
      </c>
      <c r="X3904" s="2" t="s">
        <v>38</v>
      </c>
      <c r="Y3904" s="2" t="s">
        <v>38</v>
      </c>
      <c r="Z3904" s="2" t="s">
        <v>38</v>
      </c>
      <c r="AA3904" s="2" t="s">
        <v>38</v>
      </c>
      <c r="AB3904" s="2" t="s">
        <v>38</v>
      </c>
      <c r="AC3904" s="2" t="s">
        <v>38</v>
      </c>
      <c r="AD3904" s="2" t="s">
        <v>38</v>
      </c>
      <c r="AE3904" s="2" t="s">
        <v>40</v>
      </c>
    </row>
    <row r="3905" spans="1:31" ht="409.5">
      <c r="A3905" s="2">
        <v>2686638</v>
      </c>
      <c r="B3905" s="2">
        <f>HYPERLINK("https://platform.v2.vetology.net/cases/2686638/screening-report/1?type=pdf&amp;v=v6&amp;scorecard=1&amp;secret_key=BX%25IJ%24%2F65ieZ%29f6", 2686638)</f>
        <v>2686638</v>
      </c>
      <c r="C3905" s="2">
        <f>HYPERLINK("https://platform.v2.vetology.net/report/v/final/"&amp;2686638, 2686638)</f>
        <v>2686638</v>
      </c>
      <c r="D3905" s="2" t="s">
        <v>12263</v>
      </c>
      <c r="E3905" s="2" t="s">
        <v>12264</v>
      </c>
      <c r="F3905" s="2" t="s">
        <v>43</v>
      </c>
      <c r="G3905" s="2" t="s">
        <v>507</v>
      </c>
      <c r="H3905" s="2" t="s">
        <v>12265</v>
      </c>
      <c r="I3905" s="2" t="s">
        <v>36</v>
      </c>
      <c r="J3905" s="2" t="s">
        <v>37</v>
      </c>
      <c r="K3905" s="2" t="s">
        <v>38</v>
      </c>
      <c r="L3905" s="2" t="s">
        <v>39</v>
      </c>
      <c r="M3905" s="2" t="s">
        <v>38</v>
      </c>
      <c r="N3905" s="2" t="s">
        <v>39</v>
      </c>
      <c r="O3905" s="2" t="s">
        <v>38</v>
      </c>
      <c r="P3905" s="2" t="s">
        <v>39</v>
      </c>
      <c r="Q3905" s="2" t="s">
        <v>39</v>
      </c>
      <c r="R3905" s="2" t="s">
        <v>38</v>
      </c>
      <c r="S3905" s="2" t="s">
        <v>38</v>
      </c>
      <c r="T3905" s="2" t="s">
        <v>38</v>
      </c>
      <c r="U3905" s="2" t="s">
        <v>38</v>
      </c>
      <c r="V3905" s="2" t="s">
        <v>38</v>
      </c>
      <c r="W3905" s="2" t="s">
        <v>38</v>
      </c>
      <c r="X3905" s="2" t="s">
        <v>39</v>
      </c>
      <c r="Y3905" s="2" t="s">
        <v>39</v>
      </c>
      <c r="Z3905" s="2" t="s">
        <v>38</v>
      </c>
      <c r="AA3905" s="2" t="s">
        <v>38</v>
      </c>
      <c r="AB3905" s="2" t="s">
        <v>39</v>
      </c>
      <c r="AC3905" s="2" t="s">
        <v>38</v>
      </c>
      <c r="AD3905" s="2" t="s">
        <v>38</v>
      </c>
      <c r="AE3905" s="2" t="s">
        <v>40</v>
      </c>
    </row>
    <row r="3906" spans="1:31" ht="409.5">
      <c r="A3906" s="2">
        <v>2686633</v>
      </c>
      <c r="B3906" s="2">
        <f>HYPERLINK("https://platform.v2.vetology.net/cases/2686633/screening-report/1?type=pdf&amp;v=v6&amp;scorecard=1&amp;secret_key=BX%25IJ%24%2F65ieZ%29f6", 2686633)</f>
        <v>2686633</v>
      </c>
      <c r="C3906" s="2">
        <f>HYPERLINK("https://platform.v2.vetology.net/report/v/final/"&amp;2686633, 2686633)</f>
        <v>2686633</v>
      </c>
      <c r="D3906" s="2" t="s">
        <v>12266</v>
      </c>
      <c r="E3906" s="2" t="s">
        <v>12267</v>
      </c>
      <c r="F3906" s="2" t="s">
        <v>43</v>
      </c>
      <c r="G3906" s="2" t="s">
        <v>100</v>
      </c>
      <c r="H3906" s="2" t="s">
        <v>69</v>
      </c>
      <c r="I3906" s="2" t="s">
        <v>46</v>
      </c>
      <c r="J3906" s="2"/>
      <c r="K3906" s="2" t="s">
        <v>39</v>
      </c>
      <c r="L3906" s="2" t="s">
        <v>39</v>
      </c>
      <c r="M3906" s="2" t="s">
        <v>39</v>
      </c>
      <c r="N3906" s="2" t="s">
        <v>39</v>
      </c>
      <c r="O3906" s="2" t="s">
        <v>39</v>
      </c>
      <c r="P3906" s="2" t="s">
        <v>39</v>
      </c>
      <c r="Q3906" s="2" t="s">
        <v>39</v>
      </c>
      <c r="R3906" s="2" t="s">
        <v>39</v>
      </c>
      <c r="S3906" s="2" t="s">
        <v>39</v>
      </c>
      <c r="T3906" s="2" t="s">
        <v>39</v>
      </c>
      <c r="U3906" s="2" t="s">
        <v>39</v>
      </c>
      <c r="V3906" s="2" t="s">
        <v>39</v>
      </c>
      <c r="W3906" s="2" t="s">
        <v>39</v>
      </c>
      <c r="X3906" s="2" t="s">
        <v>39</v>
      </c>
      <c r="Y3906" s="2" t="s">
        <v>39</v>
      </c>
      <c r="Z3906" s="2" t="s">
        <v>39</v>
      </c>
      <c r="AA3906" s="2" t="s">
        <v>39</v>
      </c>
      <c r="AB3906" s="2" t="s">
        <v>39</v>
      </c>
      <c r="AC3906" s="2" t="s">
        <v>39</v>
      </c>
      <c r="AD3906" s="2" t="s">
        <v>39</v>
      </c>
      <c r="AE3906" s="2" t="s">
        <v>39</v>
      </c>
    </row>
    <row r="3907" spans="1:31" ht="409.5">
      <c r="A3907" s="2">
        <v>2686627</v>
      </c>
      <c r="B3907" s="2">
        <f>HYPERLINK("https://platform.v2.vetology.net/cases/2686627/screening-report/1?type=pdf&amp;v=v6&amp;scorecard=1&amp;secret_key=BX%25IJ%24%2F65ieZ%29f6", 2686627)</f>
        <v>2686627</v>
      </c>
      <c r="C3907" s="2">
        <f>HYPERLINK("https://platform.v2.vetology.net/report/v/final/"&amp;2686627, 2686627)</f>
        <v>2686627</v>
      </c>
      <c r="D3907" s="2" t="s">
        <v>1090</v>
      </c>
      <c r="E3907" s="2" t="s">
        <v>1091</v>
      </c>
      <c r="F3907" s="2" t="s">
        <v>787</v>
      </c>
      <c r="G3907" s="2" t="s">
        <v>100</v>
      </c>
      <c r="H3907" s="2" t="s">
        <v>277</v>
      </c>
      <c r="I3907" s="2" t="s">
        <v>46</v>
      </c>
      <c r="J3907" s="2"/>
      <c r="K3907" s="2" t="s">
        <v>39</v>
      </c>
      <c r="L3907" s="2" t="s">
        <v>38</v>
      </c>
      <c r="M3907" s="2" t="s">
        <v>39</v>
      </c>
      <c r="N3907" s="2" t="s">
        <v>39</v>
      </c>
      <c r="O3907" s="2" t="s">
        <v>39</v>
      </c>
      <c r="P3907" s="2" t="s">
        <v>39</v>
      </c>
      <c r="Q3907" s="2" t="s">
        <v>39</v>
      </c>
      <c r="R3907" s="2" t="s">
        <v>39</v>
      </c>
      <c r="S3907" s="2" t="s">
        <v>39</v>
      </c>
      <c r="T3907" s="2" t="s">
        <v>39</v>
      </c>
      <c r="U3907" s="2" t="s">
        <v>39</v>
      </c>
      <c r="V3907" s="2" t="s">
        <v>39</v>
      </c>
      <c r="W3907" s="2" t="s">
        <v>39</v>
      </c>
      <c r="X3907" s="2" t="s">
        <v>39</v>
      </c>
      <c r="Y3907" s="2" t="s">
        <v>39</v>
      </c>
      <c r="Z3907" s="2" t="s">
        <v>38</v>
      </c>
      <c r="AA3907" s="2" t="s">
        <v>39</v>
      </c>
      <c r="AB3907" s="2" t="s">
        <v>39</v>
      </c>
      <c r="AC3907" s="2" t="s">
        <v>39</v>
      </c>
      <c r="AD3907" s="2" t="s">
        <v>38</v>
      </c>
      <c r="AE3907" s="2" t="s">
        <v>39</v>
      </c>
    </row>
    <row r="3908" spans="1:31" ht="409.5">
      <c r="A3908" s="2">
        <v>2686624</v>
      </c>
      <c r="B3908" s="2">
        <f>HYPERLINK("https://platform.v2.vetology.net/cases/2686624/screening-report/1?type=pdf&amp;v=v6&amp;scorecard=1&amp;secret_key=BX%25IJ%24%2F65ieZ%29f6", 2686624)</f>
        <v>2686624</v>
      </c>
      <c r="C3908" s="2">
        <f>HYPERLINK("https://platform.v2.vetology.net/report/v/final/"&amp;2686624, 2686624)</f>
        <v>2686624</v>
      </c>
      <c r="D3908" s="2" t="s">
        <v>12268</v>
      </c>
      <c r="E3908" s="2" t="s">
        <v>12269</v>
      </c>
      <c r="F3908" s="2" t="s">
        <v>12270</v>
      </c>
      <c r="G3908" s="2" t="s">
        <v>251</v>
      </c>
      <c r="H3908" s="2" t="s">
        <v>12271</v>
      </c>
      <c r="I3908" s="2" t="s">
        <v>36</v>
      </c>
      <c r="J3908" s="2" t="s">
        <v>37</v>
      </c>
      <c r="K3908" s="2" t="s">
        <v>38</v>
      </c>
      <c r="L3908" s="2" t="s">
        <v>38</v>
      </c>
      <c r="M3908" s="2" t="s">
        <v>39</v>
      </c>
      <c r="N3908" s="2" t="s">
        <v>39</v>
      </c>
      <c r="O3908" s="2" t="s">
        <v>38</v>
      </c>
      <c r="P3908" s="2" t="s">
        <v>39</v>
      </c>
      <c r="Q3908" s="2" t="s">
        <v>39</v>
      </c>
      <c r="R3908" s="2" t="s">
        <v>39</v>
      </c>
      <c r="S3908" s="2" t="s">
        <v>38</v>
      </c>
      <c r="T3908" s="2" t="s">
        <v>39</v>
      </c>
      <c r="U3908" s="2" t="s">
        <v>38</v>
      </c>
      <c r="V3908" s="2" t="s">
        <v>38</v>
      </c>
      <c r="W3908" s="2" t="s">
        <v>39</v>
      </c>
      <c r="X3908" s="2" t="s">
        <v>39</v>
      </c>
      <c r="Y3908" s="2" t="s">
        <v>39</v>
      </c>
      <c r="Z3908" s="2" t="s">
        <v>38</v>
      </c>
      <c r="AA3908" s="2" t="s">
        <v>39</v>
      </c>
      <c r="AB3908" s="2" t="s">
        <v>39</v>
      </c>
      <c r="AC3908" s="2" t="s">
        <v>38</v>
      </c>
      <c r="AD3908" s="2" t="s">
        <v>38</v>
      </c>
      <c r="AE3908" s="2" t="s">
        <v>39</v>
      </c>
    </row>
    <row r="3909" spans="1:31" ht="409.5">
      <c r="A3909" s="2">
        <v>2686613</v>
      </c>
      <c r="B3909" s="2">
        <f>HYPERLINK("https://platform.v2.vetology.net/cases/2686613/screening-report/1?type=pdf&amp;v=v6&amp;scorecard=1&amp;secret_key=BX%25IJ%24%2F65ieZ%29f6", 2686613)</f>
        <v>2686613</v>
      </c>
      <c r="C3909" s="2">
        <f>HYPERLINK("https://platform.v2.vetology.net/report/v/final/"&amp;2686613, 2686613)</f>
        <v>2686613</v>
      </c>
      <c r="D3909" s="2" t="s">
        <v>12272</v>
      </c>
      <c r="E3909" s="2" t="s">
        <v>12273</v>
      </c>
      <c r="F3909" s="2" t="s">
        <v>43</v>
      </c>
      <c r="G3909" s="2" t="s">
        <v>507</v>
      </c>
      <c r="H3909" s="2" t="s">
        <v>12274</v>
      </c>
      <c r="I3909" s="2" t="s">
        <v>129</v>
      </c>
      <c r="J3909" s="2" t="s">
        <v>74</v>
      </c>
      <c r="K3909" s="2" t="s">
        <v>39</v>
      </c>
      <c r="L3909" s="2" t="s">
        <v>39</v>
      </c>
      <c r="M3909" s="2" t="s">
        <v>38</v>
      </c>
      <c r="N3909" s="2" t="s">
        <v>38</v>
      </c>
      <c r="O3909" s="2" t="s">
        <v>38</v>
      </c>
      <c r="P3909" s="2" t="s">
        <v>38</v>
      </c>
      <c r="Q3909" s="2" t="s">
        <v>38</v>
      </c>
      <c r="R3909" s="2" t="s">
        <v>39</v>
      </c>
      <c r="S3909" s="2" t="s">
        <v>39</v>
      </c>
      <c r="T3909" s="2" t="s">
        <v>38</v>
      </c>
      <c r="U3909" s="2" t="s">
        <v>39</v>
      </c>
      <c r="V3909" s="2" t="s">
        <v>39</v>
      </c>
      <c r="W3909" s="2" t="s">
        <v>38</v>
      </c>
      <c r="X3909" s="2" t="s">
        <v>38</v>
      </c>
      <c r="Y3909" s="2" t="s">
        <v>38</v>
      </c>
      <c r="Z3909" s="2" t="s">
        <v>39</v>
      </c>
      <c r="AA3909" s="2" t="s">
        <v>39</v>
      </c>
      <c r="AB3909" s="2" t="s">
        <v>38</v>
      </c>
      <c r="AC3909" s="2" t="s">
        <v>38</v>
      </c>
      <c r="AD3909" s="2" t="s">
        <v>38</v>
      </c>
      <c r="AE3909" s="2" t="s">
        <v>39</v>
      </c>
    </row>
    <row r="3910" spans="1:31" ht="409.5">
      <c r="A3910" s="2">
        <v>2686595</v>
      </c>
      <c r="B3910" s="2">
        <f>HYPERLINK("https://platform.v2.vetology.net/cases/2686595/screening-report/1?type=pdf&amp;v=v6&amp;scorecard=1&amp;secret_key=BX%25IJ%24%2F65ieZ%29f6", 2686595)</f>
        <v>2686595</v>
      </c>
      <c r="C3910" s="2">
        <f>HYPERLINK("https://platform.v2.vetology.net/report/v/final/"&amp;2686595, 2686595)</f>
        <v>2686595</v>
      </c>
      <c r="D3910" s="2" t="s">
        <v>12275</v>
      </c>
      <c r="E3910" s="2" t="s">
        <v>12276</v>
      </c>
      <c r="F3910" s="2"/>
      <c r="G3910" s="2" t="s">
        <v>81</v>
      </c>
      <c r="H3910" s="2" t="s">
        <v>6066</v>
      </c>
      <c r="I3910" s="2" t="s">
        <v>36</v>
      </c>
      <c r="J3910" s="2" t="s">
        <v>37</v>
      </c>
      <c r="K3910" s="2" t="s">
        <v>38</v>
      </c>
      <c r="L3910" s="2" t="s">
        <v>38</v>
      </c>
      <c r="M3910" s="2" t="s">
        <v>38</v>
      </c>
      <c r="N3910" s="2" t="s">
        <v>38</v>
      </c>
      <c r="O3910" s="2" t="s">
        <v>38</v>
      </c>
      <c r="P3910" s="2" t="s">
        <v>38</v>
      </c>
      <c r="Q3910" s="2" t="s">
        <v>39</v>
      </c>
      <c r="R3910" s="2" t="s">
        <v>39</v>
      </c>
      <c r="S3910" s="2" t="s">
        <v>38</v>
      </c>
      <c r="T3910" s="2" t="s">
        <v>39</v>
      </c>
      <c r="U3910" s="2" t="s">
        <v>38</v>
      </c>
      <c r="V3910" s="2" t="s">
        <v>38</v>
      </c>
      <c r="W3910" s="2" t="s">
        <v>39</v>
      </c>
      <c r="X3910" s="2" t="s">
        <v>39</v>
      </c>
      <c r="Y3910" s="2" t="s">
        <v>39</v>
      </c>
      <c r="Z3910" s="2" t="s">
        <v>38</v>
      </c>
      <c r="AA3910" s="2" t="s">
        <v>38</v>
      </c>
      <c r="AB3910" s="2" t="s">
        <v>39</v>
      </c>
      <c r="AC3910" s="2" t="s">
        <v>38</v>
      </c>
      <c r="AD3910" s="2" t="s">
        <v>38</v>
      </c>
      <c r="AE3910" s="2" t="s">
        <v>40</v>
      </c>
    </row>
    <row r="3911" spans="1:31" ht="409.5">
      <c r="A3911" s="2">
        <v>2686555</v>
      </c>
      <c r="B3911" s="2">
        <f>HYPERLINK("https://platform.v2.vetology.net/cases/2686555/screening-report/1?type=pdf&amp;v=v6&amp;scorecard=1&amp;secret_key=BX%25IJ%24%2F65ieZ%29f6", 2686555)</f>
        <v>2686555</v>
      </c>
      <c r="C3911" s="2">
        <f>HYPERLINK("https://platform.v2.vetology.net/report/v/final/"&amp;2686555, 2686555)</f>
        <v>2686555</v>
      </c>
      <c r="D3911" s="2" t="s">
        <v>11729</v>
      </c>
      <c r="E3911" s="2" t="s">
        <v>4067</v>
      </c>
      <c r="F3911" s="2" t="s">
        <v>356</v>
      </c>
      <c r="G3911" s="2" t="s">
        <v>100</v>
      </c>
      <c r="H3911" s="2" t="s">
        <v>12277</v>
      </c>
      <c r="I3911" s="2" t="s">
        <v>129</v>
      </c>
      <c r="J3911" s="2" t="s">
        <v>74</v>
      </c>
      <c r="K3911" s="2" t="s">
        <v>39</v>
      </c>
      <c r="L3911" s="2" t="s">
        <v>39</v>
      </c>
      <c r="M3911" s="2" t="s">
        <v>38</v>
      </c>
      <c r="N3911" s="2" t="s">
        <v>38</v>
      </c>
      <c r="O3911" s="2" t="s">
        <v>39</v>
      </c>
      <c r="P3911" s="2" t="s">
        <v>38</v>
      </c>
      <c r="Q3911" s="2" t="s">
        <v>38</v>
      </c>
      <c r="R3911" s="2" t="s">
        <v>38</v>
      </c>
      <c r="S3911" s="2" t="s">
        <v>39</v>
      </c>
      <c r="T3911" s="2" t="s">
        <v>38</v>
      </c>
      <c r="U3911" s="2" t="s">
        <v>39</v>
      </c>
      <c r="V3911" s="2" t="s">
        <v>38</v>
      </c>
      <c r="W3911" s="2" t="s">
        <v>38</v>
      </c>
      <c r="X3911" s="2" t="s">
        <v>38</v>
      </c>
      <c r="Y3911" s="2" t="s">
        <v>38</v>
      </c>
      <c r="Z3911" s="2" t="s">
        <v>38</v>
      </c>
      <c r="AA3911" s="2" t="s">
        <v>38</v>
      </c>
      <c r="AB3911" s="2" t="s">
        <v>38</v>
      </c>
      <c r="AC3911" s="2" t="s">
        <v>38</v>
      </c>
      <c r="AD3911" s="2" t="s">
        <v>39</v>
      </c>
      <c r="AE3911" s="2" t="s">
        <v>39</v>
      </c>
    </row>
    <row r="3912" spans="1:31" ht="409.5">
      <c r="A3912" s="2">
        <v>2686545</v>
      </c>
      <c r="B3912" s="2">
        <f>HYPERLINK("https://platform.v2.vetology.net/cases/2686545/screening-report/1?type=pdf&amp;v=v6&amp;scorecard=1&amp;secret_key=BX%25IJ%24%2F65ieZ%29f6", 2686545)</f>
        <v>2686545</v>
      </c>
      <c r="C3912" s="2">
        <f>HYPERLINK("https://platform.v2.vetology.net/report/v/final/"&amp;2686545, 2686545)</f>
        <v>2686545</v>
      </c>
      <c r="D3912" s="2" t="s">
        <v>1090</v>
      </c>
      <c r="E3912" s="2" t="s">
        <v>1091</v>
      </c>
      <c r="F3912" s="2" t="s">
        <v>787</v>
      </c>
      <c r="G3912" s="2" t="s">
        <v>100</v>
      </c>
      <c r="H3912" s="2" t="s">
        <v>888</v>
      </c>
      <c r="I3912" s="2" t="s">
        <v>36</v>
      </c>
      <c r="J3912" s="2" t="s">
        <v>37</v>
      </c>
      <c r="K3912" s="2" t="s">
        <v>39</v>
      </c>
      <c r="L3912" s="2" t="s">
        <v>39</v>
      </c>
      <c r="M3912" s="2" t="s">
        <v>38</v>
      </c>
      <c r="N3912" s="2" t="s">
        <v>38</v>
      </c>
      <c r="O3912" s="2" t="s">
        <v>39</v>
      </c>
      <c r="P3912" s="2" t="s">
        <v>39</v>
      </c>
      <c r="Q3912" s="2" t="s">
        <v>39</v>
      </c>
      <c r="R3912" s="2" t="s">
        <v>38</v>
      </c>
      <c r="S3912" s="2" t="s">
        <v>39</v>
      </c>
      <c r="T3912" s="2" t="s">
        <v>39</v>
      </c>
      <c r="U3912" s="2" t="s">
        <v>39</v>
      </c>
      <c r="V3912" s="2" t="s">
        <v>39</v>
      </c>
      <c r="W3912" s="2" t="s">
        <v>38</v>
      </c>
      <c r="X3912" s="2" t="s">
        <v>39</v>
      </c>
      <c r="Y3912" s="2" t="s">
        <v>39</v>
      </c>
      <c r="Z3912" s="2" t="s">
        <v>38</v>
      </c>
      <c r="AA3912" s="2" t="s">
        <v>39</v>
      </c>
      <c r="AB3912" s="2" t="s">
        <v>39</v>
      </c>
      <c r="AC3912" s="2" t="s">
        <v>38</v>
      </c>
      <c r="AD3912" s="2" t="s">
        <v>39</v>
      </c>
      <c r="AE3912" s="2" t="s">
        <v>40</v>
      </c>
    </row>
    <row r="3913" spans="1:31" ht="409.5">
      <c r="A3913" s="2">
        <v>2686527</v>
      </c>
      <c r="B3913" s="2">
        <f>HYPERLINK("https://platform.v2.vetology.net/cases/2686527/screening-report/1?type=pdf&amp;v=v6&amp;scorecard=1&amp;secret_key=BX%25IJ%24%2F65ieZ%29f6", 2686527)</f>
        <v>2686527</v>
      </c>
      <c r="C3913" s="2">
        <f>HYPERLINK("https://platform.v2.vetology.net/report/v/final/"&amp;2686527, 2686527)</f>
        <v>2686527</v>
      </c>
      <c r="D3913" s="2" t="s">
        <v>12278</v>
      </c>
      <c r="E3913" s="2" t="s">
        <v>12279</v>
      </c>
      <c r="F3913" s="2" t="s">
        <v>2082</v>
      </c>
      <c r="G3913" s="2" t="s">
        <v>170</v>
      </c>
      <c r="H3913" s="2" t="s">
        <v>12280</v>
      </c>
      <c r="I3913" s="2" t="s">
        <v>73</v>
      </c>
      <c r="J3913" s="2" t="s">
        <v>74</v>
      </c>
      <c r="K3913" s="2" t="s">
        <v>38</v>
      </c>
      <c r="L3913" s="2" t="s">
        <v>38</v>
      </c>
      <c r="M3913" s="2" t="s">
        <v>39</v>
      </c>
      <c r="N3913" s="2" t="s">
        <v>38</v>
      </c>
      <c r="O3913" s="2" t="s">
        <v>39</v>
      </c>
      <c r="P3913" s="2" t="s">
        <v>39</v>
      </c>
      <c r="Q3913" s="2" t="s">
        <v>38</v>
      </c>
      <c r="R3913" s="2" t="s">
        <v>39</v>
      </c>
      <c r="S3913" s="2" t="s">
        <v>39</v>
      </c>
      <c r="T3913" s="2" t="s">
        <v>38</v>
      </c>
      <c r="U3913" s="2" t="s">
        <v>38</v>
      </c>
      <c r="V3913" s="2" t="s">
        <v>38</v>
      </c>
      <c r="W3913" s="2" t="s">
        <v>38</v>
      </c>
      <c r="X3913" s="2" t="s">
        <v>38</v>
      </c>
      <c r="Y3913" s="2" t="s">
        <v>39</v>
      </c>
      <c r="Z3913" s="2" t="s">
        <v>39</v>
      </c>
      <c r="AA3913" s="2" t="s">
        <v>39</v>
      </c>
      <c r="AB3913" s="2" t="s">
        <v>38</v>
      </c>
      <c r="AC3913" s="2" t="s">
        <v>39</v>
      </c>
      <c r="AD3913" s="2" t="s">
        <v>39</v>
      </c>
      <c r="AE3913" s="2" t="s">
        <v>39</v>
      </c>
    </row>
    <row r="3914" spans="1:31" ht="409.5">
      <c r="A3914" s="2">
        <v>2686521</v>
      </c>
      <c r="B3914" s="2">
        <f>HYPERLINK("https://platform.v2.vetology.net/cases/2686521/screening-report/1?type=pdf&amp;v=v6&amp;scorecard=1&amp;secret_key=BX%25IJ%24%2F65ieZ%29f6", 2686521)</f>
        <v>2686521</v>
      </c>
      <c r="C3914" s="2">
        <f>HYPERLINK("https://platform.v2.vetology.net/report/v/final/"&amp;2686521, 2686521)</f>
        <v>2686521</v>
      </c>
      <c r="D3914" s="2" t="s">
        <v>11791</v>
      </c>
      <c r="E3914" s="2" t="s">
        <v>1091</v>
      </c>
      <c r="F3914" s="2" t="s">
        <v>12281</v>
      </c>
      <c r="G3914" s="2" t="s">
        <v>100</v>
      </c>
      <c r="H3914" s="2" t="s">
        <v>353</v>
      </c>
      <c r="I3914" s="2" t="s">
        <v>36</v>
      </c>
      <c r="J3914" s="2" t="s">
        <v>37</v>
      </c>
      <c r="K3914" s="2" t="s">
        <v>39</v>
      </c>
      <c r="L3914" s="2" t="s">
        <v>38</v>
      </c>
      <c r="M3914" s="2" t="s">
        <v>38</v>
      </c>
      <c r="N3914" s="2" t="s">
        <v>38</v>
      </c>
      <c r="O3914" s="2" t="s">
        <v>38</v>
      </c>
      <c r="P3914" s="2" t="s">
        <v>39</v>
      </c>
      <c r="Q3914" s="2" t="s">
        <v>39</v>
      </c>
      <c r="R3914" s="2" t="s">
        <v>39</v>
      </c>
      <c r="S3914" s="2" t="s">
        <v>38</v>
      </c>
      <c r="T3914" s="2" t="s">
        <v>39</v>
      </c>
      <c r="U3914" s="2" t="s">
        <v>39</v>
      </c>
      <c r="V3914" s="2" t="s">
        <v>39</v>
      </c>
      <c r="W3914" s="2" t="s">
        <v>38</v>
      </c>
      <c r="X3914" s="2" t="s">
        <v>39</v>
      </c>
      <c r="Y3914" s="2" t="s">
        <v>38</v>
      </c>
      <c r="Z3914" s="2" t="s">
        <v>38</v>
      </c>
      <c r="AA3914" s="2" t="s">
        <v>38</v>
      </c>
      <c r="AB3914" s="2" t="s">
        <v>39</v>
      </c>
      <c r="AC3914" s="2" t="s">
        <v>38</v>
      </c>
      <c r="AD3914" s="2" t="s">
        <v>38</v>
      </c>
      <c r="AE3914" s="2" t="s">
        <v>39</v>
      </c>
    </row>
    <row r="3915" spans="1:31" ht="409.5">
      <c r="A3915" s="2">
        <v>2686507</v>
      </c>
      <c r="B3915" s="2">
        <f>HYPERLINK("https://platform.v2.vetology.net/cases/2686507/screening-report/1?type=pdf&amp;v=v6&amp;scorecard=1&amp;secret_key=BX%25IJ%24%2F65ieZ%29f6", 2686507)</f>
        <v>2686507</v>
      </c>
      <c r="C3915" s="2">
        <f>HYPERLINK("https://platform.v2.vetology.net/report/v/final/"&amp;2686507, 2686507)</f>
        <v>2686507</v>
      </c>
      <c r="D3915" s="2" t="s">
        <v>12282</v>
      </c>
      <c r="E3915" s="2" t="s">
        <v>1073</v>
      </c>
      <c r="F3915" s="2" t="s">
        <v>787</v>
      </c>
      <c r="G3915" s="2" t="s">
        <v>100</v>
      </c>
      <c r="H3915" s="2" t="s">
        <v>222</v>
      </c>
      <c r="I3915" s="2" t="s">
        <v>36</v>
      </c>
      <c r="J3915" s="2" t="s">
        <v>37</v>
      </c>
      <c r="K3915" s="2" t="s">
        <v>39</v>
      </c>
      <c r="L3915" s="2" t="s">
        <v>39</v>
      </c>
      <c r="M3915" s="2" t="s">
        <v>38</v>
      </c>
      <c r="N3915" s="2" t="s">
        <v>38</v>
      </c>
      <c r="O3915" s="2" t="s">
        <v>38</v>
      </c>
      <c r="P3915" s="2" t="s">
        <v>39</v>
      </c>
      <c r="Q3915" s="2" t="s">
        <v>39</v>
      </c>
      <c r="R3915" s="2" t="s">
        <v>38</v>
      </c>
      <c r="S3915" s="2" t="s">
        <v>38</v>
      </c>
      <c r="T3915" s="2" t="s">
        <v>39</v>
      </c>
      <c r="U3915" s="2" t="s">
        <v>38</v>
      </c>
      <c r="V3915" s="2" t="s">
        <v>39</v>
      </c>
      <c r="W3915" s="2" t="s">
        <v>38</v>
      </c>
      <c r="X3915" s="2" t="s">
        <v>38</v>
      </c>
      <c r="Y3915" s="2" t="s">
        <v>38</v>
      </c>
      <c r="Z3915" s="2" t="s">
        <v>38</v>
      </c>
      <c r="AA3915" s="2" t="s">
        <v>38</v>
      </c>
      <c r="AB3915" s="2" t="s">
        <v>38</v>
      </c>
      <c r="AC3915" s="2" t="s">
        <v>38</v>
      </c>
      <c r="AD3915" s="2" t="s">
        <v>38</v>
      </c>
      <c r="AE3915" s="2" t="s">
        <v>39</v>
      </c>
    </row>
    <row r="3916" spans="1:31" ht="409.5">
      <c r="A3916" s="2">
        <v>2686492</v>
      </c>
      <c r="B3916" s="2">
        <f>HYPERLINK("https://platform.v2.vetology.net/cases/2686492/screening-report/1?type=pdf&amp;v=v6&amp;scorecard=1&amp;secret_key=BX%25IJ%24%2F65ieZ%29f6", 2686492)</f>
        <v>2686492</v>
      </c>
      <c r="C3916" s="2">
        <f>HYPERLINK("https://platform.v2.vetology.net/report/v/final/"&amp;2686492, 2686492)</f>
        <v>2686492</v>
      </c>
      <c r="D3916" s="2" t="s">
        <v>12283</v>
      </c>
      <c r="E3916" s="2" t="s">
        <v>12284</v>
      </c>
      <c r="F3916" s="2" t="s">
        <v>43</v>
      </c>
      <c r="G3916" s="2" t="s">
        <v>100</v>
      </c>
      <c r="H3916" s="2" t="s">
        <v>2612</v>
      </c>
      <c r="I3916" s="2" t="s">
        <v>36</v>
      </c>
      <c r="J3916" s="2" t="s">
        <v>37</v>
      </c>
      <c r="K3916" s="2" t="s">
        <v>38</v>
      </c>
      <c r="L3916" s="2" t="s">
        <v>38</v>
      </c>
      <c r="M3916" s="2" t="s">
        <v>39</v>
      </c>
      <c r="N3916" s="2" t="s">
        <v>38</v>
      </c>
      <c r="O3916" s="2" t="s">
        <v>38</v>
      </c>
      <c r="P3916" s="2" t="s">
        <v>39</v>
      </c>
      <c r="Q3916" s="2" t="s">
        <v>39</v>
      </c>
      <c r="R3916" s="2" t="s">
        <v>38</v>
      </c>
      <c r="S3916" s="2" t="s">
        <v>38</v>
      </c>
      <c r="T3916" s="2" t="s">
        <v>39</v>
      </c>
      <c r="U3916" s="2" t="s">
        <v>38</v>
      </c>
      <c r="V3916" s="2" t="s">
        <v>38</v>
      </c>
      <c r="W3916" s="2" t="s">
        <v>38</v>
      </c>
      <c r="X3916" s="2" t="s">
        <v>39</v>
      </c>
      <c r="Y3916" s="2" t="s">
        <v>39</v>
      </c>
      <c r="Z3916" s="2" t="s">
        <v>38</v>
      </c>
      <c r="AA3916" s="2" t="s">
        <v>38</v>
      </c>
      <c r="AB3916" s="2" t="s">
        <v>39</v>
      </c>
      <c r="AC3916" s="2" t="s">
        <v>38</v>
      </c>
      <c r="AD3916" s="2" t="s">
        <v>38</v>
      </c>
      <c r="AE3916" s="2" t="s">
        <v>39</v>
      </c>
    </row>
    <row r="3917" spans="1:31" ht="409.5">
      <c r="A3917" s="2">
        <v>2686466</v>
      </c>
      <c r="B3917" s="2">
        <f>HYPERLINK("https://platform.v2.vetology.net/cases/2686466/screening-report/1?type=pdf&amp;v=v6&amp;scorecard=1&amp;secret_key=BX%25IJ%24%2F65ieZ%29f6", 2686466)</f>
        <v>2686466</v>
      </c>
      <c r="C3917" s="2">
        <f>HYPERLINK("https://platform.v2.vetology.net/report/v/final/"&amp;2686466, 2686466)</f>
        <v>2686466</v>
      </c>
      <c r="D3917" s="2" t="s">
        <v>12285</v>
      </c>
      <c r="E3917" s="2" t="s">
        <v>12286</v>
      </c>
      <c r="F3917" s="2" t="s">
        <v>356</v>
      </c>
      <c r="G3917" s="2" t="s">
        <v>100</v>
      </c>
      <c r="H3917" s="2" t="s">
        <v>12287</v>
      </c>
      <c r="I3917" s="2" t="s">
        <v>129</v>
      </c>
      <c r="J3917" s="2" t="s">
        <v>74</v>
      </c>
      <c r="K3917" s="2" t="s">
        <v>38</v>
      </c>
      <c r="L3917" s="2" t="s">
        <v>39</v>
      </c>
      <c r="M3917" s="2" t="s">
        <v>38</v>
      </c>
      <c r="N3917" s="2" t="s">
        <v>38</v>
      </c>
      <c r="O3917" s="2" t="s">
        <v>38</v>
      </c>
      <c r="P3917" s="2" t="s">
        <v>39</v>
      </c>
      <c r="Q3917" s="2" t="s">
        <v>38</v>
      </c>
      <c r="R3917" s="2" t="s">
        <v>38</v>
      </c>
      <c r="S3917" s="2" t="s">
        <v>38</v>
      </c>
      <c r="T3917" s="2" t="s">
        <v>38</v>
      </c>
      <c r="U3917" s="2" t="s">
        <v>39</v>
      </c>
      <c r="V3917" s="2" t="s">
        <v>39</v>
      </c>
      <c r="W3917" s="2" t="s">
        <v>39</v>
      </c>
      <c r="X3917" s="2" t="s">
        <v>39</v>
      </c>
      <c r="Y3917" s="2" t="s">
        <v>39</v>
      </c>
      <c r="Z3917" s="2" t="s">
        <v>38</v>
      </c>
      <c r="AA3917" s="2" t="s">
        <v>38</v>
      </c>
      <c r="AB3917" s="2" t="s">
        <v>39</v>
      </c>
      <c r="AC3917" s="2" t="s">
        <v>38</v>
      </c>
      <c r="AD3917" s="2" t="s">
        <v>38</v>
      </c>
      <c r="AE3917" s="2" t="s">
        <v>40</v>
      </c>
    </row>
    <row r="3918" spans="1:31" ht="409.5">
      <c r="A3918" s="2">
        <v>2686436</v>
      </c>
      <c r="B3918" s="2">
        <f>HYPERLINK("https://platform.v2.vetology.net/cases/2686436/screening-report/1?type=pdf&amp;v=v6&amp;scorecard=1&amp;secret_key=BX%25IJ%24%2F65ieZ%29f6", 2686436)</f>
        <v>2686436</v>
      </c>
      <c r="C3918" s="2">
        <f>HYPERLINK("https://platform.v2.vetology.net/report/v/final/"&amp;2686436, 2686436)</f>
        <v>2686436</v>
      </c>
      <c r="D3918" s="2" t="s">
        <v>12288</v>
      </c>
      <c r="E3918" s="2" t="s">
        <v>12289</v>
      </c>
      <c r="F3918" s="2" t="s">
        <v>12290</v>
      </c>
      <c r="G3918" s="2" t="s">
        <v>34</v>
      </c>
      <c r="H3918" s="2" t="s">
        <v>12291</v>
      </c>
      <c r="I3918" s="2" t="s">
        <v>257</v>
      </c>
      <c r="J3918" s="2" t="s">
        <v>74</v>
      </c>
      <c r="K3918" s="2" t="s">
        <v>38</v>
      </c>
      <c r="L3918" s="2" t="s">
        <v>38</v>
      </c>
      <c r="M3918" s="2" t="s">
        <v>38</v>
      </c>
      <c r="N3918" s="2" t="s">
        <v>38</v>
      </c>
      <c r="O3918" s="2" t="s">
        <v>38</v>
      </c>
      <c r="P3918" s="2" t="s">
        <v>38</v>
      </c>
      <c r="Q3918" s="2" t="s">
        <v>38</v>
      </c>
      <c r="R3918" s="2" t="s">
        <v>38</v>
      </c>
      <c r="S3918" s="2" t="s">
        <v>38</v>
      </c>
      <c r="T3918" s="2" t="s">
        <v>38</v>
      </c>
      <c r="U3918" s="2" t="s">
        <v>38</v>
      </c>
      <c r="V3918" s="2" t="s">
        <v>38</v>
      </c>
      <c r="W3918" s="2" t="s">
        <v>38</v>
      </c>
      <c r="X3918" s="2" t="s">
        <v>38</v>
      </c>
      <c r="Y3918" s="2" t="s">
        <v>38</v>
      </c>
      <c r="Z3918" s="2" t="s">
        <v>38</v>
      </c>
      <c r="AA3918" s="2" t="s">
        <v>38</v>
      </c>
      <c r="AB3918" s="2" t="s">
        <v>38</v>
      </c>
      <c r="AC3918" s="2" t="s">
        <v>38</v>
      </c>
      <c r="AD3918" s="2" t="s">
        <v>38</v>
      </c>
      <c r="AE3918" s="2" t="s">
        <v>40</v>
      </c>
    </row>
    <row r="3919" spans="1:31" ht="409.5">
      <c r="A3919" s="2">
        <v>2686430</v>
      </c>
      <c r="B3919" s="2">
        <f>HYPERLINK("https://platform.v2.vetology.net/cases/2686430/screening-report/1?type=pdf&amp;v=v6&amp;scorecard=1&amp;secret_key=BX%25IJ%24%2F65ieZ%29f6", 2686430)</f>
        <v>2686430</v>
      </c>
      <c r="C3919" s="2">
        <f>HYPERLINK("https://platform.v2.vetology.net/report/v/final/"&amp;2686430, 2686430)</f>
        <v>2686430</v>
      </c>
      <c r="D3919" s="2" t="s">
        <v>12292</v>
      </c>
      <c r="E3919" s="2" t="s">
        <v>12293</v>
      </c>
      <c r="F3919" s="2" t="s">
        <v>43</v>
      </c>
      <c r="G3919" s="2" t="s">
        <v>100</v>
      </c>
      <c r="H3919" s="2" t="s">
        <v>12294</v>
      </c>
      <c r="I3919" s="2" t="s">
        <v>257</v>
      </c>
      <c r="J3919" s="2" t="s">
        <v>74</v>
      </c>
      <c r="K3919" s="2" t="s">
        <v>38</v>
      </c>
      <c r="L3919" s="2" t="s">
        <v>38</v>
      </c>
      <c r="M3919" s="2" t="s">
        <v>38</v>
      </c>
      <c r="N3919" s="2" t="s">
        <v>38</v>
      </c>
      <c r="O3919" s="2" t="s">
        <v>38</v>
      </c>
      <c r="P3919" s="2" t="s">
        <v>38</v>
      </c>
      <c r="Q3919" s="2" t="s">
        <v>38</v>
      </c>
      <c r="R3919" s="2" t="s">
        <v>38</v>
      </c>
      <c r="S3919" s="2" t="s">
        <v>38</v>
      </c>
      <c r="T3919" s="2" t="s">
        <v>38</v>
      </c>
      <c r="U3919" s="2" t="s">
        <v>38</v>
      </c>
      <c r="V3919" s="2" t="s">
        <v>38</v>
      </c>
      <c r="W3919" s="2" t="s">
        <v>38</v>
      </c>
      <c r="X3919" s="2" t="s">
        <v>38</v>
      </c>
      <c r="Y3919" s="2" t="s">
        <v>38</v>
      </c>
      <c r="Z3919" s="2" t="s">
        <v>38</v>
      </c>
      <c r="AA3919" s="2" t="s">
        <v>38</v>
      </c>
      <c r="AB3919" s="2" t="s">
        <v>38</v>
      </c>
      <c r="AC3919" s="2" t="s">
        <v>38</v>
      </c>
      <c r="AD3919" s="2" t="s">
        <v>38</v>
      </c>
      <c r="AE3919" s="2" t="s">
        <v>40</v>
      </c>
    </row>
    <row r="3920" spans="1:31" ht="409.5">
      <c r="A3920" s="2">
        <v>2686400</v>
      </c>
      <c r="B3920" s="2">
        <f>HYPERLINK("https://platform.v2.vetology.net/cases/2686400/screening-report/1?type=pdf&amp;v=v6&amp;scorecard=1&amp;secret_key=BX%25IJ%24%2F65ieZ%29f6", 2686400)</f>
        <v>2686400</v>
      </c>
      <c r="C3920" s="2">
        <f>HYPERLINK("https://platform.v2.vetology.net/report/v/final/"&amp;2686400, 2686400)</f>
        <v>2686400</v>
      </c>
      <c r="D3920" s="2" t="s">
        <v>12295</v>
      </c>
      <c r="E3920" s="2" t="s">
        <v>12296</v>
      </c>
      <c r="F3920" s="2" t="s">
        <v>12297</v>
      </c>
      <c r="G3920" s="2" t="s">
        <v>170</v>
      </c>
      <c r="H3920" s="2" t="s">
        <v>12298</v>
      </c>
      <c r="I3920" s="2" t="s">
        <v>36</v>
      </c>
      <c r="J3920" s="2" t="s">
        <v>37</v>
      </c>
      <c r="K3920" s="2" t="s">
        <v>39</v>
      </c>
      <c r="L3920" s="2" t="s">
        <v>38</v>
      </c>
      <c r="M3920" s="2" t="s">
        <v>38</v>
      </c>
      <c r="N3920" s="2" t="s">
        <v>38</v>
      </c>
      <c r="O3920" s="2" t="s">
        <v>38</v>
      </c>
      <c r="P3920" s="2" t="s">
        <v>39</v>
      </c>
      <c r="Q3920" s="2" t="s">
        <v>39</v>
      </c>
      <c r="R3920" s="2" t="s">
        <v>38</v>
      </c>
      <c r="S3920" s="2" t="s">
        <v>38</v>
      </c>
      <c r="T3920" s="2" t="s">
        <v>38</v>
      </c>
      <c r="U3920" s="2" t="s">
        <v>39</v>
      </c>
      <c r="V3920" s="2" t="s">
        <v>38</v>
      </c>
      <c r="W3920" s="2" t="s">
        <v>38</v>
      </c>
      <c r="X3920" s="2" t="s">
        <v>39</v>
      </c>
      <c r="Y3920" s="2" t="s">
        <v>39</v>
      </c>
      <c r="Z3920" s="2" t="s">
        <v>38</v>
      </c>
      <c r="AA3920" s="2" t="s">
        <v>38</v>
      </c>
      <c r="AB3920" s="2" t="s">
        <v>39</v>
      </c>
      <c r="AC3920" s="2" t="s">
        <v>38</v>
      </c>
      <c r="AD3920" s="2" t="s">
        <v>38</v>
      </c>
      <c r="AE3920" s="2" t="s">
        <v>39</v>
      </c>
    </row>
    <row r="3921" spans="1:31" ht="409.5">
      <c r="A3921" s="2">
        <v>2686385</v>
      </c>
      <c r="B3921" s="2">
        <f>HYPERLINK("https://platform.v2.vetology.net/cases/2686385/screening-report/1?type=pdf&amp;v=v6&amp;scorecard=1&amp;secret_key=BX%25IJ%24%2F65ieZ%29f6", 2686385)</f>
        <v>2686385</v>
      </c>
      <c r="C3921" s="2">
        <f>HYPERLINK("https://platform.v2.vetology.net/report/v/final/"&amp;2686385, 2686385)</f>
        <v>2686385</v>
      </c>
      <c r="D3921" s="2" t="s">
        <v>12299</v>
      </c>
      <c r="E3921" s="2" t="s">
        <v>12300</v>
      </c>
      <c r="F3921" s="2" t="s">
        <v>12301</v>
      </c>
      <c r="G3921" s="2" t="s">
        <v>100</v>
      </c>
      <c r="H3921" s="2" t="s">
        <v>1681</v>
      </c>
      <c r="I3921" s="2" t="s">
        <v>59</v>
      </c>
      <c r="J3921" s="2" t="s">
        <v>37</v>
      </c>
      <c r="K3921" s="2" t="s">
        <v>38</v>
      </c>
      <c r="L3921" s="2" t="s">
        <v>39</v>
      </c>
      <c r="M3921" s="2" t="s">
        <v>39</v>
      </c>
      <c r="N3921" s="2" t="s">
        <v>39</v>
      </c>
      <c r="O3921" s="2" t="s">
        <v>39</v>
      </c>
      <c r="P3921" s="2" t="s">
        <v>39</v>
      </c>
      <c r="Q3921" s="2" t="s">
        <v>39</v>
      </c>
      <c r="R3921" s="2" t="s">
        <v>39</v>
      </c>
      <c r="S3921" s="2" t="s">
        <v>38</v>
      </c>
      <c r="T3921" s="2" t="s">
        <v>38</v>
      </c>
      <c r="U3921" s="2" t="s">
        <v>39</v>
      </c>
      <c r="V3921" s="2" t="s">
        <v>38</v>
      </c>
      <c r="W3921" s="2" t="s">
        <v>38</v>
      </c>
      <c r="X3921" s="2" t="s">
        <v>39</v>
      </c>
      <c r="Y3921" s="2" t="s">
        <v>39</v>
      </c>
      <c r="Z3921" s="2" t="s">
        <v>39</v>
      </c>
      <c r="AA3921" s="2" t="s">
        <v>39</v>
      </c>
      <c r="AB3921" s="2" t="s">
        <v>39</v>
      </c>
      <c r="AC3921" s="2" t="s">
        <v>39</v>
      </c>
      <c r="AD3921" s="2" t="s">
        <v>39</v>
      </c>
      <c r="AE3921" s="2" t="s">
        <v>39</v>
      </c>
    </row>
    <row r="3922" spans="1:31" ht="409.5">
      <c r="A3922" s="2">
        <v>2686383</v>
      </c>
      <c r="B3922" s="2">
        <f>HYPERLINK("https://platform.v2.vetology.net/cases/2686383/screening-report/1?type=pdf&amp;v=v6&amp;scorecard=1&amp;secret_key=BX%25IJ%24%2F65ieZ%29f6", 2686383)</f>
        <v>2686383</v>
      </c>
      <c r="C3922" s="2">
        <f>HYPERLINK("https://platform.v2.vetology.net/report/v/final/"&amp;2686383, 2686383)</f>
        <v>2686383</v>
      </c>
      <c r="D3922" s="2" t="s">
        <v>12302</v>
      </c>
      <c r="E3922" s="2" t="s">
        <v>12303</v>
      </c>
      <c r="F3922" s="2" t="s">
        <v>12304</v>
      </c>
      <c r="G3922" s="2" t="s">
        <v>100</v>
      </c>
      <c r="H3922" s="2" t="s">
        <v>45</v>
      </c>
      <c r="I3922" s="2" t="s">
        <v>46</v>
      </c>
      <c r="J3922" s="2"/>
      <c r="K3922" s="2" t="s">
        <v>39</v>
      </c>
      <c r="L3922" s="2" t="s">
        <v>39</v>
      </c>
      <c r="M3922" s="2" t="s">
        <v>39</v>
      </c>
      <c r="N3922" s="2" t="s">
        <v>39</v>
      </c>
      <c r="O3922" s="2" t="s">
        <v>39</v>
      </c>
      <c r="P3922" s="2" t="s">
        <v>39</v>
      </c>
      <c r="Q3922" s="2" t="s">
        <v>39</v>
      </c>
      <c r="R3922" s="2" t="s">
        <v>38</v>
      </c>
      <c r="S3922" s="2" t="s">
        <v>39</v>
      </c>
      <c r="T3922" s="2" t="s">
        <v>39</v>
      </c>
      <c r="U3922" s="2" t="s">
        <v>38</v>
      </c>
      <c r="V3922" s="2" t="s">
        <v>38</v>
      </c>
      <c r="W3922" s="2" t="s">
        <v>39</v>
      </c>
      <c r="X3922" s="2" t="s">
        <v>39</v>
      </c>
      <c r="Y3922" s="2" t="s">
        <v>39</v>
      </c>
      <c r="Z3922" s="2" t="s">
        <v>39</v>
      </c>
      <c r="AA3922" s="2" t="s">
        <v>39</v>
      </c>
      <c r="AB3922" s="2" t="s">
        <v>39</v>
      </c>
      <c r="AC3922" s="2" t="s">
        <v>38</v>
      </c>
      <c r="AD3922" s="2" t="s">
        <v>39</v>
      </c>
      <c r="AE3922" s="2" t="s">
        <v>39</v>
      </c>
    </row>
    <row r="3923" spans="1:31" ht="409.5">
      <c r="A3923" s="2">
        <v>2686379</v>
      </c>
      <c r="B3923" s="2">
        <f>HYPERLINK("https://platform.v2.vetology.net/cases/2686379/screening-report/1?type=pdf&amp;v=v6&amp;scorecard=1&amp;secret_key=BX%25IJ%24%2F65ieZ%29f6", 2686379)</f>
        <v>2686379</v>
      </c>
      <c r="C3923" s="2">
        <f>HYPERLINK("https://platform.v2.vetology.net/report/v/final/"&amp;2686379, 2686379)</f>
        <v>2686379</v>
      </c>
      <c r="D3923" s="2" t="s">
        <v>12305</v>
      </c>
      <c r="E3923" s="2" t="s">
        <v>12306</v>
      </c>
      <c r="F3923" s="2" t="s">
        <v>12307</v>
      </c>
      <c r="G3923" s="2" t="s">
        <v>34</v>
      </c>
      <c r="H3923" s="2" t="s">
        <v>12308</v>
      </c>
      <c r="I3923" s="2" t="s">
        <v>36</v>
      </c>
      <c r="J3923" s="2" t="s">
        <v>37</v>
      </c>
      <c r="K3923" s="2" t="s">
        <v>39</v>
      </c>
      <c r="L3923" s="2" t="s">
        <v>38</v>
      </c>
      <c r="M3923" s="2" t="s">
        <v>39</v>
      </c>
      <c r="N3923" s="2" t="s">
        <v>39</v>
      </c>
      <c r="O3923" s="2" t="s">
        <v>39</v>
      </c>
      <c r="P3923" s="2" t="s">
        <v>38</v>
      </c>
      <c r="Q3923" s="2" t="s">
        <v>39</v>
      </c>
      <c r="R3923" s="2" t="s">
        <v>38</v>
      </c>
      <c r="S3923" s="2" t="s">
        <v>38</v>
      </c>
      <c r="T3923" s="2" t="s">
        <v>38</v>
      </c>
      <c r="U3923" s="2" t="s">
        <v>39</v>
      </c>
      <c r="V3923" s="2" t="s">
        <v>38</v>
      </c>
      <c r="W3923" s="2" t="s">
        <v>38</v>
      </c>
      <c r="X3923" s="2" t="s">
        <v>38</v>
      </c>
      <c r="Y3923" s="2" t="s">
        <v>39</v>
      </c>
      <c r="Z3923" s="2" t="s">
        <v>38</v>
      </c>
      <c r="AA3923" s="2" t="s">
        <v>39</v>
      </c>
      <c r="AB3923" s="2" t="s">
        <v>39</v>
      </c>
      <c r="AC3923" s="2" t="s">
        <v>38</v>
      </c>
      <c r="AD3923" s="2" t="s">
        <v>38</v>
      </c>
      <c r="AE3923" s="2" t="s">
        <v>40</v>
      </c>
    </row>
    <row r="3924" spans="1:31" ht="409.5">
      <c r="A3924" s="2">
        <v>2686365</v>
      </c>
      <c r="B3924" s="2">
        <f>HYPERLINK("https://platform.v2.vetology.net/cases/2686365/screening-report/1?type=pdf&amp;v=v6&amp;scorecard=1&amp;secret_key=BX%25IJ%24%2F65ieZ%29f6", 2686365)</f>
        <v>2686365</v>
      </c>
      <c r="C3924" s="2">
        <f>HYPERLINK("https://platform.v2.vetology.net/report/v/final/"&amp;2686365, 2686365)</f>
        <v>2686365</v>
      </c>
      <c r="D3924" s="2" t="s">
        <v>12309</v>
      </c>
      <c r="E3924" s="2" t="s">
        <v>12310</v>
      </c>
      <c r="F3924" s="2" t="s">
        <v>43</v>
      </c>
      <c r="G3924" s="2" t="s">
        <v>507</v>
      </c>
      <c r="H3924" s="2" t="s">
        <v>2862</v>
      </c>
      <c r="I3924" s="2" t="s">
        <v>46</v>
      </c>
      <c r="J3924" s="2"/>
      <c r="K3924" s="2" t="s">
        <v>38</v>
      </c>
      <c r="L3924" s="2" t="s">
        <v>39</v>
      </c>
      <c r="M3924" s="2" t="s">
        <v>39</v>
      </c>
      <c r="N3924" s="2" t="s">
        <v>39</v>
      </c>
      <c r="O3924" s="2" t="s">
        <v>39</v>
      </c>
      <c r="P3924" s="2" t="s">
        <v>39</v>
      </c>
      <c r="Q3924" s="2" t="s">
        <v>39</v>
      </c>
      <c r="R3924" s="2" t="s">
        <v>38</v>
      </c>
      <c r="S3924" s="2" t="s">
        <v>38</v>
      </c>
      <c r="T3924" s="2" t="s">
        <v>39</v>
      </c>
      <c r="U3924" s="2" t="s">
        <v>39</v>
      </c>
      <c r="V3924" s="2" t="s">
        <v>38</v>
      </c>
      <c r="W3924" s="2" t="s">
        <v>38</v>
      </c>
      <c r="X3924" s="2" t="s">
        <v>39</v>
      </c>
      <c r="Y3924" s="2" t="s">
        <v>39</v>
      </c>
      <c r="Z3924" s="2" t="s">
        <v>38</v>
      </c>
      <c r="AA3924" s="2" t="s">
        <v>39</v>
      </c>
      <c r="AB3924" s="2" t="s">
        <v>39</v>
      </c>
      <c r="AC3924" s="2" t="s">
        <v>38</v>
      </c>
      <c r="AD3924" s="2" t="s">
        <v>39</v>
      </c>
      <c r="AE3924" s="2" t="s">
        <v>39</v>
      </c>
    </row>
    <row r="3925" spans="1:31" ht="409.5">
      <c r="A3925" s="2">
        <v>2686359</v>
      </c>
      <c r="B3925" s="2">
        <f>HYPERLINK("https://platform.v2.vetology.net/cases/2686359/screening-report/1?type=pdf&amp;v=v6&amp;scorecard=1&amp;secret_key=BX%25IJ%24%2F65ieZ%29f6", 2686359)</f>
        <v>2686359</v>
      </c>
      <c r="C3925" s="2">
        <f>HYPERLINK("https://platform.v2.vetology.net/report/v/final/"&amp;2686359, 2686359)</f>
        <v>2686359</v>
      </c>
      <c r="D3925" s="2" t="s">
        <v>1090</v>
      </c>
      <c r="E3925" s="2" t="s">
        <v>1091</v>
      </c>
      <c r="F3925" s="2" t="s">
        <v>787</v>
      </c>
      <c r="G3925" s="2" t="s">
        <v>100</v>
      </c>
      <c r="H3925" s="2" t="s">
        <v>12311</v>
      </c>
      <c r="I3925" s="2" t="s">
        <v>129</v>
      </c>
      <c r="J3925" s="2" t="s">
        <v>74</v>
      </c>
      <c r="K3925" s="2" t="s">
        <v>39</v>
      </c>
      <c r="L3925" s="2" t="s">
        <v>38</v>
      </c>
      <c r="M3925" s="2" t="s">
        <v>38</v>
      </c>
      <c r="N3925" s="2" t="s">
        <v>38</v>
      </c>
      <c r="O3925" s="2" t="s">
        <v>38</v>
      </c>
      <c r="P3925" s="2" t="s">
        <v>38</v>
      </c>
      <c r="Q3925" s="2" t="s">
        <v>38</v>
      </c>
      <c r="R3925" s="2" t="s">
        <v>39</v>
      </c>
      <c r="S3925" s="2" t="s">
        <v>39</v>
      </c>
      <c r="T3925" s="2" t="s">
        <v>38</v>
      </c>
      <c r="U3925" s="2" t="s">
        <v>39</v>
      </c>
      <c r="V3925" s="2" t="s">
        <v>39</v>
      </c>
      <c r="W3925" s="2" t="s">
        <v>38</v>
      </c>
      <c r="X3925" s="2" t="s">
        <v>38</v>
      </c>
      <c r="Y3925" s="2" t="s">
        <v>39</v>
      </c>
      <c r="Z3925" s="2" t="s">
        <v>38</v>
      </c>
      <c r="AA3925" s="2" t="s">
        <v>38</v>
      </c>
      <c r="AB3925" s="2" t="s">
        <v>38</v>
      </c>
      <c r="AC3925" s="2" t="s">
        <v>38</v>
      </c>
      <c r="AD3925" s="2" t="s">
        <v>39</v>
      </c>
      <c r="AE3925" s="2" t="s">
        <v>39</v>
      </c>
    </row>
    <row r="3926" spans="1:31" ht="409.5">
      <c r="A3926" s="2">
        <v>2686300</v>
      </c>
      <c r="B3926" s="2">
        <f>HYPERLINK("https://platform.v2.vetology.net/cases/2686300/screening-report/1?type=pdf&amp;v=v6&amp;scorecard=1&amp;secret_key=BX%25IJ%24%2F65ieZ%29f6", 2686300)</f>
        <v>2686300</v>
      </c>
      <c r="C3926" s="2">
        <f>HYPERLINK("https://platform.v2.vetology.net/report/v/final/"&amp;2686300, 2686300)</f>
        <v>2686300</v>
      </c>
      <c r="D3926" s="2" t="s">
        <v>12312</v>
      </c>
      <c r="E3926" s="2" t="s">
        <v>12313</v>
      </c>
      <c r="F3926" s="2" t="s">
        <v>12314</v>
      </c>
      <c r="G3926" s="2" t="s">
        <v>34</v>
      </c>
      <c r="H3926" s="2" t="s">
        <v>6019</v>
      </c>
      <c r="I3926" s="2" t="s">
        <v>257</v>
      </c>
      <c r="J3926" s="2" t="s">
        <v>74</v>
      </c>
      <c r="K3926" s="2" t="s">
        <v>38</v>
      </c>
      <c r="L3926" s="2" t="s">
        <v>38</v>
      </c>
      <c r="M3926" s="2" t="s">
        <v>38</v>
      </c>
      <c r="N3926" s="2" t="s">
        <v>38</v>
      </c>
      <c r="O3926" s="2" t="s">
        <v>38</v>
      </c>
      <c r="P3926" s="2" t="s">
        <v>38</v>
      </c>
      <c r="Q3926" s="2" t="s">
        <v>38</v>
      </c>
      <c r="R3926" s="2" t="s">
        <v>38</v>
      </c>
      <c r="S3926" s="2" t="s">
        <v>38</v>
      </c>
      <c r="T3926" s="2" t="s">
        <v>38</v>
      </c>
      <c r="U3926" s="2" t="s">
        <v>38</v>
      </c>
      <c r="V3926" s="2" t="s">
        <v>38</v>
      </c>
      <c r="W3926" s="2" t="s">
        <v>38</v>
      </c>
      <c r="X3926" s="2" t="s">
        <v>38</v>
      </c>
      <c r="Y3926" s="2" t="s">
        <v>38</v>
      </c>
      <c r="Z3926" s="2" t="s">
        <v>38</v>
      </c>
      <c r="AA3926" s="2" t="s">
        <v>38</v>
      </c>
      <c r="AB3926" s="2" t="s">
        <v>38</v>
      </c>
      <c r="AC3926" s="2" t="s">
        <v>38</v>
      </c>
      <c r="AD3926" s="2" t="s">
        <v>38</v>
      </c>
      <c r="AE3926" s="2" t="s">
        <v>39</v>
      </c>
    </row>
    <row r="3927" spans="1:31" ht="409.5">
      <c r="A3927" s="2">
        <v>2686289</v>
      </c>
      <c r="B3927" s="2">
        <f>HYPERLINK("https://platform.v2.vetology.net/cases/2686289/screening-report/1?type=pdf&amp;v=v6&amp;scorecard=1&amp;secret_key=BX%25IJ%24%2F65ieZ%29f6", 2686289)</f>
        <v>2686289</v>
      </c>
      <c r="C3927" s="2">
        <f>HYPERLINK("https://platform.v2.vetology.net/report/v/final/"&amp;2686289, 2686289)</f>
        <v>2686289</v>
      </c>
      <c r="D3927" s="2" t="s">
        <v>12315</v>
      </c>
      <c r="E3927" s="2" t="s">
        <v>12316</v>
      </c>
      <c r="F3927" s="2" t="s">
        <v>43</v>
      </c>
      <c r="G3927" s="2" t="s">
        <v>100</v>
      </c>
      <c r="H3927" s="2" t="s">
        <v>5618</v>
      </c>
      <c r="I3927" s="2" t="s">
        <v>73</v>
      </c>
      <c r="J3927" s="2" t="s">
        <v>74</v>
      </c>
      <c r="K3927" s="2" t="s">
        <v>38</v>
      </c>
      <c r="L3927" s="2" t="s">
        <v>38</v>
      </c>
      <c r="M3927" s="2" t="s">
        <v>38</v>
      </c>
      <c r="N3927" s="2" t="s">
        <v>38</v>
      </c>
      <c r="O3927" s="2" t="s">
        <v>38</v>
      </c>
      <c r="P3927" s="2" t="s">
        <v>38</v>
      </c>
      <c r="Q3927" s="2" t="s">
        <v>38</v>
      </c>
      <c r="R3927" s="2" t="s">
        <v>39</v>
      </c>
      <c r="S3927" s="2" t="s">
        <v>38</v>
      </c>
      <c r="T3927" s="2" t="s">
        <v>38</v>
      </c>
      <c r="U3927" s="2" t="s">
        <v>38</v>
      </c>
      <c r="V3927" s="2" t="s">
        <v>38</v>
      </c>
      <c r="W3927" s="2" t="s">
        <v>38</v>
      </c>
      <c r="X3927" s="2" t="s">
        <v>38</v>
      </c>
      <c r="Y3927" s="2" t="s">
        <v>38</v>
      </c>
      <c r="Z3927" s="2" t="s">
        <v>38</v>
      </c>
      <c r="AA3927" s="2" t="s">
        <v>38</v>
      </c>
      <c r="AB3927" s="2" t="s">
        <v>38</v>
      </c>
      <c r="AC3927" s="2" t="s">
        <v>38</v>
      </c>
      <c r="AD3927" s="2" t="s">
        <v>38</v>
      </c>
      <c r="AE3927" s="2" t="s">
        <v>40</v>
      </c>
    </row>
    <row r="3928" spans="1:31" ht="409.5">
      <c r="A3928" s="2">
        <v>2686279</v>
      </c>
      <c r="B3928" s="2">
        <f>HYPERLINK("https://platform.v2.vetology.net/cases/2686279/screening-report/1?type=pdf&amp;v=v6&amp;scorecard=1&amp;secret_key=BX%25IJ%24%2F65ieZ%29f6", 2686279)</f>
        <v>2686279</v>
      </c>
      <c r="C3928" s="2">
        <f>HYPERLINK("https://platform.v2.vetology.net/report/v/final/"&amp;2686279, 2686279)</f>
        <v>2686279</v>
      </c>
      <c r="D3928" s="2" t="s">
        <v>1090</v>
      </c>
      <c r="E3928" s="2" t="s">
        <v>1091</v>
      </c>
      <c r="F3928" s="2" t="s">
        <v>787</v>
      </c>
      <c r="G3928" s="2" t="s">
        <v>100</v>
      </c>
      <c r="H3928" s="2" t="s">
        <v>69</v>
      </c>
      <c r="I3928" s="2" t="s">
        <v>46</v>
      </c>
      <c r="J3928" s="2"/>
      <c r="K3928" s="2" t="s">
        <v>39</v>
      </c>
      <c r="L3928" s="2" t="s">
        <v>39</v>
      </c>
      <c r="M3928" s="2" t="s">
        <v>39</v>
      </c>
      <c r="N3928" s="2" t="s">
        <v>39</v>
      </c>
      <c r="O3928" s="2" t="s">
        <v>39</v>
      </c>
      <c r="P3928" s="2" t="s">
        <v>39</v>
      </c>
      <c r="Q3928" s="2" t="s">
        <v>39</v>
      </c>
      <c r="R3928" s="2" t="s">
        <v>39</v>
      </c>
      <c r="S3928" s="2" t="s">
        <v>39</v>
      </c>
      <c r="T3928" s="2" t="s">
        <v>39</v>
      </c>
      <c r="U3928" s="2" t="s">
        <v>39</v>
      </c>
      <c r="V3928" s="2" t="s">
        <v>38</v>
      </c>
      <c r="W3928" s="2" t="s">
        <v>39</v>
      </c>
      <c r="X3928" s="2" t="s">
        <v>39</v>
      </c>
      <c r="Y3928" s="2" t="s">
        <v>39</v>
      </c>
      <c r="Z3928" s="2" t="s">
        <v>39</v>
      </c>
      <c r="AA3928" s="2" t="s">
        <v>39</v>
      </c>
      <c r="AB3928" s="2" t="s">
        <v>39</v>
      </c>
      <c r="AC3928" s="2" t="s">
        <v>39</v>
      </c>
      <c r="AD3928" s="2" t="s">
        <v>38</v>
      </c>
      <c r="AE3928" s="2" t="s">
        <v>39</v>
      </c>
    </row>
    <row r="3929" spans="1:31" ht="409.5">
      <c r="A3929" s="2">
        <v>2686259</v>
      </c>
      <c r="B3929" s="2">
        <f>HYPERLINK("https://platform.v2.vetology.net/cases/2686259/screening-report/1?type=pdf&amp;v=v6&amp;scorecard=1&amp;secret_key=BX%25IJ%24%2F65ieZ%29f6", 2686259)</f>
        <v>2686259</v>
      </c>
      <c r="C3929" s="2">
        <f>HYPERLINK("https://platform.v2.vetology.net/report/v/final/"&amp;2686259, 2686259)</f>
        <v>2686259</v>
      </c>
      <c r="D3929" s="2" t="s">
        <v>3771</v>
      </c>
      <c r="E3929" s="2" t="s">
        <v>331</v>
      </c>
      <c r="F3929" s="2" t="s">
        <v>12317</v>
      </c>
      <c r="G3929" s="2" t="s">
        <v>100</v>
      </c>
      <c r="H3929" s="2" t="s">
        <v>12318</v>
      </c>
      <c r="I3929" s="2" t="s">
        <v>73</v>
      </c>
      <c r="J3929" s="2" t="s">
        <v>74</v>
      </c>
      <c r="K3929" s="2" t="s">
        <v>38</v>
      </c>
      <c r="L3929" s="2" t="s">
        <v>38</v>
      </c>
      <c r="M3929" s="2" t="s">
        <v>38</v>
      </c>
      <c r="N3929" s="2" t="s">
        <v>38</v>
      </c>
      <c r="O3929" s="2" t="s">
        <v>38</v>
      </c>
      <c r="P3929" s="2" t="s">
        <v>38</v>
      </c>
      <c r="Q3929" s="2" t="s">
        <v>38</v>
      </c>
      <c r="R3929" s="2" t="s">
        <v>38</v>
      </c>
      <c r="S3929" s="2" t="s">
        <v>38</v>
      </c>
      <c r="T3929" s="2" t="s">
        <v>38</v>
      </c>
      <c r="U3929" s="2" t="s">
        <v>38</v>
      </c>
      <c r="V3929" s="2" t="s">
        <v>38</v>
      </c>
      <c r="W3929" s="2" t="s">
        <v>38</v>
      </c>
      <c r="X3929" s="2" t="s">
        <v>38</v>
      </c>
      <c r="Y3929" s="2" t="s">
        <v>38</v>
      </c>
      <c r="Z3929" s="2" t="s">
        <v>38</v>
      </c>
      <c r="AA3929" s="2" t="s">
        <v>38</v>
      </c>
      <c r="AB3929" s="2" t="s">
        <v>38</v>
      </c>
      <c r="AC3929" s="2" t="s">
        <v>38</v>
      </c>
      <c r="AD3929" s="2" t="s">
        <v>38</v>
      </c>
      <c r="AE3929" s="2" t="s">
        <v>40</v>
      </c>
    </row>
    <row r="3930" spans="1:31" ht="409.5">
      <c r="A3930" s="2">
        <v>2686245</v>
      </c>
      <c r="B3930" s="2">
        <f>HYPERLINK("https://platform.v2.vetology.net/cases/2686245/screening-report/1?type=pdf&amp;v=v6&amp;scorecard=1&amp;secret_key=BX%25IJ%24%2F65ieZ%29f6", 2686245)</f>
        <v>2686245</v>
      </c>
      <c r="C3930" s="2">
        <f>HYPERLINK("https://platform.v2.vetology.net/report/v/final/"&amp;2686245, 2686245)</f>
        <v>2686245</v>
      </c>
      <c r="D3930" s="2" t="s">
        <v>12319</v>
      </c>
      <c r="E3930" s="2" t="s">
        <v>12320</v>
      </c>
      <c r="F3930" s="2" t="s">
        <v>43</v>
      </c>
      <c r="G3930" s="2" t="s">
        <v>100</v>
      </c>
      <c r="H3930" s="2" t="s">
        <v>12321</v>
      </c>
      <c r="I3930" s="2" t="s">
        <v>73</v>
      </c>
      <c r="J3930" s="2" t="s">
        <v>74</v>
      </c>
      <c r="K3930" s="2" t="s">
        <v>38</v>
      </c>
      <c r="L3930" s="2" t="s">
        <v>38</v>
      </c>
      <c r="M3930" s="2" t="s">
        <v>38</v>
      </c>
      <c r="N3930" s="2" t="s">
        <v>38</v>
      </c>
      <c r="O3930" s="2" t="s">
        <v>38</v>
      </c>
      <c r="P3930" s="2" t="s">
        <v>38</v>
      </c>
      <c r="Q3930" s="2" t="s">
        <v>38</v>
      </c>
      <c r="R3930" s="2" t="s">
        <v>39</v>
      </c>
      <c r="S3930" s="2" t="s">
        <v>38</v>
      </c>
      <c r="T3930" s="2" t="s">
        <v>38</v>
      </c>
      <c r="U3930" s="2" t="s">
        <v>38</v>
      </c>
      <c r="V3930" s="2" t="s">
        <v>38</v>
      </c>
      <c r="W3930" s="2" t="s">
        <v>38</v>
      </c>
      <c r="X3930" s="2" t="s">
        <v>38</v>
      </c>
      <c r="Y3930" s="2" t="s">
        <v>39</v>
      </c>
      <c r="Z3930" s="2" t="s">
        <v>38</v>
      </c>
      <c r="AA3930" s="2" t="s">
        <v>38</v>
      </c>
      <c r="AB3930" s="2" t="s">
        <v>38</v>
      </c>
      <c r="AC3930" s="2" t="s">
        <v>38</v>
      </c>
      <c r="AD3930" s="2" t="s">
        <v>39</v>
      </c>
      <c r="AE3930" s="2" t="s">
        <v>39</v>
      </c>
    </row>
    <row r="3931" spans="1:31" ht="409.5">
      <c r="A3931" s="2">
        <v>2686240</v>
      </c>
      <c r="B3931" s="2">
        <f>HYPERLINK("https://platform.v2.vetology.net/cases/2686240/screening-report/1?type=pdf&amp;v=v6&amp;scorecard=1&amp;secret_key=BX%25IJ%24%2F65ieZ%29f6", 2686240)</f>
        <v>2686240</v>
      </c>
      <c r="C3931" s="2">
        <f>HYPERLINK("https://platform.v2.vetology.net/report/v/final/"&amp;2686240, 2686240)</f>
        <v>2686240</v>
      </c>
      <c r="D3931" s="2" t="s">
        <v>12322</v>
      </c>
      <c r="E3931" s="2" t="s">
        <v>12323</v>
      </c>
      <c r="F3931" s="2" t="s">
        <v>12324</v>
      </c>
      <c r="G3931" s="2" t="s">
        <v>127</v>
      </c>
      <c r="H3931" s="2" t="s">
        <v>12325</v>
      </c>
      <c r="I3931" s="2" t="s">
        <v>257</v>
      </c>
      <c r="J3931" s="2" t="s">
        <v>74</v>
      </c>
      <c r="K3931" s="2" t="s">
        <v>38</v>
      </c>
      <c r="L3931" s="2" t="s">
        <v>38</v>
      </c>
      <c r="M3931" s="2" t="s">
        <v>38</v>
      </c>
      <c r="N3931" s="2" t="s">
        <v>38</v>
      </c>
      <c r="O3931" s="2" t="s">
        <v>38</v>
      </c>
      <c r="P3931" s="2" t="s">
        <v>38</v>
      </c>
      <c r="Q3931" s="2" t="s">
        <v>38</v>
      </c>
      <c r="R3931" s="2" t="s">
        <v>38</v>
      </c>
      <c r="S3931" s="2" t="s">
        <v>38</v>
      </c>
      <c r="T3931" s="2" t="s">
        <v>38</v>
      </c>
      <c r="U3931" s="2" t="s">
        <v>38</v>
      </c>
      <c r="V3931" s="2" t="s">
        <v>38</v>
      </c>
      <c r="W3931" s="2" t="s">
        <v>38</v>
      </c>
      <c r="X3931" s="2" t="s">
        <v>38</v>
      </c>
      <c r="Y3931" s="2" t="s">
        <v>38</v>
      </c>
      <c r="Z3931" s="2" t="s">
        <v>38</v>
      </c>
      <c r="AA3931" s="2" t="s">
        <v>38</v>
      </c>
      <c r="AB3931" s="2" t="s">
        <v>38</v>
      </c>
      <c r="AC3931" s="2" t="s">
        <v>38</v>
      </c>
      <c r="AD3931" s="2" t="s">
        <v>38</v>
      </c>
      <c r="AE3931" s="2" t="s">
        <v>40</v>
      </c>
    </row>
    <row r="3932" spans="1:31" ht="409.5">
      <c r="A3932" s="2">
        <v>2686230</v>
      </c>
      <c r="B3932" s="2">
        <f>HYPERLINK("https://platform.v2.vetology.net/cases/2686230/screening-report/1?type=pdf&amp;v=v6&amp;scorecard=1&amp;secret_key=BX%25IJ%24%2F65ieZ%29f6", 2686230)</f>
        <v>2686230</v>
      </c>
      <c r="C3932" s="2">
        <f>HYPERLINK("https://platform.v2.vetology.net/report/v/final/"&amp;2686230, 2686230)</f>
        <v>2686230</v>
      </c>
      <c r="D3932" s="2" t="s">
        <v>12326</v>
      </c>
      <c r="E3932" s="2" t="s">
        <v>99</v>
      </c>
      <c r="F3932" s="2"/>
      <c r="G3932" s="2" t="s">
        <v>100</v>
      </c>
      <c r="H3932" s="2" t="s">
        <v>10346</v>
      </c>
      <c r="I3932" s="2" t="s">
        <v>36</v>
      </c>
      <c r="J3932" s="2" t="s">
        <v>37</v>
      </c>
      <c r="K3932" s="2" t="s">
        <v>39</v>
      </c>
      <c r="L3932" s="2" t="s">
        <v>38</v>
      </c>
      <c r="M3932" s="2" t="s">
        <v>38</v>
      </c>
      <c r="N3932" s="2" t="s">
        <v>38</v>
      </c>
      <c r="O3932" s="2" t="s">
        <v>38</v>
      </c>
      <c r="P3932" s="2" t="s">
        <v>39</v>
      </c>
      <c r="Q3932" s="2" t="s">
        <v>39</v>
      </c>
      <c r="R3932" s="2" t="s">
        <v>38</v>
      </c>
      <c r="S3932" s="2" t="s">
        <v>38</v>
      </c>
      <c r="T3932" s="2" t="s">
        <v>38</v>
      </c>
      <c r="U3932" s="2" t="s">
        <v>39</v>
      </c>
      <c r="V3932" s="2" t="s">
        <v>39</v>
      </c>
      <c r="W3932" s="2" t="s">
        <v>38</v>
      </c>
      <c r="X3932" s="2" t="s">
        <v>39</v>
      </c>
      <c r="Y3932" s="2" t="s">
        <v>39</v>
      </c>
      <c r="Z3932" s="2" t="s">
        <v>38</v>
      </c>
      <c r="AA3932" s="2" t="s">
        <v>38</v>
      </c>
      <c r="AB3932" s="2" t="s">
        <v>39</v>
      </c>
      <c r="AC3932" s="2" t="s">
        <v>38</v>
      </c>
      <c r="AD3932" s="2" t="s">
        <v>38</v>
      </c>
      <c r="AE3932" s="2" t="s">
        <v>39</v>
      </c>
    </row>
    <row r="3933" spans="1:31" ht="409.5">
      <c r="A3933" s="2">
        <v>2686198</v>
      </c>
      <c r="B3933" s="2">
        <f>HYPERLINK("https://platform.v2.vetology.net/cases/2686198/screening-report/1?type=pdf&amp;v=v6&amp;scorecard=1&amp;secret_key=BX%25IJ%24%2F65ieZ%29f6", 2686198)</f>
        <v>2686198</v>
      </c>
      <c r="C3933" s="2">
        <f>HYPERLINK("https://platform.v2.vetology.net/report/v/final/"&amp;2686198, 2686198)</f>
        <v>2686198</v>
      </c>
      <c r="D3933" s="2" t="s">
        <v>12327</v>
      </c>
      <c r="E3933" s="2" t="s">
        <v>12328</v>
      </c>
      <c r="F3933" s="2" t="s">
        <v>43</v>
      </c>
      <c r="G3933" s="2" t="s">
        <v>100</v>
      </c>
      <c r="H3933" s="2" t="s">
        <v>12329</v>
      </c>
      <c r="I3933" s="2" t="s">
        <v>73</v>
      </c>
      <c r="J3933" s="2" t="s">
        <v>74</v>
      </c>
      <c r="K3933" s="2" t="s">
        <v>38</v>
      </c>
      <c r="L3933" s="2" t="s">
        <v>38</v>
      </c>
      <c r="M3933" s="2" t="s">
        <v>38</v>
      </c>
      <c r="N3933" s="2" t="s">
        <v>38</v>
      </c>
      <c r="O3933" s="2" t="s">
        <v>38</v>
      </c>
      <c r="P3933" s="2" t="s">
        <v>38</v>
      </c>
      <c r="Q3933" s="2" t="s">
        <v>38</v>
      </c>
      <c r="R3933" s="2" t="s">
        <v>38</v>
      </c>
      <c r="S3933" s="2" t="s">
        <v>38</v>
      </c>
      <c r="T3933" s="2" t="s">
        <v>38</v>
      </c>
      <c r="U3933" s="2" t="s">
        <v>38</v>
      </c>
      <c r="V3933" s="2" t="s">
        <v>38</v>
      </c>
      <c r="W3933" s="2" t="s">
        <v>38</v>
      </c>
      <c r="X3933" s="2" t="s">
        <v>38</v>
      </c>
      <c r="Y3933" s="2" t="s">
        <v>38</v>
      </c>
      <c r="Z3933" s="2" t="s">
        <v>38</v>
      </c>
      <c r="AA3933" s="2" t="s">
        <v>38</v>
      </c>
      <c r="AB3933" s="2" t="s">
        <v>38</v>
      </c>
      <c r="AC3933" s="2" t="s">
        <v>38</v>
      </c>
      <c r="AD3933" s="2" t="s">
        <v>38</v>
      </c>
      <c r="AE3933" s="2" t="s">
        <v>40</v>
      </c>
    </row>
    <row r="3934" spans="1:31" ht="409.5">
      <c r="A3934" s="2">
        <v>2686148</v>
      </c>
      <c r="B3934" s="2">
        <f>HYPERLINK("https://platform.v2.vetology.net/cases/2686148/screening-report/1?type=pdf&amp;v=v6&amp;scorecard=1&amp;secret_key=BX%25IJ%24%2F65ieZ%29f6", 2686148)</f>
        <v>2686148</v>
      </c>
      <c r="C3934" s="2">
        <f>HYPERLINK("https://platform.v2.vetology.net/report/v/final/"&amp;2686148, 2686148)</f>
        <v>2686148</v>
      </c>
      <c r="D3934" s="2" t="s">
        <v>12330</v>
      </c>
      <c r="E3934" s="2" t="s">
        <v>12331</v>
      </c>
      <c r="F3934" s="2" t="s">
        <v>12332</v>
      </c>
      <c r="G3934" s="2" t="s">
        <v>415</v>
      </c>
      <c r="H3934" s="2" t="s">
        <v>12333</v>
      </c>
      <c r="I3934" s="2" t="s">
        <v>36</v>
      </c>
      <c r="J3934" s="2" t="s">
        <v>37</v>
      </c>
      <c r="K3934" s="2" t="s">
        <v>39</v>
      </c>
      <c r="L3934" s="2" t="s">
        <v>38</v>
      </c>
      <c r="M3934" s="2" t="s">
        <v>38</v>
      </c>
      <c r="N3934" s="2" t="s">
        <v>38</v>
      </c>
      <c r="O3934" s="2" t="s">
        <v>38</v>
      </c>
      <c r="P3934" s="2" t="s">
        <v>39</v>
      </c>
      <c r="Q3934" s="2" t="s">
        <v>39</v>
      </c>
      <c r="R3934" s="2" t="s">
        <v>38</v>
      </c>
      <c r="S3934" s="2" t="s">
        <v>38</v>
      </c>
      <c r="T3934" s="2" t="s">
        <v>38</v>
      </c>
      <c r="U3934" s="2" t="s">
        <v>39</v>
      </c>
      <c r="V3934" s="2" t="s">
        <v>39</v>
      </c>
      <c r="W3934" s="2" t="s">
        <v>38</v>
      </c>
      <c r="X3934" s="2" t="s">
        <v>39</v>
      </c>
      <c r="Y3934" s="2" t="s">
        <v>39</v>
      </c>
      <c r="Z3934" s="2" t="s">
        <v>38</v>
      </c>
      <c r="AA3934" s="2" t="s">
        <v>38</v>
      </c>
      <c r="AB3934" s="2" t="s">
        <v>39</v>
      </c>
      <c r="AC3934" s="2" t="s">
        <v>38</v>
      </c>
      <c r="AD3934" s="2" t="s">
        <v>38</v>
      </c>
      <c r="AE3934" s="2" t="s">
        <v>39</v>
      </c>
    </row>
    <row r="3935" spans="1:31" ht="409.5">
      <c r="A3935" s="2">
        <v>2686129</v>
      </c>
      <c r="B3935" s="2">
        <f>HYPERLINK("https://platform.v2.vetology.net/cases/2686129/screening-report/1?type=pdf&amp;v=v6&amp;scorecard=1&amp;secret_key=BX%25IJ%24%2F65ieZ%29f6", 2686129)</f>
        <v>2686129</v>
      </c>
      <c r="C3935" s="2">
        <f>HYPERLINK("https://platform.v2.vetology.net/report/v/final/"&amp;2686129, 2686129)</f>
        <v>2686129</v>
      </c>
      <c r="D3935" s="2" t="s">
        <v>12334</v>
      </c>
      <c r="E3935" s="2" t="s">
        <v>12335</v>
      </c>
      <c r="F3935" s="2" t="s">
        <v>12336</v>
      </c>
      <c r="G3935" s="2" t="s">
        <v>415</v>
      </c>
      <c r="H3935" s="2" t="s">
        <v>12337</v>
      </c>
      <c r="I3935" s="2" t="s">
        <v>36</v>
      </c>
      <c r="J3935" s="2" t="s">
        <v>37</v>
      </c>
      <c r="K3935" s="2" t="s">
        <v>39</v>
      </c>
      <c r="L3935" s="2" t="s">
        <v>39</v>
      </c>
      <c r="M3935" s="2" t="s">
        <v>39</v>
      </c>
      <c r="N3935" s="2" t="s">
        <v>39</v>
      </c>
      <c r="O3935" s="2" t="s">
        <v>39</v>
      </c>
      <c r="P3935" s="2" t="s">
        <v>38</v>
      </c>
      <c r="Q3935" s="2" t="s">
        <v>39</v>
      </c>
      <c r="R3935" s="2" t="s">
        <v>38</v>
      </c>
      <c r="S3935" s="2" t="s">
        <v>38</v>
      </c>
      <c r="T3935" s="2" t="s">
        <v>39</v>
      </c>
      <c r="U3935" s="2" t="s">
        <v>39</v>
      </c>
      <c r="V3935" s="2" t="s">
        <v>39</v>
      </c>
      <c r="W3935" s="2" t="s">
        <v>38</v>
      </c>
      <c r="X3935" s="2" t="s">
        <v>39</v>
      </c>
      <c r="Y3935" s="2" t="s">
        <v>39</v>
      </c>
      <c r="Z3935" s="2" t="s">
        <v>39</v>
      </c>
      <c r="AA3935" s="2" t="s">
        <v>38</v>
      </c>
      <c r="AB3935" s="2" t="s">
        <v>39</v>
      </c>
      <c r="AC3935" s="2" t="s">
        <v>38</v>
      </c>
      <c r="AD3935" s="2" t="s">
        <v>38</v>
      </c>
      <c r="AE3935" s="2"/>
    </row>
    <row r="3936" spans="1:31" ht="409.5">
      <c r="A3936" s="2">
        <v>2686111</v>
      </c>
      <c r="B3936" s="2">
        <f>HYPERLINK("https://platform.v2.vetology.net/cases/2686111/screening-report/1?type=pdf&amp;v=v6&amp;scorecard=1&amp;secret_key=BX%25IJ%24%2F65ieZ%29f6", 2686111)</f>
        <v>2686111</v>
      </c>
      <c r="C3936" s="2">
        <f>HYPERLINK("https://platform.v2.vetology.net/report/v/final/"&amp;2686111, 2686111)</f>
        <v>2686111</v>
      </c>
      <c r="D3936" s="2" t="s">
        <v>12338</v>
      </c>
      <c r="E3936" s="2" t="s">
        <v>12339</v>
      </c>
      <c r="F3936" s="2" t="s">
        <v>12340</v>
      </c>
      <c r="G3936" s="2" t="s">
        <v>145</v>
      </c>
      <c r="H3936" s="2" t="s">
        <v>45</v>
      </c>
      <c r="I3936" s="2" t="s">
        <v>46</v>
      </c>
      <c r="J3936" s="2"/>
      <c r="K3936" s="2" t="s">
        <v>39</v>
      </c>
      <c r="L3936" s="2" t="s">
        <v>39</v>
      </c>
      <c r="M3936" s="2" t="s">
        <v>39</v>
      </c>
      <c r="N3936" s="2" t="s">
        <v>39</v>
      </c>
      <c r="O3936" s="2" t="s">
        <v>39</v>
      </c>
      <c r="P3936" s="2" t="s">
        <v>39</v>
      </c>
      <c r="Q3936" s="2" t="s">
        <v>39</v>
      </c>
      <c r="R3936" s="2" t="s">
        <v>38</v>
      </c>
      <c r="S3936" s="2" t="s">
        <v>39</v>
      </c>
      <c r="T3936" s="2" t="s">
        <v>39</v>
      </c>
      <c r="U3936" s="2" t="s">
        <v>39</v>
      </c>
      <c r="V3936" s="2" t="s">
        <v>39</v>
      </c>
      <c r="W3936" s="2" t="s">
        <v>39</v>
      </c>
      <c r="X3936" s="2" t="s">
        <v>39</v>
      </c>
      <c r="Y3936" s="2" t="s">
        <v>39</v>
      </c>
      <c r="Z3936" s="2" t="s">
        <v>38</v>
      </c>
      <c r="AA3936" s="2" t="s">
        <v>39</v>
      </c>
      <c r="AB3936" s="2" t="s">
        <v>39</v>
      </c>
      <c r="AC3936" s="2" t="s">
        <v>38</v>
      </c>
      <c r="AD3936" s="2" t="s">
        <v>38</v>
      </c>
      <c r="AE3936" s="2" t="s">
        <v>39</v>
      </c>
    </row>
    <row r="3937" spans="1:31" ht="409.5">
      <c r="A3937" s="2">
        <v>2686086</v>
      </c>
      <c r="B3937" s="2">
        <f>HYPERLINK("https://platform.v2.vetology.net/cases/2686086/screening-report/1?type=pdf&amp;v=v6&amp;scorecard=1&amp;secret_key=BX%25IJ%24%2F65ieZ%29f6", 2686086)</f>
        <v>2686086</v>
      </c>
      <c r="C3937" s="2">
        <f>HYPERLINK("https://platform.v2.vetology.net/report/v/final/"&amp;2686086, 2686086)</f>
        <v>2686086</v>
      </c>
      <c r="D3937" s="2" t="s">
        <v>12341</v>
      </c>
      <c r="E3937" s="2" t="s">
        <v>12342</v>
      </c>
      <c r="F3937" s="2" t="s">
        <v>2226</v>
      </c>
      <c r="G3937" s="2" t="s">
        <v>100</v>
      </c>
      <c r="H3937" s="2" t="s">
        <v>2180</v>
      </c>
      <c r="I3937" s="2" t="s">
        <v>36</v>
      </c>
      <c r="J3937" s="2" t="s">
        <v>37</v>
      </c>
      <c r="K3937" s="2" t="s">
        <v>38</v>
      </c>
      <c r="L3937" s="2" t="s">
        <v>39</v>
      </c>
      <c r="M3937" s="2" t="s">
        <v>39</v>
      </c>
      <c r="N3937" s="2" t="s">
        <v>38</v>
      </c>
      <c r="O3937" s="2" t="s">
        <v>38</v>
      </c>
      <c r="P3937" s="2" t="s">
        <v>39</v>
      </c>
      <c r="Q3937" s="2" t="s">
        <v>39</v>
      </c>
      <c r="R3937" s="2" t="s">
        <v>38</v>
      </c>
      <c r="S3937" s="2" t="s">
        <v>39</v>
      </c>
      <c r="T3937" s="2" t="s">
        <v>39</v>
      </c>
      <c r="U3937" s="2" t="s">
        <v>38</v>
      </c>
      <c r="V3937" s="2" t="s">
        <v>38</v>
      </c>
      <c r="W3937" s="2" t="s">
        <v>38</v>
      </c>
      <c r="X3937" s="2" t="s">
        <v>39</v>
      </c>
      <c r="Y3937" s="2" t="s">
        <v>39</v>
      </c>
      <c r="Z3937" s="2" t="s">
        <v>39</v>
      </c>
      <c r="AA3937" s="2" t="s">
        <v>38</v>
      </c>
      <c r="AB3937" s="2" t="s">
        <v>39</v>
      </c>
      <c r="AC3937" s="2" t="s">
        <v>38</v>
      </c>
      <c r="AD3937" s="2" t="s">
        <v>38</v>
      </c>
      <c r="AE3937" s="2"/>
    </row>
    <row r="3938" spans="1:31" ht="409.5">
      <c r="A3938" s="2">
        <v>2686014</v>
      </c>
      <c r="B3938" s="2">
        <f>HYPERLINK("https://platform.v2.vetology.net/cases/2686014/screening-report/1?type=pdf&amp;v=v6&amp;scorecard=1&amp;secret_key=BX%25IJ%24%2F65ieZ%29f6", 2686014)</f>
        <v>2686014</v>
      </c>
      <c r="C3938" s="2">
        <f>HYPERLINK("https://platform.v2.vetology.net/report/v/final/"&amp;2686014, 2686014)</f>
        <v>2686014</v>
      </c>
      <c r="D3938" s="2" t="s">
        <v>12343</v>
      </c>
      <c r="E3938" s="2" t="s">
        <v>12344</v>
      </c>
      <c r="F3938" s="2" t="s">
        <v>43</v>
      </c>
      <c r="G3938" s="2" t="s">
        <v>507</v>
      </c>
      <c r="H3938" s="2" t="s">
        <v>797</v>
      </c>
      <c r="I3938" s="2" t="s">
        <v>59</v>
      </c>
      <c r="J3938" s="2" t="s">
        <v>37</v>
      </c>
      <c r="K3938" s="2" t="s">
        <v>38</v>
      </c>
      <c r="L3938" s="2" t="s">
        <v>39</v>
      </c>
      <c r="M3938" s="2" t="s">
        <v>39</v>
      </c>
      <c r="N3938" s="2" t="s">
        <v>39</v>
      </c>
      <c r="O3938" s="2" t="s">
        <v>39</v>
      </c>
      <c r="P3938" s="2" t="s">
        <v>39</v>
      </c>
      <c r="Q3938" s="2" t="s">
        <v>39</v>
      </c>
      <c r="R3938" s="2" t="s">
        <v>38</v>
      </c>
      <c r="S3938" s="2" t="s">
        <v>39</v>
      </c>
      <c r="T3938" s="2" t="s">
        <v>38</v>
      </c>
      <c r="U3938" s="2" t="s">
        <v>39</v>
      </c>
      <c r="V3938" s="2" t="s">
        <v>38</v>
      </c>
      <c r="W3938" s="2" t="s">
        <v>38</v>
      </c>
      <c r="X3938" s="2" t="s">
        <v>39</v>
      </c>
      <c r="Y3938" s="2" t="s">
        <v>39</v>
      </c>
      <c r="Z3938" s="2" t="s">
        <v>38</v>
      </c>
      <c r="AA3938" s="2" t="s">
        <v>39</v>
      </c>
      <c r="AB3938" s="2" t="s">
        <v>39</v>
      </c>
      <c r="AC3938" s="2" t="s">
        <v>38</v>
      </c>
      <c r="AD3938" s="2" t="s">
        <v>39</v>
      </c>
      <c r="AE3938" s="2" t="s">
        <v>39</v>
      </c>
    </row>
    <row r="3939" spans="1:31" ht="409.5">
      <c r="A3939" s="2">
        <v>2685993</v>
      </c>
      <c r="B3939" s="2">
        <f>HYPERLINK("https://platform.v2.vetology.net/cases/2685993/screening-report/1?type=pdf&amp;v=v6&amp;scorecard=1&amp;secret_key=BX%25IJ%24%2F65ieZ%29f6", 2685993)</f>
        <v>2685993</v>
      </c>
      <c r="C3939" s="2">
        <f>HYPERLINK("https://platform.v2.vetology.net/report/v/final/"&amp;2685993, 2685993)</f>
        <v>2685993</v>
      </c>
      <c r="D3939" s="2" t="s">
        <v>12345</v>
      </c>
      <c r="E3939" s="2" t="s">
        <v>12346</v>
      </c>
      <c r="F3939" s="2" t="s">
        <v>12347</v>
      </c>
      <c r="G3939" s="2" t="s">
        <v>170</v>
      </c>
      <c r="H3939" s="2" t="s">
        <v>12348</v>
      </c>
      <c r="I3939" s="2" t="s">
        <v>129</v>
      </c>
      <c r="J3939" s="2" t="s">
        <v>74</v>
      </c>
      <c r="K3939" s="2" t="s">
        <v>39</v>
      </c>
      <c r="L3939" s="2" t="s">
        <v>39</v>
      </c>
      <c r="M3939" s="2" t="s">
        <v>39</v>
      </c>
      <c r="N3939" s="2" t="s">
        <v>39</v>
      </c>
      <c r="O3939" s="2" t="s">
        <v>39</v>
      </c>
      <c r="P3939" s="2" t="s">
        <v>38</v>
      </c>
      <c r="Q3939" s="2" t="s">
        <v>38</v>
      </c>
      <c r="R3939" s="2" t="s">
        <v>39</v>
      </c>
      <c r="S3939" s="2" t="s">
        <v>39</v>
      </c>
      <c r="T3939" s="2" t="s">
        <v>38</v>
      </c>
      <c r="U3939" s="2" t="s">
        <v>39</v>
      </c>
      <c r="V3939" s="2" t="s">
        <v>39</v>
      </c>
      <c r="W3939" s="2" t="s">
        <v>39</v>
      </c>
      <c r="X3939" s="2" t="s">
        <v>38</v>
      </c>
      <c r="Y3939" s="2" t="s">
        <v>39</v>
      </c>
      <c r="Z3939" s="2" t="s">
        <v>39</v>
      </c>
      <c r="AA3939" s="2" t="s">
        <v>39</v>
      </c>
      <c r="AB3939" s="2" t="s">
        <v>39</v>
      </c>
      <c r="AC3939" s="2" t="s">
        <v>39</v>
      </c>
      <c r="AD3939" s="2" t="s">
        <v>39</v>
      </c>
      <c r="AE3939" s="2"/>
    </row>
    <row r="3940" spans="1:31" ht="409.5">
      <c r="A3940" s="2">
        <v>2685961</v>
      </c>
      <c r="B3940" s="2">
        <f>HYPERLINK("https://platform.v2.vetology.net/cases/2685961/screening-report/1?type=pdf&amp;v=v6&amp;scorecard=1&amp;secret_key=BX%25IJ%24%2F65ieZ%29f6", 2685961)</f>
        <v>2685961</v>
      </c>
      <c r="C3940" s="2">
        <f>HYPERLINK("https://platform.v2.vetology.net/report/v/final/"&amp;2685961, 2685961)</f>
        <v>2685961</v>
      </c>
      <c r="D3940" s="2" t="s">
        <v>12349</v>
      </c>
      <c r="E3940" s="2" t="s">
        <v>12350</v>
      </c>
      <c r="F3940" s="2" t="s">
        <v>43</v>
      </c>
      <c r="G3940" s="2" t="s">
        <v>100</v>
      </c>
      <c r="H3940" s="2" t="s">
        <v>12351</v>
      </c>
      <c r="I3940" s="2" t="s">
        <v>73</v>
      </c>
      <c r="J3940" s="2" t="s">
        <v>74</v>
      </c>
      <c r="K3940" s="2" t="s">
        <v>38</v>
      </c>
      <c r="L3940" s="2" t="s">
        <v>38</v>
      </c>
      <c r="M3940" s="2" t="s">
        <v>38</v>
      </c>
      <c r="N3940" s="2" t="s">
        <v>38</v>
      </c>
      <c r="O3940" s="2" t="s">
        <v>39</v>
      </c>
      <c r="P3940" s="2" t="s">
        <v>38</v>
      </c>
      <c r="Q3940" s="2" t="s">
        <v>38</v>
      </c>
      <c r="R3940" s="2" t="s">
        <v>38</v>
      </c>
      <c r="S3940" s="2" t="s">
        <v>38</v>
      </c>
      <c r="T3940" s="2" t="s">
        <v>38</v>
      </c>
      <c r="U3940" s="2" t="s">
        <v>39</v>
      </c>
      <c r="V3940" s="2" t="s">
        <v>39</v>
      </c>
      <c r="W3940" s="2" t="s">
        <v>38</v>
      </c>
      <c r="X3940" s="2" t="s">
        <v>38</v>
      </c>
      <c r="Y3940" s="2" t="s">
        <v>39</v>
      </c>
      <c r="Z3940" s="2" t="s">
        <v>38</v>
      </c>
      <c r="AA3940" s="2" t="s">
        <v>38</v>
      </c>
      <c r="AB3940" s="2" t="s">
        <v>38</v>
      </c>
      <c r="AC3940" s="2" t="s">
        <v>38</v>
      </c>
      <c r="AD3940" s="2" t="s">
        <v>38</v>
      </c>
      <c r="AE3940" s="2" t="s">
        <v>40</v>
      </c>
    </row>
    <row r="3941" spans="1:31" ht="409.5">
      <c r="A3941" s="2">
        <v>2685893</v>
      </c>
      <c r="B3941" s="2">
        <f>HYPERLINK("https://platform.v2.vetology.net/cases/2685893/screening-report/1?type=pdf&amp;v=v6&amp;scorecard=1&amp;secret_key=BX%25IJ%24%2F65ieZ%29f6", 2685893)</f>
        <v>2685893</v>
      </c>
      <c r="C3941" s="2">
        <f>HYPERLINK("https://platform.v2.vetology.net/report/v/final/"&amp;2685893, 2685893)</f>
        <v>2685893</v>
      </c>
      <c r="D3941" s="2" t="s">
        <v>12352</v>
      </c>
      <c r="E3941" s="2" t="s">
        <v>5725</v>
      </c>
      <c r="F3941" s="2" t="s">
        <v>990</v>
      </c>
      <c r="G3941" s="2" t="s">
        <v>100</v>
      </c>
      <c r="H3941" s="2" t="s">
        <v>69</v>
      </c>
      <c r="I3941" s="2" t="s">
        <v>46</v>
      </c>
      <c r="J3941" s="2"/>
      <c r="K3941" s="2" t="s">
        <v>39</v>
      </c>
      <c r="L3941" s="2" t="s">
        <v>39</v>
      </c>
      <c r="M3941" s="2" t="s">
        <v>39</v>
      </c>
      <c r="N3941" s="2" t="s">
        <v>39</v>
      </c>
      <c r="O3941" s="2" t="s">
        <v>39</v>
      </c>
      <c r="P3941" s="2" t="s">
        <v>39</v>
      </c>
      <c r="Q3941" s="2" t="s">
        <v>39</v>
      </c>
      <c r="R3941" s="2" t="s">
        <v>39</v>
      </c>
      <c r="S3941" s="2" t="s">
        <v>39</v>
      </c>
      <c r="T3941" s="2" t="s">
        <v>39</v>
      </c>
      <c r="U3941" s="2" t="s">
        <v>39</v>
      </c>
      <c r="V3941" s="2" t="s">
        <v>39</v>
      </c>
      <c r="W3941" s="2" t="s">
        <v>39</v>
      </c>
      <c r="X3941" s="2" t="s">
        <v>39</v>
      </c>
      <c r="Y3941" s="2" t="s">
        <v>39</v>
      </c>
      <c r="Z3941" s="2" t="s">
        <v>39</v>
      </c>
      <c r="AA3941" s="2" t="s">
        <v>39</v>
      </c>
      <c r="AB3941" s="2" t="s">
        <v>39</v>
      </c>
      <c r="AC3941" s="2" t="s">
        <v>38</v>
      </c>
      <c r="AD3941" s="2" t="s">
        <v>38</v>
      </c>
      <c r="AE3941" s="2" t="s">
        <v>39</v>
      </c>
    </row>
    <row r="3942" spans="1:31" ht="409.5">
      <c r="A3942" s="2">
        <v>2685871</v>
      </c>
      <c r="B3942" s="2">
        <f>HYPERLINK("https://platform.v2.vetology.net/cases/2685871/screening-report/1?type=pdf&amp;v=v6&amp;scorecard=1&amp;secret_key=BX%25IJ%24%2F65ieZ%29f6", 2685871)</f>
        <v>2685871</v>
      </c>
      <c r="C3942" s="2">
        <f>HYPERLINK("https://platform.v2.vetology.net/report/v/final/"&amp;2685871, 2685871)</f>
        <v>2685871</v>
      </c>
      <c r="D3942" s="2" t="s">
        <v>2599</v>
      </c>
      <c r="E3942" s="2" t="s">
        <v>12353</v>
      </c>
      <c r="F3942" s="2" t="s">
        <v>43</v>
      </c>
      <c r="G3942" s="2" t="s">
        <v>100</v>
      </c>
      <c r="H3942" s="2" t="s">
        <v>12354</v>
      </c>
      <c r="I3942" s="2" t="s">
        <v>129</v>
      </c>
      <c r="J3942" s="2" t="s">
        <v>74</v>
      </c>
      <c r="K3942" s="2" t="s">
        <v>39</v>
      </c>
      <c r="L3942" s="2" t="s">
        <v>38</v>
      </c>
      <c r="M3942" s="2" t="s">
        <v>38</v>
      </c>
      <c r="N3942" s="2" t="s">
        <v>38</v>
      </c>
      <c r="O3942" s="2" t="s">
        <v>38</v>
      </c>
      <c r="P3942" s="2" t="s">
        <v>38</v>
      </c>
      <c r="Q3942" s="2" t="s">
        <v>38</v>
      </c>
      <c r="R3942" s="2" t="s">
        <v>39</v>
      </c>
      <c r="S3942" s="2" t="s">
        <v>38</v>
      </c>
      <c r="T3942" s="2" t="s">
        <v>38</v>
      </c>
      <c r="U3942" s="2" t="s">
        <v>39</v>
      </c>
      <c r="V3942" s="2" t="s">
        <v>38</v>
      </c>
      <c r="W3942" s="2" t="s">
        <v>38</v>
      </c>
      <c r="X3942" s="2" t="s">
        <v>38</v>
      </c>
      <c r="Y3942" s="2" t="s">
        <v>38</v>
      </c>
      <c r="Z3942" s="2" t="s">
        <v>38</v>
      </c>
      <c r="AA3942" s="2" t="s">
        <v>38</v>
      </c>
      <c r="AB3942" s="2" t="s">
        <v>38</v>
      </c>
      <c r="AC3942" s="2" t="s">
        <v>38</v>
      </c>
      <c r="AD3942" s="2" t="s">
        <v>38</v>
      </c>
      <c r="AE3942" s="2" t="s">
        <v>40</v>
      </c>
    </row>
    <row r="3943" spans="1:31" ht="409.5">
      <c r="A3943" s="2">
        <v>2685850</v>
      </c>
      <c r="B3943" s="2">
        <f>HYPERLINK("https://platform.v2.vetology.net/cases/2685850/screening-report/1?type=pdf&amp;v=v6&amp;scorecard=1&amp;secret_key=BX%25IJ%24%2F65ieZ%29f6", 2685850)</f>
        <v>2685850</v>
      </c>
      <c r="C3943" s="2">
        <f>HYPERLINK("https://platform.v2.vetology.net/report/v/final/"&amp;2685850, 2685850)</f>
        <v>2685850</v>
      </c>
      <c r="D3943" s="2" t="s">
        <v>12355</v>
      </c>
      <c r="E3943" s="2" t="s">
        <v>12356</v>
      </c>
      <c r="F3943" s="2" t="s">
        <v>43</v>
      </c>
      <c r="G3943" s="2" t="s">
        <v>100</v>
      </c>
      <c r="H3943" s="2" t="s">
        <v>69</v>
      </c>
      <c r="I3943" s="2" t="s">
        <v>46</v>
      </c>
      <c r="J3943" s="2"/>
      <c r="K3943" s="2" t="s">
        <v>39</v>
      </c>
      <c r="L3943" s="2" t="s">
        <v>39</v>
      </c>
      <c r="M3943" s="2" t="s">
        <v>39</v>
      </c>
      <c r="N3943" s="2" t="s">
        <v>39</v>
      </c>
      <c r="O3943" s="2" t="s">
        <v>39</v>
      </c>
      <c r="P3943" s="2" t="s">
        <v>39</v>
      </c>
      <c r="Q3943" s="2" t="s">
        <v>39</v>
      </c>
      <c r="R3943" s="2" t="s">
        <v>39</v>
      </c>
      <c r="S3943" s="2" t="s">
        <v>39</v>
      </c>
      <c r="T3943" s="2" t="s">
        <v>39</v>
      </c>
      <c r="U3943" s="2" t="s">
        <v>38</v>
      </c>
      <c r="V3943" s="2" t="s">
        <v>39</v>
      </c>
      <c r="W3943" s="2" t="s">
        <v>38</v>
      </c>
      <c r="X3943" s="2" t="s">
        <v>39</v>
      </c>
      <c r="Y3943" s="2" t="s">
        <v>39</v>
      </c>
      <c r="Z3943" s="2" t="s">
        <v>39</v>
      </c>
      <c r="AA3943" s="2" t="s">
        <v>39</v>
      </c>
      <c r="AB3943" s="2" t="s">
        <v>39</v>
      </c>
      <c r="AC3943" s="2" t="s">
        <v>38</v>
      </c>
      <c r="AD3943" s="2" t="s">
        <v>38</v>
      </c>
      <c r="AE3943" s="2" t="s">
        <v>39</v>
      </c>
    </row>
    <row r="3944" spans="1:31" ht="409.5">
      <c r="A3944" s="2">
        <v>2685837</v>
      </c>
      <c r="B3944" s="2">
        <f>HYPERLINK("https://platform.v2.vetology.net/cases/2685837/screening-report/1?type=pdf&amp;v=v6&amp;scorecard=1&amp;secret_key=BX%25IJ%24%2F65ieZ%29f6", 2685837)</f>
        <v>2685837</v>
      </c>
      <c r="C3944" s="2">
        <f>HYPERLINK("https://platform.v2.vetology.net/report/v/final/"&amp;2685837, 2685837)</f>
        <v>2685837</v>
      </c>
      <c r="D3944" s="2" t="s">
        <v>12357</v>
      </c>
      <c r="E3944" s="2" t="s">
        <v>12358</v>
      </c>
      <c r="F3944" s="2" t="s">
        <v>43</v>
      </c>
      <c r="G3944" s="2" t="s">
        <v>100</v>
      </c>
      <c r="H3944" s="2" t="s">
        <v>69</v>
      </c>
      <c r="I3944" s="2" t="s">
        <v>46</v>
      </c>
      <c r="J3944" s="2"/>
      <c r="K3944" s="2" t="s">
        <v>39</v>
      </c>
      <c r="L3944" s="2" t="s">
        <v>39</v>
      </c>
      <c r="M3944" s="2" t="s">
        <v>39</v>
      </c>
      <c r="N3944" s="2" t="s">
        <v>39</v>
      </c>
      <c r="O3944" s="2" t="s">
        <v>39</v>
      </c>
      <c r="P3944" s="2" t="s">
        <v>39</v>
      </c>
      <c r="Q3944" s="2" t="s">
        <v>39</v>
      </c>
      <c r="R3944" s="2" t="s">
        <v>39</v>
      </c>
      <c r="S3944" s="2" t="s">
        <v>39</v>
      </c>
      <c r="T3944" s="2" t="s">
        <v>39</v>
      </c>
      <c r="U3944" s="2" t="s">
        <v>39</v>
      </c>
      <c r="V3944" s="2" t="s">
        <v>38</v>
      </c>
      <c r="W3944" s="2" t="s">
        <v>38</v>
      </c>
      <c r="X3944" s="2" t="s">
        <v>39</v>
      </c>
      <c r="Y3944" s="2" t="s">
        <v>39</v>
      </c>
      <c r="Z3944" s="2" t="s">
        <v>39</v>
      </c>
      <c r="AA3944" s="2" t="s">
        <v>39</v>
      </c>
      <c r="AB3944" s="2" t="s">
        <v>39</v>
      </c>
      <c r="AC3944" s="2" t="s">
        <v>39</v>
      </c>
      <c r="AD3944" s="2" t="s">
        <v>39</v>
      </c>
      <c r="AE3944" s="2" t="s">
        <v>39</v>
      </c>
    </row>
    <row r="3945" spans="1:31" ht="409.5">
      <c r="A3945" s="2">
        <v>2685767</v>
      </c>
      <c r="B3945" s="2">
        <f>HYPERLINK("https://platform.v2.vetology.net/cases/2685767/screening-report/1?type=pdf&amp;v=v6&amp;scorecard=1&amp;secret_key=BX%25IJ%24%2F65ieZ%29f6", 2685767)</f>
        <v>2685767</v>
      </c>
      <c r="C3945" s="2">
        <f>HYPERLINK("https://platform.v2.vetology.net/report/v/final/"&amp;2685767, 2685767)</f>
        <v>2685767</v>
      </c>
      <c r="D3945" s="2" t="s">
        <v>12359</v>
      </c>
      <c r="E3945" s="2" t="s">
        <v>12360</v>
      </c>
      <c r="F3945" s="2"/>
      <c r="G3945" s="2" t="s">
        <v>81</v>
      </c>
      <c r="H3945" s="2" t="s">
        <v>5589</v>
      </c>
      <c r="I3945" s="2" t="s">
        <v>36</v>
      </c>
      <c r="J3945" s="2" t="s">
        <v>37</v>
      </c>
      <c r="K3945" s="2" t="s">
        <v>38</v>
      </c>
      <c r="L3945" s="2" t="s">
        <v>38</v>
      </c>
      <c r="M3945" s="2" t="s">
        <v>39</v>
      </c>
      <c r="N3945" s="2" t="s">
        <v>38</v>
      </c>
      <c r="O3945" s="2" t="s">
        <v>38</v>
      </c>
      <c r="P3945" s="2" t="s">
        <v>39</v>
      </c>
      <c r="Q3945" s="2" t="s">
        <v>39</v>
      </c>
      <c r="R3945" s="2" t="s">
        <v>39</v>
      </c>
      <c r="S3945" s="2" t="s">
        <v>38</v>
      </c>
      <c r="T3945" s="2" t="s">
        <v>39</v>
      </c>
      <c r="U3945" s="2" t="s">
        <v>38</v>
      </c>
      <c r="V3945" s="2" t="s">
        <v>38</v>
      </c>
      <c r="W3945" s="2" t="s">
        <v>38</v>
      </c>
      <c r="X3945" s="2" t="s">
        <v>39</v>
      </c>
      <c r="Y3945" s="2" t="s">
        <v>39</v>
      </c>
      <c r="Z3945" s="2" t="s">
        <v>38</v>
      </c>
      <c r="AA3945" s="2" t="s">
        <v>38</v>
      </c>
      <c r="AB3945" s="2" t="s">
        <v>39</v>
      </c>
      <c r="AC3945" s="2" t="s">
        <v>38</v>
      </c>
      <c r="AD3945" s="2" t="s">
        <v>38</v>
      </c>
      <c r="AE3945" s="2" t="s">
        <v>39</v>
      </c>
    </row>
    <row r="3946" spans="1:31" ht="409.5">
      <c r="A3946" s="2">
        <v>2685750</v>
      </c>
      <c r="B3946" s="2">
        <f>HYPERLINK("https://platform.v2.vetology.net/cases/2685750/screening-report/1?type=pdf&amp;v=v6&amp;scorecard=1&amp;secret_key=BX%25IJ%24%2F65ieZ%29f6", 2685750)</f>
        <v>2685750</v>
      </c>
      <c r="C3946" s="2">
        <f>HYPERLINK("https://platform.v2.vetology.net/report/v/final/"&amp;2685750, 2685750)</f>
        <v>2685750</v>
      </c>
      <c r="D3946" s="2" t="s">
        <v>12361</v>
      </c>
      <c r="E3946" s="2" t="s">
        <v>12362</v>
      </c>
      <c r="F3946" s="2" t="s">
        <v>12363</v>
      </c>
      <c r="G3946" s="2" t="s">
        <v>127</v>
      </c>
      <c r="H3946" s="2" t="s">
        <v>8705</v>
      </c>
      <c r="I3946" s="2" t="s">
        <v>36</v>
      </c>
      <c r="J3946" s="2" t="s">
        <v>37</v>
      </c>
      <c r="K3946" s="2" t="s">
        <v>39</v>
      </c>
      <c r="L3946" s="2" t="s">
        <v>39</v>
      </c>
      <c r="M3946" s="2" t="s">
        <v>38</v>
      </c>
      <c r="N3946" s="2" t="s">
        <v>39</v>
      </c>
      <c r="O3946" s="2" t="s">
        <v>39</v>
      </c>
      <c r="P3946" s="2" t="s">
        <v>39</v>
      </c>
      <c r="Q3946" s="2" t="s">
        <v>39</v>
      </c>
      <c r="R3946" s="2" t="s">
        <v>38</v>
      </c>
      <c r="S3946" s="2" t="s">
        <v>38</v>
      </c>
      <c r="T3946" s="2" t="s">
        <v>38</v>
      </c>
      <c r="U3946" s="2" t="s">
        <v>39</v>
      </c>
      <c r="V3946" s="2" t="s">
        <v>39</v>
      </c>
      <c r="W3946" s="2" t="s">
        <v>39</v>
      </c>
      <c r="X3946" s="2" t="s">
        <v>39</v>
      </c>
      <c r="Y3946" s="2" t="s">
        <v>39</v>
      </c>
      <c r="Z3946" s="2" t="s">
        <v>38</v>
      </c>
      <c r="AA3946" s="2" t="s">
        <v>39</v>
      </c>
      <c r="AB3946" s="2" t="s">
        <v>39</v>
      </c>
      <c r="AC3946" s="2" t="s">
        <v>39</v>
      </c>
      <c r="AD3946" s="2" t="s">
        <v>38</v>
      </c>
      <c r="AE3946" s="2" t="s">
        <v>39</v>
      </c>
    </row>
    <row r="3947" spans="1:31" ht="409.5">
      <c r="A3947" s="2">
        <v>2685729</v>
      </c>
      <c r="B3947" s="2">
        <f>HYPERLINK("https://platform.v2.vetology.net/cases/2685729/screening-report/1?type=pdf&amp;v=v6&amp;scorecard=1&amp;secret_key=BX%25IJ%24%2F65ieZ%29f6", 2685729)</f>
        <v>2685729</v>
      </c>
      <c r="C3947" s="2">
        <f>HYPERLINK("https://platform.v2.vetology.net/report/v/final/"&amp;2685729, 2685729)</f>
        <v>2685729</v>
      </c>
      <c r="D3947" s="2" t="s">
        <v>12364</v>
      </c>
      <c r="E3947" s="2" t="s">
        <v>12365</v>
      </c>
      <c r="F3947" s="2" t="s">
        <v>43</v>
      </c>
      <c r="G3947" s="2" t="s">
        <v>44</v>
      </c>
      <c r="H3947" s="2" t="s">
        <v>394</v>
      </c>
      <c r="I3947" s="2" t="s">
        <v>59</v>
      </c>
      <c r="J3947" s="2" t="s">
        <v>37</v>
      </c>
      <c r="K3947" s="2" t="s">
        <v>38</v>
      </c>
      <c r="L3947" s="2" t="s">
        <v>39</v>
      </c>
      <c r="M3947" s="2" t="s">
        <v>39</v>
      </c>
      <c r="N3947" s="2" t="s">
        <v>39</v>
      </c>
      <c r="O3947" s="2" t="s">
        <v>39</v>
      </c>
      <c r="P3947" s="2" t="s">
        <v>39</v>
      </c>
      <c r="Q3947" s="2" t="s">
        <v>39</v>
      </c>
      <c r="R3947" s="2" t="s">
        <v>39</v>
      </c>
      <c r="S3947" s="2" t="s">
        <v>39</v>
      </c>
      <c r="T3947" s="2" t="s">
        <v>39</v>
      </c>
      <c r="U3947" s="2" t="s">
        <v>39</v>
      </c>
      <c r="V3947" s="2" t="s">
        <v>38</v>
      </c>
      <c r="W3947" s="2" t="s">
        <v>39</v>
      </c>
      <c r="X3947" s="2" t="s">
        <v>39</v>
      </c>
      <c r="Y3947" s="2" t="s">
        <v>39</v>
      </c>
      <c r="Z3947" s="2" t="s">
        <v>38</v>
      </c>
      <c r="AA3947" s="2" t="s">
        <v>39</v>
      </c>
      <c r="AB3947" s="2" t="s">
        <v>39</v>
      </c>
      <c r="AC3947" s="2" t="s">
        <v>39</v>
      </c>
      <c r="AD3947" s="2" t="s">
        <v>39</v>
      </c>
      <c r="AE3947" s="2" t="s">
        <v>39</v>
      </c>
    </row>
    <row r="3948" spans="1:31" ht="409.5">
      <c r="A3948" s="2">
        <v>2685697</v>
      </c>
      <c r="B3948" s="2">
        <f>HYPERLINK("https://platform.v2.vetology.net/cases/2685697/screening-report/1?type=pdf&amp;v=v6&amp;scorecard=1&amp;secret_key=BX%25IJ%24%2F65ieZ%29f6", 2685697)</f>
        <v>2685697</v>
      </c>
      <c r="C3948" s="2">
        <f>HYPERLINK("https://platform.v2.vetology.net/report/v/final/"&amp;2685697, 2685697)</f>
        <v>2685697</v>
      </c>
      <c r="D3948" s="2" t="s">
        <v>12366</v>
      </c>
      <c r="E3948" s="2" t="s">
        <v>12367</v>
      </c>
      <c r="F3948" s="2" t="s">
        <v>12368</v>
      </c>
      <c r="G3948" s="2" t="s">
        <v>53</v>
      </c>
      <c r="H3948" s="2" t="s">
        <v>6999</v>
      </c>
      <c r="I3948" s="2" t="s">
        <v>36</v>
      </c>
      <c r="J3948" s="2" t="s">
        <v>37</v>
      </c>
      <c r="K3948" s="2" t="s">
        <v>38</v>
      </c>
      <c r="L3948" s="2" t="s">
        <v>38</v>
      </c>
      <c r="M3948" s="2" t="s">
        <v>39</v>
      </c>
      <c r="N3948" s="2" t="s">
        <v>39</v>
      </c>
      <c r="O3948" s="2" t="s">
        <v>38</v>
      </c>
      <c r="P3948" s="2" t="s">
        <v>39</v>
      </c>
      <c r="Q3948" s="2" t="s">
        <v>39</v>
      </c>
      <c r="R3948" s="2" t="s">
        <v>38</v>
      </c>
      <c r="S3948" s="2" t="s">
        <v>38</v>
      </c>
      <c r="T3948" s="2" t="s">
        <v>39</v>
      </c>
      <c r="U3948" s="2" t="s">
        <v>38</v>
      </c>
      <c r="V3948" s="2" t="s">
        <v>38</v>
      </c>
      <c r="W3948" s="2" t="s">
        <v>39</v>
      </c>
      <c r="X3948" s="2" t="s">
        <v>39</v>
      </c>
      <c r="Y3948" s="2" t="s">
        <v>39</v>
      </c>
      <c r="Z3948" s="2" t="s">
        <v>38</v>
      </c>
      <c r="AA3948" s="2" t="s">
        <v>39</v>
      </c>
      <c r="AB3948" s="2" t="s">
        <v>39</v>
      </c>
      <c r="AC3948" s="2" t="s">
        <v>38</v>
      </c>
      <c r="AD3948" s="2" t="s">
        <v>38</v>
      </c>
      <c r="AE3948" s="2" t="s">
        <v>39</v>
      </c>
    </row>
    <row r="3949" spans="1:31" ht="409.5">
      <c r="A3949" s="2">
        <v>2685695</v>
      </c>
      <c r="B3949" s="2">
        <f>HYPERLINK("https://platform.v2.vetology.net/cases/2685695/screening-report/1?type=pdf&amp;v=v6&amp;scorecard=1&amp;secret_key=BX%25IJ%24%2F65ieZ%29f6", 2685695)</f>
        <v>2685695</v>
      </c>
      <c r="C3949" s="2">
        <f>HYPERLINK("https://platform.v2.vetology.net/report/v/final/"&amp;2685695, 2685695)</f>
        <v>2685695</v>
      </c>
      <c r="D3949" s="2" t="s">
        <v>12369</v>
      </c>
      <c r="E3949" s="2" t="s">
        <v>12370</v>
      </c>
      <c r="F3949" s="2" t="s">
        <v>12371</v>
      </c>
      <c r="G3949" s="2" t="s">
        <v>34</v>
      </c>
      <c r="H3949" s="2" t="s">
        <v>2034</v>
      </c>
      <c r="I3949" s="2" t="s">
        <v>36</v>
      </c>
      <c r="J3949" s="2" t="s">
        <v>37</v>
      </c>
      <c r="K3949" s="2" t="s">
        <v>38</v>
      </c>
      <c r="L3949" s="2" t="s">
        <v>38</v>
      </c>
      <c r="M3949" s="2" t="s">
        <v>39</v>
      </c>
      <c r="N3949" s="2" t="s">
        <v>38</v>
      </c>
      <c r="O3949" s="2" t="s">
        <v>38</v>
      </c>
      <c r="P3949" s="2" t="s">
        <v>39</v>
      </c>
      <c r="Q3949" s="2" t="s">
        <v>39</v>
      </c>
      <c r="R3949" s="2" t="s">
        <v>39</v>
      </c>
      <c r="S3949" s="2" t="s">
        <v>39</v>
      </c>
      <c r="T3949" s="2" t="s">
        <v>39</v>
      </c>
      <c r="U3949" s="2" t="s">
        <v>38</v>
      </c>
      <c r="V3949" s="2" t="s">
        <v>38</v>
      </c>
      <c r="W3949" s="2" t="s">
        <v>38</v>
      </c>
      <c r="X3949" s="2" t="s">
        <v>39</v>
      </c>
      <c r="Y3949" s="2" t="s">
        <v>39</v>
      </c>
      <c r="Z3949" s="2" t="s">
        <v>39</v>
      </c>
      <c r="AA3949" s="2" t="s">
        <v>38</v>
      </c>
      <c r="AB3949" s="2" t="s">
        <v>39</v>
      </c>
      <c r="AC3949" s="2" t="s">
        <v>38</v>
      </c>
      <c r="AD3949" s="2" t="s">
        <v>38</v>
      </c>
      <c r="AE3949" s="2" t="s">
        <v>39</v>
      </c>
    </row>
    <row r="3950" spans="1:31" ht="409.5">
      <c r="A3950" s="2">
        <v>2685685</v>
      </c>
      <c r="B3950" s="2">
        <f>HYPERLINK("https://platform.v2.vetology.net/cases/2685685/screening-report/1?type=pdf&amp;v=v6&amp;scorecard=1&amp;secret_key=BX%25IJ%24%2F65ieZ%29f6", 2685685)</f>
        <v>2685685</v>
      </c>
      <c r="C3950" s="2">
        <f>HYPERLINK("https://platform.v2.vetology.net/report/v/final/"&amp;2685685, 2685685)</f>
        <v>2685685</v>
      </c>
      <c r="D3950" s="2" t="s">
        <v>12372</v>
      </c>
      <c r="E3950" s="2" t="s">
        <v>12373</v>
      </c>
      <c r="F3950" s="2" t="s">
        <v>1817</v>
      </c>
      <c r="G3950" s="2" t="s">
        <v>507</v>
      </c>
      <c r="H3950" s="2" t="s">
        <v>69</v>
      </c>
      <c r="I3950" s="2" t="s">
        <v>46</v>
      </c>
      <c r="J3950" s="2"/>
      <c r="K3950" s="2" t="s">
        <v>39</v>
      </c>
      <c r="L3950" s="2" t="s">
        <v>39</v>
      </c>
      <c r="M3950" s="2" t="s">
        <v>39</v>
      </c>
      <c r="N3950" s="2" t="s">
        <v>39</v>
      </c>
      <c r="O3950" s="2" t="s">
        <v>39</v>
      </c>
      <c r="P3950" s="2" t="s">
        <v>39</v>
      </c>
      <c r="Q3950" s="2" t="s">
        <v>39</v>
      </c>
      <c r="R3950" s="2" t="s">
        <v>39</v>
      </c>
      <c r="S3950" s="2" t="s">
        <v>39</v>
      </c>
      <c r="T3950" s="2" t="s">
        <v>39</v>
      </c>
      <c r="U3950" s="2" t="s">
        <v>39</v>
      </c>
      <c r="V3950" s="2" t="s">
        <v>38</v>
      </c>
      <c r="W3950" s="2" t="s">
        <v>39</v>
      </c>
      <c r="X3950" s="2" t="s">
        <v>39</v>
      </c>
      <c r="Y3950" s="2" t="s">
        <v>39</v>
      </c>
      <c r="Z3950" s="2" t="s">
        <v>39</v>
      </c>
      <c r="AA3950" s="2" t="s">
        <v>39</v>
      </c>
      <c r="AB3950" s="2" t="s">
        <v>39</v>
      </c>
      <c r="AC3950" s="2" t="s">
        <v>39</v>
      </c>
      <c r="AD3950" s="2" t="s">
        <v>39</v>
      </c>
      <c r="AE3950" s="2" t="s">
        <v>40</v>
      </c>
    </row>
    <row r="3951" spans="1:31" ht="409.5">
      <c r="A3951" s="2">
        <v>2685681</v>
      </c>
      <c r="B3951" s="2">
        <f>HYPERLINK("https://platform.v2.vetology.net/cases/2685681/screening-report/1?type=pdf&amp;v=v6&amp;scorecard=1&amp;secret_key=BX%25IJ%24%2F65ieZ%29f6", 2685681)</f>
        <v>2685681</v>
      </c>
      <c r="C3951" s="2">
        <f>HYPERLINK("https://platform.v2.vetology.net/report/v/final/"&amp;2685681, 2685681)</f>
        <v>2685681</v>
      </c>
      <c r="D3951" s="2" t="s">
        <v>12374</v>
      </c>
      <c r="E3951" s="2" t="s">
        <v>12375</v>
      </c>
      <c r="F3951" s="2" t="s">
        <v>12376</v>
      </c>
      <c r="G3951" s="2" t="s">
        <v>34</v>
      </c>
      <c r="H3951" s="2" t="s">
        <v>797</v>
      </c>
      <c r="I3951" s="2" t="s">
        <v>59</v>
      </c>
      <c r="J3951" s="2" t="s">
        <v>37</v>
      </c>
      <c r="K3951" s="2" t="s">
        <v>38</v>
      </c>
      <c r="L3951" s="2" t="s">
        <v>39</v>
      </c>
      <c r="M3951" s="2" t="s">
        <v>39</v>
      </c>
      <c r="N3951" s="2" t="s">
        <v>39</v>
      </c>
      <c r="O3951" s="2" t="s">
        <v>39</v>
      </c>
      <c r="P3951" s="2" t="s">
        <v>39</v>
      </c>
      <c r="Q3951" s="2" t="s">
        <v>39</v>
      </c>
      <c r="R3951" s="2" t="s">
        <v>38</v>
      </c>
      <c r="S3951" s="2" t="s">
        <v>39</v>
      </c>
      <c r="T3951" s="2" t="s">
        <v>39</v>
      </c>
      <c r="U3951" s="2" t="s">
        <v>39</v>
      </c>
      <c r="V3951" s="2" t="s">
        <v>38</v>
      </c>
      <c r="W3951" s="2" t="s">
        <v>38</v>
      </c>
      <c r="X3951" s="2" t="s">
        <v>39</v>
      </c>
      <c r="Y3951" s="2" t="s">
        <v>39</v>
      </c>
      <c r="Z3951" s="2" t="s">
        <v>38</v>
      </c>
      <c r="AA3951" s="2" t="s">
        <v>39</v>
      </c>
      <c r="AB3951" s="2" t="s">
        <v>39</v>
      </c>
      <c r="AC3951" s="2" t="s">
        <v>39</v>
      </c>
      <c r="AD3951" s="2" t="s">
        <v>39</v>
      </c>
      <c r="AE3951" s="2" t="s">
        <v>39</v>
      </c>
    </row>
    <row r="3952" spans="1:31" ht="409.5">
      <c r="A3952" s="2">
        <v>2685670</v>
      </c>
      <c r="B3952" s="2">
        <f>HYPERLINK("https://platform.v2.vetology.net/cases/2685670/screening-report/1?type=pdf&amp;v=v6&amp;scorecard=1&amp;secret_key=BX%25IJ%24%2F65ieZ%29f6", 2685670)</f>
        <v>2685670</v>
      </c>
      <c r="C3952" s="2">
        <f>HYPERLINK("https://platform.v2.vetology.net/report/v/final/"&amp;2685670, 2685670)</f>
        <v>2685670</v>
      </c>
      <c r="D3952" s="2" t="s">
        <v>12377</v>
      </c>
      <c r="E3952" s="2" t="s">
        <v>12378</v>
      </c>
      <c r="F3952" s="2" t="s">
        <v>12379</v>
      </c>
      <c r="G3952" s="2" t="s">
        <v>127</v>
      </c>
      <c r="H3952" s="2" t="s">
        <v>7935</v>
      </c>
      <c r="I3952" s="2" t="s">
        <v>36</v>
      </c>
      <c r="J3952" s="2" t="s">
        <v>37</v>
      </c>
      <c r="K3952" s="2" t="s">
        <v>38</v>
      </c>
      <c r="L3952" s="2" t="s">
        <v>38</v>
      </c>
      <c r="M3952" s="2" t="s">
        <v>38</v>
      </c>
      <c r="N3952" s="2" t="s">
        <v>38</v>
      </c>
      <c r="O3952" s="2" t="s">
        <v>38</v>
      </c>
      <c r="P3952" s="2" t="s">
        <v>39</v>
      </c>
      <c r="Q3952" s="2" t="s">
        <v>39</v>
      </c>
      <c r="R3952" s="2" t="s">
        <v>38</v>
      </c>
      <c r="S3952" s="2" t="s">
        <v>38</v>
      </c>
      <c r="T3952" s="2" t="s">
        <v>39</v>
      </c>
      <c r="U3952" s="2" t="s">
        <v>38</v>
      </c>
      <c r="V3952" s="2" t="s">
        <v>38</v>
      </c>
      <c r="W3952" s="2" t="s">
        <v>38</v>
      </c>
      <c r="X3952" s="2" t="s">
        <v>38</v>
      </c>
      <c r="Y3952" s="2" t="s">
        <v>38</v>
      </c>
      <c r="Z3952" s="2" t="s">
        <v>38</v>
      </c>
      <c r="AA3952" s="2" t="s">
        <v>38</v>
      </c>
      <c r="AB3952" s="2" t="s">
        <v>39</v>
      </c>
      <c r="AC3952" s="2" t="s">
        <v>38</v>
      </c>
      <c r="AD3952" s="2" t="s">
        <v>38</v>
      </c>
      <c r="AE3952" s="2" t="s">
        <v>40</v>
      </c>
    </row>
    <row r="3953" spans="1:31" ht="409.5">
      <c r="A3953" s="2">
        <v>2685647</v>
      </c>
      <c r="B3953" s="2">
        <f>HYPERLINK("https://platform.v2.vetology.net/cases/2685647/screening-report/1?type=pdf&amp;v=v6&amp;scorecard=1&amp;secret_key=BX%25IJ%24%2F65ieZ%29f6", 2685647)</f>
        <v>2685647</v>
      </c>
      <c r="C3953" s="2">
        <f>HYPERLINK("https://platform.v2.vetology.net/report/v/final/"&amp;2685647, 2685647)</f>
        <v>2685647</v>
      </c>
      <c r="D3953" s="2" t="s">
        <v>12380</v>
      </c>
      <c r="E3953" s="2" t="s">
        <v>12381</v>
      </c>
      <c r="F3953" s="2" t="s">
        <v>12382</v>
      </c>
      <c r="G3953" s="2" t="s">
        <v>170</v>
      </c>
      <c r="H3953" s="2" t="s">
        <v>12383</v>
      </c>
      <c r="I3953" s="2" t="s">
        <v>129</v>
      </c>
      <c r="J3953" s="2" t="s">
        <v>74</v>
      </c>
      <c r="K3953" s="2" t="s">
        <v>38</v>
      </c>
      <c r="L3953" s="2" t="s">
        <v>38</v>
      </c>
      <c r="M3953" s="2" t="s">
        <v>38</v>
      </c>
      <c r="N3953" s="2" t="s">
        <v>38</v>
      </c>
      <c r="O3953" s="2" t="s">
        <v>38</v>
      </c>
      <c r="P3953" s="2" t="s">
        <v>38</v>
      </c>
      <c r="Q3953" s="2" t="s">
        <v>38</v>
      </c>
      <c r="R3953" s="2" t="s">
        <v>38</v>
      </c>
      <c r="S3953" s="2" t="s">
        <v>38</v>
      </c>
      <c r="T3953" s="2" t="s">
        <v>38</v>
      </c>
      <c r="U3953" s="2" t="s">
        <v>38</v>
      </c>
      <c r="V3953" s="2" t="s">
        <v>38</v>
      </c>
      <c r="W3953" s="2" t="s">
        <v>38</v>
      </c>
      <c r="X3953" s="2" t="s">
        <v>38</v>
      </c>
      <c r="Y3953" s="2" t="s">
        <v>38</v>
      </c>
      <c r="Z3953" s="2" t="s">
        <v>38</v>
      </c>
      <c r="AA3953" s="2" t="s">
        <v>38</v>
      </c>
      <c r="AB3953" s="2" t="s">
        <v>38</v>
      </c>
      <c r="AC3953" s="2" t="s">
        <v>38</v>
      </c>
      <c r="AD3953" s="2" t="s">
        <v>38</v>
      </c>
      <c r="AE3953" s="2"/>
    </row>
    <row r="3954" spans="1:31" ht="409.5">
      <c r="A3954" s="2">
        <v>2685609</v>
      </c>
      <c r="B3954" s="2">
        <f>HYPERLINK("https://platform.v2.vetology.net/cases/2685609/screening-report/1?type=pdf&amp;v=v6&amp;scorecard=1&amp;secret_key=BX%25IJ%24%2F65ieZ%29f6", 2685609)</f>
        <v>2685609</v>
      </c>
      <c r="C3954" s="2">
        <f>HYPERLINK("https://platform.v2.vetology.net/report/v/final/"&amp;2685609, 2685609)</f>
        <v>2685609</v>
      </c>
      <c r="D3954" s="2" t="s">
        <v>12384</v>
      </c>
      <c r="E3954" s="2" t="s">
        <v>12385</v>
      </c>
      <c r="F3954" s="2" t="s">
        <v>12386</v>
      </c>
      <c r="G3954" s="2" t="s">
        <v>34</v>
      </c>
      <c r="H3954" s="2" t="s">
        <v>12387</v>
      </c>
      <c r="I3954" s="2" t="s">
        <v>36</v>
      </c>
      <c r="J3954" s="2" t="s">
        <v>37</v>
      </c>
      <c r="K3954" s="2" t="s">
        <v>38</v>
      </c>
      <c r="L3954" s="2" t="s">
        <v>38</v>
      </c>
      <c r="M3954" s="2" t="s">
        <v>38</v>
      </c>
      <c r="N3954" s="2" t="s">
        <v>38</v>
      </c>
      <c r="O3954" s="2" t="s">
        <v>38</v>
      </c>
      <c r="P3954" s="2" t="s">
        <v>38</v>
      </c>
      <c r="Q3954" s="2" t="s">
        <v>39</v>
      </c>
      <c r="R3954" s="2" t="s">
        <v>39</v>
      </c>
      <c r="S3954" s="2" t="s">
        <v>39</v>
      </c>
      <c r="T3954" s="2" t="s">
        <v>38</v>
      </c>
      <c r="U3954" s="2" t="s">
        <v>39</v>
      </c>
      <c r="V3954" s="2" t="s">
        <v>39</v>
      </c>
      <c r="W3954" s="2" t="s">
        <v>38</v>
      </c>
      <c r="X3954" s="2" t="s">
        <v>38</v>
      </c>
      <c r="Y3954" s="2" t="s">
        <v>39</v>
      </c>
      <c r="Z3954" s="2" t="s">
        <v>39</v>
      </c>
      <c r="AA3954" s="2" t="s">
        <v>39</v>
      </c>
      <c r="AB3954" s="2" t="s">
        <v>39</v>
      </c>
      <c r="AC3954" s="2" t="s">
        <v>39</v>
      </c>
      <c r="AD3954" s="2" t="s">
        <v>38</v>
      </c>
      <c r="AE3954" s="2" t="s">
        <v>39</v>
      </c>
    </row>
    <row r="3955" spans="1:31" ht="409.5">
      <c r="A3955" s="2">
        <v>2685583</v>
      </c>
      <c r="B3955" s="2">
        <f>HYPERLINK("https://platform.v2.vetology.net/cases/2685583/screening-report/1?type=pdf&amp;v=v6&amp;scorecard=1&amp;secret_key=BX%25IJ%24%2F65ieZ%29f6", 2685583)</f>
        <v>2685583</v>
      </c>
      <c r="C3955" s="2">
        <f>HYPERLINK("https://platform.v2.vetology.net/report/v/final/"&amp;2685583, 2685583)</f>
        <v>2685583</v>
      </c>
      <c r="D3955" s="2" t="s">
        <v>12388</v>
      </c>
      <c r="E3955" s="2" t="s">
        <v>12389</v>
      </c>
      <c r="F3955" s="2" t="s">
        <v>43</v>
      </c>
      <c r="G3955" s="2" t="s">
        <v>507</v>
      </c>
      <c r="H3955" s="2" t="s">
        <v>12390</v>
      </c>
      <c r="I3955" s="2" t="s">
        <v>36</v>
      </c>
      <c r="J3955" s="2" t="s">
        <v>37</v>
      </c>
      <c r="K3955" s="2" t="s">
        <v>38</v>
      </c>
      <c r="L3955" s="2" t="s">
        <v>39</v>
      </c>
      <c r="M3955" s="2" t="s">
        <v>38</v>
      </c>
      <c r="N3955" s="2" t="s">
        <v>38</v>
      </c>
      <c r="O3955" s="2" t="s">
        <v>38</v>
      </c>
      <c r="P3955" s="2" t="s">
        <v>39</v>
      </c>
      <c r="Q3955" s="2" t="s">
        <v>39</v>
      </c>
      <c r="R3955" s="2" t="s">
        <v>39</v>
      </c>
      <c r="S3955" s="2" t="s">
        <v>38</v>
      </c>
      <c r="T3955" s="2" t="s">
        <v>39</v>
      </c>
      <c r="U3955" s="2" t="s">
        <v>38</v>
      </c>
      <c r="V3955" s="2" t="s">
        <v>38</v>
      </c>
      <c r="W3955" s="2" t="s">
        <v>38</v>
      </c>
      <c r="X3955" s="2" t="s">
        <v>39</v>
      </c>
      <c r="Y3955" s="2" t="s">
        <v>38</v>
      </c>
      <c r="Z3955" s="2" t="s">
        <v>39</v>
      </c>
      <c r="AA3955" s="2" t="s">
        <v>38</v>
      </c>
      <c r="AB3955" s="2" t="s">
        <v>39</v>
      </c>
      <c r="AC3955" s="2" t="s">
        <v>38</v>
      </c>
      <c r="AD3955" s="2" t="s">
        <v>39</v>
      </c>
      <c r="AE3955" s="2" t="s">
        <v>40</v>
      </c>
    </row>
    <row r="3956" spans="1:31" ht="409.5">
      <c r="A3956" s="2">
        <v>2685574</v>
      </c>
      <c r="B3956" s="2">
        <f>HYPERLINK("https://platform.v2.vetology.net/cases/2685574/screening-report/1?type=pdf&amp;v=v6&amp;scorecard=1&amp;secret_key=BX%25IJ%24%2F65ieZ%29f6", 2685574)</f>
        <v>2685574</v>
      </c>
      <c r="C3956" s="2">
        <f>HYPERLINK("https://platform.v2.vetology.net/report/v/final/"&amp;2685574, 2685574)</f>
        <v>2685574</v>
      </c>
      <c r="D3956" s="2" t="s">
        <v>12391</v>
      </c>
      <c r="E3956" s="2" t="s">
        <v>12392</v>
      </c>
      <c r="F3956" s="2" t="s">
        <v>12393</v>
      </c>
      <c r="G3956" s="2" t="s">
        <v>556</v>
      </c>
      <c r="H3956" s="2" t="s">
        <v>45</v>
      </c>
      <c r="I3956" s="2" t="s">
        <v>46</v>
      </c>
      <c r="J3956" s="2"/>
      <c r="K3956" s="2" t="s">
        <v>39</v>
      </c>
      <c r="L3956" s="2" t="s">
        <v>39</v>
      </c>
      <c r="M3956" s="2" t="s">
        <v>39</v>
      </c>
      <c r="N3956" s="2" t="s">
        <v>39</v>
      </c>
      <c r="O3956" s="2" t="s">
        <v>38</v>
      </c>
      <c r="P3956" s="2" t="s">
        <v>39</v>
      </c>
      <c r="Q3956" s="2" t="s">
        <v>39</v>
      </c>
      <c r="R3956" s="2" t="s">
        <v>38</v>
      </c>
      <c r="S3956" s="2" t="s">
        <v>39</v>
      </c>
      <c r="T3956" s="2" t="s">
        <v>39</v>
      </c>
      <c r="U3956" s="2" t="s">
        <v>39</v>
      </c>
      <c r="V3956" s="2" t="s">
        <v>39</v>
      </c>
      <c r="W3956" s="2" t="s">
        <v>39</v>
      </c>
      <c r="X3956" s="2" t="s">
        <v>39</v>
      </c>
      <c r="Y3956" s="2" t="s">
        <v>39</v>
      </c>
      <c r="Z3956" s="2" t="s">
        <v>39</v>
      </c>
      <c r="AA3956" s="2" t="s">
        <v>39</v>
      </c>
      <c r="AB3956" s="2" t="s">
        <v>39</v>
      </c>
      <c r="AC3956" s="2" t="s">
        <v>38</v>
      </c>
      <c r="AD3956" s="2" t="s">
        <v>39</v>
      </c>
      <c r="AE3956" s="2"/>
    </row>
    <row r="3957" spans="1:31" ht="409.5">
      <c r="A3957" s="2">
        <v>2685568</v>
      </c>
      <c r="B3957" s="2">
        <f>HYPERLINK("https://platform.v2.vetology.net/cases/2685568/screening-report/1?type=pdf&amp;v=v6&amp;scorecard=1&amp;secret_key=BX%25IJ%24%2F65ieZ%29f6", 2685568)</f>
        <v>2685568</v>
      </c>
      <c r="C3957" s="2">
        <f>HYPERLINK("https://platform.v2.vetology.net/report/v/final/"&amp;2685568, 2685568)</f>
        <v>2685568</v>
      </c>
      <c r="D3957" s="2" t="s">
        <v>12394</v>
      </c>
      <c r="E3957" s="2" t="s">
        <v>12395</v>
      </c>
      <c r="F3957" s="2" t="s">
        <v>43</v>
      </c>
      <c r="G3957" s="2" t="s">
        <v>507</v>
      </c>
      <c r="H3957" s="2" t="s">
        <v>500</v>
      </c>
      <c r="I3957" s="2" t="s">
        <v>36</v>
      </c>
      <c r="J3957" s="2" t="s">
        <v>37</v>
      </c>
      <c r="K3957" s="2" t="s">
        <v>39</v>
      </c>
      <c r="L3957" s="2" t="s">
        <v>38</v>
      </c>
      <c r="M3957" s="2" t="s">
        <v>38</v>
      </c>
      <c r="N3957" s="2" t="s">
        <v>38</v>
      </c>
      <c r="O3957" s="2" t="s">
        <v>38</v>
      </c>
      <c r="P3957" s="2" t="s">
        <v>38</v>
      </c>
      <c r="Q3957" s="2" t="s">
        <v>39</v>
      </c>
      <c r="R3957" s="2" t="s">
        <v>38</v>
      </c>
      <c r="S3957" s="2" t="s">
        <v>38</v>
      </c>
      <c r="T3957" s="2" t="s">
        <v>38</v>
      </c>
      <c r="U3957" s="2" t="s">
        <v>38</v>
      </c>
      <c r="V3957" s="2" t="s">
        <v>38</v>
      </c>
      <c r="W3957" s="2" t="s">
        <v>38</v>
      </c>
      <c r="X3957" s="2" t="s">
        <v>39</v>
      </c>
      <c r="Y3957" s="2" t="s">
        <v>38</v>
      </c>
      <c r="Z3957" s="2" t="s">
        <v>38</v>
      </c>
      <c r="AA3957" s="2" t="s">
        <v>38</v>
      </c>
      <c r="AB3957" s="2" t="s">
        <v>38</v>
      </c>
      <c r="AC3957" s="2" t="s">
        <v>38</v>
      </c>
      <c r="AD3957" s="2" t="s">
        <v>39</v>
      </c>
      <c r="AE3957" s="2" t="s">
        <v>40</v>
      </c>
    </row>
    <row r="3958" spans="1:31" ht="409.5">
      <c r="A3958" s="2">
        <v>2685566</v>
      </c>
      <c r="B3958" s="2">
        <f>HYPERLINK("https://platform.v2.vetology.net/cases/2685566/screening-report/1?type=pdf&amp;v=v6&amp;scorecard=1&amp;secret_key=BX%25IJ%24%2F65ieZ%29f6", 2685566)</f>
        <v>2685566</v>
      </c>
      <c r="C3958" s="2">
        <f>HYPERLINK("https://platform.v2.vetology.net/report/v/final/"&amp;2685566, 2685566)</f>
        <v>2685566</v>
      </c>
      <c r="D3958" s="2" t="s">
        <v>12396</v>
      </c>
      <c r="E3958" s="2" t="s">
        <v>12397</v>
      </c>
      <c r="F3958" s="2" t="s">
        <v>12398</v>
      </c>
      <c r="G3958" s="2" t="s">
        <v>556</v>
      </c>
      <c r="H3958" s="2" t="s">
        <v>797</v>
      </c>
      <c r="I3958" s="2" t="s">
        <v>59</v>
      </c>
      <c r="J3958" s="2" t="s">
        <v>37</v>
      </c>
      <c r="K3958" s="2" t="s">
        <v>38</v>
      </c>
      <c r="L3958" s="2" t="s">
        <v>39</v>
      </c>
      <c r="M3958" s="2" t="s">
        <v>39</v>
      </c>
      <c r="N3958" s="2" t="s">
        <v>39</v>
      </c>
      <c r="O3958" s="2" t="s">
        <v>39</v>
      </c>
      <c r="P3958" s="2" t="s">
        <v>39</v>
      </c>
      <c r="Q3958" s="2" t="s">
        <v>39</v>
      </c>
      <c r="R3958" s="2" t="s">
        <v>38</v>
      </c>
      <c r="S3958" s="2" t="s">
        <v>39</v>
      </c>
      <c r="T3958" s="2" t="s">
        <v>39</v>
      </c>
      <c r="U3958" s="2" t="s">
        <v>38</v>
      </c>
      <c r="V3958" s="2" t="s">
        <v>38</v>
      </c>
      <c r="W3958" s="2" t="s">
        <v>39</v>
      </c>
      <c r="X3958" s="2" t="s">
        <v>39</v>
      </c>
      <c r="Y3958" s="2" t="s">
        <v>39</v>
      </c>
      <c r="Z3958" s="2" t="s">
        <v>39</v>
      </c>
      <c r="AA3958" s="2" t="s">
        <v>39</v>
      </c>
      <c r="AB3958" s="2" t="s">
        <v>39</v>
      </c>
      <c r="AC3958" s="2" t="s">
        <v>38</v>
      </c>
      <c r="AD3958" s="2" t="s">
        <v>38</v>
      </c>
      <c r="AE3958" s="2" t="s">
        <v>39</v>
      </c>
    </row>
    <row r="3959" spans="1:31" ht="409.5">
      <c r="A3959" s="2">
        <v>2685554</v>
      </c>
      <c r="B3959" s="2">
        <f>HYPERLINK("https://platform.v2.vetology.net/cases/2685554/screening-report/1?type=pdf&amp;v=v6&amp;scorecard=1&amp;secret_key=BX%25IJ%24%2F65ieZ%29f6", 2685554)</f>
        <v>2685554</v>
      </c>
      <c r="C3959" s="2">
        <f>HYPERLINK("https://platform.v2.vetology.net/report/v/final/"&amp;2685554, 2685554)</f>
        <v>2685554</v>
      </c>
      <c r="D3959" s="2" t="s">
        <v>12399</v>
      </c>
      <c r="E3959" s="2" t="s">
        <v>12400</v>
      </c>
      <c r="F3959" s="2"/>
      <c r="G3959" s="2" t="s">
        <v>100</v>
      </c>
      <c r="H3959" s="2" t="s">
        <v>69</v>
      </c>
      <c r="I3959" s="2" t="s">
        <v>46</v>
      </c>
      <c r="J3959" s="2"/>
      <c r="K3959" s="2" t="s">
        <v>39</v>
      </c>
      <c r="L3959" s="2" t="s">
        <v>39</v>
      </c>
      <c r="M3959" s="2" t="s">
        <v>39</v>
      </c>
      <c r="N3959" s="2" t="s">
        <v>39</v>
      </c>
      <c r="O3959" s="2" t="s">
        <v>39</v>
      </c>
      <c r="P3959" s="2" t="s">
        <v>39</v>
      </c>
      <c r="Q3959" s="2" t="s">
        <v>39</v>
      </c>
      <c r="R3959" s="2" t="s">
        <v>39</v>
      </c>
      <c r="S3959" s="2" t="s">
        <v>39</v>
      </c>
      <c r="T3959" s="2" t="s">
        <v>39</v>
      </c>
      <c r="U3959" s="2" t="s">
        <v>39</v>
      </c>
      <c r="V3959" s="2" t="s">
        <v>39</v>
      </c>
      <c r="W3959" s="2" t="s">
        <v>39</v>
      </c>
      <c r="X3959" s="2" t="s">
        <v>39</v>
      </c>
      <c r="Y3959" s="2" t="s">
        <v>39</v>
      </c>
      <c r="Z3959" s="2" t="s">
        <v>39</v>
      </c>
      <c r="AA3959" s="2" t="s">
        <v>39</v>
      </c>
      <c r="AB3959" s="2" t="s">
        <v>39</v>
      </c>
      <c r="AC3959" s="2" t="s">
        <v>39</v>
      </c>
      <c r="AD3959" s="2" t="s">
        <v>39</v>
      </c>
      <c r="AE3959" s="2" t="s">
        <v>39</v>
      </c>
    </row>
    <row r="3960" spans="1:31" ht="409.5">
      <c r="A3960" s="2">
        <v>2685550</v>
      </c>
      <c r="B3960" s="2">
        <f>HYPERLINK("https://platform.v2.vetology.net/cases/2685550/screening-report/1?type=pdf&amp;v=v6&amp;scorecard=1&amp;secret_key=BX%25IJ%24%2F65ieZ%29f6", 2685550)</f>
        <v>2685550</v>
      </c>
      <c r="C3960" s="2">
        <f>HYPERLINK("https://platform.v2.vetology.net/report/v/final/"&amp;2685550, 2685550)</f>
        <v>2685550</v>
      </c>
      <c r="D3960" s="2" t="s">
        <v>12401</v>
      </c>
      <c r="E3960" s="2" t="s">
        <v>12402</v>
      </c>
      <c r="F3960" s="2" t="s">
        <v>12403</v>
      </c>
      <c r="G3960" s="2" t="s">
        <v>34</v>
      </c>
      <c r="H3960" s="2" t="s">
        <v>12404</v>
      </c>
      <c r="I3960" s="2" t="s">
        <v>36</v>
      </c>
      <c r="J3960" s="2" t="s">
        <v>37</v>
      </c>
      <c r="K3960" s="2" t="s">
        <v>39</v>
      </c>
      <c r="L3960" s="2" t="s">
        <v>39</v>
      </c>
      <c r="M3960" s="2" t="s">
        <v>38</v>
      </c>
      <c r="N3960" s="2" t="s">
        <v>39</v>
      </c>
      <c r="O3960" s="2" t="s">
        <v>38</v>
      </c>
      <c r="P3960" s="2" t="s">
        <v>39</v>
      </c>
      <c r="Q3960" s="2" t="s">
        <v>39</v>
      </c>
      <c r="R3960" s="2" t="s">
        <v>38</v>
      </c>
      <c r="S3960" s="2" t="s">
        <v>38</v>
      </c>
      <c r="T3960" s="2" t="s">
        <v>38</v>
      </c>
      <c r="U3960" s="2" t="s">
        <v>39</v>
      </c>
      <c r="V3960" s="2" t="s">
        <v>39</v>
      </c>
      <c r="W3960" s="2" t="s">
        <v>38</v>
      </c>
      <c r="X3960" s="2" t="s">
        <v>39</v>
      </c>
      <c r="Y3960" s="2" t="s">
        <v>38</v>
      </c>
      <c r="Z3960" s="2" t="s">
        <v>38</v>
      </c>
      <c r="AA3960" s="2" t="s">
        <v>39</v>
      </c>
      <c r="AB3960" s="2" t="s">
        <v>39</v>
      </c>
      <c r="AC3960" s="2" t="s">
        <v>38</v>
      </c>
      <c r="AD3960" s="2" t="s">
        <v>38</v>
      </c>
      <c r="AE3960" s="2" t="s">
        <v>40</v>
      </c>
    </row>
    <row r="3961" spans="1:31" ht="409.5">
      <c r="A3961" s="2">
        <v>2685527</v>
      </c>
      <c r="B3961" s="2">
        <f>HYPERLINK("https://platform.v2.vetology.net/cases/2685527/screening-report/1?type=pdf&amp;v=v6&amp;scorecard=1&amp;secret_key=BX%25IJ%24%2F65ieZ%29f6", 2685527)</f>
        <v>2685527</v>
      </c>
      <c r="C3961" s="2">
        <f>HYPERLINK("https://platform.v2.vetology.net/report/v/final/"&amp;2685527, 2685527)</f>
        <v>2685527</v>
      </c>
      <c r="D3961" s="2" t="s">
        <v>12405</v>
      </c>
      <c r="E3961" s="2" t="s">
        <v>12406</v>
      </c>
      <c r="F3961" s="2" t="s">
        <v>12407</v>
      </c>
      <c r="G3961" s="2" t="s">
        <v>53</v>
      </c>
      <c r="H3961" s="2" t="s">
        <v>12408</v>
      </c>
      <c r="I3961" s="2" t="s">
        <v>73</v>
      </c>
      <c r="J3961" s="2" t="s">
        <v>74</v>
      </c>
      <c r="K3961" s="2" t="s">
        <v>38</v>
      </c>
      <c r="L3961" s="2" t="s">
        <v>38</v>
      </c>
      <c r="M3961" s="2" t="s">
        <v>38</v>
      </c>
      <c r="N3961" s="2" t="s">
        <v>38</v>
      </c>
      <c r="O3961" s="2" t="s">
        <v>38</v>
      </c>
      <c r="P3961" s="2" t="s">
        <v>39</v>
      </c>
      <c r="Q3961" s="2" t="s">
        <v>38</v>
      </c>
      <c r="R3961" s="2" t="s">
        <v>39</v>
      </c>
      <c r="S3961" s="2" t="s">
        <v>38</v>
      </c>
      <c r="T3961" s="2" t="s">
        <v>38</v>
      </c>
      <c r="U3961" s="2" t="s">
        <v>39</v>
      </c>
      <c r="V3961" s="2" t="s">
        <v>38</v>
      </c>
      <c r="W3961" s="2" t="s">
        <v>39</v>
      </c>
      <c r="X3961" s="2" t="s">
        <v>39</v>
      </c>
      <c r="Y3961" s="2" t="s">
        <v>39</v>
      </c>
      <c r="Z3961" s="2" t="s">
        <v>38</v>
      </c>
      <c r="AA3961" s="2" t="s">
        <v>38</v>
      </c>
      <c r="AB3961" s="2" t="s">
        <v>39</v>
      </c>
      <c r="AC3961" s="2" t="s">
        <v>38</v>
      </c>
      <c r="AD3961" s="2" t="s">
        <v>38</v>
      </c>
      <c r="AE3961" s="2" t="s">
        <v>39</v>
      </c>
    </row>
    <row r="3962" spans="1:31" ht="409.5">
      <c r="A3962" s="2">
        <v>2685514</v>
      </c>
      <c r="B3962" s="2">
        <f>HYPERLINK("https://platform.v2.vetology.net/cases/2685514/screening-report/1?type=pdf&amp;v=v6&amp;scorecard=1&amp;secret_key=BX%25IJ%24%2F65ieZ%29f6", 2685514)</f>
        <v>2685514</v>
      </c>
      <c r="C3962" s="2">
        <f>HYPERLINK("https://platform.v2.vetology.net/report/v/final/"&amp;2685514, 2685514)</f>
        <v>2685514</v>
      </c>
      <c r="D3962" s="2" t="s">
        <v>12409</v>
      </c>
      <c r="E3962" s="2" t="s">
        <v>12410</v>
      </c>
      <c r="F3962" s="2" t="s">
        <v>12411</v>
      </c>
      <c r="G3962" s="2" t="s">
        <v>53</v>
      </c>
      <c r="H3962" s="2" t="s">
        <v>69</v>
      </c>
      <c r="I3962" s="2" t="s">
        <v>46</v>
      </c>
      <c r="J3962" s="2"/>
      <c r="K3962" s="2" t="s">
        <v>39</v>
      </c>
      <c r="L3962" s="2" t="s">
        <v>39</v>
      </c>
      <c r="M3962" s="2" t="s">
        <v>39</v>
      </c>
      <c r="N3962" s="2" t="s">
        <v>39</v>
      </c>
      <c r="O3962" s="2" t="s">
        <v>39</v>
      </c>
      <c r="P3962" s="2" t="s">
        <v>39</v>
      </c>
      <c r="Q3962" s="2" t="s">
        <v>39</v>
      </c>
      <c r="R3962" s="2" t="s">
        <v>39</v>
      </c>
      <c r="S3962" s="2" t="s">
        <v>39</v>
      </c>
      <c r="T3962" s="2" t="s">
        <v>39</v>
      </c>
      <c r="U3962" s="2" t="s">
        <v>39</v>
      </c>
      <c r="V3962" s="2" t="s">
        <v>39</v>
      </c>
      <c r="W3962" s="2" t="s">
        <v>39</v>
      </c>
      <c r="X3962" s="2" t="s">
        <v>39</v>
      </c>
      <c r="Y3962" s="2" t="s">
        <v>39</v>
      </c>
      <c r="Z3962" s="2" t="s">
        <v>39</v>
      </c>
      <c r="AA3962" s="2" t="s">
        <v>39</v>
      </c>
      <c r="AB3962" s="2" t="s">
        <v>39</v>
      </c>
      <c r="AC3962" s="2" t="s">
        <v>39</v>
      </c>
      <c r="AD3962" s="2" t="s">
        <v>38</v>
      </c>
      <c r="AE3962" s="2" t="s">
        <v>39</v>
      </c>
    </row>
    <row r="3963" spans="1:31" ht="409.5">
      <c r="A3963" s="2">
        <v>2685498</v>
      </c>
      <c r="B3963" s="2">
        <f>HYPERLINK("https://platform.v2.vetology.net/cases/2685498/screening-report/1?type=pdf&amp;v=v6&amp;scorecard=1&amp;secret_key=BX%25IJ%24%2F65ieZ%29f6", 2685498)</f>
        <v>2685498</v>
      </c>
      <c r="C3963" s="2">
        <f>HYPERLINK("https://platform.v2.vetology.net/report/v/final/"&amp;2685498, 2685498)</f>
        <v>2685498</v>
      </c>
      <c r="D3963" s="2" t="s">
        <v>12412</v>
      </c>
      <c r="E3963" s="2" t="s">
        <v>12413</v>
      </c>
      <c r="F3963" s="2" t="s">
        <v>2082</v>
      </c>
      <c r="G3963" s="2" t="s">
        <v>170</v>
      </c>
      <c r="H3963" s="2" t="s">
        <v>12414</v>
      </c>
      <c r="I3963" s="2" t="s">
        <v>73</v>
      </c>
      <c r="J3963" s="2" t="s">
        <v>74</v>
      </c>
      <c r="K3963" s="2" t="s">
        <v>38</v>
      </c>
      <c r="L3963" s="2" t="s">
        <v>39</v>
      </c>
      <c r="M3963" s="2" t="s">
        <v>39</v>
      </c>
      <c r="N3963" s="2" t="s">
        <v>39</v>
      </c>
      <c r="O3963" s="2" t="s">
        <v>39</v>
      </c>
      <c r="P3963" s="2" t="s">
        <v>38</v>
      </c>
      <c r="Q3963" s="2" t="s">
        <v>38</v>
      </c>
      <c r="R3963" s="2" t="s">
        <v>39</v>
      </c>
      <c r="S3963" s="2" t="s">
        <v>39</v>
      </c>
      <c r="T3963" s="2" t="s">
        <v>39</v>
      </c>
      <c r="U3963" s="2" t="s">
        <v>38</v>
      </c>
      <c r="V3963" s="2" t="s">
        <v>38</v>
      </c>
      <c r="W3963" s="2" t="s">
        <v>39</v>
      </c>
      <c r="X3963" s="2" t="s">
        <v>38</v>
      </c>
      <c r="Y3963" s="2" t="s">
        <v>39</v>
      </c>
      <c r="Z3963" s="2" t="s">
        <v>38</v>
      </c>
      <c r="AA3963" s="2" t="s">
        <v>38</v>
      </c>
      <c r="AB3963" s="2" t="s">
        <v>39</v>
      </c>
      <c r="AC3963" s="2" t="s">
        <v>39</v>
      </c>
      <c r="AD3963" s="2" t="s">
        <v>39</v>
      </c>
      <c r="AE3963" s="2" t="s">
        <v>39</v>
      </c>
    </row>
    <row r="3964" spans="1:31" ht="409.5">
      <c r="A3964" s="2">
        <v>2685479</v>
      </c>
      <c r="B3964" s="2">
        <f>HYPERLINK("https://platform.v2.vetology.net/cases/2685479/screening-report/1?type=pdf&amp;v=v6&amp;scorecard=1&amp;secret_key=BX%25IJ%24%2F65ieZ%29f6", 2685479)</f>
        <v>2685479</v>
      </c>
      <c r="C3964" s="2">
        <f>HYPERLINK("https://platform.v2.vetology.net/report/v/final/"&amp;2685479, 2685479)</f>
        <v>2685479</v>
      </c>
      <c r="D3964" s="2" t="s">
        <v>12415</v>
      </c>
      <c r="E3964" s="2" t="s">
        <v>12416</v>
      </c>
      <c r="F3964" s="2" t="s">
        <v>174</v>
      </c>
      <c r="G3964" s="2" t="s">
        <v>170</v>
      </c>
      <c r="H3964" s="2" t="s">
        <v>394</v>
      </c>
      <c r="I3964" s="2" t="s">
        <v>59</v>
      </c>
      <c r="J3964" s="2" t="s">
        <v>37</v>
      </c>
      <c r="K3964" s="2" t="s">
        <v>38</v>
      </c>
      <c r="L3964" s="2" t="s">
        <v>39</v>
      </c>
      <c r="M3964" s="2" t="s">
        <v>39</v>
      </c>
      <c r="N3964" s="2" t="s">
        <v>39</v>
      </c>
      <c r="O3964" s="2" t="s">
        <v>38</v>
      </c>
      <c r="P3964" s="2" t="s">
        <v>39</v>
      </c>
      <c r="Q3964" s="2" t="s">
        <v>39</v>
      </c>
      <c r="R3964" s="2" t="s">
        <v>39</v>
      </c>
      <c r="S3964" s="2" t="s">
        <v>39</v>
      </c>
      <c r="T3964" s="2" t="s">
        <v>39</v>
      </c>
      <c r="U3964" s="2" t="s">
        <v>38</v>
      </c>
      <c r="V3964" s="2" t="s">
        <v>38</v>
      </c>
      <c r="W3964" s="2" t="s">
        <v>39</v>
      </c>
      <c r="X3964" s="2" t="s">
        <v>39</v>
      </c>
      <c r="Y3964" s="2" t="s">
        <v>39</v>
      </c>
      <c r="Z3964" s="2" t="s">
        <v>38</v>
      </c>
      <c r="AA3964" s="2" t="s">
        <v>38</v>
      </c>
      <c r="AB3964" s="2" t="s">
        <v>39</v>
      </c>
      <c r="AC3964" s="2" t="s">
        <v>38</v>
      </c>
      <c r="AD3964" s="2" t="s">
        <v>39</v>
      </c>
      <c r="AE3964" s="2" t="s">
        <v>39</v>
      </c>
    </row>
    <row r="3965" spans="1:31" ht="409.5">
      <c r="A3965" s="2">
        <v>2685471</v>
      </c>
      <c r="B3965" s="2">
        <f>HYPERLINK("https://platform.v2.vetology.net/cases/2685471/screening-report/1?type=pdf&amp;v=v6&amp;scorecard=1&amp;secret_key=BX%25IJ%24%2F65ieZ%29f6", 2685471)</f>
        <v>2685471</v>
      </c>
      <c r="C3965" s="2">
        <f>HYPERLINK("https://platform.v2.vetology.net/report/v/final/"&amp;2685471, 2685471)</f>
        <v>2685471</v>
      </c>
      <c r="D3965" s="2" t="s">
        <v>12417</v>
      </c>
      <c r="E3965" s="2" t="s">
        <v>12418</v>
      </c>
      <c r="F3965" s="2" t="s">
        <v>12419</v>
      </c>
      <c r="G3965" s="2" t="s">
        <v>556</v>
      </c>
      <c r="H3965" s="2" t="s">
        <v>45</v>
      </c>
      <c r="I3965" s="2" t="s">
        <v>46</v>
      </c>
      <c r="J3965" s="2"/>
      <c r="K3965" s="2" t="s">
        <v>39</v>
      </c>
      <c r="L3965" s="2" t="s">
        <v>39</v>
      </c>
      <c r="M3965" s="2" t="s">
        <v>39</v>
      </c>
      <c r="N3965" s="2" t="s">
        <v>39</v>
      </c>
      <c r="O3965" s="2" t="s">
        <v>39</v>
      </c>
      <c r="P3965" s="2" t="s">
        <v>39</v>
      </c>
      <c r="Q3965" s="2" t="s">
        <v>39</v>
      </c>
      <c r="R3965" s="2" t="s">
        <v>38</v>
      </c>
      <c r="S3965" s="2" t="s">
        <v>39</v>
      </c>
      <c r="T3965" s="2" t="s">
        <v>38</v>
      </c>
      <c r="U3965" s="2" t="s">
        <v>39</v>
      </c>
      <c r="V3965" s="2" t="s">
        <v>39</v>
      </c>
      <c r="W3965" s="2" t="s">
        <v>38</v>
      </c>
      <c r="X3965" s="2" t="s">
        <v>39</v>
      </c>
      <c r="Y3965" s="2" t="s">
        <v>39</v>
      </c>
      <c r="Z3965" s="2" t="s">
        <v>38</v>
      </c>
      <c r="AA3965" s="2" t="s">
        <v>39</v>
      </c>
      <c r="AB3965" s="2" t="s">
        <v>39</v>
      </c>
      <c r="AC3965" s="2" t="s">
        <v>38</v>
      </c>
      <c r="AD3965" s="2" t="s">
        <v>38</v>
      </c>
      <c r="AE3965" s="2" t="s">
        <v>39</v>
      </c>
    </row>
    <row r="3966" spans="1:31" ht="409.5">
      <c r="A3966" s="2">
        <v>2685462</v>
      </c>
      <c r="B3966" s="2">
        <f>HYPERLINK("https://platform.v2.vetology.net/cases/2685462/screening-report/1?type=pdf&amp;v=v6&amp;scorecard=1&amp;secret_key=BX%25IJ%24%2F65ieZ%29f6", 2685462)</f>
        <v>2685462</v>
      </c>
      <c r="C3966" s="2">
        <f>HYPERLINK("https://platform.v2.vetology.net/report/v/final/"&amp;2685462, 2685462)</f>
        <v>2685462</v>
      </c>
      <c r="D3966" s="2" t="s">
        <v>12420</v>
      </c>
      <c r="E3966" s="2" t="s">
        <v>12421</v>
      </c>
      <c r="F3966" s="2" t="s">
        <v>12422</v>
      </c>
      <c r="G3966" s="2" t="s">
        <v>170</v>
      </c>
      <c r="H3966" s="2" t="s">
        <v>12423</v>
      </c>
      <c r="I3966" s="2" t="s">
        <v>73</v>
      </c>
      <c r="J3966" s="2" t="s">
        <v>74</v>
      </c>
      <c r="K3966" s="2" t="s">
        <v>38</v>
      </c>
      <c r="L3966" s="2" t="s">
        <v>38</v>
      </c>
      <c r="M3966" s="2" t="s">
        <v>38</v>
      </c>
      <c r="N3966" s="2" t="s">
        <v>38</v>
      </c>
      <c r="O3966" s="2" t="s">
        <v>38</v>
      </c>
      <c r="P3966" s="2" t="s">
        <v>39</v>
      </c>
      <c r="Q3966" s="2" t="s">
        <v>38</v>
      </c>
      <c r="R3966" s="2" t="s">
        <v>39</v>
      </c>
      <c r="S3966" s="2" t="s">
        <v>38</v>
      </c>
      <c r="T3966" s="2" t="s">
        <v>38</v>
      </c>
      <c r="U3966" s="2" t="s">
        <v>38</v>
      </c>
      <c r="V3966" s="2" t="s">
        <v>38</v>
      </c>
      <c r="W3966" s="2" t="s">
        <v>38</v>
      </c>
      <c r="X3966" s="2" t="s">
        <v>38</v>
      </c>
      <c r="Y3966" s="2" t="s">
        <v>39</v>
      </c>
      <c r="Z3966" s="2" t="s">
        <v>38</v>
      </c>
      <c r="AA3966" s="2" t="s">
        <v>38</v>
      </c>
      <c r="AB3966" s="2" t="s">
        <v>38</v>
      </c>
      <c r="AC3966" s="2" t="s">
        <v>38</v>
      </c>
      <c r="AD3966" s="2" t="s">
        <v>39</v>
      </c>
      <c r="AE3966" s="2"/>
    </row>
    <row r="3967" spans="1:31" ht="409.5">
      <c r="A3967" s="2">
        <v>2685428</v>
      </c>
      <c r="B3967" s="2">
        <f>HYPERLINK("https://platform.v2.vetology.net/cases/2685428/screening-report/1?type=pdf&amp;v=v6&amp;scorecard=1&amp;secret_key=BX%25IJ%24%2F65ieZ%29f6", 2685428)</f>
        <v>2685428</v>
      </c>
      <c r="C3967" s="2">
        <f>HYPERLINK("https://platform.v2.vetology.net/report/v/final/"&amp;2685428, 2685428)</f>
        <v>2685428</v>
      </c>
      <c r="D3967" s="2" t="s">
        <v>12424</v>
      </c>
      <c r="E3967" s="2" t="s">
        <v>12425</v>
      </c>
      <c r="F3967" s="2" t="s">
        <v>43</v>
      </c>
      <c r="G3967" s="2" t="s">
        <v>507</v>
      </c>
      <c r="H3967" s="2" t="s">
        <v>5924</v>
      </c>
      <c r="I3967" s="2" t="s">
        <v>73</v>
      </c>
      <c r="J3967" s="2" t="s">
        <v>74</v>
      </c>
      <c r="K3967" s="2" t="s">
        <v>38</v>
      </c>
      <c r="L3967" s="2" t="s">
        <v>38</v>
      </c>
      <c r="M3967" s="2" t="s">
        <v>38</v>
      </c>
      <c r="N3967" s="2" t="s">
        <v>38</v>
      </c>
      <c r="O3967" s="2" t="s">
        <v>38</v>
      </c>
      <c r="P3967" s="2" t="s">
        <v>38</v>
      </c>
      <c r="Q3967" s="2" t="s">
        <v>38</v>
      </c>
      <c r="R3967" s="2" t="s">
        <v>39</v>
      </c>
      <c r="S3967" s="2" t="s">
        <v>38</v>
      </c>
      <c r="T3967" s="2" t="s">
        <v>38</v>
      </c>
      <c r="U3967" s="2" t="s">
        <v>38</v>
      </c>
      <c r="V3967" s="2" t="s">
        <v>38</v>
      </c>
      <c r="W3967" s="2" t="s">
        <v>38</v>
      </c>
      <c r="X3967" s="2" t="s">
        <v>38</v>
      </c>
      <c r="Y3967" s="2" t="s">
        <v>38</v>
      </c>
      <c r="Z3967" s="2" t="s">
        <v>38</v>
      </c>
      <c r="AA3967" s="2" t="s">
        <v>38</v>
      </c>
      <c r="AB3967" s="2" t="s">
        <v>38</v>
      </c>
      <c r="AC3967" s="2" t="s">
        <v>38</v>
      </c>
      <c r="AD3967" s="2" t="s">
        <v>38</v>
      </c>
      <c r="AE3967" s="2" t="s">
        <v>40</v>
      </c>
    </row>
    <row r="3968" spans="1:31" ht="409.5">
      <c r="A3968" s="2">
        <v>2685414</v>
      </c>
      <c r="B3968" s="2">
        <f>HYPERLINK("https://platform.v2.vetology.net/cases/2685414/screening-report/1?type=pdf&amp;v=v6&amp;scorecard=1&amp;secret_key=BX%25IJ%24%2F65ieZ%29f6", 2685414)</f>
        <v>2685414</v>
      </c>
      <c r="C3968" s="2">
        <f>HYPERLINK("https://platform.v2.vetology.net/report/v/final/"&amp;2685414, 2685414)</f>
        <v>2685414</v>
      </c>
      <c r="D3968" s="2" t="s">
        <v>12426</v>
      </c>
      <c r="E3968" s="2" t="s">
        <v>12427</v>
      </c>
      <c r="F3968" s="2" t="s">
        <v>12428</v>
      </c>
      <c r="G3968" s="2" t="s">
        <v>127</v>
      </c>
      <c r="H3968" s="2" t="s">
        <v>12429</v>
      </c>
      <c r="I3968" s="2" t="s">
        <v>73</v>
      </c>
      <c r="J3968" s="2" t="s">
        <v>74</v>
      </c>
      <c r="K3968" s="2" t="s">
        <v>38</v>
      </c>
      <c r="L3968" s="2" t="s">
        <v>38</v>
      </c>
      <c r="M3968" s="2" t="s">
        <v>38</v>
      </c>
      <c r="N3968" s="2" t="s">
        <v>38</v>
      </c>
      <c r="O3968" s="2" t="s">
        <v>38</v>
      </c>
      <c r="P3968" s="2" t="s">
        <v>38</v>
      </c>
      <c r="Q3968" s="2" t="s">
        <v>38</v>
      </c>
      <c r="R3968" s="2" t="s">
        <v>38</v>
      </c>
      <c r="S3968" s="2" t="s">
        <v>38</v>
      </c>
      <c r="T3968" s="2" t="s">
        <v>38</v>
      </c>
      <c r="U3968" s="2" t="s">
        <v>38</v>
      </c>
      <c r="V3968" s="2" t="s">
        <v>38</v>
      </c>
      <c r="W3968" s="2" t="s">
        <v>38</v>
      </c>
      <c r="X3968" s="2" t="s">
        <v>38</v>
      </c>
      <c r="Y3968" s="2" t="s">
        <v>39</v>
      </c>
      <c r="Z3968" s="2" t="s">
        <v>38</v>
      </c>
      <c r="AA3968" s="2" t="s">
        <v>38</v>
      </c>
      <c r="AB3968" s="2" t="s">
        <v>38</v>
      </c>
      <c r="AC3968" s="2" t="s">
        <v>39</v>
      </c>
      <c r="AD3968" s="2" t="s">
        <v>39</v>
      </c>
      <c r="AE3968" s="2" t="s">
        <v>40</v>
      </c>
    </row>
    <row r="3969" spans="1:31" ht="409.5">
      <c r="A3969" s="2">
        <v>2685369</v>
      </c>
      <c r="B3969" s="2">
        <f>HYPERLINK("https://platform.v2.vetology.net/cases/2685369/screening-report/1?type=pdf&amp;v=v6&amp;scorecard=1&amp;secret_key=BX%25IJ%24%2F65ieZ%29f6", 2685369)</f>
        <v>2685369</v>
      </c>
      <c r="C3969" s="2">
        <f>HYPERLINK("https://platform.v2.vetology.net/report/v/final/"&amp;2685369, 2685369)</f>
        <v>2685369</v>
      </c>
      <c r="D3969" s="2" t="s">
        <v>12430</v>
      </c>
      <c r="E3969" s="2" t="s">
        <v>12431</v>
      </c>
      <c r="F3969" s="2" t="s">
        <v>12432</v>
      </c>
      <c r="G3969" s="2" t="s">
        <v>556</v>
      </c>
      <c r="H3969" s="2" t="s">
        <v>419</v>
      </c>
      <c r="I3969" s="2" t="s">
        <v>36</v>
      </c>
      <c r="J3969" s="2" t="s">
        <v>37</v>
      </c>
      <c r="K3969" s="2" t="s">
        <v>39</v>
      </c>
      <c r="L3969" s="2" t="s">
        <v>39</v>
      </c>
      <c r="M3969" s="2" t="s">
        <v>38</v>
      </c>
      <c r="N3969" s="2" t="s">
        <v>39</v>
      </c>
      <c r="O3969" s="2" t="s">
        <v>38</v>
      </c>
      <c r="P3969" s="2" t="s">
        <v>39</v>
      </c>
      <c r="Q3969" s="2" t="s">
        <v>39</v>
      </c>
      <c r="R3969" s="2" t="s">
        <v>38</v>
      </c>
      <c r="S3969" s="2" t="s">
        <v>39</v>
      </c>
      <c r="T3969" s="2" t="s">
        <v>38</v>
      </c>
      <c r="U3969" s="2" t="s">
        <v>39</v>
      </c>
      <c r="V3969" s="2" t="s">
        <v>39</v>
      </c>
      <c r="W3969" s="2" t="s">
        <v>38</v>
      </c>
      <c r="X3969" s="2" t="s">
        <v>39</v>
      </c>
      <c r="Y3969" s="2" t="s">
        <v>39</v>
      </c>
      <c r="Z3969" s="2" t="s">
        <v>38</v>
      </c>
      <c r="AA3969" s="2" t="s">
        <v>39</v>
      </c>
      <c r="AB3969" s="2" t="s">
        <v>39</v>
      </c>
      <c r="AC3969" s="2" t="s">
        <v>38</v>
      </c>
      <c r="AD3969" s="2" t="s">
        <v>39</v>
      </c>
      <c r="AE3969" s="2" t="s">
        <v>39</v>
      </c>
    </row>
    <row r="3970" spans="1:31" ht="409.5">
      <c r="A3970" s="2">
        <v>2685365</v>
      </c>
      <c r="B3970" s="2">
        <f>HYPERLINK("https://platform.v2.vetology.net/cases/2685365/screening-report/1?type=pdf&amp;v=v6&amp;scorecard=1&amp;secret_key=BX%25IJ%24%2F65ieZ%29f6", 2685365)</f>
        <v>2685365</v>
      </c>
      <c r="C3970" s="2">
        <f>HYPERLINK("https://platform.v2.vetology.net/report/v/final/"&amp;2685365, 2685365)</f>
        <v>2685365</v>
      </c>
      <c r="D3970" s="2" t="s">
        <v>12433</v>
      </c>
      <c r="E3970" s="2" t="s">
        <v>12434</v>
      </c>
      <c r="F3970" s="2" t="s">
        <v>12435</v>
      </c>
      <c r="G3970" s="2" t="s">
        <v>415</v>
      </c>
      <c r="H3970" s="2" t="s">
        <v>1627</v>
      </c>
      <c r="I3970" s="2" t="s">
        <v>73</v>
      </c>
      <c r="J3970" s="2" t="s">
        <v>74</v>
      </c>
      <c r="K3970" s="2" t="s">
        <v>38</v>
      </c>
      <c r="L3970" s="2" t="s">
        <v>38</v>
      </c>
      <c r="M3970" s="2" t="s">
        <v>38</v>
      </c>
      <c r="N3970" s="2" t="s">
        <v>38</v>
      </c>
      <c r="O3970" s="2" t="s">
        <v>38</v>
      </c>
      <c r="P3970" s="2" t="s">
        <v>38</v>
      </c>
      <c r="Q3970" s="2" t="s">
        <v>38</v>
      </c>
      <c r="R3970" s="2" t="s">
        <v>38</v>
      </c>
      <c r="S3970" s="2" t="s">
        <v>38</v>
      </c>
      <c r="T3970" s="2" t="s">
        <v>38</v>
      </c>
      <c r="U3970" s="2" t="s">
        <v>38</v>
      </c>
      <c r="V3970" s="2" t="s">
        <v>38</v>
      </c>
      <c r="W3970" s="2" t="s">
        <v>38</v>
      </c>
      <c r="X3970" s="2" t="s">
        <v>38</v>
      </c>
      <c r="Y3970" s="2" t="s">
        <v>38</v>
      </c>
      <c r="Z3970" s="2" t="s">
        <v>38</v>
      </c>
      <c r="AA3970" s="2" t="s">
        <v>38</v>
      </c>
      <c r="AB3970" s="2" t="s">
        <v>38</v>
      </c>
      <c r="AC3970" s="2" t="s">
        <v>38</v>
      </c>
      <c r="AD3970" s="2" t="s">
        <v>38</v>
      </c>
      <c r="AE3970" s="2" t="s">
        <v>40</v>
      </c>
    </row>
    <row r="3971" spans="1:31" ht="409.5">
      <c r="A3971" s="2">
        <v>2685347</v>
      </c>
      <c r="B3971" s="2">
        <f>HYPERLINK("https://platform.v2.vetology.net/cases/2685347/screening-report/1?type=pdf&amp;v=v6&amp;scorecard=1&amp;secret_key=BX%25IJ%24%2F65ieZ%29f6", 2685347)</f>
        <v>2685347</v>
      </c>
      <c r="C3971" s="2">
        <f>HYPERLINK("https://platform.v2.vetology.net/report/v/final/"&amp;2685347, 2685347)</f>
        <v>2685347</v>
      </c>
      <c r="D3971" s="2" t="s">
        <v>12436</v>
      </c>
      <c r="E3971" s="2" t="s">
        <v>12437</v>
      </c>
      <c r="F3971" s="2" t="s">
        <v>12438</v>
      </c>
      <c r="G3971" s="2" t="s">
        <v>127</v>
      </c>
      <c r="H3971" s="2" t="s">
        <v>12439</v>
      </c>
      <c r="I3971" s="2" t="s">
        <v>36</v>
      </c>
      <c r="J3971" s="2" t="s">
        <v>37</v>
      </c>
      <c r="K3971" s="2" t="s">
        <v>38</v>
      </c>
      <c r="L3971" s="2" t="s">
        <v>38</v>
      </c>
      <c r="M3971" s="2" t="s">
        <v>38</v>
      </c>
      <c r="N3971" s="2" t="s">
        <v>39</v>
      </c>
      <c r="O3971" s="2" t="s">
        <v>39</v>
      </c>
      <c r="P3971" s="2" t="s">
        <v>39</v>
      </c>
      <c r="Q3971" s="2" t="s">
        <v>39</v>
      </c>
      <c r="R3971" s="2" t="s">
        <v>38</v>
      </c>
      <c r="S3971" s="2" t="s">
        <v>38</v>
      </c>
      <c r="T3971" s="2" t="s">
        <v>39</v>
      </c>
      <c r="U3971" s="2" t="s">
        <v>38</v>
      </c>
      <c r="V3971" s="2" t="s">
        <v>38</v>
      </c>
      <c r="W3971" s="2" t="s">
        <v>38</v>
      </c>
      <c r="X3971" s="2" t="s">
        <v>39</v>
      </c>
      <c r="Y3971" s="2" t="s">
        <v>39</v>
      </c>
      <c r="Z3971" s="2" t="s">
        <v>38</v>
      </c>
      <c r="AA3971" s="2" t="s">
        <v>38</v>
      </c>
      <c r="AB3971" s="2" t="s">
        <v>39</v>
      </c>
      <c r="AC3971" s="2" t="s">
        <v>38</v>
      </c>
      <c r="AD3971" s="2" t="s">
        <v>39</v>
      </c>
      <c r="AE3971" s="2" t="s">
        <v>39</v>
      </c>
    </row>
    <row r="3972" spans="1:31" ht="409.5">
      <c r="A3972" s="2">
        <v>2685328</v>
      </c>
      <c r="B3972" s="2">
        <f>HYPERLINK("https://platform.v2.vetology.net/cases/2685328/screening-report/1?type=pdf&amp;v=v6&amp;scorecard=1&amp;secret_key=BX%25IJ%24%2F65ieZ%29f6", 2685328)</f>
        <v>2685328</v>
      </c>
      <c r="C3972" s="2">
        <f>HYPERLINK("https://platform.v2.vetology.net/report/v/final/"&amp;2685328, 2685328)</f>
        <v>2685328</v>
      </c>
      <c r="D3972" s="2" t="s">
        <v>12440</v>
      </c>
      <c r="E3972" s="2" t="s">
        <v>12441</v>
      </c>
      <c r="F3972" s="2" t="s">
        <v>1043</v>
      </c>
      <c r="G3972" s="2" t="s">
        <v>251</v>
      </c>
      <c r="H3972" s="2" t="s">
        <v>69</v>
      </c>
      <c r="I3972" s="2" t="s">
        <v>46</v>
      </c>
      <c r="J3972" s="2"/>
      <c r="K3972" s="2" t="s">
        <v>39</v>
      </c>
      <c r="L3972" s="2" t="s">
        <v>39</v>
      </c>
      <c r="M3972" s="2" t="s">
        <v>39</v>
      </c>
      <c r="N3972" s="2" t="s">
        <v>39</v>
      </c>
      <c r="O3972" s="2" t="s">
        <v>39</v>
      </c>
      <c r="P3972" s="2" t="s">
        <v>39</v>
      </c>
      <c r="Q3972" s="2" t="s">
        <v>39</v>
      </c>
      <c r="R3972" s="2" t="s">
        <v>39</v>
      </c>
      <c r="S3972" s="2" t="s">
        <v>39</v>
      </c>
      <c r="T3972" s="2" t="s">
        <v>39</v>
      </c>
      <c r="U3972" s="2" t="s">
        <v>39</v>
      </c>
      <c r="V3972" s="2" t="s">
        <v>39</v>
      </c>
      <c r="W3972" s="2" t="s">
        <v>39</v>
      </c>
      <c r="X3972" s="2" t="s">
        <v>39</v>
      </c>
      <c r="Y3972" s="2" t="s">
        <v>39</v>
      </c>
      <c r="Z3972" s="2" t="s">
        <v>38</v>
      </c>
      <c r="AA3972" s="2" t="s">
        <v>39</v>
      </c>
      <c r="AB3972" s="2" t="s">
        <v>39</v>
      </c>
      <c r="AC3972" s="2" t="s">
        <v>38</v>
      </c>
      <c r="AD3972" s="2" t="s">
        <v>39</v>
      </c>
      <c r="AE3972" s="2" t="s">
        <v>40</v>
      </c>
    </row>
    <row r="3973" spans="1:31" ht="409.5">
      <c r="A3973" s="2">
        <v>2685321</v>
      </c>
      <c r="B3973" s="2">
        <f>HYPERLINK("https://platform.v2.vetology.net/cases/2685321/screening-report/1?type=pdf&amp;v=v6&amp;scorecard=1&amp;secret_key=BX%25IJ%24%2F65ieZ%29f6", 2685321)</f>
        <v>2685321</v>
      </c>
      <c r="C3973" s="2">
        <f>HYPERLINK("https://platform.v2.vetology.net/report/v/final/"&amp;2685321, 2685321)</f>
        <v>2685321</v>
      </c>
      <c r="D3973" s="2" t="s">
        <v>12442</v>
      </c>
      <c r="E3973" s="2" t="s">
        <v>12443</v>
      </c>
      <c r="F3973" s="2" t="s">
        <v>12444</v>
      </c>
      <c r="G3973" s="2" t="s">
        <v>53</v>
      </c>
      <c r="H3973" s="2" t="s">
        <v>12445</v>
      </c>
      <c r="I3973" s="2" t="s">
        <v>36</v>
      </c>
      <c r="J3973" s="2" t="s">
        <v>37</v>
      </c>
      <c r="K3973" s="2" t="s">
        <v>38</v>
      </c>
      <c r="L3973" s="2" t="s">
        <v>39</v>
      </c>
      <c r="M3973" s="2" t="s">
        <v>39</v>
      </c>
      <c r="N3973" s="2" t="s">
        <v>39</v>
      </c>
      <c r="O3973" s="2" t="s">
        <v>39</v>
      </c>
      <c r="P3973" s="2" t="s">
        <v>39</v>
      </c>
      <c r="Q3973" s="2" t="s">
        <v>39</v>
      </c>
      <c r="R3973" s="2" t="s">
        <v>39</v>
      </c>
      <c r="S3973" s="2" t="s">
        <v>38</v>
      </c>
      <c r="T3973" s="2" t="s">
        <v>38</v>
      </c>
      <c r="U3973" s="2" t="s">
        <v>38</v>
      </c>
      <c r="V3973" s="2" t="s">
        <v>38</v>
      </c>
      <c r="W3973" s="2" t="s">
        <v>38</v>
      </c>
      <c r="X3973" s="2" t="s">
        <v>39</v>
      </c>
      <c r="Y3973" s="2" t="s">
        <v>39</v>
      </c>
      <c r="Z3973" s="2" t="s">
        <v>39</v>
      </c>
      <c r="AA3973" s="2" t="s">
        <v>39</v>
      </c>
      <c r="AB3973" s="2" t="s">
        <v>39</v>
      </c>
      <c r="AC3973" s="2" t="s">
        <v>38</v>
      </c>
      <c r="AD3973" s="2" t="s">
        <v>38</v>
      </c>
      <c r="AE3973" s="2" t="s">
        <v>39</v>
      </c>
    </row>
    <row r="3974" spans="1:31" ht="409.5">
      <c r="A3974" s="2">
        <v>2685291</v>
      </c>
      <c r="B3974" s="2">
        <f>HYPERLINK("https://platform.v2.vetology.net/cases/2685291/screening-report/1?type=pdf&amp;v=v6&amp;scorecard=1&amp;secret_key=BX%25IJ%24%2F65ieZ%29f6", 2685291)</f>
        <v>2685291</v>
      </c>
      <c r="C3974" s="2">
        <f>HYPERLINK("https://platform.v2.vetology.net/report/v/final/"&amp;2685291, 2685291)</f>
        <v>2685291</v>
      </c>
      <c r="D3974" s="2" t="s">
        <v>12446</v>
      </c>
      <c r="E3974" s="2" t="s">
        <v>12447</v>
      </c>
      <c r="F3974" s="2" t="s">
        <v>12448</v>
      </c>
      <c r="G3974" s="2" t="s">
        <v>127</v>
      </c>
      <c r="H3974" s="2" t="s">
        <v>12449</v>
      </c>
      <c r="I3974" s="2" t="s">
        <v>73</v>
      </c>
      <c r="J3974" s="2" t="s">
        <v>74</v>
      </c>
      <c r="K3974" s="2" t="s">
        <v>38</v>
      </c>
      <c r="L3974" s="2" t="s">
        <v>39</v>
      </c>
      <c r="M3974" s="2" t="s">
        <v>38</v>
      </c>
      <c r="N3974" s="2" t="s">
        <v>38</v>
      </c>
      <c r="O3974" s="2" t="s">
        <v>38</v>
      </c>
      <c r="P3974" s="2" t="s">
        <v>38</v>
      </c>
      <c r="Q3974" s="2" t="s">
        <v>38</v>
      </c>
      <c r="R3974" s="2" t="s">
        <v>38</v>
      </c>
      <c r="S3974" s="2" t="s">
        <v>38</v>
      </c>
      <c r="T3974" s="2" t="s">
        <v>38</v>
      </c>
      <c r="U3974" s="2" t="s">
        <v>38</v>
      </c>
      <c r="V3974" s="2" t="s">
        <v>38</v>
      </c>
      <c r="W3974" s="2" t="s">
        <v>38</v>
      </c>
      <c r="X3974" s="2" t="s">
        <v>38</v>
      </c>
      <c r="Y3974" s="2" t="s">
        <v>39</v>
      </c>
      <c r="Z3974" s="2" t="s">
        <v>38</v>
      </c>
      <c r="AA3974" s="2" t="s">
        <v>38</v>
      </c>
      <c r="AB3974" s="2" t="s">
        <v>39</v>
      </c>
      <c r="AC3974" s="2" t="s">
        <v>38</v>
      </c>
      <c r="AD3974" s="2" t="s">
        <v>39</v>
      </c>
      <c r="AE3974" s="2" t="s">
        <v>40</v>
      </c>
    </row>
    <row r="3975" spans="1:31" ht="409.5">
      <c r="A3975" s="2">
        <v>2685289</v>
      </c>
      <c r="B3975" s="2">
        <f>HYPERLINK("https://platform.v2.vetology.net/cases/2685289/screening-report/1?type=pdf&amp;v=v6&amp;scorecard=1&amp;secret_key=BX%25IJ%24%2F65ieZ%29f6", 2685289)</f>
        <v>2685289</v>
      </c>
      <c r="C3975" s="2">
        <f>HYPERLINK("https://platform.v2.vetology.net/report/v/final/"&amp;2685289, 2685289)</f>
        <v>2685289</v>
      </c>
      <c r="D3975" s="2" t="s">
        <v>12450</v>
      </c>
      <c r="E3975" s="2" t="s">
        <v>12451</v>
      </c>
      <c r="F3975" s="2" t="s">
        <v>43</v>
      </c>
      <c r="G3975" s="2" t="s">
        <v>507</v>
      </c>
      <c r="H3975" s="2" t="s">
        <v>419</v>
      </c>
      <c r="I3975" s="2" t="s">
        <v>36</v>
      </c>
      <c r="J3975" s="2" t="s">
        <v>37</v>
      </c>
      <c r="K3975" s="2" t="s">
        <v>39</v>
      </c>
      <c r="L3975" s="2" t="s">
        <v>39</v>
      </c>
      <c r="M3975" s="2" t="s">
        <v>38</v>
      </c>
      <c r="N3975" s="2" t="s">
        <v>39</v>
      </c>
      <c r="O3975" s="2" t="s">
        <v>38</v>
      </c>
      <c r="P3975" s="2" t="s">
        <v>39</v>
      </c>
      <c r="Q3975" s="2" t="s">
        <v>39</v>
      </c>
      <c r="R3975" s="2" t="s">
        <v>38</v>
      </c>
      <c r="S3975" s="2" t="s">
        <v>39</v>
      </c>
      <c r="T3975" s="2" t="s">
        <v>38</v>
      </c>
      <c r="U3975" s="2" t="s">
        <v>39</v>
      </c>
      <c r="V3975" s="2" t="s">
        <v>38</v>
      </c>
      <c r="W3975" s="2" t="s">
        <v>39</v>
      </c>
      <c r="X3975" s="2" t="s">
        <v>39</v>
      </c>
      <c r="Y3975" s="2" t="s">
        <v>39</v>
      </c>
      <c r="Z3975" s="2" t="s">
        <v>38</v>
      </c>
      <c r="AA3975" s="2" t="s">
        <v>39</v>
      </c>
      <c r="AB3975" s="2" t="s">
        <v>39</v>
      </c>
      <c r="AC3975" s="2" t="s">
        <v>38</v>
      </c>
      <c r="AD3975" s="2" t="s">
        <v>39</v>
      </c>
      <c r="AE3975" s="2" t="s">
        <v>40</v>
      </c>
    </row>
    <row r="3976" spans="1:31" ht="409.5">
      <c r="A3976" s="2">
        <v>2685287</v>
      </c>
      <c r="B3976" s="2">
        <f>HYPERLINK("https://platform.v2.vetology.net/cases/2685287/screening-report/1?type=pdf&amp;v=v6&amp;scorecard=1&amp;secret_key=BX%25IJ%24%2F65ieZ%29f6", 2685287)</f>
        <v>2685287</v>
      </c>
      <c r="C3976" s="2">
        <f>HYPERLINK("https://platform.v2.vetology.net/report/v/final/"&amp;2685287, 2685287)</f>
        <v>2685287</v>
      </c>
      <c r="D3976" s="2" t="s">
        <v>12452</v>
      </c>
      <c r="E3976" s="2" t="s">
        <v>12453</v>
      </c>
      <c r="F3976" s="2" t="s">
        <v>12454</v>
      </c>
      <c r="G3976" s="2" t="s">
        <v>170</v>
      </c>
      <c r="H3976" s="2" t="s">
        <v>69</v>
      </c>
      <c r="I3976" s="2" t="s">
        <v>46</v>
      </c>
      <c r="J3976" s="2"/>
      <c r="K3976" s="2" t="s">
        <v>39</v>
      </c>
      <c r="L3976" s="2" t="s">
        <v>39</v>
      </c>
      <c r="M3976" s="2" t="s">
        <v>39</v>
      </c>
      <c r="N3976" s="2" t="s">
        <v>39</v>
      </c>
      <c r="O3976" s="2" t="s">
        <v>38</v>
      </c>
      <c r="P3976" s="2" t="s">
        <v>39</v>
      </c>
      <c r="Q3976" s="2" t="s">
        <v>39</v>
      </c>
      <c r="R3976" s="2" t="s">
        <v>39</v>
      </c>
      <c r="S3976" s="2" t="s">
        <v>39</v>
      </c>
      <c r="T3976" s="2" t="s">
        <v>39</v>
      </c>
      <c r="U3976" s="2" t="s">
        <v>39</v>
      </c>
      <c r="V3976" s="2" t="s">
        <v>39</v>
      </c>
      <c r="W3976" s="2" t="s">
        <v>38</v>
      </c>
      <c r="X3976" s="2" t="s">
        <v>39</v>
      </c>
      <c r="Y3976" s="2" t="s">
        <v>39</v>
      </c>
      <c r="Z3976" s="2" t="s">
        <v>38</v>
      </c>
      <c r="AA3976" s="2" t="s">
        <v>38</v>
      </c>
      <c r="AB3976" s="2" t="s">
        <v>39</v>
      </c>
      <c r="AC3976" s="2" t="s">
        <v>38</v>
      </c>
      <c r="AD3976" s="2" t="s">
        <v>39</v>
      </c>
      <c r="AE3976" s="2" t="s">
        <v>40</v>
      </c>
    </row>
    <row r="3977" spans="1:31" ht="409.5">
      <c r="A3977" s="2">
        <v>2685273</v>
      </c>
      <c r="B3977" s="2">
        <f>HYPERLINK("https://platform.v2.vetology.net/cases/2685273/screening-report/1?type=pdf&amp;v=v6&amp;scorecard=1&amp;secret_key=BX%25IJ%24%2F65ieZ%29f6", 2685273)</f>
        <v>2685273</v>
      </c>
      <c r="C3977" s="2">
        <f>HYPERLINK("https://platform.v2.vetology.net/report/v/final/"&amp;2685273, 2685273)</f>
        <v>2685273</v>
      </c>
      <c r="D3977" s="2" t="s">
        <v>12455</v>
      </c>
      <c r="E3977" s="2" t="s">
        <v>12456</v>
      </c>
      <c r="F3977" s="2" t="s">
        <v>12457</v>
      </c>
      <c r="G3977" s="2" t="s">
        <v>53</v>
      </c>
      <c r="H3977" s="2" t="s">
        <v>12458</v>
      </c>
      <c r="I3977" s="2" t="s">
        <v>36</v>
      </c>
      <c r="J3977" s="2" t="s">
        <v>37</v>
      </c>
      <c r="K3977" s="2" t="s">
        <v>39</v>
      </c>
      <c r="L3977" s="2" t="s">
        <v>38</v>
      </c>
      <c r="M3977" s="2" t="s">
        <v>38</v>
      </c>
      <c r="N3977" s="2" t="s">
        <v>38</v>
      </c>
      <c r="O3977" s="2" t="s">
        <v>38</v>
      </c>
      <c r="P3977" s="2" t="s">
        <v>38</v>
      </c>
      <c r="Q3977" s="2" t="s">
        <v>39</v>
      </c>
      <c r="R3977" s="2" t="s">
        <v>38</v>
      </c>
      <c r="S3977" s="2" t="s">
        <v>38</v>
      </c>
      <c r="T3977" s="2" t="s">
        <v>38</v>
      </c>
      <c r="U3977" s="2" t="s">
        <v>39</v>
      </c>
      <c r="V3977" s="2" t="s">
        <v>39</v>
      </c>
      <c r="W3977" s="2" t="s">
        <v>38</v>
      </c>
      <c r="X3977" s="2" t="s">
        <v>39</v>
      </c>
      <c r="Y3977" s="2" t="s">
        <v>39</v>
      </c>
      <c r="Z3977" s="2" t="s">
        <v>38</v>
      </c>
      <c r="AA3977" s="2" t="s">
        <v>38</v>
      </c>
      <c r="AB3977" s="2" t="s">
        <v>39</v>
      </c>
      <c r="AC3977" s="2" t="s">
        <v>38</v>
      </c>
      <c r="AD3977" s="2" t="s">
        <v>39</v>
      </c>
      <c r="AE3977" s="2" t="s">
        <v>40</v>
      </c>
    </row>
    <row r="3978" spans="1:31" ht="409.5">
      <c r="A3978" s="2">
        <v>2685264</v>
      </c>
      <c r="B3978" s="2">
        <f>HYPERLINK("https://platform.v2.vetology.net/cases/2685264/screening-report/1?type=pdf&amp;v=v6&amp;scorecard=1&amp;secret_key=BX%25IJ%24%2F65ieZ%29f6", 2685264)</f>
        <v>2685264</v>
      </c>
      <c r="C3978" s="2">
        <f>HYPERLINK("https://platform.v2.vetology.net/report/v/final/"&amp;2685264, 2685264)</f>
        <v>2685264</v>
      </c>
      <c r="D3978" s="2" t="s">
        <v>12459</v>
      </c>
      <c r="E3978" s="2" t="s">
        <v>12460</v>
      </c>
      <c r="F3978" s="2" t="s">
        <v>12461</v>
      </c>
      <c r="G3978" s="2" t="s">
        <v>415</v>
      </c>
      <c r="H3978" s="2" t="s">
        <v>12462</v>
      </c>
      <c r="I3978" s="2" t="s">
        <v>129</v>
      </c>
      <c r="J3978" s="2" t="s">
        <v>74</v>
      </c>
      <c r="K3978" s="2" t="s">
        <v>38</v>
      </c>
      <c r="L3978" s="2" t="s">
        <v>39</v>
      </c>
      <c r="M3978" s="2" t="s">
        <v>39</v>
      </c>
      <c r="N3978" s="2" t="s">
        <v>39</v>
      </c>
      <c r="O3978" s="2" t="s">
        <v>39</v>
      </c>
      <c r="P3978" s="2" t="s">
        <v>38</v>
      </c>
      <c r="Q3978" s="2" t="s">
        <v>38</v>
      </c>
      <c r="R3978" s="2" t="s">
        <v>39</v>
      </c>
      <c r="S3978" s="2" t="s">
        <v>39</v>
      </c>
      <c r="T3978" s="2" t="s">
        <v>38</v>
      </c>
      <c r="U3978" s="2" t="s">
        <v>38</v>
      </c>
      <c r="V3978" s="2" t="s">
        <v>38</v>
      </c>
      <c r="W3978" s="2" t="s">
        <v>39</v>
      </c>
      <c r="X3978" s="2" t="s">
        <v>39</v>
      </c>
      <c r="Y3978" s="2" t="s">
        <v>39</v>
      </c>
      <c r="Z3978" s="2" t="s">
        <v>38</v>
      </c>
      <c r="AA3978" s="2" t="s">
        <v>39</v>
      </c>
      <c r="AB3978" s="2" t="s">
        <v>39</v>
      </c>
      <c r="AC3978" s="2" t="s">
        <v>39</v>
      </c>
      <c r="AD3978" s="2" t="s">
        <v>39</v>
      </c>
      <c r="AE3978" s="2" t="s">
        <v>40</v>
      </c>
    </row>
    <row r="3979" spans="1:31" ht="409.5">
      <c r="A3979" s="2">
        <v>2685263</v>
      </c>
      <c r="B3979" s="2">
        <f>HYPERLINK("https://platform.v2.vetology.net/cases/2685263/screening-report/1?type=pdf&amp;v=v6&amp;scorecard=1&amp;secret_key=BX%25IJ%24%2F65ieZ%29f6", 2685263)</f>
        <v>2685263</v>
      </c>
      <c r="C3979" s="2">
        <f>HYPERLINK("https://platform.v2.vetology.net/report/v/final/"&amp;2685263, 2685263)</f>
        <v>2685263</v>
      </c>
      <c r="D3979" s="2" t="s">
        <v>12463</v>
      </c>
      <c r="E3979" s="2" t="s">
        <v>12464</v>
      </c>
      <c r="F3979" s="2" t="s">
        <v>12465</v>
      </c>
      <c r="G3979" s="2" t="s">
        <v>556</v>
      </c>
      <c r="H3979" s="2" t="s">
        <v>12466</v>
      </c>
      <c r="I3979" s="2" t="s">
        <v>73</v>
      </c>
      <c r="J3979" s="2" t="s">
        <v>74</v>
      </c>
      <c r="K3979" s="2" t="s">
        <v>38</v>
      </c>
      <c r="L3979" s="2" t="s">
        <v>38</v>
      </c>
      <c r="M3979" s="2" t="s">
        <v>38</v>
      </c>
      <c r="N3979" s="2" t="s">
        <v>38</v>
      </c>
      <c r="O3979" s="2" t="s">
        <v>38</v>
      </c>
      <c r="P3979" s="2" t="s">
        <v>38</v>
      </c>
      <c r="Q3979" s="2" t="s">
        <v>38</v>
      </c>
      <c r="R3979" s="2" t="s">
        <v>39</v>
      </c>
      <c r="S3979" s="2" t="s">
        <v>38</v>
      </c>
      <c r="T3979" s="2" t="s">
        <v>38</v>
      </c>
      <c r="U3979" s="2" t="s">
        <v>38</v>
      </c>
      <c r="V3979" s="2" t="s">
        <v>38</v>
      </c>
      <c r="W3979" s="2" t="s">
        <v>38</v>
      </c>
      <c r="X3979" s="2" t="s">
        <v>38</v>
      </c>
      <c r="Y3979" s="2" t="s">
        <v>38</v>
      </c>
      <c r="Z3979" s="2" t="s">
        <v>39</v>
      </c>
      <c r="AA3979" s="2" t="s">
        <v>38</v>
      </c>
      <c r="AB3979" s="2" t="s">
        <v>38</v>
      </c>
      <c r="AC3979" s="2" t="s">
        <v>38</v>
      </c>
      <c r="AD3979" s="2" t="s">
        <v>39</v>
      </c>
      <c r="AE3979" s="2" t="s">
        <v>39</v>
      </c>
    </row>
    <row r="3980" spans="1:31" ht="409.5">
      <c r="A3980" s="2">
        <v>2685262</v>
      </c>
      <c r="B3980" s="2">
        <f>HYPERLINK("https://platform.v2.vetology.net/cases/2685262/screening-report/1?type=pdf&amp;v=v6&amp;scorecard=1&amp;secret_key=BX%25IJ%24%2F65ieZ%29f6", 2685262)</f>
        <v>2685262</v>
      </c>
      <c r="C3980" s="2">
        <f>HYPERLINK("https://platform.v2.vetology.net/report/v/final/"&amp;2685262, 2685262)</f>
        <v>2685262</v>
      </c>
      <c r="D3980" s="2" t="s">
        <v>12467</v>
      </c>
      <c r="E3980" s="2" t="s">
        <v>12468</v>
      </c>
      <c r="F3980" s="2" t="s">
        <v>12469</v>
      </c>
      <c r="G3980" s="2" t="s">
        <v>127</v>
      </c>
      <c r="H3980" s="2" t="s">
        <v>398</v>
      </c>
      <c r="I3980" s="2" t="s">
        <v>46</v>
      </c>
      <c r="J3980" s="2"/>
      <c r="K3980" s="2" t="s">
        <v>38</v>
      </c>
      <c r="L3980" s="2" t="s">
        <v>39</v>
      </c>
      <c r="M3980" s="2" t="s">
        <v>39</v>
      </c>
      <c r="N3980" s="2" t="s">
        <v>39</v>
      </c>
      <c r="O3980" s="2" t="s">
        <v>39</v>
      </c>
      <c r="P3980" s="2" t="s">
        <v>39</v>
      </c>
      <c r="Q3980" s="2" t="s">
        <v>39</v>
      </c>
      <c r="R3980" s="2" t="s">
        <v>39</v>
      </c>
      <c r="S3980" s="2" t="s">
        <v>39</v>
      </c>
      <c r="T3980" s="2" t="s">
        <v>39</v>
      </c>
      <c r="U3980" s="2" t="s">
        <v>38</v>
      </c>
      <c r="V3980" s="2" t="s">
        <v>38</v>
      </c>
      <c r="W3980" s="2" t="s">
        <v>39</v>
      </c>
      <c r="X3980" s="2" t="s">
        <v>39</v>
      </c>
      <c r="Y3980" s="2" t="s">
        <v>39</v>
      </c>
      <c r="Z3980" s="2" t="s">
        <v>39</v>
      </c>
      <c r="AA3980" s="2" t="s">
        <v>39</v>
      </c>
      <c r="AB3980" s="2" t="s">
        <v>39</v>
      </c>
      <c r="AC3980" s="2" t="s">
        <v>39</v>
      </c>
      <c r="AD3980" s="2" t="s">
        <v>39</v>
      </c>
      <c r="AE3980" s="2" t="s">
        <v>39</v>
      </c>
    </row>
    <row r="3981" spans="1:31" ht="409.5">
      <c r="A3981" s="2">
        <v>2685246</v>
      </c>
      <c r="B3981" s="2">
        <f>HYPERLINK("https://platform.v2.vetology.net/cases/2685246/screening-report/1?type=pdf&amp;v=v6&amp;scorecard=1&amp;secret_key=BX%25IJ%24%2F65ieZ%29f6", 2685246)</f>
        <v>2685246</v>
      </c>
      <c r="C3981" s="2">
        <f>HYPERLINK("https://platform.v2.vetology.net/report/v/final/"&amp;2685246, 2685246)</f>
        <v>2685246</v>
      </c>
      <c r="D3981" s="2" t="s">
        <v>12470</v>
      </c>
      <c r="E3981" s="2" t="s">
        <v>12471</v>
      </c>
      <c r="F3981" s="2" t="s">
        <v>12472</v>
      </c>
      <c r="G3981" s="2" t="s">
        <v>53</v>
      </c>
      <c r="H3981" s="2" t="s">
        <v>12473</v>
      </c>
      <c r="I3981" s="2" t="s">
        <v>73</v>
      </c>
      <c r="J3981" s="2" t="s">
        <v>74</v>
      </c>
      <c r="K3981" s="2" t="s">
        <v>38</v>
      </c>
      <c r="L3981" s="2" t="s">
        <v>38</v>
      </c>
      <c r="M3981" s="2" t="s">
        <v>38</v>
      </c>
      <c r="N3981" s="2" t="s">
        <v>38</v>
      </c>
      <c r="O3981" s="2" t="s">
        <v>38</v>
      </c>
      <c r="P3981" s="2" t="s">
        <v>38</v>
      </c>
      <c r="Q3981" s="2" t="s">
        <v>38</v>
      </c>
      <c r="R3981" s="2" t="s">
        <v>38</v>
      </c>
      <c r="S3981" s="2" t="s">
        <v>38</v>
      </c>
      <c r="T3981" s="2" t="s">
        <v>38</v>
      </c>
      <c r="U3981" s="2" t="s">
        <v>38</v>
      </c>
      <c r="V3981" s="2" t="s">
        <v>38</v>
      </c>
      <c r="W3981" s="2" t="s">
        <v>38</v>
      </c>
      <c r="X3981" s="2" t="s">
        <v>38</v>
      </c>
      <c r="Y3981" s="2" t="s">
        <v>38</v>
      </c>
      <c r="Z3981" s="2" t="s">
        <v>38</v>
      </c>
      <c r="AA3981" s="2" t="s">
        <v>38</v>
      </c>
      <c r="AB3981" s="2" t="s">
        <v>38</v>
      </c>
      <c r="AC3981" s="2" t="s">
        <v>38</v>
      </c>
      <c r="AD3981" s="2" t="s">
        <v>38</v>
      </c>
      <c r="AE3981" s="2" t="s">
        <v>39</v>
      </c>
    </row>
    <row r="3982" spans="1:31" ht="409.5">
      <c r="A3982" s="2">
        <v>2685210</v>
      </c>
      <c r="B3982" s="2">
        <f>HYPERLINK("https://platform.v2.vetology.net/cases/2685210/screening-report/1?type=pdf&amp;v=v6&amp;scorecard=1&amp;secret_key=BX%25IJ%24%2F65ieZ%29f6", 2685210)</f>
        <v>2685210</v>
      </c>
      <c r="C3982" s="2">
        <f>HYPERLINK("https://platform.v2.vetology.net/report/v/final/"&amp;2685210, 2685210)</f>
        <v>2685210</v>
      </c>
      <c r="D3982" s="2" t="s">
        <v>12474</v>
      </c>
      <c r="E3982" s="2" t="s">
        <v>12475</v>
      </c>
      <c r="F3982" s="2" t="s">
        <v>43</v>
      </c>
      <c r="G3982" s="2" t="s">
        <v>507</v>
      </c>
      <c r="H3982" s="2" t="s">
        <v>12476</v>
      </c>
      <c r="I3982" s="2" t="s">
        <v>36</v>
      </c>
      <c r="J3982" s="2" t="s">
        <v>37</v>
      </c>
      <c r="K3982" s="2" t="s">
        <v>39</v>
      </c>
      <c r="L3982" s="2" t="s">
        <v>39</v>
      </c>
      <c r="M3982" s="2" t="s">
        <v>38</v>
      </c>
      <c r="N3982" s="2" t="s">
        <v>38</v>
      </c>
      <c r="O3982" s="2" t="s">
        <v>38</v>
      </c>
      <c r="P3982" s="2" t="s">
        <v>39</v>
      </c>
      <c r="Q3982" s="2" t="s">
        <v>39</v>
      </c>
      <c r="R3982" s="2" t="s">
        <v>38</v>
      </c>
      <c r="S3982" s="2" t="s">
        <v>38</v>
      </c>
      <c r="T3982" s="2" t="s">
        <v>38</v>
      </c>
      <c r="U3982" s="2" t="s">
        <v>39</v>
      </c>
      <c r="V3982" s="2" t="s">
        <v>39</v>
      </c>
      <c r="W3982" s="2" t="s">
        <v>38</v>
      </c>
      <c r="X3982" s="2" t="s">
        <v>39</v>
      </c>
      <c r="Y3982" s="2" t="s">
        <v>39</v>
      </c>
      <c r="Z3982" s="2" t="s">
        <v>38</v>
      </c>
      <c r="AA3982" s="2" t="s">
        <v>38</v>
      </c>
      <c r="AB3982" s="2" t="s">
        <v>39</v>
      </c>
      <c r="AC3982" s="2" t="s">
        <v>38</v>
      </c>
      <c r="AD3982" s="2" t="s">
        <v>38</v>
      </c>
      <c r="AE3982" s="2"/>
    </row>
    <row r="3983" spans="1:31" ht="409.5">
      <c r="A3983" s="2">
        <v>2685208</v>
      </c>
      <c r="B3983" s="2">
        <f>HYPERLINK("https://platform.v2.vetology.net/cases/2685208/screening-report/1?type=pdf&amp;v=v6&amp;scorecard=1&amp;secret_key=BX%25IJ%24%2F65ieZ%29f6", 2685208)</f>
        <v>2685208</v>
      </c>
      <c r="C3983" s="2">
        <f>HYPERLINK("https://platform.v2.vetology.net/report/v/final/"&amp;2685208, 2685208)</f>
        <v>2685208</v>
      </c>
      <c r="D3983" s="2" t="s">
        <v>12477</v>
      </c>
      <c r="E3983" s="2" t="s">
        <v>12478</v>
      </c>
      <c r="F3983" s="2" t="s">
        <v>12479</v>
      </c>
      <c r="G3983" s="2" t="s">
        <v>415</v>
      </c>
      <c r="H3983" s="2" t="s">
        <v>69</v>
      </c>
      <c r="I3983" s="2" t="s">
        <v>46</v>
      </c>
      <c r="J3983" s="2"/>
      <c r="K3983" s="2" t="s">
        <v>39</v>
      </c>
      <c r="L3983" s="2" t="s">
        <v>39</v>
      </c>
      <c r="M3983" s="2" t="s">
        <v>39</v>
      </c>
      <c r="N3983" s="2" t="s">
        <v>39</v>
      </c>
      <c r="O3983" s="2" t="s">
        <v>39</v>
      </c>
      <c r="P3983" s="2" t="s">
        <v>39</v>
      </c>
      <c r="Q3983" s="2" t="s">
        <v>39</v>
      </c>
      <c r="R3983" s="2" t="s">
        <v>39</v>
      </c>
      <c r="S3983" s="2" t="s">
        <v>39</v>
      </c>
      <c r="T3983" s="2" t="s">
        <v>39</v>
      </c>
      <c r="U3983" s="2" t="s">
        <v>39</v>
      </c>
      <c r="V3983" s="2" t="s">
        <v>38</v>
      </c>
      <c r="W3983" s="2" t="s">
        <v>39</v>
      </c>
      <c r="X3983" s="2" t="s">
        <v>39</v>
      </c>
      <c r="Y3983" s="2" t="s">
        <v>39</v>
      </c>
      <c r="Z3983" s="2" t="s">
        <v>39</v>
      </c>
      <c r="AA3983" s="2" t="s">
        <v>39</v>
      </c>
      <c r="AB3983" s="2" t="s">
        <v>39</v>
      </c>
      <c r="AC3983" s="2" t="s">
        <v>38</v>
      </c>
      <c r="AD3983" s="2" t="s">
        <v>38</v>
      </c>
      <c r="AE3983" s="2" t="s">
        <v>39</v>
      </c>
    </row>
    <row r="3984" spans="1:31" ht="409.5">
      <c r="A3984" s="2">
        <v>2685203</v>
      </c>
      <c r="B3984" s="2">
        <f>HYPERLINK("https://platform.v2.vetology.net/cases/2685203/screening-report/1?type=pdf&amp;v=v6&amp;scorecard=1&amp;secret_key=BX%25IJ%24%2F65ieZ%29f6", 2685203)</f>
        <v>2685203</v>
      </c>
      <c r="C3984" s="2">
        <f>HYPERLINK("https://platform.v2.vetology.net/report/v/final/"&amp;2685203, 2685203)</f>
        <v>2685203</v>
      </c>
      <c r="D3984" s="2" t="s">
        <v>12480</v>
      </c>
      <c r="E3984" s="2" t="s">
        <v>12481</v>
      </c>
      <c r="F3984" s="2" t="s">
        <v>43</v>
      </c>
      <c r="G3984" s="2" t="s">
        <v>507</v>
      </c>
      <c r="H3984" s="2" t="s">
        <v>45</v>
      </c>
      <c r="I3984" s="2" t="s">
        <v>46</v>
      </c>
      <c r="J3984" s="2"/>
      <c r="K3984" s="2" t="s">
        <v>39</v>
      </c>
      <c r="L3984" s="2" t="s">
        <v>39</v>
      </c>
      <c r="M3984" s="2" t="s">
        <v>39</v>
      </c>
      <c r="N3984" s="2" t="s">
        <v>39</v>
      </c>
      <c r="O3984" s="2" t="s">
        <v>39</v>
      </c>
      <c r="P3984" s="2" t="s">
        <v>39</v>
      </c>
      <c r="Q3984" s="2" t="s">
        <v>39</v>
      </c>
      <c r="R3984" s="2" t="s">
        <v>38</v>
      </c>
      <c r="S3984" s="2" t="s">
        <v>39</v>
      </c>
      <c r="T3984" s="2" t="s">
        <v>39</v>
      </c>
      <c r="U3984" s="2" t="s">
        <v>39</v>
      </c>
      <c r="V3984" s="2" t="s">
        <v>38</v>
      </c>
      <c r="W3984" s="2" t="s">
        <v>38</v>
      </c>
      <c r="X3984" s="2" t="s">
        <v>39</v>
      </c>
      <c r="Y3984" s="2" t="s">
        <v>39</v>
      </c>
      <c r="Z3984" s="2" t="s">
        <v>39</v>
      </c>
      <c r="AA3984" s="2" t="s">
        <v>39</v>
      </c>
      <c r="AB3984" s="2" t="s">
        <v>39</v>
      </c>
      <c r="AC3984" s="2" t="s">
        <v>38</v>
      </c>
      <c r="AD3984" s="2" t="s">
        <v>39</v>
      </c>
      <c r="AE3984" s="2" t="s">
        <v>39</v>
      </c>
    </row>
    <row r="3985" spans="1:31" ht="409.5">
      <c r="A3985" s="2">
        <v>2685182</v>
      </c>
      <c r="B3985" s="2">
        <f>HYPERLINK("https://platform.v2.vetology.net/cases/2685182/screening-report/1?type=pdf&amp;v=v6&amp;scorecard=1&amp;secret_key=BX%25IJ%24%2F65ieZ%29f6", 2685182)</f>
        <v>2685182</v>
      </c>
      <c r="C3985" s="2">
        <f>HYPERLINK("https://platform.v2.vetology.net/report/v/final/"&amp;2685182, 2685182)</f>
        <v>2685182</v>
      </c>
      <c r="D3985" s="2" t="s">
        <v>12482</v>
      </c>
      <c r="E3985" s="2" t="s">
        <v>12483</v>
      </c>
      <c r="F3985" s="2" t="s">
        <v>12484</v>
      </c>
      <c r="G3985" s="2" t="s">
        <v>53</v>
      </c>
      <c r="H3985" s="2" t="s">
        <v>12485</v>
      </c>
      <c r="I3985" s="2" t="s">
        <v>73</v>
      </c>
      <c r="J3985" s="2" t="s">
        <v>74</v>
      </c>
      <c r="K3985" s="2" t="s">
        <v>38</v>
      </c>
      <c r="L3985" s="2" t="s">
        <v>38</v>
      </c>
      <c r="M3985" s="2" t="s">
        <v>38</v>
      </c>
      <c r="N3985" s="2" t="s">
        <v>38</v>
      </c>
      <c r="O3985" s="2" t="s">
        <v>38</v>
      </c>
      <c r="P3985" s="2" t="s">
        <v>38</v>
      </c>
      <c r="Q3985" s="2" t="s">
        <v>38</v>
      </c>
      <c r="R3985" s="2" t="s">
        <v>38</v>
      </c>
      <c r="S3985" s="2" t="s">
        <v>38</v>
      </c>
      <c r="T3985" s="2" t="s">
        <v>38</v>
      </c>
      <c r="U3985" s="2" t="s">
        <v>38</v>
      </c>
      <c r="V3985" s="2" t="s">
        <v>38</v>
      </c>
      <c r="W3985" s="2" t="s">
        <v>38</v>
      </c>
      <c r="X3985" s="2" t="s">
        <v>38</v>
      </c>
      <c r="Y3985" s="2" t="s">
        <v>38</v>
      </c>
      <c r="Z3985" s="2" t="s">
        <v>38</v>
      </c>
      <c r="AA3985" s="2" t="s">
        <v>38</v>
      </c>
      <c r="AB3985" s="2" t="s">
        <v>38</v>
      </c>
      <c r="AC3985" s="2" t="s">
        <v>38</v>
      </c>
      <c r="AD3985" s="2" t="s">
        <v>38</v>
      </c>
      <c r="AE3985" s="2" t="s">
        <v>39</v>
      </c>
    </row>
    <row r="3986" spans="1:31" ht="409.5">
      <c r="A3986" s="2">
        <v>2685181</v>
      </c>
      <c r="B3986" s="2">
        <f>HYPERLINK("https://platform.v2.vetology.net/cases/2685181/screening-report/1?type=pdf&amp;v=v6&amp;scorecard=1&amp;secret_key=BX%25IJ%24%2F65ieZ%29f6", 2685181)</f>
        <v>2685181</v>
      </c>
      <c r="C3986" s="2">
        <f>HYPERLINK("https://platform.v2.vetology.net/report/v/final/"&amp;2685181, 2685181)</f>
        <v>2685181</v>
      </c>
      <c r="D3986" s="2" t="s">
        <v>12486</v>
      </c>
      <c r="E3986" s="2" t="s">
        <v>12487</v>
      </c>
      <c r="F3986" s="2" t="s">
        <v>12488</v>
      </c>
      <c r="G3986" s="2" t="s">
        <v>145</v>
      </c>
      <c r="H3986" s="2" t="s">
        <v>12489</v>
      </c>
      <c r="I3986" s="2" t="s">
        <v>36</v>
      </c>
      <c r="J3986" s="2" t="s">
        <v>37</v>
      </c>
      <c r="K3986" s="2" t="s">
        <v>39</v>
      </c>
      <c r="L3986" s="2" t="s">
        <v>38</v>
      </c>
      <c r="M3986" s="2" t="s">
        <v>38</v>
      </c>
      <c r="N3986" s="2" t="s">
        <v>38</v>
      </c>
      <c r="O3986" s="2" t="s">
        <v>38</v>
      </c>
      <c r="P3986" s="2" t="s">
        <v>39</v>
      </c>
      <c r="Q3986" s="2" t="s">
        <v>39</v>
      </c>
      <c r="R3986" s="2" t="s">
        <v>39</v>
      </c>
      <c r="S3986" s="2" t="s">
        <v>38</v>
      </c>
      <c r="T3986" s="2" t="s">
        <v>39</v>
      </c>
      <c r="U3986" s="2" t="s">
        <v>39</v>
      </c>
      <c r="V3986" s="2" t="s">
        <v>39</v>
      </c>
      <c r="W3986" s="2" t="s">
        <v>38</v>
      </c>
      <c r="X3986" s="2" t="s">
        <v>39</v>
      </c>
      <c r="Y3986" s="2" t="s">
        <v>39</v>
      </c>
      <c r="Z3986" s="2" t="s">
        <v>38</v>
      </c>
      <c r="AA3986" s="2" t="s">
        <v>38</v>
      </c>
      <c r="AB3986" s="2" t="s">
        <v>39</v>
      </c>
      <c r="AC3986" s="2" t="s">
        <v>38</v>
      </c>
      <c r="AD3986" s="2" t="s">
        <v>38</v>
      </c>
      <c r="AE3986" s="2" t="s">
        <v>40</v>
      </c>
    </row>
    <row r="3987" spans="1:31" ht="409.5">
      <c r="A3987" s="2">
        <v>2685143</v>
      </c>
      <c r="B3987" s="2">
        <f>HYPERLINK("https://platform.v2.vetology.net/cases/2685143/screening-report/1?type=pdf&amp;v=v6&amp;scorecard=1&amp;secret_key=BX%25IJ%24%2F65ieZ%29f6", 2685143)</f>
        <v>2685143</v>
      </c>
      <c r="C3987" s="2">
        <f>HYPERLINK("https://platform.v2.vetology.net/report/v/final/"&amp;2685143, 2685143)</f>
        <v>2685143</v>
      </c>
      <c r="D3987" s="2" t="s">
        <v>12490</v>
      </c>
      <c r="E3987" s="2" t="s">
        <v>12491</v>
      </c>
      <c r="F3987" s="2" t="s">
        <v>43</v>
      </c>
      <c r="G3987" s="2" t="s">
        <v>507</v>
      </c>
      <c r="H3987" s="2" t="s">
        <v>69</v>
      </c>
      <c r="I3987" s="2" t="s">
        <v>46</v>
      </c>
      <c r="J3987" s="2"/>
      <c r="K3987" s="2" t="s">
        <v>39</v>
      </c>
      <c r="L3987" s="2" t="s">
        <v>39</v>
      </c>
      <c r="M3987" s="2" t="s">
        <v>39</v>
      </c>
      <c r="N3987" s="2" t="s">
        <v>39</v>
      </c>
      <c r="O3987" s="2" t="s">
        <v>39</v>
      </c>
      <c r="P3987" s="2" t="s">
        <v>39</v>
      </c>
      <c r="Q3987" s="2" t="s">
        <v>39</v>
      </c>
      <c r="R3987" s="2" t="s">
        <v>39</v>
      </c>
      <c r="S3987" s="2" t="s">
        <v>39</v>
      </c>
      <c r="T3987" s="2" t="s">
        <v>39</v>
      </c>
      <c r="U3987" s="2" t="s">
        <v>39</v>
      </c>
      <c r="V3987" s="2" t="s">
        <v>39</v>
      </c>
      <c r="W3987" s="2" t="s">
        <v>38</v>
      </c>
      <c r="X3987" s="2" t="s">
        <v>39</v>
      </c>
      <c r="Y3987" s="2" t="s">
        <v>39</v>
      </c>
      <c r="Z3987" s="2" t="s">
        <v>39</v>
      </c>
      <c r="AA3987" s="2" t="s">
        <v>39</v>
      </c>
      <c r="AB3987" s="2" t="s">
        <v>39</v>
      </c>
      <c r="AC3987" s="2" t="s">
        <v>38</v>
      </c>
      <c r="AD3987" s="2" t="s">
        <v>39</v>
      </c>
      <c r="AE3987" s="2" t="s">
        <v>40</v>
      </c>
    </row>
    <row r="3988" spans="1:31" ht="409.5">
      <c r="A3988" s="2">
        <v>2685127</v>
      </c>
      <c r="B3988" s="2">
        <f>HYPERLINK("https://platform.v2.vetology.net/cases/2685127/screening-report/1?type=pdf&amp;v=v6&amp;scorecard=1&amp;secret_key=BX%25IJ%24%2F65ieZ%29f6", 2685127)</f>
        <v>2685127</v>
      </c>
      <c r="C3988" s="2">
        <f>HYPERLINK("https://platform.v2.vetology.net/report/v/final/"&amp;2685127, 2685127)</f>
        <v>2685127</v>
      </c>
      <c r="D3988" s="2" t="s">
        <v>12492</v>
      </c>
      <c r="E3988" s="2" t="s">
        <v>12493</v>
      </c>
      <c r="F3988" s="2" t="s">
        <v>12494</v>
      </c>
      <c r="G3988" s="2" t="s">
        <v>53</v>
      </c>
      <c r="H3988" s="2" t="s">
        <v>12495</v>
      </c>
      <c r="I3988" s="2" t="s">
        <v>129</v>
      </c>
      <c r="J3988" s="2" t="s">
        <v>74</v>
      </c>
      <c r="K3988" s="2" t="s">
        <v>38</v>
      </c>
      <c r="L3988" s="2" t="s">
        <v>38</v>
      </c>
      <c r="M3988" s="2" t="s">
        <v>38</v>
      </c>
      <c r="N3988" s="2" t="s">
        <v>38</v>
      </c>
      <c r="O3988" s="2" t="s">
        <v>38</v>
      </c>
      <c r="P3988" s="2" t="s">
        <v>38</v>
      </c>
      <c r="Q3988" s="2" t="s">
        <v>38</v>
      </c>
      <c r="R3988" s="2" t="s">
        <v>38</v>
      </c>
      <c r="S3988" s="2" t="s">
        <v>38</v>
      </c>
      <c r="T3988" s="2" t="s">
        <v>38</v>
      </c>
      <c r="U3988" s="2" t="s">
        <v>39</v>
      </c>
      <c r="V3988" s="2" t="s">
        <v>38</v>
      </c>
      <c r="W3988" s="2" t="s">
        <v>38</v>
      </c>
      <c r="X3988" s="2" t="s">
        <v>38</v>
      </c>
      <c r="Y3988" s="2" t="s">
        <v>38</v>
      </c>
      <c r="Z3988" s="2" t="s">
        <v>38</v>
      </c>
      <c r="AA3988" s="2" t="s">
        <v>38</v>
      </c>
      <c r="AB3988" s="2" t="s">
        <v>38</v>
      </c>
      <c r="AC3988" s="2" t="s">
        <v>38</v>
      </c>
      <c r="AD3988" s="2" t="s">
        <v>38</v>
      </c>
      <c r="AE3988" s="2" t="s">
        <v>40</v>
      </c>
    </row>
    <row r="3989" spans="1:31" ht="409.5">
      <c r="A3989" s="2">
        <v>2685087</v>
      </c>
      <c r="B3989" s="2">
        <f>HYPERLINK("https://platform.v2.vetology.net/cases/2685087/screening-report/1?type=pdf&amp;v=v6&amp;scorecard=1&amp;secret_key=BX%25IJ%24%2F65ieZ%29f6", 2685087)</f>
        <v>2685087</v>
      </c>
      <c r="C3989" s="2">
        <f>HYPERLINK("https://platform.v2.vetology.net/report/v/final/"&amp;2685087, 2685087)</f>
        <v>2685087</v>
      </c>
      <c r="D3989" s="2" t="s">
        <v>5239</v>
      </c>
      <c r="E3989" s="2" t="s">
        <v>1091</v>
      </c>
      <c r="F3989" s="2" t="s">
        <v>787</v>
      </c>
      <c r="G3989" s="2" t="s">
        <v>100</v>
      </c>
      <c r="H3989" s="2" t="s">
        <v>69</v>
      </c>
      <c r="I3989" s="2" t="s">
        <v>46</v>
      </c>
      <c r="J3989" s="2"/>
      <c r="K3989" s="2" t="s">
        <v>39</v>
      </c>
      <c r="L3989" s="2" t="s">
        <v>39</v>
      </c>
      <c r="M3989" s="2" t="s">
        <v>39</v>
      </c>
      <c r="N3989" s="2" t="s">
        <v>39</v>
      </c>
      <c r="O3989" s="2" t="s">
        <v>39</v>
      </c>
      <c r="P3989" s="2" t="s">
        <v>39</v>
      </c>
      <c r="Q3989" s="2" t="s">
        <v>39</v>
      </c>
      <c r="R3989" s="2" t="s">
        <v>39</v>
      </c>
      <c r="S3989" s="2" t="s">
        <v>39</v>
      </c>
      <c r="T3989" s="2" t="s">
        <v>39</v>
      </c>
      <c r="U3989" s="2" t="s">
        <v>39</v>
      </c>
      <c r="V3989" s="2" t="s">
        <v>39</v>
      </c>
      <c r="W3989" s="2" t="s">
        <v>39</v>
      </c>
      <c r="X3989" s="2" t="s">
        <v>39</v>
      </c>
      <c r="Y3989" s="2" t="s">
        <v>39</v>
      </c>
      <c r="Z3989" s="2" t="s">
        <v>39</v>
      </c>
      <c r="AA3989" s="2" t="s">
        <v>39</v>
      </c>
      <c r="AB3989" s="2" t="s">
        <v>39</v>
      </c>
      <c r="AC3989" s="2" t="s">
        <v>38</v>
      </c>
      <c r="AD3989" s="2" t="s">
        <v>39</v>
      </c>
      <c r="AE3989" s="2" t="s">
        <v>39</v>
      </c>
    </row>
    <row r="3990" spans="1:31" ht="409.5">
      <c r="A3990" s="2">
        <v>2685078</v>
      </c>
      <c r="B3990" s="2">
        <f>HYPERLINK("https://platform.v2.vetology.net/cases/2685078/screening-report/1?type=pdf&amp;v=v6&amp;scorecard=1&amp;secret_key=BX%25IJ%24%2F65ieZ%29f6", 2685078)</f>
        <v>2685078</v>
      </c>
      <c r="C3990" s="2">
        <f>HYPERLINK("https://platform.v2.vetology.net/report/v/final/"&amp;2685078, 2685078)</f>
        <v>2685078</v>
      </c>
      <c r="D3990" s="2" t="s">
        <v>12496</v>
      </c>
      <c r="E3990" s="2" t="s">
        <v>12497</v>
      </c>
      <c r="F3990" s="2" t="s">
        <v>12498</v>
      </c>
      <c r="G3990" s="2" t="s">
        <v>556</v>
      </c>
      <c r="H3990" s="2" t="s">
        <v>12158</v>
      </c>
      <c r="I3990" s="2" t="s">
        <v>36</v>
      </c>
      <c r="J3990" s="2" t="s">
        <v>37</v>
      </c>
      <c r="K3990" s="2" t="s">
        <v>38</v>
      </c>
      <c r="L3990" s="2" t="s">
        <v>38</v>
      </c>
      <c r="M3990" s="2" t="s">
        <v>39</v>
      </c>
      <c r="N3990" s="2" t="s">
        <v>39</v>
      </c>
      <c r="O3990" s="2" t="s">
        <v>38</v>
      </c>
      <c r="P3990" s="2" t="s">
        <v>39</v>
      </c>
      <c r="Q3990" s="2" t="s">
        <v>39</v>
      </c>
      <c r="R3990" s="2" t="s">
        <v>38</v>
      </c>
      <c r="S3990" s="2" t="s">
        <v>38</v>
      </c>
      <c r="T3990" s="2" t="s">
        <v>39</v>
      </c>
      <c r="U3990" s="2" t="s">
        <v>39</v>
      </c>
      <c r="V3990" s="2" t="s">
        <v>38</v>
      </c>
      <c r="W3990" s="2" t="s">
        <v>38</v>
      </c>
      <c r="X3990" s="2" t="s">
        <v>39</v>
      </c>
      <c r="Y3990" s="2" t="s">
        <v>39</v>
      </c>
      <c r="Z3990" s="2" t="s">
        <v>38</v>
      </c>
      <c r="AA3990" s="2" t="s">
        <v>38</v>
      </c>
      <c r="AB3990" s="2" t="s">
        <v>39</v>
      </c>
      <c r="AC3990" s="2" t="s">
        <v>38</v>
      </c>
      <c r="AD3990" s="2" t="s">
        <v>38</v>
      </c>
      <c r="AE3990" s="2" t="s">
        <v>39</v>
      </c>
    </row>
    <row r="3991" spans="1:31" ht="409.5">
      <c r="A3991" s="2">
        <v>2685052</v>
      </c>
      <c r="B3991" s="2">
        <f>HYPERLINK("https://platform.v2.vetology.net/cases/2685052/screening-report/1?type=pdf&amp;v=v6&amp;scorecard=1&amp;secret_key=BX%25IJ%24%2F65ieZ%29f6", 2685052)</f>
        <v>2685052</v>
      </c>
      <c r="C3991" s="2">
        <f>HYPERLINK("https://platform.v2.vetology.net/report/v/final/"&amp;2685052, 2685052)</f>
        <v>2685052</v>
      </c>
      <c r="D3991" s="2" t="s">
        <v>12499</v>
      </c>
      <c r="E3991" s="2" t="s">
        <v>12500</v>
      </c>
      <c r="F3991" s="2" t="s">
        <v>43</v>
      </c>
      <c r="G3991" s="2" t="s">
        <v>507</v>
      </c>
      <c r="H3991" s="2" t="s">
        <v>6522</v>
      </c>
      <c r="I3991" s="2" t="s">
        <v>73</v>
      </c>
      <c r="J3991" s="2" t="s">
        <v>74</v>
      </c>
      <c r="K3991" s="2" t="s">
        <v>38</v>
      </c>
      <c r="L3991" s="2" t="s">
        <v>38</v>
      </c>
      <c r="M3991" s="2" t="s">
        <v>38</v>
      </c>
      <c r="N3991" s="2" t="s">
        <v>38</v>
      </c>
      <c r="O3991" s="2" t="s">
        <v>38</v>
      </c>
      <c r="P3991" s="2" t="s">
        <v>38</v>
      </c>
      <c r="Q3991" s="2" t="s">
        <v>38</v>
      </c>
      <c r="R3991" s="2" t="s">
        <v>38</v>
      </c>
      <c r="S3991" s="2" t="s">
        <v>38</v>
      </c>
      <c r="T3991" s="2" t="s">
        <v>38</v>
      </c>
      <c r="U3991" s="2" t="s">
        <v>38</v>
      </c>
      <c r="V3991" s="2" t="s">
        <v>38</v>
      </c>
      <c r="W3991" s="2" t="s">
        <v>38</v>
      </c>
      <c r="X3991" s="2" t="s">
        <v>38</v>
      </c>
      <c r="Y3991" s="2" t="s">
        <v>39</v>
      </c>
      <c r="Z3991" s="2" t="s">
        <v>38</v>
      </c>
      <c r="AA3991" s="2" t="s">
        <v>38</v>
      </c>
      <c r="AB3991" s="2" t="s">
        <v>39</v>
      </c>
      <c r="AC3991" s="2" t="s">
        <v>38</v>
      </c>
      <c r="AD3991" s="2" t="s">
        <v>39</v>
      </c>
      <c r="AE3991" s="2" t="s">
        <v>39</v>
      </c>
    </row>
    <row r="3992" spans="1:31" ht="409.5">
      <c r="A3992" s="2">
        <v>2685012</v>
      </c>
      <c r="B3992" s="2">
        <f>HYPERLINK("https://platform.v2.vetology.net/cases/2685012/screening-report/1?type=pdf&amp;v=v6&amp;scorecard=1&amp;secret_key=BX%25IJ%24%2F65ieZ%29f6", 2685012)</f>
        <v>2685012</v>
      </c>
      <c r="C3992" s="2">
        <f>HYPERLINK("https://platform.v2.vetology.net/report/v/final/"&amp;2685012, 2685012)</f>
        <v>2685012</v>
      </c>
      <c r="D3992" s="2" t="s">
        <v>12501</v>
      </c>
      <c r="E3992" s="2" t="s">
        <v>12502</v>
      </c>
      <c r="F3992" s="2" t="s">
        <v>12503</v>
      </c>
      <c r="G3992" s="2" t="s">
        <v>34</v>
      </c>
      <c r="H3992" s="2" t="s">
        <v>12504</v>
      </c>
      <c r="I3992" s="2" t="s">
        <v>73</v>
      </c>
      <c r="J3992" s="2" t="s">
        <v>74</v>
      </c>
      <c r="K3992" s="2" t="s">
        <v>38</v>
      </c>
      <c r="L3992" s="2" t="s">
        <v>38</v>
      </c>
      <c r="M3992" s="2" t="s">
        <v>38</v>
      </c>
      <c r="N3992" s="2" t="s">
        <v>38</v>
      </c>
      <c r="O3992" s="2" t="s">
        <v>38</v>
      </c>
      <c r="P3992" s="2" t="s">
        <v>38</v>
      </c>
      <c r="Q3992" s="2" t="s">
        <v>38</v>
      </c>
      <c r="R3992" s="2" t="s">
        <v>38</v>
      </c>
      <c r="S3992" s="2" t="s">
        <v>38</v>
      </c>
      <c r="T3992" s="2" t="s">
        <v>38</v>
      </c>
      <c r="U3992" s="2" t="s">
        <v>38</v>
      </c>
      <c r="V3992" s="2" t="s">
        <v>38</v>
      </c>
      <c r="W3992" s="2" t="s">
        <v>38</v>
      </c>
      <c r="X3992" s="2" t="s">
        <v>38</v>
      </c>
      <c r="Y3992" s="2" t="s">
        <v>38</v>
      </c>
      <c r="Z3992" s="2" t="s">
        <v>38</v>
      </c>
      <c r="AA3992" s="2" t="s">
        <v>38</v>
      </c>
      <c r="AB3992" s="2" t="s">
        <v>38</v>
      </c>
      <c r="AC3992" s="2" t="s">
        <v>38</v>
      </c>
      <c r="AD3992" s="2" t="s">
        <v>38</v>
      </c>
      <c r="AE3992" s="2" t="s">
        <v>40</v>
      </c>
    </row>
    <row r="3993" spans="1:31" ht="409.5">
      <c r="A3993" s="2">
        <v>2685001</v>
      </c>
      <c r="B3993" s="2">
        <f>HYPERLINK("https://platform.v2.vetology.net/cases/2685001/screening-report/1?type=pdf&amp;v=v6&amp;scorecard=1&amp;secret_key=BX%25IJ%24%2F65ieZ%29f6", 2685001)</f>
        <v>2685001</v>
      </c>
      <c r="C3993" s="2">
        <f>HYPERLINK("https://platform.v2.vetology.net/report/v/final/"&amp;2685001, 2685001)</f>
        <v>2685001</v>
      </c>
      <c r="D3993" s="2" t="s">
        <v>12505</v>
      </c>
      <c r="E3993" s="2" t="s">
        <v>12506</v>
      </c>
      <c r="F3993" s="2" t="s">
        <v>12507</v>
      </c>
      <c r="G3993" s="2" t="s">
        <v>170</v>
      </c>
      <c r="H3993" s="2" t="s">
        <v>69</v>
      </c>
      <c r="I3993" s="2" t="s">
        <v>46</v>
      </c>
      <c r="J3993" s="2"/>
      <c r="K3993" s="2" t="s">
        <v>39</v>
      </c>
      <c r="L3993" s="2" t="s">
        <v>39</v>
      </c>
      <c r="M3993" s="2" t="s">
        <v>39</v>
      </c>
      <c r="N3993" s="2" t="s">
        <v>39</v>
      </c>
      <c r="O3993" s="2" t="s">
        <v>39</v>
      </c>
      <c r="P3993" s="2" t="s">
        <v>39</v>
      </c>
      <c r="Q3993" s="2" t="s">
        <v>39</v>
      </c>
      <c r="R3993" s="2" t="s">
        <v>39</v>
      </c>
      <c r="S3993" s="2" t="s">
        <v>39</v>
      </c>
      <c r="T3993" s="2" t="s">
        <v>39</v>
      </c>
      <c r="U3993" s="2" t="s">
        <v>39</v>
      </c>
      <c r="V3993" s="2" t="s">
        <v>39</v>
      </c>
      <c r="W3993" s="2" t="s">
        <v>39</v>
      </c>
      <c r="X3993" s="2" t="s">
        <v>39</v>
      </c>
      <c r="Y3993" s="2" t="s">
        <v>39</v>
      </c>
      <c r="Z3993" s="2" t="s">
        <v>39</v>
      </c>
      <c r="AA3993" s="2" t="s">
        <v>39</v>
      </c>
      <c r="AB3993" s="2" t="s">
        <v>39</v>
      </c>
      <c r="AC3993" s="2" t="s">
        <v>39</v>
      </c>
      <c r="AD3993" s="2" t="s">
        <v>39</v>
      </c>
      <c r="AE3993" s="2"/>
    </row>
    <row r="3994" spans="1:31" ht="409.5">
      <c r="A3994" s="2">
        <v>2684988</v>
      </c>
      <c r="B3994" s="2">
        <f>HYPERLINK("https://platform.v2.vetology.net/cases/2684988/screening-report/1?type=pdf&amp;v=v6&amp;scorecard=1&amp;secret_key=BX%25IJ%24%2F65ieZ%29f6", 2684988)</f>
        <v>2684988</v>
      </c>
      <c r="C3994" s="2">
        <f>HYPERLINK("https://platform.v2.vetology.net/report/v/final/"&amp;2684988, 2684988)</f>
        <v>2684988</v>
      </c>
      <c r="D3994" s="2" t="s">
        <v>12508</v>
      </c>
      <c r="E3994" s="2" t="s">
        <v>12509</v>
      </c>
      <c r="F3994" s="2" t="s">
        <v>12510</v>
      </c>
      <c r="G3994" s="2" t="s">
        <v>415</v>
      </c>
      <c r="H3994" s="2" t="s">
        <v>797</v>
      </c>
      <c r="I3994" s="2" t="s">
        <v>59</v>
      </c>
      <c r="J3994" s="2" t="s">
        <v>37</v>
      </c>
      <c r="K3994" s="2" t="s">
        <v>38</v>
      </c>
      <c r="L3994" s="2" t="s">
        <v>39</v>
      </c>
      <c r="M3994" s="2" t="s">
        <v>39</v>
      </c>
      <c r="N3994" s="2" t="s">
        <v>39</v>
      </c>
      <c r="O3994" s="2" t="s">
        <v>38</v>
      </c>
      <c r="P3994" s="2" t="s">
        <v>39</v>
      </c>
      <c r="Q3994" s="2" t="s">
        <v>39</v>
      </c>
      <c r="R3994" s="2" t="s">
        <v>38</v>
      </c>
      <c r="S3994" s="2" t="s">
        <v>39</v>
      </c>
      <c r="T3994" s="2" t="s">
        <v>38</v>
      </c>
      <c r="U3994" s="2" t="s">
        <v>39</v>
      </c>
      <c r="V3994" s="2" t="s">
        <v>38</v>
      </c>
      <c r="W3994" s="2" t="s">
        <v>39</v>
      </c>
      <c r="X3994" s="2" t="s">
        <v>39</v>
      </c>
      <c r="Y3994" s="2" t="s">
        <v>39</v>
      </c>
      <c r="Z3994" s="2" t="s">
        <v>38</v>
      </c>
      <c r="AA3994" s="2" t="s">
        <v>39</v>
      </c>
      <c r="AB3994" s="2" t="s">
        <v>39</v>
      </c>
      <c r="AC3994" s="2" t="s">
        <v>38</v>
      </c>
      <c r="AD3994" s="2" t="s">
        <v>39</v>
      </c>
      <c r="AE3994" s="2" t="s">
        <v>39</v>
      </c>
    </row>
    <row r="3995" spans="1:31" ht="409.5">
      <c r="A3995" s="2">
        <v>2684976</v>
      </c>
      <c r="B3995" s="2">
        <f>HYPERLINK("https://platform.v2.vetology.net/cases/2684976/screening-report/1?type=pdf&amp;v=v6&amp;scorecard=1&amp;secret_key=BX%25IJ%24%2F65ieZ%29f6", 2684976)</f>
        <v>2684976</v>
      </c>
      <c r="C3995" s="2">
        <f>HYPERLINK("https://platform.v2.vetology.net/report/v/final/"&amp;2684976, 2684976)</f>
        <v>2684976</v>
      </c>
      <c r="D3995" s="2" t="s">
        <v>12511</v>
      </c>
      <c r="E3995" s="2" t="s">
        <v>12512</v>
      </c>
      <c r="F3995" s="2" t="s">
        <v>12513</v>
      </c>
      <c r="G3995" s="2" t="s">
        <v>145</v>
      </c>
      <c r="H3995" s="2" t="s">
        <v>8026</v>
      </c>
      <c r="I3995" s="2" t="s">
        <v>813</v>
      </c>
      <c r="J3995" s="2" t="s">
        <v>37</v>
      </c>
      <c r="K3995" s="2" t="s">
        <v>39</v>
      </c>
      <c r="L3995" s="2" t="s">
        <v>39</v>
      </c>
      <c r="M3995" s="2" t="s">
        <v>39</v>
      </c>
      <c r="N3995" s="2" t="s">
        <v>39</v>
      </c>
      <c r="O3995" s="2" t="s">
        <v>39</v>
      </c>
      <c r="P3995" s="2" t="s">
        <v>39</v>
      </c>
      <c r="Q3995" s="2" t="s">
        <v>39</v>
      </c>
      <c r="R3995" s="2" t="s">
        <v>38</v>
      </c>
      <c r="S3995" s="2" t="s">
        <v>38</v>
      </c>
      <c r="T3995" s="2" t="s">
        <v>38</v>
      </c>
      <c r="U3995" s="2" t="s">
        <v>39</v>
      </c>
      <c r="V3995" s="2" t="s">
        <v>38</v>
      </c>
      <c r="W3995" s="2" t="s">
        <v>38</v>
      </c>
      <c r="X3995" s="2" t="s">
        <v>39</v>
      </c>
      <c r="Y3995" s="2" t="s">
        <v>38</v>
      </c>
      <c r="Z3995" s="2" t="s">
        <v>38</v>
      </c>
      <c r="AA3995" s="2" t="s">
        <v>39</v>
      </c>
      <c r="AB3995" s="2" t="s">
        <v>39</v>
      </c>
      <c r="AC3995" s="2" t="s">
        <v>38</v>
      </c>
      <c r="AD3995" s="2" t="s">
        <v>38</v>
      </c>
      <c r="AE3995" s="2" t="s">
        <v>39</v>
      </c>
    </row>
    <row r="3996" spans="1:31" ht="409.5">
      <c r="A3996" s="2">
        <v>2684969</v>
      </c>
      <c r="B3996" s="2">
        <f>HYPERLINK("https://platform.v2.vetology.net/cases/2684969/screening-report/1?type=pdf&amp;v=v6&amp;scorecard=1&amp;secret_key=BX%25IJ%24%2F65ieZ%29f6", 2684969)</f>
        <v>2684969</v>
      </c>
      <c r="C3996" s="2">
        <f>HYPERLINK("https://platform.v2.vetology.net/report/v/final/"&amp;2684969, 2684969)</f>
        <v>2684969</v>
      </c>
      <c r="D3996" s="2" t="s">
        <v>12514</v>
      </c>
      <c r="E3996" s="2" t="s">
        <v>12515</v>
      </c>
      <c r="F3996" s="2" t="s">
        <v>12516</v>
      </c>
      <c r="G3996" s="2" t="s">
        <v>34</v>
      </c>
      <c r="H3996" s="2" t="s">
        <v>537</v>
      </c>
      <c r="I3996" s="2" t="s">
        <v>59</v>
      </c>
      <c r="J3996" s="2" t="s">
        <v>37</v>
      </c>
      <c r="K3996" s="2" t="s">
        <v>38</v>
      </c>
      <c r="L3996" s="2" t="s">
        <v>39</v>
      </c>
      <c r="M3996" s="2" t="s">
        <v>39</v>
      </c>
      <c r="N3996" s="2" t="s">
        <v>39</v>
      </c>
      <c r="O3996" s="2" t="s">
        <v>39</v>
      </c>
      <c r="P3996" s="2" t="s">
        <v>39</v>
      </c>
      <c r="Q3996" s="2" t="s">
        <v>39</v>
      </c>
      <c r="R3996" s="2" t="s">
        <v>39</v>
      </c>
      <c r="S3996" s="2" t="s">
        <v>39</v>
      </c>
      <c r="T3996" s="2" t="s">
        <v>38</v>
      </c>
      <c r="U3996" s="2" t="s">
        <v>38</v>
      </c>
      <c r="V3996" s="2" t="s">
        <v>38</v>
      </c>
      <c r="W3996" s="2" t="s">
        <v>39</v>
      </c>
      <c r="X3996" s="2" t="s">
        <v>39</v>
      </c>
      <c r="Y3996" s="2" t="s">
        <v>39</v>
      </c>
      <c r="Z3996" s="2" t="s">
        <v>38</v>
      </c>
      <c r="AA3996" s="2" t="s">
        <v>39</v>
      </c>
      <c r="AB3996" s="2" t="s">
        <v>39</v>
      </c>
      <c r="AC3996" s="2" t="s">
        <v>39</v>
      </c>
      <c r="AD3996" s="2" t="s">
        <v>39</v>
      </c>
      <c r="AE3996" s="2" t="s">
        <v>39</v>
      </c>
    </row>
    <row r="3997" spans="1:31" ht="409.5">
      <c r="A3997" s="2">
        <v>2684950</v>
      </c>
      <c r="B3997" s="2">
        <f>HYPERLINK("https://platform.v2.vetology.net/cases/2684950/screening-report/1?type=pdf&amp;v=v6&amp;scorecard=1&amp;secret_key=BX%25IJ%24%2F65ieZ%29f6", 2684950)</f>
        <v>2684950</v>
      </c>
      <c r="C3997" s="2">
        <f>HYPERLINK("https://platform.v2.vetology.net/report/v/final/"&amp;2684950, 2684950)</f>
        <v>2684950</v>
      </c>
      <c r="D3997" s="2" t="s">
        <v>12517</v>
      </c>
      <c r="E3997" s="2" t="s">
        <v>12518</v>
      </c>
      <c r="F3997" s="2" t="s">
        <v>12519</v>
      </c>
      <c r="G3997" s="2" t="s">
        <v>170</v>
      </c>
      <c r="H3997" s="2" t="s">
        <v>12520</v>
      </c>
      <c r="I3997" s="2" t="s">
        <v>257</v>
      </c>
      <c r="J3997" s="2" t="s">
        <v>74</v>
      </c>
      <c r="K3997" s="2" t="s">
        <v>38</v>
      </c>
      <c r="L3997" s="2" t="s">
        <v>38</v>
      </c>
      <c r="M3997" s="2" t="s">
        <v>38</v>
      </c>
      <c r="N3997" s="2" t="s">
        <v>38</v>
      </c>
      <c r="O3997" s="2" t="s">
        <v>38</v>
      </c>
      <c r="P3997" s="2" t="s">
        <v>38</v>
      </c>
      <c r="Q3997" s="2" t="s">
        <v>38</v>
      </c>
      <c r="R3997" s="2" t="s">
        <v>38</v>
      </c>
      <c r="S3997" s="2" t="s">
        <v>38</v>
      </c>
      <c r="T3997" s="2" t="s">
        <v>38</v>
      </c>
      <c r="U3997" s="2" t="s">
        <v>38</v>
      </c>
      <c r="V3997" s="2" t="s">
        <v>38</v>
      </c>
      <c r="W3997" s="2" t="s">
        <v>38</v>
      </c>
      <c r="X3997" s="2" t="s">
        <v>38</v>
      </c>
      <c r="Y3997" s="2" t="s">
        <v>38</v>
      </c>
      <c r="Z3997" s="2" t="s">
        <v>38</v>
      </c>
      <c r="AA3997" s="2" t="s">
        <v>38</v>
      </c>
      <c r="AB3997" s="2" t="s">
        <v>38</v>
      </c>
      <c r="AC3997" s="2" t="s">
        <v>38</v>
      </c>
      <c r="AD3997" s="2" t="s">
        <v>38</v>
      </c>
      <c r="AE3997" s="2" t="s">
        <v>40</v>
      </c>
    </row>
    <row r="3998" spans="1:31" ht="409.5">
      <c r="A3998" s="2">
        <v>2684878</v>
      </c>
      <c r="B3998" s="2">
        <f>HYPERLINK("https://platform.v2.vetology.net/cases/2684878/screening-report/1?type=pdf&amp;v=v6&amp;scorecard=1&amp;secret_key=BX%25IJ%24%2F65ieZ%29f6", 2684878)</f>
        <v>2684878</v>
      </c>
      <c r="C3998" s="2">
        <f>HYPERLINK("https://platform.v2.vetology.net/report/v/final/"&amp;2684878, 2684878)</f>
        <v>2684878</v>
      </c>
      <c r="D3998" s="2" t="s">
        <v>12521</v>
      </c>
      <c r="E3998" s="2" t="s">
        <v>578</v>
      </c>
      <c r="F3998" s="2" t="s">
        <v>579</v>
      </c>
      <c r="G3998" s="2" t="s">
        <v>34</v>
      </c>
      <c r="H3998" s="2" t="s">
        <v>69</v>
      </c>
      <c r="I3998" s="2" t="s">
        <v>46</v>
      </c>
      <c r="J3998" s="2"/>
      <c r="K3998" s="2" t="s">
        <v>39</v>
      </c>
      <c r="L3998" s="2" t="s">
        <v>39</v>
      </c>
      <c r="M3998" s="2" t="s">
        <v>39</v>
      </c>
      <c r="N3998" s="2" t="s">
        <v>39</v>
      </c>
      <c r="O3998" s="2" t="s">
        <v>39</v>
      </c>
      <c r="P3998" s="2" t="s">
        <v>39</v>
      </c>
      <c r="Q3998" s="2" t="s">
        <v>39</v>
      </c>
      <c r="R3998" s="2" t="s">
        <v>39</v>
      </c>
      <c r="S3998" s="2" t="s">
        <v>39</v>
      </c>
      <c r="T3998" s="2" t="s">
        <v>38</v>
      </c>
      <c r="U3998" s="2" t="s">
        <v>39</v>
      </c>
      <c r="V3998" s="2" t="s">
        <v>39</v>
      </c>
      <c r="W3998" s="2" t="s">
        <v>38</v>
      </c>
      <c r="X3998" s="2" t="s">
        <v>39</v>
      </c>
      <c r="Y3998" s="2" t="s">
        <v>39</v>
      </c>
      <c r="Z3998" s="2" t="s">
        <v>39</v>
      </c>
      <c r="AA3998" s="2" t="s">
        <v>39</v>
      </c>
      <c r="AB3998" s="2" t="s">
        <v>39</v>
      </c>
      <c r="AC3998" s="2" t="s">
        <v>38</v>
      </c>
      <c r="AD3998" s="2" t="s">
        <v>38</v>
      </c>
      <c r="AE3998" s="2" t="s">
        <v>39</v>
      </c>
    </row>
    <row r="3999" spans="1:31" ht="409.5">
      <c r="A3999" s="2">
        <v>2684866</v>
      </c>
      <c r="B3999" s="2">
        <f>HYPERLINK("https://platform.v2.vetology.net/cases/2684866/screening-report/1?type=pdf&amp;v=v6&amp;scorecard=1&amp;secret_key=BX%25IJ%24%2F65ieZ%29f6", 2684866)</f>
        <v>2684866</v>
      </c>
      <c r="C3999" s="2">
        <f>HYPERLINK("https://platform.v2.vetology.net/report/v/final/"&amp;2684866, 2684866)</f>
        <v>2684866</v>
      </c>
      <c r="D3999" s="2" t="s">
        <v>12522</v>
      </c>
      <c r="E3999" s="2" t="s">
        <v>12523</v>
      </c>
      <c r="F3999" s="2" t="s">
        <v>12524</v>
      </c>
      <c r="G3999" s="2" t="s">
        <v>170</v>
      </c>
      <c r="H3999" s="2" t="s">
        <v>12525</v>
      </c>
      <c r="I3999" s="2" t="s">
        <v>73</v>
      </c>
      <c r="J3999" s="2" t="s">
        <v>74</v>
      </c>
      <c r="K3999" s="2" t="s">
        <v>38</v>
      </c>
      <c r="L3999" s="2" t="s">
        <v>38</v>
      </c>
      <c r="M3999" s="2" t="s">
        <v>38</v>
      </c>
      <c r="N3999" s="2" t="s">
        <v>38</v>
      </c>
      <c r="O3999" s="2" t="s">
        <v>38</v>
      </c>
      <c r="P3999" s="2" t="s">
        <v>38</v>
      </c>
      <c r="Q3999" s="2" t="s">
        <v>38</v>
      </c>
      <c r="R3999" s="2" t="s">
        <v>38</v>
      </c>
      <c r="S3999" s="2" t="s">
        <v>38</v>
      </c>
      <c r="T3999" s="2" t="s">
        <v>38</v>
      </c>
      <c r="U3999" s="2" t="s">
        <v>38</v>
      </c>
      <c r="V3999" s="2" t="s">
        <v>38</v>
      </c>
      <c r="W3999" s="2" t="s">
        <v>39</v>
      </c>
      <c r="X3999" s="2" t="s">
        <v>38</v>
      </c>
      <c r="Y3999" s="2" t="s">
        <v>39</v>
      </c>
      <c r="Z3999" s="2" t="s">
        <v>38</v>
      </c>
      <c r="AA3999" s="2" t="s">
        <v>38</v>
      </c>
      <c r="AB3999" s="2" t="s">
        <v>38</v>
      </c>
      <c r="AC3999" s="2" t="s">
        <v>38</v>
      </c>
      <c r="AD3999" s="2" t="s">
        <v>38</v>
      </c>
      <c r="AE3999" s="2" t="s">
        <v>40</v>
      </c>
    </row>
    <row r="4000" spans="1:31" ht="409.5">
      <c r="A4000" s="2">
        <v>2683841</v>
      </c>
      <c r="B4000" s="2">
        <f>HYPERLINK("https://platform.v2.vetology.net/cases/2683841/screening-report/1?type=pdf&amp;v=v6&amp;scorecard=1&amp;secret_key=BX%25IJ%24%2F65ieZ%29f6", 2683841)</f>
        <v>2683841</v>
      </c>
      <c r="C4000" s="2">
        <f>HYPERLINK("https://platform.v2.vetology.net/report/v/final/"&amp;2683841, 2683841)</f>
        <v>2683841</v>
      </c>
      <c r="D4000" s="2" t="s">
        <v>12526</v>
      </c>
      <c r="E4000" s="2" t="s">
        <v>12527</v>
      </c>
      <c r="F4000" s="2" t="s">
        <v>12528</v>
      </c>
      <c r="G4000" s="2" t="s">
        <v>34</v>
      </c>
      <c r="H4000" s="2" t="s">
        <v>6676</v>
      </c>
      <c r="I4000" s="2" t="s">
        <v>36</v>
      </c>
      <c r="J4000" s="2" t="s">
        <v>37</v>
      </c>
      <c r="K4000" s="2" t="s">
        <v>39</v>
      </c>
      <c r="L4000" s="2" t="s">
        <v>38</v>
      </c>
      <c r="M4000" s="2" t="s">
        <v>38</v>
      </c>
      <c r="N4000" s="2" t="s">
        <v>38</v>
      </c>
      <c r="O4000" s="2" t="s">
        <v>38</v>
      </c>
      <c r="P4000" s="2" t="s">
        <v>39</v>
      </c>
      <c r="Q4000" s="2" t="s">
        <v>39</v>
      </c>
      <c r="R4000" s="2" t="s">
        <v>38</v>
      </c>
      <c r="S4000" s="2" t="s">
        <v>38</v>
      </c>
      <c r="T4000" s="2" t="s">
        <v>39</v>
      </c>
      <c r="U4000" s="2" t="s">
        <v>39</v>
      </c>
      <c r="V4000" s="2" t="s">
        <v>39</v>
      </c>
      <c r="W4000" s="2" t="s">
        <v>38</v>
      </c>
      <c r="X4000" s="2" t="s">
        <v>39</v>
      </c>
      <c r="Y4000" s="2" t="s">
        <v>39</v>
      </c>
      <c r="Z4000" s="2" t="s">
        <v>38</v>
      </c>
      <c r="AA4000" s="2" t="s">
        <v>38</v>
      </c>
      <c r="AB4000" s="2" t="s">
        <v>39</v>
      </c>
      <c r="AC4000" s="2" t="s">
        <v>38</v>
      </c>
      <c r="AD4000" s="2" t="s">
        <v>39</v>
      </c>
      <c r="AE4000" s="2" t="s">
        <v>39</v>
      </c>
    </row>
    <row r="4001" spans="1:31" ht="409.5">
      <c r="A4001" s="2">
        <v>2683805</v>
      </c>
      <c r="B4001" s="2">
        <f>HYPERLINK("https://platform.v2.vetology.net/cases/2683805/screening-report/1?type=pdf&amp;v=v6&amp;scorecard=1&amp;secret_key=BX%25IJ%24%2F65ieZ%29f6", 2683805)</f>
        <v>2683805</v>
      </c>
      <c r="C4001" s="2">
        <f>HYPERLINK("https://platform.v2.vetology.net/report/v/final/"&amp;2683805, 2683805)</f>
        <v>2683805</v>
      </c>
      <c r="D4001" s="2" t="s">
        <v>12529</v>
      </c>
      <c r="E4001" s="2" t="s">
        <v>12530</v>
      </c>
      <c r="F4001" s="2" t="s">
        <v>463</v>
      </c>
      <c r="G4001" s="2" t="s">
        <v>34</v>
      </c>
      <c r="H4001" s="2" t="s">
        <v>12531</v>
      </c>
      <c r="I4001" s="2" t="s">
        <v>129</v>
      </c>
      <c r="J4001" s="2" t="s">
        <v>74</v>
      </c>
      <c r="K4001" s="2" t="s">
        <v>38</v>
      </c>
      <c r="L4001" s="2" t="s">
        <v>39</v>
      </c>
      <c r="M4001" s="2" t="s">
        <v>38</v>
      </c>
      <c r="N4001" s="2" t="s">
        <v>38</v>
      </c>
      <c r="O4001" s="2" t="s">
        <v>38</v>
      </c>
      <c r="P4001" s="2" t="s">
        <v>38</v>
      </c>
      <c r="Q4001" s="2" t="s">
        <v>38</v>
      </c>
      <c r="R4001" s="2" t="s">
        <v>38</v>
      </c>
      <c r="S4001" s="2" t="s">
        <v>39</v>
      </c>
      <c r="T4001" s="2" t="s">
        <v>38</v>
      </c>
      <c r="U4001" s="2" t="s">
        <v>39</v>
      </c>
      <c r="V4001" s="2" t="s">
        <v>38</v>
      </c>
      <c r="W4001" s="2" t="s">
        <v>38</v>
      </c>
      <c r="X4001" s="2" t="s">
        <v>38</v>
      </c>
      <c r="Y4001" s="2" t="s">
        <v>39</v>
      </c>
      <c r="Z4001" s="2" t="s">
        <v>38</v>
      </c>
      <c r="AA4001" s="2" t="s">
        <v>38</v>
      </c>
      <c r="AB4001" s="2" t="s">
        <v>38</v>
      </c>
      <c r="AC4001" s="2" t="s">
        <v>39</v>
      </c>
      <c r="AD4001" s="2" t="s">
        <v>39</v>
      </c>
      <c r="AE4001" s="2" t="s">
        <v>40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933ED124681D44E8FC9B06419689125" ma:contentTypeVersion="19" ma:contentTypeDescription="Create a new document." ma:contentTypeScope="" ma:versionID="c3007ab365fabc0b1471bb732f05af86">
  <xsd:schema xmlns:xsd="http://www.w3.org/2001/XMLSchema" xmlns:xs="http://www.w3.org/2001/XMLSchema" xmlns:p="http://schemas.microsoft.com/office/2006/metadata/properties" xmlns:ns2="66ddc56d-8647-4bd5-b039-5bab4a319508" xmlns:ns3="480086f8-18f9-454d-8ff1-ce1e60c2bb3a" targetNamespace="http://schemas.microsoft.com/office/2006/metadata/properties" ma:root="true" ma:fieldsID="d7fd789494cf24d7d25e8db34c91a72a" ns2:_="" ns3:_="">
    <xsd:import namespace="66ddc56d-8647-4bd5-b039-5bab4a319508"/>
    <xsd:import namespace="480086f8-18f9-454d-8ff1-ce1e60c2bb3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LengthInSecond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2:Goodvs_x002e_bad" minOccurs="0"/>
                <xsd:element ref="ns2:lcf76f155ced4ddcb4097134ff3c332f" minOccurs="0"/>
                <xsd:element ref="ns3:TaxCatchAll" minOccurs="0"/>
                <xsd:element ref="ns2:MediaServiceObjectDetectorVersions" minOccurs="0"/>
                <xsd:element ref="ns2:MediaServiceSearchProperties" minOccurs="0"/>
                <xsd:element ref="ns2:Review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ddc56d-8647-4bd5-b039-5bab4a3195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Goodvs_x002e_bad" ma:index="20" nillable="true" ma:displayName="Good vs. bad" ma:default="Bad" ma:format="Dropdown" ma:internalName="Goodvs_x002e_bad">
      <xsd:simpleType>
        <xsd:restriction base="dms:Text">
          <xsd:maxLength value="255"/>
        </xsd:restrictio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30248a33-a687-407a-8077-21a4843fa0c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Reviewnotes" ma:index="26" nillable="true" ma:displayName="Review notes" ma:format="Dropdown" ma:internalName="Review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80086f8-18f9-454d-8ff1-ce1e60c2bb3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11ff0b46-341f-4251-bd95-ee68e1e7bd84}" ma:internalName="TaxCatchAll" ma:showField="CatchAllData" ma:web="480086f8-18f9-454d-8ff1-ce1e60c2bb3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66ddc56d-8647-4bd5-b039-5bab4a319508">
      <Terms xmlns="http://schemas.microsoft.com/office/infopath/2007/PartnerControls"/>
    </lcf76f155ced4ddcb4097134ff3c332f>
    <TaxCatchAll xmlns="480086f8-18f9-454d-8ff1-ce1e60c2bb3a" xsi:nil="true"/>
    <Reviewnotes xmlns="66ddc56d-8647-4bd5-b039-5bab4a319508" xsi:nil="true"/>
    <Goodvs_x002e_bad xmlns="66ddc56d-8647-4bd5-b039-5bab4a319508">Bad</Goodvs_x002e_bad>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4970281-25BE-400D-8297-78ADE743DFCB}"/>
</file>

<file path=customXml/itemProps2.xml><?xml version="1.0" encoding="utf-8"?>
<ds:datastoreItem xmlns:ds="http://schemas.openxmlformats.org/officeDocument/2006/customXml" ds:itemID="{404A80BC-A64E-47F7-AB7A-6C56B5255EC0}"/>
</file>

<file path=customXml/itemProps3.xml><?xml version="1.0" encoding="utf-8"?>
<ds:datastoreItem xmlns:ds="http://schemas.openxmlformats.org/officeDocument/2006/customXml" ds:itemID="{BAFAB128-CF09-43AC-BFAF-318602F2608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Ben Cote</cp:lastModifiedBy>
  <cp:revision/>
  <dcterms:created xsi:type="dcterms:W3CDTF">2024-09-30T12:23:48Z</dcterms:created>
  <dcterms:modified xsi:type="dcterms:W3CDTF">2024-09-30T22:27:35Z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0x0101000933ED124681D44E8FC9B06419689125</vt:lpwstr>
  </property>
  <property fmtid="{D5CDD505-2E9C-101B-9397-08002B2CF9AE}" pid="3" name="MediaServiceImageTags">
    <vt:lpwstr/>
  </property>
</Properties>
</file>